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Compras" sheetId="2" r:id="rId6"/>
    <sheet state="visible" name="Notas" sheetId="3" r:id="rId7"/>
    <sheet state="visible" name="Notas de Compras" sheetId="4" r:id="rId8"/>
    <sheet state="visible" name="Itens de Compras" sheetId="5" r:id="rId9"/>
    <sheet state="visible" name="OUTUBRO 2025" sheetId="6" r:id="rId10"/>
    <sheet state="visible" name="NOVEMBRO 2025" sheetId="7" r:id="rId11"/>
    <sheet state="visible" name="DEZEMBRO 2025" sheetId="8" r:id="rId12"/>
    <sheet state="visible" name="JANEIRO 2026" sheetId="9" r:id="rId13"/>
    <sheet state="visible" name="FEVEREIRO 2026" sheetId="10" r:id="rId14"/>
    <sheet state="visible" name="MARÇO 2026" sheetId="11" r:id="rId15"/>
    <sheet state="visible" name="ABRIL 2026" sheetId="12" r:id="rId16"/>
    <sheet state="visible" name="MAIO 2026" sheetId="13" r:id="rId17"/>
  </sheets>
  <definedNames/>
  <calcPr/>
</workbook>
</file>

<file path=xl/sharedStrings.xml><?xml version="1.0" encoding="utf-8"?>
<sst xmlns="http://schemas.openxmlformats.org/spreadsheetml/2006/main" count="60134" uniqueCount="14576">
  <si>
    <t>ID</t>
  </si>
  <si>
    <t>Identificação</t>
  </si>
  <si>
    <t>Loja</t>
  </si>
  <si>
    <t>Data Compra</t>
  </si>
  <si>
    <t>Fornecedor</t>
  </si>
  <si>
    <t>Nota</t>
  </si>
  <si>
    <t>Nome</t>
  </si>
  <si>
    <t>Foto</t>
  </si>
  <si>
    <t>Descrição</t>
  </si>
  <si>
    <t>Pago CX</t>
  </si>
  <si>
    <t>Data</t>
  </si>
  <si>
    <t>Usuário</t>
  </si>
  <si>
    <t>Funcionário</t>
  </si>
  <si>
    <t>Foto 1</t>
  </si>
  <si>
    <t>Foto 2</t>
  </si>
  <si>
    <t>Foto 3</t>
  </si>
  <si>
    <t>Entrada/Saída</t>
  </si>
  <si>
    <t>Valor</t>
  </si>
  <si>
    <t xml:space="preserve">Valor </t>
  </si>
  <si>
    <t>Branco</t>
  </si>
  <si>
    <t>Produto 1</t>
  </si>
  <si>
    <t>Concluido</t>
  </si>
  <si>
    <t>Quantidade 1</t>
  </si>
  <si>
    <t>Reembolso</t>
  </si>
  <si>
    <t>Valor 1</t>
  </si>
  <si>
    <t>Desconto</t>
  </si>
  <si>
    <t>Preço</t>
  </si>
  <si>
    <t>Valor Soma  1</t>
  </si>
  <si>
    <t>041000cd</t>
  </si>
  <si>
    <t>Produto 2</t>
  </si>
  <si>
    <t>Quantidade 2</t>
  </si>
  <si>
    <t>Valor 2</t>
  </si>
  <si>
    <t>Valor Soma 2</t>
  </si>
  <si>
    <t>Produto 3</t>
  </si>
  <si>
    <t>Branco 2</t>
  </si>
  <si>
    <t>687fb87b</t>
  </si>
  <si>
    <t>Quantidade 3</t>
  </si>
  <si>
    <t>Valor 3</t>
  </si>
  <si>
    <t>Inconsistência</t>
  </si>
  <si>
    <t>Valor Soma 3</t>
  </si>
  <si>
    <t>c515a3f8</t>
  </si>
  <si>
    <t>Produto 4</t>
  </si>
  <si>
    <t>Quantidade 4</t>
  </si>
  <si>
    <t>Tipo</t>
  </si>
  <si>
    <t>Valor 4</t>
  </si>
  <si>
    <t>frutas</t>
  </si>
  <si>
    <t>Valor Soma 4</t>
  </si>
  <si>
    <t>Produto 5</t>
  </si>
  <si>
    <t>Quantidade 5</t>
  </si>
  <si>
    <t>Valor 5</t>
  </si>
  <si>
    <t>Sangria Entrada</t>
  </si>
  <si>
    <t>Valor Soma 5</t>
  </si>
  <si>
    <t>Produto 6</t>
  </si>
  <si>
    <t>cca63b84</t>
  </si>
  <si>
    <t>Quantidade 6</t>
  </si>
  <si>
    <t>Valor 6</t>
  </si>
  <si>
    <t>2d078ca6</t>
  </si>
  <si>
    <t>Valor Soma 6</t>
  </si>
  <si>
    <t>Produto 7</t>
  </si>
  <si>
    <t>morango</t>
  </si>
  <si>
    <t>Movimentação</t>
  </si>
  <si>
    <t>Quantidade 7</t>
  </si>
  <si>
    <t>Data Movimentação</t>
  </si>
  <si>
    <t>Valor 7</t>
  </si>
  <si>
    <t>Valor Soma 7</t>
  </si>
  <si>
    <t>Produto 8</t>
  </si>
  <si>
    <t>Conta Corrente</t>
  </si>
  <si>
    <t>Quantidade 8</t>
  </si>
  <si>
    <t>Selecionado</t>
  </si>
  <si>
    <t>Valor 8</t>
  </si>
  <si>
    <t>Atualizar</t>
  </si>
  <si>
    <t>Valor Soma 8</t>
  </si>
  <si>
    <t>Justificado</t>
  </si>
  <si>
    <t>Produto 9</t>
  </si>
  <si>
    <t>Justificativa</t>
  </si>
  <si>
    <t>Quantidade 9</t>
  </si>
  <si>
    <t>Valor 9</t>
  </si>
  <si>
    <t>Valor Soma 9</t>
  </si>
  <si>
    <t>Produto 10</t>
  </si>
  <si>
    <t>Quantidade 10</t>
  </si>
  <si>
    <t>Valor 10</t>
  </si>
  <si>
    <t>d46e79c5</t>
  </si>
  <si>
    <t>Valor Soma 10</t>
  </si>
  <si>
    <t>Produto 11</t>
  </si>
  <si>
    <t>Quantidade 11</t>
  </si>
  <si>
    <t>ee72a900</t>
  </si>
  <si>
    <t>Valor 11</t>
  </si>
  <si>
    <t>Valor Soma 11</t>
  </si>
  <si>
    <t>produtos de limpeza</t>
  </si>
  <si>
    <t>Produto 12</t>
  </si>
  <si>
    <t>Quantidade 12</t>
  </si>
  <si>
    <t>Valor 12</t>
  </si>
  <si>
    <t>Valor Soma 12</t>
  </si>
  <si>
    <t>5655d51d</t>
  </si>
  <si>
    <t>Produto 13</t>
  </si>
  <si>
    <t>Quantidade 13</t>
  </si>
  <si>
    <t>0782957e</t>
  </si>
  <si>
    <t>Valor 13</t>
  </si>
  <si>
    <t>Valor Soma 13</t>
  </si>
  <si>
    <t>Produto 14</t>
  </si>
  <si>
    <t>café equipe</t>
  </si>
  <si>
    <t>Saída</t>
  </si>
  <si>
    <t>Quantidade 14</t>
  </si>
  <si>
    <t>Valor 14</t>
  </si>
  <si>
    <t>R$ 16,70</t>
  </si>
  <si>
    <t>Valor Soma 14</t>
  </si>
  <si>
    <t>Produto 15</t>
  </si>
  <si>
    <t>Quantidade 15</t>
  </si>
  <si>
    <t>6f97648e</t>
  </si>
  <si>
    <t>Saida Outros: consumo renan</t>
  </si>
  <si>
    <t>Valor 15</t>
  </si>
  <si>
    <t>Valor Soma 15</t>
  </si>
  <si>
    <t>ea058b6b</t>
  </si>
  <si>
    <t>Valor Total</t>
  </si>
  <si>
    <t>Notas_Images/6f97648e.Foto.172808.jpg</t>
  </si>
  <si>
    <t>Valor Nota</t>
  </si>
  <si>
    <t>147344c6</t>
  </si>
  <si>
    <t>c1b017da</t>
  </si>
  <si>
    <t>26/04/2026 (Consumo) - Renan - R$ 16,70</t>
  </si>
  <si>
    <t>Patricia</t>
  </si>
  <si>
    <t>c12dee14</t>
  </si>
  <si>
    <t>R$ 135,00</t>
  </si>
  <si>
    <t>e02c98c2</t>
  </si>
  <si>
    <t>Notas_Images/c12dee14.Foto.194639.jpg</t>
  </si>
  <si>
    <t>Saida Outros: pagamento free soraida</t>
  </si>
  <si>
    <t>SUCO</t>
  </si>
  <si>
    <t>1994aa8b</t>
  </si>
  <si>
    <t>26/04/2026 (Freelancer) -  - R$ 135,00</t>
  </si>
  <si>
    <t>28a2a8a1</t>
  </si>
  <si>
    <t>f86db51a</t>
  </si>
  <si>
    <t>R$ 302,00</t>
  </si>
  <si>
    <t>Notas_Images/28a2a8a1.Foto.161845.jpg</t>
  </si>
  <si>
    <t>produtos para a loja</t>
  </si>
  <si>
    <t>Saida Outros: pagamento motoboy clovis</t>
  </si>
  <si>
    <t>aae2062c</t>
  </si>
  <si>
    <t>ea64f11b</t>
  </si>
  <si>
    <t>26/04/2026 (Motoboy) -  - R$ 302,00</t>
  </si>
  <si>
    <t>db782109</t>
  </si>
  <si>
    <t>Notas_Images/ea64f11b.Foto.193101.jpg</t>
  </si>
  <si>
    <t>Entrada</t>
  </si>
  <si>
    <t>Morangos</t>
  </si>
  <si>
    <t>R$ 50,00</t>
  </si>
  <si>
    <t>Entrada Outros: troco</t>
  </si>
  <si>
    <t>36d120f7</t>
  </si>
  <si>
    <t>0abd4fb3</t>
  </si>
  <si>
    <t>3138e7e3</t>
  </si>
  <si>
    <t>Notas_Images/36d120f7.Foto.165013.jpg</t>
  </si>
  <si>
    <t>Produtos de limpeza</t>
  </si>
  <si>
    <t>27/04/2026 (Caixa Troco) -  - R$ 50,00</t>
  </si>
  <si>
    <t>R$ 69,00</t>
  </si>
  <si>
    <t>570bab99</t>
  </si>
  <si>
    <t>patricia</t>
  </si>
  <si>
    <t>c902fac7</t>
  </si>
  <si>
    <t>70ac4455</t>
  </si>
  <si>
    <t>711c9ec1</t>
  </si>
  <si>
    <t>f22ee7f8</t>
  </si>
  <si>
    <t>Notas_Images/70ac4455.Foto.184849.jpg</t>
  </si>
  <si>
    <t>Frutas</t>
  </si>
  <si>
    <t>27/04/2026 (Motoboy) -  - R$ 69,00</t>
  </si>
  <si>
    <t>bf80084e</t>
  </si>
  <si>
    <t>Paty</t>
  </si>
  <si>
    <t>R$ 60,00</t>
  </si>
  <si>
    <t>82cbff30</t>
  </si>
  <si>
    <t>Notas_Images/82cbff30.Foto.204833.jpg</t>
  </si>
  <si>
    <t>27/04/2026 (Caixa Troco) -  - R$ 60,00</t>
  </si>
  <si>
    <t>R$ 58,00</t>
  </si>
  <si>
    <t>498999b8</t>
  </si>
  <si>
    <t>Saida Outros: Mecanismo caixa de descarga</t>
  </si>
  <si>
    <t>Notas_Images/498999b8.Foto.204932.jpg</t>
  </si>
  <si>
    <t>7c8e601f</t>
  </si>
  <si>
    <t>b944522f</t>
  </si>
  <si>
    <t>Morango</t>
  </si>
  <si>
    <t>fbe845bd</t>
  </si>
  <si>
    <t>27/04/2026 (Compra de Mercadorias) -  - R$ 58,00</t>
  </si>
  <si>
    <t>1a703a49</t>
  </si>
  <si>
    <t>186f0756</t>
  </si>
  <si>
    <t>Notas_Images/1a703a49.Foto.170013.jpg</t>
  </si>
  <si>
    <t>Café da equipe do final de semana</t>
  </si>
  <si>
    <t>90980848</t>
  </si>
  <si>
    <t>R$ 20,00</t>
  </si>
  <si>
    <t>1bb31767</t>
  </si>
  <si>
    <t>Saida Outros: Tx entrega Claudecir</t>
  </si>
  <si>
    <t>d1ac4482</t>
  </si>
  <si>
    <t>1f81e06d</t>
  </si>
  <si>
    <t>Notas_Images/1bb31767.Foto.165856.jpg</t>
  </si>
  <si>
    <t>3d602dc2</t>
  </si>
  <si>
    <t>b9a582d6</t>
  </si>
  <si>
    <t>27/04/2026 (Motoboy) -  - R$ 20,00</t>
  </si>
  <si>
    <t>5215290e</t>
  </si>
  <si>
    <t>139a7189</t>
  </si>
  <si>
    <t>ba77cc5e</t>
  </si>
  <si>
    <t>R$ 39,00</t>
  </si>
  <si>
    <t>dc9e0f87</t>
  </si>
  <si>
    <t>3ef454a0</t>
  </si>
  <si>
    <t>Notas_Images/ba77cc5e.Foto.165718.jpg</t>
  </si>
  <si>
    <t>Bebidas</t>
  </si>
  <si>
    <t>ad299bf9</t>
  </si>
  <si>
    <t>28/04/2026 (Motoboy) -  - R$ 39,00</t>
  </si>
  <si>
    <t>c8ff21f4</t>
  </si>
  <si>
    <t>Patrícia</t>
  </si>
  <si>
    <t>a963d2fd</t>
  </si>
  <si>
    <t>R$ 150,00</t>
  </si>
  <si>
    <t>Saida Outros: sangria renan 28/04</t>
  </si>
  <si>
    <t>f225f21f</t>
  </si>
  <si>
    <t>Notas_Images/a963d2fd.Foto.181850.jpg</t>
  </si>
  <si>
    <t>a36cb9b2</t>
  </si>
  <si>
    <t>5ccb6377</t>
  </si>
  <si>
    <t>28/04/2026 (Sangria) - Renan - R$ 150,00</t>
  </si>
  <si>
    <t>Caixa fran</t>
  </si>
  <si>
    <t>5d147898</t>
  </si>
  <si>
    <t>R$ 40,00</t>
  </si>
  <si>
    <t>Notas_Images/5d147898.Foto.182310.jpg</t>
  </si>
  <si>
    <t>28/04/2026 (Motoboy) -  - R$ 40,00</t>
  </si>
  <si>
    <t>R$ 200,00</t>
  </si>
  <si>
    <t>2cc3cd02</t>
  </si>
  <si>
    <t>Saida Outros: Sangria Ramon 28/04</t>
  </si>
  <si>
    <t>a88cea6f</t>
  </si>
  <si>
    <t>Notas_Images/2cc3cd02.Foto.182355.jpg</t>
  </si>
  <si>
    <t>0d56f00a</t>
  </si>
  <si>
    <t>28/04/2026 (Sangria) - Ramon Dutra - R$ 200,00</t>
  </si>
  <si>
    <t>022c2208</t>
  </si>
  <si>
    <t>Notas_Images/022c2208.Foto.182118.jpg</t>
  </si>
  <si>
    <t>29/04/2026 (Motoboy) -  - R$ 20,00</t>
  </si>
  <si>
    <t>R$ 55,00</t>
  </si>
  <si>
    <t>e824e5a3</t>
  </si>
  <si>
    <t>Saida Outros: Consumo Rose</t>
  </si>
  <si>
    <t>acd15a12</t>
  </si>
  <si>
    <t>94cac1ee</t>
  </si>
  <si>
    <t>Notas_Images/e824e5a3.Foto.182437.jpg</t>
  </si>
  <si>
    <t>29/04/2026 (Consumo) - Rose - R$ 55,00</t>
  </si>
  <si>
    <t>0ae5808e</t>
  </si>
  <si>
    <t>R$ 10,00</t>
  </si>
  <si>
    <t>9123aa03</t>
  </si>
  <si>
    <t>9568de02</t>
  </si>
  <si>
    <t>29/04/2026 (Motoboy) -  - R$ 10,00</t>
  </si>
  <si>
    <t>Notas_Images/9123aa03.Foto.181731.jpg</t>
  </si>
  <si>
    <t>Café da equipe</t>
  </si>
  <si>
    <t>R$ 100,00</t>
  </si>
  <si>
    <t>52b575d3</t>
  </si>
  <si>
    <t>Saida Outros: Sangria Ramon</t>
  </si>
  <si>
    <t>e4f6fcc4</t>
  </si>
  <si>
    <t>9ab10bde</t>
  </si>
  <si>
    <t>5a858e6b</t>
  </si>
  <si>
    <t>a9cc29e5</t>
  </si>
  <si>
    <t>29/04/2026 (Sangria) - Ramon Dutra - R$ 100,00</t>
  </si>
  <si>
    <t>Notas_Images/9ab10bde.Foto.182220.jpg</t>
  </si>
  <si>
    <t>R$ 30,00</t>
  </si>
  <si>
    <t>c830aa6e</t>
  </si>
  <si>
    <t>ac79293a</t>
  </si>
  <si>
    <t>b0ad54f6</t>
  </si>
  <si>
    <t>30/04/2026 (Caixa Troco) -  - R$ 30,00</t>
  </si>
  <si>
    <t>Notas_Images/ac79293a.Foto.234131.jpg</t>
  </si>
  <si>
    <t>R$ 5,00</t>
  </si>
  <si>
    <t>Saida Outros: consumo Renan</t>
  </si>
  <si>
    <t>4f1d501d</t>
  </si>
  <si>
    <t>30/04/2026 (Consumo) - Renan - R$ 5,00</t>
  </si>
  <si>
    <t>R$ 300,00</t>
  </si>
  <si>
    <t>Saida Outros: sangria renan 30/04</t>
  </si>
  <si>
    <t>Notas_Images/4f1d501d.Foto.201916.jpg</t>
  </si>
  <si>
    <t>30/04/2026 (Sangria) - Renan - R$ 300,00</t>
  </si>
  <si>
    <t>R$ 13,00</t>
  </si>
  <si>
    <t>e01c264e</t>
  </si>
  <si>
    <t>2d182998</t>
  </si>
  <si>
    <t>30/04/2026 (Consumo) - Renan - R$ 13,00</t>
  </si>
  <si>
    <t>452e842b</t>
  </si>
  <si>
    <t>Notas_Images/e01c264e.Foto.203049.jpg</t>
  </si>
  <si>
    <t>898137d5</t>
  </si>
  <si>
    <t>Entrada Outros: Sangria Renan 28/04</t>
  </si>
  <si>
    <t>83106b86</t>
  </si>
  <si>
    <t>30/04/2026 (Sangria) - Renan - R$ 150,00</t>
  </si>
  <si>
    <t>R$ 62,00</t>
  </si>
  <si>
    <t>Notas_Images/83106b86.Foto.213753.jpg</t>
  </si>
  <si>
    <t>Entrada Outros: Troco</t>
  </si>
  <si>
    <t>30/04/2026 (Caixa Troco) -  - R$ 62,00</t>
  </si>
  <si>
    <t>R$ 6,00</t>
  </si>
  <si>
    <t>Caixa Fran,o pagamento foi feito n mesmo dia mas ela não trouxe a notinha aí não lancei antes</t>
  </si>
  <si>
    <t>Saida Outros: impressão</t>
  </si>
  <si>
    <t>f0e3b03e</t>
  </si>
  <si>
    <t>24ad862b</t>
  </si>
  <si>
    <t>30/04/2026 (Compra de Mercadorias) -  - R$ 6,00</t>
  </si>
  <si>
    <t>Notas_Images/f0e3b03e.Foto.203133.jpg</t>
  </si>
  <si>
    <t>R$ 42,00</t>
  </si>
  <si>
    <t>Saida Outros: Café funcionários</t>
  </si>
  <si>
    <t>bf2fd627</t>
  </si>
  <si>
    <t>15a55829</t>
  </si>
  <si>
    <t>30/04/2026 (Compra de Mercadorias) -  - R$ 42,00</t>
  </si>
  <si>
    <t>5b3cf4c7</t>
  </si>
  <si>
    <t>Notas_Images/15a55829.Foto.203726.jpg</t>
  </si>
  <si>
    <t>R$ 23,00</t>
  </si>
  <si>
    <t>Compra de caderno e impressoes</t>
  </si>
  <si>
    <t>30/04/2026 (Motoboy) -  - R$ 23,00</t>
  </si>
  <si>
    <t>R$ 250,00</t>
  </si>
  <si>
    <t>9e26bfa3</t>
  </si>
  <si>
    <t>Saida Outros: Sangria Ramon 30/04</t>
  </si>
  <si>
    <t>8507ee4c</t>
  </si>
  <si>
    <t>30/04/2026 (Sangria) - Ramon Dutra - R$ 250,00</t>
  </si>
  <si>
    <t>Notas_Images/9e26bfa3.Foto.233453.jpg</t>
  </si>
  <si>
    <t>Assento para banheiro</t>
  </si>
  <si>
    <t>Caixa Andressa</t>
  </si>
  <si>
    <t>01/05/2026 (Caixa Troco) -  - R$ 150,00</t>
  </si>
  <si>
    <t>d3975f99</t>
  </si>
  <si>
    <t>Notas_Images/d3975f99.Foto.220308.jpg</t>
  </si>
  <si>
    <t>01/05/2026 (Caixa Troco) -  - R$ 50,00</t>
  </si>
  <si>
    <t>01/05/2026 (Freelancer) -  - R$ 135,00</t>
  </si>
  <si>
    <t>17933f22</t>
  </si>
  <si>
    <t>f08fbc86</t>
  </si>
  <si>
    <t>R$ 22,00</t>
  </si>
  <si>
    <t>1b626fed</t>
  </si>
  <si>
    <t>Saida Outros: pagamento motoboy kako</t>
  </si>
  <si>
    <t>Notas_Images/17933f22.Foto.224510.jpg</t>
  </si>
  <si>
    <t>01/05/2026 (Motoboy) -  - R$ 22,00</t>
  </si>
  <si>
    <t>Jairo comprou super bonder</t>
  </si>
  <si>
    <t>R$ 1.000,00</t>
  </si>
  <si>
    <t>Saida Outros: sangria renan 01/05</t>
  </si>
  <si>
    <t>aadcd635</t>
  </si>
  <si>
    <t>01/05/2026 (Sangria) - Renan - R$ 1.000,00</t>
  </si>
  <si>
    <t>R$ 125,00</t>
  </si>
  <si>
    <t>Saida Outros: pagamento motoboy clovvis</t>
  </si>
  <si>
    <t>Notas_Images/aadcd635.Foto.224556.jpg</t>
  </si>
  <si>
    <t>Sucos</t>
  </si>
  <si>
    <t>01/05/2026 (Motoboy) -  - R$ 125,00</t>
  </si>
  <si>
    <t>R$ 83,00</t>
  </si>
  <si>
    <t>01/05/2026 (Motoboy) -  - R$ 83,00</t>
  </si>
  <si>
    <t>0e7dcbd5</t>
  </si>
  <si>
    <t>R$ 45,00</t>
  </si>
  <si>
    <t>Saida Outros: Consumo Renan</t>
  </si>
  <si>
    <t>Notas_Images/0e7dcbd5.Foto.224646.jpg</t>
  </si>
  <si>
    <t>02/05/2026 (Consumo) - Renan - R$ 45,00</t>
  </si>
  <si>
    <t>R$ 48,00</t>
  </si>
  <si>
    <t>Saida Outros: motoboy Clovis</t>
  </si>
  <si>
    <t>50ce15a4</t>
  </si>
  <si>
    <t>02/05/2026 (Motoboy) -  - R$ 48,00</t>
  </si>
  <si>
    <t>R$ 28,50</t>
  </si>
  <si>
    <t>Notas_Images/50ce15a4.Foto.232430.jpg</t>
  </si>
  <si>
    <t>Saida Outros: Consumo Regiane</t>
  </si>
  <si>
    <t>7a7c38ed</t>
  </si>
  <si>
    <t>d6ae72f1</t>
  </si>
  <si>
    <t>02/05/2026 (Consumo) - Regiane - R$ 28,50</t>
  </si>
  <si>
    <t>a52746d8</t>
  </si>
  <si>
    <t>R$ 31,00</t>
  </si>
  <si>
    <t>b85959dd</t>
  </si>
  <si>
    <t>02/05/2026 (Motoboy) -  - R$ 31,00</t>
  </si>
  <si>
    <t>Notas_Images/b85959dd.Foto.235206.jpg</t>
  </si>
  <si>
    <t>Café d equipe e produtos para o banheiro</t>
  </si>
  <si>
    <t>Saida Outros: Freelancer Soraida</t>
  </si>
  <si>
    <t>02/05/2026 (Freelancer) -  - R$ 135,00</t>
  </si>
  <si>
    <t>Saida Outros: Sangria Regiane 02/05</t>
  </si>
  <si>
    <t>8391c73a</t>
  </si>
  <si>
    <t>02/05/2026 (Sangria) - Regiane - R$ 200,00</t>
  </si>
  <si>
    <t>Notas_Images/8391c73a.Foto.214200.jpg</t>
  </si>
  <si>
    <t>02/05/2026 (Caixa Troco) -  - R$ 150,00</t>
  </si>
  <si>
    <t>85bd29fd</t>
  </si>
  <si>
    <t>03/05/2026 (Caixa Troco) -  - R$ 100,00</t>
  </si>
  <si>
    <t>47db1711</t>
  </si>
  <si>
    <t>Notas_Images/85bd29fd.Foto.214309.jpg</t>
  </si>
  <si>
    <t>Saida Outros: pagaMENTO FREE SORAIDA</t>
  </si>
  <si>
    <t>Produtos para loja</t>
  </si>
  <si>
    <t>03/05/2026 (Freelancer) -  - R$ 135,00</t>
  </si>
  <si>
    <t>Saida Outros: PAGAMENTO FREE NICOLI</t>
  </si>
  <si>
    <t>3678b2ff</t>
  </si>
  <si>
    <t>f7ad713b</t>
  </si>
  <si>
    <t>Notas_Images/3678b2ff.Foto.214424.jpg</t>
  </si>
  <si>
    <t>Saida Outros: PAGAMENTO FREE ISA</t>
  </si>
  <si>
    <t>Limpeza dos ar condicionado</t>
  </si>
  <si>
    <t>R$ 600,00</t>
  </si>
  <si>
    <t>Saida Outros: SANGRIA RENAN 03/05</t>
  </si>
  <si>
    <t>2c2ec448</t>
  </si>
  <si>
    <t>03/05/2026 (Sangria) - Renan - R$ 600,00</t>
  </si>
  <si>
    <t>Notas_Images/2c2ec448.Foto.220209.jpg</t>
  </si>
  <si>
    <t>Produtos d limpeza</t>
  </si>
  <si>
    <t>R$ 244,00</t>
  </si>
  <si>
    <t>Saida Outros: PAGAMENTO MOTOBOY</t>
  </si>
  <si>
    <t>03/05/2026 (Motoboy) -  - R$ 244,00</t>
  </si>
  <si>
    <t>65d20905</t>
  </si>
  <si>
    <t>R$ 70,50</t>
  </si>
  <si>
    <t>04/05/2026 (Caixa Troco) -  - R$ 70,50</t>
  </si>
  <si>
    <t>Notas_Images/65d20905.Foto.220352.jpg</t>
  </si>
  <si>
    <t>R$ 33,00</t>
  </si>
  <si>
    <t>04/05/2026 (Motoboy) -  - R$ 33,00</t>
  </si>
  <si>
    <t>R$ 120,54</t>
  </si>
  <si>
    <t>c5cf1140</t>
  </si>
  <si>
    <t>Saida Outros: cafe dia do trabalhador</t>
  </si>
  <si>
    <t>04/05/2026 (Compra de Mercadorias) -  - R$ 120,54</t>
  </si>
  <si>
    <t>Notas_Images/c5cf1140.Foto.231159.jpg</t>
  </si>
  <si>
    <t>R$ 62,53</t>
  </si>
  <si>
    <t>a0322226</t>
  </si>
  <si>
    <t>Varal</t>
  </si>
  <si>
    <t>04/05/2026 (Compra de Mercadorias) -  - R$ 62,53</t>
  </si>
  <si>
    <t>Caixa Fran</t>
  </si>
  <si>
    <t>60adbfec</t>
  </si>
  <si>
    <t>04/05/2026 (Motoboy) -  - R$ 10,00</t>
  </si>
  <si>
    <t>Notas_Images/60adbfec.Foto.231235.jpg</t>
  </si>
  <si>
    <t>R$ 27,00</t>
  </si>
  <si>
    <t>Saida Outros: consumo ramom</t>
  </si>
  <si>
    <t>05/05/2026 (Consumo) - Ramon Dutra - R$ 27,00</t>
  </si>
  <si>
    <t>5a151ba7</t>
  </si>
  <si>
    <t>05/05/2026 (Consumo) - Renan - R$ 10,00</t>
  </si>
  <si>
    <t>Notas_Images/5a151ba7.Foto.173003.jpg</t>
  </si>
  <si>
    <t>R$ 12,00</t>
  </si>
  <si>
    <t>Saida Outros: pagamento motoboy gian</t>
  </si>
  <si>
    <t>05/05/2026 (Motoboy) -  - R$ 12,00</t>
  </si>
  <si>
    <t>R$ 65,00</t>
  </si>
  <si>
    <t>9c56a453</t>
  </si>
  <si>
    <t>05/05/2026 (Motoboy) -  - R$ 65,00</t>
  </si>
  <si>
    <t>df5458ad</t>
  </si>
  <si>
    <t>R$ 650,00</t>
  </si>
  <si>
    <t>Notas_Images/9c56a453.Foto.201146.jpg</t>
  </si>
  <si>
    <t>Saida Outros: sangria renan 05/05</t>
  </si>
  <si>
    <t>cafe da equipe do final de semana</t>
  </si>
  <si>
    <t>05/05/2026 (Sangria) - Renan - R$ 650,00</t>
  </si>
  <si>
    <t>R$ 29,00</t>
  </si>
  <si>
    <t>caixa andressa</t>
  </si>
  <si>
    <t>45c4acaa</t>
  </si>
  <si>
    <t>05/05/2026 (Consumo) - Renan - R$ 29,00</t>
  </si>
  <si>
    <t>Notas_Images/45c4acaa.Foto.030122.jpg</t>
  </si>
  <si>
    <t>morangos</t>
  </si>
  <si>
    <t>05/05/2026 (Consumo) - Renan - R$ 5,00</t>
  </si>
  <si>
    <t>Entrada Outros: Sangria Ramon 28/04</t>
  </si>
  <si>
    <t>3b120540</t>
  </si>
  <si>
    <t>05/05/2026 (Sangria) - Ramon Dutra - R$ 200,00</t>
  </si>
  <si>
    <t>b42e974a</t>
  </si>
  <si>
    <t>Entrada Outros: Sangria Renan 03/05</t>
  </si>
  <si>
    <t>Notas_Images/3b120540.Foto.205044.jpg</t>
  </si>
  <si>
    <t>05/05/2026 (Sangria) - Renan - R$ 600,00</t>
  </si>
  <si>
    <t>R$ 706,00</t>
  </si>
  <si>
    <t>Saida Outros: Caixa troco</t>
  </si>
  <si>
    <t>05/05/2026 (Caixa Troco) -  - R$ 706,00</t>
  </si>
  <si>
    <t>4223f64b</t>
  </si>
  <si>
    <t>R$ 35,00</t>
  </si>
  <si>
    <t>Notas_Images/4223f64b.Foto.205642.jpg</t>
  </si>
  <si>
    <t>05/05/2026 (Motoboy) -  - R$ 35,00</t>
  </si>
  <si>
    <t>impressao folha ponto</t>
  </si>
  <si>
    <t>Saida Outros: Sangria Ramon 05/05</t>
  </si>
  <si>
    <t>05/05/2026 (Sangria) - Ramon Dutra - R$ 250,00</t>
  </si>
  <si>
    <t>d04f4590</t>
  </si>
  <si>
    <t>06/05/2026 (Consumo) - Renan - R$ 13,00</t>
  </si>
  <si>
    <t>Notas_Images/d04f4590.Foto.210833.jpg</t>
  </si>
  <si>
    <t>R$ 6,05</t>
  </si>
  <si>
    <t>Saida Outros: banana</t>
  </si>
  <si>
    <t>06/05/2026 (Compra de Mercadorias) -  - R$ 6,05</t>
  </si>
  <si>
    <t>R$ 74,00</t>
  </si>
  <si>
    <t>635e5a9b</t>
  </si>
  <si>
    <t>06/05/2026 (Motoboy) -  - R$ 74,00</t>
  </si>
  <si>
    <t>Notas_Images/635e5a9b.Foto.210039.jpg</t>
  </si>
  <si>
    <t>06/05/2026 (Caixa Troco) -  - R$ 150,00</t>
  </si>
  <si>
    <t>caixa fran</t>
  </si>
  <si>
    <t>809eea69</t>
  </si>
  <si>
    <t>06/05/2026 (Caixa Troco) -  - R$ 100,00</t>
  </si>
  <si>
    <t>Notas_Images/809eea69.Foto.170603.jpg</t>
  </si>
  <si>
    <t>Mercado</t>
  </si>
  <si>
    <t>06/05/2026 (Motoboy) -  - R$ 27,00</t>
  </si>
  <si>
    <t>R$ 476,00</t>
  </si>
  <si>
    <t>Saida Outros: produtos de limpeza</t>
  </si>
  <si>
    <t>3508fd69</t>
  </si>
  <si>
    <t>06/05/2026 (Compra de Mercadorias) -  - R$ 476,00</t>
  </si>
  <si>
    <t>Notas_Images/3508fd69.Foto.182243.jpg</t>
  </si>
  <si>
    <t>Canetas</t>
  </si>
  <si>
    <t>Saida Outros: sangria renan 06/05</t>
  </si>
  <si>
    <t>06/05/2026 (Sangria) - Renan - R$ 50,00</t>
  </si>
  <si>
    <t>86ad1f3d</t>
  </si>
  <si>
    <t>ea84fc9b</t>
  </si>
  <si>
    <t>Notas_Images/86ad1f3d.Foto.202510.jpg</t>
  </si>
  <si>
    <t>Estante para a cozinha</t>
  </si>
  <si>
    <t>06/05/2026 (Motoboy) -  - R$ 10,00</t>
  </si>
  <si>
    <t>9744d02b</t>
  </si>
  <si>
    <t>R$ 550,00</t>
  </si>
  <si>
    <t>Saida Outros: Sangria Ramon 06/05</t>
  </si>
  <si>
    <t>Notas_Images/9744d02b.Foto.203830.jpg</t>
  </si>
  <si>
    <t>06/05/2026 (Sangria) - Ramon Dutra - R$ 550,00</t>
  </si>
  <si>
    <t>Compra de 1000 impressões de aviso de delivery</t>
  </si>
  <si>
    <t>3782a61e</t>
  </si>
  <si>
    <t>07/05/2026 (Consumo) - Renan - R$ 5,00</t>
  </si>
  <si>
    <t>Notas_Images/3782a61e.Foto.210351.jpg</t>
  </si>
  <si>
    <t>R$ 15,00</t>
  </si>
  <si>
    <t>f389b7b8</t>
  </si>
  <si>
    <t>07/05/2026 (Consumo) - Ramon Dutra - R$ 15,00</t>
  </si>
  <si>
    <t>Notas_Images/f389b7b8.Foto.185406.jpg</t>
  </si>
  <si>
    <t>R$ 73,00</t>
  </si>
  <si>
    <t>07/05/2026 (Motoboy) -  - R$ 73,00</t>
  </si>
  <si>
    <t>b3ed2271</t>
  </si>
  <si>
    <t>Saida Outros: sangria renan 07/05</t>
  </si>
  <si>
    <t>Notas_Images/b3ed2271.Foto.170942.jpg</t>
  </si>
  <si>
    <t>Suco</t>
  </si>
  <si>
    <t>07/05/2026 (Sangria) - Renan - R$ 300,00</t>
  </si>
  <si>
    <t>8d270f77</t>
  </si>
  <si>
    <t>Notas_Images/8d270f77.Foto.171146.jpg</t>
  </si>
  <si>
    <t>Cafe d equipe</t>
  </si>
  <si>
    <t>07/05/2026 (Motoboy) -  - R$ 10,00</t>
  </si>
  <si>
    <t>R$ 39,69</t>
  </si>
  <si>
    <t>bcc995ce</t>
  </si>
  <si>
    <t>Notas_Images/bcc995ce.Foto.170809.jpg</t>
  </si>
  <si>
    <t>07/05/2026 (Consumo) - Renan - R$ 39,69</t>
  </si>
  <si>
    <t>R$ 11,70</t>
  </si>
  <si>
    <t>231ce0c9</t>
  </si>
  <si>
    <t>Saida Outros: Consumo Regi</t>
  </si>
  <si>
    <t>Notas_Images/231ce0c9.Foto.185655.jpg</t>
  </si>
  <si>
    <t>07/05/2026 (Consumo) - Regiane - R$ 11,70</t>
  </si>
  <si>
    <t>R$ 30,98</t>
  </si>
  <si>
    <t>39c669a6</t>
  </si>
  <si>
    <t>07/05/2026 (Compra de Mercadorias) -  - R$ 30,98</t>
  </si>
  <si>
    <t>Notas_Images/39c669a6.Foto.194646.jpg</t>
  </si>
  <si>
    <t>R$ 25,00</t>
  </si>
  <si>
    <t>Saida Outros: Válvula para pia</t>
  </si>
  <si>
    <t>767cd169</t>
  </si>
  <si>
    <t>07/05/2026 (Compra de Mercadorias) -  - R$ 25,00</t>
  </si>
  <si>
    <t>Notas_Images/767cd169.Foto.194721.jpg</t>
  </si>
  <si>
    <t>Água de coco</t>
  </si>
  <si>
    <t>Saida Outros: Trava trocador</t>
  </si>
  <si>
    <t>07/05/2026 (Compra de Mercadorias) -  - R$ 10,00</t>
  </si>
  <si>
    <t>d709938f</t>
  </si>
  <si>
    <t>R$ 24,00</t>
  </si>
  <si>
    <t>Notas_Images/d709938f.Foto.230019.jpg</t>
  </si>
  <si>
    <t>Saida Outros: Tx entrega Clovis</t>
  </si>
  <si>
    <t>07/05/2026 (Motoboy) -  - R$ 24,00</t>
  </si>
  <si>
    <t>2e6000d8</t>
  </si>
  <si>
    <t>Notas_Images/2e6000d8.Foto.212013.jpg</t>
  </si>
  <si>
    <t>Saida Outros: Sangria Ramon 07/05</t>
  </si>
  <si>
    <t>a76ef6e3</t>
  </si>
  <si>
    <t>Notas_Images/a76ef6e3.Foto.212204.jpg</t>
  </si>
  <si>
    <t>07/05/2026 (Sangria) - Ramon Dutra - R$ 200,00</t>
  </si>
  <si>
    <t>e195223a</t>
  </si>
  <si>
    <t>Notas_Images/e195223a.Foto.211851.jpg</t>
  </si>
  <si>
    <t>vale transporte funcionaria fram</t>
  </si>
  <si>
    <t>Saida Outros: consumo regiane</t>
  </si>
  <si>
    <t>08/05/2026 (Consumo) - Regiane - R$ 5,00</t>
  </si>
  <si>
    <t>0c3ecda6</t>
  </si>
  <si>
    <t>R$ 21,00</t>
  </si>
  <si>
    <t>Notas_Images/0c3ecda6.Foto.212945.jpg</t>
  </si>
  <si>
    <t>cafe da equipe</t>
  </si>
  <si>
    <t>08/05/2026 (Motoboy) -  - R$ 21,00</t>
  </si>
  <si>
    <t>6c9e9010</t>
  </si>
  <si>
    <t>Saida Outros: adesivo horario</t>
  </si>
  <si>
    <t>Notas_Images/6c9e9010.Foto.212850.jpg</t>
  </si>
  <si>
    <t>thebestacaicacador@gmail.com</t>
  </si>
  <si>
    <t>08/05/2026 (Compra de Mercadorias) -  - R$ 50,00</t>
  </si>
  <si>
    <t>R$ 43,59</t>
  </si>
  <si>
    <t>194fda174</t>
  </si>
  <si>
    <t>Saida Outros: cafe funcionarios</t>
  </si>
  <si>
    <t>Rescisão Andressa</t>
  </si>
  <si>
    <t>alinedcdalmeida@gmail.com</t>
  </si>
  <si>
    <t>08/05/2026 (Compra de Mercadorias) -  - R$ 43,59</t>
  </si>
  <si>
    <t>a940f337</t>
  </si>
  <si>
    <t>ae21bd61</t>
  </si>
  <si>
    <t>175f1a1a</t>
  </si>
  <si>
    <t>Notas_Images/ae21bd61.Foto.175246.jpg</t>
  </si>
  <si>
    <t>08/05/2026 (Caixa Troco) -  - R$ 50,00</t>
  </si>
  <si>
    <t>layanadesouza30@gmail.com</t>
  </si>
  <si>
    <t>2fe7c92b</t>
  </si>
  <si>
    <t>9ac2e172</t>
  </si>
  <si>
    <t>08/05/2026 (Consumo) - Renan - R$ 30,00</t>
  </si>
  <si>
    <t>Notas_Images/2fe7c92b.Foto.183247.jpg</t>
  </si>
  <si>
    <t>Copia de chaves</t>
  </si>
  <si>
    <t>Não encontrada</t>
  </si>
  <si>
    <t>5449f4b4</t>
  </si>
  <si>
    <t>08/05/2026 (Motoboy) -  - R$ 22,00</t>
  </si>
  <si>
    <t>Notas_Images/5449f4b4.Foto.184544.jpg</t>
  </si>
  <si>
    <t>R$ 24,25</t>
  </si>
  <si>
    <t>09/05/2026 (Consumo) - Renan - R$ 24,25</t>
  </si>
  <si>
    <t>6f0eeca2</t>
  </si>
  <si>
    <t>14bbffbb</t>
  </si>
  <si>
    <t>Notas_Images/6f0eeca2.Foto.184309.jpg</t>
  </si>
  <si>
    <t>R$ 14,50</t>
  </si>
  <si>
    <t>a3e5becb</t>
  </si>
  <si>
    <t>09/05/2026 (Compra de Mercadorias) -  - R$ 14,50</t>
  </si>
  <si>
    <t>continuação da nota anterior</t>
  </si>
  <si>
    <t>Notas_Images/a3e5becb.Foto.184407.jpg</t>
  </si>
  <si>
    <t>1de97ab3</t>
  </si>
  <si>
    <t>09/05/2026 (Motoboy) -  - R$ 45,00</t>
  </si>
  <si>
    <t>Notas_Images/1de97ab3.Foto.184849.jpg</t>
  </si>
  <si>
    <t>Bebida</t>
  </si>
  <si>
    <t>c6738b4e</t>
  </si>
  <si>
    <t>382526b1</t>
  </si>
  <si>
    <t>09/05/2026 (Consumo) - Renan - R$ 40,00</t>
  </si>
  <si>
    <t>Notas_Images/382526b1.Foto.175536.jpg</t>
  </si>
  <si>
    <t>Saida Outros: Consumo Ramon</t>
  </si>
  <si>
    <t>6a9780c6</t>
  </si>
  <si>
    <t>10/05/2026 (Consumo) - Ramon Dutra - R$ 35,00</t>
  </si>
  <si>
    <t>Notas_Images/6a9780c6.Foto.185449.jpg</t>
  </si>
  <si>
    <t>Saida Outros: Sangria Regiane 10/05</t>
  </si>
  <si>
    <t>1fa1b8568</t>
  </si>
  <si>
    <t>b4475d59</t>
  </si>
  <si>
    <t>10/05/2026 (Sangria) - Regiane - R$ 200,00</t>
  </si>
  <si>
    <t>R$ 151,00</t>
  </si>
  <si>
    <t>1c940defc</t>
  </si>
  <si>
    <t>Reembolso de 2 gaveteiros</t>
  </si>
  <si>
    <t>10/05/2026 (Motoboy) -  - R$ 151,00</t>
  </si>
  <si>
    <t>R$ 120,00</t>
  </si>
  <si>
    <t>1cac1a275</t>
  </si>
  <si>
    <t>10/05/2026 (Freelancer) -  - R$ 120,00</t>
  </si>
  <si>
    <t>grav cam R$30</t>
  </si>
  <si>
    <t>Saida Outros: sangria renan 11/05</t>
  </si>
  <si>
    <t>11/05/2026 (Sangria) - Renan - R$ 100,00</t>
  </si>
  <si>
    <t>b65f9099</t>
  </si>
  <si>
    <t>Notas_Images/b65f9099.Foto.115153.jpg</t>
  </si>
  <si>
    <t>680f613d</t>
  </si>
  <si>
    <t>a7b9c8ae</t>
  </si>
  <si>
    <t>Notas_Images/680f613d.Foto.120103.jpg</t>
  </si>
  <si>
    <t>11/05/2026 (Motoboy) -  - R$ 58,00</t>
  </si>
  <si>
    <t>fechadura da porta</t>
  </si>
  <si>
    <t>R$ 11,00</t>
  </si>
  <si>
    <t>Saida Outros: Tx entrega Maik</t>
  </si>
  <si>
    <t>1836100e</t>
  </si>
  <si>
    <t>11/05/2026 (Motoboy) -  - R$ 11,00</t>
  </si>
  <si>
    <t>R$ 24,50</t>
  </si>
  <si>
    <t>Notas_Images/1836100e.Foto.181910.jpg</t>
  </si>
  <si>
    <t>Embalagens</t>
  </si>
  <si>
    <t>683f0fe0</t>
  </si>
  <si>
    <t>12/05/2026 (Consumo) - Ramon Dutra - R$ 24,50</t>
  </si>
  <si>
    <t>1e3b5f341</t>
  </si>
  <si>
    <t>b058733f</t>
  </si>
  <si>
    <t>12/05/2026 (Motoboy) -  - R$ 10,00</t>
  </si>
  <si>
    <t>ICMS</t>
  </si>
  <si>
    <t>Saida Outros: sangria rena 12/05</t>
  </si>
  <si>
    <t>12/05/2026 (Sangria) - Renan - R$ 300,00</t>
  </si>
  <si>
    <t>189db432b</t>
  </si>
  <si>
    <t>R$ 18,00</t>
  </si>
  <si>
    <t>b4f64265</t>
  </si>
  <si>
    <t>inss</t>
  </si>
  <si>
    <t>1a532b440</t>
  </si>
  <si>
    <t>12/05/2026 (Consumo) - Regiane - R$ 18,00</t>
  </si>
  <si>
    <t>2 quadros</t>
  </si>
  <si>
    <t>177af56c4</t>
  </si>
  <si>
    <t>12/05/2026 (Consumo) - Rose - R$ 30,00</t>
  </si>
  <si>
    <t>Parc empréstimo (2-10) descont no salario pago em fevereiro</t>
  </si>
  <si>
    <t>a408a228</t>
  </si>
  <si>
    <t>ab21f189</t>
  </si>
  <si>
    <t>Notas_Images/ab21f189.Foto.195954.jpg</t>
  </si>
  <si>
    <t>12/05/2026 (Motoboy) -  - R$ 11,00</t>
  </si>
  <si>
    <t>19610a1c</t>
  </si>
  <si>
    <t>Saida Outros: pagamento motoboy</t>
  </si>
  <si>
    <t>Notas_Images/19610a1c.Foto.200341.jpg</t>
  </si>
  <si>
    <t>13/05/2026 (Motoboy) -  - R$ 50,00</t>
  </si>
  <si>
    <t>afe1a410</t>
  </si>
  <si>
    <t>Notas_Images/afe1a410.Foto.200513.jpg</t>
  </si>
  <si>
    <t>produto de limpeza</t>
  </si>
  <si>
    <t>13/05/2026 (Motoboy) -  - R$ 12,00</t>
  </si>
  <si>
    <t>be823efc</t>
  </si>
  <si>
    <t>R$ 41,00</t>
  </si>
  <si>
    <t>Notas_Images/be823efc.Foto.153343.jpg</t>
  </si>
  <si>
    <t>14/05/2026 (Motoboy) -  - R$ 41,00</t>
  </si>
  <si>
    <t>Notas_Images/79849200.Foto.162536.jpg</t>
  </si>
  <si>
    <t>MORANGO</t>
  </si>
  <si>
    <t>Saida Outros: sangria renan 14/05</t>
  </si>
  <si>
    <t>14/05/2026 (Sangria) - Renan - R$ 100,00</t>
  </si>
  <si>
    <t>158023b1f</t>
  </si>
  <si>
    <t>Salario janeiro</t>
  </si>
  <si>
    <t>1af3f525b</t>
  </si>
  <si>
    <t>14/05/2026 (Motoboy) -  - R$ 21,00</t>
  </si>
  <si>
    <t>0b8ce476</t>
  </si>
  <si>
    <t>R$ 60,70</t>
  </si>
  <si>
    <t>1f25a6603</t>
  </si>
  <si>
    <t>99cc8246</t>
  </si>
  <si>
    <t>14/05/2026 (Consumo) - Ramon Dutra - R$ 60,70</t>
  </si>
  <si>
    <t>1ec09d92a</t>
  </si>
  <si>
    <t>Acerto trabalhista período sem registro</t>
  </si>
  <si>
    <t>e5e5d365</t>
  </si>
  <si>
    <t>14/05/2026 (Desconsiderado) - Ramon Dutra - R$ 60,70</t>
  </si>
  <si>
    <t>12058aa35</t>
  </si>
  <si>
    <t>ccc96a9e</t>
  </si>
  <si>
    <t>Entrada Outros: Sangria ID 2180200 lançada duplicada</t>
  </si>
  <si>
    <t>1ed6aba16</t>
  </si>
  <si>
    <t>2c6ae813</t>
  </si>
  <si>
    <t>14/05/2026 (Desconsiderado) -  - R$ 60,70</t>
  </si>
  <si>
    <t>Salario Janeiro</t>
  </si>
  <si>
    <t>0abc3513</t>
  </si>
  <si>
    <t>18f88a25a</t>
  </si>
  <si>
    <t>Divisão de lucro fevereiro</t>
  </si>
  <si>
    <t>15/05/2026 (Motoboy) -  - R$ 23,00</t>
  </si>
  <si>
    <t>8b7320ad</t>
  </si>
  <si>
    <t>1c3affed9</t>
  </si>
  <si>
    <t>610dafeb</t>
  </si>
  <si>
    <t>841e85d3</t>
  </si>
  <si>
    <t>12ca4fcea</t>
  </si>
  <si>
    <t>0fcf0b9d</t>
  </si>
  <si>
    <t>15/05/2026 (Caixa Troco) -  - R$ 20,00</t>
  </si>
  <si>
    <t>Alvará favor enviar o comprovante para o escritório</t>
  </si>
  <si>
    <t>15/05/2026 (Caixa Troco) -  - R$ 60,00</t>
  </si>
  <si>
    <t>125d2b3c6</t>
  </si>
  <si>
    <t>e598fd26</t>
  </si>
  <si>
    <t>f3146a0d</t>
  </si>
  <si>
    <t>Divisão de lucros fevereiro</t>
  </si>
  <si>
    <t>R$ 32,80</t>
  </si>
  <si>
    <t>b568bd90</t>
  </si>
  <si>
    <t>03046d55</t>
  </si>
  <si>
    <t>Saida Outros: abraçadeira brinquedo</t>
  </si>
  <si>
    <t>c7cb818b</t>
  </si>
  <si>
    <t>15/05/2026 (Compra de Mercadorias) -  - R$ 32,80</t>
  </si>
  <si>
    <t>11ae427da</t>
  </si>
  <si>
    <t>e2b4771c</t>
  </si>
  <si>
    <t>R$ 51,90</t>
  </si>
  <si>
    <t>Icms</t>
  </si>
  <si>
    <t>68a2fb36</t>
  </si>
  <si>
    <t>15/05/2026 (Compra de Mercadorias) -  - R$ 51,90</t>
  </si>
  <si>
    <t>b4323f39</t>
  </si>
  <si>
    <t>189e21eb8</t>
  </si>
  <si>
    <t>Reembolso por pix</t>
  </si>
  <si>
    <t>7200088f</t>
  </si>
  <si>
    <t>15/05/2026 (Motoboy) -  - R$ 11,00</t>
  </si>
  <si>
    <t>Banderloff (02/02/2024) - frutas</t>
  </si>
  <si>
    <t>Notas_Images/7200088f.Foto.163206.jpg</t>
  </si>
  <si>
    <t>15/05/2026 (Motoboy) -  - R$ 22,00</t>
  </si>
  <si>
    <t>0381c1cd</t>
  </si>
  <si>
    <t>Passarela Center via atacadista (02/02/2024) - cafe da equipe e outros produtos para a loja</t>
  </si>
  <si>
    <t>Notas_Images/0381c1cd.Foto.164412.jpg</t>
  </si>
  <si>
    <t>15/05/2026 (Consumo) - Regiane - R$ 18,00</t>
  </si>
  <si>
    <t>cafe da equipe e outros produtos para a loja</t>
  </si>
  <si>
    <t>8686f880</t>
  </si>
  <si>
    <t>Banderloff (06/02/2024) - frutas</t>
  </si>
  <si>
    <t>16/05/2026 (Caixa Troco) -  - R$ 50,00</t>
  </si>
  <si>
    <t>Notas_Images/8686f880.Foto.163320.jpg</t>
  </si>
  <si>
    <t>Saida Outros: Freelancer Josi</t>
  </si>
  <si>
    <t>827df739</t>
  </si>
  <si>
    <t>9bd3c2e5</t>
  </si>
  <si>
    <t>Morangos frigotto (06/02/2024) - morango</t>
  </si>
  <si>
    <t>474fd577</t>
  </si>
  <si>
    <t>16/05/2026 (Freelancer) -  - R$ 135,00</t>
  </si>
  <si>
    <t>Notas_Images/827df739.Foto.164206.jpg</t>
  </si>
  <si>
    <t>c7515d9b</t>
  </si>
  <si>
    <t>R$ 32,00</t>
  </si>
  <si>
    <t>4fdc782e</t>
  </si>
  <si>
    <t>ccc708c1</t>
  </si>
  <si>
    <t>Passarela Center via atacadista (06/02/2024) - leite condensado</t>
  </si>
  <si>
    <t>Notas_Images/ccc708c1.Foto.164520.jpg</t>
  </si>
  <si>
    <t>16/05/2026 (Motoboy) -  - R$ 32,00</t>
  </si>
  <si>
    <t>leite condensado</t>
  </si>
  <si>
    <t>cafe45a8</t>
  </si>
  <si>
    <t>Banderloff (08/02/2024) - frutas</t>
  </si>
  <si>
    <t>R$ 76,00</t>
  </si>
  <si>
    <t>Notas_Images/cafe45a8.Foto.163557.jpg</t>
  </si>
  <si>
    <t>Saida Outros: Tx entrega Mateus</t>
  </si>
  <si>
    <t>16/05/2026 (Motoboy) -  - R$ 76,00</t>
  </si>
  <si>
    <t>968a57f5</t>
  </si>
  <si>
    <t>Saida Outros: Sangria Regiane</t>
  </si>
  <si>
    <t>Embrast (09/02/2024) - produtos para loja</t>
  </si>
  <si>
    <t>16/05/2026 (Sangria) - Regiane - R$ 550,00</t>
  </si>
  <si>
    <t>Notas_Images/968a57f5.Foto.164039.jpg</t>
  </si>
  <si>
    <t>produtos para loja</t>
  </si>
  <si>
    <t>Saida Outros: pagamento free josi</t>
  </si>
  <si>
    <t>17/05/2026 (Freelancer) -  - R$ 135,00</t>
  </si>
  <si>
    <t>fab5fee7</t>
  </si>
  <si>
    <t>R$ 188,00</t>
  </si>
  <si>
    <t>Morangos frigotto (09/02/2024) - morango</t>
  </si>
  <si>
    <t>Saida Outros: pagamento motoboy mateus</t>
  </si>
  <si>
    <t>Notas_Images/fab5fee7.Foto.190623.jpg</t>
  </si>
  <si>
    <t>17/05/2026 (Motoboy) -  - R$ 188,00</t>
  </si>
  <si>
    <t>111554e3e</t>
  </si>
  <si>
    <t>R$ 350,00</t>
  </si>
  <si>
    <t>Saida Outros: sangria renan 17/05</t>
  </si>
  <si>
    <t>Pix a funcionária Cris no valor de R$559,51 referente ao pagamento dos dias 15/01 ao dia 22/01.</t>
  </si>
  <si>
    <t>17/05/2026 (Sangria) - Renan - R$ 350,00</t>
  </si>
  <si>
    <t>R$ 16,99</t>
  </si>
  <si>
    <t>Saida Outros: jarra</t>
  </si>
  <si>
    <t>1adb4f77</t>
  </si>
  <si>
    <t>6f33f84f</t>
  </si>
  <si>
    <t>Banderloff (10/02/2024) - frutas</t>
  </si>
  <si>
    <t>18/05/2026 (Compra de Mercadorias) -  - R$ 16,99</t>
  </si>
  <si>
    <t>Notas_Images/1adb4f77.Foto.165137.jpg</t>
  </si>
  <si>
    <t>8b4db002</t>
  </si>
  <si>
    <t>18/05/2026 (Motoboy) -  - R$ 32,00</t>
  </si>
  <si>
    <t>GH Center Supermercado (10/02/2024) - cafe da equipe</t>
  </si>
  <si>
    <t>Notas_Images/8b4db002.Foto.165704.jpg</t>
  </si>
  <si>
    <t>Saida Outros: sangria renan 18/05</t>
  </si>
  <si>
    <t>6c499f3f</t>
  </si>
  <si>
    <t>18/05/2026 (Sangria) - Renan - R$ 100,00</t>
  </si>
  <si>
    <t>981292a2</t>
  </si>
  <si>
    <t>Coca Cola (08/02/2024) - bebidas</t>
  </si>
  <si>
    <t>Notas_Images/6c499f3f.Foto.172221.jpg</t>
  </si>
  <si>
    <t>bebidas</t>
  </si>
  <si>
    <t>a53fabb3</t>
  </si>
  <si>
    <t>Nicopel (06/02/2024) - embalagens</t>
  </si>
  <si>
    <t>Notas_Images/a53fabb3.Foto.171711.jpg</t>
  </si>
  <si>
    <t>18/05/2026 (Consumo) - Regiane - R$ 30,00</t>
  </si>
  <si>
    <t>embalagens</t>
  </si>
  <si>
    <t>4ef4b044</t>
  </si>
  <si>
    <t>18/05/2026 (Consumo) - Ramon Dutra - R$ 22,00</t>
  </si>
  <si>
    <t>Morangos frigotto (12/02/2024) - Morangos</t>
  </si>
  <si>
    <t>Notas_Images/4ef4b044.Foto.180838.jpg</t>
  </si>
  <si>
    <t>18/05/2026 (Motoboy) -  - R$ 22,00</t>
  </si>
  <si>
    <t>3a8ac6b4</t>
  </si>
  <si>
    <t>R$ 14,00</t>
  </si>
  <si>
    <t>b2870d61</t>
  </si>
  <si>
    <t>Saida Outros: tour</t>
  </si>
  <si>
    <t>Coca Cola (12/02/2024) - Bebidas</t>
  </si>
  <si>
    <t>6254534f</t>
  </si>
  <si>
    <t>Notas_Images/3a8ac6b4.Foto.173013.jpg</t>
  </si>
  <si>
    <t>19/05/2026 (Cortesias) -  - R$ 14,00</t>
  </si>
  <si>
    <t>R$ 130,00</t>
  </si>
  <si>
    <t>c9d212a3</t>
  </si>
  <si>
    <t>Troco</t>
  </si>
  <si>
    <t>b93e887f</t>
  </si>
  <si>
    <t>Banderloff (13/02/2024) - FRUTAS</t>
  </si>
  <si>
    <t>Notas_Images/c9d212a3.Foto.172734.jpg</t>
  </si>
  <si>
    <t>FRUTAS</t>
  </si>
  <si>
    <t>19/05/2026 (Caixa Troco) -  - R$ 130,00</t>
  </si>
  <si>
    <t>f01dc7d5</t>
  </si>
  <si>
    <t>0282a337</t>
  </si>
  <si>
    <t>19/05/2026 (Motoboy) -  - R$ 10,00</t>
  </si>
  <si>
    <t>ab956099</t>
  </si>
  <si>
    <t>PRATS (13/02/2024) - sucos</t>
  </si>
  <si>
    <t>R$ 75,00</t>
  </si>
  <si>
    <t>Notas_Images/0282a337.Foto.214201.jpg</t>
  </si>
  <si>
    <t>sucos</t>
  </si>
  <si>
    <t>dce28b9a</t>
  </si>
  <si>
    <t>19/05/2026 (Caixa Troco) -  - R$ 75,00</t>
  </si>
  <si>
    <t>R$ 500,00</t>
  </si>
  <si>
    <t>Saida Outros: sangria renan 19/05</t>
  </si>
  <si>
    <t>3b091543</t>
  </si>
  <si>
    <t>19/05/2026 (Sangria) - Renan - R$ 500,00</t>
  </si>
  <si>
    <t>cf16611d</t>
  </si>
  <si>
    <t>tony bebidas (13/02/2024) - bebidas</t>
  </si>
  <si>
    <t>R$ 15,05</t>
  </si>
  <si>
    <t>Notas_Images/3b091543.Foto.214335.jpg</t>
  </si>
  <si>
    <t>9fb1ca98</t>
  </si>
  <si>
    <t>Saida Outros: Manga</t>
  </si>
  <si>
    <t>11e8d0a30</t>
  </si>
  <si>
    <t>19/05/2026 (Compra de Mercadorias) -  - R$ 15,05</t>
  </si>
  <si>
    <t>R$ 31,10</t>
  </si>
  <si>
    <t>Reembolso do pagamento do certificado digital</t>
  </si>
  <si>
    <t>19/05/2026 (Consumo) - Regiane - R$ 31,10</t>
  </si>
  <si>
    <t>b0fc5d8a</t>
  </si>
  <si>
    <t>Camila Morango (14/02/2024) - Morangos</t>
  </si>
  <si>
    <t>Notas_Images/b0fc5d8a.Foto.182216.jpg</t>
  </si>
  <si>
    <t>19/05/2026 (Sangria) - Ramon Dutra - R$ 150,00</t>
  </si>
  <si>
    <t>R$ 37,00</t>
  </si>
  <si>
    <t>5cddeb57</t>
  </si>
  <si>
    <t>19/05/2026 (Motoboy) -  - R$ 37,00</t>
  </si>
  <si>
    <t>R$ 64,16</t>
  </si>
  <si>
    <t>Morangos frigotto (19/02/2024) - Frutas</t>
  </si>
  <si>
    <t>Saida Outros: Parceria influenciador</t>
  </si>
  <si>
    <t>Notas_Images/5cddeb57.Foto.154351.jpg</t>
  </si>
  <si>
    <t>2fd9cab9</t>
  </si>
  <si>
    <t>20/05/2026 (Influencer) -  - R$ 64,16</t>
  </si>
  <si>
    <t>Saida Outros: sangria renan 20/05</t>
  </si>
  <si>
    <t>da200ac7</t>
  </si>
  <si>
    <t>Auto Coletivo Caçador (20/02/2024) - Vale transporte</t>
  </si>
  <si>
    <t>20/05/2026 (Sangria) - Renan - R$ 200,00</t>
  </si>
  <si>
    <t>Notas_Images/da200ac7.Foto.154506.jpg</t>
  </si>
  <si>
    <t>Vale transporte</t>
  </si>
  <si>
    <t>c7acaa70</t>
  </si>
  <si>
    <t>20/05/2026 (Motoboy) -  - R$ 10,00</t>
  </si>
  <si>
    <t>Notas_Images/c7acaa70.Foto.154553.jpg</t>
  </si>
  <si>
    <t>R$ 5,25</t>
  </si>
  <si>
    <t>d0343871</t>
  </si>
  <si>
    <t>20/05/2026 (Compra de Mercadorias) -  - R$ 5,25</t>
  </si>
  <si>
    <t>b7b32110</t>
  </si>
  <si>
    <t>R$ 26,00</t>
  </si>
  <si>
    <t>Morangos frigotto (16/02/2024) - Pagamento  frutas</t>
  </si>
  <si>
    <t>Notas_Images/b7b32110.Foto.165228.jpg</t>
  </si>
  <si>
    <t>Pagamento  frutas</t>
  </si>
  <si>
    <t>20/05/2026 (Motoboy) -  - R$ 26,00</t>
  </si>
  <si>
    <t>9a67c11c</t>
  </si>
  <si>
    <t>21/05/2026 (Caixa Troco) -  - R$ 50,00</t>
  </si>
  <si>
    <t>Banderloff (19/02/2024) - frutas</t>
  </si>
  <si>
    <t>Notas_Images/9a67c11c.Foto.221332.jpg</t>
  </si>
  <si>
    <t>08b9483c</t>
  </si>
  <si>
    <t>21/05/2026 (Motoboy) -  - R$ 10,00</t>
  </si>
  <si>
    <t>d4fce8f6</t>
  </si>
  <si>
    <t>Saida Outros: sangria renan 21/05</t>
  </si>
  <si>
    <t>a1127f50</t>
  </si>
  <si>
    <t>Darnel (21/02/2024) - embalagens</t>
  </si>
  <si>
    <t>21/05/2026 (Sangria) - Renan - R$ 300,00</t>
  </si>
  <si>
    <t>Notas_Images/d4fce8f6.Foto.211659.jpg</t>
  </si>
  <si>
    <t>462159c7</t>
  </si>
  <si>
    <t>21/05/2026 (Motoboy) -  - R$ 12,00</t>
  </si>
  <si>
    <t>1cc15d17</t>
  </si>
  <si>
    <t>Banderloff (21/02/2024) - frutas</t>
  </si>
  <si>
    <t>Entrada Outros: Sangria Renan 20/05</t>
  </si>
  <si>
    <t>Notas_Images/1cc15d17.Foto.221625.jpg</t>
  </si>
  <si>
    <t>22/05/2026 (Sangria) - Renan - R$ 200,00</t>
  </si>
  <si>
    <t>Entrada Outros: Sangria Ramon</t>
  </si>
  <si>
    <t>06e48d38</t>
  </si>
  <si>
    <t>22/05/2026 (Sangria) - Ramon Dutra - R$ 150,00</t>
  </si>
  <si>
    <t>Banderloff (23/02/2024) - Pagamento  FRUTAS</t>
  </si>
  <si>
    <t>c31c2697</t>
  </si>
  <si>
    <t>Notas_Images/06e48d38.Foto.172847.jpg</t>
  </si>
  <si>
    <t>Pagamento  FRUTAS</t>
  </si>
  <si>
    <t>R$ 378,00</t>
  </si>
  <si>
    <t>Saida Outros: Adesivos</t>
  </si>
  <si>
    <t>22/05/2026 (Compra de Mercadorias) -  - R$ 378,00</t>
  </si>
  <si>
    <t>R$ 62,30</t>
  </si>
  <si>
    <t>c42352ce</t>
  </si>
  <si>
    <t>Saida Outros: Café funcionarios</t>
  </si>
  <si>
    <t>Auto Coletivo Caçador (22/02/2024) - Vale transporte</t>
  </si>
  <si>
    <t>22/05/2026 (Compra de Mercadorias) -  - R$ 62,30</t>
  </si>
  <si>
    <t>Notas_Images/c42352ce.Foto.165011.jpg</t>
  </si>
  <si>
    <t>R$ 81,00</t>
  </si>
  <si>
    <t>22/05/2026 (Motoboy) -  - R$ 81,00</t>
  </si>
  <si>
    <t>3176367f</t>
  </si>
  <si>
    <t>ce25efef</t>
  </si>
  <si>
    <t>R$ 42,50</t>
  </si>
  <si>
    <t>0d63e77a</t>
  </si>
  <si>
    <t>Amadelli (07/02/2024) - estoque gelado</t>
  </si>
  <si>
    <t>Notas_Images/ce25efef.Foto.172725.jpg</t>
  </si>
  <si>
    <t>estoque gelado</t>
  </si>
  <si>
    <t>22/05/2026 (Consumo) - Regiane - R$ 42,50</t>
  </si>
  <si>
    <t>218063c5</t>
  </si>
  <si>
    <t>22/05/2026 (Consumo) - Regiane - R$ 5,00</t>
  </si>
  <si>
    <t>Amadelli (08/02/2024) - estoque</t>
  </si>
  <si>
    <t>Notas_Images/218063c5.Foto.190849.jpg</t>
  </si>
  <si>
    <t>estoque</t>
  </si>
  <si>
    <t>22/05/2026 (Motoboy) -  - R$ 11,00</t>
  </si>
  <si>
    <t>R$ 108,00</t>
  </si>
  <si>
    <t>c2e33457</t>
  </si>
  <si>
    <t>Amadelli (21/02/2024) - carga seca/doces</t>
  </si>
  <si>
    <t>23/05/2026 (Motoboy) -  - R$ 108,00</t>
  </si>
  <si>
    <t>Notas_Images/c2e33457.Foto.215126.jpg</t>
  </si>
  <si>
    <t>carga seca/doces</t>
  </si>
  <si>
    <t>R$ 54,00</t>
  </si>
  <si>
    <t>23/05/2026 (Motoboy) -  - R$ 54,00</t>
  </si>
  <si>
    <t>aa30fa65</t>
  </si>
  <si>
    <t>Saida Outros: pagamento josiane ribas</t>
  </si>
  <si>
    <t>Amadelli (21/02/2024) - estoque gelado</t>
  </si>
  <si>
    <t>Notas_Images/aa30fa65.Foto.220101.jpg</t>
  </si>
  <si>
    <t>23/05/2026 (Freelancer) -  - R$ 135,00</t>
  </si>
  <si>
    <t>Saida Outros: sangria renan 23/05</t>
  </si>
  <si>
    <t>750327a1</t>
  </si>
  <si>
    <t>23/05/2026 (Sangria) - Renan - R$ 200,00</t>
  </si>
  <si>
    <t>Morangos frigotto (26/02/2024) - FRUTAS</t>
  </si>
  <si>
    <t>Saida Outros: Tx entega Clovis</t>
  </si>
  <si>
    <t>Notas_Images/750327a1.Foto.170957.jpg</t>
  </si>
  <si>
    <t>24/05/2026 (Motoboy) -  - R$ 150,00</t>
  </si>
  <si>
    <t>R$ 57,00</t>
  </si>
  <si>
    <t>Saida Outros: Tx entrega Matheus</t>
  </si>
  <si>
    <t>128986e1d</t>
  </si>
  <si>
    <t>24/05/2026 (Motoboy) -  - R$ 57,00</t>
  </si>
  <si>
    <t>Adesivos</t>
  </si>
  <si>
    <t>R$ 40,76</t>
  </si>
  <si>
    <t>fd0ea3a8</t>
  </si>
  <si>
    <t>24/05/2026 (Consumo) - Regiane - R$ 40,76</t>
  </si>
  <si>
    <t>145ecc8c0</t>
  </si>
  <si>
    <t>Saida Outros: sangria Regiane 24/05</t>
  </si>
  <si>
    <t>grav camera</t>
  </si>
  <si>
    <t>24/05/2026 (Sangria) - Regiane - R$ 300,00</t>
  </si>
  <si>
    <t>Saida Outros: tx freelancer Josi</t>
  </si>
  <si>
    <t>10d22e701</t>
  </si>
  <si>
    <t>24/05/2026 (Freelancer) -  - R$ 135,00</t>
  </si>
  <si>
    <t>Parc empréstimo (3/10) desc no salario pago em março</t>
  </si>
  <si>
    <t>R$ 105,00</t>
  </si>
  <si>
    <t>25/05/2026 (Caixa Troco) -  - R$ 105,00</t>
  </si>
  <si>
    <t>1244cb786</t>
  </si>
  <si>
    <t>Saida Outros: motoboy gian</t>
  </si>
  <si>
    <t>a1b54746</t>
  </si>
  <si>
    <t>25/05/2026 (Motoboy) -  - R$ 23,00</t>
  </si>
  <si>
    <t>4 camisetas de uniforme</t>
  </si>
  <si>
    <t>Saida Outros: motoboy</t>
  </si>
  <si>
    <t>f65e9243</t>
  </si>
  <si>
    <t>25/05/2026 (Motoboy) -  - R$ 13,00</t>
  </si>
  <si>
    <t>Banderloff (23/02/2024) - FRUTAS</t>
  </si>
  <si>
    <t>Saida Outros: sangria renan 25/05</t>
  </si>
  <si>
    <t>Notas_Images/f65e9243.Foto.204924.jpg</t>
  </si>
  <si>
    <t>25/05/2026 (Sangria) - Renan - R$ 200,00</t>
  </si>
  <si>
    <t>a4ab049d</t>
  </si>
  <si>
    <t>25/05/2026 (Motoboy) -  - R$ 11,00</t>
  </si>
  <si>
    <t>Banderloff (24/02/2024) - FRUTAS</t>
  </si>
  <si>
    <t>Notas_Images/a4ab049d.Foto.204848.jpg</t>
  </si>
  <si>
    <t>25/05/2026 (Sangria) - Ramon Dutra - R$ 200,00</t>
  </si>
  <si>
    <t>f637c827</t>
  </si>
  <si>
    <t>chaveiro (26/02/2024) - CHAVEIRO</t>
  </si>
  <si>
    <t>Notas_Images/f637c827.Foto.204331.jpg</t>
  </si>
  <si>
    <t>26/05/2026 (Caixa Troco) -  - R$ 100,00</t>
  </si>
  <si>
    <t>CHAVEIRO</t>
  </si>
  <si>
    <t>R$ 258,50</t>
  </si>
  <si>
    <t>a1fb20fd</t>
  </si>
  <si>
    <t>ec663f58</t>
  </si>
  <si>
    <t>Banderloff (27/02/2024) - frutas</t>
  </si>
  <si>
    <t>Notas_Images/a1fb20fd.Foto.204808.jpg</t>
  </si>
  <si>
    <t>26/05/2026 (Compra de Mercadorias) -  - R$ 258,50</t>
  </si>
  <si>
    <t>R$ 7,80</t>
  </si>
  <si>
    <t>d859a82b</t>
  </si>
  <si>
    <t>958a12a9</t>
  </si>
  <si>
    <t>26/05/2026 (Compra de Mercadorias) -  - R$ 7,80</t>
  </si>
  <si>
    <t>Coca Cola (29/02/2024) - Bebidas</t>
  </si>
  <si>
    <t>Entrada Outros: Sangria Regiane 24/05</t>
  </si>
  <si>
    <t>26/05/2026 (Sangria) - Regiane - R$ 300,00</t>
  </si>
  <si>
    <t>Notas_Images/958a12a9.Foto.200032.jpg</t>
  </si>
  <si>
    <t>26/05/2026 (Caixa Troco) -  - R$ 200,00</t>
  </si>
  <si>
    <t>e6a04ef9</t>
  </si>
  <si>
    <t>Saida Outros: Adesivo valores potes</t>
  </si>
  <si>
    <t>Banderloff (02/03/2024) - Frutas</t>
  </si>
  <si>
    <t>Notas_Images/e6a04ef9.Foto.173109.jpg</t>
  </si>
  <si>
    <t>26/05/2026 (Compra de Mercadorias) -  - R$ 10,00</t>
  </si>
  <si>
    <t>e49f7a8f</t>
  </si>
  <si>
    <t>7a51985d</t>
  </si>
  <si>
    <t>26/05/2026 (Consumo) - Renan - R$ 100,00</t>
  </si>
  <si>
    <t>Morangos frigotto (02/03/2024) - Morango</t>
  </si>
  <si>
    <t>R$ 47,00</t>
  </si>
  <si>
    <t>Notas_Images/7a51985d.Foto.174537.jpg</t>
  </si>
  <si>
    <t>26/05/2026 (Motoboy) -  - R$ 47,00</t>
  </si>
  <si>
    <t>R$ 7,50</t>
  </si>
  <si>
    <t>d6b5551d</t>
  </si>
  <si>
    <t>26/05/2026 (Consumo) - Regiane - R$ 7,50</t>
  </si>
  <si>
    <t>Auto Coletivo Caçador (01/03/2024) - RECARGA DE CARTÃO</t>
  </si>
  <si>
    <t>Notas_Images/d6b5551d.Foto.154918.jpg</t>
  </si>
  <si>
    <t>Saida Outros: Sangria Ramon 26/05</t>
  </si>
  <si>
    <t>RECARGA DE CARTÃO</t>
  </si>
  <si>
    <t>26/05/2026 (Sangria) - Ramon Dutra - R$ 200,00</t>
  </si>
  <si>
    <t>bc0a98a8</t>
  </si>
  <si>
    <t>26/05/2026 (Motoboy) -  - R$ 20,00</t>
  </si>
  <si>
    <t>Banderloff (01/03/2024) - FRUTAS</t>
  </si>
  <si>
    <t>Notas_Images/bc0a98a8.Foto.155343.jpg</t>
  </si>
  <si>
    <t>26/05/2026 (Consumo) - Ramon Dutra - R$ 48,00</t>
  </si>
  <si>
    <t>13db0e84</t>
  </si>
  <si>
    <t>Superviza Supermercado (04/03/2024) - SACO DE LIXO</t>
  </si>
  <si>
    <t>27/05/2026 (Consumo) - Renan - R$ 37,00</t>
  </si>
  <si>
    <t>Notas_Images/13db0e84.Foto.155121.jpg</t>
  </si>
  <si>
    <t>SACO DE LIXO</t>
  </si>
  <si>
    <t>R$ 68,00</t>
  </si>
  <si>
    <t>27/05/2026 (Motoboy) -  - R$ 68,00</t>
  </si>
  <si>
    <t>8031cc83</t>
  </si>
  <si>
    <t>Saida Outros: sangria renan 27/05</t>
  </si>
  <si>
    <t>Morangos frigotto (04/03/2024) - FRUTAS</t>
  </si>
  <si>
    <t>Notas_Images/8031cc83.Foto.162403.jpg</t>
  </si>
  <si>
    <t>27/05/2026 (Sangria) - Renan - R$ 150,00</t>
  </si>
  <si>
    <t>R$ 17,00</t>
  </si>
  <si>
    <t>27/05/2026 (Consumo) - Regiane - R$ 17,00</t>
  </si>
  <si>
    <t>12b0c628</t>
  </si>
  <si>
    <t>8c6071c1</t>
  </si>
  <si>
    <t>BRk (04/03/2024) - água</t>
  </si>
  <si>
    <t>Saida Outros: Venda duplicada</t>
  </si>
  <si>
    <t>Notas_Images/12b0c628.Foto.192150.jpg</t>
  </si>
  <si>
    <t>água</t>
  </si>
  <si>
    <t>27/05/2026 (Desconsiderado) -  - R$ 17,00</t>
  </si>
  <si>
    <t>ff13bd68</t>
  </si>
  <si>
    <t>4a20eae8</t>
  </si>
  <si>
    <t>27/05/2026 (Motoboy) -  - R$ 35,00</t>
  </si>
  <si>
    <t>Nicopel (04/03/2024) - Embalagens</t>
  </si>
  <si>
    <t>Notas_Images/4a20eae8.Foto.192512.jpg</t>
  </si>
  <si>
    <t>28/05/2026 (Consumo) - Renan - R$ 55,00</t>
  </si>
  <si>
    <t>R$ 53,00</t>
  </si>
  <si>
    <t>c0bfd8ee</t>
  </si>
  <si>
    <t>Banderloff (04/03/2024) - FRUTAS</t>
  </si>
  <si>
    <t>28/05/2026 (Motoboy) -  - R$ 53,00</t>
  </si>
  <si>
    <t>Notas_Images/c0bfd8ee.Foto.194250.jpg</t>
  </si>
  <si>
    <t>Saida Outros: sangria renan 28/05</t>
  </si>
  <si>
    <t>28/05/2026 (Sangria) - Renan - R$ 100,00</t>
  </si>
  <si>
    <t>f2cc8542</t>
  </si>
  <si>
    <t>826b5a3f</t>
  </si>
  <si>
    <t>Patrimonial (10/03/2024) - patrimonial</t>
  </si>
  <si>
    <t>28/05/2026 (Consumo) - Rose - R$ 33,00</t>
  </si>
  <si>
    <t>Notas_Images/f2cc8542.Foto.193039.jpg</t>
  </si>
  <si>
    <t>patrimonial</t>
  </si>
  <si>
    <t>06b12e38</t>
  </si>
  <si>
    <t>28/05/2026 (Motoboy) -  - R$ 15,00</t>
  </si>
  <si>
    <t>5395b618</t>
  </si>
  <si>
    <t>f50ca1d6</t>
  </si>
  <si>
    <t>R$ 91,00</t>
  </si>
  <si>
    <t>9f43304d</t>
  </si>
  <si>
    <t>6db33999</t>
  </si>
  <si>
    <t>Nicopel (04/03/2024) - embalagens</t>
  </si>
  <si>
    <t>Notas_Images/f50ca1d6.Foto.175043.jpg</t>
  </si>
  <si>
    <t>29/05/2026 (Motoboy) -  - R$ 91,00</t>
  </si>
  <si>
    <t>R$ 65,90</t>
  </si>
  <si>
    <t>d98d9562</t>
  </si>
  <si>
    <t>29/05/2026 (Consumo) - Renan - R$ 65,90</t>
  </si>
  <si>
    <t>b1151d85</t>
  </si>
  <si>
    <t>Jandira (06/03/2024) - PRODUTOS DE LIMPEZA</t>
  </si>
  <si>
    <t>Entrada Outros: Sangria Ramon 25/05</t>
  </si>
  <si>
    <t>Notas_Images/d98d9562.Foto.171445.jpg</t>
  </si>
  <si>
    <t>PRODUTOS DE LIMPEZA</t>
  </si>
  <si>
    <t>0462ce04</t>
  </si>
  <si>
    <t>29/05/2026 (Sangria) - Ramon Dutra - R$ 200,00</t>
  </si>
  <si>
    <t>Darnel (01/03/2024) - Embalagens</t>
  </si>
  <si>
    <t>R$ 128,48</t>
  </si>
  <si>
    <t>Notas_Images/0462ce04.Foto.180601.jpg</t>
  </si>
  <si>
    <t>29/05/2026 (Compra de Mercadorias) -  - R$ 128,48</t>
  </si>
  <si>
    <t>1cf26d23c</t>
  </si>
  <si>
    <t>29/05/2026 (Consumo) - Ramon Dutra - R$ 32,00</t>
  </si>
  <si>
    <t>Pix a funcionária Daniele no valor de R$1451,01 referente ao salário líquido do mês de fevereiro</t>
  </si>
  <si>
    <t>29/05/2026 (Desconsiderado) -  - R$ 32,00</t>
  </si>
  <si>
    <t>102eaf92b</t>
  </si>
  <si>
    <t>Entrada Outros: 2201423 ID duplicado Consumo Ramon</t>
  </si>
  <si>
    <t>Pix a funcionária Francelina no valor de R$1505,62 referente ao salário líquido do mês de fevereiro</t>
  </si>
  <si>
    <t>1c3122948</t>
  </si>
  <si>
    <t>b99dd9b9</t>
  </si>
  <si>
    <t>b59bc6fe</t>
  </si>
  <si>
    <t>4a937fbe</t>
  </si>
  <si>
    <t>Adiant Joao R$500,00</t>
  </si>
  <si>
    <t>b0d0dcb3</t>
  </si>
  <si>
    <t>29/05/2026 (Motoboy) -  - R$ 12,00</t>
  </si>
  <si>
    <t>6e7cba38</t>
  </si>
  <si>
    <t>dec6d522</t>
  </si>
  <si>
    <t>7c7a078f</t>
  </si>
  <si>
    <t>16214854e</t>
  </si>
  <si>
    <t>e751b257</t>
  </si>
  <si>
    <t>30/05/2026 (Caixa Troco) -  - R$ 100,00</t>
  </si>
  <si>
    <t>21b51d25</t>
  </si>
  <si>
    <t>R$ 12,50</t>
  </si>
  <si>
    <t>Salario fevereiro</t>
  </si>
  <si>
    <t>30/05/2026 (Consumo) - Regiane - R$ 12,50</t>
  </si>
  <si>
    <t>1f1dcd682</t>
  </si>
  <si>
    <t>Saida Outros: Freelancer Scheila</t>
  </si>
  <si>
    <t>3ec16f7a</t>
  </si>
  <si>
    <t>Pix a funcionária Patrícia no valor de R$R$ 2.575,76 referente ao salário líquido do mês de fevereiro</t>
  </si>
  <si>
    <t>30/05/2026 (Freelancer) -  - R$ 135,00</t>
  </si>
  <si>
    <t>R$ 181,00</t>
  </si>
  <si>
    <t>1a823c0ae</t>
  </si>
  <si>
    <t>30/05/2026 (Motoboy) -  - R$ 181,00</t>
  </si>
  <si>
    <t>R$ 450,00</t>
  </si>
  <si>
    <t>6f385593</t>
  </si>
  <si>
    <t>Pix a funcionaria Mirian no valor de R$1.194,23 referente ao salario liquido do mês de fevereiro, R$197,82 holerite + R$996,41 recibo</t>
  </si>
  <si>
    <t>b1ef4c42</t>
  </si>
  <si>
    <t>30/05/2026 (Sangria) - Regiane - R$ 450,00</t>
  </si>
  <si>
    <t>R$ 216,00</t>
  </si>
  <si>
    <t>18170548e</t>
  </si>
  <si>
    <t>Saida Outros: pagamento moltoboy</t>
  </si>
  <si>
    <t>31/05/2026 (Motoboy) -  - R$ 216,00</t>
  </si>
  <si>
    <t>Pix a funcionaria Cristiane no valor de R$2056,01 referente ao salario liquido o mês de fevereiro</t>
  </si>
  <si>
    <t>31/05/2026 (Freelancer) -  - R$ 135,00</t>
  </si>
  <si>
    <t>1b7ac4a29</t>
  </si>
  <si>
    <t>Saida Outros: pagamento free isa</t>
  </si>
  <si>
    <t>decoração de pascoa</t>
  </si>
  <si>
    <t>Saida Outros: sangria renan 31/05</t>
  </si>
  <si>
    <t>31/05/2026 (Sangria) - Renan - R$ 500,00</t>
  </si>
  <si>
    <t>a058382b</t>
  </si>
  <si>
    <t>R$ 68,60</t>
  </si>
  <si>
    <t>BRk (04/03/2024) - ÁGUA</t>
  </si>
  <si>
    <t>Notas_Images/a058382b.Foto.191903.jpg</t>
  </si>
  <si>
    <t>ÁGUA</t>
  </si>
  <si>
    <t>01/06/2026 (Caixa Troco) -  - R$ 68,60</t>
  </si>
  <si>
    <t>01/06/2026 (Motoboy) -  - R$ 41,00</t>
  </si>
  <si>
    <t>dc1e5050</t>
  </si>
  <si>
    <t>604df4da</t>
  </si>
  <si>
    <t>Saida Outros: sangria renan 01/06</t>
  </si>
  <si>
    <t>Morangos frigotto (06/03/2024) - morangos</t>
  </si>
  <si>
    <t>Notas_Images/dc1e5050.Foto.180946.jpg</t>
  </si>
  <si>
    <t>01/06/2026 (Sangria) - Renan - R$ 300,00</t>
  </si>
  <si>
    <t>9ec9dd43</t>
  </si>
  <si>
    <t>6b6b16c8</t>
  </si>
  <si>
    <t>01/06/2026 (Consumo) - Regiane - R$ 55,00</t>
  </si>
  <si>
    <t>2a38f0e7</t>
  </si>
  <si>
    <t>Prioridade 10 (07/03/2024) - Potes e lixeira</t>
  </si>
  <si>
    <t>Notas_Images/6b6b16c8.Foto.182609.jpg</t>
  </si>
  <si>
    <t>Saida Outros: Sangria Ramon 01/06</t>
  </si>
  <si>
    <t>Potes e lixeira</t>
  </si>
  <si>
    <t>01/06/2026 (Sangria) - Ramon Dutra - R$ 300,00</t>
  </si>
  <si>
    <t>a231bc12</t>
  </si>
  <si>
    <t>f8c65dc3</t>
  </si>
  <si>
    <t>02/06/2026 (Motoboy) -  - R$ 12,00</t>
  </si>
  <si>
    <t>Prioridade 10 (07/03/2024) - Lixeira</t>
  </si>
  <si>
    <t>Notas_Images/a231bc12.Foto.182657.jpg</t>
  </si>
  <si>
    <t>Lixeira</t>
  </si>
  <si>
    <t>Saida Outros: sangria renan 02/06</t>
  </si>
  <si>
    <t>02/06/2026 (Sangria) - Renan - R$ 300,00</t>
  </si>
  <si>
    <t>1c7274580</t>
  </si>
  <si>
    <t>Entrada Outros: Sangria Renan 31/05</t>
  </si>
  <si>
    <t>9ca09c99</t>
  </si>
  <si>
    <t>927ebf5c</t>
  </si>
  <si>
    <t>02/06/2026 (Sangria) - Renan - R$ 500,00</t>
  </si>
  <si>
    <t>casal de coelhos, pag de ent. do total de R$400,00</t>
  </si>
  <si>
    <t>02/06/2026 (Caixa Troco) -  - R$ 200,00</t>
  </si>
  <si>
    <t>12a23b94d</t>
  </si>
  <si>
    <t>R$ 26,46</t>
  </si>
  <si>
    <t>d9d3fca7</t>
  </si>
  <si>
    <t>Saida Outros: Frutas</t>
  </si>
  <si>
    <t>855a0141</t>
  </si>
  <si>
    <t>02/06/2026 (Compra de Mercadorias) -  - R$ 26,46</t>
  </si>
  <si>
    <t>Lanche comprado no mercado</t>
  </si>
  <si>
    <t>1357af088</t>
  </si>
  <si>
    <t>02/06/2026 (Desconsiderado) -  - R$ 60,00</t>
  </si>
  <si>
    <t>b539a5bd</t>
  </si>
  <si>
    <t>ee20c819</t>
  </si>
  <si>
    <t>Favor reembolsar a loja de União referente a embalagens que levei</t>
  </si>
  <si>
    <t>02/06/2026 (Consumo) - Regiane - R$ 60,00</t>
  </si>
  <si>
    <t>11618e0d0</t>
  </si>
  <si>
    <t>246c610b</t>
  </si>
  <si>
    <t>02/06/2026 (Motoboy) -  - R$ 22,00</t>
  </si>
  <si>
    <t>Decor de Aniversário 204,30+ decor de pascoa 987,00</t>
  </si>
  <si>
    <t>Saida Outros: Sangria Ramon 02/06</t>
  </si>
  <si>
    <t>d5b0f7f5</t>
  </si>
  <si>
    <t>02/06/2026 (Sangria) - Ramon Dutra - R$ 500,00</t>
  </si>
  <si>
    <t>146c4829e</t>
  </si>
  <si>
    <t>Entrada Outros: ID 2208454 Lancei uma saida de consumo da Regiane, e duplicou</t>
  </si>
  <si>
    <t>icms</t>
  </si>
  <si>
    <t>154b0a45</t>
  </si>
  <si>
    <t>03/06/2026 (Motoboy) -  - R$ 23,00</t>
  </si>
  <si>
    <t>Amadelli (06/03/2024) - carga gelada</t>
  </si>
  <si>
    <t>Notas_Images/154b0a45.Foto.212904.jpg</t>
  </si>
  <si>
    <t>carga gelada</t>
  </si>
  <si>
    <t>03/06/2026 (Motoboy) -  - R$ 10,00</t>
  </si>
  <si>
    <t>Saida Outros: sangria renan 03/06</t>
  </si>
  <si>
    <t>03/06/2026 (Sangria) - Renan - R$ 100,00</t>
  </si>
  <si>
    <t>27bc39ff</t>
  </si>
  <si>
    <t>Amadelli (07/03/2024) - carga seca</t>
  </si>
  <si>
    <t>Notas_Images/27bc39ff.Foto.212034.jpg</t>
  </si>
  <si>
    <t>carga seca</t>
  </si>
  <si>
    <t>03/06/2026 (Caixa Troco) -  - R$ 100,00</t>
  </si>
  <si>
    <t>0feb3d64</t>
  </si>
  <si>
    <t>03/06/2026 (Sangria) - Ramon Dutra - R$ 200,00</t>
  </si>
  <si>
    <t>1fc31e6c</t>
  </si>
  <si>
    <t>TQA EXAME ADMISSIONAL (11/03/2024) - exames</t>
  </si>
  <si>
    <t>Notas_Images/0feb3d64.Foto.164216.jpg</t>
  </si>
  <si>
    <t>exames</t>
  </si>
  <si>
    <t>03/06/2026 (Motoboy) -  - R$ 35,00</t>
  </si>
  <si>
    <t>R$ 101,00</t>
  </si>
  <si>
    <t>e308c290</t>
  </si>
  <si>
    <t>3f468d45</t>
  </si>
  <si>
    <t>04/06/2026 (Motoboy) -  - R$ 101,00</t>
  </si>
  <si>
    <t>597b2939</t>
  </si>
  <si>
    <t>Superviza Supermercado (11/03/2024) - Saco de lixo</t>
  </si>
  <si>
    <t>Saida Outros: sangria renan 04/06</t>
  </si>
  <si>
    <t>Notas_Images/e308c290.Foto.164329.jpg</t>
  </si>
  <si>
    <t>Saco de lixo</t>
  </si>
  <si>
    <t>04/06/2026 (Sangria) - Renan - R$ 200,00</t>
  </si>
  <si>
    <t>Saida Outros: Adesivos copa</t>
  </si>
  <si>
    <t>b9928428</t>
  </si>
  <si>
    <t>ec30029a</t>
  </si>
  <si>
    <t>04/06/2026 (Compra de Mercadorias) -  - R$ 15,00</t>
  </si>
  <si>
    <t>Camila Morango (11/03/2024) - Frutas</t>
  </si>
  <si>
    <t>R$ 98,00</t>
  </si>
  <si>
    <t>Notas_Images/ec30029a.Foto.170727.jpg</t>
  </si>
  <si>
    <t>04/06/2026 (Motoboy) -  - R$ 98,00</t>
  </si>
  <si>
    <t>Saida Outros: Sangria Ramon 04/06</t>
  </si>
  <si>
    <t>461e6d33</t>
  </si>
  <si>
    <t>04/06/2026 (Sangria) - Ramon Dutra - R$ 100,00</t>
  </si>
  <si>
    <t>ACB (12/02/2024) - Bebidas</t>
  </si>
  <si>
    <t>R$ 72,80</t>
  </si>
  <si>
    <t>Notas_Images/461e6d33.Foto.180329.jpg</t>
  </si>
  <si>
    <t>02480ea8</t>
  </si>
  <si>
    <t>05/06/2026 (Compra de Mercadorias) -  - R$ 72,80</t>
  </si>
  <si>
    <t>R$ 400,00</t>
  </si>
  <si>
    <t>35047b04</t>
  </si>
  <si>
    <t>Saida Outros: sangria renan 05/06</t>
  </si>
  <si>
    <t>Lojas milium (07/03/2024) - lixeira</t>
  </si>
  <si>
    <t>05/06/2026 (Sangria) - Renan - R$ 400,00</t>
  </si>
  <si>
    <t>Notas_Images/35047b04.Foto.182148.jpg</t>
  </si>
  <si>
    <t>lixeira</t>
  </si>
  <si>
    <t>05/06/2026 (Motoboy) -  - R$ 81,00</t>
  </si>
  <si>
    <t>69db539c</t>
  </si>
  <si>
    <t>Nicopel (29/02/2024) - Embalagens</t>
  </si>
  <si>
    <t>Notas_Images/69db539c.Foto.180305.jpg</t>
  </si>
  <si>
    <t>05/06/2026 (Caixa Troco) -  - R$ 50,00</t>
  </si>
  <si>
    <t>05/06/2026 (Motoboy) -  - R$ 10,00</t>
  </si>
  <si>
    <t>c60b0a42</t>
  </si>
  <si>
    <t>R$ 112,00</t>
  </si>
  <si>
    <t>Camila Morango (11/03/2024) - morangos</t>
  </si>
  <si>
    <t>Notas_Images/c60b0a42.Foto.215406.jpg</t>
  </si>
  <si>
    <t>06/06/2026 (Motoboy) -  - R$ 112,00</t>
  </si>
  <si>
    <t>06/06/2026 (Freelancer) -  - R$ 135,00</t>
  </si>
  <si>
    <t>da52e1ff</t>
  </si>
  <si>
    <t>bf7ef01f</t>
  </si>
  <si>
    <t>Saida Outros: pagamento free nicoli</t>
  </si>
  <si>
    <t>Morangos frigotto (13/03/2024) - FRUTAS</t>
  </si>
  <si>
    <t>Notas_Images/da52e1ff.Foto.170110.jpg</t>
  </si>
  <si>
    <t>R$ 2,00</t>
  </si>
  <si>
    <t>06/06/2026 (Caixa Troco) -  - R$ 2,00</t>
  </si>
  <si>
    <t>205a654f</t>
  </si>
  <si>
    <t>R$ 114,00</t>
  </si>
  <si>
    <t>Saida Outros: pagamenmto motoboy</t>
  </si>
  <si>
    <t>TQA EXAME ADMISSIONAL (13/03/2024) - Exames</t>
  </si>
  <si>
    <t>Notas_Images/205a654f.Foto.194527.jpg</t>
  </si>
  <si>
    <t>Exames</t>
  </si>
  <si>
    <t>06/06/2026 (Motoboy) -  - R$ 114,00</t>
  </si>
  <si>
    <t>R$ 1.050,00</t>
  </si>
  <si>
    <t>Saida Outros: sangria renan 06/06</t>
  </si>
  <si>
    <t>0f45755a</t>
  </si>
  <si>
    <t>06/06/2026 (Sangria) - Renan - R$ 1.050,00</t>
  </si>
  <si>
    <t>Banderloff (13/03/2024) - Frutas</t>
  </si>
  <si>
    <t>Notas_Images/0f45755a.Foto.194721.jpg</t>
  </si>
  <si>
    <t>07/06/2026 (Caixa Troco) -  - R$ 120,00</t>
  </si>
  <si>
    <t>a52802eb</t>
  </si>
  <si>
    <t>b7573e8c</t>
  </si>
  <si>
    <t>07/06/2026 (Freelancer) -  - R$ 120,00</t>
  </si>
  <si>
    <t>Notas_Images/b7573e8c.Foto.194751.jpg</t>
  </si>
  <si>
    <t>Saida Outros: Freelancer Nicole</t>
  </si>
  <si>
    <t>R$ 349,00</t>
  </si>
  <si>
    <t>1f1f1b41d</t>
  </si>
  <si>
    <t>07/06/2026 (Motoboy) -  - R$ 349,00</t>
  </si>
  <si>
    <t>226046f5</t>
  </si>
  <si>
    <t>R$ 1.150,00</t>
  </si>
  <si>
    <t>Taxa licença bombeiros</t>
  </si>
  <si>
    <t>572b14bc</t>
  </si>
  <si>
    <t>Saida Outros: Sangria Regiane 07/06</t>
  </si>
  <si>
    <t>07/06/2026 (Sangria) - Regiane - R$ 1.150,00</t>
  </si>
  <si>
    <t>155ec9e5c</t>
  </si>
  <si>
    <t>R$ 66,00</t>
  </si>
  <si>
    <t>c6e71b4f</t>
  </si>
  <si>
    <t>Limpeza cx d'agua</t>
  </si>
  <si>
    <t>08/06/2026 (Motoboy) -  - R$ 66,00</t>
  </si>
  <si>
    <t>58fd1ace</t>
  </si>
  <si>
    <t>08/06/2026 (Consumo) - Ramon Dutra - R$ 40,00</t>
  </si>
  <si>
    <t>ac7d4885</t>
  </si>
  <si>
    <t>002a90ac</t>
  </si>
  <si>
    <t>laboratório santa Rita (11/03/2024) - exames</t>
  </si>
  <si>
    <t>Saida Outros: Sangria Regiane 08/06</t>
  </si>
  <si>
    <t>Notas_Images/58fd1ace.Foto.211925.jpg</t>
  </si>
  <si>
    <t>08/06/2026 (Sangria) - Regiane - R$ 200,00</t>
  </si>
  <si>
    <t>8802d612</t>
  </si>
  <si>
    <t>Saida Outros: Sangria Ramon 09/06</t>
  </si>
  <si>
    <t>09/06/2026 (Sangria) - Ramon Dutra - R$ 100,00</t>
  </si>
  <si>
    <t>Notas_Images/8802d612.Foto.212117.jpg</t>
  </si>
  <si>
    <t>R$ 56,00</t>
  </si>
  <si>
    <t>2d48f877</t>
  </si>
  <si>
    <t>09/06/2026 (Motoboy) -  - R$ 56,00</t>
  </si>
  <si>
    <t>27072d3b</t>
  </si>
  <si>
    <t>Saida Outros: Freelance Regi</t>
  </si>
  <si>
    <t>Lasta Frutolândia (12/03/2024) - café</t>
  </si>
  <si>
    <t>09/06/2026 (Freelancer) -  - R$ 45,00</t>
  </si>
  <si>
    <t>Notas_Images/27072d3b.Foto.002655.jpg</t>
  </si>
  <si>
    <t>café</t>
  </si>
  <si>
    <t>09/06/2026 (Consumo) - Ramon Dutra - R$ 5,00</t>
  </si>
  <si>
    <t>2a5cbbf4</t>
  </si>
  <si>
    <t>Saida Outros: taxa motoboy Clovis</t>
  </si>
  <si>
    <t>Casa das Embalagens (14/03/2024) - Avental</t>
  </si>
  <si>
    <t>10/06/2026 (Motoboy) -  - R$ 54,00</t>
  </si>
  <si>
    <t>10/06/2026 (Caixa Troco) -  - R$ 60,00</t>
  </si>
  <si>
    <t>Notas_Images/2a5cbbf4.Foto.184140.jpg</t>
  </si>
  <si>
    <t>Avental</t>
  </si>
  <si>
    <t>10/06/2026 (Motoboy) -  - R$ 33,00</t>
  </si>
  <si>
    <t>d4fc75be</t>
  </si>
  <si>
    <t>Saida Outros: sangria renan 10/06</t>
  </si>
  <si>
    <t>5fd68ecc</t>
  </si>
  <si>
    <t>Unidas material  de construção (14/03/2024) - Torneira</t>
  </si>
  <si>
    <t>10/06/2026 (Sangria) - Renan - R$ 150,00</t>
  </si>
  <si>
    <t>Notas_Images/d4fc75be.Foto.184415.jpg</t>
  </si>
  <si>
    <t>Torneira</t>
  </si>
  <si>
    <t>Entrada Outros: Sangria Ramon 09/06</t>
  </si>
  <si>
    <t>11/06/2026 (Sangria) - Ramon Dutra - R$ 100,00</t>
  </si>
  <si>
    <t>Entrada Outros: Sangria Regiane 08/06</t>
  </si>
  <si>
    <t>3ea6cc9a</t>
  </si>
  <si>
    <t>11/06/2026 (Sangria) - Regiane - R$ 200,00</t>
  </si>
  <si>
    <t>ec66154a</t>
  </si>
  <si>
    <t>Print show (14/03/2024) - Impressão</t>
  </si>
  <si>
    <t>Saida Outros: sangria renan 11/06</t>
  </si>
  <si>
    <t>Notas_Images/3ea6cc9a.Foto.184501.jpg</t>
  </si>
  <si>
    <t>Impressão</t>
  </si>
  <si>
    <t>11/06/2026 (Sangria) - Renan - R$ 200,00</t>
  </si>
  <si>
    <t>1b6f1e7ce</t>
  </si>
  <si>
    <t>4306cf26</t>
  </si>
  <si>
    <t>11/06/2026 (Consumo) - Ramon Dutra - R$ 50,00</t>
  </si>
  <si>
    <t>Adiantamento</t>
  </si>
  <si>
    <t>R$ 373,50</t>
  </si>
  <si>
    <t>Saida Outros: Produtos de limpeza</t>
  </si>
  <si>
    <t>8a214e42</t>
  </si>
  <si>
    <t>11/06/2026 (Compra de Mercadorias) -  - R$ 373,50</t>
  </si>
  <si>
    <t>aa813bec</t>
  </si>
  <si>
    <t>Banderloff (15/03/2024) - Frutas</t>
  </si>
  <si>
    <t>Notas_Images/aa813bec.Foto.192855.jpg</t>
  </si>
  <si>
    <t>12/06/2026 (Caixa Troco) -  - R$ 75,00</t>
  </si>
  <si>
    <t>f62d3722</t>
  </si>
  <si>
    <t>Embrast (15/03/2024) - Sacos de lixo</t>
  </si>
  <si>
    <t>Notas_Images/f62d3722.Foto.193739.jpg</t>
  </si>
  <si>
    <t>Sacos de lixo</t>
  </si>
  <si>
    <t>12/06/2026 (Motoboy) -  - R$ 60,00</t>
  </si>
  <si>
    <t>fd22b20a</t>
  </si>
  <si>
    <t>Saida Outros: sangria renan 12/06</t>
  </si>
  <si>
    <t>8d061d2a</t>
  </si>
  <si>
    <t>017db0aa</t>
  </si>
  <si>
    <t>12/06/2026 (Sangria) - Renan - R$ 150,00</t>
  </si>
  <si>
    <t>Banderloff (16/03/2024) - Frutas</t>
  </si>
  <si>
    <t>R$ 64,00</t>
  </si>
  <si>
    <t>504a0d6d</t>
  </si>
  <si>
    <t>Notas_Images/8d061d2a.Foto.183805.jpg</t>
  </si>
  <si>
    <t>12/06/2026 (Motoboy) -  - R$ 64,00</t>
  </si>
  <si>
    <t>Saida Outros: Impressão fechamento 18:30</t>
  </si>
  <si>
    <t>df90f7e9</t>
  </si>
  <si>
    <t>1c3e2af9</t>
  </si>
  <si>
    <t>13/06/2026 (Compra de Mercadorias) -  - R$ 5,00</t>
  </si>
  <si>
    <t>Banderloff (18/03/2024) - Frutas</t>
  </si>
  <si>
    <t>Notas_Images/df90f7e9.Foto.183736.jpg</t>
  </si>
  <si>
    <t>R$ 44,95</t>
  </si>
  <si>
    <t>823f134a</t>
  </si>
  <si>
    <t>13/06/2026 (Compra de Mercadorias) -  - R$ 44,95</t>
  </si>
  <si>
    <t>3c76b28f</t>
  </si>
  <si>
    <t>Nicopel (18/03/2024) - Embalagens</t>
  </si>
  <si>
    <t>13/06/2026 (Motoboy) -  - R$ 64,00</t>
  </si>
  <si>
    <t>Notas_Images/3c76b28f.Foto.184009.jpg</t>
  </si>
  <si>
    <t>13/06/2026 (Freelancer) -  - R$ 75,00</t>
  </si>
  <si>
    <t>25e209e9</t>
  </si>
  <si>
    <t>ACB (18/03/2024) - Bebidas</t>
  </si>
  <si>
    <t>13/06/2026 (Sangria) - Regiane - R$ 200,00</t>
  </si>
  <si>
    <t>Notas_Images/25e209e9.Foto.172302.jpg</t>
  </si>
  <si>
    <t>R$ 66,25</t>
  </si>
  <si>
    <t>Saida Outros: devoluçao cliente ifood</t>
  </si>
  <si>
    <t>e11739e8</t>
  </si>
  <si>
    <t>14/06/2026 (Estorno Cliente) -  - R$ 66,25</t>
  </si>
  <si>
    <t>30999b11</t>
  </si>
  <si>
    <t>R$ 240,00</t>
  </si>
  <si>
    <t>Coca Cola (14/03/2024) - Bebidas</t>
  </si>
  <si>
    <t>Notas_Images/30999b11.Foto.193823.jpg</t>
  </si>
  <si>
    <t>14/06/2026 (Motoboy) -  - R$ 240,00</t>
  </si>
  <si>
    <t>Saida Outros: pagamento free grazi</t>
  </si>
  <si>
    <t>14/06/2026 (Freelancer) -  - R$ 120,00</t>
  </si>
  <si>
    <t>17b2294a2</t>
  </si>
  <si>
    <t>36cd2519</t>
  </si>
  <si>
    <t>8068def3</t>
  </si>
  <si>
    <t>Saida Outros: pagamento free gustavo</t>
  </si>
  <si>
    <t>Transferência entre Lojas</t>
  </si>
  <si>
    <t>8b97de14</t>
  </si>
  <si>
    <t>1cfdf0f70</t>
  </si>
  <si>
    <t>R$ 34,00</t>
  </si>
  <si>
    <t>8kg Chocolate Páscoa</t>
  </si>
  <si>
    <t>15/06/2026 (Caixa Troco) -  - R$ 34,00</t>
  </si>
  <si>
    <t>1d7d13fdb</t>
  </si>
  <si>
    <t>15/06/2026 (Caixa Troco) -  - R$ 40,00</t>
  </si>
  <si>
    <t>f4d26e18</t>
  </si>
  <si>
    <t>6 Aventais</t>
  </si>
  <si>
    <t>15/06/2026 (Motoboy) -  - R$ 32,00</t>
  </si>
  <si>
    <t>1e5dc89de</t>
  </si>
  <si>
    <t>15/06/2026 (Consumo) - Regiane - R$ 35,00</t>
  </si>
  <si>
    <t>3 exaustores</t>
  </si>
  <si>
    <t>15/06/2026 (Motoboy) -  - R$ 56,00</t>
  </si>
  <si>
    <t>18cb104bb</t>
  </si>
  <si>
    <t>Varios itens de reforma</t>
  </si>
  <si>
    <t>16/06/2026 (Motoboy) -  - R$ 75,00</t>
  </si>
  <si>
    <t>4213f209</t>
  </si>
  <si>
    <t>Saida Outros: sangria renan 16/06</t>
  </si>
  <si>
    <t>163ce976c</t>
  </si>
  <si>
    <t>16/06/2026 (Sangria) - Renan - R$ 100,00</t>
  </si>
  <si>
    <t>Telas</t>
  </si>
  <si>
    <t>16/06/2026 (Consumo) - Regiane - R$ 5,00</t>
  </si>
  <si>
    <t>16/06/2026 (Motoboy) -  - R$ 20,00</t>
  </si>
  <si>
    <t>Varios Itens, Hotél</t>
  </si>
  <si>
    <t>17/06/2026 (Caixa Troco) -  - R$ 50,00</t>
  </si>
  <si>
    <t>1f91a28e</t>
  </si>
  <si>
    <t>d4febb2a</t>
  </si>
  <si>
    <t>PORTALMED (19/03/2024) - EXAMES</t>
  </si>
  <si>
    <t>17/06/2026 (Motoboy) -  - R$ 47,00</t>
  </si>
  <si>
    <t>Notas_Images/1f91a28e.Foto.222227.jpg</t>
  </si>
  <si>
    <t>EXAMES</t>
  </si>
  <si>
    <t>Saida Outros: sangria renan 17/06</t>
  </si>
  <si>
    <t>17/06/2026 (Sangria) - Renan - R$ 300,00</t>
  </si>
  <si>
    <t>PORTALMED (19/03/2024) - EXAME</t>
  </si>
  <si>
    <t>17/06/2026 (Motoboy) -  - R$ 41,00</t>
  </si>
  <si>
    <t>Notas_Images/11579572.Foto.222338.jpg</t>
  </si>
  <si>
    <t>EXAME</t>
  </si>
  <si>
    <t>90efb6bb</t>
  </si>
  <si>
    <t>7bde5944</t>
  </si>
  <si>
    <t>69a0dd08</t>
  </si>
  <si>
    <t>18/06/2026 (Caixa Troco) -  - R$ 50,00</t>
  </si>
  <si>
    <t>846b0701</t>
  </si>
  <si>
    <t>Saida Outros: sangria renan 18/06</t>
  </si>
  <si>
    <t>18/06/2026 (Sangria) - Renan - R$ 200,00</t>
  </si>
  <si>
    <t>Notas_Images/846b0701.Foto.222523.jpg</t>
  </si>
  <si>
    <t>Saida Outros: Caixa Troco</t>
  </si>
  <si>
    <t>65c6a7cf</t>
  </si>
  <si>
    <t>430b8352</t>
  </si>
  <si>
    <t>18/06/2026 (Caixa Troco) -  - R$ 150,00</t>
  </si>
  <si>
    <t>Banderloff (20/03/2024) - FRUTAS</t>
  </si>
  <si>
    <t>Notas_Images/430b8352.Foto.173448.jpg</t>
  </si>
  <si>
    <t>18/06/2026 (Consumo) - Ramon Dutra - R$ 25,00</t>
  </si>
  <si>
    <t>R$ 44,00</t>
  </si>
  <si>
    <t>13bfa8d1f</t>
  </si>
  <si>
    <t>18/06/2026 (Motoboy) -  - R$ 44,00</t>
  </si>
  <si>
    <t>18/06/2026 (Motoboy) -  - R$ 40,00</t>
  </si>
  <si>
    <t>caf6e093</t>
  </si>
  <si>
    <t>19/06/2026 (Caixa Troco) -  - R$ 20,00</t>
  </si>
  <si>
    <t>Camila Morango (17/03/2024) - Morangos</t>
  </si>
  <si>
    <t>Notas_Images/caf6e093.Foto.204956.jpg</t>
  </si>
  <si>
    <t>Entrada Outros: Sangria Renan 18/06</t>
  </si>
  <si>
    <t>19/06/2026 (Sangria) - Renan - R$ 200,00</t>
  </si>
  <si>
    <t>81f77cd3</t>
  </si>
  <si>
    <t>R$ 56,50</t>
  </si>
  <si>
    <t>Saida Outros: Café Funcionários</t>
  </si>
  <si>
    <t>Passarela Center via atacadista (19/03/2024) - lanche</t>
  </si>
  <si>
    <t>7709c49e</t>
  </si>
  <si>
    <t>Notas_Images/81f77cd3.Foto.213526.jpg</t>
  </si>
  <si>
    <t>19/06/2026 (Compra de Mercadorias) -  - R$ 56,50</t>
  </si>
  <si>
    <t>lanche</t>
  </si>
  <si>
    <t>R$ 7,40</t>
  </si>
  <si>
    <t>313db0ff</t>
  </si>
  <si>
    <t>8882fa29</t>
  </si>
  <si>
    <t>19/06/2026 (Compra de Mercadorias) -  - R$ 7,40</t>
  </si>
  <si>
    <t>R$ 49,00</t>
  </si>
  <si>
    <t>Coca Cola (21/03/2024) - bebidas</t>
  </si>
  <si>
    <t>Notas_Images/8882fa29.Foto.220836.jpg</t>
  </si>
  <si>
    <t>19/06/2026 (Motoboy) -  - R$ 49,00</t>
  </si>
  <si>
    <t>d9191cff</t>
  </si>
  <si>
    <t>PRATS (22/03/2024) - Suco prats</t>
  </si>
  <si>
    <t>Notas_Images/d9191cff.Foto.205130.jpg</t>
  </si>
  <si>
    <t>Suco prats</t>
  </si>
  <si>
    <t>20/06/2026 (Motoboy) -  - R$ 62,00</t>
  </si>
  <si>
    <t>Saida Outros: PAGAMENTO FREE NICOLE</t>
  </si>
  <si>
    <t>20/06/2026 (Freelancer) -  - R$ 120,00</t>
  </si>
  <si>
    <t>02d6c89e</t>
  </si>
  <si>
    <t>9cdde234</t>
  </si>
  <si>
    <t>Saida Outros: PAGAMENTO FREE SHEILA</t>
  </si>
  <si>
    <t>Milium (22/03/2024) - Lixeira</t>
  </si>
  <si>
    <t>Notas_Images/02d6c89e.Foto.205416.jpg</t>
  </si>
  <si>
    <t>77b4a398</t>
  </si>
  <si>
    <t>20/06/2026 (Motoboy) -  - R$ 20,00</t>
  </si>
  <si>
    <t>d561274e</t>
  </si>
  <si>
    <t>Saida Outros: pagamento motovoy clovis</t>
  </si>
  <si>
    <t>Superviza Supermercado (22/03/2024) - lanche</t>
  </si>
  <si>
    <t>Notas_Images/d561274e.Foto.213351.jpg</t>
  </si>
  <si>
    <t>20/06/2026 (Motoboy) -  - R$ 15,00</t>
  </si>
  <si>
    <t>R$ 348,00</t>
  </si>
  <si>
    <t>10b92b736</t>
  </si>
  <si>
    <t>21/06/2026 (Motoboy) -  - R$ 348,00</t>
  </si>
  <si>
    <t>R$ 90,00</t>
  </si>
  <si>
    <t>Rest coelhos decoracao</t>
  </si>
  <si>
    <t>21/06/2026 (Caixa Troco) -  - R$ 90,00</t>
  </si>
  <si>
    <t>1fd06584</t>
  </si>
  <si>
    <t>Saida Outros: Freelancer Thaynara</t>
  </si>
  <si>
    <t>21/06/2026 (Freelancer) -  - R$ 120,00</t>
  </si>
  <si>
    <t>Amadelli (21/03/2024) - estoque gelado</t>
  </si>
  <si>
    <t>Notas_Images/1fd06584.Foto.171734.jpg</t>
  </si>
  <si>
    <t>R$ 950,00</t>
  </si>
  <si>
    <t>Saida Outros: Sangria Regi</t>
  </si>
  <si>
    <t>21/06/2026 (Sangria) - Regiane - R$ 950,00</t>
  </si>
  <si>
    <t>3daa756f</t>
  </si>
  <si>
    <t>Darnel (21/03/2024) - embalagem estoque</t>
  </si>
  <si>
    <t>22/06/2026 (Caixa Troco) -  - R$ 30,00</t>
  </si>
  <si>
    <t>Notas_Images/3daa756f.Foto.202247.jpg</t>
  </si>
  <si>
    <t>embalagem estoque</t>
  </si>
  <si>
    <t>Entrada Outros: Sangria Regiane 21/06</t>
  </si>
  <si>
    <t>22/06/2026 (Sangria) - Regiane - R$ 950,00</t>
  </si>
  <si>
    <t>eb2310ef</t>
  </si>
  <si>
    <t>Amadelli (22/03/2024) - Estoque seco</t>
  </si>
  <si>
    <t>22/06/2026 (Caixa Troco) -  - R$ 950,00</t>
  </si>
  <si>
    <t>Notas_Images/eb2310ef.Foto.153532.jpg</t>
  </si>
  <si>
    <t>59a5d96b</t>
  </si>
  <si>
    <t>Estoque seco</t>
  </si>
  <si>
    <t>22/06/2026 (Motoboy) -  - R$ 35,00</t>
  </si>
  <si>
    <t>8d8d9c79</t>
  </si>
  <si>
    <t>R$ 51,00</t>
  </si>
  <si>
    <t>Banderloff (23/03/2024) - frutas</t>
  </si>
  <si>
    <t>Notas_Images/8d8d9c79.Foto.181455.jpg</t>
  </si>
  <si>
    <t>e508d314</t>
  </si>
  <si>
    <t>22/06/2026 (Motoboy) -  - R$ 51,00</t>
  </si>
  <si>
    <t>1d89652c6</t>
  </si>
  <si>
    <t>Saida Outros: Sangria Ramon 22/06</t>
  </si>
  <si>
    <t>pago por pix</t>
  </si>
  <si>
    <t>22/06/2026 (Sangria) - Ramon Dutra - R$ 100,00</t>
  </si>
  <si>
    <t>145ecc8c0_2</t>
  </si>
  <si>
    <t>Saida Outros: pagamento motoboy italiano</t>
  </si>
  <si>
    <t>23/06/2026 (Motoboy) -  - R$ 21,00</t>
  </si>
  <si>
    <t>10d22e701_2</t>
  </si>
  <si>
    <t>Parc empréstimo (4/10)</t>
  </si>
  <si>
    <t>23/06/2026 (Caixa Troco) -  - R$ 120,00</t>
  </si>
  <si>
    <t>127f8d070</t>
  </si>
  <si>
    <t>ff028076</t>
  </si>
  <si>
    <t>Saida Outros: Sangria Ramon 23/06</t>
  </si>
  <si>
    <t>Premiação Vana R$500,00</t>
  </si>
  <si>
    <t>23/06/2026 (Sangria) - Ramon Dutra - R$ 150,00</t>
  </si>
  <si>
    <t>23/06/2026 (Motoboy) -  - R$ 12,00</t>
  </si>
  <si>
    <t>9e6a5ef7</t>
  </si>
  <si>
    <t>7cb82992</t>
  </si>
  <si>
    <t>Saida Outros: impressao fechamento</t>
  </si>
  <si>
    <t>Banderloff (26/03/2024) - Frutas Banderloff</t>
  </si>
  <si>
    <t>08d5c9ce</t>
  </si>
  <si>
    <t>24/06/2026 (Compra de Mercadorias) -  - R$ 5,00</t>
  </si>
  <si>
    <t>Notas_Images/9e6a5ef7.Foto.203439.jpg</t>
  </si>
  <si>
    <t>24/06/2026 (Motoboy) -  - R$ 30,00</t>
  </si>
  <si>
    <t>Frutas Banderloff</t>
  </si>
  <si>
    <t>R$ 17,36</t>
  </si>
  <si>
    <t>Saida Outros: Cupom Tour</t>
  </si>
  <si>
    <t>25/06/2026 (Cortesias) -  - R$ 17,36</t>
  </si>
  <si>
    <t>3a2bd053</t>
  </si>
  <si>
    <t>Prioridade 10 (27/03/2024) - Compras espatula e Caixa</t>
  </si>
  <si>
    <t>Notas_Images/3a2bd053.Foto.204030.jpg</t>
  </si>
  <si>
    <t>Compras espatula e Caixa</t>
  </si>
  <si>
    <t>25/06/2026 (Caixa Troco) -  - R$ 30,00</t>
  </si>
  <si>
    <t>668cb798</t>
  </si>
  <si>
    <t>Saida Outros: clovis</t>
  </si>
  <si>
    <t>25/06/2026 (Motoboy) -  - R$ 22,00</t>
  </si>
  <si>
    <t>R$ 16,00</t>
  </si>
  <si>
    <t>cd6d3aad</t>
  </si>
  <si>
    <t>a25c3eb8</t>
  </si>
  <si>
    <t>25/06/2026 (Consumo) - Regiane - R$ 16,00</t>
  </si>
  <si>
    <t>EXTERMINIO DESINSETIZADORA (27/03/2024) - detetização</t>
  </si>
  <si>
    <t>Notas_Images/cd6d3aad.Foto.223958.jpg</t>
  </si>
  <si>
    <t>detetização</t>
  </si>
  <si>
    <t>25/06/2026 (Motoboy) -  - R$ 24,00</t>
  </si>
  <si>
    <t>Entrada Outros: Sangria Ramon 26/06</t>
  </si>
  <si>
    <t>d1a34593</t>
  </si>
  <si>
    <t>26/06/2026 (Sangria) - Ramon Dutra - R$ 150,00</t>
  </si>
  <si>
    <t>Patrimonial (18/03/2024) - monitoramento patrimonial</t>
  </si>
  <si>
    <t>Notas_Images/d1a34593.Foto.210739.jpg</t>
  </si>
  <si>
    <t>Entrada Outros: Sangria Ramon 22/06</t>
  </si>
  <si>
    <t>monitoramento patrimonial</t>
  </si>
  <si>
    <t>26/06/2026 (Sangria) - Ramon Dutra - R$ 100,00</t>
  </si>
  <si>
    <t>bec2e5bb</t>
  </si>
  <si>
    <t>26/06/2026 (Consumo) - Renan - R$ 45,00</t>
  </si>
  <si>
    <t>Morangos frigotto (28/03/2024) - morangos</t>
  </si>
  <si>
    <t>Notas_Images/bec2e5bb.Foto.210207.jpg</t>
  </si>
  <si>
    <t>R$ 28,40</t>
  </si>
  <si>
    <t>Saida Outros: desmoldante</t>
  </si>
  <si>
    <t>e2ba672a</t>
  </si>
  <si>
    <t>26/06/2026 (Compra de Mercadorias) -  - R$ 28,40</t>
  </si>
  <si>
    <t>1d69f940</t>
  </si>
  <si>
    <t>R$ 94,60</t>
  </si>
  <si>
    <t>BRk (13/04/2024) - fatura de agua</t>
  </si>
  <si>
    <t>80da12e3</t>
  </si>
  <si>
    <t>Notas_Images/1d69f940.Foto.202039.jpg</t>
  </si>
  <si>
    <t>26/06/2026 (Compra de Mercadorias) -  - R$ 94,60</t>
  </si>
  <si>
    <t>fatura de agua</t>
  </si>
  <si>
    <t>26/06/2026 (Consumo) - Ramon Dutra - R$ 16,00</t>
  </si>
  <si>
    <t>ba9f18d2</t>
  </si>
  <si>
    <t>Saida Outros: Sangria Ramon 26/06</t>
  </si>
  <si>
    <t>Notas_Images/ba9f18d2.Foto.202610.jpg</t>
  </si>
  <si>
    <t>26/06/2026 (Motoboy) -  - R$ 32,00</t>
  </si>
  <si>
    <t>Saida Outros: Tx entrega Gian</t>
  </si>
  <si>
    <t>7fcca6f6</t>
  </si>
  <si>
    <t>27/06/2026 (Motoboy) -  - R$ 56,00</t>
  </si>
  <si>
    <t>passarela center (29/03/2024) - Compras Lanche</t>
  </si>
  <si>
    <t>Notas_Images/7fcca6f6.Foto.173213.jpg</t>
  </si>
  <si>
    <t>Compras Lanche</t>
  </si>
  <si>
    <t>27/06/2026 (Caixa Troco) -  - R$ 20,00</t>
  </si>
  <si>
    <t>R$ 134,00</t>
  </si>
  <si>
    <t>b524857c</t>
  </si>
  <si>
    <t>27/06/2026 (Motoboy) -  - R$ 134,00</t>
  </si>
  <si>
    <t>passarela center (30/03/2024) - Compras Lanches</t>
  </si>
  <si>
    <t>Notas_Images/b524857c.Foto.173138.jpg</t>
  </si>
  <si>
    <t>Compras Lanches</t>
  </si>
  <si>
    <t>27/06/2026 (Freelancer) -  - R$ 120,00</t>
  </si>
  <si>
    <t>8a41c17d</t>
  </si>
  <si>
    <t>Banderloff (02/04/2024) - Frutas Banderloff dos dias 28/03, 01/04 e 02/04</t>
  </si>
  <si>
    <t>Notas_Images/8a41c17d.Foto.173341.jpg</t>
  </si>
  <si>
    <t>Frutas Banderloff dos dias 28/03, 01/04 e 02/04</t>
  </si>
  <si>
    <t>28/06/2026 (Consumo) - Regiane - R$ 50,00</t>
  </si>
  <si>
    <t>28/06/2026 (Freelancer) -  - R$ 120,00</t>
  </si>
  <si>
    <t>ada97c3a</t>
  </si>
  <si>
    <t>Saida Outros: pagamento free thanara</t>
  </si>
  <si>
    <t>Help Multi Coisas (02/04/2024) - canetas</t>
  </si>
  <si>
    <t>R$ 342,00</t>
  </si>
  <si>
    <t>Notas_Images/ada97c3a.Foto.212352.jpg</t>
  </si>
  <si>
    <t>Saida Outros: pagamento motoboy matheus</t>
  </si>
  <si>
    <t>canetas</t>
  </si>
  <si>
    <t>28/06/2026 (Motoboy) -  - R$ 342,00</t>
  </si>
  <si>
    <t>Saida Outros: consumo rose</t>
  </si>
  <si>
    <t>800e4a40</t>
  </si>
  <si>
    <t>28/06/2026 (Consumo) - Rose - R$ 26,00</t>
  </si>
  <si>
    <t>Auto Coletivo Caçador (03/04/2024) - Vale transporte Mirian</t>
  </si>
  <si>
    <t>Notas_Images/800e4a40.Foto.200642.jpg</t>
  </si>
  <si>
    <t>Vale transporte Mirian</t>
  </si>
  <si>
    <t>28/06/2026 (Consumo) - Renan - R$ 54,00</t>
  </si>
  <si>
    <t>29/06/2026 (Consumo) - Renan - R$ 45,00</t>
  </si>
  <si>
    <t>R$ 8,75</t>
  </si>
  <si>
    <t>d686e08e</t>
  </si>
  <si>
    <t>Saida Outros: Bananas</t>
  </si>
  <si>
    <t>29/06/2026 (Compra de Mercadorias) -  - R$ 8,75</t>
  </si>
  <si>
    <t>1e8254bf</t>
  </si>
  <si>
    <t>FRP Produto de limpeza (03/04/2024) - Produtos de limpeza</t>
  </si>
  <si>
    <t>R$ 8,00</t>
  </si>
  <si>
    <t>Notas_Images/d686e08e.Foto.200721.jpg</t>
  </si>
  <si>
    <t>Saida Outros: Impressão</t>
  </si>
  <si>
    <t>29/06/2026 (Compra de Mercadorias) -  - R$ 8,00</t>
  </si>
  <si>
    <t>29/06/2026 (Caixa Troco) -  - R$ 100,00</t>
  </si>
  <si>
    <t>976b8e61</t>
  </si>
  <si>
    <t>29/06/2026 (Consumo) - Ramon Dutra - R$ 45,00</t>
  </si>
  <si>
    <t>Notas_Images/976b8e61.Foto.162040.jpg</t>
  </si>
  <si>
    <t>29/06/2026 (Motoboy) -  - R$ 151,00</t>
  </si>
  <si>
    <t>Saida Outros: Sangria Ramon 29/06</t>
  </si>
  <si>
    <t>e087bcc5</t>
  </si>
  <si>
    <t>29/06/2026 (Sangria) - Ramon Dutra - R$ 150,00</t>
  </si>
  <si>
    <t>Casa das Embalagens (03/04/2024) - Compras</t>
  </si>
  <si>
    <t>Notas_Images/e087bcc5.Foto.183622.jpg</t>
  </si>
  <si>
    <t>Compras</t>
  </si>
  <si>
    <t>10f4b7a9</t>
  </si>
  <si>
    <t>30/06/2026 (Motoboy) -  - R$ 20,00</t>
  </si>
  <si>
    <t>30/06/2026 (Motoboy) -  - R$ 21,00</t>
  </si>
  <si>
    <t>80f3c3e7</t>
  </si>
  <si>
    <t>Prioridade 10 (03/04/2024) - Compras potes e etc</t>
  </si>
  <si>
    <t>c65a390d</t>
  </si>
  <si>
    <t>Notas_Images/80f3c3e7.Foto.183802.jpg</t>
  </si>
  <si>
    <t>Compras potes e etc</t>
  </si>
  <si>
    <t>30/06/2026 (Motoboy) -  - R$ 10,00</t>
  </si>
  <si>
    <t>Saida Outros: sangria renan 30/06</t>
  </si>
  <si>
    <t>30/06/2026 (Sangria) - Renan - R$ 100,00</t>
  </si>
  <si>
    <t>R$ 31,70</t>
  </si>
  <si>
    <t>67cf0212</t>
  </si>
  <si>
    <t>30/06/2026 (Cortesias) -  - R$ 31,70</t>
  </si>
  <si>
    <t>Help Multi Coisas (04/04/2024) - Impressão documento de acerto da Fran</t>
  </si>
  <si>
    <t>Notas_Images/67cf0212.Foto.171742.jpg</t>
  </si>
  <si>
    <t>Impressão documento de acerto da Fran</t>
  </si>
  <si>
    <t>R$ 36,90</t>
  </si>
  <si>
    <t>30/06/2026 (Consumo) - Renan - R$ 36,90</t>
  </si>
  <si>
    <t>562ed830</t>
  </si>
  <si>
    <t>5f645fb6</t>
  </si>
  <si>
    <t>30/06/2026 (Caixa Troco) -  - R$ 50,00</t>
  </si>
  <si>
    <t>Camila Morango (04/04/2024) - Morangos</t>
  </si>
  <si>
    <t>Notas_Images/562ed830.Foto.183251.jpg</t>
  </si>
  <si>
    <t>Saida Outros: Sangria Ramon 30/06</t>
  </si>
  <si>
    <t>30/06/2026 (Sangria) - Ramon Dutra - R$ 250,00</t>
  </si>
  <si>
    <t>defc88b5</t>
  </si>
  <si>
    <t>30/06/2026 (Motoboy) -  - R$ 51,00</t>
  </si>
  <si>
    <t>Help Multi Coisas (04/04/2024) - Impressão</t>
  </si>
  <si>
    <t>Notas_Images/defc88b5.Foto.183329.jpg</t>
  </si>
  <si>
    <t>Entrada Outros: Sangria Ramon 30/06</t>
  </si>
  <si>
    <t>01/07/2026 (Sangria) - Ramon Dutra - R$ 250,00</t>
  </si>
  <si>
    <t>R$ 321,00</t>
  </si>
  <si>
    <t>Saida Outros: Produtos de Limpeza</t>
  </si>
  <si>
    <t>9643931c</t>
  </si>
  <si>
    <t>17f0ed93</t>
  </si>
  <si>
    <t>01/07/2026 (Compra de Mercadorias) -  - R$ 321,00</t>
  </si>
  <si>
    <t>b995c627</t>
  </si>
  <si>
    <t>Banderloff (04/04/2024) - Frutas</t>
  </si>
  <si>
    <t>R$ 19,00</t>
  </si>
  <si>
    <t>Notas_Images/b995c627.Foto.183425.jpg</t>
  </si>
  <si>
    <t>01/07/2026 (Consumo) - Renan - R$ 19,00</t>
  </si>
  <si>
    <t>664b60d3</t>
  </si>
  <si>
    <t>7dc02a22</t>
  </si>
  <si>
    <t>01/07/2026 (Motoboy) -  - R$ 81,00</t>
  </si>
  <si>
    <t>Saida Outros: sangria renan 01/07</t>
  </si>
  <si>
    <t>01/07/2026 (Sangria) - Renan - R$ 100,00</t>
  </si>
  <si>
    <t>Notas_Images/7dc02a22.Foto.185559.jpg</t>
  </si>
  <si>
    <t>01/07/2026 (Consumo) - Renan - R$ 25,00</t>
  </si>
  <si>
    <t>R$ 63,00</t>
  </si>
  <si>
    <t>1ebbf7645</t>
  </si>
  <si>
    <t>01/07/2026 (Motoboy) -  - R$ 63,00</t>
  </si>
  <si>
    <t>Saida Outros: Sangria Ramon 01/07</t>
  </si>
  <si>
    <t>Rescisao</t>
  </si>
  <si>
    <t>01/07/2026 (Sangria) - Ramon Dutra - R$ 150,00</t>
  </si>
  <si>
    <t>16aa3a80f</t>
  </si>
  <si>
    <t>01/07/2026 (Consumo) - Rose - R$ 30,00</t>
  </si>
  <si>
    <t>cf1a42e6</t>
  </si>
  <si>
    <t>R$ 136,00</t>
  </si>
  <si>
    <t>Multa fgts Fran</t>
  </si>
  <si>
    <t>02/07/2026 (Motoboy) -  - R$ 136,00</t>
  </si>
  <si>
    <t>1123f8199</t>
  </si>
  <si>
    <t>Saida Outros: adaptador</t>
  </si>
  <si>
    <t>7257e06a</t>
  </si>
  <si>
    <t>Salario março</t>
  </si>
  <si>
    <t>02/07/2026 (Compra de Mercadorias) -  - R$ 12,00</t>
  </si>
  <si>
    <t>02/07/2026 (Consumo) - Ramon Dutra - R$ 40,00</t>
  </si>
  <si>
    <t>1da008725</t>
  </si>
  <si>
    <t>02/07/2026 (Motoboy) -  - R$ 60,00</t>
  </si>
  <si>
    <t>95174567</t>
  </si>
  <si>
    <t>18f65d30a</t>
  </si>
  <si>
    <t>03/07/2026 (Compra de Mercadorias) -  - R$ 108,00</t>
  </si>
  <si>
    <t>Entrada Outros: Sangria Ramon 29/06</t>
  </si>
  <si>
    <t>10893f79b</t>
  </si>
  <si>
    <t>03/07/2026 (Sangria) - Ramon Dutra - R$ 150,00</t>
  </si>
  <si>
    <t>Entrada Outros: Sangria Ramon 01/07</t>
  </si>
  <si>
    <t>R$ 295,00</t>
  </si>
  <si>
    <t>9315edf2</t>
  </si>
  <si>
    <t>15bc143ee</t>
  </si>
  <si>
    <t>bc594d8a</t>
  </si>
  <si>
    <t>218fd228</t>
  </si>
  <si>
    <t>03/07/2026 (Compra de Mercadorias) -  - R$ 295,00</t>
  </si>
  <si>
    <t>R$ 96,00</t>
  </si>
  <si>
    <t>03/07/2026 (Motoboy) -  - R$ 96,00</t>
  </si>
  <si>
    <t>03/07/2026 (Consumo) - Renan - R$ 83,00</t>
  </si>
  <si>
    <t>03/07/2026 (Consumo) - Regiane - R$ 35,00</t>
  </si>
  <si>
    <t>b24045ed</t>
  </si>
  <si>
    <t>Saida Outros: Consumo Rosenilda</t>
  </si>
  <si>
    <t>tony bebidas (03/04/2024) - bebidas</t>
  </si>
  <si>
    <t>Notas_Images/b24045ed.Foto.204947.jpg</t>
  </si>
  <si>
    <t>03/07/2026 (Consumo) - Rose - R$ 12,00</t>
  </si>
  <si>
    <t>d5d896cc</t>
  </si>
  <si>
    <t>03/07/2026 (Motoboy) -  - R$ 15,00</t>
  </si>
  <si>
    <t>Amadelli (03/04/2024) - carga gelada</t>
  </si>
  <si>
    <t>R$ 158,00</t>
  </si>
  <si>
    <t>Notas_Images/d5d896cc.Foto.214457.jpg</t>
  </si>
  <si>
    <t>04/07/2026 (Motoboy) -  - R$ 158,00</t>
  </si>
  <si>
    <t>bb6d6d7e</t>
  </si>
  <si>
    <t>04/07/2026 (Freelancer) -  - R$ 120,00</t>
  </si>
  <si>
    <t>Amadelli (04/04/2024) - carga seca</t>
  </si>
  <si>
    <t>Notas_Images/bb6d6d7e.Foto.214136.jpg</t>
  </si>
  <si>
    <t>Saida Outros: sangria renan 04/07</t>
  </si>
  <si>
    <t>fd1f0325</t>
  </si>
  <si>
    <t>04/07/2026 (Sangria) - Renan - R$ 200,00</t>
  </si>
  <si>
    <t>Help Multi Coisas (05/04/2024) - impressão de folhas</t>
  </si>
  <si>
    <t>Notas_Images/fd1f0325.Foto.222323.jpg</t>
  </si>
  <si>
    <t>impressão de folhas</t>
  </si>
  <si>
    <t>05/07/2026 (Caixa Troco) -  - R$ 150,00</t>
  </si>
  <si>
    <t>a913541f</t>
  </si>
  <si>
    <t>343b47be</t>
  </si>
  <si>
    <t>05/07/2026 (Freelancer) -  - R$ 45,00</t>
  </si>
  <si>
    <t>Notas_Images/a913541f.Foto.222513.jpg</t>
  </si>
  <si>
    <t>R$ 115,00</t>
  </si>
  <si>
    <t>05/07/2026 (Motoboy) -  - R$ 115,00</t>
  </si>
  <si>
    <t>Saida Outros: Freelancer Rose</t>
  </si>
  <si>
    <t>9027724f</t>
  </si>
  <si>
    <t>c554773f</t>
  </si>
  <si>
    <t>05/07/2026 (Freelancer) -  - R$ 90,00</t>
  </si>
  <si>
    <t>GH Center Supermercado (05/04/2024) - compras do café</t>
  </si>
  <si>
    <t>Notas_Images/9027724f.Foto.232137.jpg</t>
  </si>
  <si>
    <t>compras do café</t>
  </si>
  <si>
    <t>05/07/2026 (Freelancer) -  - R$ 75,00</t>
  </si>
  <si>
    <t>a734637a</t>
  </si>
  <si>
    <t>Camila Morango (07/04/2024) - Compra morangos</t>
  </si>
  <si>
    <t>05/07/2026 (Consumo) - Regiane - R$ 42,00</t>
  </si>
  <si>
    <t>Notas_Images/a734637a.Foto.164105.jpg</t>
  </si>
  <si>
    <t>Compra morangos</t>
  </si>
  <si>
    <t>05/07/2026 (Sangria) - Regiane - R$ 650,00</t>
  </si>
  <si>
    <t>7a3f470e</t>
  </si>
  <si>
    <t>443bf5ca</t>
  </si>
  <si>
    <t>ACB (08/04/2024) - Bebidas</t>
  </si>
  <si>
    <t>Notas_Images/7a3f470e.Foto.180946.jpg</t>
  </si>
  <si>
    <t>06/07/2026 (Motoboy) -  - R$ 68,00</t>
  </si>
  <si>
    <t>06/07/2026 (Consumo) - Regiane - R$ 10,00</t>
  </si>
  <si>
    <t>91bb7be2</t>
  </si>
  <si>
    <t>R$ 38,00</t>
  </si>
  <si>
    <t>Help Multi Coisas (08/04/2024) - canetão</t>
  </si>
  <si>
    <t>Notas_Images/91bb7be2.Foto.224957.jpg</t>
  </si>
  <si>
    <t>canetão</t>
  </si>
  <si>
    <t>dbb88154</t>
  </si>
  <si>
    <t>06/07/2026 (Motoboy) -  - R$ 38,00</t>
  </si>
  <si>
    <t>1ea545c5c</t>
  </si>
  <si>
    <t>06/07/2026 (Sangria) - Ramon Dutra - R$ 100,00</t>
  </si>
  <si>
    <t>Férias</t>
  </si>
  <si>
    <t>fad9cde9</t>
  </si>
  <si>
    <t>Saida Outros: isopor</t>
  </si>
  <si>
    <t>07/07/2026 (Compra de Mercadorias) -  - R$ 64,00</t>
  </si>
  <si>
    <t>R$ 6,95</t>
  </si>
  <si>
    <t>20f759ec</t>
  </si>
  <si>
    <t>Saida Outros: suco</t>
  </si>
  <si>
    <t>Banderloff (08/04/2024) - Frutas Banderloff</t>
  </si>
  <si>
    <t>07/07/2026 (Compra de Mercadorias) -  - R$ 6,95</t>
  </si>
  <si>
    <t>Notas_Images/20f759ec.Foto.180859.jpg</t>
  </si>
  <si>
    <t>R$ 7,99</t>
  </si>
  <si>
    <t>Saida Outros: panos</t>
  </si>
  <si>
    <t>07/07/2026 (Compra de Mercadorias) -  - R$ 7,99</t>
  </si>
  <si>
    <t>R$ 30,05</t>
  </si>
  <si>
    <t>f375e639</t>
  </si>
  <si>
    <t>07/07/2026 (Caixa Troco) -  - R$ 30,05</t>
  </si>
  <si>
    <t>a187e989</t>
  </si>
  <si>
    <t>R$ 72,00</t>
  </si>
  <si>
    <t>mercado di domenico (06/04/2024) - cafe da equipe</t>
  </si>
  <si>
    <t>Notas_Images/f375e639.Foto.120413.jpg</t>
  </si>
  <si>
    <t>07/07/2026 (Motoboy) -  - R$ 72,00</t>
  </si>
  <si>
    <t>8cf6706e</t>
  </si>
  <si>
    <t>a9283149</t>
  </si>
  <si>
    <t>07/07/2026 (Consumo) - Ramon Dutra - R$ 45,00</t>
  </si>
  <si>
    <t>nordio supermercados (07/04/2024) - pao para o cafe d equipe no domingo</t>
  </si>
  <si>
    <t>Notas_Images/8cf6706e.Foto.120527.jpg</t>
  </si>
  <si>
    <t>pao para o cafe d equipe no domingo</t>
  </si>
  <si>
    <t>cef3560e</t>
  </si>
  <si>
    <t>07/07/2026 (Motoboy) -  - R$ 34,00</t>
  </si>
  <si>
    <t>Banderloff (10/04/2024) - Frutas</t>
  </si>
  <si>
    <t>Notas_Images/cef3560e.Foto.160347.jpg</t>
  </si>
  <si>
    <t>Saida Outros: Sangria Ramon 07/07</t>
  </si>
  <si>
    <t>.</t>
  </si>
  <si>
    <t>6d21b73f</t>
  </si>
  <si>
    <t>07/07/2026 (Sangria) - Ramon Dutra - R$ 100,00</t>
  </si>
  <si>
    <t>Coca Cola (11/04/2024) - bebidas</t>
  </si>
  <si>
    <t>Notas_Images/6d21b73f.Foto.114022.jpg</t>
  </si>
  <si>
    <t>R$ 6,57</t>
  </si>
  <si>
    <t>Saida Outros: BANANA</t>
  </si>
  <si>
    <t>08/07/2026 (Compra de Mercadorias) -  - R$ 6,57</t>
  </si>
  <si>
    <t>1eadd052d</t>
  </si>
  <si>
    <t>Diversas embalagens</t>
  </si>
  <si>
    <t>08/07/2026 (Motoboy) -  - R$ 83,00</t>
  </si>
  <si>
    <t>1e3302d08</t>
  </si>
  <si>
    <t>Reembolso de pagamento feito por pix</t>
  </si>
  <si>
    <t>08/07/2026 (Consumo) - Regiane - R$ 50,00</t>
  </si>
  <si>
    <t>c00513f5</t>
  </si>
  <si>
    <t>laboratório santa Rita (12/04/2024) - exames josi</t>
  </si>
  <si>
    <t>R$ 92,00</t>
  </si>
  <si>
    <t>Notas_Images/c00513f5.Foto.181602.jpg</t>
  </si>
  <si>
    <t>exames josi</t>
  </si>
  <si>
    <t>08/07/2026 (Motoboy) -  - R$ 92,00</t>
  </si>
  <si>
    <t>b25209c5</t>
  </si>
  <si>
    <t>Camila Morango (12/04/2024) - morangos</t>
  </si>
  <si>
    <t>Saida Outros: Sangria Ramon 08/07</t>
  </si>
  <si>
    <t>Notas_Images/b25209c5.Foto.183637.jpg</t>
  </si>
  <si>
    <t>08/07/2026 (Sangria) - Ramon Dutra - R$ 300,00</t>
  </si>
  <si>
    <t>7cacd2d3</t>
  </si>
  <si>
    <t>1e5550f3</t>
  </si>
  <si>
    <t>R$ 33,30</t>
  </si>
  <si>
    <t>Banderloff (12/04/2024) - frutas</t>
  </si>
  <si>
    <t>Saida Outros: parceria</t>
  </si>
  <si>
    <t>Notas_Images/1e5550f3.Foto.184819.jpg</t>
  </si>
  <si>
    <t>719eccba</t>
  </si>
  <si>
    <t>09/07/2026 (Influencer) -  - R$ 33,30</t>
  </si>
  <si>
    <t>df82644a</t>
  </si>
  <si>
    <t>R$ 59,00</t>
  </si>
  <si>
    <t>GH Center Supermercado (12/04/2024) - compras para o café</t>
  </si>
  <si>
    <t>Notas_Images/df82644a.Foto.161651.jpg</t>
  </si>
  <si>
    <t>compras para o café</t>
  </si>
  <si>
    <t>09/07/2026 (Motoboy) -  - R$ 59,00</t>
  </si>
  <si>
    <t>14a9cbc90</t>
  </si>
  <si>
    <t>R$ 340,00</t>
  </si>
  <si>
    <t>c67d251c</t>
  </si>
  <si>
    <t>Saida Outros: sangria renan 09/07</t>
  </si>
  <si>
    <t>Simples Nacional residual</t>
  </si>
  <si>
    <t>09/07/2026 (Sangria) - Renan - R$ 340,00</t>
  </si>
  <si>
    <t>a913b24e</t>
  </si>
  <si>
    <t>Banderloff (15/04/2024) - FRUTAS</t>
  </si>
  <si>
    <t>Notas_Images/a913b24e.Foto.155347.jpg</t>
  </si>
  <si>
    <t>09/07/2026 (Motoboy) -  - R$ 11,00</t>
  </si>
  <si>
    <t>025d32a1</t>
  </si>
  <si>
    <t>PORTALMED (15/04/2024) - Exame Josi</t>
  </si>
  <si>
    <t>Notas_Images/025d32a1.Foto.155258.jpg</t>
  </si>
  <si>
    <t>10/07/2026 (Compra de Mercadorias) -  - R$ 58,00</t>
  </si>
  <si>
    <t>Exame Josi</t>
  </si>
  <si>
    <t>f377b4d0</t>
  </si>
  <si>
    <t>Saida Outros: pote casquinha</t>
  </si>
  <si>
    <t>Camila Morango (17/04/2024) - Compra morangos</t>
  </si>
  <si>
    <t>Notas_Images/f377b4d0.Foto.182221.jpg</t>
  </si>
  <si>
    <t>10/07/2026 (Compra de Mercadorias) -  - R$ 65,00</t>
  </si>
  <si>
    <t>Saida Outros: pagamento italiano</t>
  </si>
  <si>
    <t>90542e2c</t>
  </si>
  <si>
    <t>cdf57073</t>
  </si>
  <si>
    <t>Beta Hidráulica (18/04/2024) - Orçamento Cortina de ar</t>
  </si>
  <si>
    <t>10/07/2026 (Motoboy) -  - R$ 58,00</t>
  </si>
  <si>
    <t>Notas_Images/90542e2c.Foto.184614.png</t>
  </si>
  <si>
    <t>Orçamento Cortina de ar</t>
  </si>
  <si>
    <t>7293e85c</t>
  </si>
  <si>
    <t>0cfa6144</t>
  </si>
  <si>
    <t>10/07/2026 (Motoboy) -  - R$ 53,00</t>
  </si>
  <si>
    <t>Banderloff (18/04/2024) - FRUTAS BANDERLOFF</t>
  </si>
  <si>
    <t>Notas_Images/0cfa6144.Foto.190326.jpg</t>
  </si>
  <si>
    <t>FRUTAS BANDERLOFF</t>
  </si>
  <si>
    <t>b1746c04</t>
  </si>
  <si>
    <t>10/07/2026 (Consumo) - Ramon Dutra - R$ 15,00</t>
  </si>
  <si>
    <t>Amadelli (17/04/2024) - carga gelaga</t>
  </si>
  <si>
    <t>Notas_Images/b1746c04.Foto.221639.jpg</t>
  </si>
  <si>
    <t>carga gelaga</t>
  </si>
  <si>
    <t>11/07/2026 (Motoboy) -  - R$ 30,00</t>
  </si>
  <si>
    <t>19af1a52f</t>
  </si>
  <si>
    <t>Iptu</t>
  </si>
  <si>
    <t>11/07/2026 (Caixa Troco) -  - R$ 100,00</t>
  </si>
  <si>
    <t>5867e7da</t>
  </si>
  <si>
    <t>1dbed36d4</t>
  </si>
  <si>
    <t>Saida Outros: Free Nicole</t>
  </si>
  <si>
    <t>IPTU sala 2</t>
  </si>
  <si>
    <t>11/07/2026 (Freelancer) -  - R$ 120,00</t>
  </si>
  <si>
    <t>3bd3184f</t>
  </si>
  <si>
    <t>Saida Outros: Free Rose</t>
  </si>
  <si>
    <t>b6d7b803</t>
  </si>
  <si>
    <t>Farmacia (19/04/2024) - Remédios</t>
  </si>
  <si>
    <t>Notas_Images/3bd3184f.Foto.195630.jpg</t>
  </si>
  <si>
    <t>11/07/2026 (Freelancer) -  - R$ 135,00</t>
  </si>
  <si>
    <t>Remédios</t>
  </si>
  <si>
    <t>0a4b10e4</t>
  </si>
  <si>
    <t>11/07/2026 (Motoboy) -  - R$ 58,00</t>
  </si>
  <si>
    <t>0fe31c8c</t>
  </si>
  <si>
    <t>Milium (19/04/2024) - Ventilador para buffet</t>
  </si>
  <si>
    <t>Notas_Images/0a4b10e4.Foto.195714.jpg</t>
  </si>
  <si>
    <t>R$ 274,00</t>
  </si>
  <si>
    <t>Ventilador para buffet</t>
  </si>
  <si>
    <t>Saida Outros: PAGAMENTO MOTOBOY MATEUS</t>
  </si>
  <si>
    <t>12/07/2026 (Motoboy) -  - R$ 274,00</t>
  </si>
  <si>
    <t>084d6e9f</t>
  </si>
  <si>
    <t>Lasta Frutolândia (19/04/2024) - Lanches + inseticida</t>
  </si>
  <si>
    <t>Saida Outros: PAGAMENTO FREE SORAIDA</t>
  </si>
  <si>
    <t>Notas_Images/084d6e9f.Foto.200227.jpg</t>
  </si>
  <si>
    <t>Lanches + inseticida</t>
  </si>
  <si>
    <t>12/07/2026 (Freelancer) -  - R$ 120,00</t>
  </si>
  <si>
    <t>910f6712</t>
  </si>
  <si>
    <t>Lasta Frutolândia (19/04/2024) - Óleo de peroba</t>
  </si>
  <si>
    <t>Notas_Images/910f6712.Foto.200313.jpg</t>
  </si>
  <si>
    <t>Óleo de peroba</t>
  </si>
  <si>
    <t>f50cce5f</t>
  </si>
  <si>
    <t>Saida Outros: SANGRIA RENAN 12/07</t>
  </si>
  <si>
    <t>Help Multi Coisas (19/04/2024) - Impressão dos papéis pra contagem</t>
  </si>
  <si>
    <t>Notas_Images/f50cce5f.Foto.204202.jpg</t>
  </si>
  <si>
    <t>Impressão dos papéis pra contagem</t>
  </si>
  <si>
    <t>12/07/2026 (Sangria) - Renan - R$ 130,00</t>
  </si>
  <si>
    <t>Banderloff (22/04/2024) - FRUTAS</t>
  </si>
  <si>
    <t>Notas_Images/90835023.Foto.183254.jpg</t>
  </si>
  <si>
    <t>13/07/2026 (Motoboy) -  - R$ 51,00</t>
  </si>
  <si>
    <t>Saida Outros: sangria renan 13/07</t>
  </si>
  <si>
    <t>f4f04bba</t>
  </si>
  <si>
    <t>6e1382ab</t>
  </si>
  <si>
    <t>Milium (23/04/2024) - compra de rodos</t>
  </si>
  <si>
    <t>13/07/2026 (Sangria) - Renan - R$ 200,00</t>
  </si>
  <si>
    <t>Notas_Images/f4f04bba.Foto.220413.jpg</t>
  </si>
  <si>
    <t>compra de rodos</t>
  </si>
  <si>
    <t>R$ 11,15</t>
  </si>
  <si>
    <t>7b250206</t>
  </si>
  <si>
    <t>13/07/2026 (Cortesias) -  - R$ 11,15</t>
  </si>
  <si>
    <t>Amadelli (18/04/2024) - carga seca</t>
  </si>
  <si>
    <t>Notas_Images/7b250206.Foto.162552.jpg</t>
  </si>
  <si>
    <t>e026d613</t>
  </si>
  <si>
    <t>13/07/2026 (Motoboy) -  - R$ 32,00</t>
  </si>
  <si>
    <t>Patrimonial (16/04/2024) - Patrimonial</t>
  </si>
  <si>
    <t>Notas_Images/e026d613.Foto.170209.jpg</t>
  </si>
  <si>
    <t>Patrimonial</t>
  </si>
  <si>
    <t>Saida Outros: Sangria Ramon 13/07</t>
  </si>
  <si>
    <t>13/07/2026 (Sangria) - Ramon Dutra - R$ 100,00</t>
  </si>
  <si>
    <t>fdc23690</t>
  </si>
  <si>
    <t>R$ 28,39</t>
  </si>
  <si>
    <t>Saida Outros: Desmoldante</t>
  </si>
  <si>
    <t>Coca Cola (18/04/2024) - bebidas</t>
  </si>
  <si>
    <t>6f0570ab</t>
  </si>
  <si>
    <t>Notas_Images/fdc23690.Foto.222620.jpg</t>
  </si>
  <si>
    <t>14/07/2026 (Compra de Mercadorias) -  - R$ 28,39</t>
  </si>
  <si>
    <t>R$ 58,91</t>
  </si>
  <si>
    <t>fa982f8e</t>
  </si>
  <si>
    <t>14/07/2026 (Consumo) - Ramon Dutra - R$ 58,91</t>
  </si>
  <si>
    <t>Nicopel (16/04/2024) - Embalagens Waffle</t>
  </si>
  <si>
    <t>Notas_Images/fa982f8e.Foto.191159.jpg</t>
  </si>
  <si>
    <t>Embalagens Waffle</t>
  </si>
  <si>
    <t>14/07/2026 (Motoboy) -  - R$ 44,00</t>
  </si>
  <si>
    <t>Saida Outros: sangria renan 14/07</t>
  </si>
  <si>
    <t>17e239d6</t>
  </si>
  <si>
    <t>14/07/2026 (Sangria) - Renan - R$ 200,00</t>
  </si>
  <si>
    <t>Banderloff (25/04/2024) - FRUTAS</t>
  </si>
  <si>
    <t>Notas_Images/17e239d6.Foto.175803.jpg</t>
  </si>
  <si>
    <t>14/07/2026 (Motoboy) -  - R$ 22,00</t>
  </si>
  <si>
    <t>R$ 78,00</t>
  </si>
  <si>
    <t>818f9e13</t>
  </si>
  <si>
    <t>15/07/2026 (Motoboy) -  - R$ 78,00</t>
  </si>
  <si>
    <t>EXTERMINIO DESINSETIZADORA (10/05/2024) - exterminio</t>
  </si>
  <si>
    <t>Notas_Images/818f9e13.Foto.211532.jpg</t>
  </si>
  <si>
    <t>exterminio</t>
  </si>
  <si>
    <t>Saida Outros: sangria renan 15/07</t>
  </si>
  <si>
    <t>15/07/2026 (Sangria) - Renan - R$ 500,00</t>
  </si>
  <si>
    <t>946afe54</t>
  </si>
  <si>
    <t>Entrada Outros: Sangria Renan 15/07</t>
  </si>
  <si>
    <t>Help Multi Coisas (25/04/2024) - Caneta detectora de notas falsas</t>
  </si>
  <si>
    <t>Notas_Images/946afe54.Foto.162331.jpg</t>
  </si>
  <si>
    <t>Caneta detectora de notas falsas</t>
  </si>
  <si>
    <t>Saida do dia 25/04</t>
  </si>
  <si>
    <t>15/07/2026 (Caixa Troco) -  - R$ 500,00</t>
  </si>
  <si>
    <t>7982af85</t>
  </si>
  <si>
    <t>Camila Morango (26/04/2024) - Morangos</t>
  </si>
  <si>
    <t>15/07/2026 (Caixa Troco) -  - R$ 50,00</t>
  </si>
  <si>
    <t>Notas_Images/7982af85.Foto.162632.jpg</t>
  </si>
  <si>
    <t>15/07/2026 (Motoboy) -  - R$ 21,00</t>
  </si>
  <si>
    <t>e583188f</t>
  </si>
  <si>
    <t>Saida Outros: Sangria Ramon 15/07</t>
  </si>
  <si>
    <t>Banderloff (29/04/2024) - Banderloff</t>
  </si>
  <si>
    <t>Notas_Images/99066248.Foto.162925.jpg</t>
  </si>
  <si>
    <t>Banderloff</t>
  </si>
  <si>
    <t>15/07/2026 (Sangria) - Ramon Dutra - R$ 150,00</t>
  </si>
  <si>
    <t>R$ 107,50</t>
  </si>
  <si>
    <t>2532bdd1</t>
  </si>
  <si>
    <t>16/07/2026 (Caixa Troco) -  - R$ 107,50</t>
  </si>
  <si>
    <t>30a569f7</t>
  </si>
  <si>
    <t>BRk (29/04/2024) - ÁGUA</t>
  </si>
  <si>
    <t>R$ 80,00</t>
  </si>
  <si>
    <t>Notas_Images/2532bdd1.Foto.164323.jpg</t>
  </si>
  <si>
    <t>16/07/2026 (Caixa Troco) -  - R$ 80,00</t>
  </si>
  <si>
    <t>Saida Outros: pagamento motoboy maik</t>
  </si>
  <si>
    <t>145ecc8c0_3</t>
  </si>
  <si>
    <t>16/07/2026 (Motoboy) -  - R$ 69,00</t>
  </si>
  <si>
    <t>92afc318</t>
  </si>
  <si>
    <t>Saida Outros: sangria renan 16/07</t>
  </si>
  <si>
    <t>16/07/2026 (Sangria) - Renan - R$ 250,00</t>
  </si>
  <si>
    <t>e75dcc8d</t>
  </si>
  <si>
    <t>10d22e701_3</t>
  </si>
  <si>
    <t>R$ 43,00</t>
  </si>
  <si>
    <t>16/07/2026 (Motoboy) -  - R$ 43,00</t>
  </si>
  <si>
    <t>Parc empréstimo (5/10)</t>
  </si>
  <si>
    <t>17/07/2026 (Motoboy) -  - R$ 115,00</t>
  </si>
  <si>
    <t>b5deaa1d</t>
  </si>
  <si>
    <t>6020a53e</t>
  </si>
  <si>
    <t>Entrada Outros: Sangria Ramon 15/07</t>
  </si>
  <si>
    <t>Mercado (30/04/2024) - Lanches para feriado</t>
  </si>
  <si>
    <t>Notas_Images/b5deaa1d.Foto.174314.jpg</t>
  </si>
  <si>
    <t>Lanches para feriado</t>
  </si>
  <si>
    <t>17/07/2026 (Sangria) - Renan - R$ 150,00</t>
  </si>
  <si>
    <t>Entrada Outros: Sangria Renan 16/07</t>
  </si>
  <si>
    <t>ff727ac0</t>
  </si>
  <si>
    <t>17/07/2026 (Sangria) - Renan - R$ 250,00</t>
  </si>
  <si>
    <t>56db931e</t>
  </si>
  <si>
    <t>R$ 403,00</t>
  </si>
  <si>
    <t>COMERCIO DE EMBALAGENS CACADOR LTDA EPP (30/04/2024) - LUVAS</t>
  </si>
  <si>
    <t>Notas_Images/ff727ac0.Foto.210758.jpg</t>
  </si>
  <si>
    <t>LUVAS</t>
  </si>
  <si>
    <t>f32d72ca</t>
  </si>
  <si>
    <t>17/07/2026 (Compra de Mercadorias) -  - R$ 403,00</t>
  </si>
  <si>
    <t>R$ 100,25</t>
  </si>
  <si>
    <t>16977df76</t>
  </si>
  <si>
    <t>fe65e75b</t>
  </si>
  <si>
    <t>17/07/2026 (Compra de Mercadorias) -  - R$ 100,25</t>
  </si>
  <si>
    <t>TESTE</t>
  </si>
  <si>
    <t>icm.jairo@gmail.com</t>
  </si>
  <si>
    <t>6331b219</t>
  </si>
  <si>
    <t>17/07/2026 (Motoboy) -  - R$ 21,00</t>
  </si>
  <si>
    <t>Saida Outros: Sangria Ramon 17/07</t>
  </si>
  <si>
    <t>13bafb9d3</t>
  </si>
  <si>
    <t>17/07/2026 (Sangria) - Ramon Dutra - R$ 200,00</t>
  </si>
  <si>
    <t>R$ 687,35</t>
  </si>
  <si>
    <t>Entrada Outros: caixa 1</t>
  </si>
  <si>
    <t>10d712a67</t>
  </si>
  <si>
    <t>18/07/2026 (Caixa Troco) -  - R$ 687,35</t>
  </si>
  <si>
    <t>6f24f7d8</t>
  </si>
  <si>
    <t>18/07/2026 (Caixa Troco) -  - R$ 30,00</t>
  </si>
  <si>
    <t>Camila Morango (01/05/2024) - morangos</t>
  </si>
  <si>
    <t>Notas_Images/6f24f7d8.Foto.170751.jpg</t>
  </si>
  <si>
    <t>f9b7ab09</t>
  </si>
  <si>
    <t>18/07/2026 (Freelancer) -  - R$ 120,00</t>
  </si>
  <si>
    <t>Banderloff (30/04/2024) - Frutas</t>
  </si>
  <si>
    <t>Notas_Images/f9b7ab09.Foto.200312.jpg</t>
  </si>
  <si>
    <t>8092a8c6</t>
  </si>
  <si>
    <t>Amadelli (01/05/2024) - estoque seco</t>
  </si>
  <si>
    <t>Notas_Images/8092a8c6.Foto.212115.jpg</t>
  </si>
  <si>
    <t>estoque seco</t>
  </si>
  <si>
    <t>1b4f434e</t>
  </si>
  <si>
    <t>7a514e1a</t>
  </si>
  <si>
    <t>R$ 900,00</t>
  </si>
  <si>
    <t>Amadelli (01/05/2024) - estoque gelado</t>
  </si>
  <si>
    <t>Notas_Images/7a514e1a.Foto.212405.jpg</t>
  </si>
  <si>
    <t>Saida Outros: sangria renan 18/07</t>
  </si>
  <si>
    <t>18/07/2026 (Sangria) - Renan - R$ 900,00</t>
  </si>
  <si>
    <t>5fd194b6</t>
  </si>
  <si>
    <t>R$ 208,00</t>
  </si>
  <si>
    <t>Milium (02/05/2024) - Garfos e facas</t>
  </si>
  <si>
    <t>Notas_Images/5fd194b6.Foto.195836.jpg</t>
  </si>
  <si>
    <t>Garfos e facas</t>
  </si>
  <si>
    <t>18/07/2026 (Motoboy) -  - R$ 208,00</t>
  </si>
  <si>
    <t>12f8ad48</t>
  </si>
  <si>
    <t>Casa das Embalagens (02/05/2024) - Embalagens</t>
  </si>
  <si>
    <t>Notas_Images/12f8ad48.Foto.200002.jpg</t>
  </si>
  <si>
    <t>19/07/2026 (Desconsiderado) -  - R$ 200,00</t>
  </si>
  <si>
    <t>4c203c50</t>
  </si>
  <si>
    <t>Coca Cola (02/05/2024) - bebidas</t>
  </si>
  <si>
    <t>Notas_Images/4c203c50.Foto.211515.jpg</t>
  </si>
  <si>
    <t>19/07/2026 (Caixa Troco) -  - R$ 200,00</t>
  </si>
  <si>
    <t>Saida Outros: Id 2280315 errado, caixa aberto no outro computador</t>
  </si>
  <si>
    <t>50b515ee</t>
  </si>
  <si>
    <t>ed2090db</t>
  </si>
  <si>
    <t>Alternativa Comunicação Visual (03/05/2024) - Adesivo Horário Novo</t>
  </si>
  <si>
    <t>Notas_Images/50b515ee.Foto.201210.jpg</t>
  </si>
  <si>
    <t>Adesivo Horário Novo</t>
  </si>
  <si>
    <t>1cca04346</t>
  </si>
  <si>
    <t>19/07/2026 (Caixa Troco) -  - R$ 75,00</t>
  </si>
  <si>
    <t>Adian</t>
  </si>
  <si>
    <t>1f0421481</t>
  </si>
  <si>
    <t>19/07/2026 (Freelancer) -  - R$ 120,00</t>
  </si>
  <si>
    <t>Salario abril Patricia</t>
  </si>
  <si>
    <t>181f4d9e6</t>
  </si>
  <si>
    <t>19/07/2026 (Freelancer) -  - R$ 135,00</t>
  </si>
  <si>
    <t>Salario abril João</t>
  </si>
  <si>
    <t>16fcf6ccb</t>
  </si>
  <si>
    <t>19/07/2026 (Motoboy) -  - R$ 349,00</t>
  </si>
  <si>
    <t>Salario abril Cris</t>
  </si>
  <si>
    <t>R$ 7,90</t>
  </si>
  <si>
    <t>1f368f882</t>
  </si>
  <si>
    <t>19/07/2026 (Compra de Mercadorias) -  - R$ 7,90</t>
  </si>
  <si>
    <t>Salario abril Daniele</t>
  </si>
  <si>
    <t>R$ 1.250,00</t>
  </si>
  <si>
    <t>Saida Outros: Sangria Regi 19/07</t>
  </si>
  <si>
    <t>1703cc39b</t>
  </si>
  <si>
    <t>19/07/2026 (Sangria) - Regiane - R$ 1.250,00</t>
  </si>
  <si>
    <t>Salario abril Miriam</t>
  </si>
  <si>
    <t>Saida Outros: Sangria Regi 19/07 total em sangrias do dia 1.400,00</t>
  </si>
  <si>
    <t>b0897756</t>
  </si>
  <si>
    <t>Banderloff (03/05/2024) - Frutas</t>
  </si>
  <si>
    <t>19/07/2026 (Sangria) - Regiane - R$ 150,00</t>
  </si>
  <si>
    <t>Notas_Images/b0897756.Foto.201304.jpg</t>
  </si>
  <si>
    <t>R$ 129,00</t>
  </si>
  <si>
    <t>58b893cb</t>
  </si>
  <si>
    <t>20/07/2026 (Motoboy) -  - R$ 129,00</t>
  </si>
  <si>
    <t>b3192cd6</t>
  </si>
  <si>
    <t>SuperPão (03/05/2024) - compras café</t>
  </si>
  <si>
    <t>Notas_Images/58b893cb.Foto.221852.jpg</t>
  </si>
  <si>
    <t>compras café</t>
  </si>
  <si>
    <t>R$ 750,00</t>
  </si>
  <si>
    <t>Saida Outros: sangria renan 20/07</t>
  </si>
  <si>
    <t>f3e7af5a</t>
  </si>
  <si>
    <t>20/07/2026 (Sangria) - Renan - R$ 750,00</t>
  </si>
  <si>
    <t>Camila Morango (06/05/2024) - Morangos</t>
  </si>
  <si>
    <t>Notas_Images/f3e7af5a.Foto.170132.jpg</t>
  </si>
  <si>
    <t>Sangria Ramon 20/07</t>
  </si>
  <si>
    <t>45453f65</t>
  </si>
  <si>
    <t>20/07/2026 (Sangria) - Ramon Dutra - R$ 200,00</t>
  </si>
  <si>
    <t>Banderloff (06/05/2024) - Frutas</t>
  </si>
  <si>
    <t>Notas_Images/45453f65.Foto.172617.jpg</t>
  </si>
  <si>
    <t>Saida do dia 06/05</t>
  </si>
  <si>
    <t>21/07/2026 (Motoboy) -  - R$ 58,00</t>
  </si>
  <si>
    <t>1ba6571fd</t>
  </si>
  <si>
    <t>Estoque, boleto atrasado R$10035,66</t>
  </si>
  <si>
    <t>Saida Outros: sangria renan 21/07</t>
  </si>
  <si>
    <t>21/07/2026 (Sangria) - Renan - R$ 250,00</t>
  </si>
  <si>
    <t>19a6d9cbe</t>
  </si>
  <si>
    <t>Distribuição de lucros maio</t>
  </si>
  <si>
    <t>21/07/2026 (Motoboy) -  - R$ 12,00</t>
  </si>
  <si>
    <t>17d691e41</t>
  </si>
  <si>
    <t>21/07/2026 (Motoboy) -  - R$ 10,00</t>
  </si>
  <si>
    <t>14ab361a1</t>
  </si>
  <si>
    <t>22/07/2026 (Motoboy) -  - R$ 60,00</t>
  </si>
  <si>
    <t>3639438d</t>
  </si>
  <si>
    <t>Casa das Embalagens (08/05/2024) - Embalagens</t>
  </si>
  <si>
    <t>R$ 16,40</t>
  </si>
  <si>
    <t>Notas_Images/3639438d.Foto.171640.jpg</t>
  </si>
  <si>
    <t>Saida Outros: saco d lixo</t>
  </si>
  <si>
    <t>ce971e83</t>
  </si>
  <si>
    <t>22/07/2026 (Compra de Mercadorias) -  - R$ 16,40</t>
  </si>
  <si>
    <t>cdb0b6b5</t>
  </si>
  <si>
    <t>e439676d</t>
  </si>
  <si>
    <t>BOMPACK (08/05/2024) - EMBALAGENS</t>
  </si>
  <si>
    <t>Notas_Images/cdb0b6b5.Foto.210818.jpg</t>
  </si>
  <si>
    <t>EMBALAGENS</t>
  </si>
  <si>
    <t>22/07/2026 (Motoboy) -  - R$ 15,00</t>
  </si>
  <si>
    <t>1ba518b2</t>
  </si>
  <si>
    <t>Notas_Images/1ba518b2.Foto.211020.jpg</t>
  </si>
  <si>
    <t>23/07/2026 (Motoboy) -  - R$ 32,00</t>
  </si>
  <si>
    <t>Saida Outros: sangria renan 23/07</t>
  </si>
  <si>
    <t>dd2fde05</t>
  </si>
  <si>
    <t>3ed809e0</t>
  </si>
  <si>
    <t>Produtos limpeza (09/05/2024) - Produtos limpeza</t>
  </si>
  <si>
    <t>Notas_Images/dd2fde05.Foto.171602.jpg</t>
  </si>
  <si>
    <t>Produtos limpeza</t>
  </si>
  <si>
    <t>23/07/2026 (Sangria) - Renan - R$ 750,00</t>
  </si>
  <si>
    <t>R$ 9,44</t>
  </si>
  <si>
    <t>97db0644</t>
  </si>
  <si>
    <t>Auto Coletivo Caçador (09/05/2024) - Vale transporte Mirian</t>
  </si>
  <si>
    <t>Notas_Images/97db0644.Foto.193826.jpg</t>
  </si>
  <si>
    <t>23/07/2026 (Cortesias) -  - R$ 9,44</t>
  </si>
  <si>
    <t>R$ 23,02</t>
  </si>
  <si>
    <t>4656f525</t>
  </si>
  <si>
    <t>Banderloff (09/05/2024) - Frutas</t>
  </si>
  <si>
    <t>23/07/2026 (Cortesias) -  - R$ 23,02</t>
  </si>
  <si>
    <t>Notas_Images/4656f525.Foto.193901.jpg</t>
  </si>
  <si>
    <t>R$ 152,00</t>
  </si>
  <si>
    <t>1a00eeea0</t>
  </si>
  <si>
    <t>7d55d5ba</t>
  </si>
  <si>
    <t>23/07/2026 (Motoboy) -  - R$ 152,00</t>
  </si>
  <si>
    <t>Vidro do buffet</t>
  </si>
  <si>
    <t>Saida Outros: Sangria Ramon 23/07</t>
  </si>
  <si>
    <t>2e1f652a</t>
  </si>
  <si>
    <t>b907220e</t>
  </si>
  <si>
    <t>23/07/2026 (Sangria) - Ramon Dutra - R$ 200,00</t>
  </si>
  <si>
    <t>QATACAREJO SUPERMERCADO (12/05/2024) - COMPRAS PARA O CAFÉ</t>
  </si>
  <si>
    <t>Notas_Images/2e1f652a.Foto.172037.jpg</t>
  </si>
  <si>
    <t>COMPRAS PARA O CAFÉ</t>
  </si>
  <si>
    <t>Entrada Outros: Sangria Renan 21/07</t>
  </si>
  <si>
    <t>4e29e56f</t>
  </si>
  <si>
    <t>24/07/2026 (Sangria) - Renan - R$ 250,00</t>
  </si>
  <si>
    <t>Camila Morango (13/05/2024) - Morango</t>
  </si>
  <si>
    <t>000a818a</t>
  </si>
  <si>
    <t>Notas_Images/4e29e56f.Foto.162242.jpg</t>
  </si>
  <si>
    <t>6ae0c7a4</t>
  </si>
  <si>
    <t>6fc2aac1</t>
  </si>
  <si>
    <t>24/07/2026 (Motoboy) -  - R$ 50,00</t>
  </si>
  <si>
    <t>Banderloff (13/05/2024) - Frutas</t>
  </si>
  <si>
    <t>Notas_Images/6fc2aac1.Foto.162323.jpg</t>
  </si>
  <si>
    <t>Saida Outros: sangria renan 24/07</t>
  </si>
  <si>
    <t>b85649b5</t>
  </si>
  <si>
    <t>24/07/2026 (Sangria) - Renan - R$ 350,00</t>
  </si>
  <si>
    <t>Casa das Embalagens (13/05/2024) - Embalagens</t>
  </si>
  <si>
    <t>R$ 37,85</t>
  </si>
  <si>
    <t>Notas_Images/b85649b5.Foto.193504.jpg</t>
  </si>
  <si>
    <t>Saida Outros: Jarra e utensílios</t>
  </si>
  <si>
    <t>9013cda4</t>
  </si>
  <si>
    <t>24/07/2026 (Compra de Mercadorias) -  - R$ 37,85</t>
  </si>
  <si>
    <t>1f5a60cfb</t>
  </si>
  <si>
    <t>R$ 128,40</t>
  </si>
  <si>
    <t>Troca De Mercadorias</t>
  </si>
  <si>
    <t>555e06b4</t>
  </si>
  <si>
    <t>24/07/2026 (Compra de Mercadorias) -  - R$ 128,40</t>
  </si>
  <si>
    <t>138b29218</t>
  </si>
  <si>
    <t>Dia das Mães</t>
  </si>
  <si>
    <t>24/07/2026 (Caixa Troco) -  - R$ 50,00</t>
  </si>
  <si>
    <t>13883d8aa</t>
  </si>
  <si>
    <t>R$ 19,90</t>
  </si>
  <si>
    <t>Pago por pix</t>
  </si>
  <si>
    <t>24/07/2026 (Consumo) - Rose - R$ 19,90</t>
  </si>
  <si>
    <t>ad07c365</t>
  </si>
  <si>
    <t>Banderloff (15/05/2024) - Frutas</t>
  </si>
  <si>
    <t>Notas_Images/ad07c365.Foto.171810.jpg</t>
  </si>
  <si>
    <t>Saida Outros: Sangria Ramon 24/07</t>
  </si>
  <si>
    <t>24/07/2026 (Sangria) - Ramon Dutra - R$ 100,00</t>
  </si>
  <si>
    <t>5da06d9c</t>
  </si>
  <si>
    <t>Amadelli (14/05/2024) - estoque seco</t>
  </si>
  <si>
    <t>Notas_Images/5da06d9c.Foto.201032.jpg</t>
  </si>
  <si>
    <t>24/07/2026 (Motoboy) -  - R$ 22,00</t>
  </si>
  <si>
    <t>0d41a954</t>
  </si>
  <si>
    <t>Amadelli (14/05/2024) - estoque gelado</t>
  </si>
  <si>
    <t>Notas_Images/0d41a954.Foto.201411.jpg</t>
  </si>
  <si>
    <t>25/07/2026 (Caixa Troco) -  - R$ 50,00</t>
  </si>
  <si>
    <t>18407d23a</t>
  </si>
  <si>
    <t>01c56480</t>
  </si>
  <si>
    <t>25/07/2026 (Freelancer) -  - R$ 120,00</t>
  </si>
  <si>
    <t>Condomínio Vana maio</t>
  </si>
  <si>
    <t>b7a6a029</t>
  </si>
  <si>
    <t>Camila Morango (13/05/2024) - Morangos</t>
  </si>
  <si>
    <t>Notas_Images/b7a6a029.Foto.191913.jpg</t>
  </si>
  <si>
    <t>06becd32</t>
  </si>
  <si>
    <t>Help Multi Coisas (16/05/2024) - carregador</t>
  </si>
  <si>
    <t>Notas_Images/06becd32.Foto.222503.jpg</t>
  </si>
  <si>
    <t>R$ 273,00</t>
  </si>
  <si>
    <t>carregador</t>
  </si>
  <si>
    <t>25/07/2026 (Motoboy) -  - R$ 273,00</t>
  </si>
  <si>
    <t>eb858a83</t>
  </si>
  <si>
    <t>Banderloff (17/05/2024) - Frutas</t>
  </si>
  <si>
    <t>R$ 46,50</t>
  </si>
  <si>
    <t>Notas_Images/eb858a83.Foto.172200.jpg</t>
  </si>
  <si>
    <t>25/07/2026 (Consumo) - Ramon Dutra - R$ 46,50</t>
  </si>
  <si>
    <t>c60b788f</t>
  </si>
  <si>
    <t>QATACAREJO SUPERMERCADO (17/05/2024) - compras para o café</t>
  </si>
  <si>
    <t>Saida Outros: Sangria Ramon 25/07</t>
  </si>
  <si>
    <t>Notas_Images/c60b788f.Foto.173655.jpg</t>
  </si>
  <si>
    <t>25/07/2026 (Sangria) - Ramon Dutra - R$ 600,00</t>
  </si>
  <si>
    <t>d0376454</t>
  </si>
  <si>
    <t>Camila Morango (17/05/2024) - Morangos</t>
  </si>
  <si>
    <t>Notas_Images/d0376454.Foto.191821.jpg</t>
  </si>
  <si>
    <t>26/07/2026 (Caixa Troco) -  - R$ 50,00</t>
  </si>
  <si>
    <t>R$ 154,50</t>
  </si>
  <si>
    <t>6e82b70c</t>
  </si>
  <si>
    <t>Coca Cola (17/05/2024) - bebidas</t>
  </si>
  <si>
    <t>26/07/2026 (Caixa Troco) -  - R$ 154,50</t>
  </si>
  <si>
    <t>Notas_Images/6e82b70c.Foto.163104.jpg</t>
  </si>
  <si>
    <t>1486a46f</t>
  </si>
  <si>
    <t>ca16520b</t>
  </si>
  <si>
    <t>26/07/2026 (Motoboy) -  - R$ 295,00</t>
  </si>
  <si>
    <t>Celesc (18/05/2024) - conta de luz</t>
  </si>
  <si>
    <t>Notas_Images/1486a46f.Foto.162551.jpg</t>
  </si>
  <si>
    <t>conta de luz</t>
  </si>
  <si>
    <t>R$ 1.900,00</t>
  </si>
  <si>
    <t>Saida Outros: sangra renan 26/07</t>
  </si>
  <si>
    <t>a740cf9f</t>
  </si>
  <si>
    <t>26/07/2026 (Sangria) - Renan - R$ 1.900,00</t>
  </si>
  <si>
    <t>Camila Morango (20/05/2024) - Morangos</t>
  </si>
  <si>
    <t>Notas_Images/a740cf9f.Foto.162908.jpg</t>
  </si>
  <si>
    <t>Saida Outros: free thaynara</t>
  </si>
  <si>
    <t>26/07/2026 (Freelancer) -  - R$ 120,00</t>
  </si>
  <si>
    <t>1ff90791f</t>
  </si>
  <si>
    <t>8adbf447</t>
  </si>
  <si>
    <t>Saida Outros: free nicoli</t>
  </si>
  <si>
    <t>Aline adiantamento</t>
  </si>
  <si>
    <t>a38516db</t>
  </si>
  <si>
    <t>Saida Outros: free soraida</t>
  </si>
  <si>
    <t>Banderloff (23/05/2024) - Frutas</t>
  </si>
  <si>
    <t>Notas_Images/a38516db.Foto.184929.jpg</t>
  </si>
  <si>
    <t>1f01a07f4</t>
  </si>
  <si>
    <t>Adin</t>
  </si>
  <si>
    <t>27/07/2026 (Motoboy) -  - R$ 69,00</t>
  </si>
  <si>
    <t>f3e6ad57</t>
  </si>
  <si>
    <t>6b3c2322</t>
  </si>
  <si>
    <t>0b40f1f5</t>
  </si>
  <si>
    <t>explosão 10 (24/05/2024) - lixeira</t>
  </si>
  <si>
    <t>27/07/2026 (Caixa Troco) -  - R$ 100,00</t>
  </si>
  <si>
    <t>Notas_Images/f3e6ad57.Foto.170815.jpg</t>
  </si>
  <si>
    <t>Saida Outros: sangria renan 27/07</t>
  </si>
  <si>
    <t>abb1be39</t>
  </si>
  <si>
    <t>27/07/2026 (Sangria) - Renan - R$ 600,00</t>
  </si>
  <si>
    <t>GH Center Supermercado (24/05/2024) - compras café</t>
  </si>
  <si>
    <t>Notas_Images/abb1be39.Foto.171319.jpg</t>
  </si>
  <si>
    <t>R$ 14,47</t>
  </si>
  <si>
    <t>908462/908517</t>
  </si>
  <si>
    <t>27/07/2026 (Cortesias) -  - R$ 14,47</t>
  </si>
  <si>
    <t>77a72301</t>
  </si>
  <si>
    <t>Alternativa Comunicação Visual (24/05/2024) - adesivos e etiquetas</t>
  </si>
  <si>
    <t>Notas_Images/77a72301.Foto.184124.jpg</t>
  </si>
  <si>
    <t>Saida Outros: Morangos</t>
  </si>
  <si>
    <t>adesivos e etiquetas</t>
  </si>
  <si>
    <t>27/07/2026 (Compra de Mercadorias) -  - R$ 80,00</t>
  </si>
  <si>
    <t>8d47f67a</t>
  </si>
  <si>
    <t>4ed6a67e</t>
  </si>
  <si>
    <t>Luana salgados (24/05/2024) - salgados</t>
  </si>
  <si>
    <t>Notas_Images/8d47f67a.Foto.184345.jpg</t>
  </si>
  <si>
    <t>salgados</t>
  </si>
  <si>
    <t>27/07/2026 (Motoboy) -  - R$ 40,00</t>
  </si>
  <si>
    <t>1abdb9b1</t>
  </si>
  <si>
    <t>Saida Outros: Sangria Ramon 27/07</t>
  </si>
  <si>
    <t>Morangos frigotto (24/05/2024) - morangos</t>
  </si>
  <si>
    <t>Notas_Images/1abdb9b1.Foto.185345.jpg</t>
  </si>
  <si>
    <t>27/07/2026 (Sangria) - Ramon Dutra - R$ 100,00</t>
  </si>
  <si>
    <t>R$ 19,88</t>
  </si>
  <si>
    <t>0ebe8cae</t>
  </si>
  <si>
    <t>EXTERMINIO DESINSETIZADORA (10/06/2024) - exterminio</t>
  </si>
  <si>
    <t>Notas_Images/0ebe8cae.Foto.190633.jpg</t>
  </si>
  <si>
    <t>28/07/2026 (Cortesias) -  - R$ 19,88</t>
  </si>
  <si>
    <t>11183f7c1</t>
  </si>
  <si>
    <t>Uniformes</t>
  </si>
  <si>
    <t>28/07/2026 (Consumo) - Ramon Dutra - R$ 18,00</t>
  </si>
  <si>
    <t>R$ 159,00</t>
  </si>
  <si>
    <t>77aedcf5</t>
  </si>
  <si>
    <t>Help Multi Coisas (24/05/2024) - folhas contagem</t>
  </si>
  <si>
    <t>28/07/2026 (Motoboy) -  - R$ 159,00</t>
  </si>
  <si>
    <t>Notas_Images/77aedcf5.Foto.184923.jpg</t>
  </si>
  <si>
    <t>8f616d63</t>
  </si>
  <si>
    <t>folhas contagem</t>
  </si>
  <si>
    <t>R$ 185,00</t>
  </si>
  <si>
    <t>1f2a7920</t>
  </si>
  <si>
    <t>13208d976</t>
  </si>
  <si>
    <t>28/07/2026 (Caixa Troco) -  - R$ 185,00</t>
  </si>
  <si>
    <t>cai cai</t>
  </si>
  <si>
    <t>R$ 603,00</t>
  </si>
  <si>
    <t>10d22e701_4</t>
  </si>
  <si>
    <t>28/07/2026 (Compra de Mercadorias) -  - R$ 603,00</t>
  </si>
  <si>
    <t>Parc empréstimo (6/10)</t>
  </si>
  <si>
    <t>Saida Outros: sangria renan 28/07</t>
  </si>
  <si>
    <t>145ecc8c0_4</t>
  </si>
  <si>
    <t>28/07/2026 (Sangria) - Renan - R$ 500,00</t>
  </si>
  <si>
    <t>918ca77b</t>
  </si>
  <si>
    <t>28/07/2026 (Consumo) - Renan - R$ 72,00</t>
  </si>
  <si>
    <t>Farmacia (28/05/2024) - remedios</t>
  </si>
  <si>
    <t>Notas_Images/918ca77b.Foto.224139.jpg</t>
  </si>
  <si>
    <t>remedios</t>
  </si>
  <si>
    <t>R$ 106,00</t>
  </si>
  <si>
    <t>90ad7fcf</t>
  </si>
  <si>
    <t>Saida Outros: Combustível Ramon</t>
  </si>
  <si>
    <t>73ab6883</t>
  </si>
  <si>
    <t>28/07/2026 (Compra de Mercadorias) -  - R$ 106,00</t>
  </si>
  <si>
    <t>Patrimonial (29/05/2024) - Patrimonial monitoramento</t>
  </si>
  <si>
    <t>Notas_Images/73ab6883.Foto.194208.jpg</t>
  </si>
  <si>
    <t>Patrimonial monitoramento</t>
  </si>
  <si>
    <t>28/07/2026 (Motoboy) -  - R$ 31,00</t>
  </si>
  <si>
    <t>7e5428ba</t>
  </si>
  <si>
    <t>Luana salgados (30/05/2024) - Lanche para feriado</t>
  </si>
  <si>
    <t>Notas_Images/7e5428ba.Foto.173324.jpg</t>
  </si>
  <si>
    <t>Lanche para feriado</t>
  </si>
  <si>
    <t>Saida Outros: Sangria Ramon 28/07</t>
  </si>
  <si>
    <t>28/07/2026 (Sangria) - Ramon Dutra - R$ 350,00</t>
  </si>
  <si>
    <t>99c7e0f5</t>
  </si>
  <si>
    <t>Lasta Frutolândia (31/05/2024) - Lanche</t>
  </si>
  <si>
    <t>Notas_Images/99c7e0f5.Foto.180518.jpg</t>
  </si>
  <si>
    <t>Lanche</t>
  </si>
  <si>
    <t>29/07/2026 (Motoboy) -  - R$ 30,00</t>
  </si>
  <si>
    <t>206af00d</t>
  </si>
  <si>
    <t>Camila Morango (31/05/2024) - morangos</t>
  </si>
  <si>
    <t>Notas_Images/206af00d.Foto.185158.jpg</t>
  </si>
  <si>
    <t>29/07/2026 (Consumo) - Renan - R$ 6,00</t>
  </si>
  <si>
    <t>1d8b57aa8</t>
  </si>
  <si>
    <t>Saida Outros: sangria renan 29/07</t>
  </si>
  <si>
    <t>Ad.</t>
  </si>
  <si>
    <t>29/07/2026 (Sangria) - Renan - R$ 200,00</t>
  </si>
  <si>
    <t>164352bab</t>
  </si>
  <si>
    <t>Saida Outros: Sangria Ramon 29/07</t>
  </si>
  <si>
    <t>29/07/2026 (Sangria) - Ramon Dutra - R$ 150,00</t>
  </si>
  <si>
    <t>e18d4b79</t>
  </si>
  <si>
    <t>Banderloff (29/05/2024) - frutas</t>
  </si>
  <si>
    <t>Notas_Images/e18d4b79.Foto.174745.jpg</t>
  </si>
  <si>
    <t>29/07/2026 (Motoboy) -  - R$ 32,00</t>
  </si>
  <si>
    <t>78bd97a3</t>
  </si>
  <si>
    <t>Amadelli (29/05/2024) - estoque seco</t>
  </si>
  <si>
    <t>Notas_Images/78bd97a3.Foto.205120.jpg</t>
  </si>
  <si>
    <t>30/07/2026 (Motoboy) -  - R$ 23,00</t>
  </si>
  <si>
    <t>b91d976f</t>
  </si>
  <si>
    <t>Saida Outros: sangria renan ,30/07</t>
  </si>
  <si>
    <t>Amadelli (29/05/2024) - estoque gelado</t>
  </si>
  <si>
    <t>Notas_Images/b91d976f.Foto.205658.jpg</t>
  </si>
  <si>
    <t>c4faf326</t>
  </si>
  <si>
    <t>30/07/2026 (Sangria) - Renan - R$ 600,00</t>
  </si>
  <si>
    <t>fe2961f1</t>
  </si>
  <si>
    <t>Rian pires (31/05/2024) - troca de lampada</t>
  </si>
  <si>
    <t>Notas_Images/c4faf326.Foto.231230.jpg</t>
  </si>
  <si>
    <t>troca de lampada</t>
  </si>
  <si>
    <t>44d8162b</t>
  </si>
  <si>
    <t>30/07/2026 (Consumo) - Rose - R$ 59,00</t>
  </si>
  <si>
    <t>Unidas material  de construção (31/05/2024) - lampada</t>
  </si>
  <si>
    <t>Notas_Images/44d8162b.Foto.231341.jpg</t>
  </si>
  <si>
    <t>lampada</t>
  </si>
  <si>
    <t>R$ 82,00</t>
  </si>
  <si>
    <t>fd18ac74</t>
  </si>
  <si>
    <t>Notas_Images/fd18ac74.Foto.231516.jpg</t>
  </si>
  <si>
    <t>30/07/2026 (Consumo) - Regiane - R$ 82,00</t>
  </si>
  <si>
    <t>R$ 95,00</t>
  </si>
  <si>
    <t>716ea242</t>
  </si>
  <si>
    <t>Banderloff (01/06/2024) - frutas</t>
  </si>
  <si>
    <t>Notas_Images/716ea242.Foto.174524.jpg</t>
  </si>
  <si>
    <t>30/07/2026 (Consumo) - Renan - R$ 95,00</t>
  </si>
  <si>
    <t>c23db869</t>
  </si>
  <si>
    <t>Camila Morango (03/06/2024) - Morangos 8kg</t>
  </si>
  <si>
    <t>Notas_Images/c23db869.Foto.204750.jpg</t>
  </si>
  <si>
    <t>30/07/2026 (Motoboy) -  - R$ 25,00</t>
  </si>
  <si>
    <t>Morangos 8kg</t>
  </si>
  <si>
    <t>R$ 119,60</t>
  </si>
  <si>
    <t>Dia 03/06</t>
  </si>
  <si>
    <t>Saida Outros: gelatina beijo</t>
  </si>
  <si>
    <t>27d0dfb7</t>
  </si>
  <si>
    <t>0e408efe</t>
  </si>
  <si>
    <t>00d869fe</t>
  </si>
  <si>
    <t>AIBOO (10/06/2024) - fatura mes 0.6</t>
  </si>
  <si>
    <t>Notas_Images/27d0dfb7.Foto.201909.jpg</t>
  </si>
  <si>
    <t>31/07/2026 (Compra de Mercadorias) -  - R$ 119,60</t>
  </si>
  <si>
    <t>fatura mes 0.6</t>
  </si>
  <si>
    <t>1c17e4591</t>
  </si>
  <si>
    <t>31/07/2026 (Motoboy) -  - R$ 112,00</t>
  </si>
  <si>
    <t>Sal maio</t>
  </si>
  <si>
    <t>2e69bdd3</t>
  </si>
  <si>
    <t>R$ 12,90</t>
  </si>
  <si>
    <t>14b17f1ea</t>
  </si>
  <si>
    <t>31/07/2026 (Consumo) - Ramon Dutra - R$ 12,90</t>
  </si>
  <si>
    <t>Saida Outros: sangria renan 31/07</t>
  </si>
  <si>
    <t>1879b6d20</t>
  </si>
  <si>
    <t>31/07/2026 (Sangria) - Renan - R$ 100,00</t>
  </si>
  <si>
    <t>R$ 228,00</t>
  </si>
  <si>
    <t>1c08aec6b</t>
  </si>
  <si>
    <t>Saida Outros: pagamento morango</t>
  </si>
  <si>
    <t>29336ec3</t>
  </si>
  <si>
    <t>31/07/2026 (Compra de Mercadorias) -  - R$ 228,00</t>
  </si>
  <si>
    <t>1e08975b8</t>
  </si>
  <si>
    <t>31/07/2026 (Consumo) - Regiane - R$ 29,00</t>
  </si>
  <si>
    <t>1b37f9fc2</t>
  </si>
  <si>
    <t>R$ 84,00</t>
  </si>
  <si>
    <t>31/07/2026 (Consumo) - Renan - R$ 84,00</t>
  </si>
  <si>
    <t>ac86ee2b</t>
  </si>
  <si>
    <t>Banderloff (05/06/2024) - FRUTAS</t>
  </si>
  <si>
    <t>Saida Outros: pagamento free nicole</t>
  </si>
  <si>
    <t>Notas_Images/ac86ee2b.Foto.202639.jpg</t>
  </si>
  <si>
    <t>01/08/2026 (Freelancer) -  - R$ 60,00</t>
  </si>
  <si>
    <t>203290ca</t>
  </si>
  <si>
    <t>15b84cab</t>
  </si>
  <si>
    <t>Bubina máquina (06/06/2024) - Bubiba maquina</t>
  </si>
  <si>
    <t>Notas_Images/203290ca.Foto.162842.jpg</t>
  </si>
  <si>
    <t>Bubiba maquina</t>
  </si>
  <si>
    <t>01/08/2026 (Caixa Troco) -  - R$ 240,00</t>
  </si>
  <si>
    <t>fd78f687</t>
  </si>
  <si>
    <t>Saida Outros: pagamento fgree thaynara</t>
  </si>
  <si>
    <t>Jandira (06/06/2024) - Produtos de limpeza</t>
  </si>
  <si>
    <t>Notas_Images/fd78f687.Foto.194231.jpg</t>
  </si>
  <si>
    <t>01/08/2026 (Freelancer) -  - R$ 120,00</t>
  </si>
  <si>
    <t>R$ 163,00</t>
  </si>
  <si>
    <t>a3f129dc</t>
  </si>
  <si>
    <t>Saida Outros: pagamento motoby clovis</t>
  </si>
  <si>
    <t>BRk (29/05/2024) - Conta de água</t>
  </si>
  <si>
    <t>Notas_Images/a3f129dc.Foto.194119.jpg</t>
  </si>
  <si>
    <t>01/08/2026 (Motoboy) -  - R$ 163,00</t>
  </si>
  <si>
    <t>Conta de água</t>
  </si>
  <si>
    <t>R$ 1.400,00</t>
  </si>
  <si>
    <t>Saida Outros: sangria renan 01/08</t>
  </si>
  <si>
    <t>a5de6717</t>
  </si>
  <si>
    <t>3ce1f7c1</t>
  </si>
  <si>
    <t>Coopex (03/06/2024) - Embalagens</t>
  </si>
  <si>
    <t>01/08/2026 (Sangria) - Renan - R$ 1.400,00</t>
  </si>
  <si>
    <t>Notas_Images/a5de6717.Foto.204914.jpg</t>
  </si>
  <si>
    <t>5083c540</t>
  </si>
  <si>
    <t>66158a6a</t>
  </si>
  <si>
    <t>Pix (03/06/2024) - Pix</t>
  </si>
  <si>
    <t>02/08/2026 (Consumo) - Rose - R$ 42,00</t>
  </si>
  <si>
    <t>Notas_Images/5083c540.Foto.164857.jpg</t>
  </si>
  <si>
    <t>Pix</t>
  </si>
  <si>
    <t>R$ 15,35</t>
  </si>
  <si>
    <t>189f896ec</t>
  </si>
  <si>
    <t>02/08/2026 (Cortesias) -  - R$ 15,35</t>
  </si>
  <si>
    <t>Adian liberado pelo Jairo</t>
  </si>
  <si>
    <t>R$ 388,00</t>
  </si>
  <si>
    <t>02/08/2026 (Motoboy) -  - R$ 388,00</t>
  </si>
  <si>
    <t>9779ef4e</t>
  </si>
  <si>
    <t>Banderloff (07/06/2024) - frutas</t>
  </si>
  <si>
    <t>Notas_Images/9779ef4e.Foto.174036.jpg</t>
  </si>
  <si>
    <t>02/08/2026 (Freelancer) -  - R$ 120,00</t>
  </si>
  <si>
    <t>ccc79cbc</t>
  </si>
  <si>
    <t>Camila Morango (07/06/2024) - morangos</t>
  </si>
  <si>
    <t>Notas_Images/ccc79cbc.Foto.174949.jpg</t>
  </si>
  <si>
    <t>02/08/2026 (Freelancer) -  - R$ 135,00</t>
  </si>
  <si>
    <t>5a3a4db9</t>
  </si>
  <si>
    <t>Help Multi Coisas (07/06/2024) - compras folhas contagem</t>
  </si>
  <si>
    <t>Notas_Images/5a3a4db9.Foto.180216.jpg</t>
  </si>
  <si>
    <t>compras folhas contagem</t>
  </si>
  <si>
    <t>R$ 2.300,00</t>
  </si>
  <si>
    <t>Saida Outros: Sangria Ramon 02/08</t>
  </si>
  <si>
    <t>7136c8ad</t>
  </si>
  <si>
    <t>02/08/2026 (Sangria) - Ramon Dutra - R$ 2.300,00</t>
  </si>
  <si>
    <t>Superviza Supermercado (07/06/2024) - compras café</t>
  </si>
  <si>
    <t>Notas_Images/7136c8ad.Foto.202144.jpg</t>
  </si>
  <si>
    <t>2e98d33c</t>
  </si>
  <si>
    <t>02/08/2026 (Caixa Troco) -  - R$ 80,00</t>
  </si>
  <si>
    <t>Lojas milium (07/06/2024) - jarra e lixeira</t>
  </si>
  <si>
    <t>Notas_Images/2e98d33c.Foto.202258.jpg</t>
  </si>
  <si>
    <t>jarra e lixeira</t>
  </si>
  <si>
    <t>7358565e</t>
  </si>
  <si>
    <t>03/08/2026 (Sangria) - Ramon Dutra - R$ 100,00</t>
  </si>
  <si>
    <t>Embrast (10/06/2024) - embalagens</t>
  </si>
  <si>
    <t>Notas_Images/7358565e.Foto.214117.jpg</t>
  </si>
  <si>
    <t>4298d113</t>
  </si>
  <si>
    <t>BRk (11/06/2024) - conta de agua</t>
  </si>
  <si>
    <t>Notas_Images/4298d113.Foto.203604.jpg</t>
  </si>
  <si>
    <t>conta de agua</t>
  </si>
  <si>
    <t>6fe5c1d7</t>
  </si>
  <si>
    <t>Notas_Images/6fe5c1d7.Foto.210523.jpg</t>
  </si>
  <si>
    <t>Banderloff (11/06/2024) - Frutas</t>
  </si>
  <si>
    <t>Notas_Images/64159874.Foto.180744.jpg</t>
  </si>
  <si>
    <t>175b4f008</t>
  </si>
  <si>
    <t>Produto</t>
  </si>
  <si>
    <t>Quantidade</t>
  </si>
  <si>
    <t>ValorTotal</t>
  </si>
  <si>
    <t>ITEM-041000cd-1</t>
  </si>
  <si>
    <t>1724166f5</t>
  </si>
  <si>
    <t>ITEM-041000cd-2</t>
  </si>
  <si>
    <t>Condomínio Vana</t>
  </si>
  <si>
    <t>ITEM-041000cd-3</t>
  </si>
  <si>
    <t>a568c7f2</t>
  </si>
  <si>
    <t>Camila Morango (12/06/2024) - MORANGOS</t>
  </si>
  <si>
    <t>ITEM-041000cd-4</t>
  </si>
  <si>
    <t>Notas_Images/a568c7f2.Foto.191650.jpg</t>
  </si>
  <si>
    <t>MORANGOS</t>
  </si>
  <si>
    <t>ITEM-041000cd-5</t>
  </si>
  <si>
    <t>ITEM-cca63b84-1</t>
  </si>
  <si>
    <t>886ce266</t>
  </si>
  <si>
    <t>Banderloff (13/06/2024) - frutas</t>
  </si>
  <si>
    <t>ITEM-d46e79c5-1</t>
  </si>
  <si>
    <t>Notas_Images/886ce266.Foto.194807.jpg</t>
  </si>
  <si>
    <t>ITEM-d46e79c5-2</t>
  </si>
  <si>
    <t>8e42f969</t>
  </si>
  <si>
    <t>ITEM-d46e79c5-3</t>
  </si>
  <si>
    <t>COMERCIO DE EMBALAGENS CACADOR LTDA EPP (14/06/2024) - toucas descartaveis</t>
  </si>
  <si>
    <t>Notas_Images/8e42f969.Foto.184244.jpg</t>
  </si>
  <si>
    <t>ITEM-d46e79c5-4</t>
  </si>
  <si>
    <t>toucas descartaveis</t>
  </si>
  <si>
    <t>ITEM-d46e79c5-5</t>
  </si>
  <si>
    <t>64b77e78</t>
  </si>
  <si>
    <t>ITEM-d46e79c5-6</t>
  </si>
  <si>
    <t>QATACAREJO SUPERMERCADO (14/06/2024) - compras cafe final de semana</t>
  </si>
  <si>
    <t>Notas_Images/64b77e78.Foto.184809.jpg</t>
  </si>
  <si>
    <t>ITEM-d46e79c5-7</t>
  </si>
  <si>
    <t>compras cafe final de semana</t>
  </si>
  <si>
    <t>ITEM-d46e79c5-8</t>
  </si>
  <si>
    <t>a1ca921c</t>
  </si>
  <si>
    <t>ITEM-d46e79c5-9</t>
  </si>
  <si>
    <t>Camila Morango (14/06/2024) - morangos</t>
  </si>
  <si>
    <t>Notas_Images/a1ca921c.Foto.190358.jpg</t>
  </si>
  <si>
    <t>ITEM-d46e79c5-10</t>
  </si>
  <si>
    <t>ITEM-d46e79c5-11</t>
  </si>
  <si>
    <t>1b6fe9c59</t>
  </si>
  <si>
    <t>81aba0f7</t>
  </si>
  <si>
    <t>ITEM-d46e79c5-12</t>
  </si>
  <si>
    <t>Reem decor dia dos namorados</t>
  </si>
  <si>
    <t>ITEM-d46e79c5-13</t>
  </si>
  <si>
    <t>40898f6e</t>
  </si>
  <si>
    <t>ITEM-d46e79c5-14</t>
  </si>
  <si>
    <t>Amadelli (12/06/2024) - estoque gelado</t>
  </si>
  <si>
    <t>Notas_Images/40898f6e.Foto.182015.jpg</t>
  </si>
  <si>
    <t>ITEM-5655d51d-1</t>
  </si>
  <si>
    <t>bfa1e4a4</t>
  </si>
  <si>
    <t>ITEM-6f97648e-1</t>
  </si>
  <si>
    <t>ITEM-6f97648e-2</t>
  </si>
  <si>
    <t>ITEM-6f97648e-3</t>
  </si>
  <si>
    <t>ITEM-6f97648e-4</t>
  </si>
  <si>
    <t>Ditribuidora de Bebidas Caçador (14/06/2024) - Bebidas</t>
  </si>
  <si>
    <t>Notas_Images/bfa1e4a4.Foto.155057.jpg</t>
  </si>
  <si>
    <t>ITEM-6f97648e-5</t>
  </si>
  <si>
    <t>ITEM-c12dee14-1</t>
  </si>
  <si>
    <t>30f07295</t>
  </si>
  <si>
    <t>ITEM-c12dee14-2</t>
  </si>
  <si>
    <t>Notas_Images/30f07295.Foto.155338.jpg</t>
  </si>
  <si>
    <t>ITEM-c12dee14-3</t>
  </si>
  <si>
    <t>d6d0f64e</t>
  </si>
  <si>
    <t>ITEM-c12dee14-4</t>
  </si>
  <si>
    <t>Banderloff (18/06/2024) - Pagamento FRUTAS</t>
  </si>
  <si>
    <t>Notas_Images/d6d0f64e.Foto.190935.jpg</t>
  </si>
  <si>
    <t>Pagamento FRUTAS</t>
  </si>
  <si>
    <t>ITEM-28a2a8a1-1</t>
  </si>
  <si>
    <t>ITEM-28a2a8a1-2</t>
  </si>
  <si>
    <t>6ddc4671</t>
  </si>
  <si>
    <t>Suco prats (18/06/2024) - suco</t>
  </si>
  <si>
    <t>ITEM-ea64f11b-1</t>
  </si>
  <si>
    <t>Notas_Images/54355018.Foto.195455.jpg</t>
  </si>
  <si>
    <t>suco</t>
  </si>
  <si>
    <t>ITEM-36d120f7-1</t>
  </si>
  <si>
    <t>f77f8a6e</t>
  </si>
  <si>
    <t>ITEM-36d120f7-2</t>
  </si>
  <si>
    <t>Camila Morango (19/06/2024) - Pagamento morango</t>
  </si>
  <si>
    <t>e5b4d68f</t>
  </si>
  <si>
    <t>Notas_Images/f77f8a6e.Foto.185230.jpg</t>
  </si>
  <si>
    <t>Pagamento morango</t>
  </si>
  <si>
    <t>ITEM-36d120f7-3</t>
  </si>
  <si>
    <t>ITEM-36d120f7-4</t>
  </si>
  <si>
    <t>175204af0</t>
  </si>
  <si>
    <t>ITEM-70ac4455-1</t>
  </si>
  <si>
    <t>Reembolso Acerto Mirian</t>
  </si>
  <si>
    <t>ITEM-70ac4455-2</t>
  </si>
  <si>
    <t>ITEM-70ac4455-3</t>
  </si>
  <si>
    <t>1263656a0</t>
  </si>
  <si>
    <t>ITEM-70ac4455-4</t>
  </si>
  <si>
    <t>Dia dos namorados</t>
  </si>
  <si>
    <t>ITEM-82cbff30-1</t>
  </si>
  <si>
    <t>e17d64eb</t>
  </si>
  <si>
    <t>ITEM-82cbff30-2</t>
  </si>
  <si>
    <t>Banderloff (20/06/2024) - frutas</t>
  </si>
  <si>
    <t>Notas_Images/e17d64eb.Foto.182822.jpg</t>
  </si>
  <si>
    <t>ITEM-82cbff30-3</t>
  </si>
  <si>
    <t>ITEM-82cbff30-4</t>
  </si>
  <si>
    <t>34852c7a</t>
  </si>
  <si>
    <t>ITEM-82cbff30-5</t>
  </si>
  <si>
    <t>7ff24225</t>
  </si>
  <si>
    <t>Coca cola (20/06/2024) - bebidas</t>
  </si>
  <si>
    <t>Notas_Images/34852c7a.Foto.200638.jpg</t>
  </si>
  <si>
    <t>ITEM-82cbff30-6</t>
  </si>
  <si>
    <t>ITEM-498999b8-1</t>
  </si>
  <si>
    <t>ITEM-1a703a49-1</t>
  </si>
  <si>
    <t>9cb4e52b</t>
  </si>
  <si>
    <t>ITEM-1bb31767-1</t>
  </si>
  <si>
    <t>Amadelli (13/06/2024) - carga seca</t>
  </si>
  <si>
    <t>Notas_Images/9cb4e52b.Foto.193416.jpg</t>
  </si>
  <si>
    <t>ITEM-1bb31767-2</t>
  </si>
  <si>
    <t>ITEM-1bb31767-3</t>
  </si>
  <si>
    <t>a30a292c</t>
  </si>
  <si>
    <t>ITEM-1bb31767-4</t>
  </si>
  <si>
    <t>Coopex (18/06/2024) - Embalagens</t>
  </si>
  <si>
    <t>ITEM-ba77cc5e-1</t>
  </si>
  <si>
    <t>Notas_Images/a30a292c.Foto.173415.jpg</t>
  </si>
  <si>
    <t>ITEM-ba77cc5e-2</t>
  </si>
  <si>
    <t>9eeec060</t>
  </si>
  <si>
    <t>ITEM-ba77cc5e-3</t>
  </si>
  <si>
    <t>10ca1b121</t>
  </si>
  <si>
    <t>ITEM-ba77cc5e-4</t>
  </si>
  <si>
    <t>Liberado para descontar no salário pago em agosto</t>
  </si>
  <si>
    <t>ITEM-ba77cc5e-5</t>
  </si>
  <si>
    <t>1d30302bf</t>
  </si>
  <si>
    <t>ITEM-a963d2fd-1</t>
  </si>
  <si>
    <t>ITEM-5d147898-1</t>
  </si>
  <si>
    <t>ITEM-5d147898-2</t>
  </si>
  <si>
    <t>160d8f6a8</t>
  </si>
  <si>
    <t>ITEM-5d147898-3</t>
  </si>
  <si>
    <t>Embalagens, boleto atrasado, valor original 827,25</t>
  </si>
  <si>
    <t>ITEM-2cc3cd02-1</t>
  </si>
  <si>
    <t>11d5fa5bd</t>
  </si>
  <si>
    <t>ITEM-2cc3cd02-2</t>
  </si>
  <si>
    <t>ITEM-2cc3cd02-3</t>
  </si>
  <si>
    <t>ITEM-2cc3cd02-4</t>
  </si>
  <si>
    <t>145ecc8c0_5</t>
  </si>
  <si>
    <t>ITEM-2cc3cd02-5</t>
  </si>
  <si>
    <t>ITEM-022c2208-1</t>
  </si>
  <si>
    <t>1deda92ea</t>
  </si>
  <si>
    <t>ITEM-e824e5a3-1</t>
  </si>
  <si>
    <t>c324ca34</t>
  </si>
  <si>
    <t>ITEM-e824e5a3-2</t>
  </si>
  <si>
    <t>Difal</t>
  </si>
  <si>
    <t>ITEM-e824e5a3-3</t>
  </si>
  <si>
    <t>14fb06d96</t>
  </si>
  <si>
    <t>ITEM-e824e5a3-4</t>
  </si>
  <si>
    <t>ITEM-e824e5a3-5</t>
  </si>
  <si>
    <t>8a1c1901</t>
  </si>
  <si>
    <t>ITEM-9123aa03-1</t>
  </si>
  <si>
    <t>1d9df8e5d</t>
  </si>
  <si>
    <t>ITEM-9ab10bde-1</t>
  </si>
  <si>
    <t>Sal junho</t>
  </si>
  <si>
    <t>ITEM-ac79293a-1</t>
  </si>
  <si>
    <t>1cd6291f6</t>
  </si>
  <si>
    <t>ITEM-ac79293a-2</t>
  </si>
  <si>
    <t>ITEM-ac79293a-3</t>
  </si>
  <si>
    <t>1fc7fb124</t>
  </si>
  <si>
    <t>ITEM-4f1d501d-1</t>
  </si>
  <si>
    <t>ITEM-4f1d501d-2</t>
  </si>
  <si>
    <t>ITEM-4f1d501d-3</t>
  </si>
  <si>
    <t>1b2ea565b</t>
  </si>
  <si>
    <t>ITEM-4f1d501d-4</t>
  </si>
  <si>
    <t>ITEM-4f1d501d-5</t>
  </si>
  <si>
    <t>ITEM-e01c264e-1</t>
  </si>
  <si>
    <t>ITEM-e01c264e-2</t>
  </si>
  <si>
    <t>1de8a9189</t>
  </si>
  <si>
    <t>ITEM-e01c264e-3</t>
  </si>
  <si>
    <t>ITEM-e01c264e-4</t>
  </si>
  <si>
    <t>99f21ae5</t>
  </si>
  <si>
    <t>ITEM-e01c264e-5</t>
  </si>
  <si>
    <t>406fb276</t>
  </si>
  <si>
    <t>4c74375f</t>
  </si>
  <si>
    <t>ITEM-83106b86-1</t>
  </si>
  <si>
    <t>AIBOO (06/07/2024) - Plataforma Delivery</t>
  </si>
  <si>
    <t>Notas_Images/4c74375f.Foto.172512.png</t>
  </si>
  <si>
    <t>Plataforma Delivery</t>
  </si>
  <si>
    <t>ITEM-f0e3b03e-1</t>
  </si>
  <si>
    <t>14725810d</t>
  </si>
  <si>
    <t>ITEM-f0e3b03e-2</t>
  </si>
  <si>
    <t>ITEM-f0e3b03e-3</t>
  </si>
  <si>
    <t>f8d79178</t>
  </si>
  <si>
    <t>ITEM-15a55829-1</t>
  </si>
  <si>
    <t>1a76d8c82</t>
  </si>
  <si>
    <t>ITEM-9e26bfa3-1</t>
  </si>
  <si>
    <t>ITEM-d3975f99-1</t>
  </si>
  <si>
    <t>1082c438e</t>
  </si>
  <si>
    <t>ITEM-d3975f99-2</t>
  </si>
  <si>
    <t>Estoque</t>
  </si>
  <si>
    <t>ITEM-d3975f99-3</t>
  </si>
  <si>
    <t>ITEM-d3975f99-4</t>
  </si>
  <si>
    <t>1be881e8</t>
  </si>
  <si>
    <t>147616c38</t>
  </si>
  <si>
    <t>ITEM-17933f22-1</t>
  </si>
  <si>
    <t>ITEM-aadcd635-1</t>
  </si>
  <si>
    <t>17c0731c5</t>
  </si>
  <si>
    <t>18b96dfb</t>
  </si>
  <si>
    <t>ITEM-aadcd635-2</t>
  </si>
  <si>
    <t>ITEM-aadcd635-3</t>
  </si>
  <si>
    <t>13ef1832a</t>
  </si>
  <si>
    <t>ITEM-0e7dcbd5-1</t>
  </si>
  <si>
    <t>Boleto em atraso, original 827,25</t>
  </si>
  <si>
    <t>ITEM-0e7dcbd5-2</t>
  </si>
  <si>
    <t>ITEM-0e7dcbd5-3</t>
  </si>
  <si>
    <t>19039b4e4</t>
  </si>
  <si>
    <t>ITEM-0e7dcbd5-4</t>
  </si>
  <si>
    <t>Nicopel</t>
  </si>
  <si>
    <t>ITEM-50ce15a4-1</t>
  </si>
  <si>
    <t>ITEM-b85959dd-1</t>
  </si>
  <si>
    <t>15bc15daa</t>
  </si>
  <si>
    <t>ITEM-8391c73a-1</t>
  </si>
  <si>
    <t>Notas e Moedas</t>
  </si>
  <si>
    <t>ITEM-85bd29fd-1</t>
  </si>
  <si>
    <t>1859d4a37</t>
  </si>
  <si>
    <t>ITEM-3678b2ff-1</t>
  </si>
  <si>
    <t>Novo Sabor</t>
  </si>
  <si>
    <t>ITEM-2c2ec448-1</t>
  </si>
  <si>
    <t>1724166f5_2</t>
  </si>
  <si>
    <t>ITEM-2c2ec448-2</t>
  </si>
  <si>
    <t>ITEM-2c2ec448-3</t>
  </si>
  <si>
    <t>18334548a</t>
  </si>
  <si>
    <t>ITEM-2c2ec448-4</t>
  </si>
  <si>
    <t>ITEM-2c2ec448-5</t>
  </si>
  <si>
    <t>ITEM-2c2ec448-6</t>
  </si>
  <si>
    <t>150feebb8</t>
  </si>
  <si>
    <t>ITEM-2c2ec448-7</t>
  </si>
  <si>
    <t>Adiant</t>
  </si>
  <si>
    <t>ITEM-2c2ec448-8</t>
  </si>
  <si>
    <t>14f9366dd</t>
  </si>
  <si>
    <t>ITEM-65d20905-1</t>
  </si>
  <si>
    <t>7ba831be</t>
  </si>
  <si>
    <t>Troca de mercadorias</t>
  </si>
  <si>
    <t>ITEM-65d20905-2</t>
  </si>
  <si>
    <t>2835ef9b</t>
  </si>
  <si>
    <t>1c0d723bd</t>
  </si>
  <si>
    <t>ITEM-65d20905-3</t>
  </si>
  <si>
    <t>Talheres para waffle</t>
  </si>
  <si>
    <t>ITEM-65d20905-4</t>
  </si>
  <si>
    <t>ITEM-c5cf1140-1</t>
  </si>
  <si>
    <t>165a018e0</t>
  </si>
  <si>
    <t>ITEM-c5cf1140-2</t>
  </si>
  <si>
    <t>reembolso</t>
  </si>
  <si>
    <t>ITEM-c5cf1140-3</t>
  </si>
  <si>
    <t>146ede37a</t>
  </si>
  <si>
    <t>ITEM-c5cf1140-4</t>
  </si>
  <si>
    <t>sacos de lixo</t>
  </si>
  <si>
    <t>ITEM-c5cf1140-5</t>
  </si>
  <si>
    <t>ITEM-60adbfec-1</t>
  </si>
  <si>
    <t>172fef9fa</t>
  </si>
  <si>
    <t>ITEM-60adbfec-2</t>
  </si>
  <si>
    <t>comprei no mercado</t>
  </si>
  <si>
    <t>ITEM-60adbfec-3</t>
  </si>
  <si>
    <t>1691271b5</t>
  </si>
  <si>
    <t>ITEM-60adbfec-4</t>
  </si>
  <si>
    <t>Reembolso 50% entrada</t>
  </si>
  <si>
    <t>ITEM-5a151ba7-1</t>
  </si>
  <si>
    <t>ITEM-5a151ba7-2</t>
  </si>
  <si>
    <t>145ecc8c0_6</t>
  </si>
  <si>
    <t>ITEM-5a151ba7-3</t>
  </si>
  <si>
    <t>ITEM-5a151ba7-4</t>
  </si>
  <si>
    <t>ITEM-9c56a453-1</t>
  </si>
  <si>
    <t>d1562a07</t>
  </si>
  <si>
    <t>Amadelli (08/07/2024) - carga seca</t>
  </si>
  <si>
    <t>ITEM-45c4acaa-1</t>
  </si>
  <si>
    <t>Notas_Images/d1562a07.Foto.183128.jpg</t>
  </si>
  <si>
    <t>ITEM-3b120540-1</t>
  </si>
  <si>
    <t>7fa9ea5b</t>
  </si>
  <si>
    <t>Amadelli (10/07/2024) - carga seca</t>
  </si>
  <si>
    <t>Notas_Images/7fa9ea5b.Foto.182728.jpg</t>
  </si>
  <si>
    <t>ITEM-3b120540-2</t>
  </si>
  <si>
    <t>e1b464df</t>
  </si>
  <si>
    <t>ITEM-3b120540-3</t>
  </si>
  <si>
    <t>61097d5f</t>
  </si>
  <si>
    <t>Banderloff (12/07/2024) - frutas</t>
  </si>
  <si>
    <t>Notas_Images/e1b464df.Foto.183408.jpg</t>
  </si>
  <si>
    <t>ITEM-3b120540-4</t>
  </si>
  <si>
    <t>ITEM-3b120540-5</t>
  </si>
  <si>
    <t>ef70540e</t>
  </si>
  <si>
    <t>ITEM-3b120540-6</t>
  </si>
  <si>
    <t>Nicopel (15/07/2024) - Embalagens</t>
  </si>
  <si>
    <t>Notas_Images/ef70540e.Foto.165625.jpg</t>
  </si>
  <si>
    <t>ITEM-3b120540-7</t>
  </si>
  <si>
    <t>74113b95</t>
  </si>
  <si>
    <t>Patrimonial (17/07/2024) - monitoramento</t>
  </si>
  <si>
    <t>Notas_Images/74113b95.Foto.161746.jpg</t>
  </si>
  <si>
    <t>monitoramento</t>
  </si>
  <si>
    <t>ITEM-3b120540-8</t>
  </si>
  <si>
    <t>c19f7014</t>
  </si>
  <si>
    <t>ITEM-4223f64b-1</t>
  </si>
  <si>
    <t>Ditribuidora de Bebidas Caçador (19/07/2024) - bebidas</t>
  </si>
  <si>
    <t>Notas_Images/c19f7014.Foto.172229.jpg</t>
  </si>
  <si>
    <t>ITEM-d04f4590-1</t>
  </si>
  <si>
    <t>823b8db6</t>
  </si>
  <si>
    <t>ITEM-d04f4590-2</t>
  </si>
  <si>
    <t>Amadelli (22/07/2024) - carga seca</t>
  </si>
  <si>
    <t>Notas_Images/823b8db6.Foto.173337.jpg</t>
  </si>
  <si>
    <t>ITEM-d04f4590-3</t>
  </si>
  <si>
    <t>ITEM-d04f4590-4</t>
  </si>
  <si>
    <t>d7c46ddf</t>
  </si>
  <si>
    <t>ITEM-d04f4590-5</t>
  </si>
  <si>
    <t>Camila Morango (23/07/2024) - 16 kg</t>
  </si>
  <si>
    <t>Notas_Images/d7c46ddf.Foto.164206.jpg</t>
  </si>
  <si>
    <t>16 kg</t>
  </si>
  <si>
    <t>ITEM-635e5a9b-1</t>
  </si>
  <si>
    <t>be89a5e3</t>
  </si>
  <si>
    <t>ITEM-809eea69-1</t>
  </si>
  <si>
    <t>Ditribuidora de Bebidas Caçador (23/07/2024) - Bebidas</t>
  </si>
  <si>
    <t>ITEM-3508fd69-1</t>
  </si>
  <si>
    <t>Notas_Images/be89a5e3.Foto.193205.jpg</t>
  </si>
  <si>
    <t>ITEM-86ad1f3d-1</t>
  </si>
  <si>
    <t>ITEM-9744d02b-1</t>
  </si>
  <si>
    <t>9634161d</t>
  </si>
  <si>
    <t>ITEM-3782a61e-1</t>
  </si>
  <si>
    <t>Banderloff (23/07/2024) - frutas</t>
  </si>
  <si>
    <t>Notas_Images/9634161d.Foto.194402.jpg</t>
  </si>
  <si>
    <t>ITEM-3782a61e-2</t>
  </si>
  <si>
    <t>ITEM-3782a61e-3</t>
  </si>
  <si>
    <t>b503a62a</t>
  </si>
  <si>
    <t>ITEM-3782a61e-4</t>
  </si>
  <si>
    <t>EXTERMINIO DESINSETIZADORA (24/07/2024) - dedetizaçaõ</t>
  </si>
  <si>
    <t>ITEM-3782a61e-5</t>
  </si>
  <si>
    <t>Notas_Images/b503a62a.Foto.005357.jpg</t>
  </si>
  <si>
    <t>dedetizaçaõ</t>
  </si>
  <si>
    <t>ITEM-3782a61e-6</t>
  </si>
  <si>
    <t>1743cba7</t>
  </si>
  <si>
    <t>ITEM-3782a61e-7</t>
  </si>
  <si>
    <t>db6cd407</t>
  </si>
  <si>
    <t>f8c52f0c</t>
  </si>
  <si>
    <t>Freelancer Renan (25/07/2024) - horas das 12:30 as 22:00</t>
  </si>
  <si>
    <t>ITEM-f389b7b8-1</t>
  </si>
  <si>
    <t>Notas_Images/1743cba7.Foto.000738.jpg</t>
  </si>
  <si>
    <t>horas das 12:30 as 22:00</t>
  </si>
  <si>
    <t>ITEM-f389b7b8-2</t>
  </si>
  <si>
    <t>3a8a734e</t>
  </si>
  <si>
    <t>ITEM-f389b7b8-3</t>
  </si>
  <si>
    <t>Camila Morango (26/07/2024) - 15kg morangos</t>
  </si>
  <si>
    <t>Notas_Images/3a8a734e.Foto.193341.jpg</t>
  </si>
  <si>
    <t>15kg morangos</t>
  </si>
  <si>
    <t>ITEM-f389b7b8-4</t>
  </si>
  <si>
    <t>ITEM-f389b7b8-5</t>
  </si>
  <si>
    <t>1a7ecd62</t>
  </si>
  <si>
    <t>ITEM-f389b7b8-6</t>
  </si>
  <si>
    <t>Banderloff (26/07/2024) - Frutas</t>
  </si>
  <si>
    <t>Notas_Images/1a7ecd62.Foto.193620.jpg</t>
  </si>
  <si>
    <t>ITEM-f389b7b8-7</t>
  </si>
  <si>
    <t>ITEM-f389b7b8-8</t>
  </si>
  <si>
    <t>f098f4ab</t>
  </si>
  <si>
    <t>Amadelli (26/07/2024) - Carga gelada</t>
  </si>
  <si>
    <t>ITEM-f389b7b8-9</t>
  </si>
  <si>
    <t>Notas_Images/f098f4ab.Foto.193905.jpg</t>
  </si>
  <si>
    <t>Carga gelada</t>
  </si>
  <si>
    <t>ITEM-f389b7b8-10</t>
  </si>
  <si>
    <t>f72331e3</t>
  </si>
  <si>
    <t>ITEM-b3ed2271-1</t>
  </si>
  <si>
    <t>Jairo (26/07/2024) - Acerto João</t>
  </si>
  <si>
    <t>Notas_Images/f72331e3.Foto.202333.jpg</t>
  </si>
  <si>
    <t>ITEM-b3ed2271-2</t>
  </si>
  <si>
    <t>Acerto João</t>
  </si>
  <si>
    <t>ITEM-b3ed2271-3</t>
  </si>
  <si>
    <t>07c44877</t>
  </si>
  <si>
    <t>ITEM-8d270f77-1</t>
  </si>
  <si>
    <t>Freelancer Renan (26/07/2024) - Das 13:15 as 22 menos consumo</t>
  </si>
  <si>
    <t>Notas_Images/07c44877.Foto.005848.jpg</t>
  </si>
  <si>
    <t>ITEM-8d270f77-2</t>
  </si>
  <si>
    <t>Das 13:15 as 22 menos consumo</t>
  </si>
  <si>
    <t>ITEM-bcc995ce-1</t>
  </si>
  <si>
    <t>f77a73a3</t>
  </si>
  <si>
    <t>ITEM-bcc995ce-2</t>
  </si>
  <si>
    <t>Freelancer Renan (27/07/2024) - 8 horas</t>
  </si>
  <si>
    <t>ITEM-bcc995ce-3</t>
  </si>
  <si>
    <t>Notas_Images/f77a73a3.Foto.000953.jpg</t>
  </si>
  <si>
    <t>8 horas</t>
  </si>
  <si>
    <t>ITEM-bcc995ce-4</t>
  </si>
  <si>
    <t>27ff0cf0</t>
  </si>
  <si>
    <t>ITEM-bcc995ce-5</t>
  </si>
  <si>
    <t>Camila Morango (29/07/2024) - compra de morango</t>
  </si>
  <si>
    <t>Notas_Images/27ff0cf0.Foto.162202.jpg</t>
  </si>
  <si>
    <t>compra de morango</t>
  </si>
  <si>
    <t>ITEM-231ce0c9-1</t>
  </si>
  <si>
    <t>ITEM-39c669a6-1</t>
  </si>
  <si>
    <t>98180ea8</t>
  </si>
  <si>
    <t>ITEM-39c669a6-2</t>
  </si>
  <si>
    <t>Casa das Embalagens (29/07/2024) - LUVAS  E ALCOOL</t>
  </si>
  <si>
    <t>Notas_Images/98180ea8.Foto.211852.jpg</t>
  </si>
  <si>
    <t>LUVAS  E ALCOOL</t>
  </si>
  <si>
    <t>ITEM-39c669a6-3</t>
  </si>
  <si>
    <t>ITEM-39c669a6-4</t>
  </si>
  <si>
    <t>cbf058ff</t>
  </si>
  <si>
    <t>ITEM-767cd169-1</t>
  </si>
  <si>
    <t>Amadelli (29/07/2024) - carga seca</t>
  </si>
  <si>
    <t>Notas_Images/cbf058ff.Foto.213433.jpg</t>
  </si>
  <si>
    <t>ITEM-d709938f-1</t>
  </si>
  <si>
    <t>4f1c9d7d</t>
  </si>
  <si>
    <t>ITEM-2e6000d8-1</t>
  </si>
  <si>
    <t>Amadelli (31/07/2024) - carga gelada</t>
  </si>
  <si>
    <t>ITEM-2e6000d8-2</t>
  </si>
  <si>
    <t>Notas_Images/4f1c9d7d.Foto.212905.jpg</t>
  </si>
  <si>
    <t>ITEM-2e6000d8-3</t>
  </si>
  <si>
    <t>dbb395af</t>
  </si>
  <si>
    <t>ITEM-2e6000d8-4</t>
  </si>
  <si>
    <t>Lojas milium (01/08/2024) - compra de placa</t>
  </si>
  <si>
    <t>ITEM-2e6000d8-5</t>
  </si>
  <si>
    <t>Notas_Images/dbb395af.Foto.210817.jpg</t>
  </si>
  <si>
    <t>compra de placa</t>
  </si>
  <si>
    <t>ITEM-a76ef6e3-1</t>
  </si>
  <si>
    <t>ITEM-a76ef6e3-2</t>
  </si>
  <si>
    <t>296a2346</t>
  </si>
  <si>
    <t>ITEM-a76ef6e3-3</t>
  </si>
  <si>
    <t>Banderloff (01/08/2024) - frutas</t>
  </si>
  <si>
    <t>Notas_Images/296a2346.Foto.211039.jpg</t>
  </si>
  <si>
    <t>ITEM-a76ef6e3-4</t>
  </si>
  <si>
    <t>c1d18a2a</t>
  </si>
  <si>
    <t>ITEM-e195223a-1</t>
  </si>
  <si>
    <t>Banderloff (02/08/2024) - compras de frutas</t>
  </si>
  <si>
    <t>Notas_Images/c1d18a2a.Foto.171632.jpg</t>
  </si>
  <si>
    <t>compras de frutas</t>
  </si>
  <si>
    <t>ITEM-0c3ecda6-1</t>
  </si>
  <si>
    <t>ITEM-0c3ecda6-2</t>
  </si>
  <si>
    <t>1036537cd</t>
  </si>
  <si>
    <t>ITEM-6c9e9010-1</t>
  </si>
  <si>
    <t>Salario julho</t>
  </si>
  <si>
    <t>ITEM-6c9e9010-2</t>
  </si>
  <si>
    <t>14352dcba</t>
  </si>
  <si>
    <t>ITEM-6c9e9010-3</t>
  </si>
  <si>
    <t>ITEM-6c9e9010-4</t>
  </si>
  <si>
    <t>ITEM-194fda174-1</t>
  </si>
  <si>
    <t>139471fe4</t>
  </si>
  <si>
    <t>ITEM-ae21bd61-1</t>
  </si>
  <si>
    <t>ITEM-2fe7c92b-1</t>
  </si>
  <si>
    <t>1a84b632c</t>
  </si>
  <si>
    <t>ITEM-5449f4b4-1</t>
  </si>
  <si>
    <t>ITEM-5449f4b4-2</t>
  </si>
  <si>
    <t>1c1a085d6</t>
  </si>
  <si>
    <t>ITEM-5449f4b4-3</t>
  </si>
  <si>
    <t>ITEM-5449f4b4-4</t>
  </si>
  <si>
    <t>74f9b14a</t>
  </si>
  <si>
    <t>cd4a10cc</t>
  </si>
  <si>
    <t>ITEM-5449f4b4-5</t>
  </si>
  <si>
    <t>1cd8705c1</t>
  </si>
  <si>
    <t>ITEM-6f0eeca2-1</t>
  </si>
  <si>
    <t>Gratificação de gerencia julho</t>
  </si>
  <si>
    <t>ITEM-6f0eeca2-2</t>
  </si>
  <si>
    <t>1777efe6f</t>
  </si>
  <si>
    <t>ITEM-6f0eeca2-3</t>
  </si>
  <si>
    <t>ITEM-6f0eeca2-4</t>
  </si>
  <si>
    <t>ITEM-6f0eeca2-5</t>
  </si>
  <si>
    <t>57b41fbb</t>
  </si>
  <si>
    <t>16ca2f729</t>
  </si>
  <si>
    <t>ITEM-6f0eeca2-6</t>
  </si>
  <si>
    <t>ITEM-6f0eeca2-7</t>
  </si>
  <si>
    <t>105270ab1</t>
  </si>
  <si>
    <t>ITEM-6f0eeca2-8</t>
  </si>
  <si>
    <t>ITEM-6f0eeca2-9</t>
  </si>
  <si>
    <t>ITEM-a3e5becb-1</t>
  </si>
  <si>
    <t>ITEM-a3e5becb-2</t>
  </si>
  <si>
    <t>ITEM-1de97ab3-1</t>
  </si>
  <si>
    <t>1d2bf7fab</t>
  </si>
  <si>
    <t>ITEM-382526b1-1</t>
  </si>
  <si>
    <t>ITEM-6a9780c6-1</t>
  </si>
  <si>
    <t>48f8ecde</t>
  </si>
  <si>
    <t>ITEM-6a9780c6-2</t>
  </si>
  <si>
    <t>Camila Morango (02/08/2024) - compra morango</t>
  </si>
  <si>
    <t>Notas_Images/48f8ecde.Foto.215158.jpg</t>
  </si>
  <si>
    <t>compra morango</t>
  </si>
  <si>
    <t>ITEM-6a9780c6-3</t>
  </si>
  <si>
    <t>ITEM-6a9780c6-4</t>
  </si>
  <si>
    <t>b07d8607</t>
  </si>
  <si>
    <t>Camila Morango (05/08/2024) - compras de morango</t>
  </si>
  <si>
    <t>ITEM-6a9780c6-5</t>
  </si>
  <si>
    <t>Notas_Images/b07d8607.Foto.135743.jpg</t>
  </si>
  <si>
    <t>compras de morango</t>
  </si>
  <si>
    <t>ITEM-1fa1b8568-1</t>
  </si>
  <si>
    <t>59af5e50</t>
  </si>
  <si>
    <t>ITEM-1c940defc-1</t>
  </si>
  <si>
    <t>Banderloff (05/08/2024) - compras de frutas</t>
  </si>
  <si>
    <t>Notas_Images/59af5e50.Foto.140344.jpg</t>
  </si>
  <si>
    <t>ITEM-1cac1a275-1</t>
  </si>
  <si>
    <t>ITEM-b65f9099-1</t>
  </si>
  <si>
    <t>a26527be</t>
  </si>
  <si>
    <t>Casa das Embalagens (06/08/2024) - Embalagens marmitas</t>
  </si>
  <si>
    <t>ITEM-680f613d-1</t>
  </si>
  <si>
    <t>Notas_Images/a26527be.Foto.005243.jpg</t>
  </si>
  <si>
    <t>Embalagens marmitas</t>
  </si>
  <si>
    <t>ITEM-1836100e-1</t>
  </si>
  <si>
    <t>6b6f15d4</t>
  </si>
  <si>
    <t>ITEM-1e3b5f341-1</t>
  </si>
  <si>
    <t>Jandira (07/08/2024) - PRODUTOS DE LIMPEZA</t>
  </si>
  <si>
    <t>Notas_Images/6b6f15d4.Foto.200939.jpg</t>
  </si>
  <si>
    <t>ITEM-189db432b-1</t>
  </si>
  <si>
    <t>ITEM-1a532b440-1</t>
  </si>
  <si>
    <t>bfc85693</t>
  </si>
  <si>
    <t>ITEM-177af56c4-1</t>
  </si>
  <si>
    <t>Ditribuidora de Bebidas Caçador (31/07/2024) - bebidas</t>
  </si>
  <si>
    <t>Notas_Images/bfc85693.Foto.212444.jpg</t>
  </si>
  <si>
    <t>ITEM-ab21f189-1</t>
  </si>
  <si>
    <t>ITEM-ab21f189-2</t>
  </si>
  <si>
    <t>175d5f259</t>
  </si>
  <si>
    <t>ITEM-ab21f189-3</t>
  </si>
  <si>
    <t>ITEM-ab21f189-4</t>
  </si>
  <si>
    <t>Exame admissional</t>
  </si>
  <si>
    <t>ITEM-19610a1c-1</t>
  </si>
  <si>
    <t>ITEM-afe1a410-1</t>
  </si>
  <si>
    <t>1c1154bdd</t>
  </si>
  <si>
    <t>ITEM-afe1a410-2</t>
  </si>
  <si>
    <t>ITEM-afe1a410-3</t>
  </si>
  <si>
    <t>Reformas</t>
  </si>
  <si>
    <t>ITEM-afe1a410-4</t>
  </si>
  <si>
    <t>ITEM-afe1a410-5</t>
  </si>
  <si>
    <t>a9844e11</t>
  </si>
  <si>
    <t>ITEM-be823efc-1</t>
  </si>
  <si>
    <t>Ditribuidora de Bebidas Caçador (08/08/2024) - bebidas</t>
  </si>
  <si>
    <t>ITEM-be823efc-2</t>
  </si>
  <si>
    <t>Notas_Images/a9844e11.Foto.195533.jpg</t>
  </si>
  <si>
    <t>ITEM-be823efc-3</t>
  </si>
  <si>
    <t>1454c1fae</t>
  </si>
  <si>
    <t>ITEM-be823efc-4</t>
  </si>
  <si>
    <t>ITEM-be823efc-5</t>
  </si>
  <si>
    <t>ITEM-79849200-1</t>
  </si>
  <si>
    <t>e1d3de8b</t>
  </si>
  <si>
    <t>ITEM-158023b1f-1</t>
  </si>
  <si>
    <t>Passarela Center via atacadista (09/08/2024) - cafe da equipe</t>
  </si>
  <si>
    <t>Notas_Images/e1d3de8b.Foto.173403.jpg</t>
  </si>
  <si>
    <t>ITEM-1af3f525b-1</t>
  </si>
  <si>
    <t>ITEM-1f25a6603-1</t>
  </si>
  <si>
    <t>a8d68718</t>
  </si>
  <si>
    <t>ITEM-1ec09d92a-1</t>
  </si>
  <si>
    <t>Banderloff (09/08/2024) - compra de frutas</t>
  </si>
  <si>
    <t>Notas_Images/a8d68718.Foto.174033.jpg</t>
  </si>
  <si>
    <t>compra de frutas</t>
  </si>
  <si>
    <t>f4edec73</t>
  </si>
  <si>
    <t>Camila Morango (12/08/2024) - compras de morango</t>
  </si>
  <si>
    <t>Notas_Images/f4edec73.Foto.164258.jpg</t>
  </si>
  <si>
    <t>aca180e8</t>
  </si>
  <si>
    <t>Banderloff (14/08/2024) - compras de frutas</t>
  </si>
  <si>
    <t>Notas_Images/aca180e8.Foto.172110.jpg</t>
  </si>
  <si>
    <t>ITEM-12058aa35-1</t>
  </si>
  <si>
    <t>c1a528f6</t>
  </si>
  <si>
    <t>Suco prats (14/08/2024) - suco prats</t>
  </si>
  <si>
    <t>Notas_Images/c1a528f6.Foto.203756.jpg</t>
  </si>
  <si>
    <t>suco prats</t>
  </si>
  <si>
    <t>1f6581722</t>
  </si>
  <si>
    <t>ITEM-1ed6aba16-1</t>
  </si>
  <si>
    <t>1069a8fba</t>
  </si>
  <si>
    <t>ITEM-18f88a25a-1</t>
  </si>
  <si>
    <t>1724166f5_3</t>
  </si>
  <si>
    <t>ITEM-1c3affed9-1</t>
  </si>
  <si>
    <t>9501fcf1</t>
  </si>
  <si>
    <t>1c5e11bdf</t>
  </si>
  <si>
    <t>ITEM-12ca4fcea-1</t>
  </si>
  <si>
    <t>15d2e688d</t>
  </si>
  <si>
    <t>ITEM-125d2b3c6-1</t>
  </si>
  <si>
    <t>Rescisao de período sem registro</t>
  </si>
  <si>
    <t>ITEM-11ae427da-1</t>
  </si>
  <si>
    <t>c6b3e31a</t>
  </si>
  <si>
    <t>Camila Morango (16/08/2024) - compras de morango</t>
  </si>
  <si>
    <t>Notas_Images/c6b3e31a.Foto.185328.jpg</t>
  </si>
  <si>
    <t>ITEM-189e21eb8-1</t>
  </si>
  <si>
    <t>8c3dc991</t>
  </si>
  <si>
    <t>Banderloff (16/08/2024) - compras de frutas</t>
  </si>
  <si>
    <t>ITEM-7200088f-1</t>
  </si>
  <si>
    <t>Notas_Images/8c3dc991.Foto.202955.jpg</t>
  </si>
  <si>
    <t>d0838fad</t>
  </si>
  <si>
    <t>ITEM-7200088f-2</t>
  </si>
  <si>
    <t>Passarela Center via atacadista (16/08/2024) - cafe equipe</t>
  </si>
  <si>
    <t>Notas_Images/d0838fad.Foto.001327.jpg</t>
  </si>
  <si>
    <t>cafe equipe</t>
  </si>
  <si>
    <t>ITEM-7200088f-3</t>
  </si>
  <si>
    <t>ded8b0d0</t>
  </si>
  <si>
    <t>Prioridade 10 (16/08/2024) - bacia para cozinha</t>
  </si>
  <si>
    <t>Notas_Images/ded8b0d0.Foto.001522.jpg</t>
  </si>
  <si>
    <t>ITEM-7200088f-4</t>
  </si>
  <si>
    <t>bacia para cozinha</t>
  </si>
  <si>
    <t>c39f5985</t>
  </si>
  <si>
    <t>ITEM-7200088f-5</t>
  </si>
  <si>
    <t>Help Multi Coisas (16/08/2024) - impressao acerto cris</t>
  </si>
  <si>
    <t>Notas_Images/c39f5985.Foto.001623.jpg</t>
  </si>
  <si>
    <t>impressao acerto cris</t>
  </si>
  <si>
    <t>ITEM-0381c1cd-1</t>
  </si>
  <si>
    <t>ITEM-0381c1cd-2</t>
  </si>
  <si>
    <t>c2155dfa</t>
  </si>
  <si>
    <t>Camila Morango (17/08/2024) - compras de morango</t>
  </si>
  <si>
    <t>Notas_Images/c2155dfa.Foto.224154.jpg</t>
  </si>
  <si>
    <t>ITEM-0381c1cd-3</t>
  </si>
  <si>
    <t>19fa42cc</t>
  </si>
  <si>
    <t>Banderloff (17/08/2024) - compras de frutas</t>
  </si>
  <si>
    <t>Notas_Images/19fa42cc.Foto.225927.jpg</t>
  </si>
  <si>
    <t>ITEM-8686f880-1</t>
  </si>
  <si>
    <t>9cf36312</t>
  </si>
  <si>
    <t>164a614d7</t>
  </si>
  <si>
    <t>ITEM-8686f880-2</t>
  </si>
  <si>
    <t>boleto em atraso</t>
  </si>
  <si>
    <t>ITEM-8686f880-3</t>
  </si>
  <si>
    <t>f92aa202</t>
  </si>
  <si>
    <t>Casa das Embalagens (19/08/2024) - amendoim,confete</t>
  </si>
  <si>
    <t>ITEM-8686f880-4</t>
  </si>
  <si>
    <t>Notas_Images/f92aa202.Foto.165749.jpg</t>
  </si>
  <si>
    <t>amendoim,confete</t>
  </si>
  <si>
    <t>ITEM-827df739-1</t>
  </si>
  <si>
    <t>25c94421</t>
  </si>
  <si>
    <t>ITEM-ccc708c1-1</t>
  </si>
  <si>
    <t>Banderloff (19/08/2024) - frutas</t>
  </si>
  <si>
    <t>Notas_Images/25c94421.Foto.203754.jpg</t>
  </si>
  <si>
    <t>ITEM-cafe45a8-1</t>
  </si>
  <si>
    <t>ITEM-cafe45a8-2</t>
  </si>
  <si>
    <t>df3ebcd6</t>
  </si>
  <si>
    <t>Amadelli (19/08/2024) - carga gelada</t>
  </si>
  <si>
    <t>ITEM-cafe45a8-3</t>
  </si>
  <si>
    <t>Notas_Images/df3ebcd6.Foto.184319.jpg</t>
  </si>
  <si>
    <t>ITEM-cafe45a8-4</t>
  </si>
  <si>
    <t>ITEM-cafe45a8-5</t>
  </si>
  <si>
    <t>faffc479</t>
  </si>
  <si>
    <t>b9569ea4</t>
  </si>
  <si>
    <t>Monitoramento Patrimonial (19/08/2024) - monitoramento</t>
  </si>
  <si>
    <t>ITEM-968a57f5-1</t>
  </si>
  <si>
    <t>Notas_Images/faffc479.Foto.154624.jpg</t>
  </si>
  <si>
    <t>ITEM-968a57f5-2</t>
  </si>
  <si>
    <t>f3f7aa14</t>
  </si>
  <si>
    <t>ITEM-968a57f5-3</t>
  </si>
  <si>
    <t>f79250f3</t>
  </si>
  <si>
    <t>Camila Morango (21/08/2024) - compra de morango</t>
  </si>
  <si>
    <t>Notas_Images/f3f7aa14.Foto.172319.jpg</t>
  </si>
  <si>
    <t>ITEM-968a57f5-4</t>
  </si>
  <si>
    <t>ITEM-968a57f5-5</t>
  </si>
  <si>
    <t>c5a107c0</t>
  </si>
  <si>
    <t>Banderloff (21/08/2024) - compra de fruta</t>
  </si>
  <si>
    <t>Notas_Images/c5a107c0.Foto.172724.jpg</t>
  </si>
  <si>
    <t>ITEM-fab5fee7-1</t>
  </si>
  <si>
    <t>compra de fruta</t>
  </si>
  <si>
    <t>ITEM-111554e3e-1</t>
  </si>
  <si>
    <t>ab89c3fc</t>
  </si>
  <si>
    <t>Amadelli (19/08/2024) - carga seca</t>
  </si>
  <si>
    <t>ITEM-1adb4f77-1</t>
  </si>
  <si>
    <t>Notas_Images/ab89c3fc.Foto.175444.jpg</t>
  </si>
  <si>
    <t>ITEM-1adb4f77-2</t>
  </si>
  <si>
    <t>8aedf00b</t>
  </si>
  <si>
    <t>Help Multi Coisas (21/08/2024) - impressos</t>
  </si>
  <si>
    <t>Notas_Images/8aedf00b.Foto.194514.jpg</t>
  </si>
  <si>
    <t>impressos</t>
  </si>
  <si>
    <t>ITEM-1adb4f77-3</t>
  </si>
  <si>
    <t>ITEM-1adb4f77-4</t>
  </si>
  <si>
    <t>3df86dcd</t>
  </si>
  <si>
    <t>ITEM-1adb4f77-5</t>
  </si>
  <si>
    <t>BOMPACK (21/08/2024) - sacos de lixo</t>
  </si>
  <si>
    <t>Notas_Images/3df86dcd.Foto.044244.jpg</t>
  </si>
  <si>
    <t>a7c6457b</t>
  </si>
  <si>
    <t>Casa das Embalagens (22/08/2024) - embalagens e acompanhamentos</t>
  </si>
  <si>
    <t>ITEM-8b4db002-1</t>
  </si>
  <si>
    <t>Notas_Images/a7c6457b.Foto.193947.jpg</t>
  </si>
  <si>
    <t>embalagens e acompanhamentos</t>
  </si>
  <si>
    <t>ITEM-6c499f3f-1</t>
  </si>
  <si>
    <t>5eb23d00</t>
  </si>
  <si>
    <t>ITEM-6c499f3f-2</t>
  </si>
  <si>
    <t>Superviza Supermercado (23/08/2024) - cafe da equipe final de semana</t>
  </si>
  <si>
    <t>Notas_Images/5eb23d00.Foto.181307.jpg</t>
  </si>
  <si>
    <t>cafe da equipe final de semana</t>
  </si>
  <si>
    <t>ITEM-6c499f3f-3</t>
  </si>
  <si>
    <t>671c3188</t>
  </si>
  <si>
    <t>ITEM-6c499f3f-4</t>
  </si>
  <si>
    <t>Banderloff (23/08/2024) - compra de frutas</t>
  </si>
  <si>
    <t>Notas_Images/671c3188.Foto.193451.jpg</t>
  </si>
  <si>
    <t>1be2684cc</t>
  </si>
  <si>
    <t>Período sem registro</t>
  </si>
  <si>
    <t>ITEM-6c499f3f-5</t>
  </si>
  <si>
    <t>c3625f02</t>
  </si>
  <si>
    <t>Nicopel (20/08/2024) - potes</t>
  </si>
  <si>
    <t>ITEM-6c499f3f-6</t>
  </si>
  <si>
    <t>Notas_Images/c3625f02.Foto.180737.jpg</t>
  </si>
  <si>
    <t>potes</t>
  </si>
  <si>
    <t>0f5dc9f7</t>
  </si>
  <si>
    <t>ITEM-6c499f3f-7</t>
  </si>
  <si>
    <t>Coca cola (19/08/2024) - bebidas</t>
  </si>
  <si>
    <t>Notas_Images/0f5dc9f7.Foto.213636.jpg</t>
  </si>
  <si>
    <t>ITEM-6c499f3f-8</t>
  </si>
  <si>
    <t>16a4e07be</t>
  </si>
  <si>
    <t>b4de89a3</t>
  </si>
  <si>
    <t>ITEM-a53fabb3-1</t>
  </si>
  <si>
    <t>2 novas, estragaram</t>
  </si>
  <si>
    <t>ITEM-a53fabb3-2</t>
  </si>
  <si>
    <t>145ecc8c0_7</t>
  </si>
  <si>
    <t>ITEM-4ef4b044-1</t>
  </si>
  <si>
    <t>ITEM-3a8ac6b4-1</t>
  </si>
  <si>
    <t>6477a71d</t>
  </si>
  <si>
    <t>3fd7ef9f</t>
  </si>
  <si>
    <t>EXTERMINIO DESINSETIZADORA (10/09/2024) - dedetizaçao</t>
  </si>
  <si>
    <t>ITEM-3a8ac6b4-2</t>
  </si>
  <si>
    <t>Notas_Images/3fd7ef9f.Foto.214729.jpg</t>
  </si>
  <si>
    <t>dedetizaçao</t>
  </si>
  <si>
    <t>ITEM-3a8ac6b4-3</t>
  </si>
  <si>
    <t>da35b8af</t>
  </si>
  <si>
    <t>ITEM-3a8ac6b4-4</t>
  </si>
  <si>
    <t>ACB (22/08/2024) - bebidas</t>
  </si>
  <si>
    <t>Notas_Images/da35b8af.Foto.192516.jpg</t>
  </si>
  <si>
    <t>ITEM-3a8ac6b4-5</t>
  </si>
  <si>
    <t>ITEM-3a8ac6b4-6</t>
  </si>
  <si>
    <t>e919bc4f</t>
  </si>
  <si>
    <t>Nicopel (22/08/2024) - Embalagens</t>
  </si>
  <si>
    <t>ITEM-3a8ac6b4-7</t>
  </si>
  <si>
    <t>Notas_Images/e919bc4f.Foto.193412.jpg</t>
  </si>
  <si>
    <t>ITEM-3a8ac6b4-8</t>
  </si>
  <si>
    <t>cc33be4a</t>
  </si>
  <si>
    <t>ITEM-3a8ac6b4-9</t>
  </si>
  <si>
    <t>Banderloff (29/08/2024) - compras de frutas</t>
  </si>
  <si>
    <t>Notas_Images/cc33be4a.Foto.183307.jpg</t>
  </si>
  <si>
    <t>ITEM-c9d212a3-1</t>
  </si>
  <si>
    <t>ITEM-c9d212a3-2</t>
  </si>
  <si>
    <t>02ef1217</t>
  </si>
  <si>
    <t>Banderloff (30/08/2024) - compras de frutas</t>
  </si>
  <si>
    <t>Notas_Images/02ef1217.Foto.204127.jpg</t>
  </si>
  <si>
    <t>ITEM-c9d212a3-3</t>
  </si>
  <si>
    <t>ITEM-c9d212a3-4</t>
  </si>
  <si>
    <t>ITEM-0282a337-1</t>
  </si>
  <si>
    <t>a4fae03f</t>
  </si>
  <si>
    <t>ITEM-3b091543-1</t>
  </si>
  <si>
    <t>Camila Morango (30/08/2024) - compra de morango</t>
  </si>
  <si>
    <t>Notas_Images/a4fae03f.Foto.214832.jpg</t>
  </si>
  <si>
    <t>ITEM-3b091543-2</t>
  </si>
  <si>
    <t>ITEM-3b091543-3</t>
  </si>
  <si>
    <t>3d487952</t>
  </si>
  <si>
    <t>Banderloff (31/08/2024) - compras de frutas</t>
  </si>
  <si>
    <t>ITEM-3b091543-4</t>
  </si>
  <si>
    <t>Notas_Images/3d487952.Foto.233432.jpg</t>
  </si>
  <si>
    <t>ITEM-11e8d0a30-1</t>
  </si>
  <si>
    <t>6ddb776a</t>
  </si>
  <si>
    <t>d27b4c1f</t>
  </si>
  <si>
    <t>ITEM-b0fc5d8a-1</t>
  </si>
  <si>
    <t>Camila Morango (02/09/2024) - compra de morango</t>
  </si>
  <si>
    <t>Notas_Images/6ddb776a.Foto.181410.jpg</t>
  </si>
  <si>
    <t>ITEM-5cddeb57-1</t>
  </si>
  <si>
    <t>d73e5168</t>
  </si>
  <si>
    <t>ITEM-da200ac7-1</t>
  </si>
  <si>
    <t>ACB (06/05/2024) - Bebidas</t>
  </si>
  <si>
    <t>Notas_Images/d73e5168.Foto.170230.jpg</t>
  </si>
  <si>
    <t>ITEM-c7acaa70-1</t>
  </si>
  <si>
    <t>ITEM-b7b32110-1</t>
  </si>
  <si>
    <t>b1861b2d</t>
  </si>
  <si>
    <t>Amadelli (10/08/2024) - Carga gelada</t>
  </si>
  <si>
    <t>ITEM-9a67c11c-1</t>
  </si>
  <si>
    <t>Notas_Images/b1861b2d.Foto.223516.jpg</t>
  </si>
  <si>
    <t>ITEM-9a67c11c-2</t>
  </si>
  <si>
    <t>9e0225c2</t>
  </si>
  <si>
    <t>Nicopel (28/08/2024) - embalagens</t>
  </si>
  <si>
    <t>ITEM-9a67c11c-3</t>
  </si>
  <si>
    <t>Notas_Images/9e0225c2.Foto.221221.jpg</t>
  </si>
  <si>
    <t>ITEM-9a67c11c-4</t>
  </si>
  <si>
    <t>af565914</t>
  </si>
  <si>
    <t>ITEM-d4fce8f6-1</t>
  </si>
  <si>
    <t>Amadelli (02/09/2024) - carga gelada</t>
  </si>
  <si>
    <t>Notas_Images/af565914.Foto.221954.jpg</t>
  </si>
  <si>
    <t>ITEM-1cc15d17-1</t>
  </si>
  <si>
    <t>ITEM-1cc15d17-2</t>
  </si>
  <si>
    <t>1ca18ca9e</t>
  </si>
  <si>
    <t>Salario agosto</t>
  </si>
  <si>
    <t>ITEM-1cc15d17-3</t>
  </si>
  <si>
    <t>16fb19b35</t>
  </si>
  <si>
    <t>ITEM-1cc15d17-4</t>
  </si>
  <si>
    <t>1c46f8400</t>
  </si>
  <si>
    <t>ITEM-06e48d38-1</t>
  </si>
  <si>
    <t>ITEM-06e48d38-2</t>
  </si>
  <si>
    <t>1e4f4e993</t>
  </si>
  <si>
    <t>ITEM-06e48d38-3</t>
  </si>
  <si>
    <t>1e4ae2bed</t>
  </si>
  <si>
    <t>ITEM-06e48d38-4</t>
  </si>
  <si>
    <t>1572f4b8</t>
  </si>
  <si>
    <t>14a213f0b</t>
  </si>
  <si>
    <t>ITEM-06e48d38-5</t>
  </si>
  <si>
    <t>d294e16c</t>
  </si>
  <si>
    <t>ITEM-c42352ce-1</t>
  </si>
  <si>
    <t>Amadelli (05/08/2024) - carga seca</t>
  </si>
  <si>
    <t>Notas_Images/d294e16c.Foto.190915.jpg</t>
  </si>
  <si>
    <t>ITEM-ce25efef-1</t>
  </si>
  <si>
    <t>236eba97</t>
  </si>
  <si>
    <t>ACB (27/07/2024) - bebidas</t>
  </si>
  <si>
    <t>Notas_Images/236eba97.Foto.172651.jpg</t>
  </si>
  <si>
    <t>ITEM-218063c5-1</t>
  </si>
  <si>
    <t>576c1eb7</t>
  </si>
  <si>
    <t>Ditribuidora de Bebidas Caçador (29/08/2024) - bebidas</t>
  </si>
  <si>
    <t>Notas_Images/576c1eb7.Foto.190204.jpg</t>
  </si>
  <si>
    <t>ITEM-c2e33457-1</t>
  </si>
  <si>
    <t>239e1a5b</t>
  </si>
  <si>
    <t>ITEM-aa30fa65-1</t>
  </si>
  <si>
    <t>Banderloff (04/09/2024) - compra de frutas</t>
  </si>
  <si>
    <t>Notas_Images/239e1a5b.Foto.185751.jpg</t>
  </si>
  <si>
    <t>ITEM-750327a1-1</t>
  </si>
  <si>
    <t>c6a12243</t>
  </si>
  <si>
    <t>Jandira (04/09/2024) - produto d limpesa</t>
  </si>
  <si>
    <t>Notas_Images/c6a12243.Foto.190348.jpg</t>
  </si>
  <si>
    <t>produto d limpesa</t>
  </si>
  <si>
    <t>ITEM-128986e1d-1</t>
  </si>
  <si>
    <t>11d80ba4b</t>
  </si>
  <si>
    <t>REF a nota 35459</t>
  </si>
  <si>
    <t>ITEM-145ecc8c0-1</t>
  </si>
  <si>
    <t>18c395a5b</t>
  </si>
  <si>
    <t>ITEM-10d22e701-1</t>
  </si>
  <si>
    <t>Ref a NF 40021 valor original 1755,10</t>
  </si>
  <si>
    <t>3f923d53</t>
  </si>
  <si>
    <t>1c9611822</t>
  </si>
  <si>
    <t>ITEM-1244cb786-1</t>
  </si>
  <si>
    <t>Ref a NF44175</t>
  </si>
  <si>
    <t>ITEM-f65e9243-1</t>
  </si>
  <si>
    <t>1b89ce074</t>
  </si>
  <si>
    <t>Ref ao pedido 10429-9654-44175</t>
  </si>
  <si>
    <t>ITEM-f65e9243-2</t>
  </si>
  <si>
    <t>1ae84e8f5</t>
  </si>
  <si>
    <t>ITEM-f65e9243-3</t>
  </si>
  <si>
    <t>4afdb6d2</t>
  </si>
  <si>
    <t>Amadelli (02/09/2024) - estoque seco</t>
  </si>
  <si>
    <t>ITEM-f65e9243-4</t>
  </si>
  <si>
    <t>Notas_Images/4afdb6d2.Foto.165710.jpg</t>
  </si>
  <si>
    <t>ITEM-f65e9243-5</t>
  </si>
  <si>
    <t>af556338</t>
  </si>
  <si>
    <t>e04b83e3</t>
  </si>
  <si>
    <t>jhonatan (05/09/2024) - limpeza da caixa da agua</t>
  </si>
  <si>
    <t>Notas_Images/af556338.Foto.151312.jpg</t>
  </si>
  <si>
    <t>limpeza da caixa da agua</t>
  </si>
  <si>
    <t>ITEM-a4ab049d-1</t>
  </si>
  <si>
    <t>Coca cola (05/09/2024) - bebidas</t>
  </si>
  <si>
    <t>Notas_Images/47954973.Foto.183638.jpg</t>
  </si>
  <si>
    <t>ITEM-a4ab049d-2</t>
  </si>
  <si>
    <t>193577df</t>
  </si>
  <si>
    <t>ITEM-a4ab049d-3</t>
  </si>
  <si>
    <t>Banderloff (06/09/2024) - compras de frutas</t>
  </si>
  <si>
    <t>Notas_Images/193577df.Foto.170922.jpg</t>
  </si>
  <si>
    <t>ITEM-f637c827-1</t>
  </si>
  <si>
    <t>0e3a6c0c</t>
  </si>
  <si>
    <t>Camila Morango (06/09/2024) - compras de morango</t>
  </si>
  <si>
    <t>Notas_Images/0e3a6c0c.Foto.172229.jpg</t>
  </si>
  <si>
    <t>ITEM-a1fb20fd-1</t>
  </si>
  <si>
    <t>91ef0d52</t>
  </si>
  <si>
    <t>ITEM-a1fb20fd-2</t>
  </si>
  <si>
    <t>AIBOO (08/09/2024) - boleto aplicativo delivery</t>
  </si>
  <si>
    <t>Notas_Images/91ef0d52.Foto.153917.jpg</t>
  </si>
  <si>
    <t>boleto aplicativo delivery</t>
  </si>
  <si>
    <t>ITEM-a1fb20fd-3</t>
  </si>
  <si>
    <t>91522bdf</t>
  </si>
  <si>
    <t>Camila Morango (09/09/2024) - morango</t>
  </si>
  <si>
    <t>Notas_Images/91522bdf.Foto.153608.jpg</t>
  </si>
  <si>
    <t>ITEM-958a12a9-1</t>
  </si>
  <si>
    <t>ITEM-958a12a9-2</t>
  </si>
  <si>
    <t>1b14a8f55</t>
  </si>
  <si>
    <t>metade baldinho</t>
  </si>
  <si>
    <t>ITEM-958a12a9-3</t>
  </si>
  <si>
    <t>1f17831c0</t>
  </si>
  <si>
    <t>ITEM-958a12a9-4</t>
  </si>
  <si>
    <t>ITEM-958a12a9-5</t>
  </si>
  <si>
    <t>ITEM-958a12a9-6</t>
  </si>
  <si>
    <t>f350db86</t>
  </si>
  <si>
    <t>ITEM-958a12a9-7</t>
  </si>
  <si>
    <t>Nicopel (06/09/2024) - Embalagens</t>
  </si>
  <si>
    <t>Notas_Images/f350db86.Foto.201112.jpg</t>
  </si>
  <si>
    <t>ITEM-958a12a9-8</t>
  </si>
  <si>
    <t>f0db9c72</t>
  </si>
  <si>
    <t>Banderloff (09/09/2024) - frutAS</t>
  </si>
  <si>
    <t>Notas_Images/f0db9c72.Foto.190925.jpg</t>
  </si>
  <si>
    <t>frutAS</t>
  </si>
  <si>
    <t>ITEM-958a12a9-9</t>
  </si>
  <si>
    <t>19fce73b6</t>
  </si>
  <si>
    <t>ITEM-e6a04ef9-1</t>
  </si>
  <si>
    <t>Sistema setembro</t>
  </si>
  <si>
    <t>ad1dca8d</t>
  </si>
  <si>
    <t>ITEM-e6a04ef9-2</t>
  </si>
  <si>
    <t>Suco prats (10/09/2024) - compra de suco</t>
  </si>
  <si>
    <t>Notas_Images/ad1dca8d.Foto.194140.jpg</t>
  </si>
  <si>
    <t>compra de suco</t>
  </si>
  <si>
    <t>ITEM-e6a04ef9-3</t>
  </si>
  <si>
    <t>1addd71f7</t>
  </si>
  <si>
    <t>104 horas trabalhadas</t>
  </si>
  <si>
    <t>ITEM-e6a04ef9-4</t>
  </si>
  <si>
    <t>1724166f5_4</t>
  </si>
  <si>
    <t>ITEM-e6a04ef9-5</t>
  </si>
  <si>
    <t>529a7344</t>
  </si>
  <si>
    <t>ITEM-7a51985d-1</t>
  </si>
  <si>
    <t>Banderloff (11/09/2024) - morangos</t>
  </si>
  <si>
    <t>Notas_Images/529a7344.Foto.194557.jpg</t>
  </si>
  <si>
    <t>ITEM-d6b5551d-1</t>
  </si>
  <si>
    <t>3e8dbf78</t>
  </si>
  <si>
    <t>Banderloff (11/09/2024) - frutas</t>
  </si>
  <si>
    <t>Notas_Images/3e8dbf78.Foto.194845.jpg</t>
  </si>
  <si>
    <t>ITEM-bc0a98a8-1</t>
  </si>
  <si>
    <t>ac90b13b</t>
  </si>
  <si>
    <t>ITEM-bc0a98a8-2</t>
  </si>
  <si>
    <t>Notas_Images/ac90b13b.Foto.194934.jpg</t>
  </si>
  <si>
    <t>ITEM-bc0a98a8-3</t>
  </si>
  <si>
    <t>aa4326ec</t>
  </si>
  <si>
    <t>350b6d62</t>
  </si>
  <si>
    <t>kopus (11/09/2024) - Copos de milkshake</t>
  </si>
  <si>
    <t>Notas_Images/aa4326ec.Foto.231227.jpg</t>
  </si>
  <si>
    <t>Copos de milkshake</t>
  </si>
  <si>
    <t>ITEM-bc0a98a8-4</t>
  </si>
  <si>
    <t>597d4587</t>
  </si>
  <si>
    <t>Banderloff (12/09/2024) - frutas</t>
  </si>
  <si>
    <t>ITEM-13db0e84-1</t>
  </si>
  <si>
    <t>Notas_Images/597d4587.Foto.195308.jpg</t>
  </si>
  <si>
    <t>8969fd3f</t>
  </si>
  <si>
    <t>ITEM-8031cc83-1</t>
  </si>
  <si>
    <t>EXTERMINIO DESINSETIZADORA (12/09/2024) - dedetizaçao loja</t>
  </si>
  <si>
    <t>Notas_Images/8969fd3f.Foto.195746.jpg</t>
  </si>
  <si>
    <t>dedetizaçao loja</t>
  </si>
  <si>
    <t>ITEM-12b0c628-1</t>
  </si>
  <si>
    <t>91cc3726</t>
  </si>
  <si>
    <t>PORTALMED (12/09/2024) - exame admissional rose e eloisa</t>
  </si>
  <si>
    <t>Notas_Images/91cc3726.Foto.202554.jpg</t>
  </si>
  <si>
    <t>exame admissional rose e eloisa</t>
  </si>
  <si>
    <t>ITEM-4a20eae8-1</t>
  </si>
  <si>
    <t>7631cc6f</t>
  </si>
  <si>
    <t>38f8a842</t>
  </si>
  <si>
    <t>Banderloff (13/09/2024) - compras de frutas</t>
  </si>
  <si>
    <t>ITEM-c0bfd8ee-1</t>
  </si>
  <si>
    <t>Notas_Images/38f8a842.Foto.165013.jpg</t>
  </si>
  <si>
    <t>9c62df1c</t>
  </si>
  <si>
    <t>ITEM-c0bfd8ee-2</t>
  </si>
  <si>
    <t>Camila Morango (13/09/2024) - compra de morango</t>
  </si>
  <si>
    <t>Notas_Images/9c62df1c.Foto.172350.jpg</t>
  </si>
  <si>
    <t>ITEM-c0bfd8ee-3</t>
  </si>
  <si>
    <t>50105d9c</t>
  </si>
  <si>
    <t>ACB (13/09/2024) - bebidas</t>
  </si>
  <si>
    <t>ITEM-f2cc8542-1</t>
  </si>
  <si>
    <t>Notas_Images/50105d9c.Foto.180526.jpg</t>
  </si>
  <si>
    <t>19a8a3b7c</t>
  </si>
  <si>
    <t>ITEM-f50ca1d6-1</t>
  </si>
  <si>
    <t>Troca de Mercadorias - 23 caixas</t>
  </si>
  <si>
    <t>ITEM-d98d9562-1</t>
  </si>
  <si>
    <t>1c55b692b</t>
  </si>
  <si>
    <t>recarga</t>
  </si>
  <si>
    <t>ITEM-d98d9562-2</t>
  </si>
  <si>
    <t>880a6bda</t>
  </si>
  <si>
    <t>Coca Cola (12/09/2024) - Bebidas</t>
  </si>
  <si>
    <t>Notas_Images/880a6bda.Foto.231307.jpg</t>
  </si>
  <si>
    <t>ITEM-d98d9562-3</t>
  </si>
  <si>
    <t>1748486a2</t>
  </si>
  <si>
    <t>65a576e6</t>
  </si>
  <si>
    <t>ITEM-d98d9562-4</t>
  </si>
  <si>
    <t>Laudo de segurança no trabalho</t>
  </si>
  <si>
    <t>3296a435</t>
  </si>
  <si>
    <t>ITEM-0462ce04-1</t>
  </si>
  <si>
    <t>Banderloff (18/09/2024) - compras de frutas</t>
  </si>
  <si>
    <t>Notas_Images/3296a435.Foto.181252.jpg</t>
  </si>
  <si>
    <t>ITEM-0462ce04-2</t>
  </si>
  <si>
    <t>150a17ff8</t>
  </si>
  <si>
    <t>ITEM-0462ce04-3</t>
  </si>
  <si>
    <t>7aebaf01</t>
  </si>
  <si>
    <t>ITEM-0462ce04-4</t>
  </si>
  <si>
    <t>Banderloff (20/09/2024) - frutas</t>
  </si>
  <si>
    <t>Notas_Images/7aebaf01.Foto.180024.jpg</t>
  </si>
  <si>
    <t>ITEM-1cf26d23c-1</t>
  </si>
  <si>
    <t>c8eb96c2</t>
  </si>
  <si>
    <t>Camila Morango (20/09/2024) - compras de morango</t>
  </si>
  <si>
    <t>Notas_Images/c8eb96c2.Foto.195157.jpg</t>
  </si>
  <si>
    <t>ITEM-102eaf92b-1</t>
  </si>
  <si>
    <t>a6febfd3</t>
  </si>
  <si>
    <t>e549c1ce</t>
  </si>
  <si>
    <t>caita supermercado (20/09/2024) - cafe equipe</t>
  </si>
  <si>
    <t>Notas_Images/a6febfd3.Foto.233713.jpg</t>
  </si>
  <si>
    <t>6ba61440</t>
  </si>
  <si>
    <t>ITEM-1c3122948-1</t>
  </si>
  <si>
    <t>34ef4c1e</t>
  </si>
  <si>
    <t>Banderloff (21/09/2024) - frutas</t>
  </si>
  <si>
    <t>ITEM-16214854e-1</t>
  </si>
  <si>
    <t>Notas_Images/34ef4c1e.Foto.235047.jpg</t>
  </si>
  <si>
    <t>ITEM-1f1dcd682-1</t>
  </si>
  <si>
    <t>8e3c6350</t>
  </si>
  <si>
    <t>10f21e5b</t>
  </si>
  <si>
    <t>Panificadora (22/09/2024) - lanche</t>
  </si>
  <si>
    <t>Notas_Images/8e3c6350.Foto.234541.jpg</t>
  </si>
  <si>
    <t>ITEM-1a823c0ae-1</t>
  </si>
  <si>
    <t>1222d5f58</t>
  </si>
  <si>
    <t>Estoque original valor R$1879,43</t>
  </si>
  <si>
    <t>ITEM-18170548e-1</t>
  </si>
  <si>
    <t>ITEM-1b7ac4a29-1</t>
  </si>
  <si>
    <t>19aacf564</t>
  </si>
  <si>
    <t>Valor original 2,08</t>
  </si>
  <si>
    <t>ITEM-a058382b-1</t>
  </si>
  <si>
    <t>1d453e10c</t>
  </si>
  <si>
    <t>9b50e936</t>
  </si>
  <si>
    <t>Taxa 2024</t>
  </si>
  <si>
    <t>ITEM-dc1e5050-1</t>
  </si>
  <si>
    <t>5f8ad591</t>
  </si>
  <si>
    <t>ITEM-6b6b16c8-1</t>
  </si>
  <si>
    <t>Camila Morango (23/09/2024) - compra de morango</t>
  </si>
  <si>
    <t>Notas_Images/5f8ad591.Foto.192304.jpg</t>
  </si>
  <si>
    <t>ITEM-6b6b16c8-2</t>
  </si>
  <si>
    <t>Amadelli (20/09/2024) - estoque gelado</t>
  </si>
  <si>
    <t>Notas_Images/12519604.Foto.174448.jpg</t>
  </si>
  <si>
    <t>ITEM-a231bc12-1</t>
  </si>
  <si>
    <t>052fc3cf</t>
  </si>
  <si>
    <t>Amadelli (16/09/2024) - estoque seco</t>
  </si>
  <si>
    <t>ITEM-1c7274580-1</t>
  </si>
  <si>
    <t>Notas_Images/052fc3cf.Foto.173704.jpg</t>
  </si>
  <si>
    <t>1645985f</t>
  </si>
  <si>
    <t>ITEM-12a23b94d-1</t>
  </si>
  <si>
    <t>Banderloff (23/09/2024) - frutas</t>
  </si>
  <si>
    <t>Notas_Images/1645985f.Foto.172854.jpg</t>
  </si>
  <si>
    <t>ITEM-1357af088-1</t>
  </si>
  <si>
    <t>f3c4f4e3</t>
  </si>
  <si>
    <t>Suco prats (24/09/2024) - compra de suco</t>
  </si>
  <si>
    <t>Notas_Images/f3c4f4e3.Foto.194241.jpg</t>
  </si>
  <si>
    <t>ITEM-11618e0d0-1</t>
  </si>
  <si>
    <t>1e07f0b6e</t>
  </si>
  <si>
    <t>ITEM-146c4829e-1</t>
  </si>
  <si>
    <t>ITEM-154b0a45-1</t>
  </si>
  <si>
    <t>e4d34974</t>
  </si>
  <si>
    <t>Banderloff (25/09/2024) - frutas</t>
  </si>
  <si>
    <t>Notas_Images/e4d34974.Foto.172457.jpg</t>
  </si>
  <si>
    <t>ITEM-27bc39ff-1</t>
  </si>
  <si>
    <t>f5a718d8</t>
  </si>
  <si>
    <t>4f890fa7</t>
  </si>
  <si>
    <t>ITEM-0feb3d64-1</t>
  </si>
  <si>
    <t>Coca cola (26/09/2024) - Bebidas</t>
  </si>
  <si>
    <t>Notas_Images/4f890fa7.Foto.183946.jpg</t>
  </si>
  <si>
    <t>ITEM-e308c290-1</t>
  </si>
  <si>
    <t>1b32ccb71</t>
  </si>
  <si>
    <t>ITEM-e308c290-2</t>
  </si>
  <si>
    <t>troca de mercadorias</t>
  </si>
  <si>
    <t>ITEM-ec30029a-1</t>
  </si>
  <si>
    <t>145ecc8c0_8</t>
  </si>
  <si>
    <t>ITEM-461e6d33-1</t>
  </si>
  <si>
    <t>781f802a</t>
  </si>
  <si>
    <t>ITEM-461e6d33-2</t>
  </si>
  <si>
    <t>Monitoramento Patrimonial (16/09/2024) - monitoramente</t>
  </si>
  <si>
    <t>Notas_Images/781f802a.Foto.154403.jpg</t>
  </si>
  <si>
    <t>monitoramente</t>
  </si>
  <si>
    <t>ITEM-461e6d33-3</t>
  </si>
  <si>
    <t>a0f9534d</t>
  </si>
  <si>
    <t>20f272d9</t>
  </si>
  <si>
    <t>Camila Morango (27/09/2024) - compra de morango</t>
  </si>
  <si>
    <t>Notas_Images/20f272d9.Foto.151411.jpg</t>
  </si>
  <si>
    <t>ITEM-461e6d33-4</t>
  </si>
  <si>
    <t>290733fe</t>
  </si>
  <si>
    <t>ITEM-461e6d33-5</t>
  </si>
  <si>
    <t>Lasta Frutolândia (27/09/2024) - Cafe d equipe d final de semana</t>
  </si>
  <si>
    <t>Notas_Images/290733fe.Foto.214906.jpg</t>
  </si>
  <si>
    <t>Cafe d equipe d final de semana</t>
  </si>
  <si>
    <t>Ooo</t>
  </si>
  <si>
    <t>ITEM-35047b04-1</t>
  </si>
  <si>
    <t>9602723f</t>
  </si>
  <si>
    <t>Banderloff (27/09/2024) - Frutas</t>
  </si>
  <si>
    <t>Notas_Images/9602723f.Foto.233018.jpg</t>
  </si>
  <si>
    <t>ITEM-35047b04-2</t>
  </si>
  <si>
    <t>ITEM-35047b04-3</t>
  </si>
  <si>
    <t>c1f36cc3</t>
  </si>
  <si>
    <t>ITEM-69db539c-1</t>
  </si>
  <si>
    <t>ACB (28/09/2024) - compras de bebidas</t>
  </si>
  <si>
    <t>Notas_Images/c1f36cc3.Foto.164704.jpg</t>
  </si>
  <si>
    <t>compras de bebidas</t>
  </si>
  <si>
    <t>ITEM-c60b0a42-1</t>
  </si>
  <si>
    <t>ITEM-da52e1ff-1</t>
  </si>
  <si>
    <t>daf822bc</t>
  </si>
  <si>
    <t>ITEM-205a654f-1</t>
  </si>
  <si>
    <t>Nicopel (27/09/2024) - Embalagens</t>
  </si>
  <si>
    <t>Notas_Images/daf822bc.Foto.215122.jpg</t>
  </si>
  <si>
    <t>ITEM-0f45755a-1</t>
  </si>
  <si>
    <t>98b38eb0</t>
  </si>
  <si>
    <t>ITEM-0f45755a-2</t>
  </si>
  <si>
    <t>Banderloff (30/09/2024) - compras de frutas</t>
  </si>
  <si>
    <t>Notas_Images/98b38eb0.Foto.162413.jpg</t>
  </si>
  <si>
    <t>ITEM-0f45755a-3</t>
  </si>
  <si>
    <t>ITEM-0f45755a-4</t>
  </si>
  <si>
    <t>e1ac5b9f</t>
  </si>
  <si>
    <t>ITEM-0f45755a-5</t>
  </si>
  <si>
    <t>Casa das Embalagens (30/09/2024) - Embalagens  e balões</t>
  </si>
  <si>
    <t>Notas_Images/e1ac5b9f.Foto.220742.jpg</t>
  </si>
  <si>
    <t>Embalagens  e balões</t>
  </si>
  <si>
    <t>ITEM-b7573e8c-1</t>
  </si>
  <si>
    <t>a5631a0d</t>
  </si>
  <si>
    <t>5022f3cc</t>
  </si>
  <si>
    <t>ITEM-b7573e8c-2</t>
  </si>
  <si>
    <t>bc51a080</t>
  </si>
  <si>
    <t>Banderloff (01/10/2024) - FRUTAS</t>
  </si>
  <si>
    <t>ITEM-b7573e8c-3</t>
  </si>
  <si>
    <t>Notas_Images/bc51a080.Foto.173451.jpg</t>
  </si>
  <si>
    <t>ITEM-b7573e8c-4</t>
  </si>
  <si>
    <t>ITEM-1f1f1b41d-1</t>
  </si>
  <si>
    <t>6dcd76f2</t>
  </si>
  <si>
    <t>2a6c50b2</t>
  </si>
  <si>
    <t>PRATS (01/10/2024) - Suco</t>
  </si>
  <si>
    <t>Notas_Images/6dcd76f2.Foto.205012.jpg</t>
  </si>
  <si>
    <t>ITEM-155ec9e5c-1</t>
  </si>
  <si>
    <t>ITEM-58fd1ace-1</t>
  </si>
  <si>
    <t>ITEM-8802d612-1</t>
  </si>
  <si>
    <t>ITEM-27072d3b-1</t>
  </si>
  <si>
    <t>449b97be</t>
  </si>
  <si>
    <t>ITEM-2a5cbbf4-1</t>
  </si>
  <si>
    <t>Jandira (02/10/2024) - Produto de limpeza</t>
  </si>
  <si>
    <t>Notas_Images/449b97be.Foto.180432.jpg</t>
  </si>
  <si>
    <t>Produto de limpeza</t>
  </si>
  <si>
    <t>ITEM-d4fc75be-1</t>
  </si>
  <si>
    <t>4d20f661</t>
  </si>
  <si>
    <t>ITEM-3ea6cc9a-1</t>
  </si>
  <si>
    <t>Help Multi Coisas (02/10/2024) - impressaõ</t>
  </si>
  <si>
    <t>Notas_Images/4d20f661.Foto.201403.jpg</t>
  </si>
  <si>
    <t>ITEM-1b6f1e7ce-1</t>
  </si>
  <si>
    <t>impressaõ</t>
  </si>
  <si>
    <t>ITEM-aa813bec-1</t>
  </si>
  <si>
    <t>469c4ff8</t>
  </si>
  <si>
    <t>ITEM-aa813bec-2</t>
  </si>
  <si>
    <t>Camila Morango (02/10/2024) - Morango</t>
  </si>
  <si>
    <t>Notas_Images/469c4ff8.Foto.204134.jpg</t>
  </si>
  <si>
    <t>ITEM-aa813bec-3</t>
  </si>
  <si>
    <t>8909afbc</t>
  </si>
  <si>
    <t>ITEM-aa813bec-4</t>
  </si>
  <si>
    <t>Casa das Embalagens (02/10/2024) - Guardanapos</t>
  </si>
  <si>
    <t>Notas_Images/8909afbc.Foto.212653.jpg</t>
  </si>
  <si>
    <t>Guardanapos</t>
  </si>
  <si>
    <t>ITEM-aa813bec-5</t>
  </si>
  <si>
    <t>ITEM-f62d3722-1</t>
  </si>
  <si>
    <t>151d2895c</t>
  </si>
  <si>
    <t>ITEM-f62d3722-2</t>
  </si>
  <si>
    <t>divisão</t>
  </si>
  <si>
    <t>ITEM-f62d3722-3</t>
  </si>
  <si>
    <t>17625a6d4</t>
  </si>
  <si>
    <t>ITEM-f62d3722-4</t>
  </si>
  <si>
    <t>ITEM-f62d3722-5</t>
  </si>
  <si>
    <t>17b473fc3</t>
  </si>
  <si>
    <t>ITEM-f62d3722-6</t>
  </si>
  <si>
    <t>ITEM-8d061d2a-1</t>
  </si>
  <si>
    <t>1594a3322</t>
  </si>
  <si>
    <t>ITEM-8d061d2a-2</t>
  </si>
  <si>
    <t>salario</t>
  </si>
  <si>
    <t>ITEM-8d061d2a-3</t>
  </si>
  <si>
    <t>ITEM-8d061d2a-4</t>
  </si>
  <si>
    <t>ITEM-df90f7e9-1</t>
  </si>
  <si>
    <t>rescisão período sem registro</t>
  </si>
  <si>
    <t>ITEM-df90f7e9-2</t>
  </si>
  <si>
    <t>ITEM-df90f7e9-3</t>
  </si>
  <si>
    <t>1d319db1c</t>
  </si>
  <si>
    <t>ITEM-3c76b28f-1</t>
  </si>
  <si>
    <t>ITEM-3c76b28f-2</t>
  </si>
  <si>
    <t>14588266f</t>
  </si>
  <si>
    <t>ITEM-25e209e9-1</t>
  </si>
  <si>
    <t>16b741b29</t>
  </si>
  <si>
    <t>ITEM-25e209e9-2</t>
  </si>
  <si>
    <t>144258a76</t>
  </si>
  <si>
    <t>ITEM-25e209e9-3</t>
  </si>
  <si>
    <t>adiantamento</t>
  </si>
  <si>
    <t>ITEM-25e209e9-4</t>
  </si>
  <si>
    <t>c6698299</t>
  </si>
  <si>
    <t>ITEM-25e209e9-5</t>
  </si>
  <si>
    <t>Coca cola (03/10/2024) - Bebidas</t>
  </si>
  <si>
    <t>Notas_Images/c6698299.Foto.184831.jpg</t>
  </si>
  <si>
    <t>ITEM-25e209e9-6</t>
  </si>
  <si>
    <t>5bb464b7</t>
  </si>
  <si>
    <t>Banderloff (04/10/2024) - Frutas</t>
  </si>
  <si>
    <t>Notas_Images/5bb464b7.Foto.182118.jpg</t>
  </si>
  <si>
    <t>ITEM-30999b11-1</t>
  </si>
  <si>
    <t>58bb0366</t>
  </si>
  <si>
    <t>BRk (04/10/2024) - Água</t>
  </si>
  <si>
    <t>Notas_Images/58bb0366.Foto.183848.png</t>
  </si>
  <si>
    <t>ITEM-30999b11-2</t>
  </si>
  <si>
    <t>Água</t>
  </si>
  <si>
    <t>b680cc34</t>
  </si>
  <si>
    <t>ITEM-30999b11-3</t>
  </si>
  <si>
    <t>Amadelli (04/10/2024) - Estoque seco</t>
  </si>
  <si>
    <t>Notas_Images/b680cc34.Foto.145049.jpg</t>
  </si>
  <si>
    <t>ITEM-30999b11-4</t>
  </si>
  <si>
    <t>fb4d7b4d</t>
  </si>
  <si>
    <t>Camila Morango (05/10/2024) - Morangos</t>
  </si>
  <si>
    <t>Notas_Images/fb4d7b4d.Foto.144927.jpg</t>
  </si>
  <si>
    <t>ITEM-30999b11-5</t>
  </si>
  <si>
    <t>7e52bd96</t>
  </si>
  <si>
    <t>Banderloff (05/10/2024) - Frutas</t>
  </si>
  <si>
    <t>Notas_Images/7e52bd96.Foto.145007.jpg</t>
  </si>
  <si>
    <t>ITEM-30999b11-6</t>
  </si>
  <si>
    <t>0e5ededb</t>
  </si>
  <si>
    <t>ITEM-30999b11-7</t>
  </si>
  <si>
    <t>AIBOO (06/10/2024) - Fatura do aplicativo</t>
  </si>
  <si>
    <t>Notas_Images/0e5ededb.Foto.145836.jpg</t>
  </si>
  <si>
    <t>Fatura do aplicativo</t>
  </si>
  <si>
    <t>ITEM-30999b11-8</t>
  </si>
  <si>
    <t>2aea6d4d</t>
  </si>
  <si>
    <t>Amadelli (05/10/2024) - Carga gelada</t>
  </si>
  <si>
    <t>Notas_Images/2aea6d4d.Foto.170400.jpg</t>
  </si>
  <si>
    <t>ITEM-30999b11-9</t>
  </si>
  <si>
    <t>eb17dcb7</t>
  </si>
  <si>
    <t>32a7ba02</t>
  </si>
  <si>
    <t>BS bebidas (08/10/2024) - Bebidas</t>
  </si>
  <si>
    <t>Notas_Images/eb17dcb7.Foto.181109.jpg</t>
  </si>
  <si>
    <t>ITEM-30999b11-10</t>
  </si>
  <si>
    <t>ccf267d6</t>
  </si>
  <si>
    <t>ITEM-17b2294a2-1</t>
  </si>
  <si>
    <t>Camila Morango (08/10/2024) - Morango</t>
  </si>
  <si>
    <t>Notas_Images/ccf267d6.Foto.201633.jpg</t>
  </si>
  <si>
    <t>ITEM-1cfdf0f70-1</t>
  </si>
  <si>
    <t>62b61a83</t>
  </si>
  <si>
    <t>Banderloff (08/10/2024) - Frutas</t>
  </si>
  <si>
    <t>Notas_Images/62b61a83.Foto.181312.jpg</t>
  </si>
  <si>
    <t>ITEM-1d7d13fdb-1</t>
  </si>
  <si>
    <t>12ecce9b1</t>
  </si>
  <si>
    <t>ITEM-1e5dc89de-1</t>
  </si>
  <si>
    <t>8bfc362f</t>
  </si>
  <si>
    <t>ITEM-18cb104bb-1</t>
  </si>
  <si>
    <t>Nicopel (08/10/2024) - Embalagens</t>
  </si>
  <si>
    <t>Notas_Images/8bfc362f.Foto.185855.jpg</t>
  </si>
  <si>
    <t>829e14a5</t>
  </si>
  <si>
    <t>ITEM-163ce976c-1</t>
  </si>
  <si>
    <t>Alternativa Comunicação Visual (09/10/2024) - Painel dia das crianças</t>
  </si>
  <si>
    <t>Notas_Images/829e14a5.Foto.191202.jpg</t>
  </si>
  <si>
    <t>Painel dia das crianças</t>
  </si>
  <si>
    <t>ITEM-148789602-1</t>
  </si>
  <si>
    <t>e5de8654</t>
  </si>
  <si>
    <t>Coca Cola (10/10/2024) - Bebidas</t>
  </si>
  <si>
    <t>Notas_Images/e5de8654.Foto.223657.jpg</t>
  </si>
  <si>
    <t>ITEM-1f91a28e-1</t>
  </si>
  <si>
    <t>1fbb9c03</t>
  </si>
  <si>
    <t>Banderloff (11/10/2024) - Frutas</t>
  </si>
  <si>
    <t>ITEM-11579572-1</t>
  </si>
  <si>
    <t>Notas_Images/1fbb9c03.Foto.223506.jpg</t>
  </si>
  <si>
    <t>b336e2f6</t>
  </si>
  <si>
    <t>ITEM-846b0701-1</t>
  </si>
  <si>
    <t>Lasta Frutolândia (11/10/2024) - Cafe d final d semana e alguns prosutos d limpeza</t>
  </si>
  <si>
    <t>Notas_Images/b336e2f6.Foto.224432.jpg</t>
  </si>
  <si>
    <t>Cafe d final d semana e alguns prosutos d limpeza</t>
  </si>
  <si>
    <t>ITEM-430b8352-1</t>
  </si>
  <si>
    <t>7e585cf7</t>
  </si>
  <si>
    <t>72b9ad97</t>
  </si>
  <si>
    <t>Up recreaçao (12/10/2024) - Dia das crianças</t>
  </si>
  <si>
    <t>Notas_Images/7e585cf7.Foto.170223.jpg</t>
  </si>
  <si>
    <t>Dia das crianças</t>
  </si>
  <si>
    <t>ITEM-430b8352-2</t>
  </si>
  <si>
    <t>69137c0a</t>
  </si>
  <si>
    <t>Lojas milium (14/10/2024) - Valvula inox</t>
  </si>
  <si>
    <t>Notas_Images/69137c0a.Foto.185342.jpg</t>
  </si>
  <si>
    <t>Valvula inox</t>
  </si>
  <si>
    <t>ITEM-430b8352-3</t>
  </si>
  <si>
    <t>99fe9fd4</t>
  </si>
  <si>
    <t>8d787b9c</t>
  </si>
  <si>
    <t>1ef31b26</t>
  </si>
  <si>
    <t>ITEM-430b8352-4</t>
  </si>
  <si>
    <t>Mc nova preferida (14/10/2024) - Tnt</t>
  </si>
  <si>
    <t>Notas_Images/99fe9fd4.Foto.185440.jpg</t>
  </si>
  <si>
    <t>Tnt</t>
  </si>
  <si>
    <t>ITEM-13bfa8d1f-1</t>
  </si>
  <si>
    <t>2ca65442</t>
  </si>
  <si>
    <t>Camila Morango (14/10/2024) - Morango</t>
  </si>
  <si>
    <t>Notas_Images/2ca65442.Foto.185529.jpg</t>
  </si>
  <si>
    <t>8527f7ea</t>
  </si>
  <si>
    <t>Banderloff (14/10/2024) - Frutas</t>
  </si>
  <si>
    <t>Notas_Images/8527f7ea.Foto.185608.jpg</t>
  </si>
  <si>
    <t>ITEM-caf6e093-1</t>
  </si>
  <si>
    <t>d5b7e200</t>
  </si>
  <si>
    <t>ITEM-81f77cd3-1</t>
  </si>
  <si>
    <t>Casa das Embalagens (14/10/2024) - Álcool</t>
  </si>
  <si>
    <t>Notas_Images/d5b7e200.Foto.230214.jpg</t>
  </si>
  <si>
    <t>Álcool</t>
  </si>
  <si>
    <t>1bf2ff6ba</t>
  </si>
  <si>
    <t>ITEM-81f77cd3-2</t>
  </si>
  <si>
    <t>sistema out</t>
  </si>
  <si>
    <t>ITEM-81f77cd3-3</t>
  </si>
  <si>
    <t>1724166f5_5</t>
  </si>
  <si>
    <t>ITEM-81f77cd3-4</t>
  </si>
  <si>
    <t>132b0afce</t>
  </si>
  <si>
    <t>ITEM-81f77cd3-5</t>
  </si>
  <si>
    <t>19372b3ed</t>
  </si>
  <si>
    <t>dee2d033</t>
  </si>
  <si>
    <t>ITEM-8882fa29-1</t>
  </si>
  <si>
    <t>160f35739</t>
  </si>
  <si>
    <t>4 cortinas</t>
  </si>
  <si>
    <t>ITEM-8882fa29-2</t>
  </si>
  <si>
    <t>2d4ee7c6</t>
  </si>
  <si>
    <t>Milium (15/10/2024) - Fita dupla face</t>
  </si>
  <si>
    <t>ITEM-8882fa29-3</t>
  </si>
  <si>
    <t>Notas_Images/2d4ee7c6.Foto.221617.jpg</t>
  </si>
  <si>
    <t>Fita dupla face</t>
  </si>
  <si>
    <t>36cec104</t>
  </si>
  <si>
    <t>ITEM-8882fa29-4</t>
  </si>
  <si>
    <t>Banderloff (16/10/2024) - Frutas</t>
  </si>
  <si>
    <t>Notas_Images/36cec104.Foto.222002.jpg</t>
  </si>
  <si>
    <t>ITEM-8882fa29-5</t>
  </si>
  <si>
    <t>9a782292</t>
  </si>
  <si>
    <t>Amadelli (16/10/2024) - Carga seca</t>
  </si>
  <si>
    <t>Notas_Images/9a782292.Foto.201543.jpg</t>
  </si>
  <si>
    <t>Carga seca</t>
  </si>
  <si>
    <t>ITEM-8882fa29-6</t>
  </si>
  <si>
    <t>1de8a53c</t>
  </si>
  <si>
    <t>c5ca3d70</t>
  </si>
  <si>
    <t>Padaria mega gigante (18/10/2024) - Cafe de sabado</t>
  </si>
  <si>
    <t>ITEM-8882fa29-7</t>
  </si>
  <si>
    <t>Notas_Images/1de8a53c.Foto.221219.jpg</t>
  </si>
  <si>
    <t>Cafe de sabado</t>
  </si>
  <si>
    <t>a56866ff</t>
  </si>
  <si>
    <t>6a590a43</t>
  </si>
  <si>
    <t>ITEM-d9191cff-1</t>
  </si>
  <si>
    <t>Superviza Supermercado (18/10/2024) - Cafe da sexta</t>
  </si>
  <si>
    <t>Notas_Images/a56866ff.Foto.221438.jpg</t>
  </si>
  <si>
    <t>Cafe da sexta</t>
  </si>
  <si>
    <t>ITEM-d9191cff-2</t>
  </si>
  <si>
    <t>05ff60ce</t>
  </si>
  <si>
    <t>Camila Morango (18/10/2024) - Morango</t>
  </si>
  <si>
    <t>Notas_Images/05ff60ce.Foto.221752.jpg</t>
  </si>
  <si>
    <t>ITEM-d9191cff-3</t>
  </si>
  <si>
    <t>27e14eac</t>
  </si>
  <si>
    <t>4d1e55fd</t>
  </si>
  <si>
    <t>Banderloff (18/10/2024) - Frutas</t>
  </si>
  <si>
    <t>ITEM-d9191cff-4</t>
  </si>
  <si>
    <t>Notas_Images/27e14eac.Foto.222140.jpg</t>
  </si>
  <si>
    <t>9fc5f1cc</t>
  </si>
  <si>
    <t>ITEM-02d6c89e-1</t>
  </si>
  <si>
    <t>Amadelli (19/10/2024) - Carga gelada</t>
  </si>
  <si>
    <t>Notas_Images/9fc5f1cc.Foto.200825.jpg</t>
  </si>
  <si>
    <t>ITEM-d561274e-1</t>
  </si>
  <si>
    <t>8b17a14f</t>
  </si>
  <si>
    <t>ACB (19/10/2024) - Bebidas</t>
  </si>
  <si>
    <t>Notas_Images/8b17a14f.Foto.182710.jpg</t>
  </si>
  <si>
    <t>ITEM-d561274e-2</t>
  </si>
  <si>
    <t>59ed3d2c</t>
  </si>
  <si>
    <t>Notas_Images/59ed3d2c.Foto.182819.jpg</t>
  </si>
  <si>
    <t>ITEM-10b92b736-1</t>
  </si>
  <si>
    <t>7e439d3b</t>
  </si>
  <si>
    <t>ITEM-1fd06584-1</t>
  </si>
  <si>
    <t>Embrast (16/10/2024) - Produtos d limpeza</t>
  </si>
  <si>
    <t>Notas_Images/7e439d3b.Foto.224722.jpg</t>
  </si>
  <si>
    <t>ITEM-3daa756f-1</t>
  </si>
  <si>
    <t>09968ec8</t>
  </si>
  <si>
    <t>Banderloff (22/10/2024) - Frutas</t>
  </si>
  <si>
    <t>Notas_Images/09968ec8.Foto.200030.jpg</t>
  </si>
  <si>
    <t>ITEM-eb2310ef-1</t>
  </si>
  <si>
    <t>0443f6a5</t>
  </si>
  <si>
    <t>Camila Morango (23/10/2024) - Morango</t>
  </si>
  <si>
    <t>Notas_Images/0443f6a5.Foto.175329.jpg</t>
  </si>
  <si>
    <t>ITEM-8d8d9c79-1</t>
  </si>
  <si>
    <t>9bc35cf4</t>
  </si>
  <si>
    <t>PORTALMED (23/10/2024) - Exames</t>
  </si>
  <si>
    <t>Notas_Images/9bc35cf4.Foto.204807.jpg</t>
  </si>
  <si>
    <t>ITEM-8d8d9c79-2</t>
  </si>
  <si>
    <t>8fc5be0f</t>
  </si>
  <si>
    <t>ITEM-8d8d9c79-3</t>
  </si>
  <si>
    <t>Monitoramento Patrimonial (24/10/2024) - Monitoramento  dr  câmaras</t>
  </si>
  <si>
    <t>Notas_Images/8fc5be0f.Foto.153800.jpg</t>
  </si>
  <si>
    <t>Monitoramento  dr  câmaras</t>
  </si>
  <si>
    <t>1f1c47074</t>
  </si>
  <si>
    <t>ITEM-8d8d9c79-4</t>
  </si>
  <si>
    <t>549941fe</t>
  </si>
  <si>
    <t>ITEM-8d8d9c79-5</t>
  </si>
  <si>
    <t>768a14fe</t>
  </si>
  <si>
    <t>Alternativa Comunicação Visual (24/10/2024) - Etiquetas</t>
  </si>
  <si>
    <t>Notas_Images/768a14fe.Foto.192309.jpg</t>
  </si>
  <si>
    <t>Etiquetas</t>
  </si>
  <si>
    <t>ITEM-1d89652c6-1</t>
  </si>
  <si>
    <t>e7381e0a</t>
  </si>
  <si>
    <t>Coca Cola (24/10/2024) - Bebidas</t>
  </si>
  <si>
    <t>Notas_Images/e7381e0a.Foto.192347.jpg</t>
  </si>
  <si>
    <t>ITEM-145ecc8c0_2-1</t>
  </si>
  <si>
    <t>8c91f57c</t>
  </si>
  <si>
    <t>ITEM-10d22e701_2-1</t>
  </si>
  <si>
    <t>AIBOO (10/03/2024) - Delivery</t>
  </si>
  <si>
    <t>Notas_Images/8c91f57c.Foto.201554.jpg</t>
  </si>
  <si>
    <t>Delivery</t>
  </si>
  <si>
    <t>9083f1ba</t>
  </si>
  <si>
    <t>50f935f5</t>
  </si>
  <si>
    <t>ITEM-127f8d070-1</t>
  </si>
  <si>
    <t>Banderloff (25/10/2024) - Frutas</t>
  </si>
  <si>
    <t>Notas_Images/50f935f5.Foto.151815.jpg</t>
  </si>
  <si>
    <t>114ac19c</t>
  </si>
  <si>
    <t>ITEM-9e6a5ef7-1</t>
  </si>
  <si>
    <t>Superviza Supermercado (25/10/2024) - Cafe d equipe sexta</t>
  </si>
  <si>
    <t>Notas_Images/114ac19c.Foto.152045.jpg</t>
  </si>
  <si>
    <t>Cafe d equipe sexta</t>
  </si>
  <si>
    <t>ITEM-9e6a5ef7-2</t>
  </si>
  <si>
    <t>6b4e20d9</t>
  </si>
  <si>
    <t>EXTERMINIO DESINSETIZADORA (26/10/2024) - Dedetização</t>
  </si>
  <si>
    <t>Notas_Images/6b4e20d9.Foto.152208.jpg</t>
  </si>
  <si>
    <t>Dedetização</t>
  </si>
  <si>
    <t>ITEM-9e6a5ef7-3</t>
  </si>
  <si>
    <t>2032f904</t>
  </si>
  <si>
    <t>Banderloff (26/10/2024) - Frutas</t>
  </si>
  <si>
    <t>Notas_Images/2032f904.Foto.164807.jpg</t>
  </si>
  <si>
    <t>ITEM-9e6a5ef7-4</t>
  </si>
  <si>
    <t>dd240138</t>
  </si>
  <si>
    <t>ITEM-3a2bd053-1</t>
  </si>
  <si>
    <t>ac318978</t>
  </si>
  <si>
    <t>Mercado foscarine (26/10/2024) - Cafe d final de semana</t>
  </si>
  <si>
    <t>Notas_Images/dd240138.Foto.165050.jpg</t>
  </si>
  <si>
    <t>Cafe d final de semana</t>
  </si>
  <si>
    <t>ITEM-3a2bd053-2</t>
  </si>
  <si>
    <t>1955c2a7e</t>
  </si>
  <si>
    <t>ITEM-cd6d3aad-1</t>
  </si>
  <si>
    <t>Adian feito ontem 27/10</t>
  </si>
  <si>
    <t>ITEM-d1a34593-1</t>
  </si>
  <si>
    <t>145ecc8c0_9</t>
  </si>
  <si>
    <t>ITEM-bec2e5bb-1</t>
  </si>
  <si>
    <t>086bc413</t>
  </si>
  <si>
    <t>ITEM-1d69f940-1</t>
  </si>
  <si>
    <t>19e2e356</t>
  </si>
  <si>
    <t>BS bebidas (28/10/2024) - bebidas</t>
  </si>
  <si>
    <t>Notas_Images/086bc413.Foto.222152.jpg</t>
  </si>
  <si>
    <t>ITEM-ba9f18d2-1</t>
  </si>
  <si>
    <t>ITEM-7fcca6f6-1</t>
  </si>
  <si>
    <t>80cb0acb</t>
  </si>
  <si>
    <t>ITEM-b524857c-1</t>
  </si>
  <si>
    <t>Camila Morango (28/10/2024) - morango</t>
  </si>
  <si>
    <t>Notas_Images/80cb0acb.Foto.003003.jpg</t>
  </si>
  <si>
    <t>ITEM-8a41c17d-1</t>
  </si>
  <si>
    <t>ae47edae</t>
  </si>
  <si>
    <t>ITEM-8a41c17d-2</t>
  </si>
  <si>
    <t>PRATS (28/10/2024) - sucos</t>
  </si>
  <si>
    <t>Notas_Images/ae47edae.Foto.010154.jpg</t>
  </si>
  <si>
    <t>ITEM-8a41c17d-3</t>
  </si>
  <si>
    <t>6f61fd86</t>
  </si>
  <si>
    <t>Banderloff (28/10/2024) - frutas</t>
  </si>
  <si>
    <t>Notas_Images/6f61fd86.Foto.010244.jpg</t>
  </si>
  <si>
    <t>ITEM-8a41c17d-4</t>
  </si>
  <si>
    <t>39a58469</t>
  </si>
  <si>
    <t>ITEM-ada97c3a-1</t>
  </si>
  <si>
    <t>Notas_Images/39a58469.Foto.010320.jpg</t>
  </si>
  <si>
    <t>e65378bf</t>
  </si>
  <si>
    <t>ITEM-800e4a40-1</t>
  </si>
  <si>
    <t>BOMPACK (18/09/2024) - mercadoria</t>
  </si>
  <si>
    <t>Notas_Images/e65378bf.Foto.210659.jpg</t>
  </si>
  <si>
    <t>mercadoria</t>
  </si>
  <si>
    <t>ITEM-d686e08e-1</t>
  </si>
  <si>
    <t>2d4b1d56</t>
  </si>
  <si>
    <t>Coca Cola (18/10/2024) - Bebidas</t>
  </si>
  <si>
    <t>Notas_Images/2d4b1d56.Foto.222317.jpg</t>
  </si>
  <si>
    <t>ITEM-d686e08e-2</t>
  </si>
  <si>
    <t>11529a54c</t>
  </si>
  <si>
    <t>ITEM-d686e08e-3</t>
  </si>
  <si>
    <t>1232ff673</t>
  </si>
  <si>
    <t>ITEM-d686e08e-4</t>
  </si>
  <si>
    <t>ITEM-d686e08e-5</t>
  </si>
  <si>
    <t>7db3a3a1</t>
  </si>
  <si>
    <t>Amadelli (28/10/2024) - Carga seca</t>
  </si>
  <si>
    <t>Notas_Images/7db3a3a1.Foto.205605.jpg</t>
  </si>
  <si>
    <t>ITEM-d686e08e-6</t>
  </si>
  <si>
    <t>33a1de6a</t>
  </si>
  <si>
    <t>Coca Cola (31/10/2024) - Bebidas</t>
  </si>
  <si>
    <t>ITEM-d686e08e-7</t>
  </si>
  <si>
    <t>Notas_Images/33a1de6a.Foto.200448.jpg</t>
  </si>
  <si>
    <t>49270c55</t>
  </si>
  <si>
    <t>ITEM-976b8e61-1</t>
  </si>
  <si>
    <t>Amadelli (31/10/2024) - Carga gelada</t>
  </si>
  <si>
    <t>Notas_Images/49270c55.Foto.135529.jpg</t>
  </si>
  <si>
    <t>ITEM-e087bcc5-1</t>
  </si>
  <si>
    <t>9b5b48b3</t>
  </si>
  <si>
    <t>Banderloff (01/11/2024) - Frutas</t>
  </si>
  <si>
    <t>Notas_Images/9b5b48b3.Foto.135322.jpg</t>
  </si>
  <si>
    <t>ITEM-e087bcc5-2</t>
  </si>
  <si>
    <t>0fb253f3</t>
  </si>
  <si>
    <t>Camila Morango (01/11/2024) - Morango</t>
  </si>
  <si>
    <t>Notas_Images/0fb253f3.Foto.205327.jpg</t>
  </si>
  <si>
    <t>ITEM-e087bcc5-3</t>
  </si>
  <si>
    <t>17f580d89</t>
  </si>
  <si>
    <t>ITEM-e087bcc5-4</t>
  </si>
  <si>
    <t>149fedf05</t>
  </si>
  <si>
    <t>ITEM-80f3c3e7-1</t>
  </si>
  <si>
    <t>salario outubro</t>
  </si>
  <si>
    <t>7db59fdf</t>
  </si>
  <si>
    <t>ITEM-80f3c3e7-2</t>
  </si>
  <si>
    <t>1fde1cbe5</t>
  </si>
  <si>
    <t>ITEM-80f3c3e7-3</t>
  </si>
  <si>
    <t>128373d56</t>
  </si>
  <si>
    <t>Salario out 2455,18 + 200</t>
  </si>
  <si>
    <t>ITEM-67cf0212-1</t>
  </si>
  <si>
    <t>191e91ade</t>
  </si>
  <si>
    <t>ITEM-562ed830-1</t>
  </si>
  <si>
    <t>salario out</t>
  </si>
  <si>
    <t>ITEM-defc88b5-1</t>
  </si>
  <si>
    <t>ITEM-b995c627-1</t>
  </si>
  <si>
    <t>15dd6ec23</t>
  </si>
  <si>
    <t>ITEM-b995c627-2</t>
  </si>
  <si>
    <t>11676f305</t>
  </si>
  <si>
    <t>ITEM-b995c627-3</t>
  </si>
  <si>
    <t>boleto enviado pelo zap financeiro</t>
  </si>
  <si>
    <t>199e8b2bc</t>
  </si>
  <si>
    <t>ITEM-7dc02a22-1</t>
  </si>
  <si>
    <t>1cad3fa7c</t>
  </si>
  <si>
    <t>ITEM-1ebbf7645-1</t>
  </si>
  <si>
    <t>1768c2415</t>
  </si>
  <si>
    <t>ITEM-16aa3a80f-1</t>
  </si>
  <si>
    <t>sistema</t>
  </si>
  <si>
    <t>ITEM-1123f8199-1</t>
  </si>
  <si>
    <t>1724166f5_6</t>
  </si>
  <si>
    <t>ITEM-1da008725-1</t>
  </si>
  <si>
    <t>ITEM-18f65d30a-1</t>
  </si>
  <si>
    <t>19980631e</t>
  </si>
  <si>
    <t>ITEM-10893f79b-1</t>
  </si>
  <si>
    <t>feito</t>
  </si>
  <si>
    <t>1d7f2fd21</t>
  </si>
  <si>
    <t>ITEM-15bc143ee-1</t>
  </si>
  <si>
    <t>Acerto do João, não foi pago a ele porque ele devia R$1300 pra mim</t>
  </si>
  <si>
    <t>ITEM-117620110-1</t>
  </si>
  <si>
    <t>1aea891f8</t>
  </si>
  <si>
    <t>Taxa</t>
  </si>
  <si>
    <t>ITEM-b24045ed-1</t>
  </si>
  <si>
    <t>1348943a3</t>
  </si>
  <si>
    <t>Total R$975 / 3 lojas</t>
  </si>
  <si>
    <t>ITEM-d5d896cc-1</t>
  </si>
  <si>
    <t>0408eaab</t>
  </si>
  <si>
    <t>9b337058</t>
  </si>
  <si>
    <t>Laboratório exame (01/11/2024) - Exame</t>
  </si>
  <si>
    <t>ITEM-bb6d6d7e-1</t>
  </si>
  <si>
    <t>Notas_Images/0408eaab.Foto.203559.jpg</t>
  </si>
  <si>
    <t>Exame</t>
  </si>
  <si>
    <t>0aa972f1</t>
  </si>
  <si>
    <t>ITEM-fd1f0325-1</t>
  </si>
  <si>
    <t>Nicopel (04/11/2024) - embalagens</t>
  </si>
  <si>
    <t>Notas_Images/0aa972f1.Foto.002519.jpg</t>
  </si>
  <si>
    <t>ITEM-a913541f-1</t>
  </si>
  <si>
    <t>1b7868fa</t>
  </si>
  <si>
    <t>AIBOO (05/11/2024) - Aplicativo de delivey</t>
  </si>
  <si>
    <t>Notas_Images/1b7868fa.Foto.154906.jpg</t>
  </si>
  <si>
    <t>Aplicativo de delivey</t>
  </si>
  <si>
    <t>ITEM-9027724f-1</t>
  </si>
  <si>
    <t>fc22cc99</t>
  </si>
  <si>
    <t>Casa das Embalagens (05/11/2024) - Embalagens e guardanapos</t>
  </si>
  <si>
    <t>ITEM-a734637a-1</t>
  </si>
  <si>
    <t>Notas_Images/fc22cc99.Foto.201037.jpg</t>
  </si>
  <si>
    <t>Embalagens e guardanapos</t>
  </si>
  <si>
    <t>Pago cartao</t>
  </si>
  <si>
    <t>a7e130c9</t>
  </si>
  <si>
    <t>ITEM-7a3f470e-1</t>
  </si>
  <si>
    <t>Banderloff (05/11/2024) - frutas</t>
  </si>
  <si>
    <t>Notas_Images/a7e130c9.Foto.001350.jpg</t>
  </si>
  <si>
    <t>ITEM-91bb7be2-1</t>
  </si>
  <si>
    <t>58cb58f3</t>
  </si>
  <si>
    <t>Help Multi Coisas (06/11/2024) - impressao folha eduarda</t>
  </si>
  <si>
    <t>Notas_Images/58cb58f3.Foto.000444.jpg</t>
  </si>
  <si>
    <t>impressao folha eduarda</t>
  </si>
  <si>
    <t>ITEM-1ea545c5c-1</t>
  </si>
  <si>
    <t>71c7ec8a</t>
  </si>
  <si>
    <t>PORTALMED (07/11/2024) - exame medico admissional eduarda</t>
  </si>
  <si>
    <t>Notas_Images/71c7ec8a.Foto.000655.jpg</t>
  </si>
  <si>
    <t>exame medico admissional eduarda</t>
  </si>
  <si>
    <t>ITEM-20f759ec-1</t>
  </si>
  <si>
    <t>0f6e00c9</t>
  </si>
  <si>
    <t>ITEM-20f759ec-2</t>
  </si>
  <si>
    <t>Padaria mega gigante (08/11/2024) - cafe da equipe</t>
  </si>
  <si>
    <t>Notas_Images/0f6e00c9.Foto.000542.jpg</t>
  </si>
  <si>
    <t>ITEM-20f759ec-3</t>
  </si>
  <si>
    <t>9f01b820</t>
  </si>
  <si>
    <t>212c9662</t>
  </si>
  <si>
    <t>Banderloff (08/11/2024) - frutas</t>
  </si>
  <si>
    <t>4046d3f5</t>
  </si>
  <si>
    <t>Notas_Images/9f01b820.Foto.001629.jpg</t>
  </si>
  <si>
    <t>ITEM-f375e639-1</t>
  </si>
  <si>
    <t>ac61db58</t>
  </si>
  <si>
    <t>Camila Morango (08/11/2024) - morango</t>
  </si>
  <si>
    <t>Notas_Images/ac61db58.Foto.001045.jpg</t>
  </si>
  <si>
    <t>ITEM-8cf6706e-1</t>
  </si>
  <si>
    <t>7123ffcb</t>
  </si>
  <si>
    <t>Camila Morango (10/11/2024) - Morango</t>
  </si>
  <si>
    <t>Notas_Images/7123ffcb.Foto.231712.jpg</t>
  </si>
  <si>
    <t>ITEM-cef3560e-1</t>
  </si>
  <si>
    <t>5172adb5</t>
  </si>
  <si>
    <t>ITEM-cef3560e-2</t>
  </si>
  <si>
    <t>Suco prats (11/11/2024) - Suco</t>
  </si>
  <si>
    <t>Notas_Images/5172adb5.Foto.195917.jpg</t>
  </si>
  <si>
    <t>ITEM-cef3560e-3</t>
  </si>
  <si>
    <t>90b9bc7d</t>
  </si>
  <si>
    <t>Banderloff (11/11/2024) - Frutas</t>
  </si>
  <si>
    <t>Notas_Images/90b9bc7d.Foto.195956.jpg</t>
  </si>
  <si>
    <t>ITEM-cef3560e-4</t>
  </si>
  <si>
    <t>d5a81189</t>
  </si>
  <si>
    <t>Nicopel (11/11/2024) - Embalagens</t>
  </si>
  <si>
    <t>Notas_Images/d5a81189.Foto.143852.jpg</t>
  </si>
  <si>
    <t>ITEM-6d21b73f-1</t>
  </si>
  <si>
    <t>7f8fe4c4</t>
  </si>
  <si>
    <t>ITEM-6d21b73f-2</t>
  </si>
  <si>
    <t>Amadelli (11/11/2024) - Carga seca</t>
  </si>
  <si>
    <t>Notas_Images/7f8fe4c4.Foto.185332.jpg</t>
  </si>
  <si>
    <t>Notas_Images/7f8fe4c4.Foto 1.185332.jpg</t>
  </si>
  <si>
    <t>Notas_Images/7f8fe4c4.Foto 2.185332.jpg</t>
  </si>
  <si>
    <t>ITEM-6d21b73f-3</t>
  </si>
  <si>
    <t>7ec77ec4</t>
  </si>
  <si>
    <t>Alternativa Comunicação Visual (12/11/2024) - Adesivo</t>
  </si>
  <si>
    <t>Notas_Images/7ec77ec4.Foto.205406.jpg</t>
  </si>
  <si>
    <t>Adesivo</t>
  </si>
  <si>
    <t>ITEM-6d21b73f-4</t>
  </si>
  <si>
    <t>6fed8c29</t>
  </si>
  <si>
    <t>ITEM-6d21b73f-5</t>
  </si>
  <si>
    <t>Auto Coletivo Caçador (12/11/2024) - Vale transporte dany</t>
  </si>
  <si>
    <t>Notas_Images/6fed8c29.Foto.205529.jpg</t>
  </si>
  <si>
    <t>Vale transporte dany</t>
  </si>
  <si>
    <t>ITEM-6d21b73f-6</t>
  </si>
  <si>
    <t>fe8368d0</t>
  </si>
  <si>
    <t>Jandira (13/11/2024) - Produto de limpeza</t>
  </si>
  <si>
    <t>Notas_Images/fe8368d0.Foto.143628.jpg</t>
  </si>
  <si>
    <t>ITEM-1eadd052d-1</t>
  </si>
  <si>
    <t>7dfe2cc1</t>
  </si>
  <si>
    <t>Banderloff (13/11/2024) - Frutas</t>
  </si>
  <si>
    <t>Notas_Images/7dfe2cc1.Foto.143804.jpg</t>
  </si>
  <si>
    <t>ITEM-1e3302d08-1</t>
  </si>
  <si>
    <t>6f8ef6d0</t>
  </si>
  <si>
    <t>3995fbe5</t>
  </si>
  <si>
    <t>Banderloff (14/11/2024) - Frutas</t>
  </si>
  <si>
    <t>Notas_Images/3995fbe5.Foto.200845.jpg</t>
  </si>
  <si>
    <t>ITEM-c00513f5-1</t>
  </si>
  <si>
    <t>7fdad568</t>
  </si>
  <si>
    <t>ITEM-b25209c5-1</t>
  </si>
  <si>
    <t>Amadelli (14/11/2024) - Carga gelada</t>
  </si>
  <si>
    <t>Notas_Images/7fdad568.Foto.214053.jpg</t>
  </si>
  <si>
    <t>ITEM-1e5550f3-1</t>
  </si>
  <si>
    <t>Passarela Center via atacadista (14/11/2024) - Cafe da aquipe</t>
  </si>
  <si>
    <t>Notas_Images/52193600.Foto.222025.jpg</t>
  </si>
  <si>
    <t>Cafe da aquipe</t>
  </si>
  <si>
    <t>ITEM-1e5550f3-2</t>
  </si>
  <si>
    <t>20db853d</t>
  </si>
  <si>
    <t>Camila Morango (15/11/2024) - Morango</t>
  </si>
  <si>
    <t>Notas_Images/20db853d.Foto.165417.jpg</t>
  </si>
  <si>
    <t>ITEM-1e5550f3-3</t>
  </si>
  <si>
    <t>02c0f804</t>
  </si>
  <si>
    <t>001130b3</t>
  </si>
  <si>
    <t>Caita (15/11/2024) - Pao</t>
  </si>
  <si>
    <t>ITEM-1e5550f3-4</t>
  </si>
  <si>
    <t>Notas_Images/02c0f804.Foto.221152.jpg</t>
  </si>
  <si>
    <t>Pao</t>
  </si>
  <si>
    <t>ce2caa70</t>
  </si>
  <si>
    <t>ITEM-1e5550f3-5</t>
  </si>
  <si>
    <t>Banderloff (16/11/2024) - Frutas</t>
  </si>
  <si>
    <t>Notas_Images/ce2caa70.Foto.221352.jpg</t>
  </si>
  <si>
    <t>ITEM-df82644a-1</t>
  </si>
  <si>
    <t>598b7734</t>
  </si>
  <si>
    <t>Superviza Supermercado (17/11/2024) - Pao</t>
  </si>
  <si>
    <t>Notas_Images/598b7734.Foto.221234.jpg</t>
  </si>
  <si>
    <t>ITEM-14a9cbc90-1</t>
  </si>
  <si>
    <t>e8bdd6bc</t>
  </si>
  <si>
    <t>ITEM-a913b24e-1</t>
  </si>
  <si>
    <t>Camila Morango (17/11/2024) - Morango</t>
  </si>
  <si>
    <t>Notas_Images/e8bdd6bc.Foto.221310.jpg</t>
  </si>
  <si>
    <t>ITEM-a913b24e-2</t>
  </si>
  <si>
    <t>6dc3724c</t>
  </si>
  <si>
    <t>ITEM-a913b24e-3</t>
  </si>
  <si>
    <t>Casa das Embalagens (18/11/2024) - Marmitas</t>
  </si>
  <si>
    <t>Notas_Images/6dc3724c.Foto.194527.jpg</t>
  </si>
  <si>
    <t>Marmitas</t>
  </si>
  <si>
    <t>ITEM-a913b24e-4</t>
  </si>
  <si>
    <t>6f5ea6e2</t>
  </si>
  <si>
    <t>Camila Morango (19/11/2024) - Morango</t>
  </si>
  <si>
    <t>ITEM-a913b24e-5</t>
  </si>
  <si>
    <t>Notas_Images/6f5ea6e2.Foto.194612.jpg</t>
  </si>
  <si>
    <t>ITEM-025d32a1-1</t>
  </si>
  <si>
    <t>b7293879</t>
  </si>
  <si>
    <t>Banderloff (19/11/2024) - Frutas</t>
  </si>
  <si>
    <t>Notas_Images/b7293879.Foto.194655.jpg</t>
  </si>
  <si>
    <t>ITEM-f377b4d0-1</t>
  </si>
  <si>
    <t>e4fa25cf</t>
  </si>
  <si>
    <t>1c106dc2c</t>
  </si>
  <si>
    <t>ITEM-90542e2c-1</t>
  </si>
  <si>
    <t>1 parc 13</t>
  </si>
  <si>
    <t>ITEM-0cfa6144-1</t>
  </si>
  <si>
    <t>ITEM-0cfa6144-2</t>
  </si>
  <si>
    <t>1f2e08bf9</t>
  </si>
  <si>
    <t>ITEM-0cfa6144-3</t>
  </si>
  <si>
    <t>ITEM-0cfa6144-4</t>
  </si>
  <si>
    <t>1a3ca939d</t>
  </si>
  <si>
    <t>ITEM-0cfa6144-5</t>
  </si>
  <si>
    <t>ITEM-b1746c04-1</t>
  </si>
  <si>
    <t>ITEM-19af1a52f-1</t>
  </si>
  <si>
    <t>1b66e1f09</t>
  </si>
  <si>
    <t>ITEM-1dbed36d4-1</t>
  </si>
  <si>
    <t>ITEM-3bd3184f-1</t>
  </si>
  <si>
    <t>123531dd7</t>
  </si>
  <si>
    <t>ITEM-0a4b10e4-1</t>
  </si>
  <si>
    <t>ITEM-084d6e9f-1</t>
  </si>
  <si>
    <t>ITEM-910f6712-1</t>
  </si>
  <si>
    <t>2a518a23</t>
  </si>
  <si>
    <t>ITEM-f50cce5f-1</t>
  </si>
  <si>
    <t>Passarela Center via atacadista (05/11/2024) - Produto d limpeza</t>
  </si>
  <si>
    <t>Notas_Images/2a518a23.Foto.201133.jpg</t>
  </si>
  <si>
    <t>Produto d limpeza</t>
  </si>
  <si>
    <t>ITEM-90835023-1</t>
  </si>
  <si>
    <t>ITEM-90835023-2</t>
  </si>
  <si>
    <t>ITEM-90835023-3</t>
  </si>
  <si>
    <t>ITEM-90835023-4</t>
  </si>
  <si>
    <t>b2f92b9f</t>
  </si>
  <si>
    <t>ITEM-90835023-5</t>
  </si>
  <si>
    <t>ITEM-f4f04bba-1</t>
  </si>
  <si>
    <t>Coca cola (07/11/2024) - bebidas</t>
  </si>
  <si>
    <t>Notas_Images/b2f92b9f.Foto.002258.jpg</t>
  </si>
  <si>
    <t>ITEM-7b250206-1</t>
  </si>
  <si>
    <t>ITEM-e026d613-1</t>
  </si>
  <si>
    <t>b6e54b22</t>
  </si>
  <si>
    <t>ITEM-fdc23690-1</t>
  </si>
  <si>
    <t>BS bebidas (11/11/2024) - Bebidas</t>
  </si>
  <si>
    <t>Notas_Images/b6e54b22.Foto.183440.jpg</t>
  </si>
  <si>
    <t>ITEM-fdc23690-2</t>
  </si>
  <si>
    <t>ITEM-fdc23690-3</t>
  </si>
  <si>
    <t>b7516086</t>
  </si>
  <si>
    <t>ITEM-fdc23690-4</t>
  </si>
  <si>
    <t>Coca Cola (14/11/2024) - Bebidas</t>
  </si>
  <si>
    <t>Notas_Images/b7516086.Foto.201031.jpg</t>
  </si>
  <si>
    <t>ITEM-fdc23690-5</t>
  </si>
  <si>
    <t>e6b016a3</t>
  </si>
  <si>
    <t>ITEM-fdc23690-6</t>
  </si>
  <si>
    <t>a4f48190</t>
  </si>
  <si>
    <t>ITEM-fdc23690-7</t>
  </si>
  <si>
    <t>Embrast (20/11/2024) - Saco de lixo,bobina de pano multiuso</t>
  </si>
  <si>
    <t>Notas_Images/a4f48190.Foto.174632.jpg</t>
  </si>
  <si>
    <t>ITEM-fdc23690-8</t>
  </si>
  <si>
    <t>Saco de lixo,bobina de pano multiuso</t>
  </si>
  <si>
    <t>Notas_Images/a4f48190.Foto 1.174632.jpg</t>
  </si>
  <si>
    <t>ITEM-fa982f8e-1</t>
  </si>
  <si>
    <t>4f93ea77</t>
  </si>
  <si>
    <t>ITEM-17e239d6-1</t>
  </si>
  <si>
    <t>Camila Morango (22/11/2024) - Morango</t>
  </si>
  <si>
    <t>Notas_Images/4f93ea77.Foto.173217.jpg</t>
  </si>
  <si>
    <t>ITEM-17e239d6-2</t>
  </si>
  <si>
    <t>ITEM-17e239d6-3</t>
  </si>
  <si>
    <t>c1ad2022</t>
  </si>
  <si>
    <t>Banderloff (23/11/2024) - Frutas</t>
  </si>
  <si>
    <t>Notas_Images/c1ad2022.Foto.174013.jpg</t>
  </si>
  <si>
    <t>ITEM-17e239d6-4</t>
  </si>
  <si>
    <t>ITEM-17e239d6-5</t>
  </si>
  <si>
    <t>14b0ce4e</t>
  </si>
  <si>
    <t>ITEM-818f9e13-1</t>
  </si>
  <si>
    <t>mercado di domenico (23/11/2024) - Café equipe</t>
  </si>
  <si>
    <t>Notas_Images/14b0ce4e.Foto.174101.jpg</t>
  </si>
  <si>
    <t>Café equipe</t>
  </si>
  <si>
    <t>ITEM-946afe54-1</t>
  </si>
  <si>
    <t>Cartão de debito</t>
  </si>
  <si>
    <t>ITEM-7982af85-1</t>
  </si>
  <si>
    <t>d463121d</t>
  </si>
  <si>
    <t>ITEM-99066248-1</t>
  </si>
  <si>
    <t>Help Multi Coisas (23/11/2024) - Canetas</t>
  </si>
  <si>
    <t>Notas_Images/d463121d.Foto.174144.jpg</t>
  </si>
  <si>
    <t>ITEM-99066248-2</t>
  </si>
  <si>
    <t>ITEM-99066248-3</t>
  </si>
  <si>
    <t>69c518bc</t>
  </si>
  <si>
    <t>ITEM-99066248-4</t>
  </si>
  <si>
    <t>Camila Morango (25/11/2024) - Frutas</t>
  </si>
  <si>
    <t>Notas_Images/69c518bc.Foto.134441.jpg</t>
  </si>
  <si>
    <t>ITEM-2532bdd1-1</t>
  </si>
  <si>
    <t>ITEM-145ecc8c0_3-1</t>
  </si>
  <si>
    <t>161c581d</t>
  </si>
  <si>
    <t>Coca Cola (21/11/2024) - Bebidas</t>
  </si>
  <si>
    <t>Notas_Images/161c581d.Foto.234512.jpg</t>
  </si>
  <si>
    <t>ITEM-10d22e701_3-1</t>
  </si>
  <si>
    <t>Notas_Images/161c581d.Foto 1.234512.jpg</t>
  </si>
  <si>
    <t>ITEM-b5deaa1d-1</t>
  </si>
  <si>
    <t>8b76efda</t>
  </si>
  <si>
    <t>43ac7b06</t>
  </si>
  <si>
    <t>Janete (13/11/2024) - Morango</t>
  </si>
  <si>
    <t>Notas_Images/8b76efda.Foto.143544.jpg</t>
  </si>
  <si>
    <t>ITEM-ff727ac0-1</t>
  </si>
  <si>
    <t>1e4b3825b</t>
  </si>
  <si>
    <t>ITEM-16977df76-1</t>
  </si>
  <si>
    <t>boleto enviado pelo zap do financeiro Amadelli</t>
  </si>
  <si>
    <t>ITEM-13bafb9d3-1</t>
  </si>
  <si>
    <t>145ecc8c0_10</t>
  </si>
  <si>
    <t>ITEM-10d712a67-1</t>
  </si>
  <si>
    <t>ITEM-6f24f7d8-1</t>
  </si>
  <si>
    <t>15a0871cc</t>
  </si>
  <si>
    <t>ITEM-f9b7ab09-1</t>
  </si>
  <si>
    <t>Empréstimo pessoal Patrícia 1/25</t>
  </si>
  <si>
    <t>ITEM-f9b7ab09-2</t>
  </si>
  <si>
    <t>ITEM-f9b7ab09-3</t>
  </si>
  <si>
    <t>17926f8c1</t>
  </si>
  <si>
    <t>ITEM-8092a8c6-1</t>
  </si>
  <si>
    <t>Tablet para implementar NPS</t>
  </si>
  <si>
    <t>ITEM-7a514e1a-1</t>
  </si>
  <si>
    <t>172ac0f33</t>
  </si>
  <si>
    <t>ITEM-5fd194b6-1</t>
  </si>
  <si>
    <t>Reembolso 18 meses</t>
  </si>
  <si>
    <t>ITEM-5fd194b6-2</t>
  </si>
  <si>
    <t>ITEM-12f8ad48-1</t>
  </si>
  <si>
    <t>4d519038</t>
  </si>
  <si>
    <t>Nicopel (21/11/2024) - Embalagens para panetone</t>
  </si>
  <si>
    <t>Notas_Images/4d519038.Foto.231641.jpg</t>
  </si>
  <si>
    <t>ITEM-12f8ad48-2</t>
  </si>
  <si>
    <t>Embalagens para panetone</t>
  </si>
  <si>
    <t>ITEM-12f8ad48-3</t>
  </si>
  <si>
    <t>65c7f3ef</t>
  </si>
  <si>
    <t>ITEM-12f8ad48-4</t>
  </si>
  <si>
    <t>a9f49e84</t>
  </si>
  <si>
    <t>Bauer express (22/11/2024) - Entrega de mercadoria</t>
  </si>
  <si>
    <t>ITEM-4c203c50-1</t>
  </si>
  <si>
    <t>Notas_Images/65c7f3ef.Foto.231554.jpg</t>
  </si>
  <si>
    <t>Entrega de mercadoria</t>
  </si>
  <si>
    <t>ITEM-4c203c50-2</t>
  </si>
  <si>
    <t>79f9f162</t>
  </si>
  <si>
    <t>ITEM-4c203c50-3</t>
  </si>
  <si>
    <t>Alternativa Comunicação Visual (25/11/2024) - Adesivos</t>
  </si>
  <si>
    <t>ITEM-4c203c50-4</t>
  </si>
  <si>
    <t>Notas_Images/79f9f162.Foto.231411.jpg</t>
  </si>
  <si>
    <t>ITEM-4c203c50-5</t>
  </si>
  <si>
    <t>ITEM-4c203c50-6</t>
  </si>
  <si>
    <t>515c6cd0</t>
  </si>
  <si>
    <t>ITEM-4c203c50-7</t>
  </si>
  <si>
    <t>Banderloff (25/11/2024) - Frutas</t>
  </si>
  <si>
    <t>Notas_Images/515c6cd0.Foto.231932.jpg</t>
  </si>
  <si>
    <t>ITEM-50b515ee-1</t>
  </si>
  <si>
    <t>ITEM-1cca04346-1</t>
  </si>
  <si>
    <t>ITEM-1f0421481-1</t>
  </si>
  <si>
    <t>ITEM-181f4d9e6-1</t>
  </si>
  <si>
    <t>f5ff0ab5</t>
  </si>
  <si>
    <t>ITEM-16fcf6ccb-1</t>
  </si>
  <si>
    <t>EXTERMINIO DESINSETIZADORA (26/11/2024) - Dedetização</t>
  </si>
  <si>
    <t>Notas_Images/f5ff0ab5.Foto.230907.jpg</t>
  </si>
  <si>
    <t>ITEM-1f368f882-1</t>
  </si>
  <si>
    <t>ITEM-1703cc39b-1</t>
  </si>
  <si>
    <t>0b367289</t>
  </si>
  <si>
    <t>ITEM-b0897756-1</t>
  </si>
  <si>
    <t>ACB (26/11/2024) - Bebidas</t>
  </si>
  <si>
    <t>Notas_Images/0b367289.Foto.182246.jpg</t>
  </si>
  <si>
    <t>1bddb581b</t>
  </si>
  <si>
    <t>ITEM-b0897756-2</t>
  </si>
  <si>
    <t>Vários objetos</t>
  </si>
  <si>
    <t>ITEM-b0897756-3</t>
  </si>
  <si>
    <t>ITEM-b0897756-4</t>
  </si>
  <si>
    <t>ITEM-b0897756-5</t>
  </si>
  <si>
    <t>fe88cc08</t>
  </si>
  <si>
    <t>ITEM-58b893cb-1</t>
  </si>
  <si>
    <t>bbfcb8d9</t>
  </si>
  <si>
    <t>Skol indústria de bebidas e alimentos (26/11/2024) - Bebidas</t>
  </si>
  <si>
    <t>ITEM-f3e7af5a-1</t>
  </si>
  <si>
    <t>Notas_Images/fe88cc08.Foto.214347.jpg</t>
  </si>
  <si>
    <t>ITEM-45453f65-1</t>
  </si>
  <si>
    <t>ITEM-45453f65-2</t>
  </si>
  <si>
    <t>ITEM-45453f65-3</t>
  </si>
  <si>
    <t>d209b87c</t>
  </si>
  <si>
    <t>ITEM-45453f65-4</t>
  </si>
  <si>
    <t>ITEM-45453f65-5</t>
  </si>
  <si>
    <t>Banderloff (27/11/2024) - Frutas</t>
  </si>
  <si>
    <t>ITEM-1ba6571fd-1</t>
  </si>
  <si>
    <t>Notas_Images/d209b87c.Foto.212531.jpg</t>
  </si>
  <si>
    <t>ITEM-19a6d9cbe-1</t>
  </si>
  <si>
    <t>ITEM-17d691e41-1</t>
  </si>
  <si>
    <t>ITEM-14ab361a1-1</t>
  </si>
  <si>
    <t>ee481437</t>
  </si>
  <si>
    <t>ITEM-3639438d-1</t>
  </si>
  <si>
    <t>ITEM-3639438d-2</t>
  </si>
  <si>
    <t>ITEM-cdb0b6b5-1</t>
  </si>
  <si>
    <t>ITEM-1ba518b2-1</t>
  </si>
  <si>
    <t>Camila Morango (27/11/2024) - Morango</t>
  </si>
  <si>
    <t>Notas_Images/ee481437.Foto.213326.jpg</t>
  </si>
  <si>
    <t>ITEM-1ba518b2-2</t>
  </si>
  <si>
    <t>ITEM-1ba518b2-3</t>
  </si>
  <si>
    <t>ITEM-1ba518b2-4</t>
  </si>
  <si>
    <t>ITEM-dd2fde05-1</t>
  </si>
  <si>
    <t>ec65d912</t>
  </si>
  <si>
    <t>ITEM-dd2fde05-2</t>
  </si>
  <si>
    <t>BS bebidas (28/11/2024) - Bebidas</t>
  </si>
  <si>
    <t>ITEM-dd2fde05-3</t>
  </si>
  <si>
    <t>Notas_Images/ec65d912.Foto.212407.jpg</t>
  </si>
  <si>
    <t>ITEM-dd2fde05-4</t>
  </si>
  <si>
    <t>ITEM-dd2fde05-5</t>
  </si>
  <si>
    <t>ITEM-97db0644-1</t>
  </si>
  <si>
    <t>ITEM-4656f525-1</t>
  </si>
  <si>
    <t>88ceb88b</t>
  </si>
  <si>
    <t>ITEM-4656f525-2</t>
  </si>
  <si>
    <t>ITEM-4656f525-3</t>
  </si>
  <si>
    <t>Coca cola (28/11/2024) - Bebidas</t>
  </si>
  <si>
    <t>Notas_Images/88ceb88b.Foto.214016.jpg</t>
  </si>
  <si>
    <t>ITEM-4656f525-4</t>
  </si>
  <si>
    <t>ITEM-1a00eeea0-1</t>
  </si>
  <si>
    <t>Notas_Images/88ceb88b.Foto 1.214016.jpg</t>
  </si>
  <si>
    <t>ITEM-2e1f652a-1</t>
  </si>
  <si>
    <t>ITEM-4e29e56f-1</t>
  </si>
  <si>
    <t>91d87b39</t>
  </si>
  <si>
    <t>ITEM-6fc2aac1-1</t>
  </si>
  <si>
    <t>Banderloff (29/11/2024) - Frutas</t>
  </si>
  <si>
    <t>ITEM-6fc2aac1-2</t>
  </si>
  <si>
    <t>Notas_Images/91d87b39.Foto.211905.jpg</t>
  </si>
  <si>
    <t>ITEM-6fc2aac1-3</t>
  </si>
  <si>
    <t>ITEM-6fc2aac1-4</t>
  </si>
  <si>
    <t>ITEM-b85649b5-1</t>
  </si>
  <si>
    <t>ITEM-b85649b5-2</t>
  </si>
  <si>
    <t>928deb57</t>
  </si>
  <si>
    <t>ITEM-1f5a60cfb-1</t>
  </si>
  <si>
    <t>Patrimonial (29/11/2024) - Monitoramento de cametas</t>
  </si>
  <si>
    <t>ITEM-138b29218-1</t>
  </si>
  <si>
    <t>Notas_Images/928deb57.Foto.212723.jpg</t>
  </si>
  <si>
    <t>Monitoramento de cametas</t>
  </si>
  <si>
    <t>ITEM-13883d8aa-1</t>
  </si>
  <si>
    <t>ITEM-ad07c365-1</t>
  </si>
  <si>
    <t>bb077342</t>
  </si>
  <si>
    <t>ITEM-ad07c365-2</t>
  </si>
  <si>
    <t>ITEM-5da06d9c-1</t>
  </si>
  <si>
    <t>37a314dd</t>
  </si>
  <si>
    <t>ITEM-0d41a954-1</t>
  </si>
  <si>
    <t>Banderloff (30/11/2024) - Frutas</t>
  </si>
  <si>
    <t>ITEM-18407d23a-1</t>
  </si>
  <si>
    <t>Notas_Images/37a314dd.Foto.211719.jpg</t>
  </si>
  <si>
    <t>ITEM-b7a6a029-1</t>
  </si>
  <si>
    <t>ITEM-06becd32-1</t>
  </si>
  <si>
    <t>ITEM-eb858a83-1</t>
  </si>
  <si>
    <t>cdf55836</t>
  </si>
  <si>
    <t>ITEM-eb858a83-2</t>
  </si>
  <si>
    <t>Amadelli (01/12/2024) - Royaltyes de produtos</t>
  </si>
  <si>
    <t>ITEM-eb858a83-3</t>
  </si>
  <si>
    <t>Notas_Images/cdf55836.Foto.145459.jpg</t>
  </si>
  <si>
    <t>Royaltyes de produtos</t>
  </si>
  <si>
    <t>ITEM-eb858a83-4</t>
  </si>
  <si>
    <t>ITEM-eb858a83-5</t>
  </si>
  <si>
    <t>ITEM-c60b788f-1</t>
  </si>
  <si>
    <t>b1f789ff</t>
  </si>
  <si>
    <t>ITEM-d0376454-1</t>
  </si>
  <si>
    <t>Amadelli (01/12/2024) - Gelados</t>
  </si>
  <si>
    <t>ITEM-6e82b70c-1</t>
  </si>
  <si>
    <t>Notas_Images/b1f789ff.Foto.145854.jpg</t>
  </si>
  <si>
    <t>Gelados</t>
  </si>
  <si>
    <t>ITEM-6e82b70c-2</t>
  </si>
  <si>
    <t>ITEM-6e82b70c-3</t>
  </si>
  <si>
    <t>Notas_Images/b1f789ff.Foto 1.145854.jpg</t>
  </si>
  <si>
    <t>ITEM-6e82b70c-4</t>
  </si>
  <si>
    <t>ITEM-6e82b70c-5</t>
  </si>
  <si>
    <t>080890dc</t>
  </si>
  <si>
    <t>ITEM-6e82b70c-6</t>
  </si>
  <si>
    <t>Amadelli (20/11/2024) - Panetone e chocotone</t>
  </si>
  <si>
    <t>ITEM-6e82b70c-7</t>
  </si>
  <si>
    <t>Notas_Images/080890dc.Foto.000559.jpg</t>
  </si>
  <si>
    <t>Panetone e chocotone</t>
  </si>
  <si>
    <t>ITEM-6e82b70c-8</t>
  </si>
  <si>
    <t>ITEM-6e82b70c-9</t>
  </si>
  <si>
    <t>ITEM-1486a46f-1</t>
  </si>
  <si>
    <t>Não veio boleto</t>
  </si>
  <si>
    <t>ITEM-a740cf9f-1</t>
  </si>
  <si>
    <t>85d43597</t>
  </si>
  <si>
    <t>ITEM-1ff90791f-1</t>
  </si>
  <si>
    <t>Camila Morango (02/12/2024) - Morango</t>
  </si>
  <si>
    <t>ITEM-a38516db-1</t>
  </si>
  <si>
    <t>Notas_Images/85d43597.Foto.180532.jpg</t>
  </si>
  <si>
    <t>ITEM-a38516db-2</t>
  </si>
  <si>
    <t>ITEM-a38516db-3</t>
  </si>
  <si>
    <t>ITEM-a38516db-4</t>
  </si>
  <si>
    <t>ae306dcc</t>
  </si>
  <si>
    <t>ITEM-a38516db-5</t>
  </si>
  <si>
    <t>ITEM-1f01a07f4-1</t>
  </si>
  <si>
    <t>ITEM-f3e6ad57-1</t>
  </si>
  <si>
    <t>Casa das Embalagens (02/12/2024) - Creme de leite</t>
  </si>
  <si>
    <t>ITEM-abb1be39-1</t>
  </si>
  <si>
    <t>Notas_Images/ae306dcc.Foto.190401.jpg</t>
  </si>
  <si>
    <t>ITEM-77a72301-1</t>
  </si>
  <si>
    <t>Creme de leite</t>
  </si>
  <si>
    <t>ITEM-8d47f67a-1</t>
  </si>
  <si>
    <t>ITEM-1abdb9b1-1</t>
  </si>
  <si>
    <t>ITEM-0ebe8cae-1</t>
  </si>
  <si>
    <t>cd455fc9</t>
  </si>
  <si>
    <t>ITEM-11183f7c1-1</t>
  </si>
  <si>
    <t>ITEM-77aedcf5-1</t>
  </si>
  <si>
    <t>ITEM-13208d976-1</t>
  </si>
  <si>
    <t>Jandira (02/12/2024) - Produto d limpeza</t>
  </si>
  <si>
    <t>ITEM-10d22e701_4-1</t>
  </si>
  <si>
    <t>Notas_Images/cd455fc9.Foto.180736.jpg</t>
  </si>
  <si>
    <t>ITEM-145ecc8c0_4-1</t>
  </si>
  <si>
    <t>ITEM-918ca77b-1</t>
  </si>
  <si>
    <t>ITEM-73ab6883-1</t>
  </si>
  <si>
    <t>1ed99b86e</t>
  </si>
  <si>
    <t>ITEM-7e5428ba-1</t>
  </si>
  <si>
    <t>ITEM-99c7e0f5-1</t>
  </si>
  <si>
    <t>ITEM-206af00d-1</t>
  </si>
  <si>
    <t>ITEM-1d8b57aa8-1</t>
  </si>
  <si>
    <t>ITEM-164352bab-1</t>
  </si>
  <si>
    <t>bbf9598f</t>
  </si>
  <si>
    <t>ITEM-e18d4b79-1</t>
  </si>
  <si>
    <t>ITEM-e18d4b79-2</t>
  </si>
  <si>
    <t>Coca cola (26/11/2024) - Bebidas</t>
  </si>
  <si>
    <t>Notas_Images/bbf9598f.Foto.111341.jpg</t>
  </si>
  <si>
    <t>ITEM-e18d4b79-3</t>
  </si>
  <si>
    <t>ITEM-e18d4b79-4</t>
  </si>
  <si>
    <t>ITEM-78bd97a3-1</t>
  </si>
  <si>
    <t>ba7f1b9b</t>
  </si>
  <si>
    <t>ITEM-b91d976f-1</t>
  </si>
  <si>
    <t>kopus (29/11/2024) - Copos</t>
  </si>
  <si>
    <t>ITEM-c4faf326-1</t>
  </si>
  <si>
    <t>Notas_Images/ba7f1b9b.Foto.201420.jpg</t>
  </si>
  <si>
    <t>Copos</t>
  </si>
  <si>
    <t>ITEM-44d8162b-1</t>
  </si>
  <si>
    <t>ITEM-fd18ac74-1</t>
  </si>
  <si>
    <t>130a94730</t>
  </si>
  <si>
    <t>ITEM-716ea242-1</t>
  </si>
  <si>
    <t>ITEM-716ea242-2</t>
  </si>
  <si>
    <t>boleto enviado pelo financeiro VO 507,67</t>
  </si>
  <si>
    <t>ITEM-716ea242-3</t>
  </si>
  <si>
    <t>ITEM-716ea242-4</t>
  </si>
  <si>
    <t>1c2f0f0ca</t>
  </si>
  <si>
    <t>ITEM-c23db869-1</t>
  </si>
  <si>
    <t>ITEM-27d0dfb7-1</t>
  </si>
  <si>
    <t>boleto env pelo financeiro VO 155,25</t>
  </si>
  <si>
    <t>ITEM-1c17e4591-1</t>
  </si>
  <si>
    <t>ITEM-14b17f1ea-1</t>
  </si>
  <si>
    <t>1e8e0e444</t>
  </si>
  <si>
    <t>ITEM-1879b6d20-1</t>
  </si>
  <si>
    <t>ITEM-1c08aec6b-1</t>
  </si>
  <si>
    <t>ITEM-1e08975b8-1</t>
  </si>
  <si>
    <t>ITEM-1b37f9fc2-1</t>
  </si>
  <si>
    <t>ITEM-ac86ee2b-1</t>
  </si>
  <si>
    <t>1915ef497</t>
  </si>
  <si>
    <t>ITEM-ac86ee2b-2</t>
  </si>
  <si>
    <t>ITEM-ac86ee2b-3</t>
  </si>
  <si>
    <t>ITEM-203290ca-1</t>
  </si>
  <si>
    <t>ITEM-fd78f687-1</t>
  </si>
  <si>
    <t>1ac66d649</t>
  </si>
  <si>
    <t>ITEM-fd78f687-2</t>
  </si>
  <si>
    <t>ITEM-fd78f687-3</t>
  </si>
  <si>
    <t>Adiantamento Eduarda</t>
  </si>
  <si>
    <t>ITEM-fd78f687-4</t>
  </si>
  <si>
    <t>7d4f0250</t>
  </si>
  <si>
    <t>ITEM-a3f129dc-1</t>
  </si>
  <si>
    <t>fe9b973b</t>
  </si>
  <si>
    <t>ITEM-a5de6717-1</t>
  </si>
  <si>
    <t>Banderloff (05/12/2024) - Frutas</t>
  </si>
  <si>
    <t>ITEM-5083c540-1</t>
  </si>
  <si>
    <t>Notas_Images/fe9b973b.Foto.142544.jpg</t>
  </si>
  <si>
    <t>ITEM-189f896ec-1</t>
  </si>
  <si>
    <t>ITEM-9779ef4e-1</t>
  </si>
  <si>
    <t>ITEM-9779ef4e-2</t>
  </si>
  <si>
    <t>ca83b0dc</t>
  </si>
  <si>
    <t>ITEM-9779ef4e-3</t>
  </si>
  <si>
    <t>Coca Cola (05/12/2024) - Bebidas</t>
  </si>
  <si>
    <t>ITEM-9779ef4e-4</t>
  </si>
  <si>
    <t>Notas_Images/ca83b0dc.Foto.142732.jpg</t>
  </si>
  <si>
    <t>ITEM-9779ef4e-5</t>
  </si>
  <si>
    <t>ITEM-ccc79cbc-1</t>
  </si>
  <si>
    <t>ITEM-5a3a4db9-1</t>
  </si>
  <si>
    <t>257a4868</t>
  </si>
  <si>
    <t>ITEM-7136c8ad-1</t>
  </si>
  <si>
    <t>BS bebidas (05/12/2024) - Bebidas</t>
  </si>
  <si>
    <t>ITEM-2e98d33c-1</t>
  </si>
  <si>
    <t>Notas_Images/257a4868.Foto.142813.jpg</t>
  </si>
  <si>
    <t>ITEM-2e98d33c-2</t>
  </si>
  <si>
    <t>ITEM-7358565e-1</t>
  </si>
  <si>
    <t>ITEM-7358565e-2</t>
  </si>
  <si>
    <t>806be72b</t>
  </si>
  <si>
    <t>ITEM-7358565e-3</t>
  </si>
  <si>
    <t>Padaria mega gigante (06/12/2024) - Pao</t>
  </si>
  <si>
    <t>ITEM-7358565e-4</t>
  </si>
  <si>
    <t>Notas_Images/806be72b.Foto.142908.jpg</t>
  </si>
  <si>
    <t>ITEM-7358565e-5</t>
  </si>
  <si>
    <t>ITEM-7358565e-6</t>
  </si>
  <si>
    <t>ITEM-7358565e-7</t>
  </si>
  <si>
    <t>ccb06fc0</t>
  </si>
  <si>
    <t>ITEM-7358565e-8</t>
  </si>
  <si>
    <t>Casa das Embalagens (06/12/2024) - Embalagens</t>
  </si>
  <si>
    <t>ITEM-7358565e-9</t>
  </si>
  <si>
    <t>Notas_Images/ccb06fc0.Foto.143247.jpg</t>
  </si>
  <si>
    <t>ITEM-4298d113-1</t>
  </si>
  <si>
    <t>Pago com cartão</t>
  </si>
  <si>
    <t>ITEM-6fe5c1d7-1</t>
  </si>
  <si>
    <t>1fc1580f3</t>
  </si>
  <si>
    <t>ITEM-64159874-1</t>
  </si>
  <si>
    <t>ITEM-64159874-2</t>
  </si>
  <si>
    <t>ITEM-64159874-3</t>
  </si>
  <si>
    <t>ITEM-175b4f008-1</t>
  </si>
  <si>
    <t>ITEM-1724166f5-1</t>
  </si>
  <si>
    <t>1551b9731</t>
  </si>
  <si>
    <t>ITEM-a568c7f2-1</t>
  </si>
  <si>
    <t>ITEM-886ce266-1</t>
  </si>
  <si>
    <t>imposto</t>
  </si>
  <si>
    <t>ITEM-886ce266-2</t>
  </si>
  <si>
    <t>ITEM-886ce266-3</t>
  </si>
  <si>
    <t>165046cc2</t>
  </si>
  <si>
    <t>ITEM-886ce266-4</t>
  </si>
  <si>
    <t>ITEM-8e42f969-1</t>
  </si>
  <si>
    <t>2 Papai Noel</t>
  </si>
  <si>
    <t>ITEM-64b77e78-1</t>
  </si>
  <si>
    <t>ITEM-a1ca921c-1</t>
  </si>
  <si>
    <t>ITEM-1b6fe9c59-1</t>
  </si>
  <si>
    <t>1768c2415_2</t>
  </si>
  <si>
    <t>ITEM-40898f6e-1</t>
  </si>
  <si>
    <t>ITEM-bfa1e4a4-1</t>
  </si>
  <si>
    <t>ITEM-30f07295-1</t>
  </si>
  <si>
    <t>ITEM-30f07295-2</t>
  </si>
  <si>
    <t>ITEM-30f07295-3</t>
  </si>
  <si>
    <t>1724166f5_7</t>
  </si>
  <si>
    <t>ITEM-30f07295-4</t>
  </si>
  <si>
    <t>ITEM-d6d0f64e-1</t>
  </si>
  <si>
    <t>ITEM-54355018-1</t>
  </si>
  <si>
    <t>ITEM-f77f8a6e-1</t>
  </si>
  <si>
    <t>0f812fbd</t>
  </si>
  <si>
    <t>ITEM-175204af0-1</t>
  </si>
  <si>
    <t>Amadelli (27/11/2024) - Carga seca</t>
  </si>
  <si>
    <t>ITEM-1263656a0-1</t>
  </si>
  <si>
    <t>Notas_Images/0f812fbd.Foto.165322.jpg</t>
  </si>
  <si>
    <t>ITEM-e17d64eb-1</t>
  </si>
  <si>
    <t>Notas_Images/0f812fbd.Foto 1.165322.jpg</t>
  </si>
  <si>
    <t>ITEM-e17d64eb-2</t>
  </si>
  <si>
    <t>ITEM-e17d64eb-3</t>
  </si>
  <si>
    <t>6aae209c</t>
  </si>
  <si>
    <t>ITEM-e17d64eb-4</t>
  </si>
  <si>
    <t>Superviza Supermercado (08/12/2024) - Café d equipe</t>
  </si>
  <si>
    <t>ITEM-34852c7a-1</t>
  </si>
  <si>
    <t>Notas_Images/6aae209c.Foto.165142.jpg</t>
  </si>
  <si>
    <t>Café d equipe</t>
  </si>
  <si>
    <t>ITEM-34852c7a-2</t>
  </si>
  <si>
    <t>ITEM-34852c7a-3</t>
  </si>
  <si>
    <t>ITEM-34852c7a-4</t>
  </si>
  <si>
    <t>0e5f28c9</t>
  </si>
  <si>
    <t>ITEM-34852c7a-5</t>
  </si>
  <si>
    <t>ITEM-9cb4e52b-1</t>
  </si>
  <si>
    <t>Camila Morango (09/12/2024) - Morango</t>
  </si>
  <si>
    <t>Notas_Images/0e5f28c9.Foto.164835.jpg</t>
  </si>
  <si>
    <t>ITEM-a30a292c-1</t>
  </si>
  <si>
    <t>ITEM-10ca1b121-1</t>
  </si>
  <si>
    <t>ITEM-1d30302bf-1</t>
  </si>
  <si>
    <t>5e482c14</t>
  </si>
  <si>
    <t>ITEM-160d8f6a8-1</t>
  </si>
  <si>
    <t>AIBOO (10/12/2024) - Delivery</t>
  </si>
  <si>
    <t>ITEM-11d5fa5bd-1</t>
  </si>
  <si>
    <t>Notas_Images/5e482c14.Foto.164359.jpg</t>
  </si>
  <si>
    <t>ITEM-145ecc8c0_5-1</t>
  </si>
  <si>
    <t>ITEM-1deda92ea-1</t>
  </si>
  <si>
    <t>ITEM-14fb06d96-1</t>
  </si>
  <si>
    <t>9361bbb5</t>
  </si>
  <si>
    <t>ITEM-1d9df8e5d-1</t>
  </si>
  <si>
    <t>ITEM-1cd6291f6-1</t>
  </si>
  <si>
    <t>Passarela Center via atacadista (10/12/2024) - Produtos de limepza</t>
  </si>
  <si>
    <t>Notas_Images/9361bbb5.Foto.165223.jpg</t>
  </si>
  <si>
    <t>Produtos de limepza</t>
  </si>
  <si>
    <t>ITEM-1fc7fb124-1</t>
  </si>
  <si>
    <t>ITEM-1b2ea565b-1</t>
  </si>
  <si>
    <t>ITEM-120267703-1</t>
  </si>
  <si>
    <t>cfcb64ee</t>
  </si>
  <si>
    <t>ITEM-1de8a9189-1</t>
  </si>
  <si>
    <t>ITEM-4c74375f-1</t>
  </si>
  <si>
    <t>Lojas milium (10/12/2024) - Porta bolo</t>
  </si>
  <si>
    <t>Notas_Images/cfcb64ee.Foto.221756.jpg</t>
  </si>
  <si>
    <t>ITEM-14725810d-1</t>
  </si>
  <si>
    <t>Porta bolo</t>
  </si>
  <si>
    <t>ITEM-1a76d8c82-1</t>
  </si>
  <si>
    <t>ITEM-1082c438e-1</t>
  </si>
  <si>
    <t>358c3b8a</t>
  </si>
  <si>
    <t>ITEM-147616c38-1</t>
  </si>
  <si>
    <t>ITEM-17c0731c5-1</t>
  </si>
  <si>
    <t>Alternativa Comunicação Visual (10/12/2024) - Adesivos</t>
  </si>
  <si>
    <t>Notas_Images/358c3b8a.Foto.221900.jpg</t>
  </si>
  <si>
    <t>ITEM-13ef1832a-1</t>
  </si>
  <si>
    <t>ITEM-19039b4e4-1</t>
  </si>
  <si>
    <t>Notas_Images/358c3b8a.Foto 1.221900.jpg</t>
  </si>
  <si>
    <t>ITEM-15bc15daa-1</t>
  </si>
  <si>
    <t>ITEM-1859d4a37-1</t>
  </si>
  <si>
    <t>ITEM-1724166f5_2-1</t>
  </si>
  <si>
    <t>ITEM-18334548a-1</t>
  </si>
  <si>
    <t>24d1960e</t>
  </si>
  <si>
    <t>ITEM-150feebb8-1</t>
  </si>
  <si>
    <t>Banderloff (12/12/2024) - Frutas</t>
  </si>
  <si>
    <t>Notas_Images/24d1960e.Foto.222019.jpg</t>
  </si>
  <si>
    <t>ITEM-14f9366dd-1</t>
  </si>
  <si>
    <t>ITEM-1c0d723bd-1</t>
  </si>
  <si>
    <t>ITEM-165a018e0-1</t>
  </si>
  <si>
    <t>ca357a5d</t>
  </si>
  <si>
    <t>ITEM-146ede37a-1</t>
  </si>
  <si>
    <t>ITEM-172fef9fa-1</t>
  </si>
  <si>
    <t>Suco prats (13/12/2024) - Su o</t>
  </si>
  <si>
    <t>Notas_Images/ca357a5d.Foto.221940.jpg</t>
  </si>
  <si>
    <t>ITEM-1691271b5-1</t>
  </si>
  <si>
    <t>Su o</t>
  </si>
  <si>
    <t>ITEM-145ecc8c0_6-1</t>
  </si>
  <si>
    <t>ITEM-d1562a07-1</t>
  </si>
  <si>
    <t>71d8ea5b</t>
  </si>
  <si>
    <t>ITEM-7fa9ea5b-1</t>
  </si>
  <si>
    <t>ITEM-e1b464df-1</t>
  </si>
  <si>
    <t>Camila Morango (13/12/2024) - Morango</t>
  </si>
  <si>
    <t>Notas_Images/71d8ea5b.Foto.222101.jpg</t>
  </si>
  <si>
    <t>ITEM-e1b464df-2</t>
  </si>
  <si>
    <t>ITEM-e1b464df-3</t>
  </si>
  <si>
    <t>ITEM-ef70540e-1</t>
  </si>
  <si>
    <t>1c34b548</t>
  </si>
  <si>
    <t>ITEM-ef70540e-2</t>
  </si>
  <si>
    <t>Coca Cola (12/12/2024) - Bebidas</t>
  </si>
  <si>
    <t>ITEM-74113b95-1</t>
  </si>
  <si>
    <t>Notas_Images/1c34b548.Foto.222155.jpg</t>
  </si>
  <si>
    <t>ITEM-c19f7014-1</t>
  </si>
  <si>
    <t>Notas_Images/1c34b548.Foto 1.222155.jpg</t>
  </si>
  <si>
    <t>ITEM-c19f7014-2</t>
  </si>
  <si>
    <t>ITEM-823b8db6-1</t>
  </si>
  <si>
    <t>ITEM-d7c46ddf-1</t>
  </si>
  <si>
    <t>1b2ba3b78</t>
  </si>
  <si>
    <t>ITEM-be89a5e3-1</t>
  </si>
  <si>
    <t>2 parc 13</t>
  </si>
  <si>
    <t>ITEM-be89a5e3-2</t>
  </si>
  <si>
    <t>ITEM-be89a5e3-3</t>
  </si>
  <si>
    <t>ITEM-be89a5e3-4</t>
  </si>
  <si>
    <t>12a4c2622</t>
  </si>
  <si>
    <t>ITEM-be89a5e3-5</t>
  </si>
  <si>
    <t>ITEM-be89a5e3-6</t>
  </si>
  <si>
    <t>ITEM-be89a5e3-7</t>
  </si>
  <si>
    <t>ITEM-9634161d-1</t>
  </si>
  <si>
    <t>ITEM-9634161d-2</t>
  </si>
  <si>
    <t>1331a63dd</t>
  </si>
  <si>
    <t>ITEM-b503a62a-1</t>
  </si>
  <si>
    <t>ITEM-1743cba7-1</t>
  </si>
  <si>
    <t>ITEM-3a8a734e-1</t>
  </si>
  <si>
    <t>ITEM-1a7ecd62-1</t>
  </si>
  <si>
    <t>ITEM-1a7ecd62-2</t>
  </si>
  <si>
    <t>1530b8774</t>
  </si>
  <si>
    <t>ITEM-1a7ecd62-3</t>
  </si>
  <si>
    <t>ITEM-1a7ecd62-4</t>
  </si>
  <si>
    <t>ITEM-f098f4ab-1</t>
  </si>
  <si>
    <t>ITEM-f72331e3-1</t>
  </si>
  <si>
    <t>11380b91d</t>
  </si>
  <si>
    <t>ITEM-07c44877-1</t>
  </si>
  <si>
    <t>ITEM-f77a73a3-1</t>
  </si>
  <si>
    <t>ITEM-27ff0cf0-1</t>
  </si>
  <si>
    <t>ITEM-98180ea8-1</t>
  </si>
  <si>
    <t>ITEM-98180ea8-2</t>
  </si>
  <si>
    <t>1a6412bc7</t>
  </si>
  <si>
    <t>ITEM-cbf058ff-1</t>
  </si>
  <si>
    <t>ITEM-4f1c9d7d-1</t>
  </si>
  <si>
    <t>ITEM-dbb395af-1</t>
  </si>
  <si>
    <t>ITEM-dbb395af-2</t>
  </si>
  <si>
    <t>1cf5d2779</t>
  </si>
  <si>
    <t>ITEM-296a2346-1</t>
  </si>
  <si>
    <t>ITEM-c1d18a2a-1</t>
  </si>
  <si>
    <t>fgts 13</t>
  </si>
  <si>
    <t>ITEM-c1d18a2a-2</t>
  </si>
  <si>
    <t>ITEM-c1d18a2a-3</t>
  </si>
  <si>
    <t>ITEM-1036537cd-1</t>
  </si>
  <si>
    <t>118b943fa</t>
  </si>
  <si>
    <t>ITEM-14352dcba-1</t>
  </si>
  <si>
    <t>9f97783e</t>
  </si>
  <si>
    <t>ITEM-139471fe4-1</t>
  </si>
  <si>
    <t>ITEM-1a84b632c-1</t>
  </si>
  <si>
    <t>ITEM-1c1a085d6-1</t>
  </si>
  <si>
    <t>1cc78be55</t>
  </si>
  <si>
    <t>ITEM-1cd8705c1-1</t>
  </si>
  <si>
    <t>ITEM-1777efe6f-1</t>
  </si>
  <si>
    <t>5 cestas de $170</t>
  </si>
  <si>
    <t>ITEM-16ca2f729-1</t>
  </si>
  <si>
    <t>ITEM-105270ab1-1</t>
  </si>
  <si>
    <t>ITEM-1d2bf7fab-1</t>
  </si>
  <si>
    <t>1fadc8e24</t>
  </si>
  <si>
    <t>ITEM-48f8ecde-1</t>
  </si>
  <si>
    <t>varios</t>
  </si>
  <si>
    <t>ITEM-b07d8607-1</t>
  </si>
  <si>
    <t>ITEM-59af5e50-1</t>
  </si>
  <si>
    <t>ITEM-59af5e50-2</t>
  </si>
  <si>
    <t>1b888b0cf</t>
  </si>
  <si>
    <t>ITEM-59af5e50-3</t>
  </si>
  <si>
    <t>ITEM-59af5e50-4</t>
  </si>
  <si>
    <t>Lanche equipe e Leite Condensado</t>
  </si>
  <si>
    <t>ITEM-a26527be-1</t>
  </si>
  <si>
    <t>ITEM-6b6f15d4-1</t>
  </si>
  <si>
    <t>4ea9cab6</t>
  </si>
  <si>
    <t>ITEM-6b6f15d4-2</t>
  </si>
  <si>
    <t>ITEM-6b6f15d4-3</t>
  </si>
  <si>
    <t>Patrimonial (10/12/2024) - Câmeras de monitoramento</t>
  </si>
  <si>
    <t>Notas_Images/4ea9cab6.Foto.231242.jpg</t>
  </si>
  <si>
    <t>ITEM-bfc85693-1</t>
  </si>
  <si>
    <t>Câmeras de monitoramento</t>
  </si>
  <si>
    <t>ITEM-bfc85693-2</t>
  </si>
  <si>
    <t>ITEM-175d5f259-1</t>
  </si>
  <si>
    <t>fe8dc750</t>
  </si>
  <si>
    <t>ITEM-1c1154bdd-1</t>
  </si>
  <si>
    <t>Amadelli (12/12/2024) - Donuts</t>
  </si>
  <si>
    <t>ITEM-a9844e11-1</t>
  </si>
  <si>
    <t>Notas_Images/fe8dc750.Foto.233141.jpg</t>
  </si>
  <si>
    <t>Donuts</t>
  </si>
  <si>
    <t>ITEM-a9844e11-2</t>
  </si>
  <si>
    <t>ITEM-a9844e11-3</t>
  </si>
  <si>
    <t>ITEM-a9844e11-4</t>
  </si>
  <si>
    <t>6400705a</t>
  </si>
  <si>
    <t>ITEM-a9844e11-5</t>
  </si>
  <si>
    <t>ITEM-1454c1fae-1</t>
  </si>
  <si>
    <t>Amadelli (12/12/2024) - Estoque gelado</t>
  </si>
  <si>
    <t>Notas_Images/6400705a.Foto.233720.jpg</t>
  </si>
  <si>
    <t>Estoque gelado</t>
  </si>
  <si>
    <t>ITEM-e1d3de8b-1</t>
  </si>
  <si>
    <t>ITEM-a8d68718-1</t>
  </si>
  <si>
    <t>ITEM-a8d68718-2</t>
  </si>
  <si>
    <t>ITEM-a8d68718-3</t>
  </si>
  <si>
    <t>ITEM-f4edec73-1</t>
  </si>
  <si>
    <t>Notas_Images/6400705a.Foto 1.233720.jpg</t>
  </si>
  <si>
    <t>ITEM-aca180e8-1</t>
  </si>
  <si>
    <t>ITEM-aca180e8-2</t>
  </si>
  <si>
    <t>e0d8b812</t>
  </si>
  <si>
    <t>ITEM-c1a528f6-1</t>
  </si>
  <si>
    <t>Amadelli (13/12/2024) - Estoque seco</t>
  </si>
  <si>
    <t>Notas_Images/e0d8b812.Foto.232542.jpg</t>
  </si>
  <si>
    <t>ITEM-1f6581722-1</t>
  </si>
  <si>
    <t>ITEM-1069a8fba-1</t>
  </si>
  <si>
    <t>Notas_Images/e0d8b812.Foto 1.232542.jpg</t>
  </si>
  <si>
    <t>Notas_Images/e0d8b812.Foto 2.232542.jpg</t>
  </si>
  <si>
    <t>ITEM-1724166f5_3-1</t>
  </si>
  <si>
    <t>ITEM-1c5e11bdf-1</t>
  </si>
  <si>
    <t>ITEM-15d2e688d-1</t>
  </si>
  <si>
    <t>Camila Morango (16/12/2024) - Morango</t>
  </si>
  <si>
    <t>ITEM-c6b3e31a-1</t>
  </si>
  <si>
    <t>Notas_Images/37421650.Foto.170343.jpg</t>
  </si>
  <si>
    <t>ITEM-8c3dc991-1</t>
  </si>
  <si>
    <t>ITEM-8c3dc991-2</t>
  </si>
  <si>
    <t>ITEM-8c3dc991-3</t>
  </si>
  <si>
    <t>39b5c7cf</t>
  </si>
  <si>
    <t>ITEM-8c3dc991-4</t>
  </si>
  <si>
    <t>Nicopel (16/12/2024) - Embalagens</t>
  </si>
  <si>
    <t>ITEM-d0838fad-1</t>
  </si>
  <si>
    <t>Notas_Images/39b5c7cf.Foto.231542.jpg</t>
  </si>
  <si>
    <t>ITEM-d0838fad-2</t>
  </si>
  <si>
    <t>ITEM-d0838fad-3</t>
  </si>
  <si>
    <t>ITEM-ded8b0d0-1</t>
  </si>
  <si>
    <t>Banderloff (17/12/2024) - Frutas</t>
  </si>
  <si>
    <t>ITEM-c39f5985-1</t>
  </si>
  <si>
    <t>Notas_Images/86312875.Foto.225521.jpg</t>
  </si>
  <si>
    <t>ITEM-c2155dfa-1</t>
  </si>
  <si>
    <t>ITEM-19fa42cc-1</t>
  </si>
  <si>
    <t>ITEM-19fa42cc-2</t>
  </si>
  <si>
    <t>ee37615b</t>
  </si>
  <si>
    <t>ITEM-19fa42cc-3</t>
  </si>
  <si>
    <t>ITEM-164a614d7-1</t>
  </si>
  <si>
    <t>Banderloff (18/12/2024) - Frutas</t>
  </si>
  <si>
    <t>a52b6943</t>
  </si>
  <si>
    <t>Notas_Images/ee37615b.Foto.225602.jpg</t>
  </si>
  <si>
    <t>ITEM-f92aa202-1</t>
  </si>
  <si>
    <t>ITEM-f92aa202-2</t>
  </si>
  <si>
    <t>ITEM-25c94421-1</t>
  </si>
  <si>
    <t>dcc42d09</t>
  </si>
  <si>
    <t>ITEM-25c94421-2</t>
  </si>
  <si>
    <t>ITEM-25c94421-3</t>
  </si>
  <si>
    <t>BS bebidas (19/12/2024) - Bebidas</t>
  </si>
  <si>
    <t>Notas_Images/dcc42d09.Foto.230535.jpg</t>
  </si>
  <si>
    <t>ITEM-df3ebcd6-1</t>
  </si>
  <si>
    <t>ITEM-faffc479-1</t>
  </si>
  <si>
    <t>ITEM-f3f7aa14-1</t>
  </si>
  <si>
    <t>bc7dbac4</t>
  </si>
  <si>
    <t>ITEM-c5a107c0-1</t>
  </si>
  <si>
    <t>ITEM-c5a107c0-2</t>
  </si>
  <si>
    <t>Camila Morango (20/12/2024) - Morango</t>
  </si>
  <si>
    <t>Notas_Images/bc7dbac4.Foto.170424.jpg</t>
  </si>
  <si>
    <t>ITEM-c5a107c0-3</t>
  </si>
  <si>
    <t>ITEM-ab89c3fc-1</t>
  </si>
  <si>
    <t>ITEM-8aedf00b-1</t>
  </si>
  <si>
    <t>ITEM-3df86dcd-1</t>
  </si>
  <si>
    <t>Banderloff (20/12/2024) - Frutas</t>
  </si>
  <si>
    <t>ITEM-a7c6457b-1</t>
  </si>
  <si>
    <t>Notas_Images/96144959.Foto.225657.jpg</t>
  </si>
  <si>
    <t>ITEM-5eb23d00-1</t>
  </si>
  <si>
    <t>ITEM-671c3188-1</t>
  </si>
  <si>
    <t>ITEM-671c3188-2</t>
  </si>
  <si>
    <t>80142f04</t>
  </si>
  <si>
    <t>ITEM-671c3188-3</t>
  </si>
  <si>
    <t>Banderloff (21/12/2024) - Frutas</t>
  </si>
  <si>
    <t>ITEM-671c3188-4</t>
  </si>
  <si>
    <t>Notas_Images/80142f04.Foto.225743.jpg</t>
  </si>
  <si>
    <t>ITEM-1be2684cc-1</t>
  </si>
  <si>
    <t>ITEM-c3625f02-1</t>
  </si>
  <si>
    <t>ITEM-0f5dc9f7-1</t>
  </si>
  <si>
    <t>1c9c0074</t>
  </si>
  <si>
    <t>ITEM-0f5dc9f7-2</t>
  </si>
  <si>
    <t>Camila Morango (22/12/2024) - Morango</t>
  </si>
  <si>
    <t>ITEM-0f5dc9f7-3</t>
  </si>
  <si>
    <t>Notas_Images/1c9c0074.Foto.170500.jpg</t>
  </si>
  <si>
    <t>ITEM-0f5dc9f7-4</t>
  </si>
  <si>
    <t>ITEM-16a4e07be-1</t>
  </si>
  <si>
    <t>5499fdc9</t>
  </si>
  <si>
    <t>ITEM-145ecc8c0_7-1</t>
  </si>
  <si>
    <t>15fbb52d</t>
  </si>
  <si>
    <t>ITEM-3fd7ef9f-1</t>
  </si>
  <si>
    <t>Coca Cola (19/12/2024) - Bebidas</t>
  </si>
  <si>
    <t>ITEM-da35b8af-1</t>
  </si>
  <si>
    <t>Notas_Images/15fbb52d.Foto.230922.jpg</t>
  </si>
  <si>
    <t>ITEM-e919bc4f-1</t>
  </si>
  <si>
    <t>ITEM-cc33be4a-1</t>
  </si>
  <si>
    <t>3009944b</t>
  </si>
  <si>
    <t>ITEM-cc33be4a-2</t>
  </si>
  <si>
    <t>ITEM-cc33be4a-3</t>
  </si>
  <si>
    <t>ACB (24/12/2024) - Bebidas</t>
  </si>
  <si>
    <t>Notas_Images/3009944b.Foto.201806.jpg</t>
  </si>
  <si>
    <t>ITEM-cc33be4a-4</t>
  </si>
  <si>
    <t>ITEM-02ef1217-1</t>
  </si>
  <si>
    <t>Notas_Images/3009944b.Foto 1.201806.jpg</t>
  </si>
  <si>
    <t>ITEM-02ef1217-2</t>
  </si>
  <si>
    <t>Valor seria 614,32,mas foi feito um pix n valor de 456,56 aí s foi pago a diferença</t>
  </si>
  <si>
    <t>ITEM-02ef1217-3</t>
  </si>
  <si>
    <t>e1b2424e</t>
  </si>
  <si>
    <t>ITEM-a4fae03f-1</t>
  </si>
  <si>
    <t>Banderloff (26/12/2024) - Frutas</t>
  </si>
  <si>
    <t>ITEM-3d487952-1</t>
  </si>
  <si>
    <t>Notas_Images/e1b2424e.Foto.202649.jpg</t>
  </si>
  <si>
    <t>ITEM-3d487952-2</t>
  </si>
  <si>
    <t>ITEM-3d487952-3</t>
  </si>
  <si>
    <t>ITEM-3d487952-4</t>
  </si>
  <si>
    <t>353404a3</t>
  </si>
  <si>
    <t>ITEM-6ddb776a-1</t>
  </si>
  <si>
    <t>ITEM-d73e5168-1</t>
  </si>
  <si>
    <t>Notas_Images/353404a3.Foto.202727.jpg</t>
  </si>
  <si>
    <t>ITEM-d73e5168-2</t>
  </si>
  <si>
    <t>ITEM-b1861b2d-1</t>
  </si>
  <si>
    <t>ITEM-9e0225c2-1</t>
  </si>
  <si>
    <t>bd8bdb22</t>
  </si>
  <si>
    <t>ITEM-af565914-1</t>
  </si>
  <si>
    <t>Suco prats (27/12/2024) - Suco</t>
  </si>
  <si>
    <t>ITEM-1ca18ca9e-1</t>
  </si>
  <si>
    <t>Notas_Images/bd8bdb22.Foto.202150.jpg</t>
  </si>
  <si>
    <t>ITEM-16fb19b35-1</t>
  </si>
  <si>
    <t>ITEM-1c46f8400-1</t>
  </si>
  <si>
    <t>ITEM-1e4f4e993-1</t>
  </si>
  <si>
    <t>3952596c</t>
  </si>
  <si>
    <t>ITEM-1e4ae2bed-1</t>
  </si>
  <si>
    <t>Camila Morango (27/12/2024) - Morango</t>
  </si>
  <si>
    <t>ITEM-14a213f0b-1</t>
  </si>
  <si>
    <t>Notas_Images/3952596c.Foto.202224.jpg</t>
  </si>
  <si>
    <t>ITEM-d294e16c-1</t>
  </si>
  <si>
    <t>ITEM-236eba97-1</t>
  </si>
  <si>
    <t>ITEM-236eba97-2</t>
  </si>
  <si>
    <t>75aed466</t>
  </si>
  <si>
    <t>ITEM-576c1eb7-1</t>
  </si>
  <si>
    <t>Coca cola (27/12/2024) - Bebidas</t>
  </si>
  <si>
    <t>ITEM-576c1eb7-2</t>
  </si>
  <si>
    <t>Notas_Images/75aed466.Foto.202437.jpg</t>
  </si>
  <si>
    <t>ITEM-239e1a5b-1</t>
  </si>
  <si>
    <t>ITEM-239e1a5b-2</t>
  </si>
  <si>
    <t>Notas_Images/75aed466.Foto 1.202437.jpg</t>
  </si>
  <si>
    <t>ITEM-239e1a5b-3</t>
  </si>
  <si>
    <t>ITEM-c6a12243-1</t>
  </si>
  <si>
    <t>efdcfe27</t>
  </si>
  <si>
    <t>ITEM-c6a12243-2</t>
  </si>
  <si>
    <t>6fedeba3</t>
  </si>
  <si>
    <t>Banderloff (28/12/2024) - Frutas</t>
  </si>
  <si>
    <t>ITEM-c6a12243-3</t>
  </si>
  <si>
    <t>Notas_Images/efdcfe27.Foto.202754.jpg</t>
  </si>
  <si>
    <t>ITEM-c6a12243-4</t>
  </si>
  <si>
    <t>ITEM-11d80ba4b-1</t>
  </si>
  <si>
    <t>ITEM-18c395a5b-1</t>
  </si>
  <si>
    <t>11de23f37</t>
  </si>
  <si>
    <t>ITEM-1c9611822-1</t>
  </si>
  <si>
    <t>ITEM-1b89ce074-1</t>
  </si>
  <si>
    <t>lanche para o final de semana</t>
  </si>
  <si>
    <t>ITEM-1ae84e8f5-1</t>
  </si>
  <si>
    <t>ITEM-4afdb6d2-1</t>
  </si>
  <si>
    <t>ITEM-af556338-1</t>
  </si>
  <si>
    <t>15a2c39d2</t>
  </si>
  <si>
    <t>ITEM-47954973-1</t>
  </si>
  <si>
    <t>ITEM-47954973-2</t>
  </si>
  <si>
    <t>potes brancos</t>
  </si>
  <si>
    <t>ITEM-47954973-3</t>
  </si>
  <si>
    <t>ITEM-47954973-4</t>
  </si>
  <si>
    <t>ITEM-47954973-5</t>
  </si>
  <si>
    <t>145ecc8c0_11</t>
  </si>
  <si>
    <t>ITEM-193577df-1</t>
  </si>
  <si>
    <t>ITEM-193577df-2</t>
  </si>
  <si>
    <t>ITEM-193577df-3</t>
  </si>
  <si>
    <t>ITEM-193577df-4</t>
  </si>
  <si>
    <t>ITEM-0e3a6c0c-1</t>
  </si>
  <si>
    <t>15a0871cc_2</t>
  </si>
  <si>
    <t>ITEM-91ef0d52-1</t>
  </si>
  <si>
    <t>ITEM-91522bdf-1</t>
  </si>
  <si>
    <t>ITEM-1b14a8f55-1</t>
  </si>
  <si>
    <t>ITEM-1f17831c0-1</t>
  </si>
  <si>
    <t>1cabddb51</t>
  </si>
  <si>
    <t>ITEM-f350db86-1</t>
  </si>
  <si>
    <t>ITEM-f0db9c72-1</t>
  </si>
  <si>
    <t>Assinatura mensal</t>
  </si>
  <si>
    <t>ITEM-f0db9c72-2</t>
  </si>
  <si>
    <t>ITEM-19fce73b6-1</t>
  </si>
  <si>
    <t>ITEM-ad1dca8d-1</t>
  </si>
  <si>
    <t>1691444cd</t>
  </si>
  <si>
    <t>ITEM-1addd71f7-1</t>
  </si>
  <si>
    <t>ITEM-1724166f5_4-1</t>
  </si>
  <si>
    <t>Parte do custo</t>
  </si>
  <si>
    <t>ITEM-529a7344-1</t>
  </si>
  <si>
    <t>ITEM-3e8dbf78-1</t>
  </si>
  <si>
    <t>37af7e03</t>
  </si>
  <si>
    <t>ITEM-3e8dbf78-2</t>
  </si>
  <si>
    <t>Banderloff (14/12/2024) - Frutas</t>
  </si>
  <si>
    <t>ITEM-3e8dbf78-3</t>
  </si>
  <si>
    <t>Notas_Images/37af7e03.Foto.204937.jpg</t>
  </si>
  <si>
    <t>ITEM-ac90b13b-1</t>
  </si>
  <si>
    <t>ITEM-aa4326ec-1</t>
  </si>
  <si>
    <t>be9b8e32</t>
  </si>
  <si>
    <t>ITEM-597d4587-1</t>
  </si>
  <si>
    <t>Amadelli (27/12/2024) - Carga seca</t>
  </si>
  <si>
    <t>ITEM-597d4587-2</t>
  </si>
  <si>
    <t>Notas_Images/be9b8e32.Foto.205149.jpg</t>
  </si>
  <si>
    <t>ITEM-597d4587-3</t>
  </si>
  <si>
    <t>Notas_Images/be9b8e32.Foto 1.205149.jpg</t>
  </si>
  <si>
    <t>Notas_Images/be9b8e32.Foto 2.205149.jpg</t>
  </si>
  <si>
    <t>ITEM-597d4587-4</t>
  </si>
  <si>
    <t>ITEM-597d4587-5</t>
  </si>
  <si>
    <t>1b1443f74</t>
  </si>
  <si>
    <t>ITEM-8969fd3f-1</t>
  </si>
  <si>
    <t>ITEM-91cc3726-1</t>
  </si>
  <si>
    <t>ITEM-38f8a842-1</t>
  </si>
  <si>
    <t>ITEM-38f8a842-2</t>
  </si>
  <si>
    <t>952478f5</t>
  </si>
  <si>
    <t>ITEM-9c62df1c-1</t>
  </si>
  <si>
    <t>Amadelli (27/12/2024) - Carga gelada</t>
  </si>
  <si>
    <t>ITEM-50105d9c-1</t>
  </si>
  <si>
    <t>Notas_Images/952478f5.Foto.184341.jpg</t>
  </si>
  <si>
    <t>ITEM-19a8a3b7c-1</t>
  </si>
  <si>
    <t>ITEM-1c55b692b-1</t>
  </si>
  <si>
    <t>Notas_Images/952478f5.Foto 1.184341.jpg</t>
  </si>
  <si>
    <t>Notas_Images/952478f5.Foto 2.184341.jpg</t>
  </si>
  <si>
    <t>ITEM-880a6bda-1</t>
  </si>
  <si>
    <t>ITEM-880a6bda-2</t>
  </si>
  <si>
    <t>1cf2ebf1e</t>
  </si>
  <si>
    <t>ITEM-880a6bda-3</t>
  </si>
  <si>
    <t>ITEM-880a6bda-4</t>
  </si>
  <si>
    <t>ITEM-880a6bda-5</t>
  </si>
  <si>
    <t>Adian para descontar no salário de janeiro</t>
  </si>
  <si>
    <t>bd40a100</t>
  </si>
  <si>
    <t>ITEM-880a6bda-6</t>
  </si>
  <si>
    <t>ITEM-880a6bda-7</t>
  </si>
  <si>
    <t>ITEM-880a6bda-8</t>
  </si>
  <si>
    <t>164f4878a</t>
  </si>
  <si>
    <t>ITEM-880a6bda-9</t>
  </si>
  <si>
    <t>ITEM-880a6bda-10</t>
  </si>
  <si>
    <t>Adiantamento feito no dia 01</t>
  </si>
  <si>
    <t>ITEM-1748486a2-1</t>
  </si>
  <si>
    <t>ITEM-3296a435-1</t>
  </si>
  <si>
    <t>ITEM-3296a435-2</t>
  </si>
  <si>
    <t>1210f0e1b</t>
  </si>
  <si>
    <t>ITEM-150a17ff8-1</t>
  </si>
  <si>
    <t>ITEM-7aebaf01-1</t>
  </si>
  <si>
    <t>ITEM-7aebaf01-2</t>
  </si>
  <si>
    <t>ITEM-7aebaf01-3</t>
  </si>
  <si>
    <t>ITEM-7aebaf01-4</t>
  </si>
  <si>
    <t>c1366e1f</t>
  </si>
  <si>
    <t>ITEM-c8eb96c2-1</t>
  </si>
  <si>
    <t>Nicopel (26/12/2024) - Embalagens</t>
  </si>
  <si>
    <t>ITEM-a6febfd3-1</t>
  </si>
  <si>
    <t>Notas_Images/c1366e1f.Foto.183434.jpg</t>
  </si>
  <si>
    <t>ITEM-34ef4c1e-1</t>
  </si>
  <si>
    <t>ITEM-34ef4c1e-2</t>
  </si>
  <si>
    <t>ITEM-34ef4c1e-3</t>
  </si>
  <si>
    <t>58afba8a</t>
  </si>
  <si>
    <t>ITEM-34ef4c1e-4</t>
  </si>
  <si>
    <t>Padaria mega gigante (28/12/2024) - Pao</t>
  </si>
  <si>
    <t>Notas_Images/58afba8a.Foto.171826.jpg</t>
  </si>
  <si>
    <t>ITEM-8e3c6350-1</t>
  </si>
  <si>
    <t>ITEM-1222d5f58-1</t>
  </si>
  <si>
    <t>376a3174</t>
  </si>
  <si>
    <t>ITEM-19aacf564-1</t>
  </si>
  <si>
    <t>9c3c3dc2</t>
  </si>
  <si>
    <t>Padaria santelmo (29/12/2024) - Pão</t>
  </si>
  <si>
    <t>Notas_Images/376a3174.Foto.171557.jpg</t>
  </si>
  <si>
    <t>ITEM-1d453e10c-1</t>
  </si>
  <si>
    <t>Pão</t>
  </si>
  <si>
    <t>ITEM-5f8ad591-1</t>
  </si>
  <si>
    <t>ITEM-12519604-1</t>
  </si>
  <si>
    <t>1ec32a38</t>
  </si>
  <si>
    <t>ITEM-052fc3cf-1</t>
  </si>
  <si>
    <t>Amadelli (30/12/2024) - Carga  gelada</t>
  </si>
  <si>
    <t>ITEM-1645985f-1</t>
  </si>
  <si>
    <t>ITEM-1645985f-2</t>
  </si>
  <si>
    <t>ITEM-1645985f-3</t>
  </si>
  <si>
    <t>Notas_Images/1ec32a38.Foto.172356.jpg</t>
  </si>
  <si>
    <t>Carga  gelada</t>
  </si>
  <si>
    <t>ITEM-f3c4f4e3-1</t>
  </si>
  <si>
    <t>ITEM-1e07f0b6e-1</t>
  </si>
  <si>
    <t>Notas_Images/1ec32a38.Foto 1.172356.jpg</t>
  </si>
  <si>
    <t>ITEM-e4d34974-1</t>
  </si>
  <si>
    <t>ITEM-e4d34974-2</t>
  </si>
  <si>
    <t>29872b53</t>
  </si>
  <si>
    <t>ITEM-e4d34974-3</t>
  </si>
  <si>
    <t>Padaria santelmo (01/01/2025) - Café equipe</t>
  </si>
  <si>
    <t>ITEM-4f890fa7-1</t>
  </si>
  <si>
    <t>Notas_Images/29872b53.Foto.170837.jpg</t>
  </si>
  <si>
    <t>ITEM-4f890fa7-2</t>
  </si>
  <si>
    <t>ITEM-4f890fa7-3</t>
  </si>
  <si>
    <t>ITEM-4f890fa7-4</t>
  </si>
  <si>
    <t>6da822d3</t>
  </si>
  <si>
    <t>ITEM-4f890fa7-5</t>
  </si>
  <si>
    <t>ITEM-4f890fa7-6</t>
  </si>
  <si>
    <t>ITEM-4f890fa7-7</t>
  </si>
  <si>
    <t>ITEM-4f890fa7-8</t>
  </si>
  <si>
    <t>ITEM-1b32ccb71-1</t>
  </si>
  <si>
    <t>Camila Morango (02/01/2025) - Morango</t>
  </si>
  <si>
    <t>Notas_Images/6da822d3.Foto.170913.jpg</t>
  </si>
  <si>
    <t>ITEM-145ecc8c0_8-1</t>
  </si>
  <si>
    <t>ITEM-781f802a-1</t>
  </si>
  <si>
    <t>ITEM-20f272d9-1</t>
  </si>
  <si>
    <t>ITEM-290733fe-1</t>
  </si>
  <si>
    <t>1d28ae56</t>
  </si>
  <si>
    <t>ITEM-9602723f-1</t>
  </si>
  <si>
    <t>Banderloff (02/01/2025) - Frutas</t>
  </si>
  <si>
    <t>Notas_Images/1d28ae56.Foto.171858.jpg</t>
  </si>
  <si>
    <t>ITEM-9602723f-2</t>
  </si>
  <si>
    <t>ITEM-9602723f-3</t>
  </si>
  <si>
    <t>ITEM-9602723f-4</t>
  </si>
  <si>
    <t>8d54df42</t>
  </si>
  <si>
    <t>ITEM-c1f36cc3-1</t>
  </si>
  <si>
    <t>ITEM-c1f36cc3-2</t>
  </si>
  <si>
    <t>Casa das Embalagens (03/01/2025) - Embalagens</t>
  </si>
  <si>
    <t>Notas_Images/8d54df42.Foto.170659.jpg</t>
  </si>
  <si>
    <t>ITEM-daf822bc-1</t>
  </si>
  <si>
    <t>ITEM-98b38eb0-1</t>
  </si>
  <si>
    <t>ITEM-98b38eb0-2</t>
  </si>
  <si>
    <t>ITEM-98b38eb0-3</t>
  </si>
  <si>
    <t>fb9430d9</t>
  </si>
  <si>
    <t>ITEM-98b38eb0-4</t>
  </si>
  <si>
    <t>Camila Morango (03/01/2025) - Morango</t>
  </si>
  <si>
    <t>ITEM-e1ac5b9f-1</t>
  </si>
  <si>
    <t>Notas_Images/fb9430d9.Foto.170940.jpg</t>
  </si>
  <si>
    <t>ITEM-e1ac5b9f-2</t>
  </si>
  <si>
    <t>ITEM-bc51a080-1</t>
  </si>
  <si>
    <t>047ab5b5</t>
  </si>
  <si>
    <t>ITEM-bc51a080-2</t>
  </si>
  <si>
    <t>Banderloff (03/01/2025) - Frutas</t>
  </si>
  <si>
    <t>Notas_Images/047ab5b5.Foto.171924.jpg</t>
  </si>
  <si>
    <t>ITEM-bc51a080-3</t>
  </si>
  <si>
    <t>ITEM-bc51a080-4</t>
  </si>
  <si>
    <t>ITEM-bc51a080-5</t>
  </si>
  <si>
    <t>08ee9ea1</t>
  </si>
  <si>
    <t>ITEM-6dcd76f2-1</t>
  </si>
  <si>
    <t>ITEM-127407295-1</t>
  </si>
  <si>
    <t>Banderloff (04/01/2025) - Frutas</t>
  </si>
  <si>
    <t>Notas_Images/08ee9ea1.Foto.171956.jpg</t>
  </si>
  <si>
    <t>ITEM-449b97be-1</t>
  </si>
  <si>
    <t>ITEM-449b97be-2</t>
  </si>
  <si>
    <t>ITEM-449b97be-3</t>
  </si>
  <si>
    <t>b89e7453</t>
  </si>
  <si>
    <t>ITEM-4d20f661-1</t>
  </si>
  <si>
    <t>ITEM-469c4ff8-1</t>
  </si>
  <si>
    <t>AIBOO (05/01/2025) - Aplicativo de delivery</t>
  </si>
  <si>
    <t>Notas_Images/b89e7453.Foto.170244.jpg</t>
  </si>
  <si>
    <t>Aplicativo de delivery</t>
  </si>
  <si>
    <t>ITEM-8909afbc-1</t>
  </si>
  <si>
    <t>01be18c3</t>
  </si>
  <si>
    <t>ITEM-151d2895c-1</t>
  </si>
  <si>
    <t>ITEM-17625a6d4-1</t>
  </si>
  <si>
    <t>239ad7e8</t>
  </si>
  <si>
    <t>ITEM-17b473fc3-1</t>
  </si>
  <si>
    <t>EXTERMINIO DESINSETIZADORA (05/01/2025) - Dedetização</t>
  </si>
  <si>
    <t>ITEM-1594a3322-1</t>
  </si>
  <si>
    <t>Notas_Images/239ad7e8.Foto.173451.jpg</t>
  </si>
  <si>
    <t>ITEM-143348326-1</t>
  </si>
  <si>
    <t>ITEM-1d319db1c-1</t>
  </si>
  <si>
    <t>84bfe043</t>
  </si>
  <si>
    <t>ITEM-14588266f-1</t>
  </si>
  <si>
    <t>ITEM-16b741b29-1</t>
  </si>
  <si>
    <t>Camila Morango (06/01/2025) - Morango</t>
  </si>
  <si>
    <t>Notas_Images/84bfe043.Foto.183130.jpg</t>
  </si>
  <si>
    <t>ITEM-144258a76-1</t>
  </si>
  <si>
    <t>ITEM-c6698299-1</t>
  </si>
  <si>
    <t>ITEM-c6698299-2</t>
  </si>
  <si>
    <t>158bf992c</t>
  </si>
  <si>
    <t>ITEM-c6698299-3</t>
  </si>
  <si>
    <t>ITEM-c6698299-4</t>
  </si>
  <si>
    <t>dez</t>
  </si>
  <si>
    <t>ITEM-c6698299-5</t>
  </si>
  <si>
    <t>ITEM-c6698299-6</t>
  </si>
  <si>
    <t>ITEM-c6698299-7</t>
  </si>
  <si>
    <t>1a98c2de4</t>
  </si>
  <si>
    <t>ITEM-c6698299-8</t>
  </si>
  <si>
    <t>ITEM-c6698299-9</t>
  </si>
  <si>
    <t>ITEM-c6698299-10</t>
  </si>
  <si>
    <t>ITEM-c6698299-11</t>
  </si>
  <si>
    <t>ITEM-5bb464b7-1</t>
  </si>
  <si>
    <t>112de5883</t>
  </si>
  <si>
    <t>ITEM-5bb464b7-2</t>
  </si>
  <si>
    <t>ITEM-5bb464b7-3</t>
  </si>
  <si>
    <t>ITEM-5bb464b7-4</t>
  </si>
  <si>
    <t>ITEM-58bb0366-1</t>
  </si>
  <si>
    <t>ITEM-b680cc34-1</t>
  </si>
  <si>
    <t>ITEM-fb4d7b4d-1</t>
  </si>
  <si>
    <t>ITEM-7e52bd96-1</t>
  </si>
  <si>
    <t>1b57a5e5e</t>
  </si>
  <si>
    <t>ITEM-7e52bd96-2</t>
  </si>
  <si>
    <t>ITEM-7e52bd96-3</t>
  </si>
  <si>
    <t>ITEM-7e52bd96-4</t>
  </si>
  <si>
    <t>13d5f7d70</t>
  </si>
  <si>
    <t>ITEM-0e5ededb-1</t>
  </si>
  <si>
    <t>ITEM-2aea6d4d-1</t>
  </si>
  <si>
    <t>ITEM-eb17dcb7-1</t>
  </si>
  <si>
    <t>12e5f537c</t>
  </si>
  <si>
    <t>ITEM-eb17dcb7-2</t>
  </si>
  <si>
    <t>ITEM-ccf267d6-1</t>
  </si>
  <si>
    <t>2 PCT para o brinquedo</t>
  </si>
  <si>
    <t>ITEM-62b61a83-1</t>
  </si>
  <si>
    <t>ITEM-62b61a83-2</t>
  </si>
  <si>
    <t>1b3a90c7a</t>
  </si>
  <si>
    <t>ITEM-62b61a83-3</t>
  </si>
  <si>
    <t>ITEM-12ecce9b1-1</t>
  </si>
  <si>
    <t>800 potes</t>
  </si>
  <si>
    <t>ITEM-8bfc362f-1</t>
  </si>
  <si>
    <t>ITEM-829e14a5-1</t>
  </si>
  <si>
    <t>ITEM-e5de8654-1</t>
  </si>
  <si>
    <t>1d66dba22</t>
  </si>
  <si>
    <t>ITEM-e5de8654-2</t>
  </si>
  <si>
    <t>ITEM-e5de8654-3</t>
  </si>
  <si>
    <t>ITEM-e5de8654-4</t>
  </si>
  <si>
    <t>ITEM-e5de8654-5</t>
  </si>
  <si>
    <t>ITEM-e5de8654-6</t>
  </si>
  <si>
    <t>11dd7760e</t>
  </si>
  <si>
    <t>ITEM-e5de8654-7</t>
  </si>
  <si>
    <t>ITEM-e5de8654-8</t>
  </si>
  <si>
    <t>ITEM-e5de8654-9</t>
  </si>
  <si>
    <t>ITEM-1fbb9c03-1</t>
  </si>
  <si>
    <t>ITEM-1fbb9c03-2</t>
  </si>
  <si>
    <t>155910dae</t>
  </si>
  <si>
    <t>ITEM-1fbb9c03-3</t>
  </si>
  <si>
    <t>ITEM-b336e2f6-1</t>
  </si>
  <si>
    <t>ITEM-b336e2f6-2</t>
  </si>
  <si>
    <t>ITEM-b336e2f6-3</t>
  </si>
  <si>
    <t>f3f06698</t>
  </si>
  <si>
    <t>ITEM-b336e2f6-4</t>
  </si>
  <si>
    <t>17bf61dde</t>
  </si>
  <si>
    <t>ITEM-b336e2f6-5</t>
  </si>
  <si>
    <t>2f38d0de</t>
  </si>
  <si>
    <t>prateleira para energetico</t>
  </si>
  <si>
    <t>ITEM-7e585cf7-1</t>
  </si>
  <si>
    <t>de6c82b6</t>
  </si>
  <si>
    <t>ITEM-69137c0a-1</t>
  </si>
  <si>
    <t>173f89eef</t>
  </si>
  <si>
    <t>3de7ea61</t>
  </si>
  <si>
    <t>ITEM-99fe9fd4-1</t>
  </si>
  <si>
    <t>consta no relatório do dasch</t>
  </si>
  <si>
    <t>7bee26f8</t>
  </si>
  <si>
    <t>ITEM-2ca65442-1</t>
  </si>
  <si>
    <t>ITEM-8527f7ea-1</t>
  </si>
  <si>
    <t>19e85678c</t>
  </si>
  <si>
    <t>ITEM-8527f7ea-2</t>
  </si>
  <si>
    <t>ITEM-8527f7ea-3</t>
  </si>
  <si>
    <t>dafe102a</t>
  </si>
  <si>
    <t>ITEM-8527f7ea-4</t>
  </si>
  <si>
    <t>Padaria mega gigante (04/01/2025) - Café da equipe</t>
  </si>
  <si>
    <t>Notas_Images/dafe102a.Foto.191128.jpg</t>
  </si>
  <si>
    <t>ITEM-d5b7e200-1</t>
  </si>
  <si>
    <t>ITEM-1bf2ff6ba-1</t>
  </si>
  <si>
    <t>ITEM-1724166f5_5-1</t>
  </si>
  <si>
    <t>ITEM-132b0afce-1</t>
  </si>
  <si>
    <t>bac691eb</t>
  </si>
  <si>
    <t>Nicopel (06/01/2025) - Embalagens</t>
  </si>
  <si>
    <t>ITEM-19372b3ed-1</t>
  </si>
  <si>
    <t>Notas_Images/bac691eb.Foto.184942.jpg</t>
  </si>
  <si>
    <t>ITEM-160f35739-1</t>
  </si>
  <si>
    <t>00db2941</t>
  </si>
  <si>
    <t>ITEM-2d4ee7c6-1</t>
  </si>
  <si>
    <t>5bbebd8f</t>
  </si>
  <si>
    <t>9fd6050c</t>
  </si>
  <si>
    <t>ITEM-36cec104-1</t>
  </si>
  <si>
    <t>Amadelli (06/01/2025) - Carga seca</t>
  </si>
  <si>
    <t>Notas_Images/9fd6050c.Foto.195756.jpg</t>
  </si>
  <si>
    <t>ITEM-36cec104-2</t>
  </si>
  <si>
    <t>ITEM-36cec104-3</t>
  </si>
  <si>
    <t>8d6eed8e</t>
  </si>
  <si>
    <t>ITEM-9a782292-1</t>
  </si>
  <si>
    <t>BS bebidas (07/01/2025) - Bebidas</t>
  </si>
  <si>
    <t>Notas_Images/8d6eed8e.Foto.204759.jpg</t>
  </si>
  <si>
    <t>ITEM-1de8a53c-1</t>
  </si>
  <si>
    <t>ITEM-a56866ff-1</t>
  </si>
  <si>
    <t>e193362c</t>
  </si>
  <si>
    <t>ITEM-05ff60ce-1</t>
  </si>
  <si>
    <t>Banderloff (08/01/2025) - Frutas</t>
  </si>
  <si>
    <t>Notas_Images/e193362c.Foto.184555.jpg</t>
  </si>
  <si>
    <t>ITEM-27e14eac-1</t>
  </si>
  <si>
    <t>ITEM-27e14eac-2</t>
  </si>
  <si>
    <t>f10c0711</t>
  </si>
  <si>
    <t>ITEM-27e14eac-3</t>
  </si>
  <si>
    <t>Jandira (08/01/2025) - Produto de limpeza</t>
  </si>
  <si>
    <t>Notas_Images/f10c0711.Foto.184755.jpg</t>
  </si>
  <si>
    <t>ITEM-27e14eac-4</t>
  </si>
  <si>
    <t>ITEM-9fc5f1cc-1</t>
  </si>
  <si>
    <t>dfeacfae</t>
  </si>
  <si>
    <t>ITEM-8b17a14f-1</t>
  </si>
  <si>
    <t>Coca Cola (07/01/2025) - Bebidas</t>
  </si>
  <si>
    <t>Notas_Images/dfeacfae.Foto.191225.jpg</t>
  </si>
  <si>
    <t>ITEM-8b17a14f-2</t>
  </si>
  <si>
    <t>Notas_Images/dfeacfae.Foto 1.191225.jpg</t>
  </si>
  <si>
    <t>ITEM-8b17a14f-3</t>
  </si>
  <si>
    <t>12d9ac1b5</t>
  </si>
  <si>
    <t>ITEM-59ed3d2c-1</t>
  </si>
  <si>
    <t>consta no relatório dasch</t>
  </si>
  <si>
    <t>ITEM-7e439d3b-1</t>
  </si>
  <si>
    <t>1724166f5_8</t>
  </si>
  <si>
    <t>ITEM-7e439d3b-2</t>
  </si>
  <si>
    <t>ITEM-7e439d3b-3</t>
  </si>
  <si>
    <t>ITEM-7e439d3b-4</t>
  </si>
  <si>
    <t>ITEM-7e439d3b-5</t>
  </si>
  <si>
    <t>1768c2415_3</t>
  </si>
  <si>
    <t>ITEM-09968ec8-1</t>
  </si>
  <si>
    <t>ITEM-09968ec8-2</t>
  </si>
  <si>
    <t>ITEM-0443f6a5-1</t>
  </si>
  <si>
    <t>ITEM-9bc35cf4-1</t>
  </si>
  <si>
    <t>8bc7870c</t>
  </si>
  <si>
    <t>ITEM-8fc5be0f-1</t>
  </si>
  <si>
    <t>Help Multi Coisas (08/01/2025) - Bobina máquina cartão</t>
  </si>
  <si>
    <t>ITEM-1f1c47074-1</t>
  </si>
  <si>
    <t>Notas_Images/8bc7870c.Foto.213750.jpg</t>
  </si>
  <si>
    <t>Bobina máquina cartão</t>
  </si>
  <si>
    <t>ITEM-768a14fe-1</t>
  </si>
  <si>
    <t>ITEM-e7381e0a-1</t>
  </si>
  <si>
    <t>d7a567d8</t>
  </si>
  <si>
    <t>ITEM-e7381e0a-2</t>
  </si>
  <si>
    <t>Auto Coletivo Caçador (08/01/2025) - Vale transporte renan</t>
  </si>
  <si>
    <t>Notas_Images/d7a567d8.Foto.213846.jpg</t>
  </si>
  <si>
    <t>ITEM-e7381e0a-3</t>
  </si>
  <si>
    <t>Vale transporte renan</t>
  </si>
  <si>
    <t>ITEM-e7381e0a-4</t>
  </si>
  <si>
    <t>ITEM-e7381e0a-5</t>
  </si>
  <si>
    <t>22c4124a</t>
  </si>
  <si>
    <t>ITEM-e7381e0a-6</t>
  </si>
  <si>
    <t>PRATS (10/01/2025) - Suco</t>
  </si>
  <si>
    <t>ITEM-8c91f57c-1</t>
  </si>
  <si>
    <t>Notas_Images/22c4124a.Foto.213937.jpg</t>
  </si>
  <si>
    <t>ITEM-50f935f5-1</t>
  </si>
  <si>
    <t>ITEM-50f935f5-2</t>
  </si>
  <si>
    <t>ITEM-50f935f5-3</t>
  </si>
  <si>
    <t>a10ddcee</t>
  </si>
  <si>
    <t>ITEM-50f935f5-4</t>
  </si>
  <si>
    <t>Camila Morango (10/01/2025) - Morango</t>
  </si>
  <si>
    <t>ITEM-114ac19c-1</t>
  </si>
  <si>
    <t>Notas_Images/a10ddcee.Foto.214058.jpg</t>
  </si>
  <si>
    <t>ITEM-6b4e20d9-1</t>
  </si>
  <si>
    <t>3b43b654</t>
  </si>
  <si>
    <t>ITEM-2032f904-1</t>
  </si>
  <si>
    <t>ITEM-2032f904-2</t>
  </si>
  <si>
    <t>acc67cec</t>
  </si>
  <si>
    <t>ITEM-2032f904-3</t>
  </si>
  <si>
    <t>Banderloff (10/01/2025) - Frutas</t>
  </si>
  <si>
    <t>ITEM-dd240138-1</t>
  </si>
  <si>
    <t>Notas_Images/acc67cec.Foto.214143.jpg</t>
  </si>
  <si>
    <t>ITEM-1955c2a7e-1</t>
  </si>
  <si>
    <t>ITEM-145ecc8c0_9-1</t>
  </si>
  <si>
    <t>ITEM-086bc413-1</t>
  </si>
  <si>
    <t>018084a8</t>
  </si>
  <si>
    <t>ITEM-086bc413-2</t>
  </si>
  <si>
    <t>Milium (11/01/2025) - Válvula tanque</t>
  </si>
  <si>
    <t>ITEM-80cb0acb-1</t>
  </si>
  <si>
    <t>Notas_Images/018084a8.Foto.214023.jpg</t>
  </si>
  <si>
    <t>Válvula tanque</t>
  </si>
  <si>
    <t>ITEM-ae47edae-1</t>
  </si>
  <si>
    <t>ITEM-ae47edae-2</t>
  </si>
  <si>
    <t>ITEM-ae47edae-3</t>
  </si>
  <si>
    <t>cedd6813</t>
  </si>
  <si>
    <t>ITEM-6f61fd86-1</t>
  </si>
  <si>
    <t>Nicopel (09/01/2025) - Embalagens</t>
  </si>
  <si>
    <t>Notas_Images/cedd6813.Foto.190854.jpg</t>
  </si>
  <si>
    <t>ITEM-6f61fd86-2</t>
  </si>
  <si>
    <t>ITEM-6f61fd86-3</t>
  </si>
  <si>
    <t>ITEM-39a58469-1</t>
  </si>
  <si>
    <t>ITEM-39a58469-2</t>
  </si>
  <si>
    <t>63b32692</t>
  </si>
  <si>
    <t>ITEM-39a58469-3</t>
  </si>
  <si>
    <t>Amadelli (09/01/2025) - Boia</t>
  </si>
  <si>
    <t>Notas_Images/63b32692.Foto.184634.jpg</t>
  </si>
  <si>
    <t>ITEM-e65378bf-1</t>
  </si>
  <si>
    <t>Boia</t>
  </si>
  <si>
    <t>ITEM-e65378bf-2</t>
  </si>
  <si>
    <t>ITEM-e65378bf-3</t>
  </si>
  <si>
    <t>d36c9dfe</t>
  </si>
  <si>
    <t>ITEM-e65378bf-4</t>
  </si>
  <si>
    <t>Camila Morango (13/01/2025) - Morango</t>
  </si>
  <si>
    <t>ITEM-e65378bf-5</t>
  </si>
  <si>
    <t>Notas_Images/d36c9dfe.Foto.190607.jpg</t>
  </si>
  <si>
    <t>ITEM-e65378bf-6</t>
  </si>
  <si>
    <t>ITEM-e65378bf-7</t>
  </si>
  <si>
    <t>ITEM-e65378bf-8</t>
  </si>
  <si>
    <t>226df174</t>
  </si>
  <si>
    <t>Auto Coletivo Caçador (13/01/2025) - Vale transporte gabriela</t>
  </si>
  <si>
    <t>ITEM-2d4b1d56-1</t>
  </si>
  <si>
    <t>Notas_Images/226df174.Foto.184422.jpg</t>
  </si>
  <si>
    <t>Vale transporte gabriela</t>
  </si>
  <si>
    <t>ITEM-2d4b1d56-2</t>
  </si>
  <si>
    <t>ITEM-2d4b1d56-3</t>
  </si>
  <si>
    <t>1de37ff3</t>
  </si>
  <si>
    <t>ITEM-2d4b1d56-4</t>
  </si>
  <si>
    <t>ITEM-2d4b1d56-5</t>
  </si>
  <si>
    <t>PORTALMED (13/01/2025) - Exame periodico</t>
  </si>
  <si>
    <t>Notas_Images/1de37ff3.Foto.184510.jpg</t>
  </si>
  <si>
    <t>ITEM-2d4b1d56-6</t>
  </si>
  <si>
    <t>Exame periodico</t>
  </si>
  <si>
    <t>ITEM-2d4b1d56-7</t>
  </si>
  <si>
    <t>ITEM-2d4b1d56-8</t>
  </si>
  <si>
    <t>ITEM-2d4b1d56-9</t>
  </si>
  <si>
    <t>132a2106c</t>
  </si>
  <si>
    <t>ITEM-2d4b1d56-10</t>
  </si>
  <si>
    <t>ITEM-11529a54c-1</t>
  </si>
  <si>
    <t>potes 500</t>
  </si>
  <si>
    <t>ITEM-1232ff673-1</t>
  </si>
  <si>
    <t>ITEM-7db3a3a1-1</t>
  </si>
  <si>
    <t>1b01eda62</t>
  </si>
  <si>
    <t>ITEM-33a1de6a-1</t>
  </si>
  <si>
    <t>ITEM-33a1de6a-2</t>
  </si>
  <si>
    <t>donuts</t>
  </si>
  <si>
    <t>ITEM-33a1de6a-3</t>
  </si>
  <si>
    <t>ITEM-33a1de6a-4</t>
  </si>
  <si>
    <t>ITEM-33a1de6a-5</t>
  </si>
  <si>
    <t>16a7251fa</t>
  </si>
  <si>
    <t>ITEM-33a1de6a-6</t>
  </si>
  <si>
    <t>ITEM-33a1de6a-7</t>
  </si>
  <si>
    <t>Paletes para Freezer</t>
  </si>
  <si>
    <t>ITEM-33a1de6a-8</t>
  </si>
  <si>
    <t>ITEM-33a1de6a-9</t>
  </si>
  <si>
    <t>ITEM-49270c55-1</t>
  </si>
  <si>
    <t>12eba8a33</t>
  </si>
  <si>
    <t>ITEM-9b5b48b3-1</t>
  </si>
  <si>
    <t>ITEM-9b5b48b3-2</t>
  </si>
  <si>
    <t>ITEM-9b5b48b3-3</t>
  </si>
  <si>
    <t>ITEM-9b5b48b3-4</t>
  </si>
  <si>
    <t>ITEM-0fb253f3-1</t>
  </si>
  <si>
    <t>01a54f80</t>
  </si>
  <si>
    <t>ITEM-17f580d89-1</t>
  </si>
  <si>
    <t>Amadelli (10/01/2025) - Carga gelada</t>
  </si>
  <si>
    <t>ITEM-149fedf05-1</t>
  </si>
  <si>
    <t>Notas_Images/01a54f80.Foto.155807.jpg</t>
  </si>
  <si>
    <t>ITEM-1fde1cbe5-1</t>
  </si>
  <si>
    <t>Notas_Images/01a54f80.Foto 1.155807.jpg</t>
  </si>
  <si>
    <t>ITEM-128373d56-1</t>
  </si>
  <si>
    <t>9cc0da97</t>
  </si>
  <si>
    <t>ITEM-191e91ade-1</t>
  </si>
  <si>
    <t>Banderloff (15/01/2025) - Frutas</t>
  </si>
  <si>
    <t>ITEM-122709868-1</t>
  </si>
  <si>
    <t>Notas_Images/9cc0da97.Foto.155444.jpg</t>
  </si>
  <si>
    <t>ITEM-15dd6ec23-1</t>
  </si>
  <si>
    <t>ITEM-11676f305-1</t>
  </si>
  <si>
    <t>ITEM-199e8b2bc-1</t>
  </si>
  <si>
    <t>9f836f0d</t>
  </si>
  <si>
    <t>ITEM-1cad3fa7c-1</t>
  </si>
  <si>
    <t>BOMPACK (15/01/2025) - Luvas,bobinas</t>
  </si>
  <si>
    <t>ITEM-1768c2415-1</t>
  </si>
  <si>
    <t>Notas_Images/9f836f0d.Foto.172915.jpg</t>
  </si>
  <si>
    <t>Luvas,bobinas</t>
  </si>
  <si>
    <t>ITEM-1724166f5_6-1</t>
  </si>
  <si>
    <t>Notas_Images/9f836f0d.Foto 1.172915.jpg</t>
  </si>
  <si>
    <t>ITEM-19980631e-1</t>
  </si>
  <si>
    <t>ITEM-1d7f2fd21-1</t>
  </si>
  <si>
    <t>3aff0f2d</t>
  </si>
  <si>
    <t>ITEM-1aea891f8-1</t>
  </si>
  <si>
    <t>22eaa1a3</t>
  </si>
  <si>
    <t>ITEM-1348943a3-1</t>
  </si>
  <si>
    <t>Alternativa Comunicação Visual (16/01/2025) - Adesivos campanha donuts</t>
  </si>
  <si>
    <t>8f7f2af8</t>
  </si>
  <si>
    <t>Notas_Images/3aff0f2d.Foto.162651.jpg</t>
  </si>
  <si>
    <t>Adesivos campanha donuts</t>
  </si>
  <si>
    <t>ITEM-0408eaab-1</t>
  </si>
  <si>
    <t>ITEM-0aa972f1-1</t>
  </si>
  <si>
    <t>ITEM-1b7868fa-1</t>
  </si>
  <si>
    <t>77202a72</t>
  </si>
  <si>
    <t>ITEM-fc22cc99-1</t>
  </si>
  <si>
    <t>Camila Morango (17/01/2025) - Morango</t>
  </si>
  <si>
    <t>ITEM-fc22cc99-2</t>
  </si>
  <si>
    <t>Notas_Images/77202a72.Foto.143001.jpg</t>
  </si>
  <si>
    <t>ITEM-a7e130c9-1</t>
  </si>
  <si>
    <t>ITEM-a7e130c9-2</t>
  </si>
  <si>
    <t>ITEM-a7e130c9-3</t>
  </si>
  <si>
    <t>4a212657</t>
  </si>
  <si>
    <t>ITEM-a7e130c9-4</t>
  </si>
  <si>
    <t>Banderloff (17/01/2025) - Frutas</t>
  </si>
  <si>
    <t>ITEM-58cb58f3-1</t>
  </si>
  <si>
    <t>Notas_Images/4a212657.Foto.143041.jpg</t>
  </si>
  <si>
    <t>ITEM-71c7ec8a-1</t>
  </si>
  <si>
    <t>ITEM-0f6e00c9-1</t>
  </si>
  <si>
    <t>ITEM-9f01b820-1</t>
  </si>
  <si>
    <t>60a3f49f</t>
  </si>
  <si>
    <t>ITEM-9f01b820-2</t>
  </si>
  <si>
    <t>Suco prats (17/01/2025) - Suco</t>
  </si>
  <si>
    <t>ITEM-9f01b820-3</t>
  </si>
  <si>
    <t>Notas_Images/60a3f49f.Foto.162503.jpg</t>
  </si>
  <si>
    <t>ITEM-9f01b820-4</t>
  </si>
  <si>
    <t>ITEM-ac61db58-1</t>
  </si>
  <si>
    <t>ITEM-7123ffcb-1</t>
  </si>
  <si>
    <t>ITEM-5172adb5-1</t>
  </si>
  <si>
    <t>42c44123</t>
  </si>
  <si>
    <t>ITEM-5172adb5-2</t>
  </si>
  <si>
    <t>Help Multi Coisas (17/01/2025) - Impressão folha dany</t>
  </si>
  <si>
    <t>ITEM-5172adb5-3</t>
  </si>
  <si>
    <t>Notas_Images/42c44123.Foto.162833.jpg</t>
  </si>
  <si>
    <t>Impressão folha dany</t>
  </si>
  <si>
    <t>ITEM-5172adb5-4</t>
  </si>
  <si>
    <t>ITEM-90b9bc7d-1</t>
  </si>
  <si>
    <t>ITEM-90b9bc7d-2</t>
  </si>
  <si>
    <t>87eaed17</t>
  </si>
  <si>
    <t>ITEM-90b9bc7d-3</t>
  </si>
  <si>
    <t>Milium (18/01/2025) - Bola basquete</t>
  </si>
  <si>
    <t>Notas_Images/87eaed17.Foto.162552.jpg</t>
  </si>
  <si>
    <t>ITEM-90b9bc7d-4</t>
  </si>
  <si>
    <t>Bola basquete</t>
  </si>
  <si>
    <t>ITEM-d5a81189-1</t>
  </si>
  <si>
    <t>ITEM-7f8fe4c4-1</t>
  </si>
  <si>
    <t>52a1b3c7</t>
  </si>
  <si>
    <t>ITEM-7ec77ec4-1</t>
  </si>
  <si>
    <t>Passarela Center via atacadista (27/12/2024) - Café do final de semana</t>
  </si>
  <si>
    <t>Notas_Images/52a1b3c7.Foto.231520.jpg</t>
  </si>
  <si>
    <t>Café do final de semana</t>
  </si>
  <si>
    <t>ITEM-6fed8c29-1</t>
  </si>
  <si>
    <t>Pago cartão</t>
  </si>
  <si>
    <t>ITEM-fe8368d0-1</t>
  </si>
  <si>
    <t>74f0d748</t>
  </si>
  <si>
    <t>Passarela Center via atacadista (10/01/2025) - Café equipe e produto d limpeza</t>
  </si>
  <si>
    <t>ITEM-fe8368d0-2</t>
  </si>
  <si>
    <t>Notas_Images/74f0d748.Foto.231704.jpg</t>
  </si>
  <si>
    <t>Café equipe e produto d limpeza</t>
  </si>
  <si>
    <t>ITEM-7dfe2cc1-1</t>
  </si>
  <si>
    <t>d32cb5bc</t>
  </si>
  <si>
    <t>ITEM-7dfe2cc1-2</t>
  </si>
  <si>
    <t>Padaria mega gigante (17/01/2025) - Café da equipe sexta</t>
  </si>
  <si>
    <t>Notas_Images/d32cb5bc.Foto.231121.jpg</t>
  </si>
  <si>
    <t>ITEM-7dfe2cc1-3</t>
  </si>
  <si>
    <t>Café da equipe sexta</t>
  </si>
  <si>
    <t>ITEM-7dfe2cc1-4</t>
  </si>
  <si>
    <t>ITEM-7dfe2cc1-5</t>
  </si>
  <si>
    <t>ITEM-3995fbe5-1</t>
  </si>
  <si>
    <t>747a1766</t>
  </si>
  <si>
    <t>ITEM-3995fbe5-2</t>
  </si>
  <si>
    <t>mercado di domenico (18/01/2025) - Café de sábado e domingo</t>
  </si>
  <si>
    <t>Notas_Images/747a1766.Foto.231008.jpg</t>
  </si>
  <si>
    <t>ITEM-3995fbe5-3</t>
  </si>
  <si>
    <t>Café de sábado e domingo</t>
  </si>
  <si>
    <t>ITEM-7fdad568-1</t>
  </si>
  <si>
    <t>Pago com cartao</t>
  </si>
  <si>
    <t>ITEM-52193600-1</t>
  </si>
  <si>
    <t>105eb72e</t>
  </si>
  <si>
    <t>ITEM-20db853d-1</t>
  </si>
  <si>
    <t>ITEM-02c0f804-1</t>
  </si>
  <si>
    <t>Morangos frigotto (20/01/2025) - Morango</t>
  </si>
  <si>
    <t>Notas_Images/105eb72e.Foto.190241.jpg</t>
  </si>
  <si>
    <t>ITEM-ce2caa70-1</t>
  </si>
  <si>
    <t>ITEM-ce2caa70-2</t>
  </si>
  <si>
    <t>ITEM-ce2caa70-3</t>
  </si>
  <si>
    <t>7ea47a6b</t>
  </si>
  <si>
    <t>ITEM-ce2caa70-4</t>
  </si>
  <si>
    <t>BS bebidas (21/01/2025) - Águas com gas</t>
  </si>
  <si>
    <t>ITEM-598b7734-1</t>
  </si>
  <si>
    <t>Notas_Images/7ea47a6b.Foto.160151.jpg</t>
  </si>
  <si>
    <t>Águas com gas</t>
  </si>
  <si>
    <t>ITEM-e8bdd6bc-1</t>
  </si>
  <si>
    <t>ITEM-6dc3724c-1</t>
  </si>
  <si>
    <t>ITEM-6f5ea6e2-1</t>
  </si>
  <si>
    <t>3064d4b5</t>
  </si>
  <si>
    <t>ITEM-b7293879-1</t>
  </si>
  <si>
    <t>Banderloff (21/01/2025) - Frutad</t>
  </si>
  <si>
    <t>ITEM-b7293879-2</t>
  </si>
  <si>
    <t>Notas_Images/3064d4b5.Foto.160550.jpg</t>
  </si>
  <si>
    <t>Frutad</t>
  </si>
  <si>
    <t>ITEM-b7293879-3</t>
  </si>
  <si>
    <t>ITEM-1c106dc2c-1</t>
  </si>
  <si>
    <t>ITEM-1f2e08bf9-1</t>
  </si>
  <si>
    <t>5385df05</t>
  </si>
  <si>
    <t>ITEM-1a3ca939d-1</t>
  </si>
  <si>
    <t>Coca Cola (17/01/2025) - Bebidas</t>
  </si>
  <si>
    <t>ITEM-1b66e1f09-1</t>
  </si>
  <si>
    <t>Notas_Images/5385df05.Foto.143111.jpg</t>
  </si>
  <si>
    <t>ITEM-123531dd7-1</t>
  </si>
  <si>
    <t>ITEM-2a518a23-1</t>
  </si>
  <si>
    <t>ITEM-2a518a23-2</t>
  </si>
  <si>
    <t>95652f5f</t>
  </si>
  <si>
    <t>ITEM-2a518a23-3</t>
  </si>
  <si>
    <t>Coca Cola (21/01/2025) - Bebidas</t>
  </si>
  <si>
    <t>ITEM-2a518a23-4</t>
  </si>
  <si>
    <t>Notas_Images/95652f5f.Foto.160518.jpg</t>
  </si>
  <si>
    <t>ITEM-2a518a23-5</t>
  </si>
  <si>
    <t>d46f852c</t>
  </si>
  <si>
    <t>Notas_Images/95652f5f.Foto 1.160518.jpg</t>
  </si>
  <si>
    <t>ITEM-b2f92b9f-1</t>
  </si>
  <si>
    <t>ITEM-b2f92b9f-2</t>
  </si>
  <si>
    <t>40a1dd9d</t>
  </si>
  <si>
    <t>ITEM-b2f92b9f-3</t>
  </si>
  <si>
    <t>Camila Morango (24/01/2025) - Morango</t>
  </si>
  <si>
    <t>ITEM-b2f92b9f-4</t>
  </si>
  <si>
    <t>Notas_Images/40a1dd9d.Foto.210609.jpg</t>
  </si>
  <si>
    <t>ITEM-b2f92b9f-5</t>
  </si>
  <si>
    <t>ITEM-b2f92b9f-6</t>
  </si>
  <si>
    <t>19771fa6</t>
  </si>
  <si>
    <t>ITEM-b2f92b9f-7</t>
  </si>
  <si>
    <t>ITEM-b2f92b9f-8</t>
  </si>
  <si>
    <t>Amadelli (21/01/2025) - Carga gelada</t>
  </si>
  <si>
    <t>Notas_Images/19771fa6.Foto.140706.jpg</t>
  </si>
  <si>
    <t>ITEM-b2f92b9f-9</t>
  </si>
  <si>
    <t>Notas_Images/19771fa6.Foto 1.140706.jpg</t>
  </si>
  <si>
    <t>Notas_Images/19771fa6.Foto 2.140706.jpg</t>
  </si>
  <si>
    <t>ITEM-b2f92b9f-10</t>
  </si>
  <si>
    <t>ITEM-b6e54b22-1</t>
  </si>
  <si>
    <t>2b74487f</t>
  </si>
  <si>
    <t>ITEM-b6e54b22-2</t>
  </si>
  <si>
    <t>Amadelli (21/01/2025) - Carga seca</t>
  </si>
  <si>
    <t>ITEM-b7516086-1</t>
  </si>
  <si>
    <t>Notas_Images/2b74487f.Foto.201604.jpg</t>
  </si>
  <si>
    <t>ITEM-b7516086-2</t>
  </si>
  <si>
    <t>Notas_Images/2b74487f.Foto 1.201604.jpg</t>
  </si>
  <si>
    <t>ITEM-b7516086-3</t>
  </si>
  <si>
    <t>Notas_Images/2b74487f.Foto 2.201604.jpg</t>
  </si>
  <si>
    <t>ITEM-b7516086-4</t>
  </si>
  <si>
    <t>5f3cacfd</t>
  </si>
  <si>
    <t>ITEM-b7516086-5</t>
  </si>
  <si>
    <t>ITEM-b7516086-6</t>
  </si>
  <si>
    <t>Banderloff (24/01/2025) - Frutas</t>
  </si>
  <si>
    <t>Notas_Images/5f3cacfd.Foto.210644.jpg</t>
  </si>
  <si>
    <t>ITEM-b7516086-7</t>
  </si>
  <si>
    <t>ITEM-b7516086-8</t>
  </si>
  <si>
    <t>ITEM-b7516086-9</t>
  </si>
  <si>
    <t>1d2362a99</t>
  </si>
  <si>
    <t>ITEM-b7516086-10</t>
  </si>
  <si>
    <t>ITEM-b7516086-11</t>
  </si>
  <si>
    <t>5383bce6</t>
  </si>
  <si>
    <t>ITEM-b7516086-12</t>
  </si>
  <si>
    <t>1986da3f9</t>
  </si>
  <si>
    <t>ITEM-a4f48190-1</t>
  </si>
  <si>
    <t>ITEM-a4f48190-2</t>
  </si>
  <si>
    <t>ITEM-a4f48190-3</t>
  </si>
  <si>
    <t>ITEM-a4f48190-4</t>
  </si>
  <si>
    <t>1aae7012b</t>
  </si>
  <si>
    <t>ITEM-a4f48190-5</t>
  </si>
  <si>
    <t>ITEM-4f93ea77-1</t>
  </si>
  <si>
    <t>ITEM-c1ad2022-1</t>
  </si>
  <si>
    <t>ITEM-c1ad2022-2</t>
  </si>
  <si>
    <t>ITEM-c1ad2022-3</t>
  </si>
  <si>
    <t>ITEM-c1ad2022-4</t>
  </si>
  <si>
    <t>ITEM-14b0ce4e-1</t>
  </si>
  <si>
    <t>ITEM-d463121d-1</t>
  </si>
  <si>
    <t>145ecc8c0_12</t>
  </si>
  <si>
    <t>ITEM-69c518bc-1</t>
  </si>
  <si>
    <t>ITEM-161c581d-1</t>
  </si>
  <si>
    <t>ITEM-161c581d-2</t>
  </si>
  <si>
    <t>ITEM-161c581d-3</t>
  </si>
  <si>
    <t>ITEM-161c581d-4</t>
  </si>
  <si>
    <t>15a0871cc_3</t>
  </si>
  <si>
    <t>ITEM-161c581d-5</t>
  </si>
  <si>
    <t>ITEM-161c581d-6</t>
  </si>
  <si>
    <t>Empréstimo pessoal Patrícia 3/25</t>
  </si>
  <si>
    <t>ITEM-8b76efda-1</t>
  </si>
  <si>
    <t>ITEM-1e4b3825b-1</t>
  </si>
  <si>
    <t>ITEM-145ecc8c0_10-1</t>
  </si>
  <si>
    <t>1691444cd_2</t>
  </si>
  <si>
    <t>ITEM-15a0871cc-1</t>
  </si>
  <si>
    <t>d6fc9dea</t>
  </si>
  <si>
    <t>ITEM-17926f8c1-1</t>
  </si>
  <si>
    <t>a76f6b95</t>
  </si>
  <si>
    <t>ITEM-172ac0f33-1</t>
  </si>
  <si>
    <t>2a26aa23</t>
  </si>
  <si>
    <t>ITEM-4d519038-1</t>
  </si>
  <si>
    <t>1cabddb51_2</t>
  </si>
  <si>
    <t>ITEM-65c7f3ef-1</t>
  </si>
  <si>
    <t>c51cd222</t>
  </si>
  <si>
    <t>ITEM-79f9f162-1</t>
  </si>
  <si>
    <t>ITEM-515c6cd0-1</t>
  </si>
  <si>
    <t>ITEM-515c6cd0-2</t>
  </si>
  <si>
    <t>ITEM-515c6cd0-3</t>
  </si>
  <si>
    <t>c3c2825e</t>
  </si>
  <si>
    <t>ITEM-f5ff0ab5-1</t>
  </si>
  <si>
    <t>ACB (21/01/2025) - Bebidas</t>
  </si>
  <si>
    <t>ITEM-0b367289-1</t>
  </si>
  <si>
    <t>Notas_Images/c3c2825e.Foto.221222.jpg</t>
  </si>
  <si>
    <t>ITEM-0b367289-2</t>
  </si>
  <si>
    <t>Notas_Images/c3c2825e.Foto 1.221222.jpg</t>
  </si>
  <si>
    <t>ITEM-0b367289-3</t>
  </si>
  <si>
    <t>ITEM-0b367289-4</t>
  </si>
  <si>
    <t>6e9955d4</t>
  </si>
  <si>
    <t>ITEM-1bddb581b-1</t>
  </si>
  <si>
    <t>34485af0</t>
  </si>
  <si>
    <t>ITEM-fe88cc08-1</t>
  </si>
  <si>
    <t>Notas_Images/6e9955d4.Foto.161310.jpg</t>
  </si>
  <si>
    <t>ITEM-d209b87c-1</t>
  </si>
  <si>
    <t>ITEM-d209b87c-2</t>
  </si>
  <si>
    <t>ITEM-d209b87c-3</t>
  </si>
  <si>
    <t>9dfcb563</t>
  </si>
  <si>
    <t>ITEM-d209b87c-4</t>
  </si>
  <si>
    <t>ITEM-ee481437-1</t>
  </si>
  <si>
    <t>Banderloff (23/01/2025) - Frutas</t>
  </si>
  <si>
    <t>Notas_Images/9dfcb563.Foto.142931.jpg</t>
  </si>
  <si>
    <t>ITEM-ec65d912-1</t>
  </si>
  <si>
    <t>ITEM-ec65d912-2</t>
  </si>
  <si>
    <t>ITEM-88ceb88b-1</t>
  </si>
  <si>
    <t>ITEM-88ceb88b-2</t>
  </si>
  <si>
    <t>ITEM-88ceb88b-3</t>
  </si>
  <si>
    <t>Casa das Embalagens (23/01/2025) - Copos,canetas</t>
  </si>
  <si>
    <t>Notas_Images/42804146.Foto.202224.jpg</t>
  </si>
  <si>
    <t>ITEM-88ceb88b-4</t>
  </si>
  <si>
    <t>Copos,canetas</t>
  </si>
  <si>
    <t>ITEM-88ceb88b-5</t>
  </si>
  <si>
    <t>120de2ee</t>
  </si>
  <si>
    <t>Passarela Center via atacadista (23/01/2025) - Café da equipe e alcool</t>
  </si>
  <si>
    <t>ITEM-88ceb88b-6</t>
  </si>
  <si>
    <t>Notas_Images/120de2ee.Foto.213154.jpg</t>
  </si>
  <si>
    <t>Café da equipe e alcool</t>
  </si>
  <si>
    <t>ITEM-88ceb88b-7</t>
  </si>
  <si>
    <t>Notas_Images/120de2ee.Foto 1.213154.jpg</t>
  </si>
  <si>
    <t>ITEM-88ceb88b-8</t>
  </si>
  <si>
    <t>ITEM-88ceb88b-9</t>
  </si>
  <si>
    <t>3d529805</t>
  </si>
  <si>
    <t>ITEM-88ceb88b-10</t>
  </si>
  <si>
    <t>Nicopel (23/01/2025) - Embalagens</t>
  </si>
  <si>
    <t>Notas_Images/3d529805.Foto.184901.jpg</t>
  </si>
  <si>
    <t>468ad57d</t>
  </si>
  <si>
    <t>Camila Morango (27/01/2025) - Morango</t>
  </si>
  <si>
    <t>ITEM-91d87b39-1</t>
  </si>
  <si>
    <t>Notas_Images/468ad57d.Foto.184939.jpg</t>
  </si>
  <si>
    <t>ITEM-91d87b39-2</t>
  </si>
  <si>
    <t>1a3e7d204</t>
  </si>
  <si>
    <t>ITEM-91d87b39-3</t>
  </si>
  <si>
    <t>ITEM-91d87b39-4</t>
  </si>
  <si>
    <t>ITEM-928deb57-1</t>
  </si>
  <si>
    <t>ITEM-37a314dd-1</t>
  </si>
  <si>
    <t>131e91e65</t>
  </si>
  <si>
    <t>ITEM-37a314dd-2</t>
  </si>
  <si>
    <t>ITEM-37a314dd-3</t>
  </si>
  <si>
    <t>ITEM-37a314dd-4</t>
  </si>
  <si>
    <t>ITEM-cdf55836-1</t>
  </si>
  <si>
    <t>8d9e39d3</t>
  </si>
  <si>
    <t>ITEM-b1f789ff-1</t>
  </si>
  <si>
    <t>17c1d7470</t>
  </si>
  <si>
    <t>ITEM-080890dc-1</t>
  </si>
  <si>
    <t>3562e5ae</t>
  </si>
  <si>
    <t>ITEM-080890dc-2</t>
  </si>
  <si>
    <t>8278b7ba</t>
  </si>
  <si>
    <t>ITEM-85d43597-1</t>
  </si>
  <si>
    <t>ITEM-ae306dcc-1</t>
  </si>
  <si>
    <t>19314c3ee</t>
  </si>
  <si>
    <t>ITEM-ae306dcc-2</t>
  </si>
  <si>
    <t>b18edf68</t>
  </si>
  <si>
    <t>Renovação</t>
  </si>
  <si>
    <t>ITEM-cd455fc9-1</t>
  </si>
  <si>
    <t>ITEM-cd455fc9-2</t>
  </si>
  <si>
    <t>ITEM-cd455fc9-3</t>
  </si>
  <si>
    <t>1fa7d5e11</t>
  </si>
  <si>
    <t>ITEM-cd455fc9-4</t>
  </si>
  <si>
    <t>Canos, sifões e outros</t>
  </si>
  <si>
    <t>ITEM-1ed99b86e-1</t>
  </si>
  <si>
    <t>ITEM-bbf9598f-1</t>
  </si>
  <si>
    <t>ITEM-bbf9598f-2</t>
  </si>
  <si>
    <t>15d19fcdb</t>
  </si>
  <si>
    <t>ITEM-bbf9598f-3</t>
  </si>
  <si>
    <t>ITEM-bbf9598f-4</t>
  </si>
  <si>
    <t>Vara para limpar teto</t>
  </si>
  <si>
    <t>ITEM-bbf9598f-5</t>
  </si>
  <si>
    <t>ITEM-bbf9598f-6</t>
  </si>
  <si>
    <t>187d03882</t>
  </si>
  <si>
    <t>ITEM-bbf9598f-7</t>
  </si>
  <si>
    <t>ITEM-bbf9598f-8</t>
  </si>
  <si>
    <t>Para expor campanhas nas mesas</t>
  </si>
  <si>
    <t>ITEM-bbf9598f-9</t>
  </si>
  <si>
    <t>ITEM-ba7f1b9b-1</t>
  </si>
  <si>
    <t>1f0072cd0</t>
  </si>
  <si>
    <t>ITEM-130a94730-1</t>
  </si>
  <si>
    <t>ITEM-1c2f0f0ca-1</t>
  </si>
  <si>
    <t>Dispenser de Alcool + dispenser papel</t>
  </si>
  <si>
    <t>ITEM-1e8e0e444-1</t>
  </si>
  <si>
    <t>ITEM-1915ef497-1</t>
  </si>
  <si>
    <t>ITEM-1ac66d649-1</t>
  </si>
  <si>
    <t>517b8f72</t>
  </si>
  <si>
    <t>ITEM-fe9b973b-1</t>
  </si>
  <si>
    <t>Monitoramento Patrimonial (20/01/2025) - Monitoramento das câmeras</t>
  </si>
  <si>
    <t>ITEM-fe9b973b-2</t>
  </si>
  <si>
    <t>Notas_Images/517b8f72.Foto.103239.jpg</t>
  </si>
  <si>
    <t>Monitoramento das câmeras</t>
  </si>
  <si>
    <t>ITEM-fe9b973b-3</t>
  </si>
  <si>
    <t>ITEM-fe9b973b-4</t>
  </si>
  <si>
    <t>ITEM-ca83b0dc-1</t>
  </si>
  <si>
    <t>ab163b40</t>
  </si>
  <si>
    <t>ITEM-ca83b0dc-2</t>
  </si>
  <si>
    <t>Banderloff (28/01/2025) - Frutas</t>
  </si>
  <si>
    <t>Notas_Images/ab163b40.Foto.103146.jpg</t>
  </si>
  <si>
    <t>ITEM-ca83b0dc-3</t>
  </si>
  <si>
    <t>ITEM-257a4868-1</t>
  </si>
  <si>
    <t>ITEM-806be72b-1</t>
  </si>
  <si>
    <t>9f36ebd3</t>
  </si>
  <si>
    <t>ITEM-ccb06fc0-1</t>
  </si>
  <si>
    <t>Banderloff (30/01/2025) - Frutas</t>
  </si>
  <si>
    <t>ITEM-ccb06fc0-2</t>
  </si>
  <si>
    <t>15d1a35a</t>
  </si>
  <si>
    <t>Notas_Images/9f36ebd3.Foto.103034.jpg</t>
  </si>
  <si>
    <t>ITEM-ccb06fc0-3</t>
  </si>
  <si>
    <t>ITEM-ccb06fc0-4</t>
  </si>
  <si>
    <t>ITEM-1fc1580f3-1</t>
  </si>
  <si>
    <t>40db27c5</t>
  </si>
  <si>
    <t>ITEM-1551b9731-1</t>
  </si>
  <si>
    <t>570d2948</t>
  </si>
  <si>
    <t>Coca Cola (30/01/2025) - Bebidas</t>
  </si>
  <si>
    <t>ITEM-165046cc2-1</t>
  </si>
  <si>
    <t>Notas_Images/40db27c5.Foto.103319.jpg</t>
  </si>
  <si>
    <t>ITEM-1768c2415_2-1</t>
  </si>
  <si>
    <t>ITEM-1724166f5_7-1</t>
  </si>
  <si>
    <t>ITEM-0f812fbd-1</t>
  </si>
  <si>
    <t>3e9f1e61</t>
  </si>
  <si>
    <t>ITEM-6aae209c-1</t>
  </si>
  <si>
    <t>Suco prats (31/01/2025) - Sucos</t>
  </si>
  <si>
    <t>Notas_Images/3e9f1e61.Foto.185407.jpg</t>
  </si>
  <si>
    <t>ITEM-0e5f28c9-1</t>
  </si>
  <si>
    <t>ITEM-5e482c14-1</t>
  </si>
  <si>
    <t>ITEM-9361bbb5-1</t>
  </si>
  <si>
    <t>ITEM-9361bbb5-2</t>
  </si>
  <si>
    <t>feefff83</t>
  </si>
  <si>
    <t>ITEM-9361bbb5-3</t>
  </si>
  <si>
    <t>23d1c3d6</t>
  </si>
  <si>
    <t>Passarela Center via atacadista (31/01/2025) - Café equipe e produtos para banheiro</t>
  </si>
  <si>
    <t>Notas_Images/feefff83.Foto.102916.jpg</t>
  </si>
  <si>
    <t>ITEM-9361bbb5-4</t>
  </si>
  <si>
    <t>Café equipe e produtos para banheiro</t>
  </si>
  <si>
    <t>ITEM-9361bbb5-5</t>
  </si>
  <si>
    <t>ITEM-9361bbb5-6</t>
  </si>
  <si>
    <t>ITEM-9361bbb5-7</t>
  </si>
  <si>
    <t>ITEM-9361bbb5-8</t>
  </si>
  <si>
    <t>Camila Morango (31/01/2025) - Morango</t>
  </si>
  <si>
    <t>Notas_Images/47464915.Foto.102954.jpg</t>
  </si>
  <si>
    <t>ITEM-cfcb64ee-1</t>
  </si>
  <si>
    <t>5ace2675</t>
  </si>
  <si>
    <t>ITEM-cfcb64ee-2</t>
  </si>
  <si>
    <t>c480ab5e</t>
  </si>
  <si>
    <t>ITEM-358c3b8a-1</t>
  </si>
  <si>
    <t>510c2dbd</t>
  </si>
  <si>
    <t>ITEM-24d1960e-1</t>
  </si>
  <si>
    <t>ITEM-24d1960e-2</t>
  </si>
  <si>
    <t>Superviza Supermercado (01/02/2025) - Leite em po</t>
  </si>
  <si>
    <t>Notas_Images/510c2dbd.Foto.215633.jpg</t>
  </si>
  <si>
    <t>Leite em po</t>
  </si>
  <si>
    <t>ITEM-24d1960e-3</t>
  </si>
  <si>
    <t>ITEM-24d1960e-4</t>
  </si>
  <si>
    <t>8a5f3d2f</t>
  </si>
  <si>
    <t>ITEM-ca357a5d-1</t>
  </si>
  <si>
    <t>Banderloff (01/02/2025) - Frutas</t>
  </si>
  <si>
    <t>ITEM-ca357a5d-2</t>
  </si>
  <si>
    <t>Notas_Images/8a5f3d2f.Foto.215723.jpg</t>
  </si>
  <si>
    <t>ITEM-71d8ea5b-1</t>
  </si>
  <si>
    <t>ITEM-1c34b548-1</t>
  </si>
  <si>
    <t>fa1103f9</t>
  </si>
  <si>
    <t>ITEM-1c34b548-2</t>
  </si>
  <si>
    <t>Laboratório exame (01/02/2025) - Exame VDRL bruna</t>
  </si>
  <si>
    <t>Notas_Images/fa1103f9.Foto.200156.jpg</t>
  </si>
  <si>
    <t>ITEM-1c34b548-3</t>
  </si>
  <si>
    <t>Exame VDRL bruna</t>
  </si>
  <si>
    <t>ITEM-1c34b548-4</t>
  </si>
  <si>
    <t>11a0ef2f</t>
  </si>
  <si>
    <t>ITEM-1c34b548-5</t>
  </si>
  <si>
    <t>Camila Morango (03/02/2025) - Morango</t>
  </si>
  <si>
    <t>Notas_Images/11a0ef2f.Foto.153302.jpg</t>
  </si>
  <si>
    <t>ITEM-1c34b548-6</t>
  </si>
  <si>
    <t>ITEM-1b2ba3b78-1</t>
  </si>
  <si>
    <t>16b0fc61</t>
  </si>
  <si>
    <t>ITEM-12a4c2622-1</t>
  </si>
  <si>
    <t>PORTALMED (03/02/2025) - Exame gabriela</t>
  </si>
  <si>
    <t>ITEM-1331a63dd-1</t>
  </si>
  <si>
    <t>Notas_Images/16b0fc61.Foto.160344.jpg</t>
  </si>
  <si>
    <t>Exame gabriela</t>
  </si>
  <si>
    <t>ITEM-1530b8774-1</t>
  </si>
  <si>
    <t>ITEM-11380b91d-1</t>
  </si>
  <si>
    <t>cc23d749</t>
  </si>
  <si>
    <t>ITEM-1a6412bc7-1</t>
  </si>
  <si>
    <t>AIBOO (04/02/2025) - Aplicativo de delivery</t>
  </si>
  <si>
    <t>ITEM-1cf5d2779-1</t>
  </si>
  <si>
    <t>Notas_Images/cc23d749.Foto.152032.jpg</t>
  </si>
  <si>
    <t>ITEM-118b943fa-1</t>
  </si>
  <si>
    <t>ITEM-1cc78be55-1</t>
  </si>
  <si>
    <t>2073c4ab</t>
  </si>
  <si>
    <t>ITEM-1fadc8e24-1</t>
  </si>
  <si>
    <t>256d9123</t>
  </si>
  <si>
    <t>fb572def</t>
  </si>
  <si>
    <t>ITEM-1b888b0cf-1</t>
  </si>
  <si>
    <t>SuperPão (04/02/2025) - Leite em po</t>
  </si>
  <si>
    <t>ITEM-4ea9cab6-1</t>
  </si>
  <si>
    <t>Notas_Images/256d9123.Foto.153056.jpg</t>
  </si>
  <si>
    <t>ITEM-fe8dc750-1</t>
  </si>
  <si>
    <t>4d54c818</t>
  </si>
  <si>
    <t>ITEM-6400705a-1</t>
  </si>
  <si>
    <t>ITEM-e0d8b812-1</t>
  </si>
  <si>
    <t>4c190b7a</t>
  </si>
  <si>
    <t>b95a5621</t>
  </si>
  <si>
    <t>Delivery much (04/02/2025) - Aplicativo de delivey</t>
  </si>
  <si>
    <t>Notas_Images/4c190b7a.Foto.154310.jpg</t>
  </si>
  <si>
    <t>ITEM-37421650-1</t>
  </si>
  <si>
    <t>ITEM-39b5c7cf-1</t>
  </si>
  <si>
    <t>ITEM-86312875-1</t>
  </si>
  <si>
    <t>c94c7477</t>
  </si>
  <si>
    <t>ITEM-86312875-2</t>
  </si>
  <si>
    <t>ITEM-86312875-3</t>
  </si>
  <si>
    <t>Banderloff (04/02/2025) - Frutas</t>
  </si>
  <si>
    <t>Notas_Images/c94c7477.Foto.160454.jpg</t>
  </si>
  <si>
    <t>ITEM-ee37615b-1</t>
  </si>
  <si>
    <t>ITEM-ee37615b-2</t>
  </si>
  <si>
    <t>ITEM-ee37615b-3</t>
  </si>
  <si>
    <t>bf60730c</t>
  </si>
  <si>
    <t>ITEM-dcc42d09-1</t>
  </si>
  <si>
    <t>ITEM-bc7dbac4-1</t>
  </si>
  <si>
    <t>Auto Coletivo Caçador (04/02/2025) - Vale transporte bruna</t>
  </si>
  <si>
    <t>Notas_Images/bf60730c.Foto.191830.jpg</t>
  </si>
  <si>
    <t>Vale transporte bruna</t>
  </si>
  <si>
    <t>ITEM-96144959-1</t>
  </si>
  <si>
    <t>ITEM-96144959-2</t>
  </si>
  <si>
    <t>ITEM-96144959-3</t>
  </si>
  <si>
    <t>ba3b5e0b</t>
  </si>
  <si>
    <t>ITEM-80142f04-1</t>
  </si>
  <si>
    <t>ITEM-80142f04-2</t>
  </si>
  <si>
    <t>Coca Cola (04/02/2025) - Bebidas</t>
  </si>
  <si>
    <t>Notas_Images/ba3b5e0b.Foto.153501.jpg</t>
  </si>
  <si>
    <t>ITEM-80142f04-3</t>
  </si>
  <si>
    <t>ITEM-80142f04-4</t>
  </si>
  <si>
    <t>Notas_Images/ba3b5e0b.Foto 1.153501.jpg</t>
  </si>
  <si>
    <t>ITEM-1c9c0074-1</t>
  </si>
  <si>
    <t>ITEM-15fbb52d-1</t>
  </si>
  <si>
    <t>180e666ce</t>
  </si>
  <si>
    <t>ITEM-15fbb52d-2</t>
  </si>
  <si>
    <t>ITEM-15fbb52d-3</t>
  </si>
  <si>
    <t>ITEM-15fbb52d-4</t>
  </si>
  <si>
    <t>ITEM-15fbb52d-5</t>
  </si>
  <si>
    <t>1a2d6fc54</t>
  </si>
  <si>
    <t>ITEM-15fbb52d-6</t>
  </si>
  <si>
    <t>ITEM-3009944b-1</t>
  </si>
  <si>
    <t>ITEM-3009944b-2</t>
  </si>
  <si>
    <t>ITEM-3009944b-3</t>
  </si>
  <si>
    <t>ITEM-3009944b-4</t>
  </si>
  <si>
    <t>4c80bf76</t>
  </si>
  <si>
    <t>ITEM-e1b2424e-1</t>
  </si>
  <si>
    <t>Amadelli (03/02/2025) - Leite condensado</t>
  </si>
  <si>
    <t>ITEM-e1b2424e-2</t>
  </si>
  <si>
    <t>Notas_Images/4c80bf76.Foto.205846.jpg</t>
  </si>
  <si>
    <t>Leite condensado</t>
  </si>
  <si>
    <t>ITEM-e1b2424e-3</t>
  </si>
  <si>
    <t>Notas_Images/4c80bf76.Foto 1.205846.jpg</t>
  </si>
  <si>
    <t>ITEM-353404a3-1</t>
  </si>
  <si>
    <t>ITEM-353404a3-2</t>
  </si>
  <si>
    <t>fba7c519</t>
  </si>
  <si>
    <t>ITEM-353404a3-3</t>
  </si>
  <si>
    <t>Amadelli (03/02/2025) - Estoque seco</t>
  </si>
  <si>
    <t>ITEM-353404a3-4</t>
  </si>
  <si>
    <t>Notas_Images/fba7c519.Foto.210419.jpg</t>
  </si>
  <si>
    <t>ITEM-bd8bdb22-1</t>
  </si>
  <si>
    <t>Notas_Images/fba7c519.Foto 1.210419.jpg</t>
  </si>
  <si>
    <t>ITEM-bd8bdb22-2</t>
  </si>
  <si>
    <t>Notas_Images/fba7c519.Foto 2.210419.jpg</t>
  </si>
  <si>
    <t>ITEM-bd8bdb22-3</t>
  </si>
  <si>
    <t>61a4c7da</t>
  </si>
  <si>
    <t>ITEM-3952596c-1</t>
  </si>
  <si>
    <t>Darnel (04/02/2025) - Copos delivery</t>
  </si>
  <si>
    <t>ITEM-75aed466-1</t>
  </si>
  <si>
    <t>Notas_Images/61a4c7da.Foto.211628.jpg</t>
  </si>
  <si>
    <t>Copos delivery</t>
  </si>
  <si>
    <t>ITEM-75aed466-2</t>
  </si>
  <si>
    <t>ITEM-75aed466-3</t>
  </si>
  <si>
    <t>ITEM-75aed466-4</t>
  </si>
  <si>
    <t>f799629b</t>
  </si>
  <si>
    <t>ITEM-75aed466-5</t>
  </si>
  <si>
    <t>Amadelli (05/02/2025) - Estoque gelado</t>
  </si>
  <si>
    <t>Notas_Images/f799629b.Foto.211007.jpg</t>
  </si>
  <si>
    <t>ITEM-75aed466-6</t>
  </si>
  <si>
    <t>ITEM-75aed466-7</t>
  </si>
  <si>
    <t>Notas_Images/f799629b.Foto 1.211007.jpg</t>
  </si>
  <si>
    <t>Notas_Images/f799629b.Foto 2.211007.jpg</t>
  </si>
  <si>
    <t>ITEM-75aed466-8</t>
  </si>
  <si>
    <t>Notas_Images/f799629b.Foto 3.211010.jpg</t>
  </si>
  <si>
    <t>ITEM-75aed466-9</t>
  </si>
  <si>
    <t>6676b9b2</t>
  </si>
  <si>
    <t>ITEM-75aed466-10</t>
  </si>
  <si>
    <t>Jandira (05/02/2025) - Produto de limpeza</t>
  </si>
  <si>
    <t>ITEM-75aed466-11</t>
  </si>
  <si>
    <t>Notas_Images/6676b9b2.Foto.212054.jpg</t>
  </si>
  <si>
    <t>ITEM-efdcfe27-1</t>
  </si>
  <si>
    <t>ITEM-efdcfe27-2</t>
  </si>
  <si>
    <t>ITEM-efdcfe27-3</t>
  </si>
  <si>
    <t>f6fb6caa</t>
  </si>
  <si>
    <t>ITEM-efdcfe27-4</t>
  </si>
  <si>
    <t>Auto Coletivo Caçador (05/02/2025) - Vale transporte gabriela</t>
  </si>
  <si>
    <t>Notas_Images/f6fb6caa.Foto.212450.jpg</t>
  </si>
  <si>
    <t>ITEM-11de23f37-1</t>
  </si>
  <si>
    <t>ITEM-15a2c39d2-1</t>
  </si>
  <si>
    <t>ITEM-145ecc8c0_11-1</t>
  </si>
  <si>
    <t>8fc3a005</t>
  </si>
  <si>
    <t>ITEM-15a0871cc_2-1</t>
  </si>
  <si>
    <t>473b788d</t>
  </si>
  <si>
    <t>Casa das fechaduras (05/02/2025) - Fechadura</t>
  </si>
  <si>
    <t>ITEM-1cabddb51-1</t>
  </si>
  <si>
    <t>Notas_Images/8fc3a005.Foto.212635.jpg</t>
  </si>
  <si>
    <t>Fechadura</t>
  </si>
  <si>
    <t>ITEM-1691444cd-1</t>
  </si>
  <si>
    <t>ef6c8700</t>
  </si>
  <si>
    <t>ITEM-37af7e03-1</t>
  </si>
  <si>
    <t>b0e5070c</t>
  </si>
  <si>
    <t>ITEM-37af7e03-2</t>
  </si>
  <si>
    <t>ITEM-37af7e03-3</t>
  </si>
  <si>
    <t>Banderloff (07/02/2025) - Frutas</t>
  </si>
  <si>
    <t>Notas_Images/b0e5070c.Foto.212014.jpg</t>
  </si>
  <si>
    <t>ITEM-37af7e03-4</t>
  </si>
  <si>
    <t>ITEM-be9b8e32-1</t>
  </si>
  <si>
    <t>ITEM-1b1443f74-1</t>
  </si>
  <si>
    <t>432277f2</t>
  </si>
  <si>
    <t>ITEM-952478f5-1</t>
  </si>
  <si>
    <t>Camila Morango (07/02/2025) - Morango</t>
  </si>
  <si>
    <t>ITEM-1cf2ebf1e-1</t>
  </si>
  <si>
    <t>Notas_Images/432277f2.Foto.212124.jpg</t>
  </si>
  <si>
    <t>ITEM-164f4878a-1</t>
  </si>
  <si>
    <t>ITEM-1210f0e1b-1</t>
  </si>
  <si>
    <t>ITEM-c1366e1f-1</t>
  </si>
  <si>
    <t>45abea14</t>
  </si>
  <si>
    <t>ITEM-58afba8a-1</t>
  </si>
  <si>
    <t>PORTALMED (04/02/2025) - Exame admissional bruna</t>
  </si>
  <si>
    <t>ITEM-376a3174-1</t>
  </si>
  <si>
    <t>Notas_Images/45abea14.Foto.151404.jpg</t>
  </si>
  <si>
    <t>Exame admissional bruna</t>
  </si>
  <si>
    <t>ITEM-1ec32a38-1</t>
  </si>
  <si>
    <t>ITEM-29872b53-1</t>
  </si>
  <si>
    <t>ITEM-6da822d3-1</t>
  </si>
  <si>
    <t>d5b0b059</t>
  </si>
  <si>
    <t>ITEM-1d28ae56-1</t>
  </si>
  <si>
    <t>Banderloff (08/02/2025) - Frutas</t>
  </si>
  <si>
    <t>ITEM-1d28ae56-2</t>
  </si>
  <si>
    <t>Notas_Images/d5b0b059.Foto.190907.jpg</t>
  </si>
  <si>
    <t>ITEM-1d28ae56-3</t>
  </si>
  <si>
    <t>ITEM-1d28ae56-4</t>
  </si>
  <si>
    <t>d5611488</t>
  </si>
  <si>
    <t>b6c2406b</t>
  </si>
  <si>
    <t>Camila Morango (10/02/2025) - Morango</t>
  </si>
  <si>
    <t>ITEM-8d54df42-1</t>
  </si>
  <si>
    <t>Notas_Images/d5611488.Foto.190729.jpg</t>
  </si>
  <si>
    <t>ITEM-fb9430d9-1</t>
  </si>
  <si>
    <t>cbce639f</t>
  </si>
  <si>
    <t>ITEM-047ab5b5-1</t>
  </si>
  <si>
    <t>Banderloff (10/02/2025) - Frutas</t>
  </si>
  <si>
    <t>Notas_Images/cbce639f.Foto.190942.jpg</t>
  </si>
  <si>
    <t>ITEM-047ab5b5-2</t>
  </si>
  <si>
    <t>ITEM-047ab5b5-3</t>
  </si>
  <si>
    <t>0c75ffb5</t>
  </si>
  <si>
    <t>ITEM-047ab5b5-4</t>
  </si>
  <si>
    <t>BS bebidas (11/02/2025) - Água com gas</t>
  </si>
  <si>
    <t>ITEM-047ab5b5-5</t>
  </si>
  <si>
    <t>Notas_Images/0c75ffb5.Foto.191044.jpg</t>
  </si>
  <si>
    <t>ITEM-08ee9ea1-1</t>
  </si>
  <si>
    <t>Água com gas</t>
  </si>
  <si>
    <t>ITEM-08ee9ea1-2</t>
  </si>
  <si>
    <t>1724166f5_9</t>
  </si>
  <si>
    <t>ITEM-b89e7453-1</t>
  </si>
  <si>
    <t>ITEM-239ad7e8-1</t>
  </si>
  <si>
    <t>ITEM-84bfe043-1</t>
  </si>
  <si>
    <t>ITEM-158bf992c-1</t>
  </si>
  <si>
    <t>1768c2415_4</t>
  </si>
  <si>
    <t>ITEM-1a98c2de4-1</t>
  </si>
  <si>
    <t>ITEM-112de5883-1</t>
  </si>
  <si>
    <t>ITEM-1b57a5e5e-1</t>
  </si>
  <si>
    <t>ITEM-13d5f7d70-1</t>
  </si>
  <si>
    <t>ITEM-12e5f537c-1</t>
  </si>
  <si>
    <t>c9e596c5</t>
  </si>
  <si>
    <t>7536d12a</t>
  </si>
  <si>
    <t>ITEM-1b3a90c7a-1</t>
  </si>
  <si>
    <t>Coca Cola (12/02/2025) - Bebidas</t>
  </si>
  <si>
    <t>ITEM-1d66dba22-1</t>
  </si>
  <si>
    <t>Notas_Images/c9e596c5.Foto.191823.jpg</t>
  </si>
  <si>
    <t>ITEM-11dd7760e-1</t>
  </si>
  <si>
    <t>Notas_Images/c9e596c5.Foto 1.191823.jpg</t>
  </si>
  <si>
    <t>ITEM-155910dae-1</t>
  </si>
  <si>
    <t>ITEM-17bf61dde-1</t>
  </si>
  <si>
    <t>266d9a8d</t>
  </si>
  <si>
    <t>6b89a8ab</t>
  </si>
  <si>
    <t>ITEM-173f89eef-1</t>
  </si>
  <si>
    <t>Embrast (12/02/2025) - Luvas bobinas</t>
  </si>
  <si>
    <t>ITEM-19e85678c-1</t>
  </si>
  <si>
    <t>Notas_Images/266d9a8d.Foto.170704.jpg</t>
  </si>
  <si>
    <t>Luvas bobinas</t>
  </si>
  <si>
    <t>ITEM-dafe102a-1</t>
  </si>
  <si>
    <t>Notas_Images/266d9a8d.Foto 1.170703.jpg</t>
  </si>
  <si>
    <t>ITEM-bac691eb-1</t>
  </si>
  <si>
    <t>ITEM-9fd6050c-1</t>
  </si>
  <si>
    <t>ITEM-8d6eed8e-1</t>
  </si>
  <si>
    <t>ITEM-e193362c-1</t>
  </si>
  <si>
    <t>ITEM-e193362c-2</t>
  </si>
  <si>
    <t>fadd92c0</t>
  </si>
  <si>
    <t>ITEM-e193362c-3</t>
  </si>
  <si>
    <t>ITEM-e193362c-4</t>
  </si>
  <si>
    <t>19888cda8</t>
  </si>
  <si>
    <t>ITEM-f10c0711-1</t>
  </si>
  <si>
    <t>ITEM-f10c0711-2</t>
  </si>
  <si>
    <t>ITEM-f10c0711-3</t>
  </si>
  <si>
    <t>Retirado pelo site</t>
  </si>
  <si>
    <t>ITEM-f10c0711-4</t>
  </si>
  <si>
    <t>97ea1ba9</t>
  </si>
  <si>
    <t>ITEM-f10c0711-5</t>
  </si>
  <si>
    <t>29f043eb</t>
  </si>
  <si>
    <t>ITEM-dfeacfae-1</t>
  </si>
  <si>
    <t>ITEM-dfeacfae-2</t>
  </si>
  <si>
    <t>Banderloff (13/02/2025) - Frutas</t>
  </si>
  <si>
    <t>Notas_Images/29f043eb.Foto.204237.jpg</t>
  </si>
  <si>
    <t>ITEM-dfeacfae-3</t>
  </si>
  <si>
    <t>ITEM-dfeacfae-4</t>
  </si>
  <si>
    <t>ITEM-dfeacfae-5</t>
  </si>
  <si>
    <t>862c1cb5</t>
  </si>
  <si>
    <t>ITEM-dfeacfae-6</t>
  </si>
  <si>
    <t>ITEM-dfeacfae-7</t>
  </si>
  <si>
    <t>Camila Morango (14/02/2025) - Frutas</t>
  </si>
  <si>
    <t>Notas_Images/862c1cb5.Foto.174320.jpg</t>
  </si>
  <si>
    <t>ITEM-dfeacfae-8</t>
  </si>
  <si>
    <t>ITEM-dfeacfae-9</t>
  </si>
  <si>
    <t>ITEM-dfeacfae-10</t>
  </si>
  <si>
    <t>1c0f1737</t>
  </si>
  <si>
    <t>ITEM-dfeacfae-11</t>
  </si>
  <si>
    <t>ITEM-dfeacfae-12</t>
  </si>
  <si>
    <t>Banderloff (15/02/2025) - Frutas</t>
  </si>
  <si>
    <t>Notas_Images/1c0f1737.Foto.174451.jpg</t>
  </si>
  <si>
    <t>ITEM-dfeacfae-13</t>
  </si>
  <si>
    <t>ITEM-12d9ac1b5-1</t>
  </si>
  <si>
    <t>d4d69b2c</t>
  </si>
  <si>
    <t>ITEM-1724166f5_8-1</t>
  </si>
  <si>
    <t>EXTERMINIO DESINSETIZADORA (03/02/2025) - Dedetização</t>
  </si>
  <si>
    <t>Notas_Images/d4d69b2c.Foto.140344.jpg</t>
  </si>
  <si>
    <t>ITEM-1768c2415_3-1</t>
  </si>
  <si>
    <t>ITEM-8bc7870c-1</t>
  </si>
  <si>
    <t>ed317c55</t>
  </si>
  <si>
    <t>Camila Morango (17/02/2025) - Morango</t>
  </si>
  <si>
    <t>ITEM-d7a567d8-1</t>
  </si>
  <si>
    <t>Notas_Images/ed317c55.Foto.181335.jpg</t>
  </si>
  <si>
    <t>ITEM-22c4124a-1</t>
  </si>
  <si>
    <t>ITEM-22c4124a-2</t>
  </si>
  <si>
    <t>163efca3b</t>
  </si>
  <si>
    <t>ITEM-22c4124a-3</t>
  </si>
  <si>
    <t>ITEM-a10ddcee-1</t>
  </si>
  <si>
    <t>ITEM-acc67cec-1</t>
  </si>
  <si>
    <t>ITEM-acc67cec-2</t>
  </si>
  <si>
    <t>d9fe2324</t>
  </si>
  <si>
    <t>ITEM-acc67cec-3</t>
  </si>
  <si>
    <t>ITEM-acc67cec-4</t>
  </si>
  <si>
    <t>ACB (18/02/2025) - Bebidas</t>
  </si>
  <si>
    <t>Notas_Images/d9fe2324.Foto.190441.jpg</t>
  </si>
  <si>
    <t>ITEM-018084a8-1</t>
  </si>
  <si>
    <t>ITEM-cedd6813-1</t>
  </si>
  <si>
    <t>Notas_Images/d9fe2324.Foto 1.190441.jpg</t>
  </si>
  <si>
    <t>ITEM-63b32692-1</t>
  </si>
  <si>
    <t>ed2bb939</t>
  </si>
  <si>
    <t>156b9a64</t>
  </si>
  <si>
    <t>ITEM-d36c9dfe-1</t>
  </si>
  <si>
    <t>ITEM-226df174-1</t>
  </si>
  <si>
    <t>Banderloff (19/02/2025) - Frutas</t>
  </si>
  <si>
    <t>Notas_Images/156b9a64.Foto.194242.jpg</t>
  </si>
  <si>
    <t>ITEM-1de37ff3-1</t>
  </si>
  <si>
    <t>ITEM-132a2106c-1</t>
  </si>
  <si>
    <t>ITEM-1b01eda62-1</t>
  </si>
  <si>
    <t>6c832da7</t>
  </si>
  <si>
    <t>ITEM-16a7251fa-1</t>
  </si>
  <si>
    <t>Coca Cola (20/02/2025) - Bebidas</t>
  </si>
  <si>
    <t>ITEM-12eba8a33-1</t>
  </si>
  <si>
    <t>Notas_Images/6c832da7.Foto.193539.jpg</t>
  </si>
  <si>
    <t>ITEM-01a54f80-1</t>
  </si>
  <si>
    <t>Notas_Images/6c832da7.Foto 1.193539.jpg</t>
  </si>
  <si>
    <t>ITEM-9cc0da97-1</t>
  </si>
  <si>
    <t>ITEM-9cc0da97-2</t>
  </si>
  <si>
    <t>11a6364f8</t>
  </si>
  <si>
    <t>ITEM-9cc0da97-3</t>
  </si>
  <si>
    <t>1 cx 550 1 cx 330</t>
  </si>
  <si>
    <t>ITEM-9f836f0d-1</t>
  </si>
  <si>
    <t>ITEM-9f836f0d-2</t>
  </si>
  <si>
    <t>ITEM-9f836f0d-3</t>
  </si>
  <si>
    <t>ITEM-9f836f0d-4</t>
  </si>
  <si>
    <t>ITEM-9f836f0d-5</t>
  </si>
  <si>
    <t>ITEM-9f836f0d-6</t>
  </si>
  <si>
    <t>ITEM-9f836f0d-7</t>
  </si>
  <si>
    <t>ITEM-3aff0f2d-1</t>
  </si>
  <si>
    <t>ITEM-77202a72-1</t>
  </si>
  <si>
    <t>145ecc8c0_13</t>
  </si>
  <si>
    <t>ITEM-4a212657-1</t>
  </si>
  <si>
    <t>ITEM-4a212657-2</t>
  </si>
  <si>
    <t>ITEM-4a212657-3</t>
  </si>
  <si>
    <t>ITEM-60a3f49f-1</t>
  </si>
  <si>
    <t>ITEM-60a3f49f-2</t>
  </si>
  <si>
    <t>ITEM-60a3f49f-3</t>
  </si>
  <si>
    <t>ITEM-42c44123-1</t>
  </si>
  <si>
    <t>ITEM-87eaed17-1</t>
  </si>
  <si>
    <t>24bbfe27</t>
  </si>
  <si>
    <t>ITEM-52a1b3c7-1</t>
  </si>
  <si>
    <t>ITEM-74f0d748-1</t>
  </si>
  <si>
    <t>ITEM-74f0d748-2</t>
  </si>
  <si>
    <t>ITEM-d32cb5bc-1</t>
  </si>
  <si>
    <t>ITEM-747a1766-1</t>
  </si>
  <si>
    <t>ITEM-105eb72e-1</t>
  </si>
  <si>
    <t>ITEM-7ea47a6b-1</t>
  </si>
  <si>
    <t>15a0871cc_4</t>
  </si>
  <si>
    <t>ITEM-3064d4b5-1</t>
  </si>
  <si>
    <t>ITEM-3064d4b5-2</t>
  </si>
  <si>
    <t>Empréstimo pessoal Patrícia 4/25</t>
  </si>
  <si>
    <t>ITEM-3064d4b5-3</t>
  </si>
  <si>
    <t>ITEM-3064d4b5-4</t>
  </si>
  <si>
    <t>ITEM-5385df05-1</t>
  </si>
  <si>
    <t>ITEM-5385df05-2</t>
  </si>
  <si>
    <t>ITEM-5385df05-3</t>
  </si>
  <si>
    <t>ITEM-5385df05-4</t>
  </si>
  <si>
    <t>1cabddb51_3</t>
  </si>
  <si>
    <t>ITEM-5385df05-5</t>
  </si>
  <si>
    <t>ITEM-5385df05-6</t>
  </si>
  <si>
    <t>ITEM-5385df05-7</t>
  </si>
  <si>
    <t>ITEM-95652f5f-1</t>
  </si>
  <si>
    <t>ITEM-95652f5f-2</t>
  </si>
  <si>
    <t>1691444cd_3</t>
  </si>
  <si>
    <t>ITEM-95652f5f-3</t>
  </si>
  <si>
    <t>ITEM-95652f5f-4</t>
  </si>
  <si>
    <t>ITEM-95652f5f-5</t>
  </si>
  <si>
    <t>ITEM-95652f5f-6</t>
  </si>
  <si>
    <t>ITEM-95652f5f-7</t>
  </si>
  <si>
    <t>c8818b35</t>
  </si>
  <si>
    <t>ITEM-95652f5f-8</t>
  </si>
  <si>
    <t>Amadelli (17/02/2025) - Carga seca</t>
  </si>
  <si>
    <t>ITEM-95652f5f-9</t>
  </si>
  <si>
    <t>Notas_Images/c8818b35.Foto.175940.jpg</t>
  </si>
  <si>
    <t>ITEM-95652f5f-10</t>
  </si>
  <si>
    <t>ITEM-40a1dd9d-1</t>
  </si>
  <si>
    <t>Notas_Images/c8818b35.Foto 1.175940.jpg</t>
  </si>
  <si>
    <t>ITEM-19771fa6-1</t>
  </si>
  <si>
    <t>ITEM-2b74487f-1</t>
  </si>
  <si>
    <t>ITEM-5f3cacfd-1</t>
  </si>
  <si>
    <t>817ec0d1</t>
  </si>
  <si>
    <t>ITEM-5f3cacfd-2</t>
  </si>
  <si>
    <t>7dfef61f</t>
  </si>
  <si>
    <t>Cristiano (19/02/2025) - Serviços na loja</t>
  </si>
  <si>
    <t>ITEM-5f3cacfd-3</t>
  </si>
  <si>
    <t>Notas_Images/817ec0d1.Foto.205517.jpg</t>
  </si>
  <si>
    <t>Serviços na loja</t>
  </si>
  <si>
    <t>ITEM-5f3cacfd-4</t>
  </si>
  <si>
    <t>ITEM-1d2362a99-1</t>
  </si>
  <si>
    <t>ITEM-1986da3f9-1</t>
  </si>
  <si>
    <t>da2c2922</t>
  </si>
  <si>
    <t>ITEM-1aae7012b-1</t>
  </si>
  <si>
    <t>ITEM-145ecc8c0_12-1</t>
  </si>
  <si>
    <t>Alternativa Comunicação Visual (20/02/2025) - Adesivo</t>
  </si>
  <si>
    <t>Notas_Images/da2c2922.Foto.180124.jpg</t>
  </si>
  <si>
    <t>ITEM-15a0871cc_3-1</t>
  </si>
  <si>
    <t>ITEM-1691444cd_2-1</t>
  </si>
  <si>
    <t>Notas_Images/da2c2922.Foto 1.180124.jpg</t>
  </si>
  <si>
    <t>ITEM-1cabddb51_2-1</t>
  </si>
  <si>
    <t>1c7a50bc2</t>
  </si>
  <si>
    <t>ITEM-c3c2825e-1</t>
  </si>
  <si>
    <t>ITEM-c3c2825e-2</t>
  </si>
  <si>
    <t>retirado do site</t>
  </si>
  <si>
    <t>ITEM-c3c2825e-3</t>
  </si>
  <si>
    <t>ITEM-c3c2825e-4</t>
  </si>
  <si>
    <t>ITEM-c3c2825e-5</t>
  </si>
  <si>
    <t>84712c5e</t>
  </si>
  <si>
    <t>ITEM-c3c2825e-6</t>
  </si>
  <si>
    <t>EXTERMINIO DESINSETIZADORA (10/02/2025) - Dedetização</t>
  </si>
  <si>
    <t>ITEM-6e9955d4-1</t>
  </si>
  <si>
    <t>Notas_Images/84712c5e.Foto.144002.jpg</t>
  </si>
  <si>
    <t>ITEM-6e9955d4-2</t>
  </si>
  <si>
    <t>ITEM-6e9955d4-3</t>
  </si>
  <si>
    <t>ITEM-6e9955d4-4</t>
  </si>
  <si>
    <t>1dd3c58a</t>
  </si>
  <si>
    <t>ITEM-6e9955d4-5</t>
  </si>
  <si>
    <t>Amadelli (21/02/2025) - Carga gelada</t>
  </si>
  <si>
    <t>ITEM-9dfcb563-1</t>
  </si>
  <si>
    <t>Notas_Images/1dd3c58a.Foto.164715.jpg</t>
  </si>
  <si>
    <t>ITEM-9dfcb563-2</t>
  </si>
  <si>
    <t>ITEM-9dfcb563-3</t>
  </si>
  <si>
    <t>Notas_Images/1dd3c58a.Foto 1.164715.jpg</t>
  </si>
  <si>
    <t>Notas_Images/1dd3c58a.Foto 2.164715.jpg</t>
  </si>
  <si>
    <t>ITEM-42804146-1</t>
  </si>
  <si>
    <t>Notas_Images/1dd3c58a.Foto 3.164717.jpg</t>
  </si>
  <si>
    <t>ITEM-42804146-2</t>
  </si>
  <si>
    <t>4e241f19</t>
  </si>
  <si>
    <t>ITEM-120de2ee-1</t>
  </si>
  <si>
    <t>Banderloff (22/02/2025) - Frutas</t>
  </si>
  <si>
    <t>Notas_Images/4e241f19.Foto.164524.jpg</t>
  </si>
  <si>
    <t>ITEM-120de2ee-2</t>
  </si>
  <si>
    <t>ITEM-120de2ee-3</t>
  </si>
  <si>
    <t>ITEM-3d529805-1</t>
  </si>
  <si>
    <t>ITEM-468ad57d-1</t>
  </si>
  <si>
    <t>b4a9bfdb</t>
  </si>
  <si>
    <t>ITEM-1a3e7d204-1</t>
  </si>
  <si>
    <t>Padaria mega gigante (22/02/2025) - Pao</t>
  </si>
  <si>
    <t>ITEM-131e91e65-1</t>
  </si>
  <si>
    <t>Notas_Images/b4a9bfdb.Foto.165107.jpg</t>
  </si>
  <si>
    <t>ITEM-17c1d7470-1</t>
  </si>
  <si>
    <t>ITEM-19314c3ee-1</t>
  </si>
  <si>
    <t>927c2692</t>
  </si>
  <si>
    <t>ITEM-1fa7d5e11-1</t>
  </si>
  <si>
    <t>1ea27b87</t>
  </si>
  <si>
    <t>ITEM-15d19fcdb-1</t>
  </si>
  <si>
    <t>Passarela Center via atacadista (23/02/2025) - Café d equipe domkngo</t>
  </si>
  <si>
    <t>1c980f14</t>
  </si>
  <si>
    <t>Notas_Images/927c2692.Foto.165206.jpg</t>
  </si>
  <si>
    <t>ITEM-187d03882-1</t>
  </si>
  <si>
    <t>Café d equipe domkngo</t>
  </si>
  <si>
    <t>a5a36ec6</t>
  </si>
  <si>
    <t>ITEM-1f0072cd0-1</t>
  </si>
  <si>
    <t>101391cc</t>
  </si>
  <si>
    <t>ITEM-517b8f72-1</t>
  </si>
  <si>
    <t>ITEM-ab163b40-1</t>
  </si>
  <si>
    <t>a7556bcd</t>
  </si>
  <si>
    <t>ITEM-ab163b40-2</t>
  </si>
  <si>
    <t>ITEM-ab163b40-3</t>
  </si>
  <si>
    <t>Camila Morango (24/02/2025) - Morango</t>
  </si>
  <si>
    <t>Notas_Images/a7556bcd.Foto.191907.jpg</t>
  </si>
  <si>
    <t>ITEM-ab163b40-4</t>
  </si>
  <si>
    <t>ITEM-9f36ebd3-1</t>
  </si>
  <si>
    <t>15adfd8c5</t>
  </si>
  <si>
    <t>ITEM-9f36ebd3-2</t>
  </si>
  <si>
    <t>ITEM-9f36ebd3-3</t>
  </si>
  <si>
    <t>ITEM-9f36ebd3-4</t>
  </si>
  <si>
    <t>1bdb1cafc</t>
  </si>
  <si>
    <t>ITEM-40db27c5-1</t>
  </si>
  <si>
    <t>ITEM-40db27c5-2</t>
  </si>
  <si>
    <t>ITEM-40db27c5-3</t>
  </si>
  <si>
    <t>ITEM-3e9f1e61-1</t>
  </si>
  <si>
    <t>b8314916</t>
  </si>
  <si>
    <t>ITEM-3e9f1e61-2</t>
  </si>
  <si>
    <t>ITEM-3e9f1e61-3</t>
  </si>
  <si>
    <t>Patrimonial (18/02/2025) - Monitoramento das câmeras</t>
  </si>
  <si>
    <t>Notas_Images/b8314916.Foto.201108.jpg</t>
  </si>
  <si>
    <t>ITEM-feefff83-1</t>
  </si>
  <si>
    <t>ITEM-feefff83-2</t>
  </si>
  <si>
    <t>ITEM-feefff83-3</t>
  </si>
  <si>
    <t>1e29899d</t>
  </si>
  <si>
    <t>ITEM-47464915-1</t>
  </si>
  <si>
    <t>Banderloff (25/02/2025) - Frutas</t>
  </si>
  <si>
    <t>Notas_Images/1e29899d.Foto.201021.jpg</t>
  </si>
  <si>
    <t>ITEM-510c2dbd-1</t>
  </si>
  <si>
    <t>ac854c4e</t>
  </si>
  <si>
    <t>ITEM-8a5f3d2f-1</t>
  </si>
  <si>
    <t>133e3eacc</t>
  </si>
  <si>
    <t>ITEM-8a5f3d2f-2</t>
  </si>
  <si>
    <t>ITEM-8a5f3d2f-3</t>
  </si>
  <si>
    <t>ITEM-fa1103f9-1</t>
  </si>
  <si>
    <t>3cda1c93</t>
  </si>
  <si>
    <t>ITEM-11a0ef2f-1</t>
  </si>
  <si>
    <t>Casa das Embalagens (24/02/2025) - Alcool</t>
  </si>
  <si>
    <t>ITEM-16b0fc61-1</t>
  </si>
  <si>
    <t>Notas_Images/3cda1c93.Foto.155158.jpg</t>
  </si>
  <si>
    <t>Alcool</t>
  </si>
  <si>
    <t>ITEM-cc23d749-1</t>
  </si>
  <si>
    <t>ITEM-256d9123-1</t>
  </si>
  <si>
    <t>ITEM-4c190b7a-1</t>
  </si>
  <si>
    <t>9c474a81</t>
  </si>
  <si>
    <t>6246013c</t>
  </si>
  <si>
    <t>ITEM-c94c7477-1</t>
  </si>
  <si>
    <t>Coca Cola (27/02/2025) - Bebidas</t>
  </si>
  <si>
    <t>Notas_Images/9c474a81.Foto.155642.jpg</t>
  </si>
  <si>
    <t>ITEM-c94c7477-2</t>
  </si>
  <si>
    <t>Notas_Images/9c474a81.Foto 1.155642.jpg</t>
  </si>
  <si>
    <t>ITEM-c94c7477-3</t>
  </si>
  <si>
    <t>Notas_Images/9c474a81.Foto 2.155642.jpg</t>
  </si>
  <si>
    <t>ITEM-bf60730c-1</t>
  </si>
  <si>
    <t>ITEM-ba3b5e0b-1</t>
  </si>
  <si>
    <t>9584566c</t>
  </si>
  <si>
    <t>ITEM-ba3b5e0b-2</t>
  </si>
  <si>
    <t>Suco prats (28/02/2025) - Sucos</t>
  </si>
  <si>
    <t>ITEM-ba3b5e0b-3</t>
  </si>
  <si>
    <t>Notas_Images/9584566c.Foto.155254.jpg</t>
  </si>
  <si>
    <t>ITEM-ba3b5e0b-4</t>
  </si>
  <si>
    <t>ITEM-ba3b5e0b-5</t>
  </si>
  <si>
    <t>ITEM-ba3b5e0b-6</t>
  </si>
  <si>
    <t>ITEM-ba3b5e0b-7</t>
  </si>
  <si>
    <t>4edc5f0c</t>
  </si>
  <si>
    <t>Help Multi Coisas (28/02/2025) - Impressão folha bruna</t>
  </si>
  <si>
    <t>Notas_Images/4edc5f0c.Foto.155339.jpg</t>
  </si>
  <si>
    <t>Impressão folha bruna</t>
  </si>
  <si>
    <t>ITEM-ba3b5e0b-8</t>
  </si>
  <si>
    <t>ITEM-180e666ce-1</t>
  </si>
  <si>
    <t>ITEM-1a2d6fc54-1</t>
  </si>
  <si>
    <t>9542a81e</t>
  </si>
  <si>
    <t>ITEM-4c80bf76-1</t>
  </si>
  <si>
    <t>BS bebidas (28/02/2025) - Energético</t>
  </si>
  <si>
    <t>Notas_Images/9542a81e.Foto.155421.jpg</t>
  </si>
  <si>
    <t>Energético</t>
  </si>
  <si>
    <t>ITEM-fba7c519-1</t>
  </si>
  <si>
    <t>ITEM-61a4c7da-1</t>
  </si>
  <si>
    <t>93d7a44e</t>
  </si>
  <si>
    <t>6e4b0395</t>
  </si>
  <si>
    <t>ITEM-f799629b-1</t>
  </si>
  <si>
    <t>ITEM-6676b9b2-1</t>
  </si>
  <si>
    <t>Camila Morango (28/02/2025) - Morango</t>
  </si>
  <si>
    <t>ITEM-6676b9b2-2</t>
  </si>
  <si>
    <t>Notas_Images/6e4b0395.Foto.155500.jpg</t>
  </si>
  <si>
    <t>ITEM-6676b9b2-3</t>
  </si>
  <si>
    <t>ITEM-6676b9b2-4</t>
  </si>
  <si>
    <t>ITEM-f6fb6caa-1</t>
  </si>
  <si>
    <t>42c938e8</t>
  </si>
  <si>
    <t>ITEM-8fc3a005-1</t>
  </si>
  <si>
    <t>ITEM-b0e5070c-1</t>
  </si>
  <si>
    <t>Banderloff (28/02/2025) - Frutas</t>
  </si>
  <si>
    <t>ITEM-b0e5070c-2</t>
  </si>
  <si>
    <t>Notas_Images/42c938e8.Foto.155538.jpg</t>
  </si>
  <si>
    <t>ITEM-b0e5070c-3</t>
  </si>
  <si>
    <t>ITEM-b0e5070c-4</t>
  </si>
  <si>
    <t>ITEM-432277f2-1</t>
  </si>
  <si>
    <t>ITEM-45abea14-1</t>
  </si>
  <si>
    <t>eeede4e1</t>
  </si>
  <si>
    <t>ITEM-d5b0b059-1</t>
  </si>
  <si>
    <t>Banderloff (01/03/2025) - Frutas</t>
  </si>
  <si>
    <t>ITEM-d5b0b059-2</t>
  </si>
  <si>
    <t>Notas_Images/eeede4e1.Foto.191254.jpg</t>
  </si>
  <si>
    <t>ITEM-d5611488-1</t>
  </si>
  <si>
    <t>ITEM-cbce639f-1</t>
  </si>
  <si>
    <t>ITEM-cbce639f-2</t>
  </si>
  <si>
    <t>ITEM-cbce639f-3</t>
  </si>
  <si>
    <t>85d514ad</t>
  </si>
  <si>
    <t>ITEM-0c75ffb5-1</t>
  </si>
  <si>
    <t>ITEM-1724166f5_9-1</t>
  </si>
  <si>
    <t>Padaria mega gigante (01/03/2025) - Pao</t>
  </si>
  <si>
    <t>ITEM-1768c2415_4-1</t>
  </si>
  <si>
    <t>Notas_Images/85d514ad.Foto.191412.jpg</t>
  </si>
  <si>
    <t>ITEM-c9e596c5-1</t>
  </si>
  <si>
    <t>ITEM-c9e596c5-2</t>
  </si>
  <si>
    <t>ITEM-c9e596c5-3</t>
  </si>
  <si>
    <t>1f8431773</t>
  </si>
  <si>
    <t>ITEM-c9e596c5-4</t>
  </si>
  <si>
    <t>ITEM-c9e596c5-5</t>
  </si>
  <si>
    <t>FGTS rescisão Dani</t>
  </si>
  <si>
    <t>ITEM-c9e596c5-6</t>
  </si>
  <si>
    <t>ITEM-c9e596c5-7</t>
  </si>
  <si>
    <t>ITEM-c9e596c5-8</t>
  </si>
  <si>
    <t>1727a9b92</t>
  </si>
  <si>
    <t>ITEM-c9e596c5-9</t>
  </si>
  <si>
    <t>ITEM-266d9a8d-1</t>
  </si>
  <si>
    <t>ITEM-266d9a8d-2</t>
  </si>
  <si>
    <t>ITEM-266d9a8d-3</t>
  </si>
  <si>
    <t>ITEM-193579329-1</t>
  </si>
  <si>
    <t>c96f27cc</t>
  </si>
  <si>
    <t>ITEM-19888cda8-1</t>
  </si>
  <si>
    <t>ITEM-29f043eb-1</t>
  </si>
  <si>
    <t>Auto Coletivo Caçador (28/02/2025) - Vale transporte bruna</t>
  </si>
  <si>
    <t>Notas_Images/c96f27cc.Foto.152408.jpg</t>
  </si>
  <si>
    <t>ITEM-29f043eb-2</t>
  </si>
  <si>
    <t>ITEM-29f043eb-3</t>
  </si>
  <si>
    <t>ITEM-29f043eb-4</t>
  </si>
  <si>
    <t>ITEM-862c1cb5-1</t>
  </si>
  <si>
    <t>125b6515</t>
  </si>
  <si>
    <t>ITEM-1c0f1737-1</t>
  </si>
  <si>
    <t>ITEM-1c0f1737-2</t>
  </si>
  <si>
    <t>Amadelli (03/03/2025) - Carga seca</t>
  </si>
  <si>
    <t>ITEM-1c0f1737-3</t>
  </si>
  <si>
    <t>Notas_Images/125b6515.Foto.152246.jpg</t>
  </si>
  <si>
    <t>ITEM-d4d69b2c-1</t>
  </si>
  <si>
    <t>Notas_Images/125b6515.Foto 1.152247.jpg</t>
  </si>
  <si>
    <t>f4d1269b</t>
  </si>
  <si>
    <t>Notas_Images/125b6515.Foto 2.152247.jpg</t>
  </si>
  <si>
    <t>Notas_Images/125b6515.Foto 3.152251.jpg</t>
  </si>
  <si>
    <t>ITEM-ed317c55-1</t>
  </si>
  <si>
    <t>f114806e</t>
  </si>
  <si>
    <t>ITEM-163efca3b-1</t>
  </si>
  <si>
    <t>ITEM-d9fe2324-1</t>
  </si>
  <si>
    <t>Jandira (05/03/2025) - Produto de limpeza</t>
  </si>
  <si>
    <t>ITEM-d9fe2324-2</t>
  </si>
  <si>
    <t>Notas_Images/f114806e.Foto.152521.jpg</t>
  </si>
  <si>
    <t>ITEM-d9fe2324-3</t>
  </si>
  <si>
    <t>ITEM-d9fe2324-4</t>
  </si>
  <si>
    <t>ITEM-d9fe2324-5</t>
  </si>
  <si>
    <t>d0b7a8fa</t>
  </si>
  <si>
    <t>ITEM-156b9a64-1</t>
  </si>
  <si>
    <t>Camila Morango (05/03/2025) - Morango</t>
  </si>
  <si>
    <t>ITEM-156b9a64-2</t>
  </si>
  <si>
    <t>Notas_Images/d0b7a8fa.Foto.152550.jpg</t>
  </si>
  <si>
    <t>ITEM-156b9a64-3</t>
  </si>
  <si>
    <t>ITEM-156b9a64-4</t>
  </si>
  <si>
    <t>ITEM-6c832da7-1</t>
  </si>
  <si>
    <t>a8e757ca</t>
  </si>
  <si>
    <t>ITEM-6c832da7-2</t>
  </si>
  <si>
    <t>ITEM-6c832da7-3</t>
  </si>
  <si>
    <t>Banderloff (05/03/2025) - Frutas</t>
  </si>
  <si>
    <t>ITEM-6c832da7-4</t>
  </si>
  <si>
    <t>Notas_Images/a8e757ca.Foto.152628.jpg</t>
  </si>
  <si>
    <t>ITEM-6c832da7-5</t>
  </si>
  <si>
    <t>ITEM-6c832da7-6</t>
  </si>
  <si>
    <t>ITEM-6c832da7-7</t>
  </si>
  <si>
    <t>9221f9a5</t>
  </si>
  <si>
    <t>ITEM-6c832da7-8</t>
  </si>
  <si>
    <t>Banderloff (06/03/2025) - Frutad</t>
  </si>
  <si>
    <t>ITEM-6c832da7-9</t>
  </si>
  <si>
    <t>Notas_Images/9221f9a5.Foto.152657.jpg</t>
  </si>
  <si>
    <t>ITEM-6c832da7-10</t>
  </si>
  <si>
    <t>ITEM-11a6364f8-1</t>
  </si>
  <si>
    <t>ITEM-145ecc8c0_13-1</t>
  </si>
  <si>
    <t>613f069a</t>
  </si>
  <si>
    <t>ITEM-15a0871cc_4-1</t>
  </si>
  <si>
    <t>ITEM-1cabddb51_3-1</t>
  </si>
  <si>
    <t>Coca Cola (06/03/2025) - Bebidas</t>
  </si>
  <si>
    <t>Notas_Images/613f069a.Foto.195348.jpg</t>
  </si>
  <si>
    <t>ITEM-1691444cd_3-1</t>
  </si>
  <si>
    <t>ITEM-c8818b35-1</t>
  </si>
  <si>
    <t>Notas_Images/613f069a.Foto 1.195348.jpg</t>
  </si>
  <si>
    <t>ITEM-817ec0d1-1</t>
  </si>
  <si>
    <t>cbbb74b5</t>
  </si>
  <si>
    <t>ITEM-da2c2922-1</t>
  </si>
  <si>
    <t>ITEM-1c7a50bc2-1</t>
  </si>
  <si>
    <t>407d8342</t>
  </si>
  <si>
    <t>ITEM-84712c5e-1</t>
  </si>
  <si>
    <t>Amadelli (06/03/2025) - Carga gelada</t>
  </si>
  <si>
    <t>ITEM-1dd3c58a-1</t>
  </si>
  <si>
    <t>Notas_Images/407d8342.Foto.152957.jpg</t>
  </si>
  <si>
    <t>ITEM-4e241f19-1</t>
  </si>
  <si>
    <t>ITEM-4e241f19-2</t>
  </si>
  <si>
    <t>Notas_Images/407d8342.Foto 1.152957.jpg</t>
  </si>
  <si>
    <t>Notas_Images/407d8342.Foto 2.152957.jpg</t>
  </si>
  <si>
    <t>ITEM-4e241f19-3</t>
  </si>
  <si>
    <t>Notas_Images/407d8342.Foto 3.153000.jpg</t>
  </si>
  <si>
    <t>ITEM-b4a9bfdb-1</t>
  </si>
  <si>
    <t>fcf92d30</t>
  </si>
  <si>
    <t>ITEM-927c2692-1</t>
  </si>
  <si>
    <t>ITEM-a7556bcd-1</t>
  </si>
  <si>
    <t>Delivery much (07/03/2025) - Aplicativo de delivery</t>
  </si>
  <si>
    <t>ITEM-15adfd8c5-1</t>
  </si>
  <si>
    <t>Notas_Images/fcf92d30.Foto.152129.jpg</t>
  </si>
  <si>
    <t>ITEM-1bdb1cafc-1</t>
  </si>
  <si>
    <t>ITEM-b8314916-1</t>
  </si>
  <si>
    <t>ITEM-1e29899d-1</t>
  </si>
  <si>
    <t>ITEM-1e29899d-2</t>
  </si>
  <si>
    <t>14e0c36d</t>
  </si>
  <si>
    <t>ITEM-1e29899d-3</t>
  </si>
  <si>
    <t>ITEM-1e29899d-4</t>
  </si>
  <si>
    <t>ITEM-133e3eacc-1</t>
  </si>
  <si>
    <t>ITEM-3cda1c93-1</t>
  </si>
  <si>
    <t>ITEM-3cda1c93-2</t>
  </si>
  <si>
    <t>2c374f14</t>
  </si>
  <si>
    <t>ITEM-9c474a81-1</t>
  </si>
  <si>
    <t>ITEM-9c474a81-2</t>
  </si>
  <si>
    <t>ITEM-9c474a81-3</t>
  </si>
  <si>
    <t>ITEM-9c474a81-4</t>
  </si>
  <si>
    <t>Camila Morango (07/03/2025) - Morango</t>
  </si>
  <si>
    <t>Notas_Images/14e0c36d.Foto.223818.jpg</t>
  </si>
  <si>
    <t>ITEM-9c474a81-5</t>
  </si>
  <si>
    <t>ITEM-9c474a81-6</t>
  </si>
  <si>
    <t>44a10765</t>
  </si>
  <si>
    <t>ITEM-9c474a81-7</t>
  </si>
  <si>
    <t>Help Multi Coisas (07/03/2025) - Impressão folha Gabriela</t>
  </si>
  <si>
    <t>ITEM-9c474a81-8</t>
  </si>
  <si>
    <t>Notas_Images/44a10765.Foto.224208.jpg</t>
  </si>
  <si>
    <t>Impressão folha Gabriela</t>
  </si>
  <si>
    <t>ITEM-9c474a81-9</t>
  </si>
  <si>
    <t>ITEM-9c474a81-10</t>
  </si>
  <si>
    <t>ITEM-9584566c-1</t>
  </si>
  <si>
    <t>ITEM-9584566c-2</t>
  </si>
  <si>
    <t>5874c10b</t>
  </si>
  <si>
    <t>ITEM-9584566c-3</t>
  </si>
  <si>
    <t>ITEM-9584566c-4</t>
  </si>
  <si>
    <t>Suco prats (07/03/2025) - Suco prats</t>
  </si>
  <si>
    <t>ITEM-9584566c-5</t>
  </si>
  <si>
    <t>Notas_Images/5874c10b.Foto.224318.jpg</t>
  </si>
  <si>
    <t>ITEM-9584566c-6</t>
  </si>
  <si>
    <t>ITEM-4edc5f0c-1</t>
  </si>
  <si>
    <t>bef363e9</t>
  </si>
  <si>
    <t>ITEM-9542a81e-1</t>
  </si>
  <si>
    <t>ITEM-6e4b0395-1</t>
  </si>
  <si>
    <t>BS bebidas (07/03/2025) - Aguas</t>
  </si>
  <si>
    <t>Notas_Images/bef363e9.Foto.224414.jpg</t>
  </si>
  <si>
    <t>Aguas</t>
  </si>
  <si>
    <t>ITEM-42c938e8-1</t>
  </si>
  <si>
    <t>ITEM-42c938e8-2</t>
  </si>
  <si>
    <t>ITEM-42c938e8-3</t>
  </si>
  <si>
    <t>a1811e27</t>
  </si>
  <si>
    <t>befc7f4c</t>
  </si>
  <si>
    <t>ITEM-42c938e8-4</t>
  </si>
  <si>
    <t>Ana speroto (08/03/2025) - Arco de balao</t>
  </si>
  <si>
    <t>Notas_Images/a1811e27.Foto.155207.jpg</t>
  </si>
  <si>
    <t>Arco de balao</t>
  </si>
  <si>
    <t>ITEM-eeede4e1-1</t>
  </si>
  <si>
    <t>ITEM-eeede4e1-2</t>
  </si>
  <si>
    <t>ITEM-eeede4e1-3</t>
  </si>
  <si>
    <t>53c90b35</t>
  </si>
  <si>
    <t>ITEM-eeede4e1-4</t>
  </si>
  <si>
    <t>ITEM-85d514ad-1</t>
  </si>
  <si>
    <t>Banderloff (08/03/2025) - Frutas</t>
  </si>
  <si>
    <t>Notas_Images/53c90b35.Foto.225841.jpg</t>
  </si>
  <si>
    <t>ITEM-1f8431773-1</t>
  </si>
  <si>
    <t>ITEM-1727a9b92-1</t>
  </si>
  <si>
    <t>ITEM-c96f27cc-1</t>
  </si>
  <si>
    <t>ITEM-125b6515-1</t>
  </si>
  <si>
    <t>217b327f</t>
  </si>
  <si>
    <t>ITEM-f114806e-1</t>
  </si>
  <si>
    <t>ITEM-f114806e-2</t>
  </si>
  <si>
    <t>Superviza Supermercado (09/03/2025) - Café equipe</t>
  </si>
  <si>
    <t>ITEM-f114806e-3</t>
  </si>
  <si>
    <t>Notas_Images/217b327f.Foto.203727.jpg</t>
  </si>
  <si>
    <t>ITEM-f114806e-4</t>
  </si>
  <si>
    <t>ITEM-f114806e-5</t>
  </si>
  <si>
    <t>509611d0</t>
  </si>
  <si>
    <t>ITEM-f114806e-6</t>
  </si>
  <si>
    <t>ITEM-d0b7a8fa-1</t>
  </si>
  <si>
    <t>ITEM-a8e757ca-1</t>
  </si>
  <si>
    <t>3e9d4e05</t>
  </si>
  <si>
    <t>ITEM-a8e757ca-2</t>
  </si>
  <si>
    <t>ITEM-a8e757ca-3</t>
  </si>
  <si>
    <t>Padaria mega gigante (08/03/2025) - Café d equipe</t>
  </si>
  <si>
    <t>ITEM-a8e757ca-4</t>
  </si>
  <si>
    <t>Notas_Images/3e9d4e05.Foto.171234.jpg</t>
  </si>
  <si>
    <t>ITEM-9221f9a5-1</t>
  </si>
  <si>
    <t>ITEM-9221f9a5-2</t>
  </si>
  <si>
    <t>ITEM-9221f9a5-3</t>
  </si>
  <si>
    <t>ITEM-9221f9a5-4</t>
  </si>
  <si>
    <t>dc46bf99</t>
  </si>
  <si>
    <t>ITEM-613f069a-1</t>
  </si>
  <si>
    <t>ITEM-613f069a-2</t>
  </si>
  <si>
    <t>Camila Morango (10/03/2025) - Morango</t>
  </si>
  <si>
    <t>ITEM-613f069a-3</t>
  </si>
  <si>
    <t>Notas_Images/dc46bf99.Foto.191440.jpg</t>
  </si>
  <si>
    <t>ITEM-613f069a-4</t>
  </si>
  <si>
    <t>ITEM-613f069a-5</t>
  </si>
  <si>
    <t>ITEM-613f069a-6</t>
  </si>
  <si>
    <t>ITEM-613f069a-7</t>
  </si>
  <si>
    <t>d782fc1b</t>
  </si>
  <si>
    <t>ITEM-613f069a-8</t>
  </si>
  <si>
    <t>ITEM-613f069a-9</t>
  </si>
  <si>
    <t>Jonatan (11/03/2025) - Limpeza caixa da agua</t>
  </si>
  <si>
    <t>ITEM-613f069a-10</t>
  </si>
  <si>
    <t>Notas_Images/d782fc1b.Foto.162129.jpg</t>
  </si>
  <si>
    <t>ITEM-407d8342-1</t>
  </si>
  <si>
    <t>Limpeza caixa da agua</t>
  </si>
  <si>
    <t>ITEM-fcf92d30-1</t>
  </si>
  <si>
    <t>ITEM-14e0c36d-1</t>
  </si>
  <si>
    <t>ITEM-44a10765-1</t>
  </si>
  <si>
    <t>7f49f60f</t>
  </si>
  <si>
    <t>ITEM-5874c10b-1</t>
  </si>
  <si>
    <t>Passarela Center via atacadista (11/03/2025) - Produto de limpeza</t>
  </si>
  <si>
    <t>Notas_Images/7f49f60f.Foto.171147.jpg</t>
  </si>
  <si>
    <t>ITEM-5874c10b-2</t>
  </si>
  <si>
    <t>ITEM-5874c10b-3</t>
  </si>
  <si>
    <t>110f07be</t>
  </si>
  <si>
    <t>ITEM-bef363e9-1</t>
  </si>
  <si>
    <t>4473310f</t>
  </si>
  <si>
    <t>ITEM-bef363e9-2</t>
  </si>
  <si>
    <t>ITEM-a1811e27-1</t>
  </si>
  <si>
    <t>Embrast (11/03/2025) - Bobinas multiuso,luvas</t>
  </si>
  <si>
    <t>ITEM-53c90b35-1</t>
  </si>
  <si>
    <t>Notas_Images/4473310f.Foto.174526.jpg</t>
  </si>
  <si>
    <t>Bobinas multiuso,luvas</t>
  </si>
  <si>
    <t>ITEM-53c90b35-2</t>
  </si>
  <si>
    <t>ITEM-53c90b35-3</t>
  </si>
  <si>
    <t>ITEM-53c90b35-4</t>
  </si>
  <si>
    <t>ITEM-217b327f-1</t>
  </si>
  <si>
    <t>1dff5bbd6</t>
  </si>
  <si>
    <t>ITEM-3e9d4e05-1</t>
  </si>
  <si>
    <t>ITEM-dc46bf99-1</t>
  </si>
  <si>
    <t>ITEM-d782fc1b-1</t>
  </si>
  <si>
    <t>fevereiro</t>
  </si>
  <si>
    <t>ITEM-7f49f60f-1</t>
  </si>
  <si>
    <t>ITEM-7f49f60f-2</t>
  </si>
  <si>
    <t>ITEM-7f49f60f-3</t>
  </si>
  <si>
    <t>11356d1b4</t>
  </si>
  <si>
    <t>ITEM-7f49f60f-4</t>
  </si>
  <si>
    <t>ITEM-4473310f-1</t>
  </si>
  <si>
    <t>ITEM-4473310f-2</t>
  </si>
  <si>
    <t>ITEM-4473310f-3</t>
  </si>
  <si>
    <t>ITEM-4473310f-4</t>
  </si>
  <si>
    <t>ITEM-4473310f-5</t>
  </si>
  <si>
    <t>1c44e4282</t>
  </si>
  <si>
    <t>ITEM-4473310f-6</t>
  </si>
  <si>
    <t>ITEM-1dff5bbd6-1</t>
  </si>
  <si>
    <t>ITEM-11356d1b4-1</t>
  </si>
  <si>
    <t>ITEM-1c44e4282-1</t>
  </si>
  <si>
    <t>ITEM-1ed7a0f1c-1</t>
  </si>
  <si>
    <t>1ed7a0f1c</t>
  </si>
  <si>
    <t>ITEM-117a9822a-1</t>
  </si>
  <si>
    <t>117a9822a</t>
  </si>
  <si>
    <t>ITEM-161b8b9d3-1</t>
  </si>
  <si>
    <t>161b8b9d3</t>
  </si>
  <si>
    <t>ITEM-1724166f5_10-1</t>
  </si>
  <si>
    <t>1724166f5_10</t>
  </si>
  <si>
    <t>ITEM-1bfd898f-1</t>
  </si>
  <si>
    <t>1bfd898f</t>
  </si>
  <si>
    <t>ITEM-ab711a58-1</t>
  </si>
  <si>
    <t>ab711a58</t>
  </si>
  <si>
    <t>448fb483</t>
  </si>
  <si>
    <t>ITEM-1768c2415_5-1</t>
  </si>
  <si>
    <t>1768c2415_5</t>
  </si>
  <si>
    <t>ITEM-1b4fdbf86-1</t>
  </si>
  <si>
    <t>1b4fdbf86</t>
  </si>
  <si>
    <t>ITEM-1ed9cccdb-1</t>
  </si>
  <si>
    <t>1ed9cccdb</t>
  </si>
  <si>
    <t>ITEM-1e8156b8a-1</t>
  </si>
  <si>
    <t>1e8156b8a</t>
  </si>
  <si>
    <t>periodo sem registro</t>
  </si>
  <si>
    <t>ITEM-2511578d-1</t>
  </si>
  <si>
    <t>2511578d</t>
  </si>
  <si>
    <t>ITEM-1990ffc4-1</t>
  </si>
  <si>
    <t>1990ffc4</t>
  </si>
  <si>
    <t>93f9143d</t>
  </si>
  <si>
    <t>ITEM-1e6f4cce-1</t>
  </si>
  <si>
    <t>1e6f4cce</t>
  </si>
  <si>
    <t>ITEM-1e6f4cce-2</t>
  </si>
  <si>
    <t>ITEM-1e6f4cce-3</t>
  </si>
  <si>
    <t>ITEM-1e6f4cce-4</t>
  </si>
  <si>
    <t>ITEM-1e6f4cce-5</t>
  </si>
  <si>
    <t>ITEM-1e6f4cce-6</t>
  </si>
  <si>
    <t>ITEM-24830701-1</t>
  </si>
  <si>
    <t>ITEM-6e8d7f7b-1</t>
  </si>
  <si>
    <t>6e8d7f7b</t>
  </si>
  <si>
    <t>ITEM-6e8d7f7b-2</t>
  </si>
  <si>
    <t>ITEM-6e8d7f7b-3</t>
  </si>
  <si>
    <t>ITEM-6e8d7f7b-4</t>
  </si>
  <si>
    <t>ITEM-0966fce4-1</t>
  </si>
  <si>
    <t>0966fce4</t>
  </si>
  <si>
    <t>ITEM-d77f6471-1</t>
  </si>
  <si>
    <t>d77f6471</t>
  </si>
  <si>
    <t>ITEM-d77f6471-2</t>
  </si>
  <si>
    <t>Nicopel (06/03/2025) - Cestinha de páscoa</t>
  </si>
  <si>
    <t>Notas_Images/1bfd898f.Foto.184555.jpg</t>
  </si>
  <si>
    <t>ITEM-d77f6471-3</t>
  </si>
  <si>
    <t>Cestinha de páscoa</t>
  </si>
  <si>
    <t>ITEM-d77f6471-4</t>
  </si>
  <si>
    <t>ITEM-3485f5aa-1</t>
  </si>
  <si>
    <t>3485f5aa</t>
  </si>
  <si>
    <t>ITEM-8bcda4fc-1</t>
  </si>
  <si>
    <t>8bcda4fc</t>
  </si>
  <si>
    <t>ITEM-80dc94ef-1</t>
  </si>
  <si>
    <t>80dc94ef</t>
  </si>
  <si>
    <t>ITEM-da11f512-1</t>
  </si>
  <si>
    <t>da11f512</t>
  </si>
  <si>
    <t>Casa das Embalagens (12/03/2025) - Potes e copos</t>
  </si>
  <si>
    <t>ITEM-e0e0f53e-1</t>
  </si>
  <si>
    <t>Notas_Images/ab711a58.Foto.181115.jpg</t>
  </si>
  <si>
    <t>e0e0f53e</t>
  </si>
  <si>
    <t>Potes e copos</t>
  </si>
  <si>
    <t>ITEM-10c26db8-1</t>
  </si>
  <si>
    <t>10c26db8</t>
  </si>
  <si>
    <t>ITEM-ffa7d34c-1</t>
  </si>
  <si>
    <t>ffa7d34c</t>
  </si>
  <si>
    <t>ITEM-e03e6e56-1</t>
  </si>
  <si>
    <t>e03e6e56</t>
  </si>
  <si>
    <t>ITEM-6916cd3f-1</t>
  </si>
  <si>
    <t>6916cd3f</t>
  </si>
  <si>
    <t>ITEM-6916cd3f-2</t>
  </si>
  <si>
    <t>ITEM-6916cd3f-3</t>
  </si>
  <si>
    <t>ITEM-6916cd3f-4</t>
  </si>
  <si>
    <t>ITEM-d1d54d0c-1</t>
  </si>
  <si>
    <t>d1d54d0c</t>
  </si>
  <si>
    <t>ITEM-d1d54d0c-2</t>
  </si>
  <si>
    <t>ITEM-d1d54d0c-3</t>
  </si>
  <si>
    <t>ITEM-d1d54d0c-4</t>
  </si>
  <si>
    <t>ITEM-3a01137b-1</t>
  </si>
  <si>
    <t>3a01137b</t>
  </si>
  <si>
    <t>ITEM-8b131d2a-1</t>
  </si>
  <si>
    <t>8b131d2a</t>
  </si>
  <si>
    <t>41513fbe</t>
  </si>
  <si>
    <t>março</t>
  </si>
  <si>
    <t>ITEM-95d45187-1</t>
  </si>
  <si>
    <t>95d45187</t>
  </si>
  <si>
    <t>ITEM-11c902384-1</t>
  </si>
  <si>
    <t>11c902384</t>
  </si>
  <si>
    <t>ITEM-1ba3c8ece-1</t>
  </si>
  <si>
    <t>1ba3c8ece</t>
  </si>
  <si>
    <t>ITEM-14c5e2dbd-1</t>
  </si>
  <si>
    <t>14c5e2dbd</t>
  </si>
  <si>
    <t>ITEM-1aa6660a-1</t>
  </si>
  <si>
    <t>1aa6660a</t>
  </si>
  <si>
    <t>ITEM-b218af63-1</t>
  </si>
  <si>
    <t>b218af63</t>
  </si>
  <si>
    <t>ITEM-3614f973-1</t>
  </si>
  <si>
    <t>3614f973</t>
  </si>
  <si>
    <t>ITEM-3614f973-2</t>
  </si>
  <si>
    <t>ITEM-3614f973-3</t>
  </si>
  <si>
    <t>ITEM-40d95f45-1</t>
  </si>
  <si>
    <t>40d95f45</t>
  </si>
  <si>
    <t>ITEM-28b6ea86-1</t>
  </si>
  <si>
    <t>28b6ea86</t>
  </si>
  <si>
    <t>ITEM-cf18c1ba-1</t>
  </si>
  <si>
    <t>cf18c1ba</t>
  </si>
  <si>
    <t>ITEM-656f014c-1</t>
  </si>
  <si>
    <t>656f014c</t>
  </si>
  <si>
    <t>ITEM-0d7843ec-1</t>
  </si>
  <si>
    <t>0d7843ec</t>
  </si>
  <si>
    <t>ITEM-c58879ab-1</t>
  </si>
  <si>
    <t>c58879ab</t>
  </si>
  <si>
    <t>ITEM-87719720-1</t>
  </si>
  <si>
    <t>ITEM-87719720-2</t>
  </si>
  <si>
    <t>Sonia Uniformes (06/03/2025) - Unifornes</t>
  </si>
  <si>
    <t>Notas_Images/2511578d.Foto.215901.jpg</t>
  </si>
  <si>
    <t>ITEM-87719720-3</t>
  </si>
  <si>
    <t>Unifornes</t>
  </si>
  <si>
    <t>ITEM-87719720-4</t>
  </si>
  <si>
    <t>Já foi pago</t>
  </si>
  <si>
    <t>ITEM-deeb65c4-1</t>
  </si>
  <si>
    <t>deeb65c4</t>
  </si>
  <si>
    <t>ITEM-05f52385-1</t>
  </si>
  <si>
    <t>05f52385</t>
  </si>
  <si>
    <t>Skol indústria de bebidas e alimentos (07/03/2025) - Energético The best</t>
  </si>
  <si>
    <t>Notas_Images/1990ffc4.Foto.193110.jpg</t>
  </si>
  <si>
    <t>Energético The best</t>
  </si>
  <si>
    <t>ITEM-05f52385-2</t>
  </si>
  <si>
    <t>ITEM-05f52385-3</t>
  </si>
  <si>
    <t>ITEM-05f52385-4</t>
  </si>
  <si>
    <t>ITEM-6fa9e266-1</t>
  </si>
  <si>
    <t>6fa9e266</t>
  </si>
  <si>
    <t>Coca Cola (13/03/2025) - Bebidas</t>
  </si>
  <si>
    <t>Notas_Images/1e6f4cce.Foto.192826.jpg</t>
  </si>
  <si>
    <t>ITEM-6fa9e266-2</t>
  </si>
  <si>
    <t>ITEM-6fa9e266-3</t>
  </si>
  <si>
    <t>ITEM-81ffee5f-1</t>
  </si>
  <si>
    <t>81ffee5f</t>
  </si>
  <si>
    <t>ITEM-9fa34fb2-1</t>
  </si>
  <si>
    <t>9fa34fb2</t>
  </si>
  <si>
    <t>ITEM-1e32f388-1</t>
  </si>
  <si>
    <t>1e32f388</t>
  </si>
  <si>
    <t>ITEM-1e32f388-2</t>
  </si>
  <si>
    <t>Padaria mega gigante (14/03/2025) - Café equipe sexta</t>
  </si>
  <si>
    <t>ITEM-45d50ddb-1</t>
  </si>
  <si>
    <t>45d50ddb</t>
  </si>
  <si>
    <t>Notas_Images/24830701.Foto.172448.jpg</t>
  </si>
  <si>
    <t>Café equipe sexta</t>
  </si>
  <si>
    <t>ITEM-1a939196-1</t>
  </si>
  <si>
    <t>1a939196</t>
  </si>
  <si>
    <t>ITEM-1a939196-2</t>
  </si>
  <si>
    <t>ITEM-1a939196-3</t>
  </si>
  <si>
    <t>ITEM-1a939196-4</t>
  </si>
  <si>
    <t>ITEM-1a939196-5</t>
  </si>
  <si>
    <t>ITEM-1a939196-6</t>
  </si>
  <si>
    <t>Banderloff (14/03/2025) - Frutas</t>
  </si>
  <si>
    <t>Notas_Images/6e8d7f7b.Foto.172527.jpg</t>
  </si>
  <si>
    <t>ITEM-1a939196-7</t>
  </si>
  <si>
    <t>ITEM-1a939196-8</t>
  </si>
  <si>
    <t>ITEM-1a939196-9</t>
  </si>
  <si>
    <t>ITEM-1a939196-10</t>
  </si>
  <si>
    <t>ITEM-1a939196-11</t>
  </si>
  <si>
    <t>Camila Morango (15/03/2025) - Morango</t>
  </si>
  <si>
    <t>ITEM-1a939196-12</t>
  </si>
  <si>
    <t>Notas_Images/0966fce4.Foto.172554.jpg</t>
  </si>
  <si>
    <t>ITEM-1a939196-13</t>
  </si>
  <si>
    <t>ITEM-1b92ecfa1-1</t>
  </si>
  <si>
    <t>1b92ecfa1</t>
  </si>
  <si>
    <t>ITEM-1460fe929-1</t>
  </si>
  <si>
    <t>1460fe929</t>
  </si>
  <si>
    <t>ITEM-1bd4b03c6-1</t>
  </si>
  <si>
    <t>1bd4b03c6</t>
  </si>
  <si>
    <t>Banderloff (15/03/2025) - Frutas</t>
  </si>
  <si>
    <t>Notas_Images/d77f6471.Foto.172640.jpg</t>
  </si>
  <si>
    <t>ITEM-13a2f17f5-1</t>
  </si>
  <si>
    <t>13a2f17f5</t>
  </si>
  <si>
    <t>ITEM-130a49bb3-1</t>
  </si>
  <si>
    <t>130a49bb3</t>
  </si>
  <si>
    <t>ITEM-145ecc8c0_14-1</t>
  </si>
  <si>
    <t>145ecc8c0_14</t>
  </si>
  <si>
    <t>ITEM-15a0871cc_5-1</t>
  </si>
  <si>
    <t>15a0871cc_5</t>
  </si>
  <si>
    <t>Padaria mega gigante (15/03/2025) - Café de sábado de sabado</t>
  </si>
  <si>
    <t>ITEM-1cabddb51_4-1</t>
  </si>
  <si>
    <t>1cabddb51_4</t>
  </si>
  <si>
    <t>Notas_Images/3485f5aa.Foto.190947.jpg</t>
  </si>
  <si>
    <t>Café de sábado de sabado</t>
  </si>
  <si>
    <t>ITEM-1691444cd_4-1</t>
  </si>
  <si>
    <t>1691444cd_4</t>
  </si>
  <si>
    <t>ITEM-1ded03d31-1</t>
  </si>
  <si>
    <t>1ded03d31</t>
  </si>
  <si>
    <t>38ae6647</t>
  </si>
  <si>
    <t>ITEM-ca207285-1</t>
  </si>
  <si>
    <t>ca207285</t>
  </si>
  <si>
    <t>ITEM-ca207285-2</t>
  </si>
  <si>
    <t>caita supermercado (16/03/2025) - Café da equipe domingo</t>
  </si>
  <si>
    <t>ITEM-ca207285-3</t>
  </si>
  <si>
    <t>Notas_Images/8bcda4fc.Foto.192151.jpg</t>
  </si>
  <si>
    <t>Café da equipe domingo</t>
  </si>
  <si>
    <t>ITEM-ca207285-4</t>
  </si>
  <si>
    <t>b3115439</t>
  </si>
  <si>
    <t>ITEM-ca207285-5</t>
  </si>
  <si>
    <t>d8f6dbbb</t>
  </si>
  <si>
    <t>Casa das Embalagens (17/03/2025) - Chocolate ao leite</t>
  </si>
  <si>
    <t>ITEM-ca207285-6</t>
  </si>
  <si>
    <t>Notas_Images/80dc94ef.Foto.183437.jpg</t>
  </si>
  <si>
    <t>Chocolate ao leite</t>
  </si>
  <si>
    <t>ITEM-ca207285-7</t>
  </si>
  <si>
    <t>8174e02a</t>
  </si>
  <si>
    <t>ITEM-ede8c116-1</t>
  </si>
  <si>
    <t>ede8c116</t>
  </si>
  <si>
    <t>Camila Morango (17/03/2025) - Morango</t>
  </si>
  <si>
    <t>ITEM-ede8c116-2</t>
  </si>
  <si>
    <t>Notas_Images/da11f512.Foto.225749.jpg</t>
  </si>
  <si>
    <t>ITEM-ede8c116-3</t>
  </si>
  <si>
    <t>Amadelli (18/03/2025) - Carga gelada</t>
  </si>
  <si>
    <t>ITEM-ede8c116-4</t>
  </si>
  <si>
    <t>Notas_Images/e0e0f53e.Foto.183642.jpg</t>
  </si>
  <si>
    <t>ITEM-ede8c116-5</t>
  </si>
  <si>
    <t>Notas_Images/e0e0f53e.Foto 1.183642.jpg</t>
  </si>
  <si>
    <t>ITEM-c0193a5e-1</t>
  </si>
  <si>
    <t>c0193a5e</t>
  </si>
  <si>
    <t>ITEM-c0193a5e-2</t>
  </si>
  <si>
    <t>Notas_Images/10c26db8.Foto.183808.jpg</t>
  </si>
  <si>
    <t>Notas_Images/10c26db8.Foto 1.183808.jpg</t>
  </si>
  <si>
    <t>Notas_Images/10c26db8.Foto 2.183808.jpg</t>
  </si>
  <si>
    <t>ITEM-c0193a5e-3</t>
  </si>
  <si>
    <t>Notas_Images/10c26db8.Foto 3.183810.jpg</t>
  </si>
  <si>
    <t>ITEM-c0193a5e-4</t>
  </si>
  <si>
    <t>Amadelli (19/03/2025) - Carga seca</t>
  </si>
  <si>
    <t>Notas_Images/ffa7d34c.Foto.183903.jpg</t>
  </si>
  <si>
    <t>ITEM-12c427757-1</t>
  </si>
  <si>
    <t>12c427757</t>
  </si>
  <si>
    <t>Notas_Images/ffa7d34c.Foto 1.183903.jpg</t>
  </si>
  <si>
    <t>Notas_Images/ffa7d34c.Foto 2.183903.jpg</t>
  </si>
  <si>
    <t>ITEM-1870688f4-1</t>
  </si>
  <si>
    <t>1870688f4</t>
  </si>
  <si>
    <t>ITEM-1eadda926-1</t>
  </si>
  <si>
    <t>1eadda926</t>
  </si>
  <si>
    <t>Superviza Supermercado (21/03/2025) - Café da equipe final final</t>
  </si>
  <si>
    <t>Notas_Images/e03e6e56.Foto.183036.jpg</t>
  </si>
  <si>
    <t>ITEM-12d00ad3-1</t>
  </si>
  <si>
    <t>Café da equipe final final</t>
  </si>
  <si>
    <t>12d00ad3</t>
  </si>
  <si>
    <t>ITEM-1cd6f77e-1</t>
  </si>
  <si>
    <t>1cd6f77e</t>
  </si>
  <si>
    <t>Banderloff (21/03/2025) - Frutas</t>
  </si>
  <si>
    <t>ITEM-1cd6f77e-2</t>
  </si>
  <si>
    <t>Notas_Images/6916cd3f.Foto.183546.jpg</t>
  </si>
  <si>
    <t>ITEM-1cd6f77e-3</t>
  </si>
  <si>
    <t>ITEM-1cd6f77e-4</t>
  </si>
  <si>
    <t>Banderloff (22/03/2025) - Frutas</t>
  </si>
  <si>
    <t>ITEM-9ac788fd-1</t>
  </si>
  <si>
    <t>9ac788fd</t>
  </si>
  <si>
    <t>Notas_Images/d1d54d0c.Foto.225856.jpg</t>
  </si>
  <si>
    <t>ITEM-9ac788fd-2</t>
  </si>
  <si>
    <t>ITEM-9ac788fd-3</t>
  </si>
  <si>
    <t>ITEM-9ac788fd-4</t>
  </si>
  <si>
    <t>ITEM-9ac788fd-5</t>
  </si>
  <si>
    <t>ITEM-9ac788fd-6</t>
  </si>
  <si>
    <t>Camila Morango (23/03/2025) - Morango</t>
  </si>
  <si>
    <t>Notas_Images/3a01137b.Foto.225709.jpg</t>
  </si>
  <si>
    <t>ITEM-9ac788fd-7</t>
  </si>
  <si>
    <t>ITEM-9ac788fd-8</t>
  </si>
  <si>
    <t>ITEM-9ac788fd-9</t>
  </si>
  <si>
    <t>ITEM-9ac788fd-10</t>
  </si>
  <si>
    <t>ITEM-bead1310-1</t>
  </si>
  <si>
    <t>bead1310</t>
  </si>
  <si>
    <t>ITEM-cd112ff6-1</t>
  </si>
  <si>
    <t>cd112ff6</t>
  </si>
  <si>
    <t>ITEM-cd112ff6-2</t>
  </si>
  <si>
    <t>9daca984</t>
  </si>
  <si>
    <t>ITEM-cd112ff6-3</t>
  </si>
  <si>
    <t>Wellington (23/03/2025) - Motoboy</t>
  </si>
  <si>
    <t>ITEM-cd112ff6-4</t>
  </si>
  <si>
    <t>Notas_Images/8b131d2a.Foto.001812.jpg</t>
  </si>
  <si>
    <t>Motoboy</t>
  </si>
  <si>
    <t>ITEM-c9f9eb5a-1</t>
  </si>
  <si>
    <t>c9f9eb5a</t>
  </si>
  <si>
    <t>ITEM-0d902343-1</t>
  </si>
  <si>
    <t>0d902343</t>
  </si>
  <si>
    <t>ITEM-b26d5aef-1</t>
  </si>
  <si>
    <t>b26d5aef</t>
  </si>
  <si>
    <t>ITEM-b26d5aef-2</t>
  </si>
  <si>
    <t>AIBOO (01/03/2025) - Aplicativo de delivery</t>
  </si>
  <si>
    <t>ITEM-b26d5aef-3</t>
  </si>
  <si>
    <t>Notas_Images/95d45187.Foto.190428.jpg</t>
  </si>
  <si>
    <t>ITEM-b26d5aef-4</t>
  </si>
  <si>
    <t>ITEM-58c82c10-1</t>
  </si>
  <si>
    <t>58c82c10</t>
  </si>
  <si>
    <t>ITEM-786dfc2d-1</t>
  </si>
  <si>
    <t>786dfc2d</t>
  </si>
  <si>
    <t>adiantamentoo</t>
  </si>
  <si>
    <t>e8dfa604</t>
  </si>
  <si>
    <t>ITEM-d4933900-1</t>
  </si>
  <si>
    <t>d4933900</t>
  </si>
  <si>
    <t>ITEM-67bd83ba-1</t>
  </si>
  <si>
    <t>67bd83ba</t>
  </si>
  <si>
    <t>ITEM-67bd83ba-2</t>
  </si>
  <si>
    <t>ITEM-67bd83ba-3</t>
  </si>
  <si>
    <t>ITEM-67bd83ba-4</t>
  </si>
  <si>
    <t>ITEM-fdadb74a-1</t>
  </si>
  <si>
    <t>fdadb74a</t>
  </si>
  <si>
    <t>ITEM-1768c2415_6-1</t>
  </si>
  <si>
    <t>1768c2415_6</t>
  </si>
  <si>
    <t>ITEM-1724166f5_11-1</t>
  </si>
  <si>
    <t>1724166f5_11</t>
  </si>
  <si>
    <t>ITEM-142cadaa4-1</t>
  </si>
  <si>
    <t>142cadaa4</t>
  </si>
  <si>
    <t>ITEM-929cf9e0-1</t>
  </si>
  <si>
    <t>929cf9e0</t>
  </si>
  <si>
    <t>ITEM-cdb35c6e-1</t>
  </si>
  <si>
    <t>cdb35c6e</t>
  </si>
  <si>
    <t>ITEM-116ba547d-1</t>
  </si>
  <si>
    <t>116ba547d</t>
  </si>
  <si>
    <t>ITEM-9b262c20-1</t>
  </si>
  <si>
    <t>9b262c20</t>
  </si>
  <si>
    <t>ITEM-9b262c20-2</t>
  </si>
  <si>
    <t>b41d0a24</t>
  </si>
  <si>
    <t>Patrimonial (18/03/2025) - Monitoramento das câmeras</t>
  </si>
  <si>
    <t>ITEM-307b6b88-1</t>
  </si>
  <si>
    <t>Notas_Images/1aa6660a.Foto.184438.jpg</t>
  </si>
  <si>
    <t>307b6b88</t>
  </si>
  <si>
    <t>ITEM-9a37e3df-1</t>
  </si>
  <si>
    <t>9a37e3df</t>
  </si>
  <si>
    <t>ITEM-9a37e3df-2</t>
  </si>
  <si>
    <t>ITEM-9a37e3df-3</t>
  </si>
  <si>
    <t>ITEM-9a37e3df-4</t>
  </si>
  <si>
    <t>ITEM-a3351fe8-1</t>
  </si>
  <si>
    <t>Amadelli (18/03/2025) - Campanha de pascoa</t>
  </si>
  <si>
    <t>a3351fe8</t>
  </si>
  <si>
    <t>Notas_Images/b218af63.Foto.185211.jpg</t>
  </si>
  <si>
    <t>Campanha de pascoa</t>
  </si>
  <si>
    <t>ITEM-a3351fe8-2</t>
  </si>
  <si>
    <t>ITEM-a3351fe8-3</t>
  </si>
  <si>
    <t>Notas_Images/b218af63.Foto 1.185211.jpg</t>
  </si>
  <si>
    <t>ITEM-d17e2a12-1</t>
  </si>
  <si>
    <t>d17e2a12</t>
  </si>
  <si>
    <t>ITEM-d17e2a12-2</t>
  </si>
  <si>
    <t>ITEM-2b80a6c6-1</t>
  </si>
  <si>
    <t>2b80a6c6</t>
  </si>
  <si>
    <t>ITEM-f9c796a3-1</t>
  </si>
  <si>
    <t>f9c796a3</t>
  </si>
  <si>
    <t>Banderloff (25/03/2025) - Frutas</t>
  </si>
  <si>
    <t>ITEM-f9c796a3-2</t>
  </si>
  <si>
    <t>Notas_Images/3614f973.Foto.185101.jpg</t>
  </si>
  <si>
    <t>ITEM-f9c796a3-3</t>
  </si>
  <si>
    <t>ITEM-1aa6dc46a-1</t>
  </si>
  <si>
    <t>1aa6dc46a</t>
  </si>
  <si>
    <t>ITEM-187bcb25d-1</t>
  </si>
  <si>
    <t>187bcb25d</t>
  </si>
  <si>
    <t>ITEM-13eb65594-1</t>
  </si>
  <si>
    <t>13eb65594</t>
  </si>
  <si>
    <t>Banderloff (25/03/2025) - Fritas</t>
  </si>
  <si>
    <t>ITEM-31123c93-1</t>
  </si>
  <si>
    <t>31123c93</t>
  </si>
  <si>
    <t>Notas_Images/40d95f45.Foto.185113.jpg</t>
  </si>
  <si>
    <t>Fritas</t>
  </si>
  <si>
    <t>ITEM-1b736820d-1</t>
  </si>
  <si>
    <t>1b736820d</t>
  </si>
  <si>
    <t>ITEM-12f8f67d7-1</t>
  </si>
  <si>
    <t>12f8f67d7</t>
  </si>
  <si>
    <t>ITEM-17aa946b9-1</t>
  </si>
  <si>
    <t>17aa946b9</t>
  </si>
  <si>
    <t>ITEM-15e7b5901-1</t>
  </si>
  <si>
    <t>15e7b5901</t>
  </si>
  <si>
    <t>ITEM-14a36f394-1</t>
  </si>
  <si>
    <t>14a36f394</t>
  </si>
  <si>
    <t>Alternativa Comunicação Visual (26/03/2025) - Adesivo</t>
  </si>
  <si>
    <t>ITEM-16ce0d474-1</t>
  </si>
  <si>
    <t>Notas_Images/28b6ea86.Foto.184406.jpg</t>
  </si>
  <si>
    <t>16ce0d474</t>
  </si>
  <si>
    <t>ITEM-145ecc8c0_15-1</t>
  </si>
  <si>
    <t>145ecc8c0_15</t>
  </si>
  <si>
    <t>Notas_Images/28b6ea86.Foto 1.184406.jpg</t>
  </si>
  <si>
    <t>ITEM-15a0871cc_6-1</t>
  </si>
  <si>
    <t>15a0871cc_6</t>
  </si>
  <si>
    <t>ITEM-1cabddb51_5-1</t>
  </si>
  <si>
    <t>1cabddb51_5</t>
  </si>
  <si>
    <t>ITEM-1691444cd_5-1</t>
  </si>
  <si>
    <t>1691444cd_5</t>
  </si>
  <si>
    <t>ITEM-16c88e36-1</t>
  </si>
  <si>
    <t>16c88e36</t>
  </si>
  <si>
    <t>Auto Coletivo Caçador (28/03/2025) - Vale transporte bruna</t>
  </si>
  <si>
    <t>Notas_Images/cf18c1ba.Foto.183813.jpg</t>
  </si>
  <si>
    <t>ITEM-bd246354-1</t>
  </si>
  <si>
    <t>bd246354</t>
  </si>
  <si>
    <t>ITEM-bd246354-2</t>
  </si>
  <si>
    <t>ITEM-bd246354-3</t>
  </si>
  <si>
    <t>ITEM-bd246354-4</t>
  </si>
  <si>
    <t>ITEM-bd246354-5</t>
  </si>
  <si>
    <t>caita supermercado (28/03/2025) - Café equipe</t>
  </si>
  <si>
    <t>Notas_Images/656f014c.Foto.184031.jpg</t>
  </si>
  <si>
    <t>ITEM-bd246354-6</t>
  </si>
  <si>
    <t>91d184bc</t>
  </si>
  <si>
    <t>ITEM-bd246354-7</t>
  </si>
  <si>
    <t>Padaria mega gigante (28/03/2025) - Pao</t>
  </si>
  <si>
    <t>Notas_Images/0d7843ec.Foto.184101.jpg</t>
  </si>
  <si>
    <t>ITEM-49263576-1</t>
  </si>
  <si>
    <t>ITEM-60e028ce-1</t>
  </si>
  <si>
    <t>60e028ce</t>
  </si>
  <si>
    <t>ITEM-6bd03a8f-1</t>
  </si>
  <si>
    <t>6bd03a8f</t>
  </si>
  <si>
    <t>ITEM-a498711a-1</t>
  </si>
  <si>
    <t>a498711a</t>
  </si>
  <si>
    <t>ITEM-a498711a-2</t>
  </si>
  <si>
    <t>Camila Morango (28/03/2025) - Morango</t>
  </si>
  <si>
    <t>Notas_Images/c58879ab.Foto.184558.jpg</t>
  </si>
  <si>
    <t>ITEM-9f4b1cf6-1</t>
  </si>
  <si>
    <t>9f4b1cf6</t>
  </si>
  <si>
    <t>ITEM-25966bb2-1</t>
  </si>
  <si>
    <t>25966bb2</t>
  </si>
  <si>
    <t>ITEM-25966bb2-2</t>
  </si>
  <si>
    <t>ITEM-25966bb2-3</t>
  </si>
  <si>
    <t>Banderloff (28/03/2025) - Fritas</t>
  </si>
  <si>
    <t>Notas_Images/87719720.Foto.185123.jpg</t>
  </si>
  <si>
    <t>ITEM-25966bb2-4</t>
  </si>
  <si>
    <t>ITEM-3e6ba561-1</t>
  </si>
  <si>
    <t>3e6ba561</t>
  </si>
  <si>
    <t>ITEM-3e6ba561-2</t>
  </si>
  <si>
    <t>EXTERMINIO DESINSETIZADORA (28/03/2025) - Dedetização</t>
  </si>
  <si>
    <t>Notas_Images/deeb65c4.Foto.185219.jpg</t>
  </si>
  <si>
    <t>ITEM-3e6ba561-3</t>
  </si>
  <si>
    <t>ITEM-3e6ba561-4</t>
  </si>
  <si>
    <t>ITEM-3e6ba561-5</t>
  </si>
  <si>
    <t>ITEM-3e6ba561-6</t>
  </si>
  <si>
    <t>BS bebidas (28/03/2025) - Aguas</t>
  </si>
  <si>
    <t>ITEM-3e6ba561-7</t>
  </si>
  <si>
    <t>Notas_Images/05f52385.Foto.212929.jpg</t>
  </si>
  <si>
    <t>ITEM-3e6ba561-8</t>
  </si>
  <si>
    <t>ITEM-a27c2f89-1</t>
  </si>
  <si>
    <t>a27c2f89</t>
  </si>
  <si>
    <t>ITEM-a27c2f89-2</t>
  </si>
  <si>
    <t>ITEM-a27c2f89-3</t>
  </si>
  <si>
    <t>Banderloff (29/03/2025) - Frutas</t>
  </si>
  <si>
    <t>ITEM-a27c2f89-4</t>
  </si>
  <si>
    <t>Notas_Images/6fa9e266.Foto.172859.jpg</t>
  </si>
  <si>
    <t>ITEM-a27c2f89-5</t>
  </si>
  <si>
    <t>ITEM-a27c2f89-6</t>
  </si>
  <si>
    <t>ITEM-a27c2f89-7</t>
  </si>
  <si>
    <t>ITEM-a27c2f89-8</t>
  </si>
  <si>
    <t>Camila Morango (29/03/2025) - Morango</t>
  </si>
  <si>
    <t>Notas_Images/81ffee5f.Foto.173105.jpg</t>
  </si>
  <si>
    <t>ITEM-bf16f645-1</t>
  </si>
  <si>
    <t>bf16f645</t>
  </si>
  <si>
    <t>ITEM-bf16f645-2</t>
  </si>
  <si>
    <t>ITEM-bf16f645-3</t>
  </si>
  <si>
    <t>ITEM-bf16f645-4</t>
  </si>
  <si>
    <t>5b49be80</t>
  </si>
  <si>
    <t>Padaria mega gigante (29/03/2025) - Pao</t>
  </si>
  <si>
    <t>Notas_Images/9fa34fb2.Foto.173838.jpg</t>
  </si>
  <si>
    <t>ITEM-bf16f645-5</t>
  </si>
  <si>
    <t>ITEM-6750dfd0-1</t>
  </si>
  <si>
    <t>6750dfd0</t>
  </si>
  <si>
    <t>ITEM-20fbb4f6-1</t>
  </si>
  <si>
    <t>20fbb4f6</t>
  </si>
  <si>
    <t>ITEM-20fbb4f6-2</t>
  </si>
  <si>
    <t>2428850f</t>
  </si>
  <si>
    <t>Ambev (29/03/2025) - Bebidas</t>
  </si>
  <si>
    <t>ITEM-20fbb4f6-3</t>
  </si>
  <si>
    <t>Notas_Images/1e32f388.Foto.173956.jpg</t>
  </si>
  <si>
    <t>ITEM-20fbb4f6-4</t>
  </si>
  <si>
    <t>Notas_Images/1e32f388.Foto 1.173956.jpg</t>
  </si>
  <si>
    <t>ITEM-0c563518-1</t>
  </si>
  <si>
    <t>0c563518</t>
  </si>
  <si>
    <t>ITEM-0c563518-2</t>
  </si>
  <si>
    <t>ITEM-0c563518-3</t>
  </si>
  <si>
    <t>caita supermercado (30/03/2025) - Pão e queijo</t>
  </si>
  <si>
    <t>Notas_Images/45d50ddb.Foto.173741.jpg</t>
  </si>
  <si>
    <t>Pão e queijo</t>
  </si>
  <si>
    <t>ITEM-0c563518-4</t>
  </si>
  <si>
    <t>ITEM-8a0e4d56-1</t>
  </si>
  <si>
    <t>8a0e4d56</t>
  </si>
  <si>
    <t>Coca Cola (27/03/2025) - Bebidas</t>
  </si>
  <si>
    <t>ITEM-1b890b175-1</t>
  </si>
  <si>
    <t>Notas_Images/1a939196.Foto.185156.jpg</t>
  </si>
  <si>
    <t>1b890b175</t>
  </si>
  <si>
    <t>ITEM-135dc9369-1</t>
  </si>
  <si>
    <t>135dc9369</t>
  </si>
  <si>
    <t>Notas_Images/1a939196.Foto 1.185156.jpg</t>
  </si>
  <si>
    <t>ITEM-1345c3523-1</t>
  </si>
  <si>
    <t>1345c3523</t>
  </si>
  <si>
    <t>ITEM-1303794ca-1</t>
  </si>
  <si>
    <t>1303794ca</t>
  </si>
  <si>
    <t>ITEM-1d4b72fb7-1</t>
  </si>
  <si>
    <t>1d4b72fb7</t>
  </si>
  <si>
    <t>357,38+1933,77</t>
  </si>
  <si>
    <t>ITEM-155ddac10-1</t>
  </si>
  <si>
    <t>155ddac10</t>
  </si>
  <si>
    <t>ITEM-8defa5af-1</t>
  </si>
  <si>
    <t>8defa5af</t>
  </si>
  <si>
    <t>ITEM-8defa5af-2</t>
  </si>
  <si>
    <t>ITEM-8defa5af-3</t>
  </si>
  <si>
    <t>ITEM-8defa5af-4</t>
  </si>
  <si>
    <t>ITEM-c9353797-1</t>
  </si>
  <si>
    <t>c9353797</t>
  </si>
  <si>
    <t>ITEM-c9353797-2</t>
  </si>
  <si>
    <t>ITEM-c9353797-3</t>
  </si>
  <si>
    <t>c1060fa5</t>
  </si>
  <si>
    <t>ITEM-c9353797-4</t>
  </si>
  <si>
    <t>ITEM-10ce58c87-1</t>
  </si>
  <si>
    <t>10ce58c87</t>
  </si>
  <si>
    <t>ITEM-61d51a57-1</t>
  </si>
  <si>
    <t>61d51a57</t>
  </si>
  <si>
    <t>ITEM-93207dae-1</t>
  </si>
  <si>
    <t>93207dae</t>
  </si>
  <si>
    <t>ITEM-93207dae-2</t>
  </si>
  <si>
    <t>ITEM-93207dae-3</t>
  </si>
  <si>
    <t>ITEM-1dbe0d453-1</t>
  </si>
  <si>
    <t>1dbe0d453</t>
  </si>
  <si>
    <t>ITEM-1c35adaa9-1</t>
  </si>
  <si>
    <t>1c35adaa9</t>
  </si>
  <si>
    <t>ITEM-3ef85450-1</t>
  </si>
  <si>
    <t>3ef85450</t>
  </si>
  <si>
    <t>ITEM-cbc9bb6b-1</t>
  </si>
  <si>
    <t>cbc9bb6b</t>
  </si>
  <si>
    <t>ITEM-cbc9bb6b-2</t>
  </si>
  <si>
    <t>ITEM-cbc9bb6b-3</t>
  </si>
  <si>
    <t>ITEM-cbc9bb6b-4</t>
  </si>
  <si>
    <t>ITEM-c2b5c4d6-1</t>
  </si>
  <si>
    <t>c2b5c4d6</t>
  </si>
  <si>
    <t>ITEM-c2b5c4d6-2</t>
  </si>
  <si>
    <t>ITEM-c2b5c4d6-3</t>
  </si>
  <si>
    <t>ITEM-c2b5c4d6-4</t>
  </si>
  <si>
    <t>ITEM-c2b5c4d6-5</t>
  </si>
  <si>
    <t>ITEM-c2b5c4d6-6</t>
  </si>
  <si>
    <t>ITEM-c2b5c4d6-7</t>
  </si>
  <si>
    <t>ITEM-c2b5c4d6-8</t>
  </si>
  <si>
    <t>ITEM-96fa8e31-1</t>
  </si>
  <si>
    <t>96fa8e31</t>
  </si>
  <si>
    <t>ITEM-96fa8e31-2</t>
  </si>
  <si>
    <t>ITEM-96fa8e31-3</t>
  </si>
  <si>
    <t>ITEM-96fa8e31-4</t>
  </si>
  <si>
    <t>ITEM-bed71e22-1</t>
  </si>
  <si>
    <t>bed71e22</t>
  </si>
  <si>
    <t>ITEM-15573364e-1</t>
  </si>
  <si>
    <t>15573364e</t>
  </si>
  <si>
    <t>ITEM-1724166f5_12-1</t>
  </si>
  <si>
    <t>1724166f5_12</t>
  </si>
  <si>
    <t>ITEM-190f2bbf5-1</t>
  </si>
  <si>
    <t>190f2bbf5</t>
  </si>
  <si>
    <t>242e30cf</t>
  </si>
  <si>
    <t>ITEM-1760bc2e6-1</t>
  </si>
  <si>
    <t>1760bc2e6</t>
  </si>
  <si>
    <t>ITEM-ae0ecb80-1</t>
  </si>
  <si>
    <t>ae0ecb80</t>
  </si>
  <si>
    <t>ITEM-ae0ecb80-2</t>
  </si>
  <si>
    <t>ITEM-ae0ecb80-3</t>
  </si>
  <si>
    <t>ITEM-ae0ecb80-4</t>
  </si>
  <si>
    <t>ITEM-a2298369-1</t>
  </si>
  <si>
    <t>a2298369</t>
  </si>
  <si>
    <t>ITEM-1720cf48b-1</t>
  </si>
  <si>
    <t>1720cf48b</t>
  </si>
  <si>
    <t>ITEM-1768c2415_7-1</t>
  </si>
  <si>
    <t>3 aparelhos</t>
  </si>
  <si>
    <t>1768c2415_7</t>
  </si>
  <si>
    <t>ITEM-0620b066-1</t>
  </si>
  <si>
    <t>0620b066</t>
  </si>
  <si>
    <t>ITEM-1b43cac7-1</t>
  </si>
  <si>
    <t>1b43cac7</t>
  </si>
  <si>
    <t>ITEM-65adb93d-1</t>
  </si>
  <si>
    <t>65adb93d</t>
  </si>
  <si>
    <t>ITEM-65adb93d-2</t>
  </si>
  <si>
    <t>Casa das Embalagens (02/04/2025) - Embalagens</t>
  </si>
  <si>
    <t>Notas_Images/ca207285.Foto.165539.jpg</t>
  </si>
  <si>
    <t>ITEM-65adb93d-3</t>
  </si>
  <si>
    <t>ITEM-65adb93d-4</t>
  </si>
  <si>
    <t>ITEM-20384cb9-1</t>
  </si>
  <si>
    <t>20384cb9</t>
  </si>
  <si>
    <t>ITEM-512a80a8-1</t>
  </si>
  <si>
    <t>512a80a8</t>
  </si>
  <si>
    <t>7b9dedc9</t>
  </si>
  <si>
    <t>Maxi oeste (02/04/2025) - Produtos d limpeza</t>
  </si>
  <si>
    <t>ITEM-1ac02d8c-1</t>
  </si>
  <si>
    <t>1ac02d8c</t>
  </si>
  <si>
    <t>Notas_Images/ede8c116.Foto.165659.jpg</t>
  </si>
  <si>
    <t>5c37ef65</t>
  </si>
  <si>
    <t>ITEM-84a24709-1</t>
  </si>
  <si>
    <t>84a24709</t>
  </si>
  <si>
    <t>ITEM-f419bacd-1</t>
  </si>
  <si>
    <t>f419bacd</t>
  </si>
  <si>
    <t>ITEM-1691444cd_6-1</t>
  </si>
  <si>
    <t>1691444cd_6</t>
  </si>
  <si>
    <t>ITEM-1cabddb51_6-1</t>
  </si>
  <si>
    <t>1cabddb51_6</t>
  </si>
  <si>
    <t>Banderloff (02/04/2025) - Frutas</t>
  </si>
  <si>
    <t>Notas_Images/c0193a5e.Foto.194852.jpg</t>
  </si>
  <si>
    <t>ITEM-15a0871cc_7-1</t>
  </si>
  <si>
    <t>15a0871cc_7</t>
  </si>
  <si>
    <t>ITEM-145ecc8c0_16-1</t>
  </si>
  <si>
    <t>145ecc8c0_16</t>
  </si>
  <si>
    <t>ITEM-8dcb5f94-1</t>
  </si>
  <si>
    <t>8dcb5f94</t>
  </si>
  <si>
    <t>ITEM-8dcb5f94-2</t>
  </si>
  <si>
    <t>abril</t>
  </si>
  <si>
    <t>ITEM-8dcb5f94-3</t>
  </si>
  <si>
    <t>ITEM-8dcb5f94-4</t>
  </si>
  <si>
    <t>ITEM-8dcb5f94-5</t>
  </si>
  <si>
    <t>ITEM-8dcb5f94-6</t>
  </si>
  <si>
    <t>ITEM-8dcb5f94-7</t>
  </si>
  <si>
    <t>ITEM-9f995d23-1</t>
  </si>
  <si>
    <t>9f995d23</t>
  </si>
  <si>
    <t>ITEM-9f995d23-2</t>
  </si>
  <si>
    <t>ITEM-9f995d23-3</t>
  </si>
  <si>
    <t>ITEM-9f995d23-4</t>
  </si>
  <si>
    <t>ITEM-12a01ae76-1</t>
  </si>
  <si>
    <t>Amadelli (31/03/2025) - Carga seca</t>
  </si>
  <si>
    <t>12a01ae76</t>
  </si>
  <si>
    <t>Notas_Images/12d00ad3.Foto.235252.jpg</t>
  </si>
  <si>
    <t>ITEM-16f66dbac-1</t>
  </si>
  <si>
    <t>16f66dbac</t>
  </si>
  <si>
    <t>Notas_Images/12d00ad3.Foto 1.235252.jpg</t>
  </si>
  <si>
    <t>ITEM-19974ce2a-1</t>
  </si>
  <si>
    <t>19974ce2a</t>
  </si>
  <si>
    <t>Notas_Images/12d00ad3.Foto 2.235253.jpg</t>
  </si>
  <si>
    <t>ITEM-1b07ae862-1</t>
  </si>
  <si>
    <t>1b07ae862</t>
  </si>
  <si>
    <t>Suco prats (03/04/2025) - Sucos</t>
  </si>
  <si>
    <t>ITEM-96721fd6-1</t>
  </si>
  <si>
    <t>Notas_Images/1cd6f77e.Foto.234534.jpg</t>
  </si>
  <si>
    <t>96721fd6</t>
  </si>
  <si>
    <t>ITEM-bf38d626-1</t>
  </si>
  <si>
    <t>bf38d626</t>
  </si>
  <si>
    <t>ITEM-c75e690e-1</t>
  </si>
  <si>
    <t>Coca Cola (03/04/2025) - Bebidas</t>
  </si>
  <si>
    <t>c75e690e</t>
  </si>
  <si>
    <t>Notas_Images/9ac788fd.Foto.234930.jpg</t>
  </si>
  <si>
    <t>Notas_Images/9ac788fd.Foto 1.234929.jpg</t>
  </si>
  <si>
    <t>ITEM-7a74390a-1</t>
  </si>
  <si>
    <t>7a74390a</t>
  </si>
  <si>
    <t>ITEM-aede59d0-1</t>
  </si>
  <si>
    <t>aede59d0</t>
  </si>
  <si>
    <t>daf66598</t>
  </si>
  <si>
    <t>Superviza Supermercado (04/04/2025) - Café da equipi</t>
  </si>
  <si>
    <t>Notas_Images/bead1310.Foto.234456.jpg</t>
  </si>
  <si>
    <t>ITEM-a14acf4f-1</t>
  </si>
  <si>
    <t>Café da equipi</t>
  </si>
  <si>
    <t>a14acf4f</t>
  </si>
  <si>
    <t>ITEM-a14acf4f-2</t>
  </si>
  <si>
    <t>Banderloff (04/04/2025) - Frutas</t>
  </si>
  <si>
    <t>ITEM-a14acf4f-3</t>
  </si>
  <si>
    <t>Notas_Images/cd112ff6.Foto.234621.jpg</t>
  </si>
  <si>
    <t>ITEM-a14acf4f-4</t>
  </si>
  <si>
    <t>ITEM-8920ba9c-1</t>
  </si>
  <si>
    <t>8920ba9c</t>
  </si>
  <si>
    <t>ITEM-ac987697-1</t>
  </si>
  <si>
    <t>ac987697</t>
  </si>
  <si>
    <t>ITEM-ac987697-2</t>
  </si>
  <si>
    <t>Nicopel (01/04/2025) - Embalagens</t>
  </si>
  <si>
    <t>Notas_Images/c9f9eb5a.Foto.171711.jpg</t>
  </si>
  <si>
    <t>ITEM-ac987697-3</t>
  </si>
  <si>
    <t>ITEM-fa0418c3-1</t>
  </si>
  <si>
    <t>fa0418c3</t>
  </si>
  <si>
    <t>ITEM-4630bf22-1</t>
  </si>
  <si>
    <t>4630bf22</t>
  </si>
  <si>
    <t>ITEM-4630bf22-2</t>
  </si>
  <si>
    <t>ITEM-4630bf22-3</t>
  </si>
  <si>
    <t>Camila Morango (07/04/2025) - Morango</t>
  </si>
  <si>
    <t>Notas_Images/0d902343.Foto.171437.jpg</t>
  </si>
  <si>
    <t>ITEM-4630bf22-4</t>
  </si>
  <si>
    <t>ITEM-5ede7fa8-1</t>
  </si>
  <si>
    <t>5ede7fa8</t>
  </si>
  <si>
    <t>ITEM-11b60b608-1</t>
  </si>
  <si>
    <t>11b60b608</t>
  </si>
  <si>
    <t>ITEM-1d9accf63-1</t>
  </si>
  <si>
    <t>1d9accf63</t>
  </si>
  <si>
    <t>ITEM-84f8ac31-1</t>
  </si>
  <si>
    <t>Banderloff (10/04/2025) - Frutas</t>
  </si>
  <si>
    <t>84f8ac31</t>
  </si>
  <si>
    <t>Notas_Images/b26d5aef.Foto.184349.jpg</t>
  </si>
  <si>
    <t>ITEM-975abf72-1</t>
  </si>
  <si>
    <t>975abf72</t>
  </si>
  <si>
    <t>ITEM-975abf72-2</t>
  </si>
  <si>
    <t>ITEM-975abf72-3</t>
  </si>
  <si>
    <t>ITEM-975abf72-4</t>
  </si>
  <si>
    <t>ITEM-11fd44e7-1</t>
  </si>
  <si>
    <t>11fd44e7</t>
  </si>
  <si>
    <t>ITEM-34e67eef-1</t>
  </si>
  <si>
    <t>34e67eef</t>
  </si>
  <si>
    <t>ITEM-1d76727f4-1</t>
  </si>
  <si>
    <t>Amadelli (03/04/2025) - Carga  gelada</t>
  </si>
  <si>
    <t>1d76727f4</t>
  </si>
  <si>
    <t>Notas_Images/58c82c10.Foto.154448.jpg</t>
  </si>
  <si>
    <t>ITEM-14c6bb68d-1</t>
  </si>
  <si>
    <t>14c6bb68d</t>
  </si>
  <si>
    <t>f10c89d7</t>
  </si>
  <si>
    <t>ITEM-1724166f5_13-1</t>
  </si>
  <si>
    <t>Notas_Images/58c82c10.Foto 1.154448.jpg</t>
  </si>
  <si>
    <t>1724166f5_13</t>
  </si>
  <si>
    <t>Notas_Images/58c82c10.Foto 2.154448.jpg</t>
  </si>
  <si>
    <t>ITEM-19adc6dc8-1</t>
  </si>
  <si>
    <t>Notas_Images/58c82c10.Foto 3.154451.jpg</t>
  </si>
  <si>
    <t>19adc6dc8</t>
  </si>
  <si>
    <t>ITEM-126be446f-1</t>
  </si>
  <si>
    <t>126be446f</t>
  </si>
  <si>
    <t>ITEM-11066a60c-1</t>
  </si>
  <si>
    <t>11066a60c</t>
  </si>
  <si>
    <t>ITEM-1cb086881-1</t>
  </si>
  <si>
    <t>kopus (08/04/2025) - Copos para milk shake</t>
  </si>
  <si>
    <t>1cb086881</t>
  </si>
  <si>
    <t>Notas_Images/786dfc2d.Foto.215654.jpg</t>
  </si>
  <si>
    <t>ITEM-159fcd071-1</t>
  </si>
  <si>
    <t>Copos para milk shake</t>
  </si>
  <si>
    <t>159fcd071</t>
  </si>
  <si>
    <t>ITEM-1134184b3-1</t>
  </si>
  <si>
    <t>1134184b3</t>
  </si>
  <si>
    <t>9d6ddd89</t>
  </si>
  <si>
    <t>ITEM-3a836b0e-1</t>
  </si>
  <si>
    <t>3a836b0e</t>
  </si>
  <si>
    <t>ITEM-54b8d4b1-1</t>
  </si>
  <si>
    <t>54b8d4b1</t>
  </si>
  <si>
    <t>Camila Morango (11/04/2025) - Morango</t>
  </si>
  <si>
    <t>ITEM-1227f20aa-1</t>
  </si>
  <si>
    <t>1227f20aa</t>
  </si>
  <si>
    <t>Notas_Images/d4933900.Foto.215555.jpg</t>
  </si>
  <si>
    <t>ITEM-baa5c732-1</t>
  </si>
  <si>
    <t>baa5c732</t>
  </si>
  <si>
    <t>ITEM-c4bfc1f5-1</t>
  </si>
  <si>
    <t>c4bfc1f5</t>
  </si>
  <si>
    <t>ITEM-c4bfc1f5-2</t>
  </si>
  <si>
    <t>Banderloff (12/04/2025) - Frutas</t>
  </si>
  <si>
    <t>Notas_Images/67bd83ba.Foto.153846.jpg</t>
  </si>
  <si>
    <t>ITEM-e39fa674-1</t>
  </si>
  <si>
    <t>e39fa674</t>
  </si>
  <si>
    <t>ITEM-e39fa674-2</t>
  </si>
  <si>
    <t>ITEM-e39fa674-3</t>
  </si>
  <si>
    <t>ITEM-e39fa674-4</t>
  </si>
  <si>
    <t>caita supermercado (12/04/2025) - Café da equipe</t>
  </si>
  <si>
    <t>ITEM-e39fa674-5</t>
  </si>
  <si>
    <t>Notas_Images/fdadb74a.Foto.154150.jpg</t>
  </si>
  <si>
    <t>ITEM-e39fa674-6</t>
  </si>
  <si>
    <t>ITEM-e39fa674-7</t>
  </si>
  <si>
    <t>ITEM-e39fa674-8</t>
  </si>
  <si>
    <t>ITEM-e39fa674-9</t>
  </si>
  <si>
    <t>ITEM-e39fa674-10</t>
  </si>
  <si>
    <t>ITEM-e39fa674-11</t>
  </si>
  <si>
    <t>ITEM-e39fa674-12</t>
  </si>
  <si>
    <t>ITEM-7194a8bd-1</t>
  </si>
  <si>
    <t>7194a8bd</t>
  </si>
  <si>
    <t>ITEM-7194a8bd-2</t>
  </si>
  <si>
    <t>ITEM-7194a8bd-3</t>
  </si>
  <si>
    <t>ITEM-7194a8bd-4</t>
  </si>
  <si>
    <t>ITEM-585fb41e-1</t>
  </si>
  <si>
    <t>Nicopel (10/04/2025) - Embalagens</t>
  </si>
  <si>
    <t>585fb41e</t>
  </si>
  <si>
    <t>Notas_Images/929cf9e0.Foto.183645.jpg</t>
  </si>
  <si>
    <t>ITEM-29984784-1</t>
  </si>
  <si>
    <t>ITEM-29984784-2</t>
  </si>
  <si>
    <t>Notas_Images/cdb35c6e.Foto.185524.jpg</t>
  </si>
  <si>
    <t>ITEM-29984784-3</t>
  </si>
  <si>
    <t>ITEM-29984784-4</t>
  </si>
  <si>
    <t>ITEM-eba90359-1</t>
  </si>
  <si>
    <t>eba90359</t>
  </si>
  <si>
    <t>ITEM-8ea7e031-1</t>
  </si>
  <si>
    <t>8ea7e031</t>
  </si>
  <si>
    <t>ITEM-d5bdeb04-1</t>
  </si>
  <si>
    <t>d5bdeb04</t>
  </si>
  <si>
    <t>ITEM-d5bdeb04-2</t>
  </si>
  <si>
    <t>ITEM-d5bdeb04-3</t>
  </si>
  <si>
    <t>ITEM-1dc53ae5a-1</t>
  </si>
  <si>
    <t>1dc53ae5a</t>
  </si>
  <si>
    <t>ITEM-70a4da4c-1</t>
  </si>
  <si>
    <t>70a4da4c</t>
  </si>
  <si>
    <t>Amadelli (14/04/2025) - Carga seca</t>
  </si>
  <si>
    <t>ITEM-22dd1b79-1</t>
  </si>
  <si>
    <t>Notas_Images/9b262c20.Foto.182909.jpg</t>
  </si>
  <si>
    <t>22dd1b79</t>
  </si>
  <si>
    <t>ITEM-22dd1b79-2</t>
  </si>
  <si>
    <t>Notas_Images/9b262c20.Foto 1.182909.jpg</t>
  </si>
  <si>
    <t>ITEM-22dd1b79-3</t>
  </si>
  <si>
    <t>Notas_Images/9b262c20.Foto 2.182909.jpg</t>
  </si>
  <si>
    <t>ITEM-22dd1b79-4</t>
  </si>
  <si>
    <t>ITEM-a30428e4-1</t>
  </si>
  <si>
    <t>Camila Morango (17/04/2025) - Morango</t>
  </si>
  <si>
    <t>a30428e4</t>
  </si>
  <si>
    <t>Notas_Images/307b6b88.Foto.182205.jpg</t>
  </si>
  <si>
    <t>ITEM-a30428e4-2</t>
  </si>
  <si>
    <t>ITEM-1768c2415_8-1</t>
  </si>
  <si>
    <t>1768c2415_8</t>
  </si>
  <si>
    <t>ITEM-d4fd0e5e-1</t>
  </si>
  <si>
    <t>d4fd0e5e</t>
  </si>
  <si>
    <t>ITEM-d4fd0e5e-2</t>
  </si>
  <si>
    <t>Banderloff (17/04/2025) - Frutas</t>
  </si>
  <si>
    <t>ITEM-d4fd0e5e-3</t>
  </si>
  <si>
    <t>Notas_Images/9a37e3df.Foto.182353.jpg</t>
  </si>
  <si>
    <t>ITEM-d4fd0e5e-4</t>
  </si>
  <si>
    <t>ITEM-3234da85-1</t>
  </si>
  <si>
    <t>3234da85</t>
  </si>
  <si>
    <t>ITEM-3234da85-2</t>
  </si>
  <si>
    <t>ITEM-3234da85-3</t>
  </si>
  <si>
    <t>Coca Cola (17/04/2025) - Bebidas</t>
  </si>
  <si>
    <t>Notas_Images/a3351fe8.Foto.182614.jpg</t>
  </si>
  <si>
    <t>ITEM-160391984-1</t>
  </si>
  <si>
    <t>ITEM-1d11973c6-1</t>
  </si>
  <si>
    <t>1d11973c6</t>
  </si>
  <si>
    <t>ITEM-74730ec6-1</t>
  </si>
  <si>
    <t>74730ec6</t>
  </si>
  <si>
    <t>Amadelli (17/04/2025) - Carga gelada</t>
  </si>
  <si>
    <t>ITEM-cf68f987-1</t>
  </si>
  <si>
    <t>Notas_Images/d17e2a12.Foto.191810.jpg</t>
  </si>
  <si>
    <t>cf68f987</t>
  </si>
  <si>
    <t>Notas_Images/d17e2a12.Foto 1.191810.jpg</t>
  </si>
  <si>
    <t>ITEM-f473a886-1</t>
  </si>
  <si>
    <t>Notas_Images/d17e2a12.Foto 2.191810.jpg</t>
  </si>
  <si>
    <t>f473a886</t>
  </si>
  <si>
    <t>Notas_Images/d17e2a12.Foto 3.191813.jpg</t>
  </si>
  <si>
    <t>ITEM-145ecc8c0_17-1</t>
  </si>
  <si>
    <t>145ecc8c0_17</t>
  </si>
  <si>
    <t>ITEM-15a0871cc_8-1</t>
  </si>
  <si>
    <t>15a0871cc_8</t>
  </si>
  <si>
    <t>ITEM-1cabddb51_7-1</t>
  </si>
  <si>
    <t>caita supermercado (19/04/2025) - Café d equipe sabado</t>
  </si>
  <si>
    <t>1cabddb51_7</t>
  </si>
  <si>
    <t>Notas_Images/2b80a6c6.Foto.191358.jpg</t>
  </si>
  <si>
    <t>ITEM-1691444cd_7-1</t>
  </si>
  <si>
    <t>1691444cd_7</t>
  </si>
  <si>
    <t>Café d equipe sabado</t>
  </si>
  <si>
    <t>ITEM-1cd639d70-1</t>
  </si>
  <si>
    <t>1cd639d70</t>
  </si>
  <si>
    <t>ITEM-1ced64c93-1</t>
  </si>
  <si>
    <t>1ced64c93</t>
  </si>
  <si>
    <t>ITEM-1edb21f7e-1</t>
  </si>
  <si>
    <t>1edb21f7e</t>
  </si>
  <si>
    <t>Banderloff (19/04/2025) - Frutas</t>
  </si>
  <si>
    <t>Notas_Images/f9c796a3.Foto.191456.jpg</t>
  </si>
  <si>
    <t>ITEM-18cfbced-1</t>
  </si>
  <si>
    <t>18cfbced</t>
  </si>
  <si>
    <t>ITEM-18cfbced-2</t>
  </si>
  <si>
    <t>ITEM-18cfbced-3</t>
  </si>
  <si>
    <t>Boleto de RN sera reembolsado</t>
  </si>
  <si>
    <t>ITEM-18cfbced-4</t>
  </si>
  <si>
    <t>ITEM-34c70712-1</t>
  </si>
  <si>
    <t>34c70712</t>
  </si>
  <si>
    <t>ITEM-6296e7cb-1</t>
  </si>
  <si>
    <t>6296e7cb</t>
  </si>
  <si>
    <t>3c4c727b</t>
  </si>
  <si>
    <t>IPTU Sala 1</t>
  </si>
  <si>
    <t>ITEM-5fa5397d-1</t>
  </si>
  <si>
    <t>5fa5397d</t>
  </si>
  <si>
    <t>ITEM-dad6ce38-1</t>
  </si>
  <si>
    <t>dad6ce38</t>
  </si>
  <si>
    <t>ITEM-0ec14679-1</t>
  </si>
  <si>
    <t>0ec14679</t>
  </si>
  <si>
    <t>ITEM-781a1497-1</t>
  </si>
  <si>
    <t>781a1497</t>
  </si>
  <si>
    <t>ITEM-781a1497-2</t>
  </si>
  <si>
    <t>IPTU Sala 2</t>
  </si>
  <si>
    <t>ITEM-781a1497-3</t>
  </si>
  <si>
    <t>ITEM-781a1497-4</t>
  </si>
  <si>
    <t>ITEM-d7bd4900-1</t>
  </si>
  <si>
    <t>d7bd4900</t>
  </si>
  <si>
    <t>ITEM-72203232-1</t>
  </si>
  <si>
    <t>ITEM-b5649333-1</t>
  </si>
  <si>
    <t>b5649333</t>
  </si>
  <si>
    <t>Camila Morango (22/04/2025) - Morango</t>
  </si>
  <si>
    <t>ITEM-1405ceab9-1</t>
  </si>
  <si>
    <t>1405ceab9</t>
  </si>
  <si>
    <t>Notas_Images/31123c93.Foto.192108.jpg</t>
  </si>
  <si>
    <t>ITEM-1a834ee1b-1</t>
  </si>
  <si>
    <t>1a834ee1b</t>
  </si>
  <si>
    <t>ITEM-1e26e45a5-1</t>
  </si>
  <si>
    <t>1e26e45a5</t>
  </si>
  <si>
    <t>ITEM-41dbde18-1</t>
  </si>
  <si>
    <t>41dbde18</t>
  </si>
  <si>
    <t>ITEM-1f7b515ff-1</t>
  </si>
  <si>
    <t>1f7b515ff</t>
  </si>
  <si>
    <t>boleto de Mafra</t>
  </si>
  <si>
    <t>ITEM-b847756a-1</t>
  </si>
  <si>
    <t>b847756a</t>
  </si>
  <si>
    <t>ITEM-bbfeb11d-1</t>
  </si>
  <si>
    <t>bbfeb11d</t>
  </si>
  <si>
    <t>ITEM-b241d328-1</t>
  </si>
  <si>
    <t>b241d328</t>
  </si>
  <si>
    <t>ITEM-732fca5d-1</t>
  </si>
  <si>
    <t>732fca5d</t>
  </si>
  <si>
    <t>BOLETO DE MAFRA</t>
  </si>
  <si>
    <t>ITEM-732fca5d-2</t>
  </si>
  <si>
    <t>ITEM-732fca5d-3</t>
  </si>
  <si>
    <t>ITEM-732fca5d-4</t>
  </si>
  <si>
    <t>ITEM-732fca5d-5</t>
  </si>
  <si>
    <t>ITEM-17e3db1c9-1</t>
  </si>
  <si>
    <t>17e3db1c9</t>
  </si>
  <si>
    <t>ITEM-1cfb8a6b1-1</t>
  </si>
  <si>
    <t>1cfb8a6b1</t>
  </si>
  <si>
    <t>1b377a0c</t>
  </si>
  <si>
    <t>ITEM-dda57f70-1</t>
  </si>
  <si>
    <t>dda57f70</t>
  </si>
  <si>
    <t>ITEM-dda57f70-2</t>
  </si>
  <si>
    <t>ITEM-dda57f70-3</t>
  </si>
  <si>
    <t>ITEM-dda57f70-4</t>
  </si>
  <si>
    <t>ITEM-dda57f70-5</t>
  </si>
  <si>
    <t>ITEM-dda57f70-6</t>
  </si>
  <si>
    <t>ITEM-4ac59165-1</t>
  </si>
  <si>
    <t>4ac59165</t>
  </si>
  <si>
    <t>ITEM-8166030b-1</t>
  </si>
  <si>
    <t>8166030b</t>
  </si>
  <si>
    <t>ITEM-8166030b-2</t>
  </si>
  <si>
    <t>ITEM-8166030b-3</t>
  </si>
  <si>
    <t>ITEM-8166030b-4</t>
  </si>
  <si>
    <t>ITEM-8166030b-5</t>
  </si>
  <si>
    <t>ITEM-8166030b-6</t>
  </si>
  <si>
    <t>ITEM-8166030b-7</t>
  </si>
  <si>
    <t>ITEM-8166030b-8</t>
  </si>
  <si>
    <t>ITEM-8166030b-9</t>
  </si>
  <si>
    <t>ITEM-8166030b-10</t>
  </si>
  <si>
    <t>ITEM-8166030b-11</t>
  </si>
  <si>
    <t>Empréstimo pessoal Patrícia 5/25</t>
  </si>
  <si>
    <t>ITEM-8166030b-12</t>
  </si>
  <si>
    <t>ITEM-74e01e50-1</t>
  </si>
  <si>
    <t>74e01e50</t>
  </si>
  <si>
    <t>ITEM-74e01e50-2</t>
  </si>
  <si>
    <t>ITEM-74e01e50-3</t>
  </si>
  <si>
    <t>ITEM-74e01e50-4</t>
  </si>
  <si>
    <t>ITEM-74e01e50-5</t>
  </si>
  <si>
    <t>ITEM-74e01e50-6</t>
  </si>
  <si>
    <t>ITEM-6586badf-1</t>
  </si>
  <si>
    <t>6586badf</t>
  </si>
  <si>
    <t>ITEM-f24dc56c-1</t>
  </si>
  <si>
    <t>f24dc56c</t>
  </si>
  <si>
    <t>ITEM-1724166f5_14-1</t>
  </si>
  <si>
    <t>1724166f5_14</t>
  </si>
  <si>
    <t>ITEM-1768c2415_9-1</t>
  </si>
  <si>
    <t>1768c2415_9</t>
  </si>
  <si>
    <t>ITEM-112347759-1</t>
  </si>
  <si>
    <t>ITEM-1ec4b4cde-1</t>
  </si>
  <si>
    <t>1ec4b4cde</t>
  </si>
  <si>
    <t>Patrimonial (15/04/2025) - Monitoramento das cameras</t>
  </si>
  <si>
    <t>ITEM-1b358addb-1</t>
  </si>
  <si>
    <t>1b358addb</t>
  </si>
  <si>
    <t>Notas_Images/16c88e36.Foto.145001.jpg</t>
  </si>
  <si>
    <t>Monitoramento das cameras</t>
  </si>
  <si>
    <t>ITEM-14dd5eb07-1</t>
  </si>
  <si>
    <t>14dd5eb07</t>
  </si>
  <si>
    <t>ITEM-fb0d84d8-1</t>
  </si>
  <si>
    <t>fb0d84d8</t>
  </si>
  <si>
    <t>2b823975</t>
  </si>
  <si>
    <t>ITEM-52f6ae2e-1</t>
  </si>
  <si>
    <t>52f6ae2e</t>
  </si>
  <si>
    <t>ITEM-52f6ae2e-2</t>
  </si>
  <si>
    <t>ITEM-52f6ae2e-3</t>
  </si>
  <si>
    <t>84cc6fb6</t>
  </si>
  <si>
    <t>Maci oeste produtos de limpeza (17/04/2025) - Produtos de limpeza</t>
  </si>
  <si>
    <t>Notas_Images/bd246354.Foto.150352.jpg</t>
  </si>
  <si>
    <t>ITEM-52f6ae2e-4</t>
  </si>
  <si>
    <t>ITEM-52f6ae2e-5</t>
  </si>
  <si>
    <t>ITEM-52f6ae2e-6</t>
  </si>
  <si>
    <t>ITEM-34d5268d-1</t>
  </si>
  <si>
    <t>Passarela Center via atacadista (20/04/2025) - Café da equipe domingo</t>
  </si>
  <si>
    <t>34d5268d</t>
  </si>
  <si>
    <t>Notas_Images/49263576.Foto.145258.jpg</t>
  </si>
  <si>
    <t>ITEM-23758284-1</t>
  </si>
  <si>
    <t>ITEM-28af448b-1</t>
  </si>
  <si>
    <t>28af448b</t>
  </si>
  <si>
    <t>ITEM-aafda3c1-1</t>
  </si>
  <si>
    <t>aafda3c1</t>
  </si>
  <si>
    <t>Passarela Center via atacadista (25/04/2025) - Café do final de semana</t>
  </si>
  <si>
    <t>ITEM-aafda3c1-2</t>
  </si>
  <si>
    <t>Notas_Images/60e028ce.Foto.145345.jpg</t>
  </si>
  <si>
    <t>ITEM-aafda3c1-3</t>
  </si>
  <si>
    <t>ITEM-39a55e09-1</t>
  </si>
  <si>
    <t>39a55e09</t>
  </si>
  <si>
    <t>ITEM-824aabee-1</t>
  </si>
  <si>
    <t>EXTERMINIO DESINSETIZADORA (25/04/2025) - Dedetização da loja</t>
  </si>
  <si>
    <t>824aabee</t>
  </si>
  <si>
    <t>Notas_Images/6bd03a8f.Foto.145535.jpg</t>
  </si>
  <si>
    <t>Dedetização da loja</t>
  </si>
  <si>
    <t>ITEM-2b6bebb0-1</t>
  </si>
  <si>
    <t>2b6bebb0</t>
  </si>
  <si>
    <t>ITEM-770b4d1e-1</t>
  </si>
  <si>
    <t>770b4d1e</t>
  </si>
  <si>
    <t>ITEM-d80926a6-1</t>
  </si>
  <si>
    <t>d80926a6</t>
  </si>
  <si>
    <t>BS bebidas (25/04/2025) - Bebidas</t>
  </si>
  <si>
    <t>ITEM-d80926a6-2</t>
  </si>
  <si>
    <t>Notas_Images/a498711a.Foto.151514.jpg</t>
  </si>
  <si>
    <t>ITEM-d80926a6-3</t>
  </si>
  <si>
    <t>ITEM-d80926a6-4</t>
  </si>
  <si>
    <t>ITEM-937f13b2-1</t>
  </si>
  <si>
    <t>Camila Morango (25/04/2025) - Morango</t>
  </si>
  <si>
    <t>937f13b2</t>
  </si>
  <si>
    <t>Notas_Images/9f4b1cf6.Foto.151653.jpg</t>
  </si>
  <si>
    <t>ITEM-448d9f91-1</t>
  </si>
  <si>
    <t>448d9f91</t>
  </si>
  <si>
    <t>ITEM-10e98d094-1</t>
  </si>
  <si>
    <t>10e98d094</t>
  </si>
  <si>
    <t>ITEM-1d968eafd-1</t>
  </si>
  <si>
    <t>1d968eafd</t>
  </si>
  <si>
    <t>Banderloff (26/04/2025) - Frutas</t>
  </si>
  <si>
    <t>Notas_Images/25966bb2.Foto.194724.jpg</t>
  </si>
  <si>
    <t>ITEM-18756e5ce-1</t>
  </si>
  <si>
    <t>18756e5ce</t>
  </si>
  <si>
    <t>ITEM-1aaec33e0-1</t>
  </si>
  <si>
    <t>1aaec33e0</t>
  </si>
  <si>
    <t>ITEM-1a91d552c-1</t>
  </si>
  <si>
    <t>1a91d552c</t>
  </si>
  <si>
    <t>BOMPACK (23/04/2025) - Luvas,saco de lixo</t>
  </si>
  <si>
    <t>ITEM-1b1c5224e-1</t>
  </si>
  <si>
    <t>1b1c5224e</t>
  </si>
  <si>
    <t>Notas_Images/3e6ba561.Foto.181824.jpg</t>
  </si>
  <si>
    <t>Luvas,saco de lixo</t>
  </si>
  <si>
    <t>ITEM-1d497e216-1</t>
  </si>
  <si>
    <t>1d497e216</t>
  </si>
  <si>
    <t>Notas_Images/3e6ba561.Foto 1.181824.jpg</t>
  </si>
  <si>
    <t>ITEM-65797525-1</t>
  </si>
  <si>
    <t>ITEM-65797525-2</t>
  </si>
  <si>
    <t>Coca Cola (24/04/2025) - Bebidas</t>
  </si>
  <si>
    <t>Notas_Images/a27c2f89.Foto.183616.jpg</t>
  </si>
  <si>
    <t>ITEM-65797525-3</t>
  </si>
  <si>
    <t>Notas_Images/a27c2f89.Foto 1.183616.jpg</t>
  </si>
  <si>
    <t>ITEM-65797525-4</t>
  </si>
  <si>
    <t>ITEM-b7a3120a-1</t>
  </si>
  <si>
    <t>b7a3120a</t>
  </si>
  <si>
    <t>Ambev (26/04/2025) - Bebodas</t>
  </si>
  <si>
    <t>ITEM-bb7897ea-1</t>
  </si>
  <si>
    <t>bb7897ea</t>
  </si>
  <si>
    <t>Notas_Images/bf16f645.Foto.192231.jpg</t>
  </si>
  <si>
    <t>Bebodas</t>
  </si>
  <si>
    <t>ITEM-004a1d9c-1</t>
  </si>
  <si>
    <t>004a1d9c</t>
  </si>
  <si>
    <t>Notas_Images/bf16f645.Foto 1.192231.jpg</t>
  </si>
  <si>
    <t>ITEM-004a1d9c-2</t>
  </si>
  <si>
    <t>ITEM-004a1d9c-3</t>
  </si>
  <si>
    <t>Auto Coletivo Caçador (30/04/2025) - Vale transporte bruna</t>
  </si>
  <si>
    <t>Notas_Images/6750dfd0.Foto.151952.jpg</t>
  </si>
  <si>
    <t>ITEM-52179647-1</t>
  </si>
  <si>
    <t>ITEM-cccc1062-1</t>
  </si>
  <si>
    <t>cccc1062</t>
  </si>
  <si>
    <t>1be82e14</t>
  </si>
  <si>
    <t>ITEM-145ecc8c0_18-1</t>
  </si>
  <si>
    <t>145ecc8c0_18</t>
  </si>
  <si>
    <t>Banderloff (30/04/2025) - Frutas</t>
  </si>
  <si>
    <t>ITEM-15a0871cc_9-1</t>
  </si>
  <si>
    <t>15a0871cc_9</t>
  </si>
  <si>
    <t>Notas_Images/20fbb4f6.Foto.152101.jpg</t>
  </si>
  <si>
    <t>ITEM-1cabddb51_8-1</t>
  </si>
  <si>
    <t>1cabddb51_8</t>
  </si>
  <si>
    <t>ITEM-1691444cd_8-1</t>
  </si>
  <si>
    <t>1691444cd_8</t>
  </si>
  <si>
    <t>ITEM-e62d0ba3-1</t>
  </si>
  <si>
    <t>Banderloff (02/05/2025) - Frutas</t>
  </si>
  <si>
    <t>e62d0ba3</t>
  </si>
  <si>
    <t>Notas_Images/0c563518.Foto.152143.jpg</t>
  </si>
  <si>
    <t>ITEM-e62d0ba3-2</t>
  </si>
  <si>
    <t>ITEM-e62d0ba3-3</t>
  </si>
  <si>
    <t>ITEM-e62d0ba3-4</t>
  </si>
  <si>
    <t>Camila Morango (04/05/2025) - Morango</t>
  </si>
  <si>
    <t>Notas_Images/8a0e4d56.Foto.154357.jpg</t>
  </si>
  <si>
    <t>ITEM-e62d0ba3-5</t>
  </si>
  <si>
    <t>ITEM-e62d0ba3-6</t>
  </si>
  <si>
    <t>ITEM-e1360e19-1</t>
  </si>
  <si>
    <t>e1360e19</t>
  </si>
  <si>
    <t>ITEM-9c7f007c-1</t>
  </si>
  <si>
    <t>9c7f007c</t>
  </si>
  <si>
    <t>ITEM-9c7f007c-2</t>
  </si>
  <si>
    <t>ITEM-9c7f007c-3</t>
  </si>
  <si>
    <t>ITEM-9c7f007c-4</t>
  </si>
  <si>
    <t>ITEM-1b01b3e5f-1</t>
  </si>
  <si>
    <t>1b01b3e5f</t>
  </si>
  <si>
    <t>ITEM-1ae4d4767-1</t>
  </si>
  <si>
    <t>1ae4d4767</t>
  </si>
  <si>
    <t>ITEM-1e09b467c-1</t>
  </si>
  <si>
    <t>1e09b467c</t>
  </si>
  <si>
    <t>ITEM-10082fe03-1</t>
  </si>
  <si>
    <t>10082fe03</t>
  </si>
  <si>
    <t>ITEM-105a9b4e1-1</t>
  </si>
  <si>
    <t>105a9b4e1</t>
  </si>
  <si>
    <t>ITEM-17617c365-1</t>
  </si>
  <si>
    <t>17617c365</t>
  </si>
  <si>
    <t>ITEM-1c1cf4b1e-1</t>
  </si>
  <si>
    <t>1c1cf4b1e</t>
  </si>
  <si>
    <t>ITEM-136e04d69-1</t>
  </si>
  <si>
    <t>136e04d69</t>
  </si>
  <si>
    <t>ITEM-9a459ad5-1</t>
  </si>
  <si>
    <t>9a459ad5</t>
  </si>
  <si>
    <t>ITEM-e7e62526-1</t>
  </si>
  <si>
    <t>e7e62526</t>
  </si>
  <si>
    <t>ITEM-e7e62526-2</t>
  </si>
  <si>
    <t>ITEM-e7e62526-3</t>
  </si>
  <si>
    <t>ITEM-e7e62526-4</t>
  </si>
  <si>
    <t>ITEM-e7e62526-5</t>
  </si>
  <si>
    <t>ITEM-40412c02-1</t>
  </si>
  <si>
    <t>40412c02</t>
  </si>
  <si>
    <t>Notas_Images/8defa5af.Foto.232112.jpg</t>
  </si>
  <si>
    <t>ITEM-a6b8e08a-1</t>
  </si>
  <si>
    <t>a6b8e08a</t>
  </si>
  <si>
    <t>ITEM-a74718e2-1</t>
  </si>
  <si>
    <t>a74718e2</t>
  </si>
  <si>
    <t>ITEM-127e7c56-1</t>
  </si>
  <si>
    <t>127e7c56</t>
  </si>
  <si>
    <t>Casa das Embalagens (05/05/2025) - Álcool,etiquetas</t>
  </si>
  <si>
    <t>Notas_Images/c9353797.Foto.190001.jpg</t>
  </si>
  <si>
    <t>ITEM-bdff6355-1</t>
  </si>
  <si>
    <t>Álcool,etiquetas</t>
  </si>
  <si>
    <t>bdff6355</t>
  </si>
  <si>
    <t>ITEM-d4a591bb-1</t>
  </si>
  <si>
    <t>d4a591bb</t>
  </si>
  <si>
    <t>ITEM-5589fd42-1</t>
  </si>
  <si>
    <t>5589fd42</t>
  </si>
  <si>
    <t>ITEM-5589fd42-2</t>
  </si>
  <si>
    <t>ITEM-5589fd42-3</t>
  </si>
  <si>
    <t>ITEM-5589fd42-4</t>
  </si>
  <si>
    <t>ITEM-5589fd42-5</t>
  </si>
  <si>
    <t>19c5d3aa</t>
  </si>
  <si>
    <t>Delivery Much (07/05/2025) - Aplicativo de delivery</t>
  </si>
  <si>
    <t>ITEM-aee141d8-1</t>
  </si>
  <si>
    <t>aee141d8</t>
  </si>
  <si>
    <t>Notas_Images/61d51a57.Foto.180540.jpg</t>
  </si>
  <si>
    <t>ITEM-e36f94f7-1</t>
  </si>
  <si>
    <t>e36f94f7</t>
  </si>
  <si>
    <t>ITEM-1724166f5_15-1</t>
  </si>
  <si>
    <t>1724166f5_15</t>
  </si>
  <si>
    <t>ITEM-1768c2415_10-1</t>
  </si>
  <si>
    <t>1768c2415_10</t>
  </si>
  <si>
    <t>ITEM-1ad165b81-1</t>
  </si>
  <si>
    <t>1ad165b81</t>
  </si>
  <si>
    <t>Jandira (07/05/2025) - Produtos de limpeza</t>
  </si>
  <si>
    <t>ITEM-1c52c9644-1</t>
  </si>
  <si>
    <t>1c52c9644</t>
  </si>
  <si>
    <t>Notas_Images/93207dae.Foto.191800.jpg</t>
  </si>
  <si>
    <t>ITEM-1d0fed0cb-1</t>
  </si>
  <si>
    <t>1d0fed0cb</t>
  </si>
  <si>
    <t>5e7251ab</t>
  </si>
  <si>
    <t>Adiantamento de ferias</t>
  </si>
  <si>
    <t>ITEM-38c28a94-1</t>
  </si>
  <si>
    <t>38c28a94</t>
  </si>
  <si>
    <t>ITEM-38c28a94-2</t>
  </si>
  <si>
    <t>ITEM-38c28a94-3</t>
  </si>
  <si>
    <t>ITEM-38c28a94-4</t>
  </si>
  <si>
    <t>ITEM-38c28a94-5</t>
  </si>
  <si>
    <t>Camila Morango (07/05/2025) - Morango</t>
  </si>
  <si>
    <t>ITEM-ea060833-1</t>
  </si>
  <si>
    <t>Notas_Images/3ef85450.Foto.224231.jpg</t>
  </si>
  <si>
    <t>ea060833</t>
  </si>
  <si>
    <t>ITEM-ea060833-2</t>
  </si>
  <si>
    <t>ITEM-ea060833-3</t>
  </si>
  <si>
    <t>Coca Cola (08/05/2025) - Bebidas</t>
  </si>
  <si>
    <t>ITEM-ea060833-4</t>
  </si>
  <si>
    <t>Notas_Images/cbc9bb6b.Foto.223358.jpg</t>
  </si>
  <si>
    <t>ITEM-84663663-1</t>
  </si>
  <si>
    <t>ITEM-33cc2de1-1</t>
  </si>
  <si>
    <t>33cc2de1</t>
  </si>
  <si>
    <t>102c60ad</t>
  </si>
  <si>
    <t>ITEM-13e07eb34-1</t>
  </si>
  <si>
    <t>Notas_Images/c2b5c4d6.Foto.223711.jpg</t>
  </si>
  <si>
    <t>13e07eb34</t>
  </si>
  <si>
    <t>ITEM-44d109fa-1</t>
  </si>
  <si>
    <t>44d109fa</t>
  </si>
  <si>
    <t>Banderloff (09/05/2025) - Frutas</t>
  </si>
  <si>
    <t>Notas_Images/96fa8e31.Foto.223928.jpg</t>
  </si>
  <si>
    <t>ITEM-006eaa53-1</t>
  </si>
  <si>
    <t>006eaa53</t>
  </si>
  <si>
    <t>ITEM-2f708b58-1</t>
  </si>
  <si>
    <t>2f708b58</t>
  </si>
  <si>
    <t>ITEM-1540f434-1</t>
  </si>
  <si>
    <t>1540f434</t>
  </si>
  <si>
    <t>Superviza Supermercado (10/05/2025) - Café da equipe</t>
  </si>
  <si>
    <t>Notas_Images/bed71e22.Foto.224418.jpg</t>
  </si>
  <si>
    <t>ITEM-1540f434-2</t>
  </si>
  <si>
    <t>ITEM-1540f434-3</t>
  </si>
  <si>
    <t>ITEM-90103ed8-1</t>
  </si>
  <si>
    <t>90103ed8</t>
  </si>
  <si>
    <t>Dif de boleto pago em atraso</t>
  </si>
  <si>
    <t>ITEM-b193dc71-1</t>
  </si>
  <si>
    <t>b193dc71</t>
  </si>
  <si>
    <t>ITEM-3797b5ed-1</t>
  </si>
  <si>
    <t>3797b5ed</t>
  </si>
  <si>
    <t>ITEM-4798cb3b-1</t>
  </si>
  <si>
    <t>4798cb3b</t>
  </si>
  <si>
    <t>ITEM-4798cb3b-2</t>
  </si>
  <si>
    <t>ITEM-4798cb3b-3</t>
  </si>
  <si>
    <t>ITEM-4798cb3b-4</t>
  </si>
  <si>
    <t>ITEM-77db9e49-1</t>
  </si>
  <si>
    <t>77db9e49</t>
  </si>
  <si>
    <t>1 máquina</t>
  </si>
  <si>
    <t>ITEM-a8dfdd0c-1</t>
  </si>
  <si>
    <t>a8dfdd0c</t>
  </si>
  <si>
    <t>ITEM-1dae2b4d-1</t>
  </si>
  <si>
    <t>1dae2b4d</t>
  </si>
  <si>
    <t>ITEM-1dae2b4d-2</t>
  </si>
  <si>
    <t>457bb559</t>
  </si>
  <si>
    <t>ITEM-1dae2b4d-3</t>
  </si>
  <si>
    <t>boleto não foi cadastrado VO 239,26</t>
  </si>
  <si>
    <t>ITEM-379dc9f2-1</t>
  </si>
  <si>
    <t>379dc9f2</t>
  </si>
  <si>
    <t>ITEM-379dc9f2-2</t>
  </si>
  <si>
    <t>ITEM-379dc9f2-3</t>
  </si>
  <si>
    <t>Notas_Images/ae0ecb80.Foto.184920.jpg</t>
  </si>
  <si>
    <t>ITEM-379dc9f2-4</t>
  </si>
  <si>
    <t>ITEM-379dc9f2-5</t>
  </si>
  <si>
    <t>ITEM-379dc9f2-6</t>
  </si>
  <si>
    <t>Camila Morango (09/05/2025) - Morango</t>
  </si>
  <si>
    <t>Notas_Images/a2298369.Foto.191024.jpg</t>
  </si>
  <si>
    <t>ITEM-379dc9f2-7</t>
  </si>
  <si>
    <t>ITEM-19a0a1c11-1</t>
  </si>
  <si>
    <t>19a0a1c11</t>
  </si>
  <si>
    <t>ITEM-15f9312fb-1</t>
  </si>
  <si>
    <t>15f9312fb</t>
  </si>
  <si>
    <t>Complemento</t>
  </si>
  <si>
    <t>ITEM-1578d197c-1</t>
  </si>
  <si>
    <t>1578d197c</t>
  </si>
  <si>
    <t>ITEM-10ae111f0-1</t>
  </si>
  <si>
    <t>10ae111f0</t>
  </si>
  <si>
    <t>ITEM-11f3d1253-1</t>
  </si>
  <si>
    <t>11f3d1253</t>
  </si>
  <si>
    <t>ITEM-197cfe9bd-1</t>
  </si>
  <si>
    <t>197cfe9bd</t>
  </si>
  <si>
    <t>ITEM-1476864dc-1</t>
  </si>
  <si>
    <t>1476864dc</t>
  </si>
  <si>
    <t>ITEM-c66c6ea0-1</t>
  </si>
  <si>
    <t>c66c6ea0</t>
  </si>
  <si>
    <t>Amadelli (13/05/2025) - Carga gelada</t>
  </si>
  <si>
    <t>Notas_Images/0620b066.Foto.182840.jpg</t>
  </si>
  <si>
    <t>ITEM-5d4d4cb0-1</t>
  </si>
  <si>
    <t>5d4d4cb0</t>
  </si>
  <si>
    <t>Notas_Images/0620b066.Foto 1.182840.jpg</t>
  </si>
  <si>
    <t>Notas_Images/0620b066.Foto 2.182840.jpg</t>
  </si>
  <si>
    <t>ITEM-28d4bb1f-1</t>
  </si>
  <si>
    <t>28d4bb1f</t>
  </si>
  <si>
    <t>Amadelli (14/05/2025) - Carga gelada</t>
  </si>
  <si>
    <t>Notas_Images/1b43cac7.Foto.182743.jpg</t>
  </si>
  <si>
    <t>ITEM-28d4bb1f-2</t>
  </si>
  <si>
    <t>Notas_Images/1b43cac7.Foto 1.182743.jpg</t>
  </si>
  <si>
    <t>Notas_Images/1b43cac7.Foto 2.182743.jpg</t>
  </si>
  <si>
    <t>ITEM-28d4bb1f-3</t>
  </si>
  <si>
    <t>Notas_Images/1b43cac7.Foto 3.182746.jpg</t>
  </si>
  <si>
    <t>ITEM-28d4bb1f-4</t>
  </si>
  <si>
    <t>Banderloff (15/05/2025) - Frutas</t>
  </si>
  <si>
    <t>Notas_Images/65adb93d.Foto.180857.jpg</t>
  </si>
  <si>
    <t>ITEM-28d4bb1f-5</t>
  </si>
  <si>
    <t>ITEM-583eb837-1</t>
  </si>
  <si>
    <t>583eb837</t>
  </si>
  <si>
    <t>mercado di domenico (16/05/2025) - Café equipe</t>
  </si>
  <si>
    <t>Notas_Images/20384cb9.Foto.180800.jpg</t>
  </si>
  <si>
    <t>ITEM-2b09337f-1</t>
  </si>
  <si>
    <t>2b09337f</t>
  </si>
  <si>
    <t>ITEM-1366deecb-1</t>
  </si>
  <si>
    <t>1366deecb</t>
  </si>
  <si>
    <t>Morangos frigotto (16/05/2025) - Morango</t>
  </si>
  <si>
    <t>Notas_Images/512a80a8.Foto.181018.jpg</t>
  </si>
  <si>
    <t>ITEM-1c17af344-1</t>
  </si>
  <si>
    <t>1c17af344</t>
  </si>
  <si>
    <t>d6fb440f</t>
  </si>
  <si>
    <t>ITEM-145ecc8c0_19-1</t>
  </si>
  <si>
    <t>145ecc8c0_19</t>
  </si>
  <si>
    <t>c0c66ad6</t>
  </si>
  <si>
    <t>Soluções gráficas (20/05/2025) - Cardapio</t>
  </si>
  <si>
    <t>ITEM-15a0871cc_10-1</t>
  </si>
  <si>
    <t>Notas_Images/1ac02d8c.Foto.112154.jpg</t>
  </si>
  <si>
    <t>15a0871cc_10</t>
  </si>
  <si>
    <t>Cardapio</t>
  </si>
  <si>
    <t>ITEM-1cabddb51_9-1</t>
  </si>
  <si>
    <t>1cabddb51_9</t>
  </si>
  <si>
    <t>0f941f2a</t>
  </si>
  <si>
    <t>ITEM-1691444cd_9-1</t>
  </si>
  <si>
    <t>Papelaria guarani (20/05/2025) - cardapio</t>
  </si>
  <si>
    <t>1691444cd_9</t>
  </si>
  <si>
    <t>Notas_Images/84a24709.Foto.112405.jpg</t>
  </si>
  <si>
    <t>cardapio</t>
  </si>
  <si>
    <t>ITEM-6bbfbe7a-1</t>
  </si>
  <si>
    <t>6bbfbe7a</t>
  </si>
  <si>
    <t>ITEM-a3f56b09-1</t>
  </si>
  <si>
    <t>a3f56b09</t>
  </si>
  <si>
    <t>Camila Morango (20/05/2025) - Frutas</t>
  </si>
  <si>
    <t>Notas_Images/f419bacd.Foto.112527.jpg</t>
  </si>
  <si>
    <t>ITEM-1325f413b-1</t>
  </si>
  <si>
    <t>1325f413b</t>
  </si>
  <si>
    <t>ITEM-1117f22fe-1</t>
  </si>
  <si>
    <t>1117f22fe</t>
  </si>
  <si>
    <t>ITEM-4443c9c6-1</t>
  </si>
  <si>
    <t>4443c9c6</t>
  </si>
  <si>
    <t>ITEM-4443c9c6-2</t>
  </si>
  <si>
    <t>ITEM-dcff393f-1</t>
  </si>
  <si>
    <t>dcff393f</t>
  </si>
  <si>
    <t>ITEM-dcff393f-2</t>
  </si>
  <si>
    <t>ITEM-dcff393f-3</t>
  </si>
  <si>
    <t>ITEM-dcff393f-4</t>
  </si>
  <si>
    <t>ITEM-dcff393f-5</t>
  </si>
  <si>
    <t>ITEM-dcff393f-6</t>
  </si>
  <si>
    <t>ITEM-1f8a565e7-1</t>
  </si>
  <si>
    <t>1f8a565e7</t>
  </si>
  <si>
    <t>Coca Cola (22/05/2025) - Bebidas</t>
  </si>
  <si>
    <t>ITEM-154f38246-1</t>
  </si>
  <si>
    <t>Notas_Images/8dcb5f94.Foto.193320.jpg</t>
  </si>
  <si>
    <t>154f38246</t>
  </si>
  <si>
    <t>ITEM-1aaffa302-1</t>
  </si>
  <si>
    <t>1aaffa302</t>
  </si>
  <si>
    <t>ITEM-4d41b66e-1</t>
  </si>
  <si>
    <t>4d41b66e</t>
  </si>
  <si>
    <t>Banderloff (22/05/2025) - Frutas</t>
  </si>
  <si>
    <t>Notas_Images/9f995d23.Foto.165125.jpg</t>
  </si>
  <si>
    <t>ITEM-52d968a3-1</t>
  </si>
  <si>
    <t>52d968a3</t>
  </si>
  <si>
    <t>ITEM-52d968a3-2</t>
  </si>
  <si>
    <t>ITEM-52d968a3-3</t>
  </si>
  <si>
    <t>ITEM-ebfee87d-1</t>
  </si>
  <si>
    <t>ebfee87d</t>
  </si>
  <si>
    <t>ITEM-15a1158e7-1</t>
  </si>
  <si>
    <t>15a1158e7</t>
  </si>
  <si>
    <t>retificação</t>
  </si>
  <si>
    <t>ITEM-12865cd86-1</t>
  </si>
  <si>
    <t>12865cd86</t>
  </si>
  <si>
    <t>ITEM-17e3fee2e-1</t>
  </si>
  <si>
    <t>17e3fee2e</t>
  </si>
  <si>
    <t>ITEM-1279755c0-1</t>
  </si>
  <si>
    <t>1279755c0</t>
  </si>
  <si>
    <t>ITEM-121dc6cb3-1</t>
  </si>
  <si>
    <t>121dc6cb3</t>
  </si>
  <si>
    <t>ITEM-756ba5e3-1</t>
  </si>
  <si>
    <t>756ba5e3</t>
  </si>
  <si>
    <t>ITEM-4bccd7c1-1</t>
  </si>
  <si>
    <t>4bccd7c1</t>
  </si>
  <si>
    <t>ITEM-9483ae9b-1</t>
  </si>
  <si>
    <t>9483ae9b</t>
  </si>
  <si>
    <t>Nicopel (09/05/2025) - Embalagem waffer</t>
  </si>
  <si>
    <t>Notas_Images/96721fd6.Foto.172930.jpg</t>
  </si>
  <si>
    <t>Embalagem waffer</t>
  </si>
  <si>
    <t>ITEM-9483ae9b-2</t>
  </si>
  <si>
    <t>ITEM-9483ae9b-3</t>
  </si>
  <si>
    <t>Amadelli (26/05/2025) - Carga seca</t>
  </si>
  <si>
    <t>ITEM-9483ae9b-4</t>
  </si>
  <si>
    <t>Notas_Images/bf38d626.Foto.181538.jpg</t>
  </si>
  <si>
    <t>ITEM-3fb98f3b-1</t>
  </si>
  <si>
    <t>Notas_Images/bf38d626.Foto 1.181538.jpg</t>
  </si>
  <si>
    <t>3fb98f3b</t>
  </si>
  <si>
    <t>Notas_Images/bf38d626.Foto 2.181538.jpg</t>
  </si>
  <si>
    <t>ITEM-3fb98f3b-2</t>
  </si>
  <si>
    <t>Camila Morango (26/05/2025) - Morango</t>
  </si>
  <si>
    <t>ITEM-3fb98f3b-3</t>
  </si>
  <si>
    <t>Notas_Images/c75e690e.Foto.133550.jpg</t>
  </si>
  <si>
    <t>ITEM-3fb98f3b-4</t>
  </si>
  <si>
    <t>ITEM-3fb98f3b-5</t>
  </si>
  <si>
    <t>Ambev (27/05/2025) - Bebidas</t>
  </si>
  <si>
    <t>Notas_Images/7a74390a.Foto.181113.jpg</t>
  </si>
  <si>
    <t>ITEM-3fb98f3b-6</t>
  </si>
  <si>
    <t>ITEM-2d646b00-1</t>
  </si>
  <si>
    <t>2d646b00</t>
  </si>
  <si>
    <t>ITEM-f8993045-1</t>
  </si>
  <si>
    <t>Nicopel (22/05/2025) - Embalagens de fondue</t>
  </si>
  <si>
    <t>f8993045</t>
  </si>
  <si>
    <t>Notas_Images/aede59d0.Foto.153423.jpg</t>
  </si>
  <si>
    <t>Embalagens de fondue</t>
  </si>
  <si>
    <t>ITEM-f8993045-2</t>
  </si>
  <si>
    <t>ITEM-f8993045-3</t>
  </si>
  <si>
    <t>Banderloff (28/05/2025) - Frutas</t>
  </si>
  <si>
    <t>ITEM-f8993045-4</t>
  </si>
  <si>
    <t>Notas_Images/a14acf4f.Foto.210907.jpg</t>
  </si>
  <si>
    <t>ITEM-69dab3fd-1</t>
  </si>
  <si>
    <t>69dab3fd</t>
  </si>
  <si>
    <t>ITEM-1768c2415_11-1</t>
  </si>
  <si>
    <t>Patrimonial (30/05/2025) - Monitoramento das câmeras</t>
  </si>
  <si>
    <t>1768c2415_11</t>
  </si>
  <si>
    <t>Notas_Images/8920ba9c.Foto.153743.jpg</t>
  </si>
  <si>
    <t>ITEM-1724166f5_16-1</t>
  </si>
  <si>
    <t>1724166f5_16</t>
  </si>
  <si>
    <t>ITEM-18355004-1</t>
  </si>
  <si>
    <t>Passarela Center via atacadista (30/05/2025) - Café da equipe</t>
  </si>
  <si>
    <t>ITEM-f493aea3-1</t>
  </si>
  <si>
    <t>Notas_Images/ac987697.Foto.154115.jpg</t>
  </si>
  <si>
    <t>f493aea3</t>
  </si>
  <si>
    <t>ITEM-f493aea3-2</t>
  </si>
  <si>
    <t>ITEM-25c42bce-1</t>
  </si>
  <si>
    <t>Camila Morango (30/05/2025) - Morango</t>
  </si>
  <si>
    <t>25c42bce</t>
  </si>
  <si>
    <t>Notas_Images/fa0418c3.Foto.211544.jpg</t>
  </si>
  <si>
    <t>ITEM-44178350-1</t>
  </si>
  <si>
    <t>ITEM-50b69fee-1</t>
  </si>
  <si>
    <t>50b69fee</t>
  </si>
  <si>
    <t>Banderloff (31/05/2025) - Frutas</t>
  </si>
  <si>
    <t>Notas_Images/4630bf22.Foto.210818.jpg</t>
  </si>
  <si>
    <t>ITEM-50b69fee-2</t>
  </si>
  <si>
    <t>ITEM-819d6b61-1</t>
  </si>
  <si>
    <t>819d6b61</t>
  </si>
  <si>
    <t>a2a43d2e</t>
  </si>
  <si>
    <t>EXTERMINIO DESINSETIZADORA (01/06/2025) - Dedetização da loja</t>
  </si>
  <si>
    <t>Notas_Images/5ede7fa8.Foto.211751.jpg</t>
  </si>
  <si>
    <t>ITEM-819d6b61-2</t>
  </si>
  <si>
    <t>ITEM-3c0cee81-1</t>
  </si>
  <si>
    <t>3c0cee81</t>
  </si>
  <si>
    <t>ITEM-3c0cee81-2</t>
  </si>
  <si>
    <t>ITEM-3c0cee81-3</t>
  </si>
  <si>
    <t>ITEM-3c0cee81-4</t>
  </si>
  <si>
    <t>ITEM-3c0cee81-5</t>
  </si>
  <si>
    <t>ITEM-bb217a8b-1</t>
  </si>
  <si>
    <t>Amadelli (04/06/2025) - Carga gelada</t>
  </si>
  <si>
    <t>bb217a8b</t>
  </si>
  <si>
    <t>Notas_Images/84f8ac31.Foto.164514.jpg</t>
  </si>
  <si>
    <t>Notas_Images/84f8ac31.Foto 1.164514.jpg</t>
  </si>
  <si>
    <t>ITEM-bb217a8b-2</t>
  </si>
  <si>
    <t>Notas_Images/84f8ac31.Foto 2.164514.jpg</t>
  </si>
  <si>
    <t>Notas_Images/84f8ac31.Foto 3.164516.jpg</t>
  </si>
  <si>
    <t>ITEM-bb217a8b-3</t>
  </si>
  <si>
    <t>Banderloff (06/06/2025) - Frutas</t>
  </si>
  <si>
    <t>Notas_Images/975abf72.Foto.164130.jpg</t>
  </si>
  <si>
    <t>ITEM-bb217a8b-4</t>
  </si>
  <si>
    <t>ITEM-bb217a8b-5</t>
  </si>
  <si>
    <t>Passarela Center via atacadista (06/06/2025) - Café da equipe,produto d limpeza</t>
  </si>
  <si>
    <t>Notas_Images/11fd44e7.Foto.164347.jpg</t>
  </si>
  <si>
    <t>ITEM-333e0e93-1</t>
  </si>
  <si>
    <t>Café da equipe,produto d limpeza</t>
  </si>
  <si>
    <t>333e0e93</t>
  </si>
  <si>
    <t>ITEM-0725210d-1</t>
  </si>
  <si>
    <t>0725210d</t>
  </si>
  <si>
    <t>ITEM-0725210d-2</t>
  </si>
  <si>
    <t>Camila Morango (06/06/2025) - Morango</t>
  </si>
  <si>
    <t>Notas_Images/34e67eef.Foto.165214.jpg</t>
  </si>
  <si>
    <t>ITEM-0725210d-3</t>
  </si>
  <si>
    <t>ITEM-a2de73df-1</t>
  </si>
  <si>
    <t>a2de73df</t>
  </si>
  <si>
    <t>700ml</t>
  </si>
  <si>
    <t>ITEM-0bb10f82-1</t>
  </si>
  <si>
    <t>0bb10f82</t>
  </si>
  <si>
    <t>ITEM-181119315-1</t>
  </si>
  <si>
    <t>2 pares</t>
  </si>
  <si>
    <t>ITEM-1028b8ac1-1</t>
  </si>
  <si>
    <t>1028b8ac1</t>
  </si>
  <si>
    <t>ITEM-11a5021d3-1</t>
  </si>
  <si>
    <t>11a5021d3</t>
  </si>
  <si>
    <t>Garagem Vana</t>
  </si>
  <si>
    <t>ITEM-68031711-1</t>
  </si>
  <si>
    <t>ITEM-68031711-2</t>
  </si>
  <si>
    <t>ref maio</t>
  </si>
  <si>
    <t>ITEM-68031711-3</t>
  </si>
  <si>
    <t>ITEM-55fd33f5-1</t>
  </si>
  <si>
    <t>55fd33f5</t>
  </si>
  <si>
    <t>ITEM-dc8b78b8-1</t>
  </si>
  <si>
    <t>dc8b78b8</t>
  </si>
  <si>
    <t>ITEM-dc8b78b8-2</t>
  </si>
  <si>
    <t>ITEM-d6dba670-1</t>
  </si>
  <si>
    <t>d6dba670</t>
  </si>
  <si>
    <t>793c2e7a</t>
  </si>
  <si>
    <t>ITEM-3f84382b-1</t>
  </si>
  <si>
    <t>3f84382b</t>
  </si>
  <si>
    <t>ITEM-d20145c9-1</t>
  </si>
  <si>
    <t>d20145c9</t>
  </si>
  <si>
    <t>ITEM-8e12f8db-1</t>
  </si>
  <si>
    <t>8e12f8db</t>
  </si>
  <si>
    <t>ITEM-8e12f8db-2</t>
  </si>
  <si>
    <t>c0d05c85</t>
  </si>
  <si>
    <t>ITEM-8e12f8db-3</t>
  </si>
  <si>
    <t>Reels</t>
  </si>
  <si>
    <t>ITEM-8e12f8db-4</t>
  </si>
  <si>
    <t>Camila Morango (09/06/2025) - Morango</t>
  </si>
  <si>
    <t>ITEM-8e12f8db-5</t>
  </si>
  <si>
    <t>Notas_Images/3a836b0e.Foto.190103.jpg</t>
  </si>
  <si>
    <t>ITEM-8e12f8db-6</t>
  </si>
  <si>
    <t>Sonia Uniformes (11/04/2025) - Uniformes</t>
  </si>
  <si>
    <t>ITEM-8e12f8db-7</t>
  </si>
  <si>
    <t>Notas_Images/54b8d4b1.Foto.213302.jpg</t>
  </si>
  <si>
    <t>ITEM-8e12f8db-8</t>
  </si>
  <si>
    <t>ITEM-8e12f8db-9</t>
  </si>
  <si>
    <t>ITEM-8e12f8db-10</t>
  </si>
  <si>
    <t>Camila Morango (14/06/2025) - Morango</t>
  </si>
  <si>
    <t>ITEM-714523bc-1</t>
  </si>
  <si>
    <t>Notas_Images/baa5c732.Foto.133650.jpg</t>
  </si>
  <si>
    <t>714523bc</t>
  </si>
  <si>
    <t>ITEM-714523bc-2</t>
  </si>
  <si>
    <t>ITEM-714523bc-3</t>
  </si>
  <si>
    <t>Jandira (11/06/2025) - Produto d limpeza</t>
  </si>
  <si>
    <t>Notas_Images/c4bfc1f5.Foto.233915.jpg</t>
  </si>
  <si>
    <t>ITEM-4d8e798e-1</t>
  </si>
  <si>
    <t>4d8e798e</t>
  </si>
  <si>
    <t>ITEM-98c33dc9-1</t>
  </si>
  <si>
    <t>98c33dc9</t>
  </si>
  <si>
    <t>Coca Cola (12/06/2025) - Bebidas</t>
  </si>
  <si>
    <t>Notas_Images/e39fa674.Foto.233750.jpg</t>
  </si>
  <si>
    <t>ITEM-98c33dc9-2</t>
  </si>
  <si>
    <t>Notas_Images/e39fa674.Foto 1.233750.jpg</t>
  </si>
  <si>
    <t>ITEM-98c33dc9-3</t>
  </si>
  <si>
    <t>ITEM-1e52ce875-1</t>
  </si>
  <si>
    <t>1e52ce875</t>
  </si>
  <si>
    <t>Banderloff (13/06/2025) - Frutas</t>
  </si>
  <si>
    <t>Notas_Images/7194a8bd.Foto.233830.jpg</t>
  </si>
  <si>
    <t>ITEM-1fbf6d4f1-1</t>
  </si>
  <si>
    <t>1fbf6d4f1</t>
  </si>
  <si>
    <t>ITEM-82e80ced-1</t>
  </si>
  <si>
    <t>82e80ced</t>
  </si>
  <si>
    <t>be8d6955</t>
  </si>
  <si>
    <t>ITEM-1729bca2c-1</t>
  </si>
  <si>
    <t>1729bca2c</t>
  </si>
  <si>
    <t>Amadelli (12/06/2025) - Carga gelada</t>
  </si>
  <si>
    <t>ITEM-15859e5f8-1</t>
  </si>
  <si>
    <t>15859e5f8</t>
  </si>
  <si>
    <t>Notas_Images/585fb41e.Foto.123848.jpg</t>
  </si>
  <si>
    <t>ITEM-1865feec1-1</t>
  </si>
  <si>
    <t>Notas_Images/585fb41e.Foto 1.123848.jpg</t>
  </si>
  <si>
    <t>1865feec1</t>
  </si>
  <si>
    <t>Notas_Images/585fb41e.Foto 2.123848.jpg</t>
  </si>
  <si>
    <t>ITEM-10aa817fa-1</t>
  </si>
  <si>
    <t>10aa817fa</t>
  </si>
  <si>
    <t>ITEM-145ecc8c0_20-1</t>
  </si>
  <si>
    <t>Casa das Embalagens (13/06/2025) - Chocolate</t>
  </si>
  <si>
    <t>145ecc8c0_20</t>
  </si>
  <si>
    <t>Notas_Images/29984784.Foto.124444.jpg</t>
  </si>
  <si>
    <t>Chocolate</t>
  </si>
  <si>
    <t>ITEM-15a0871cc_11-1</t>
  </si>
  <si>
    <t>15a0871cc_11</t>
  </si>
  <si>
    <t>ITEM-1cabddb51_10-1</t>
  </si>
  <si>
    <t>1cabddb51_10</t>
  </si>
  <si>
    <t>ITEM-1691444cd_10-1</t>
  </si>
  <si>
    <t>1691444cd_10</t>
  </si>
  <si>
    <t>Auto Coletivo Caçador (16/06/2025) - Vale transporte Bruna</t>
  </si>
  <si>
    <t>Notas_Images/eba90359.Foto.170527.jpg</t>
  </si>
  <si>
    <t>Vale transporte Bruna</t>
  </si>
  <si>
    <t>ITEM-c684376f-1</t>
  </si>
  <si>
    <t>c684376f</t>
  </si>
  <si>
    <t>ITEM-1cca85a5-1</t>
  </si>
  <si>
    <t>1cca85a5</t>
  </si>
  <si>
    <t>ITEM-2544d037-1</t>
  </si>
  <si>
    <t>Banderloff (18/06/2025) - Frutas</t>
  </si>
  <si>
    <t>2544d037</t>
  </si>
  <si>
    <t>Notas_Images/8ea7e031.Foto.164553.jpg</t>
  </si>
  <si>
    <t>ITEM-c31727fe-1</t>
  </si>
  <si>
    <t>c31727fe</t>
  </si>
  <si>
    <t>ITEM-e28127c2-1</t>
  </si>
  <si>
    <t>e28127c2</t>
  </si>
  <si>
    <t>Notas_Images/d5bdeb04.Foto.164655.jpg</t>
  </si>
  <si>
    <t>ITEM-972f0ff6-1</t>
  </si>
  <si>
    <t>972f0ff6</t>
  </si>
  <si>
    <t>ITEM-972f0ff6-2</t>
  </si>
  <si>
    <t>ITEM-972f0ff6-3</t>
  </si>
  <si>
    <t>3 para fazer prateleiras</t>
  </si>
  <si>
    <t>ITEM-972f0ff6-4</t>
  </si>
  <si>
    <t>ITEM-ce7e1e58-1</t>
  </si>
  <si>
    <t>ce7e1e58</t>
  </si>
  <si>
    <t>ITEM-8c077228-1</t>
  </si>
  <si>
    <t>Camila Morango (20/06/2025) - Morango</t>
  </si>
  <si>
    <t>8c077228</t>
  </si>
  <si>
    <t>Notas_Images/70a4da4c.Foto.164616.jpg</t>
  </si>
  <si>
    <t>ITEM-fa4e0d63-1</t>
  </si>
  <si>
    <t>fa4e0d63</t>
  </si>
  <si>
    <t>ITEM-fa4e0d63-2</t>
  </si>
  <si>
    <t>ITEM-fa4e0d63-3</t>
  </si>
  <si>
    <t>Maci oeste produtos de limpeza (13/06/2025) - Produtos de limpeza</t>
  </si>
  <si>
    <t>Notas_Images/22dd1b79.Foto.164312.jpg</t>
  </si>
  <si>
    <t>ITEM-fa4e0d63-4</t>
  </si>
  <si>
    <t>ITEM-fa4e0d63-5</t>
  </si>
  <si>
    <t>ITEM-fa4e0d63-6</t>
  </si>
  <si>
    <t>BS bebidas (12/06/2025) - Bebidas</t>
  </si>
  <si>
    <t>Notas_Images/a30428e4.Foto.124321.jpg</t>
  </si>
  <si>
    <t>ITEM-fa4e0d63-7</t>
  </si>
  <si>
    <t>ITEM-fa4e0d63-8</t>
  </si>
  <si>
    <t>ITEM-087bad4b-1</t>
  </si>
  <si>
    <t>087bad4b</t>
  </si>
  <si>
    <t>ITEM-f38d6625-1</t>
  </si>
  <si>
    <t>f38d6625</t>
  </si>
  <si>
    <t>ITEM-f061e4aa-1</t>
  </si>
  <si>
    <t>f061e4aa</t>
  </si>
  <si>
    <t>Banderloff (21/06/2025) - Frutas</t>
  </si>
  <si>
    <t>Notas_Images/d4fd0e5e.Foto.161418.jpg</t>
  </si>
  <si>
    <t>ITEM-65f354cf-1</t>
  </si>
  <si>
    <t>65f354cf</t>
  </si>
  <si>
    <t>ITEM-65f354cf-2</t>
  </si>
  <si>
    <t>ITEM-65f354cf-3</t>
  </si>
  <si>
    <t>Ambev (24/06/2025) - Bebidas</t>
  </si>
  <si>
    <t>Notas_Images/3234da85.Foto.185220.jpg</t>
  </si>
  <si>
    <t>ITEM-72d021c1-1</t>
  </si>
  <si>
    <t>72d021c1</t>
  </si>
  <si>
    <t>ITEM-24a7620f-1</t>
  </si>
  <si>
    <t>24a7620f</t>
  </si>
  <si>
    <t>ITEM-d4959ab3-1</t>
  </si>
  <si>
    <t>d4959ab3</t>
  </si>
  <si>
    <t>48f3479b</t>
  </si>
  <si>
    <t>ITEM-62c3094c-1</t>
  </si>
  <si>
    <t>62c3094c</t>
  </si>
  <si>
    <t>ITEM-b2552197-1</t>
  </si>
  <si>
    <t>b2552197</t>
  </si>
  <si>
    <t>ITEM-b2552197-2</t>
  </si>
  <si>
    <t>Ad</t>
  </si>
  <si>
    <t>ITEM-b2552197-3</t>
  </si>
  <si>
    <t>ITEM-a8ccfb57-1</t>
  </si>
  <si>
    <t>a8ccfb57</t>
  </si>
  <si>
    <t>Amadelli (23/06/2025) - Carga seca</t>
  </si>
  <si>
    <t>ITEM-a8ccfb57-2</t>
  </si>
  <si>
    <t>Notas_Images/74730ec6.Foto.182834.jpg</t>
  </si>
  <si>
    <t>ITEM-a8ccfb57-3</t>
  </si>
  <si>
    <t>ITEM-a8ccfb57-4</t>
  </si>
  <si>
    <t>Amadelli (25/06/2025) - Carga gelada</t>
  </si>
  <si>
    <t>Notas_Images/cf68f987.Foto.182425.jpg</t>
  </si>
  <si>
    <t>ITEM-05fba8e6-1</t>
  </si>
  <si>
    <t>05fba8e6</t>
  </si>
  <si>
    <t>Notas_Images/cf68f987.Foto 1.182425.jpg</t>
  </si>
  <si>
    <t>ITEM-05fba8e6-2</t>
  </si>
  <si>
    <t>Notas_Images/cf68f987.Foto 2.182425.jpg</t>
  </si>
  <si>
    <t>ITEM-05fba8e6-3</t>
  </si>
  <si>
    <t>Alternativa Comunicação Visual (26/06/2025) - Adesivo festa junina</t>
  </si>
  <si>
    <t>ITEM-5af42383-1</t>
  </si>
  <si>
    <t>5af42383</t>
  </si>
  <si>
    <t>Notas_Images/f473a886.Foto.182153.jpg</t>
  </si>
  <si>
    <t>Adesivo festa junina</t>
  </si>
  <si>
    <t>ITEM-5af42383-2</t>
  </si>
  <si>
    <t>Notas_Images/f473a886.Foto 1.182153.jpg</t>
  </si>
  <si>
    <t>ITEM-5af42383-3</t>
  </si>
  <si>
    <t>ITEM-5af42383-4</t>
  </si>
  <si>
    <t>ITEM-71382169-1</t>
  </si>
  <si>
    <t>ITEM-71382169-2</t>
  </si>
  <si>
    <t>ITEM-71382169-3</t>
  </si>
  <si>
    <t>Empréstimo pessoal Patrícia 6/25</t>
  </si>
  <si>
    <t>ITEM-71382169-4</t>
  </si>
  <si>
    <t>ITEM-821c3d5d-1</t>
  </si>
  <si>
    <t>821c3d5d</t>
  </si>
  <si>
    <t>ITEM-821c3d5d-2</t>
  </si>
  <si>
    <t>ITEM-770ff067-1</t>
  </si>
  <si>
    <t>770ff067</t>
  </si>
  <si>
    <t>ITEM-d943f3e6-1</t>
  </si>
  <si>
    <t>d943f3e6</t>
  </si>
  <si>
    <t>ITEM-d943f3e6-2</t>
  </si>
  <si>
    <t>ITEM-b95d711c-1</t>
  </si>
  <si>
    <t>b95d711c</t>
  </si>
  <si>
    <t>ITEM-b95d711c-2</t>
  </si>
  <si>
    <t>ITEM-b95d711c-3</t>
  </si>
  <si>
    <t>ITEM-b95d711c-4</t>
  </si>
  <si>
    <t>ITEM-b95d711c-5</t>
  </si>
  <si>
    <t>ITEM-b95d711c-6</t>
  </si>
  <si>
    <t>serviços</t>
  </si>
  <si>
    <t>ITEM-b95d711c-7</t>
  </si>
  <si>
    <t>ITEM-b95d711c-8</t>
  </si>
  <si>
    <t>ITEM-b95d711c-9</t>
  </si>
  <si>
    <t>ITEM-b95d711c-10</t>
  </si>
  <si>
    <t>ITEM-b95d711c-11</t>
  </si>
  <si>
    <t>ITEM-b95d711c-12</t>
  </si>
  <si>
    <t>Banderloff (27/06/2025) - Frutas</t>
  </si>
  <si>
    <t>Notas_Images/18cfbced.Foto.152211.jpg</t>
  </si>
  <si>
    <t>ITEM-b95d711c-13</t>
  </si>
  <si>
    <t>ITEM-b95d711c-14</t>
  </si>
  <si>
    <t>ITEM-e5e73048-1</t>
  </si>
  <si>
    <t>e5e73048</t>
  </si>
  <si>
    <t>Passarela Center via atacadista (27/06/2025) - Café equipe</t>
  </si>
  <si>
    <t>ITEM-4d2a0fbb-1</t>
  </si>
  <si>
    <t>Notas_Images/34c70712.Foto.152503.jpg</t>
  </si>
  <si>
    <t>4d2a0fbb</t>
  </si>
  <si>
    <t>ITEM-2c77cea8-1</t>
  </si>
  <si>
    <t>2c77cea8</t>
  </si>
  <si>
    <t>ITEM-2c77cea8-2</t>
  </si>
  <si>
    <t>ITEM-de9c47e0-1</t>
  </si>
  <si>
    <t>Superviza Supermercado (01/07/2025) - Soda diabo verde</t>
  </si>
  <si>
    <t>de9c47e0</t>
  </si>
  <si>
    <t>Notas_Images/6296e7cb.Foto.193745.jpg</t>
  </si>
  <si>
    <t>Soda diabo verde</t>
  </si>
  <si>
    <t>ITEM-c390464a-1</t>
  </si>
  <si>
    <t>c390464a</t>
  </si>
  <si>
    <t>ITEM-ede19ad4-1</t>
  </si>
  <si>
    <t>ede19ad4</t>
  </si>
  <si>
    <t>Auto Coletivo Caçador (01/07/2025) - Vale transporte bruna</t>
  </si>
  <si>
    <t>ITEM-ede19ad4-2</t>
  </si>
  <si>
    <t>Notas_Images/5fa5397d.Foto.194053.jpg</t>
  </si>
  <si>
    <t>ITEM-ede19ad4-3</t>
  </si>
  <si>
    <t>ITEM-ede19ad4-4</t>
  </si>
  <si>
    <t>ITEM-ede19ad4-5</t>
  </si>
  <si>
    <t>ITEM-ede19ad4-6</t>
  </si>
  <si>
    <t>Casa das Chaves (01/07/2025) - Chave d banheiro</t>
  </si>
  <si>
    <t>Notas_Images/dad6ce38.Foto.194809.jpg</t>
  </si>
  <si>
    <t>ITEM-ede19ad4-7</t>
  </si>
  <si>
    <t>Chave d banheiro</t>
  </si>
  <si>
    <t>ITEM-8b453bad-1</t>
  </si>
  <si>
    <t>8b453bad</t>
  </si>
  <si>
    <t>ITEM-8b453bad-2</t>
  </si>
  <si>
    <t>ITEM-8b453bad-3</t>
  </si>
  <si>
    <t>ITEM-8b453bad-4</t>
  </si>
  <si>
    <t>Patrimonial (02/07/2025) - Monitoramento das câmeras</t>
  </si>
  <si>
    <t>ITEM-d3f571b7-1</t>
  </si>
  <si>
    <t>Notas_Images/0ec14679.Foto.180641.jpg</t>
  </si>
  <si>
    <t>d3f571b7</t>
  </si>
  <si>
    <t>ITEM-dd98845d-1</t>
  </si>
  <si>
    <t>dd98845d</t>
  </si>
  <si>
    <t>ITEM-dd98845d-2</t>
  </si>
  <si>
    <t>Banderloff (03/07/2025) - Frutas</t>
  </si>
  <si>
    <t>ITEM-dd98845d-3</t>
  </si>
  <si>
    <t>Notas_Images/781a1497.Foto.191306.jpg</t>
  </si>
  <si>
    <t>ITEM-dd98845d-4</t>
  </si>
  <si>
    <t>ITEM-dd98845d-5</t>
  </si>
  <si>
    <t>ITEM-dd98845d-6</t>
  </si>
  <si>
    <t>ITEM-dd98845d-7</t>
  </si>
  <si>
    <t>ITEM-dd98845d-8</t>
  </si>
  <si>
    <t>caita supermercado (04/07/2025) - Café equipe final de semana</t>
  </si>
  <si>
    <t>Notas_Images/d7bd4900.Foto.191148.jpg</t>
  </si>
  <si>
    <t>ITEM-dd98845d-9</t>
  </si>
  <si>
    <t>Café equipe final de semana</t>
  </si>
  <si>
    <t>ITEM-d276b985-1</t>
  </si>
  <si>
    <t>d276b985</t>
  </si>
  <si>
    <t>ITEM-d276b985-2</t>
  </si>
  <si>
    <t>ITEM-d276b985-3</t>
  </si>
  <si>
    <t>b4f8848e</t>
  </si>
  <si>
    <t>Copercampos atacadista (05/07/2025) - Morango</t>
  </si>
  <si>
    <t>Notas_Images/72203232.Foto.191057.jpg</t>
  </si>
  <si>
    <t>ITEM-cfb375f4-1</t>
  </si>
  <si>
    <t>cfb375f4</t>
  </si>
  <si>
    <t>ITEM-cfb375f4-2</t>
  </si>
  <si>
    <t>ITEM-cfb375f4-3</t>
  </si>
  <si>
    <t>Passarela Center via atacadista (06/07/2025) - Morango</t>
  </si>
  <si>
    <t>ITEM-cfb375f4-4</t>
  </si>
  <si>
    <t>Notas_Images/b5649333.Foto.191243.jpg</t>
  </si>
  <si>
    <t>ITEM-cfb375f4-5</t>
  </si>
  <si>
    <t>ITEM-cfb375f4-6</t>
  </si>
  <si>
    <t>ITEM-f62b40a4-1</t>
  </si>
  <si>
    <t>f62b40a4</t>
  </si>
  <si>
    <t>dda confirmado</t>
  </si>
  <si>
    <t>ITEM-8c8f059b-1</t>
  </si>
  <si>
    <t>8c8f059b</t>
  </si>
  <si>
    <t>ITEM-8c8f059b-2</t>
  </si>
  <si>
    <t>ITEM-8c8f059b-3</t>
  </si>
  <si>
    <t>ITEM-8c8f059b-4</t>
  </si>
  <si>
    <t>ITEM-ba6a8631-1</t>
  </si>
  <si>
    <t>ba6a8631</t>
  </si>
  <si>
    <t>ITEM-15623fe7-1</t>
  </si>
  <si>
    <t>15623fe7</t>
  </si>
  <si>
    <t>mensal julho</t>
  </si>
  <si>
    <t>ITEM-d35b2beb-1</t>
  </si>
  <si>
    <t>d35b2beb</t>
  </si>
  <si>
    <t>ITEM-9dd9d137-1</t>
  </si>
  <si>
    <t>9dd9d137</t>
  </si>
  <si>
    <t>Camila Morango (07/07/2025) - Morango</t>
  </si>
  <si>
    <t>ITEM-a4e5277b-1</t>
  </si>
  <si>
    <t>a4e5277b</t>
  </si>
  <si>
    <t>Notas_Images/41dbde18.Foto.190832.jpg</t>
  </si>
  <si>
    <t>ITEM-a4e5277b-2</t>
  </si>
  <si>
    <t>a7b4a040</t>
  </si>
  <si>
    <t>8 caixas de açaí tradicional</t>
  </si>
  <si>
    <t>ITEM-a982ef87-1</t>
  </si>
  <si>
    <t>a982ef87</t>
  </si>
  <si>
    <t>ITEM-e7e9f249-1</t>
  </si>
  <si>
    <t>Amadelli (07/07/2025) - Carga seca</t>
  </si>
  <si>
    <t>e7e9f249</t>
  </si>
  <si>
    <t>Notas_Images/b847756a.Foto.173842.jpg</t>
  </si>
  <si>
    <t>ITEM-15a1158e71-1</t>
  </si>
  <si>
    <t>15a1158e71</t>
  </si>
  <si>
    <t>Notas_Images/b847756a.Foto 1.173842.jpg</t>
  </si>
  <si>
    <t>ITEM-12865cd861-1</t>
  </si>
  <si>
    <t>12865cd861</t>
  </si>
  <si>
    <t>ITEM-17e3fee2e1-1</t>
  </si>
  <si>
    <t>EXTERMINIO DESINSETIZADORA (08/07/2025) - Dedetização da loja</t>
  </si>
  <si>
    <t>17e3fee2e1</t>
  </si>
  <si>
    <t>Notas_Images/bbfeb11d.Foto.110441.jpg</t>
  </si>
  <si>
    <t>ITEM-1279755c01-1</t>
  </si>
  <si>
    <t>1279755c01</t>
  </si>
  <si>
    <t>ITEM-121dc6cb31-1</t>
  </si>
  <si>
    <t>121dc6cb31</t>
  </si>
  <si>
    <t>ITEM-152be7c9c-1</t>
  </si>
  <si>
    <t>152be7c9c</t>
  </si>
  <si>
    <t>Casa das Embalagens (08/07/2025) - Marmitas e tampas</t>
  </si>
  <si>
    <t>Notas_Images/b241d328.Foto.142951.jpg</t>
  </si>
  <si>
    <t>Marmitas e tampas</t>
  </si>
  <si>
    <t>ITEM-19fccc3211-1</t>
  </si>
  <si>
    <t>19fccc3211</t>
  </si>
  <si>
    <t>085ee933</t>
  </si>
  <si>
    <t>ITEM-145daf660-1</t>
  </si>
  <si>
    <t>145daf660</t>
  </si>
  <si>
    <t>ITEM-1305661391-1</t>
  </si>
  <si>
    <t>Banderloff (08/07/2025) - Frutas</t>
  </si>
  <si>
    <t>ITEM-1724166f51-1</t>
  </si>
  <si>
    <t>Notas_Images/732fca5d.Foto.143052.jpg</t>
  </si>
  <si>
    <t>1724166f51</t>
  </si>
  <si>
    <t>ITEM-1768c24151-1</t>
  </si>
  <si>
    <t>1768c24151</t>
  </si>
  <si>
    <t>ITEM-133b5c1b91-1</t>
  </si>
  <si>
    <t>133b5c1b91</t>
  </si>
  <si>
    <t>67b13d19</t>
  </si>
  <si>
    <t>Retificação mês de março</t>
  </si>
  <si>
    <t>ITEM-18d3a65011-1</t>
  </si>
  <si>
    <t>18d3a65011</t>
  </si>
  <si>
    <t>ITEM-11501-1</t>
  </si>
  <si>
    <t>ITEM-11502-1</t>
  </si>
  <si>
    <t>Reinf</t>
  </si>
  <si>
    <t>ITEM-11bbba54512-1</t>
  </si>
  <si>
    <t>11bbba54512</t>
  </si>
  <si>
    <t>ITEM-10ba4c433-1</t>
  </si>
  <si>
    <t>10ba4c433</t>
  </si>
  <si>
    <t>58813a7c</t>
  </si>
  <si>
    <t>ITEM-13d873db3-1</t>
  </si>
  <si>
    <t>Jandira (09/07/2025) - Produto de limpeza</t>
  </si>
  <si>
    <t>13d873db3</t>
  </si>
  <si>
    <t>Notas_Images/dda57f70.Foto.184006.jpg</t>
  </si>
  <si>
    <t>ITEM-1bde6da21-1</t>
  </si>
  <si>
    <t>1bde6da21</t>
  </si>
  <si>
    <t>ITEM-11515-1</t>
  </si>
  <si>
    <t>ITEM-11516-1</t>
  </si>
  <si>
    <t>Amadelli (09/07/2025) - Carga gelada</t>
  </si>
  <si>
    <t>Notas_Images/4ac59165.Foto.144045.jpg</t>
  </si>
  <si>
    <t>ITEM-14b6a6040-1</t>
  </si>
  <si>
    <t>14b6a6040</t>
  </si>
  <si>
    <t>Notas_Images/4ac59165.Foto 1.144045.jpg</t>
  </si>
  <si>
    <t>Notas_Images/4ac59165.Foto 2.144045.jpg</t>
  </si>
  <si>
    <t>ITEM-17c58b6f2-1</t>
  </si>
  <si>
    <t>17c58b6f2</t>
  </si>
  <si>
    <t>ITEM-11a5d30b6-1</t>
  </si>
  <si>
    <t>11a5d30b6</t>
  </si>
  <si>
    <t>Coca Cola (10/07/2025) - Bebidas</t>
  </si>
  <si>
    <t>Notas_Images/8166030b.Foto.162147.jpg</t>
  </si>
  <si>
    <t>ITEM-106225bd7-1</t>
  </si>
  <si>
    <t>106225bd7</t>
  </si>
  <si>
    <t>Notas_Images/8166030b.Foto 1.162147.jpg</t>
  </si>
  <si>
    <t>ITEM-1aaba1c7e-1</t>
  </si>
  <si>
    <t>1aaba1c7e</t>
  </si>
  <si>
    <t>ITEM-1cd91f430-1</t>
  </si>
  <si>
    <t>1cd91f430</t>
  </si>
  <si>
    <t>Banderloff (11/07/2025) - Frutas</t>
  </si>
  <si>
    <t>Notas_Images/74e01e50.Foto.162035.jpg</t>
  </si>
  <si>
    <t>ITEM-194fc44cb-1</t>
  </si>
  <si>
    <t>194fc44cb</t>
  </si>
  <si>
    <t>ITEM-11526-1</t>
  </si>
  <si>
    <t>ITEM-11527-1</t>
  </si>
  <si>
    <t>GH Center Supermercado (12/07/2025) - Café equipe</t>
  </si>
  <si>
    <t>Notas_Images/6586badf.Foto.162245.jpg</t>
  </si>
  <si>
    <t>ITEM-11528-1</t>
  </si>
  <si>
    <t>ITEM-11529-1</t>
  </si>
  <si>
    <t>ITEM-11530-1</t>
  </si>
  <si>
    <t>94de83e9</t>
  </si>
  <si>
    <t>Super bom (12/07/2025) - Café equipe</t>
  </si>
  <si>
    <t>Notas_Images/f24dc56c.Foto.162342.jpg</t>
  </si>
  <si>
    <t>ITEM-11531-1</t>
  </si>
  <si>
    <t>ITEM-11532-1</t>
  </si>
  <si>
    <t>ITEM-11533-1</t>
  </si>
  <si>
    <t>ITEM-11534-1</t>
  </si>
  <si>
    <t>ITEM-11535-1</t>
  </si>
  <si>
    <t>ITEM-11536-1</t>
  </si>
  <si>
    <t>ITEM-11537-1</t>
  </si>
  <si>
    <t>ITEM-1cf6176e3-1</t>
  </si>
  <si>
    <t>1cf6176e3</t>
  </si>
  <si>
    <t>Ret</t>
  </si>
  <si>
    <t>ITEM-11b725406-1</t>
  </si>
  <si>
    <t>11b725406</t>
  </si>
  <si>
    <t>3ac8011e</t>
  </si>
  <si>
    <t>ITEM-166fc8156-1</t>
  </si>
  <si>
    <t>166fc8156</t>
  </si>
  <si>
    <t>ITEM-bc1d9059-1</t>
  </si>
  <si>
    <t>bc1d9059</t>
  </si>
  <si>
    <t>399f2f6d</t>
  </si>
  <si>
    <t>ITEM-e51ee7f9-1</t>
  </si>
  <si>
    <t>e51ee7f9</t>
  </si>
  <si>
    <t>c01db864</t>
  </si>
  <si>
    <t>Móveis andrei (14/07/2025) - Marco da porta</t>
  </si>
  <si>
    <t>Notas_Images/fb0d84d8.Foto.144415.jpg</t>
  </si>
  <si>
    <t>Marco da porta</t>
  </si>
  <si>
    <t>ITEM-daae5499-1</t>
  </si>
  <si>
    <t>daae5499</t>
  </si>
  <si>
    <t>Banderloff (17/07/2025) - Frutas</t>
  </si>
  <si>
    <t>ITEM-daae5499-2</t>
  </si>
  <si>
    <t>Notas_Images/52f6ae2e.Foto.143309.jpg</t>
  </si>
  <si>
    <t>ITEM-daae5499-3</t>
  </si>
  <si>
    <t>Unidas material  de construção (17/07/2025) - Assento sanitario</t>
  </si>
  <si>
    <t>Notas_Images/34d5268d.Foto.145233.jpg</t>
  </si>
  <si>
    <t>Assento sanitario</t>
  </si>
  <si>
    <t>ITEM-00aed048-1</t>
  </si>
  <si>
    <t>00aed048</t>
  </si>
  <si>
    <t>Camila Morango (18/07/2025) - Morango</t>
  </si>
  <si>
    <t>Notas_Images/23758284.Foto.143356.jpg</t>
  </si>
  <si>
    <t>ITEM-00aed048-2</t>
  </si>
  <si>
    <t>ITEM-7bd449f1-1</t>
  </si>
  <si>
    <t>7bd449f1</t>
  </si>
  <si>
    <t>646db856</t>
  </si>
  <si>
    <t>ITEM-1c2963673-1</t>
  </si>
  <si>
    <t>1c2963673</t>
  </si>
  <si>
    <t>ITEM-10f50f666-1</t>
  </si>
  <si>
    <t>10f50f666</t>
  </si>
  <si>
    <t>Banderloff (21/07/2025) - Morango</t>
  </si>
  <si>
    <t>Notas_Images/28af448b.Foto.181555.jpg</t>
  </si>
  <si>
    <t>ITEM-15c86506c-1</t>
  </si>
  <si>
    <t>15c86506c</t>
  </si>
  <si>
    <t>ITEM-11563-1</t>
  </si>
  <si>
    <t>Passarela Center via atacadista (20/07/2025) - Uva</t>
  </si>
  <si>
    <t>Notas_Images/aafda3c1.Foto.145007.jpg</t>
  </si>
  <si>
    <t>ITEM-11564-1</t>
  </si>
  <si>
    <t>Uva</t>
  </si>
  <si>
    <t>ITEM-11565-1</t>
  </si>
  <si>
    <t>d9429536</t>
  </si>
  <si>
    <t>ITEM-11566-1</t>
  </si>
  <si>
    <t>Passarela Center via atacadista (20/07/2025) - Morango</t>
  </si>
  <si>
    <t>Notas_Images/39a55e09.Foto.144824.jpg</t>
  </si>
  <si>
    <t>ITEM-11567-1</t>
  </si>
  <si>
    <t>ITEM-1efc932ea-1</t>
  </si>
  <si>
    <t>Copercampos atacadista (20/07/2025) - Manga</t>
  </si>
  <si>
    <t>1efc932ea</t>
  </si>
  <si>
    <t>Notas_Images/824aabee.Foto.144731.jpg</t>
  </si>
  <si>
    <t>Manga</t>
  </si>
  <si>
    <t>ITEM-1f4d53dd9-1</t>
  </si>
  <si>
    <t>1f4d53dd9</t>
  </si>
  <si>
    <t>ITEM-18b00732e-1</t>
  </si>
  <si>
    <t>18b00732e</t>
  </si>
  <si>
    <t>Lasta Frutolândia (19/07/2025) - Morango</t>
  </si>
  <si>
    <t>Notas_Images/2b6bebb0.Foto.144912.jpg</t>
  </si>
  <si>
    <t>ITEM-64bc920f-1</t>
  </si>
  <si>
    <t>64bc920f</t>
  </si>
  <si>
    <t>ITEM-5a7ab79f-1</t>
  </si>
  <si>
    <t>5a7ab79f</t>
  </si>
  <si>
    <t>ITEM-8b6b71fc-1</t>
  </si>
  <si>
    <t>8b6b71fc</t>
  </si>
  <si>
    <t>Superviza Supermercado (18/07/2025) - Café da equipe</t>
  </si>
  <si>
    <t>Notas_Images/770b4d1e.Foto.143814.jpg</t>
  </si>
  <si>
    <t>ITEM-8b6b71fc-2</t>
  </si>
  <si>
    <t>ITEM-8b6b71fc-3</t>
  </si>
  <si>
    <t>Casa das Embalagens (18/07/2025) - Confete,ovomaltine</t>
  </si>
  <si>
    <t>ITEM-41ab9201-1</t>
  </si>
  <si>
    <t>Notas_Images/d80926a6.Foto.145130.jpg</t>
  </si>
  <si>
    <t>41ab9201</t>
  </si>
  <si>
    <t>Confete,ovomaltine</t>
  </si>
  <si>
    <t>ITEM-023ef81f-1</t>
  </si>
  <si>
    <t>023ef81f</t>
  </si>
  <si>
    <t>734c3072</t>
  </si>
  <si>
    <t>ITEM-9a149e49-1</t>
  </si>
  <si>
    <t>Patrimonial (01/07/2025) - Monitoramento das câmeras</t>
  </si>
  <si>
    <t>9a149e49</t>
  </si>
  <si>
    <t>Notas_Images/937f13b2.Foto.143520.jpg</t>
  </si>
  <si>
    <t>ITEM-1d7be238-1</t>
  </si>
  <si>
    <t>1d7be238</t>
  </si>
  <si>
    <t>ITEM-9ab621ed-1</t>
  </si>
  <si>
    <t>9ab621ed</t>
  </si>
  <si>
    <t>Amadelli (22/07/2025) - Carga seca</t>
  </si>
  <si>
    <t>Notas_Images/448d9f91.Foto.164205.jpg</t>
  </si>
  <si>
    <t>ITEM-9ab621ed-2</t>
  </si>
  <si>
    <t>Notas_Images/448d9f91.Foto 1.164205.jpg</t>
  </si>
  <si>
    <t>Notas_Images/448d9f91.Foto 2.164205.jpg</t>
  </si>
  <si>
    <t>ITEM-3c1c37a9-1</t>
  </si>
  <si>
    <t>3c1c37a9</t>
  </si>
  <si>
    <t>junho</t>
  </si>
  <si>
    <t>ITEM-11573-1</t>
  </si>
  <si>
    <t>ITEM-22818c4f-1</t>
  </si>
  <si>
    <t>22818c4f</t>
  </si>
  <si>
    <t>ITEM-a987db65-1</t>
  </si>
  <si>
    <t>a987db65</t>
  </si>
  <si>
    <t>ITEM-76f69051-1</t>
  </si>
  <si>
    <t>76f69051</t>
  </si>
  <si>
    <t>ITEM-af69b869-1</t>
  </si>
  <si>
    <t>af69b869</t>
  </si>
  <si>
    <t>ITEM-ba5f52e7-1</t>
  </si>
  <si>
    <t>ba5f52e7</t>
  </si>
  <si>
    <t>ITEM-450681a8-1</t>
  </si>
  <si>
    <t>450681a8</t>
  </si>
  <si>
    <t>ITEM-70e730a3-1</t>
  </si>
  <si>
    <t>70e730a3</t>
  </si>
  <si>
    <t>ITEM-98775ea0-1</t>
  </si>
  <si>
    <t>98775ea0</t>
  </si>
  <si>
    <t>ITEM-fe3addef-1</t>
  </si>
  <si>
    <t>fe3addef</t>
  </si>
  <si>
    <t>ITEM-52fbe51a-1</t>
  </si>
  <si>
    <t>52fbe51a</t>
  </si>
  <si>
    <t>ITEM-9e521d82-1</t>
  </si>
  <si>
    <t>Banderloff (24/07/2025) - Frutas</t>
  </si>
  <si>
    <t>9e521d82</t>
  </si>
  <si>
    <t>Notas_Images/65797525.Foto.185629.jpg</t>
  </si>
  <si>
    <t>ITEM-7d080d64-1</t>
  </si>
  <si>
    <t>7d080d64</t>
  </si>
  <si>
    <t>ITEM-d05c5049-1</t>
  </si>
  <si>
    <t>d05c5049</t>
  </si>
  <si>
    <t>ITEM-058728f1-1</t>
  </si>
  <si>
    <t>058728f1</t>
  </si>
  <si>
    <t>8b9681ca</t>
  </si>
  <si>
    <t>ProFood (24/07/2025) - Embalagens</t>
  </si>
  <si>
    <t>ITEM-67388b0e-1</t>
  </si>
  <si>
    <t>67388b0e</t>
  </si>
  <si>
    <t>Notas_Images/b7a3120a.Foto.225314.jpg</t>
  </si>
  <si>
    <t>3adb6581</t>
  </si>
  <si>
    <t>ITEM-ac89686b-1</t>
  </si>
  <si>
    <t>ac89686b</t>
  </si>
  <si>
    <t>ITEM-2fa9cc51-1</t>
  </si>
  <si>
    <t>2fa9cc51</t>
  </si>
  <si>
    <t>Amadelli (24/07/2025) - Carga gelada</t>
  </si>
  <si>
    <t>Notas_Images/bb7897ea.Foto.172929.jpg</t>
  </si>
  <si>
    <t>ITEM-1371cd749-1</t>
  </si>
  <si>
    <t>1371cd749</t>
  </si>
  <si>
    <t>luely.tba@gmail.com</t>
  </si>
  <si>
    <t>Notas_Images/bb7897ea.Foto 1.172929.jpg</t>
  </si>
  <si>
    <t>ITEM-11575-1</t>
  </si>
  <si>
    <t>Suco prats (25/07/2025) - Sucos</t>
  </si>
  <si>
    <t>Notas_Images/004a1d9c.Foto.224910.jpg</t>
  </si>
  <si>
    <t>ITEM-11576-1</t>
  </si>
  <si>
    <t>ITEM-11577-1</t>
  </si>
  <si>
    <t>9aa07662</t>
  </si>
  <si>
    <t>Passarela Center via atacadista (25/07/2025) - Café d final de semana</t>
  </si>
  <si>
    <t>Notas_Images/52179647.Foto.224959.jpg</t>
  </si>
  <si>
    <t>Café d final de semana</t>
  </si>
  <si>
    <t>ITEM-11578-1</t>
  </si>
  <si>
    <t>ITEM-11579-1</t>
  </si>
  <si>
    <t>Help Multi Coisas (25/07/2025) - Calculadora</t>
  </si>
  <si>
    <t>Notas_Images/cccc1062.Foto.225101.jpg</t>
  </si>
  <si>
    <t>Calculadora</t>
  </si>
  <si>
    <t>ITEM-11580-1</t>
  </si>
  <si>
    <t>ITEM-8415bdac-1</t>
  </si>
  <si>
    <t>8415bdac</t>
  </si>
  <si>
    <t>ITEM-793bf361-1</t>
  </si>
  <si>
    <t>793bf361</t>
  </si>
  <si>
    <t>ITEM-793bf361-2</t>
  </si>
  <si>
    <t>ITEM-793bf361-3</t>
  </si>
  <si>
    <t>Empréstimo pessoal Patrícia 7/25</t>
  </si>
  <si>
    <t>ITEM-793bf361-4</t>
  </si>
  <si>
    <t>ITEM-e77c4a55-1</t>
  </si>
  <si>
    <t>e77c4a55</t>
  </si>
  <si>
    <t>ITEM-e77c4a55-2</t>
  </si>
  <si>
    <t>ITEM-e77c4a55-3</t>
  </si>
  <si>
    <t>ITEM-e77c4a55-4</t>
  </si>
  <si>
    <t>ITEM-2f8cf47a-1</t>
  </si>
  <si>
    <t>2f8cf47a</t>
  </si>
  <si>
    <t>ITEM-992d8aa1-1</t>
  </si>
  <si>
    <t>992d8aa1</t>
  </si>
  <si>
    <t>ITEM-8b291bc2-1</t>
  </si>
  <si>
    <t>8b291bc2</t>
  </si>
  <si>
    <t>Coca Cola (24/07/2025) - Bebidas</t>
  </si>
  <si>
    <t>Notas_Images/e62d0ba3.Foto.185328.jpg</t>
  </si>
  <si>
    <t>ITEM-8b291bc2-2</t>
  </si>
  <si>
    <t>Notas_Images/e62d0ba3.Foto 1.185328.jpg</t>
  </si>
  <si>
    <t>ITEM-8b291bc2-3</t>
  </si>
  <si>
    <t>ITEM-8b291bc2-4</t>
  </si>
  <si>
    <t>BS bebidas (25/07/2025) - Agua</t>
  </si>
  <si>
    <t>ITEM-8b291bc2-5</t>
  </si>
  <si>
    <t>Notas_Images/e1360e19.Foto.225150.jpg</t>
  </si>
  <si>
    <t>Agua</t>
  </si>
  <si>
    <t>ITEM-8b291bc2-6</t>
  </si>
  <si>
    <t>ITEM-8b291bc2-7</t>
  </si>
  <si>
    <t>Ambev (30/07/2025) - Bebidas</t>
  </si>
  <si>
    <t>Notas_Images/9c7f007c.Foto.172345.jpg</t>
  </si>
  <si>
    <t>ITEM-8b291bc2-8</t>
  </si>
  <si>
    <t>ITEM-8b291bc2-9</t>
  </si>
  <si>
    <t>ITEM-8b291bc2-10</t>
  </si>
  <si>
    <t>ITEM-19356514d-1</t>
  </si>
  <si>
    <t>19356514d</t>
  </si>
  <si>
    <t>6d6a9402</t>
  </si>
  <si>
    <t>pedido 72631</t>
  </si>
  <si>
    <t>ITEM-11584-1</t>
  </si>
  <si>
    <t>ITEM-c8e0f5e5-1</t>
  </si>
  <si>
    <t>c8e0f5e5</t>
  </si>
  <si>
    <t>ITEM-ad7fb008-1</t>
  </si>
  <si>
    <t>ad7fb008</t>
  </si>
  <si>
    <t>mensal</t>
  </si>
  <si>
    <t>ITEM-ad7fb008-2</t>
  </si>
  <si>
    <t>ITEM-11586-1</t>
  </si>
  <si>
    <t>ITEM-11587-1</t>
  </si>
  <si>
    <t>ITEM-782d5d84-1</t>
  </si>
  <si>
    <t>782d5d84</t>
  </si>
  <si>
    <t>ITEM-fcf40e3d-1</t>
  </si>
  <si>
    <t>fcf40e3d</t>
  </si>
  <si>
    <t>ITEM-fcf40e3d-2</t>
  </si>
  <si>
    <t>ITEM-fcf40e3d-3</t>
  </si>
  <si>
    <t>ITEM-fcf40e3d-4</t>
  </si>
  <si>
    <t>ITEM-8938f2da-1</t>
  </si>
  <si>
    <t>8938f2da</t>
  </si>
  <si>
    <t>ITEM-8938f2da-2</t>
  </si>
  <si>
    <t>ITEM-8938f2da-3</t>
  </si>
  <si>
    <t>ITEM-8938f2da-4</t>
  </si>
  <si>
    <t>ITEM-e94c5f93-1</t>
  </si>
  <si>
    <t>e94c5f93</t>
  </si>
  <si>
    <t>ITEM-e94c5f93-2</t>
  </si>
  <si>
    <t>pedido 72558</t>
  </si>
  <si>
    <t>ITEM-e94c5f93-3</t>
  </si>
  <si>
    <t>2c318c75</t>
  </si>
  <si>
    <t>ITEM-f1677a0c-1</t>
  </si>
  <si>
    <t>f1677a0c</t>
  </si>
  <si>
    <t>Unidas material  de construção (30/07/2025) - TorneirA</t>
  </si>
  <si>
    <t>Notas_Images/9a459ad5.Foto.171915.jpg</t>
  </si>
  <si>
    <t>TorneirA</t>
  </si>
  <si>
    <t>ITEM-a2aa6b4d-1</t>
  </si>
  <si>
    <t>a2aa6b4d</t>
  </si>
  <si>
    <t>ITEM-6dd1ed19-1</t>
  </si>
  <si>
    <t>6dd1ed19</t>
  </si>
  <si>
    <t>Banderloff (31/07/2025) - Frutas</t>
  </si>
  <si>
    <t>ITEM-c74430c7-1</t>
  </si>
  <si>
    <t>Notas_Images/e7e62526.Foto.171412.jpg</t>
  </si>
  <si>
    <t>c74430c7</t>
  </si>
  <si>
    <t>ITEM-26d18037-1</t>
  </si>
  <si>
    <t>26d18037</t>
  </si>
  <si>
    <t>ITEM-688d7c73-1</t>
  </si>
  <si>
    <t>Passarela Center via atacadista (01/08/2025) - Café  d equipe</t>
  </si>
  <si>
    <t>688d7c73</t>
  </si>
  <si>
    <t>Notas_Images/40412c02.Foto.171726.jpg</t>
  </si>
  <si>
    <t>Café  d equipe</t>
  </si>
  <si>
    <t>ITEM-da5f730f-1</t>
  </si>
  <si>
    <t>da5f730f</t>
  </si>
  <si>
    <t>ITEM-01faf8ec-1</t>
  </si>
  <si>
    <t>01faf8ec</t>
  </si>
  <si>
    <t>EXTERMINIO DESINSETIZADORA (01/08/2025) - Dedetização da loja</t>
  </si>
  <si>
    <t>ITEM-03d47506-1</t>
  </si>
  <si>
    <t>Notas_Images/a6b8e08a.Foto.130945.jpg</t>
  </si>
  <si>
    <t>03d47506</t>
  </si>
  <si>
    <t>ITEM-987c6a4c-1</t>
  </si>
  <si>
    <t>987c6a4c</t>
  </si>
  <si>
    <t>bf082b06</t>
  </si>
  <si>
    <t>ITEM-7399f15c-1</t>
  </si>
  <si>
    <t>7399f15c</t>
  </si>
  <si>
    <t>Delivery Much (01/08/2025) - Aplicativo de delivery</t>
  </si>
  <si>
    <t>Notas_Images/a74718e2.Foto.153616.jpg</t>
  </si>
  <si>
    <t>ITEM-7399f15c-2</t>
  </si>
  <si>
    <t>ITEM-7399f15c-3</t>
  </si>
  <si>
    <t>5e768c09</t>
  </si>
  <si>
    <t>Janete cordeiro (07/08/2025) - Morango</t>
  </si>
  <si>
    <t>ITEM-7399f15c-4</t>
  </si>
  <si>
    <t>Notas_Images/127e7c56.Foto.210612.jpg</t>
  </si>
  <si>
    <t>ITEM-089da315-1</t>
  </si>
  <si>
    <t>089da315</t>
  </si>
  <si>
    <t>ITEM-1af2dc23-1</t>
  </si>
  <si>
    <t>1af2dc23</t>
  </si>
  <si>
    <t>Amadelli (05/08/2025) - Carga gelado</t>
  </si>
  <si>
    <t>ITEM-1af2dc23-2</t>
  </si>
  <si>
    <t>Notas_Images/bdff6355.Foto.163954.jpg</t>
  </si>
  <si>
    <t>Carga gelado</t>
  </si>
  <si>
    <t>Notas_Images/bdff6355.Foto 1.163954.jpg</t>
  </si>
  <si>
    <t>Notas_Images/bdff6355.Foto 2.163954.jpg</t>
  </si>
  <si>
    <t>ITEM-1af2dc23-3</t>
  </si>
  <si>
    <t>Amadelli (05/08/2025) - Carga gelada</t>
  </si>
  <si>
    <t>Notas_Images/d4a591bb.Foto.165001.jpg</t>
  </si>
  <si>
    <t>ITEM-1af2dc23-4</t>
  </si>
  <si>
    <t>ITEM-1374d0adf-1</t>
  </si>
  <si>
    <t>1374d0adf</t>
  </si>
  <si>
    <t>Banderloff (07/08/2025) - Frutas</t>
  </si>
  <si>
    <t>ITEM-885cd247-1</t>
  </si>
  <si>
    <t>Notas_Images/5589fd42.Foto.134610.jpg</t>
  </si>
  <si>
    <t>885cd247</t>
  </si>
  <si>
    <t>c54707fe</t>
  </si>
  <si>
    <t>ITEM-d2ea0597-1</t>
  </si>
  <si>
    <t>d2ea0597</t>
  </si>
  <si>
    <t>ITEM-cde2fdcb-1</t>
  </si>
  <si>
    <t>cde2fdcb</t>
  </si>
  <si>
    <t>Amadelli (07/08/2025) - Carga seca</t>
  </si>
  <si>
    <t>Notas_Images/aee141d8.Foto.165658.jpg</t>
  </si>
  <si>
    <t>Notas_Images/aee141d8.Foto 1.165658.jpg</t>
  </si>
  <si>
    <t>ITEM-cde2fdcb-2</t>
  </si>
  <si>
    <t>Passarela Center via atacadista (08/08/2025) - Café d equipe</t>
  </si>
  <si>
    <t>ITEM-cde2fdcb-3</t>
  </si>
  <si>
    <t>ITEM-cde2fdcb-4</t>
  </si>
  <si>
    <t>Notas_Images/e36f94f7.Foto.170124.jpg</t>
  </si>
  <si>
    <t>ITEM-cde2fdcb-5</t>
  </si>
  <si>
    <t>ITEM-cde2fdcb-6</t>
  </si>
  <si>
    <t>ITEM-a3e2a35f-1</t>
  </si>
  <si>
    <t>a3e2a35f</t>
  </si>
  <si>
    <t>ITEM-a3e2a35f-2</t>
  </si>
  <si>
    <t>ITEM-a3e2a35f-3</t>
  </si>
  <si>
    <t>ITEM-1b949d4c5-1</t>
  </si>
  <si>
    <t>1b949d4c5</t>
  </si>
  <si>
    <t>ITEM-ae5a1d3a-1</t>
  </si>
  <si>
    <t>ae5a1d3a</t>
  </si>
  <si>
    <t>pedido 75262</t>
  </si>
  <si>
    <t>ITEM-af1c6518-1</t>
  </si>
  <si>
    <t>af1c6518</t>
  </si>
  <si>
    <t>ITEM-13040625-1</t>
  </si>
  <si>
    <t>pedido 74544</t>
  </si>
  <si>
    <t>ITEM-13040625-2</t>
  </si>
  <si>
    <t>ITEM-13040625-3</t>
  </si>
  <si>
    <t>f48b510c</t>
  </si>
  <si>
    <t>ITEM-13040625-4</t>
  </si>
  <si>
    <t>Devolucao de valor cobrado a mais na maquina</t>
  </si>
  <si>
    <t>ITEM-13040625-5</t>
  </si>
  <si>
    <t>ITEM-8b450b0f-1</t>
  </si>
  <si>
    <t>8b450b0f</t>
  </si>
  <si>
    <t>Jandira (11/08/2025) - Produto d limpeza</t>
  </si>
  <si>
    <t>Notas_Images/38c28a94.Foto.174518.jpg</t>
  </si>
  <si>
    <t>ITEM-d1e956d0-1</t>
  </si>
  <si>
    <t>d1e956d0</t>
  </si>
  <si>
    <t>ITEM-1941d6c4a-1</t>
  </si>
  <si>
    <t>1941d6c4a</t>
  </si>
  <si>
    <t>Banderloff (14/08/2025) - Frutas</t>
  </si>
  <si>
    <t>Notas_Images/ea060833.Foto.174314.jpg</t>
  </si>
  <si>
    <t>ITEM-11603-1</t>
  </si>
  <si>
    <t>ITEM-11604-1</t>
  </si>
  <si>
    <t>e3207b85</t>
  </si>
  <si>
    <t>Papelaria guarani (14/08/2025) - Caneta detectora</t>
  </si>
  <si>
    <t>Notas_Images/84663663.Foto.174730.jpg</t>
  </si>
  <si>
    <t>Caneta detectora</t>
  </si>
  <si>
    <t>ITEM-11605-1</t>
  </si>
  <si>
    <t>b9f52509</t>
  </si>
  <si>
    <t>2051768c</t>
  </si>
  <si>
    <t>Coelho e colla (14/08/2025) - Pilha</t>
  </si>
  <si>
    <t>ITEM-572bc041-1</t>
  </si>
  <si>
    <t>Notas_Images/33cc2de1.Foto.174819.jpg</t>
  </si>
  <si>
    <t>572bc041</t>
  </si>
  <si>
    <t>Pilha</t>
  </si>
  <si>
    <t>ITEM-29b20857-1</t>
  </si>
  <si>
    <t>29b20857</t>
  </si>
  <si>
    <t>ITEM-02bcd844-1</t>
  </si>
  <si>
    <t>02bcd844</t>
  </si>
  <si>
    <t>pedido 75440</t>
  </si>
  <si>
    <t>ITEM-4c32044a-1</t>
  </si>
  <si>
    <t>4c32044a</t>
  </si>
  <si>
    <t>Amadelli (15/08/2025) - Kit copo personalizado com 12 canetinha</t>
  </si>
  <si>
    <t>ITEM-02b12000-1</t>
  </si>
  <si>
    <t>Notas_Images/44d109fa.Foto.143807.jpg</t>
  </si>
  <si>
    <t>02b12000</t>
  </si>
  <si>
    <t>Kit copo personalizado com 12 canetinha</t>
  </si>
  <si>
    <t>ITEM-9a343297-1</t>
  </si>
  <si>
    <t>9a343297</t>
  </si>
  <si>
    <t>Amadelli (15/08/2025) - Kit copo personalizado com 12 canetinhas</t>
  </si>
  <si>
    <t>Notas_Images/006eaa53.Foto.144221.jpg</t>
  </si>
  <si>
    <t>Kit copo personalizado com 12 canetinhas</t>
  </si>
  <si>
    <t>ITEM-1f3b9c625-1</t>
  </si>
  <si>
    <t>1f3b9c625</t>
  </si>
  <si>
    <t>ITEM-2be32037-1</t>
  </si>
  <si>
    <t>2be32037</t>
  </si>
  <si>
    <t>Superviza Supermercado (15/08/2025) - Café da equipe</t>
  </si>
  <si>
    <t>Notas_Images/2f708b58.Foto.171745.jpg</t>
  </si>
  <si>
    <t>ITEM-41fa3f3b-1</t>
  </si>
  <si>
    <t>41fa3f3b</t>
  </si>
  <si>
    <t>ITEM-8a3440e8-1</t>
  </si>
  <si>
    <t>8a3440e8</t>
  </si>
  <si>
    <t>Banderloff (18/08/2025) - Frutas</t>
  </si>
  <si>
    <t>Notas_Images/1540f434.Foto.144343.jpg</t>
  </si>
  <si>
    <t>ITEM-ca4ea173-1</t>
  </si>
  <si>
    <t>ca4ea173</t>
  </si>
  <si>
    <t>ITEM-7a5405ba-1</t>
  </si>
  <si>
    <t>Amadelli (18/08/2025) - Carga seca</t>
  </si>
  <si>
    <t>7a5405ba</t>
  </si>
  <si>
    <t>Notas_Images/90103ed8.Foto.144423.jpg</t>
  </si>
  <si>
    <t>ITEM-5c207176-1</t>
  </si>
  <si>
    <t>5c207176</t>
  </si>
  <si>
    <t>ITEM-5cbd2a26-1</t>
  </si>
  <si>
    <t>5cbd2a26</t>
  </si>
  <si>
    <t>Pro food embalagens (18/08/2025) - Embalagens</t>
  </si>
  <si>
    <t>Notas_Images/b193dc71.Foto.144547.jpg</t>
  </si>
  <si>
    <t>ITEM-f9218ab4-1</t>
  </si>
  <si>
    <t>f9218ab4</t>
  </si>
  <si>
    <t>Amadelli (18/08/2025) - Estoque gelado</t>
  </si>
  <si>
    <t>Notas_Images/3797b5ed.Foto.192830.jpg</t>
  </si>
  <si>
    <t>ITEM-ee634382-1</t>
  </si>
  <si>
    <t>ee634382</t>
  </si>
  <si>
    <t>Notas_Images/3797b5ed.Foto 1.192830.jpg</t>
  </si>
  <si>
    <t>Banderloff (20/08/2025) - Frutad</t>
  </si>
  <si>
    <t>Notas_Images/4798cb3b.Foto.144300.jpg</t>
  </si>
  <si>
    <t>ITEM-2da51275-1</t>
  </si>
  <si>
    <t>2da51275</t>
  </si>
  <si>
    <t>Pro food embalagens (20/08/2025) - Embalagens</t>
  </si>
  <si>
    <t>Notas_Images/77db9e49.Foto.170852.jpg</t>
  </si>
  <si>
    <t>ITEM-d3c272ab-1</t>
  </si>
  <si>
    <t>d3c272ab</t>
  </si>
  <si>
    <t>ITEM-17777de3-1</t>
  </si>
  <si>
    <t>17777de3</t>
  </si>
  <si>
    <t>BS bebidas (15/08/2025) - Bebidas</t>
  </si>
  <si>
    <t>ITEM-b95178bc-1</t>
  </si>
  <si>
    <t>Notas_Images/a8dfdd0c.Foto.171611.jpg</t>
  </si>
  <si>
    <t>b95178bc</t>
  </si>
  <si>
    <t>ITEM-486f40dc-1</t>
  </si>
  <si>
    <t>486f40dc</t>
  </si>
  <si>
    <t>ITEM-465a4f91-1</t>
  </si>
  <si>
    <t>c48d9f6d</t>
  </si>
  <si>
    <t>465a4f91</t>
  </si>
  <si>
    <t>Coca Cola (21/08/2025) - Bebidas</t>
  </si>
  <si>
    <t>Notas_Images/1dae2b4d.Foto.192907.jpg</t>
  </si>
  <si>
    <t>ITEM-0c741d22-1</t>
  </si>
  <si>
    <t>0c741d22</t>
  </si>
  <si>
    <t>ITEM-517a52b6-1</t>
  </si>
  <si>
    <t>517a52b6</t>
  </si>
  <si>
    <t>Coca Cola (14/08/2025) - Bebidas</t>
  </si>
  <si>
    <t>Notas_Images/379dc9f2.Foto.174028.jpg</t>
  </si>
  <si>
    <t>ITEM-40846940-1</t>
  </si>
  <si>
    <t>ITEM-c415abed-1</t>
  </si>
  <si>
    <t>c415abed</t>
  </si>
  <si>
    <t>Adiantamento 13°</t>
  </si>
  <si>
    <t>ITEM-c415abed-2</t>
  </si>
  <si>
    <t>ITEM-c415abed-3</t>
  </si>
  <si>
    <t>ITEM-272a46f8-1</t>
  </si>
  <si>
    <t>272a46f8</t>
  </si>
  <si>
    <t>serv copo pers</t>
  </si>
  <si>
    <t>ITEM-110c0a850-1</t>
  </si>
  <si>
    <t>110c0a850</t>
  </si>
  <si>
    <t>ef149653</t>
  </si>
  <si>
    <t>ITEM-1b30cd793-1</t>
  </si>
  <si>
    <t>ki copo pers</t>
  </si>
  <si>
    <t>1b30cd793</t>
  </si>
  <si>
    <t>902a5e1e</t>
  </si>
  <si>
    <t>ITEM-17e7ced6b-1</t>
  </si>
  <si>
    <t>17e7ced6b</t>
  </si>
  <si>
    <t>872d2a3a</t>
  </si>
  <si>
    <t>ITEM-10ebc5df7-1</t>
  </si>
  <si>
    <t>pedido 77243</t>
  </si>
  <si>
    <t>10ebc5df7</t>
  </si>
  <si>
    <t>bf7b5db4</t>
  </si>
  <si>
    <t>ITEM-12ed46238-1</t>
  </si>
  <si>
    <t>12ed46238</t>
  </si>
  <si>
    <t>8ce4df9b</t>
  </si>
  <si>
    <t>ITEM-1fabd25fa-1</t>
  </si>
  <si>
    <t>1fabd25fa</t>
  </si>
  <si>
    <t>pedido 78088</t>
  </si>
  <si>
    <t>ITEM-109e16d06-1</t>
  </si>
  <si>
    <t>109e16d06</t>
  </si>
  <si>
    <t>pedido 78085</t>
  </si>
  <si>
    <t>ITEM-17a571a05-1</t>
  </si>
  <si>
    <t>17a571a05</t>
  </si>
  <si>
    <t>ITEM-10fd6b9d1-1</t>
  </si>
  <si>
    <t>10fd6b9d1</t>
  </si>
  <si>
    <t>Notas_Images/c66c6ea0.Foto.182751.jpg</t>
  </si>
  <si>
    <t>ITEM-1d705e617-1</t>
  </si>
  <si>
    <t>1d705e617</t>
  </si>
  <si>
    <t>ITEM-14fe4ee1c-1</t>
  </si>
  <si>
    <t>14fe4ee1c</t>
  </si>
  <si>
    <t>ITEM-198c37bc9-1</t>
  </si>
  <si>
    <t>198c37bc9</t>
  </si>
  <si>
    <t>Camila Morango (18/08/2025) - Morango</t>
  </si>
  <si>
    <t>Notas_Images/5d4d4cb0.Foto.143411.jpg</t>
  </si>
  <si>
    <t>ITEM-15c6f12df-1</t>
  </si>
  <si>
    <t>15c6f12df</t>
  </si>
  <si>
    <t>ITEM-14e32bf3c-1</t>
  </si>
  <si>
    <t>Banderloff (22/08/2025) - Frutas</t>
  </si>
  <si>
    <t>14e32bf3c</t>
  </si>
  <si>
    <t>Notas_Images/28d4bb1f.Foto.143614.jpg</t>
  </si>
  <si>
    <t>ITEM-11155f7f7-1</t>
  </si>
  <si>
    <t>11155f7f7</t>
  </si>
  <si>
    <t>Passarela Center via atacadista (22/08/2025) - Café da equipe</t>
  </si>
  <si>
    <t>Notas_Images/583eb837.Foto.143655.jpg</t>
  </si>
  <si>
    <t>ITEM-13d18dc79-1</t>
  </si>
  <si>
    <t>13d18dc79</t>
  </si>
  <si>
    <t>ITEM-1515ad597-1</t>
  </si>
  <si>
    <t>1515ad597</t>
  </si>
  <si>
    <t>Camila Morango (24/08/2025) - Morango</t>
  </si>
  <si>
    <t>Notas_Images/2b09337f.Foto.101002.jpg</t>
  </si>
  <si>
    <t>ITEM-1860db9e2-1</t>
  </si>
  <si>
    <t>1860db9e2</t>
  </si>
  <si>
    <t>ITEM-11625-1</t>
  </si>
  <si>
    <t>ITEM-11626-1</t>
  </si>
  <si>
    <t>R%1800 M.O. + R$928,60 Materiais</t>
  </si>
  <si>
    <t>ITEM-11627-1</t>
  </si>
  <si>
    <t>ITEM-11628-1</t>
  </si>
  <si>
    <t>ITEM-11629-1</t>
  </si>
  <si>
    <t>ITEM-11630-1</t>
  </si>
  <si>
    <t>ITEM-11631-1</t>
  </si>
  <si>
    <t>ITEM-11632-1</t>
  </si>
  <si>
    <t>Empréstimo pessoal Patrícia 8/25</t>
  </si>
  <si>
    <t>ITEM-11633-1</t>
  </si>
  <si>
    <t>ITEM-11634-1</t>
  </si>
  <si>
    <t>ITEM-11635-1</t>
  </si>
  <si>
    <t>ITEM-11636-1</t>
  </si>
  <si>
    <t>ITEM-6b1254fb-1</t>
  </si>
  <si>
    <t>6b1254fb</t>
  </si>
  <si>
    <t>ITEM-e129a019-1</t>
  </si>
  <si>
    <t>e129a019</t>
  </si>
  <si>
    <t>ITEM-1544d848-1</t>
  </si>
  <si>
    <t>1544d848</t>
  </si>
  <si>
    <t>Patrimonial (01/08/2025) - Monitoramento das câmeras</t>
  </si>
  <si>
    <t>ITEM-1544d848-2</t>
  </si>
  <si>
    <t>Notas_Images/6bbfbe7a.Foto.144527.jpg</t>
  </si>
  <si>
    <t>ITEM-1544d848-3</t>
  </si>
  <si>
    <t>ITEM-1544d848-4</t>
  </si>
  <si>
    <t>Alternativa Comunicação Visual (25/08/2025) - Adesivos</t>
  </si>
  <si>
    <t>Notas_Images/a3f56b09.Foto.144810.jpg</t>
  </si>
  <si>
    <t>ITEM-dd3bed4c-1</t>
  </si>
  <si>
    <t>dd3bed4c</t>
  </si>
  <si>
    <t>ITEM-dd3bed4c-2</t>
  </si>
  <si>
    <t>ITEM-dd3bed4c-3</t>
  </si>
  <si>
    <t>ITEM-dd3bed4c-4</t>
  </si>
  <si>
    <t>ITEM-dd3bed4c-5</t>
  </si>
  <si>
    <t>Ambev (27/08/2025) - Bebidas</t>
  </si>
  <si>
    <t>Notas_Images/4443c9c6.Foto.175455.jpg</t>
  </si>
  <si>
    <t>ITEM-70eb98f9-1</t>
  </si>
  <si>
    <t>70eb98f9</t>
  </si>
  <si>
    <t>Coca Cola (28/08/2025) - Bebidas</t>
  </si>
  <si>
    <t>Notas_Images/dcff393f.Foto.185905.jpg</t>
  </si>
  <si>
    <t>ITEM-da70488d-1</t>
  </si>
  <si>
    <t>da70488d</t>
  </si>
  <si>
    <t>ITEM-b3dfdd46-1</t>
  </si>
  <si>
    <t>b3dfdd46</t>
  </si>
  <si>
    <t>54c2bfc5</t>
  </si>
  <si>
    <t>ITEM-b3dfdd46-2</t>
  </si>
  <si>
    <t>ITEM-b3dfdd46-3</t>
  </si>
  <si>
    <t>ITEM-0ad4942e-1</t>
  </si>
  <si>
    <t>0ad4942e</t>
  </si>
  <si>
    <t>c05a6e32</t>
  </si>
  <si>
    <t>ITEM-8c5b1e11-1</t>
  </si>
  <si>
    <t>8c5b1e11</t>
  </si>
  <si>
    <t>ITEM-eced661f-1</t>
  </si>
  <si>
    <t>Camila Morango (29/08/2025) - Morango</t>
  </si>
  <si>
    <t>eced661f</t>
  </si>
  <si>
    <t>Notas_Images/4d41b66e.Foto.181807.jpg</t>
  </si>
  <si>
    <t>ITEM-2b9a726f-1</t>
  </si>
  <si>
    <t>2b9a726f</t>
  </si>
  <si>
    <t>ITEM-1b02d5b8-1</t>
  </si>
  <si>
    <t>1b02d5b8</t>
  </si>
  <si>
    <t>Banderloff (30/08/2025) - Frutas</t>
  </si>
  <si>
    <t>Notas_Images/52d968a3.Foto.175838.jpg</t>
  </si>
  <si>
    <t>ITEM-bcb85bdd-1</t>
  </si>
  <si>
    <t>bcb85bdd</t>
  </si>
  <si>
    <t>Camila Morango (31/08/2025) - Morango</t>
  </si>
  <si>
    <t>ITEM-f2098680-1</t>
  </si>
  <si>
    <t>Notas_Images/ebfee87d.Foto.005447.jpg</t>
  </si>
  <si>
    <t>f2098680</t>
  </si>
  <si>
    <t>ITEM-5b5f4409-1</t>
  </si>
  <si>
    <t>5b5f4409</t>
  </si>
  <si>
    <t>agosto</t>
  </si>
  <si>
    <t>ITEM-f30934e3-1</t>
  </si>
  <si>
    <t>f30934e3</t>
  </si>
  <si>
    <t>ITEM-4ed13a52-1</t>
  </si>
  <si>
    <t>4ed13a52</t>
  </si>
  <si>
    <t>ITEM-f5fcdd9c-1</t>
  </si>
  <si>
    <t>f5fcdd9c</t>
  </si>
  <si>
    <t>ITEM-4ab895c5-1</t>
  </si>
  <si>
    <t>4ab895c5</t>
  </si>
  <si>
    <t>ITEM-efea8ed1-1</t>
  </si>
  <si>
    <t>efea8ed1</t>
  </si>
  <si>
    <t>ITEM-d476cb1e-1</t>
  </si>
  <si>
    <t>d476cb1e</t>
  </si>
  <si>
    <t>ITEM-1793b734-1</t>
  </si>
  <si>
    <t>1793b734</t>
  </si>
  <si>
    <t>ITEM-8bea37bf-1</t>
  </si>
  <si>
    <t>8bea37bf</t>
  </si>
  <si>
    <t>Amadelli (02/09/2025) - Carga gelada</t>
  </si>
  <si>
    <t>Notas_Images/756ba5e3.Foto.140817.jpg</t>
  </si>
  <si>
    <t>ITEM-8e2aac5c-1</t>
  </si>
  <si>
    <t>8e2aac5c</t>
  </si>
  <si>
    <t>ITEM-c88aa135-1</t>
  </si>
  <si>
    <t>c88aa135</t>
  </si>
  <si>
    <t>Notas_Images/4bccd7c1.Foto.140925.jpg</t>
  </si>
  <si>
    <t>Notas_Images/4bccd7c1.Foto 1.140925.jpg</t>
  </si>
  <si>
    <t>ITEM-7b808192-1</t>
  </si>
  <si>
    <t>Notas_Images/4bccd7c1.Foto 2.140925.jpg</t>
  </si>
  <si>
    <t>7b808192</t>
  </si>
  <si>
    <t>ITEM-98877b82-1</t>
  </si>
  <si>
    <t>Banderloff (03/09/2025) - Frutas</t>
  </si>
  <si>
    <t>98877b82</t>
  </si>
  <si>
    <t>Notas_Images/9483ae9b.Foto.174656.jpg</t>
  </si>
  <si>
    <t>ITEM-7faea11d-1</t>
  </si>
  <si>
    <t>7faea11d</t>
  </si>
  <si>
    <t>Coca Cola (04/09/2025) - Bebidas</t>
  </si>
  <si>
    <t>Notas_Images/3fb98f3b.Foto.131317.jpg</t>
  </si>
  <si>
    <t>ITEM-77fc93b6-1</t>
  </si>
  <si>
    <t>77fc93b6</t>
  </si>
  <si>
    <t>ITEM-77fc93b6-2</t>
  </si>
  <si>
    <t>Amadelli (04/09/2025) - Estoque seca</t>
  </si>
  <si>
    <t>Notas_Images/2d646b00.Foto.185908.jpg</t>
  </si>
  <si>
    <t>ITEM-77fc93b6-3</t>
  </si>
  <si>
    <t>Estoque seca</t>
  </si>
  <si>
    <t>Notas_Images/2d646b00.Foto 1.185908.jpg</t>
  </si>
  <si>
    <t>ITEM-77fc93b6-4</t>
  </si>
  <si>
    <t>Banderloff (05/09/2025) - Frutas</t>
  </si>
  <si>
    <t>Notas_Images/f8993045.Foto.001055.jpg</t>
  </si>
  <si>
    <t>ITEM-77fc93b6-5</t>
  </si>
  <si>
    <t>Camila Morango (05/09/2025) - Morango</t>
  </si>
  <si>
    <t>ITEM-77fc93b6-6</t>
  </si>
  <si>
    <t>Notas_Images/69dab3fd.Foto.130955.jpg</t>
  </si>
  <si>
    <t>ITEM-77fc93b6-7</t>
  </si>
  <si>
    <t>ITEM-77fc93b6-8</t>
  </si>
  <si>
    <t>Delivery Much (01/09/2025) - Aplicativo de delivery</t>
  </si>
  <si>
    <t>Notas_Images/18355004.Foto.173614.jpg</t>
  </si>
  <si>
    <t>ITEM-13bee3287-1</t>
  </si>
  <si>
    <t>13bee3287</t>
  </si>
  <si>
    <t>Help Multi Coisas (09/09/2025) - Caderno</t>
  </si>
  <si>
    <t>ITEM-1cb4ce230-1</t>
  </si>
  <si>
    <t>Notas_Images/f493aea3.Foto.174358.jpg</t>
  </si>
  <si>
    <t>1cb4ce230</t>
  </si>
  <si>
    <t>Caderno</t>
  </si>
  <si>
    <t>ITEM-1916cc0d2-1</t>
  </si>
  <si>
    <t>1916cc0d2</t>
  </si>
  <si>
    <t>ITEM-5c4cdd03-1</t>
  </si>
  <si>
    <t>5c4cdd03</t>
  </si>
  <si>
    <t>Auto Coletivo Caçador (09/09/2025) - Vale transporte bruna</t>
  </si>
  <si>
    <t>Notas_Images/25c42bce.Foto.190821.jpg</t>
  </si>
  <si>
    <t>ITEM-498cdb7e-1</t>
  </si>
  <si>
    <t>498cdb7e</t>
  </si>
  <si>
    <t>ITEM-498cdb7e-2</t>
  </si>
  <si>
    <t>Banderloff (10/09/2025) - Frutas</t>
  </si>
  <si>
    <t>Notas_Images/44178350.Foto.195855.jpg</t>
  </si>
  <si>
    <t>ITEM-498cdb7e-3</t>
  </si>
  <si>
    <t>ITEM-498cdb7e-4</t>
  </si>
  <si>
    <t>Jandira (10/09/2025) - Produto de limoeza</t>
  </si>
  <si>
    <t>ITEM-498cdb7e-5</t>
  </si>
  <si>
    <t>Notas_Images/50b69fee.Foto.195938.jpg</t>
  </si>
  <si>
    <t>Produto de limoeza</t>
  </si>
  <si>
    <t>ITEM-aa836774-1</t>
  </si>
  <si>
    <t>aa836774</t>
  </si>
  <si>
    <t>ITEM-f7ab9fba-1</t>
  </si>
  <si>
    <t>f7ab9fba</t>
  </si>
  <si>
    <t>Casa das Embalagens (11/09/2025) - Granulado leite em po</t>
  </si>
  <si>
    <t>Notas_Images/819d6b61.Foto.194349.jpg</t>
  </si>
  <si>
    <t>ITEM-d230334e-1</t>
  </si>
  <si>
    <t>Granulado leite em po</t>
  </si>
  <si>
    <t>d230334e</t>
  </si>
  <si>
    <t>ITEM-44606334-1</t>
  </si>
  <si>
    <t>ITEM-7e74214f-1</t>
  </si>
  <si>
    <t>7e74214f</t>
  </si>
  <si>
    <t>Coca Cola (11/09/2025) - Bebidas</t>
  </si>
  <si>
    <t>Notas_Images/3c0cee81.Foto.195550.jpg</t>
  </si>
  <si>
    <t>ITEM-0be4414c-1</t>
  </si>
  <si>
    <t>0be4414c</t>
  </si>
  <si>
    <t>ITEM-17b571e8-1</t>
  </si>
  <si>
    <t>17b571e8</t>
  </si>
  <si>
    <t>Suco prats (12/09/2025) - Suco</t>
  </si>
  <si>
    <t>ITEM-c5e590aa-1</t>
  </si>
  <si>
    <t>c5e590aa</t>
  </si>
  <si>
    <t>Notas_Images/bb217a8b.Foto.215419.jpg</t>
  </si>
  <si>
    <t>ITEM-eb0c2c75-1</t>
  </si>
  <si>
    <t>eb0c2c75</t>
  </si>
  <si>
    <t>ITEM-3d539027-1</t>
  </si>
  <si>
    <t>3d539027</t>
  </si>
  <si>
    <t>caita supermercado (12/09/2025) - Café da equipe final de semana</t>
  </si>
  <si>
    <t>ITEM-3d539027-2</t>
  </si>
  <si>
    <t>Notas_Images/333e0e93.Foto.215519.jpg</t>
  </si>
  <si>
    <t>Café da equipe final de semana</t>
  </si>
  <si>
    <t>ITEM-3d539027-3</t>
  </si>
  <si>
    <t>ITEM-3d539027-4</t>
  </si>
  <si>
    <t>Banderloff (12/09/2025) - Frutas</t>
  </si>
  <si>
    <t>ITEM-3d539027-5</t>
  </si>
  <si>
    <t>Notas_Images/0725210d.Foto.215604.jpg</t>
  </si>
  <si>
    <t>ITEM-3d539027-6</t>
  </si>
  <si>
    <t>ITEM-3d539027-7</t>
  </si>
  <si>
    <t>Camila Morango (12/09/2025) - Morango</t>
  </si>
  <si>
    <t>Notas_Images/a2de73df.Foto.215831.jpg</t>
  </si>
  <si>
    <t>ITEM-3d539027-8</t>
  </si>
  <si>
    <t>ITEM-3d539027-9</t>
  </si>
  <si>
    <t>caita supermercado (13/09/2025) - Leite em pl</t>
  </si>
  <si>
    <t>Notas_Images/0bb10f82.Foto.215329.jpg</t>
  </si>
  <si>
    <t>ITEM-3d539027-10</t>
  </si>
  <si>
    <t>Leite em pl</t>
  </si>
  <si>
    <t>ITEM-3d539027-11</t>
  </si>
  <si>
    <t>ITEM-3d539027-12</t>
  </si>
  <si>
    <t>Pedido 80815 Nota de serviço</t>
  </si>
  <si>
    <t>ITEM-1d53b9cb9-1</t>
  </si>
  <si>
    <t>1d53b9cb9</t>
  </si>
  <si>
    <t>ITEM-1ee18f60e-1</t>
  </si>
  <si>
    <t>1ee18f60e</t>
  </si>
  <si>
    <t>Pedido 78946 Nota de serviço</t>
  </si>
  <si>
    <t>ITEM-f62d86f1-1</t>
  </si>
  <si>
    <t>f62d86f1</t>
  </si>
  <si>
    <t>ITEM-f62d86f1-2</t>
  </si>
  <si>
    <t>ITEM-f62d86f1-3</t>
  </si>
  <si>
    <t>Pedido 80826</t>
  </si>
  <si>
    <t>ITEM-f62d86f1-4</t>
  </si>
  <si>
    <t>ITEM-f62d86f1-5</t>
  </si>
  <si>
    <t>Banderloff (15/09/2025) - Frutas</t>
  </si>
  <si>
    <t>Notas_Images/68031711.Foto.194631.jpg</t>
  </si>
  <si>
    <t>ITEM-badf3a8a-1</t>
  </si>
  <si>
    <t>badf3a8a</t>
  </si>
  <si>
    <t>ITEM-81c8942d-1</t>
  </si>
  <si>
    <t>81c8942d</t>
  </si>
  <si>
    <t>Alternativa Comunicação Visual (17/09/2025) - Adesivos</t>
  </si>
  <si>
    <t>Notas_Images/55fd33f5.Foto.194543.jpg</t>
  </si>
  <si>
    <t>ITEM-9436402e-1</t>
  </si>
  <si>
    <t>9436402e</t>
  </si>
  <si>
    <t>ITEM-1fbe332f-1</t>
  </si>
  <si>
    <t>1fbe332f</t>
  </si>
  <si>
    <t>ITEM-de6fd222-1</t>
  </si>
  <si>
    <t>de6fd222</t>
  </si>
  <si>
    <t>Banderloff (17/09/2025) - Frutas</t>
  </si>
  <si>
    <t>Notas_Images/dc8b78b8.Foto.194725.jpg</t>
  </si>
  <si>
    <t>ITEM-641a803d-1</t>
  </si>
  <si>
    <t>641a803d</t>
  </si>
  <si>
    <t>ITEM-1766bf53-1</t>
  </si>
  <si>
    <t>1766bf53</t>
  </si>
  <si>
    <t>ITEM-1766bf53-2</t>
  </si>
  <si>
    <t>ITEM-1766bf53-3</t>
  </si>
  <si>
    <t>Amadelli (16/09/2025) - Cartaz</t>
  </si>
  <si>
    <t>ITEM-1766bf53-4</t>
  </si>
  <si>
    <t>Notas_Images/d6dba670.Foto.173608.jpg</t>
  </si>
  <si>
    <t>Cartaz</t>
  </si>
  <si>
    <t>ITEM-5b71c889-1</t>
  </si>
  <si>
    <t>5b71c889</t>
  </si>
  <si>
    <t>ITEM-131fe02f5-1</t>
  </si>
  <si>
    <t>131fe02f5</t>
  </si>
  <si>
    <t>ITEM-1983b8819-1</t>
  </si>
  <si>
    <t>1983b8819</t>
  </si>
  <si>
    <t>ITEM-9b5ab1a9-1</t>
  </si>
  <si>
    <t>9b5ab1a9</t>
  </si>
  <si>
    <t>Amadelli (16/09/2025) - Carga gelada</t>
  </si>
  <si>
    <t>ITEM-aa65b359-1</t>
  </si>
  <si>
    <t>aa65b359</t>
  </si>
  <si>
    <t>Notas_Images/3f84382b.Foto.173755.jpg</t>
  </si>
  <si>
    <t>ITEM-aa65b359-2</t>
  </si>
  <si>
    <t>Notas_Images/3f84382b.Foto 1.173754.jpg</t>
  </si>
  <si>
    <t>ITEM-aa65b359-3</t>
  </si>
  <si>
    <t>Notas_Images/3f84382b.Foto 2.173754.jpg</t>
  </si>
  <si>
    <t>ITEM-aa65b359-4</t>
  </si>
  <si>
    <t>ITEM-aa65b359-5</t>
  </si>
  <si>
    <t>b89a28e6</t>
  </si>
  <si>
    <t>Mercado morrigi (17/09/2025) - Leite em po</t>
  </si>
  <si>
    <t>ITEM-527e6cf0-1</t>
  </si>
  <si>
    <t>Notas_Images/d20145c9.Foto.174348.jpg</t>
  </si>
  <si>
    <t>527e6cf0</t>
  </si>
  <si>
    <t>ITEM-bfbad37a-1</t>
  </si>
  <si>
    <t>bfbad37a</t>
  </si>
  <si>
    <t>ITEM-f12617f7-1</t>
  </si>
  <si>
    <t>f12617f7</t>
  </si>
  <si>
    <t>ITEM-f12617f7-2</t>
  </si>
  <si>
    <t>ITEM-f12617f7-3</t>
  </si>
  <si>
    <t>Coca Cola (18/09/2025) - Bebidas</t>
  </si>
  <si>
    <t>ITEM-5d4f8213-1</t>
  </si>
  <si>
    <t>5d4f8213</t>
  </si>
  <si>
    <t>Notas_Images/8e12f8db.Foto.191649.jpg</t>
  </si>
  <si>
    <t>ITEM-f7b37fe0-1</t>
  </si>
  <si>
    <t>f7b37fe0</t>
  </si>
  <si>
    <t>Notas_Images/8e12f8db.Foto 1.191649.jpg</t>
  </si>
  <si>
    <t>ITEM-f7b37fe0-2</t>
  </si>
  <si>
    <t>ITEM-f7b37fe0-3</t>
  </si>
  <si>
    <t>Banderloff (19/09/2025) - Frutas</t>
  </si>
  <si>
    <t>ITEM-2e9a42ad-1</t>
  </si>
  <si>
    <t>2e9a42ad</t>
  </si>
  <si>
    <t>Notas_Images/714523bc.Foto.140615.jpg</t>
  </si>
  <si>
    <t>ITEM-2e9a42ad-2</t>
  </si>
  <si>
    <t>ITEM-2e9a42ad-3</t>
  </si>
  <si>
    <t>ITEM-2e9a42ad-4</t>
  </si>
  <si>
    <t>ITEM-924f6330-1</t>
  </si>
  <si>
    <t>924f6330</t>
  </si>
  <si>
    <t>460b2157</t>
  </si>
  <si>
    <t>Camila Morango (19/09/2025) - Morango</t>
  </si>
  <si>
    <t>ITEM-429b901f-1</t>
  </si>
  <si>
    <t>429b901f</t>
  </si>
  <si>
    <t>Notas_Images/4d8e798e.Foto.140741.jpg</t>
  </si>
  <si>
    <t>ITEM-429b901f-2</t>
  </si>
  <si>
    <t>ITEM-429b901f-3</t>
  </si>
  <si>
    <t>ITEM-429b901f-4</t>
  </si>
  <si>
    <t>ITEM-429b901f-5</t>
  </si>
  <si>
    <t>ITEM-429b901f-6</t>
  </si>
  <si>
    <t>Notas_Images/98c33dc9.Foto.191956.jpg</t>
  </si>
  <si>
    <t>ITEM-429b901f-7</t>
  </si>
  <si>
    <t>ITEM-429b901f-8</t>
  </si>
  <si>
    <t>ITEM-429b901f-9</t>
  </si>
  <si>
    <t>ITEM-429b901f-10</t>
  </si>
  <si>
    <t>ITEM-429b901f-11</t>
  </si>
  <si>
    <t>Taxa registro da contabilidade</t>
  </si>
  <si>
    <t>ITEM-144cea8c3-1</t>
  </si>
  <si>
    <t>144cea8c3</t>
  </si>
  <si>
    <t>ITEM-4ae72956-1</t>
  </si>
  <si>
    <t>4ae72956</t>
  </si>
  <si>
    <t>ITEM-1f8e451b3-1</t>
  </si>
  <si>
    <t>1f8e451b3</t>
  </si>
  <si>
    <t>ITEM-1b6a45a7a-1</t>
  </si>
  <si>
    <t>1b6a45a7a</t>
  </si>
  <si>
    <t>ITEM-11656-1</t>
  </si>
  <si>
    <t>ce01b323</t>
  </si>
  <si>
    <t>INMETRO (24/09/2025) - Verificação balançca</t>
  </si>
  <si>
    <t>ITEM-11657-1</t>
  </si>
  <si>
    <t>Notas_Images/82e80ced.Foto.180306.jpg</t>
  </si>
  <si>
    <t>Verificação balançca</t>
  </si>
  <si>
    <t>ITEM-11658-1</t>
  </si>
  <si>
    <t>ITEM-11660-1</t>
  </si>
  <si>
    <t>ITEM-1ea8a89db-1</t>
  </si>
  <si>
    <t>1ea8a89db</t>
  </si>
  <si>
    <t>ITEM-11665-1</t>
  </si>
  <si>
    <t>3031a855</t>
  </si>
  <si>
    <t>ITEM-11678-1</t>
  </si>
  <si>
    <t>ITEM-11679-1</t>
  </si>
  <si>
    <t>1836c060</t>
  </si>
  <si>
    <t>ITEM-11680-1</t>
  </si>
  <si>
    <t>ITEM-1b56e4b26-1</t>
  </si>
  <si>
    <t>0ba4b2c2</t>
  </si>
  <si>
    <t>1b56e4b26</t>
  </si>
  <si>
    <t>ITEM-186fbf6eb-1</t>
  </si>
  <si>
    <t>186fbf6eb</t>
  </si>
  <si>
    <t>4fcb9b72</t>
  </si>
  <si>
    <t>Pedido 83357 nota de serviço</t>
  </si>
  <si>
    <t>ITEM-1478af5ac-1</t>
  </si>
  <si>
    <t>1478af5ac</t>
  </si>
  <si>
    <t>ITEM-1da68ec73-1</t>
  </si>
  <si>
    <t>1da68ec73</t>
  </si>
  <si>
    <t>ITEM-2d130bdd-1</t>
  </si>
  <si>
    <t>2d130bdd</t>
  </si>
  <si>
    <t>Pedido 82149 nota de serviço</t>
  </si>
  <si>
    <t>ITEM-2d130bdd-2</t>
  </si>
  <si>
    <t>ea5719dc</t>
  </si>
  <si>
    <t>ITEM-2d130bdd-3</t>
  </si>
  <si>
    <t>ITEM-2d130bdd-4</t>
  </si>
  <si>
    <t>ITEM-b0c6ed45-1</t>
  </si>
  <si>
    <t>Pedido 83400 nota de serviço</t>
  </si>
  <si>
    <t>b0c6ed45</t>
  </si>
  <si>
    <t>ITEM-63f818c9-1</t>
  </si>
  <si>
    <t>63f818c9</t>
  </si>
  <si>
    <t>ITEM-9d2f293b-1</t>
  </si>
  <si>
    <t>9d2f293b</t>
  </si>
  <si>
    <t>ITEM-b35f9925-1</t>
  </si>
  <si>
    <t>b35f9925</t>
  </si>
  <si>
    <t>ITEM-1ebb41451-1</t>
  </si>
  <si>
    <t>1ebb41451</t>
  </si>
  <si>
    <t>ITEM-0f0bacac-1</t>
  </si>
  <si>
    <t>0f0bacac</t>
  </si>
  <si>
    <t>5be51b45</t>
  </si>
  <si>
    <t>ITEM-74281c0e-1</t>
  </si>
  <si>
    <t>74281c0e</t>
  </si>
  <si>
    <t>Empréstimo pessoal Patrícia 9/25</t>
  </si>
  <si>
    <t>ITEM-e512fdcf-1</t>
  </si>
  <si>
    <t>e512fdcf</t>
  </si>
  <si>
    <t>ITEM-ff7f3b38-1</t>
  </si>
  <si>
    <t>ff7f3b38</t>
  </si>
  <si>
    <t>ITEM-9f8e9ec7-1</t>
  </si>
  <si>
    <t>9f8e9ec7</t>
  </si>
  <si>
    <t>ITEM-9f8e9ec7-2</t>
  </si>
  <si>
    <t>ITEM-40fde88d-1</t>
  </si>
  <si>
    <t>40fde88d</t>
  </si>
  <si>
    <t>ITEM-40fde88d-2</t>
  </si>
  <si>
    <t>ITEM-40fde88d-3</t>
  </si>
  <si>
    <t>ITEM-40fde88d-4</t>
  </si>
  <si>
    <t>Patrimonial (01/09/2025) - Monitoramento das cameras</t>
  </si>
  <si>
    <t>Notas_Images/c684376f.Foto.141313.jpg</t>
  </si>
  <si>
    <t>ITEM-45e26bcb-1</t>
  </si>
  <si>
    <t>45e26bcb</t>
  </si>
  <si>
    <t>ITEM-09e2163c-1</t>
  </si>
  <si>
    <t>09e2163c</t>
  </si>
  <si>
    <t>ITEM-3cb76dae-1</t>
  </si>
  <si>
    <t>3cb76dae</t>
  </si>
  <si>
    <t>EXTERMINIO DESINSETIZADORA (01/09/2025) - Dedetização d loja</t>
  </si>
  <si>
    <t>Notas_Images/1cca85a5.Foto.141900.jpg</t>
  </si>
  <si>
    <t>Dedetização d loja</t>
  </si>
  <si>
    <t>ITEM-3cb76dae-2</t>
  </si>
  <si>
    <t>ITEM-3cb76dae-3</t>
  </si>
  <si>
    <t>ITEM-3cb76dae-4</t>
  </si>
  <si>
    <t>ITEM-11676-1</t>
  </si>
  <si>
    <t>ITEM-11681-1</t>
  </si>
  <si>
    <t>Amadelli (17/09/2025) - Estoque seco</t>
  </si>
  <si>
    <t>Notas_Images/2544d037.Foto.141357.jpg</t>
  </si>
  <si>
    <t>ITEM-156b9d981-1</t>
  </si>
  <si>
    <t>156b9d981</t>
  </si>
  <si>
    <t>Notas_Images/2544d037.Foto 1.141357.jpg</t>
  </si>
  <si>
    <t>ITEM-174d427db-1</t>
  </si>
  <si>
    <t>174d427db</t>
  </si>
  <si>
    <t>ITEM-17c4137cf-1</t>
  </si>
  <si>
    <t>BS bebidas (25/09/2025) - Água com gas</t>
  </si>
  <si>
    <t>17c4137cf</t>
  </si>
  <si>
    <t>Notas_Images/c31727fe.Foto.141059.jpg</t>
  </si>
  <si>
    <t>ITEM-d96a3be6-1</t>
  </si>
  <si>
    <t>d96a3be6</t>
  </si>
  <si>
    <t>ITEM-3fd10aa4-1</t>
  </si>
  <si>
    <t>3fd10aa4</t>
  </si>
  <si>
    <t>ITEM-3fd10aa4-2</t>
  </si>
  <si>
    <t>Camila Morango (26/09/2025) - Morango</t>
  </si>
  <si>
    <t>ITEM-3fd10aa4-3</t>
  </si>
  <si>
    <t>Notas_Images/e28127c2.Foto.140707.jpg</t>
  </si>
  <si>
    <t>ITEM-3fd10aa4-4</t>
  </si>
  <si>
    <t>ITEM-d8b4111c-1</t>
  </si>
  <si>
    <t>d8b4111c</t>
  </si>
  <si>
    <t>ITEM-11689-1</t>
  </si>
  <si>
    <t>ITEM-1b0d7c323-1</t>
  </si>
  <si>
    <t>1b0d7c323</t>
  </si>
  <si>
    <t>Banderloff (26/09/2025) - Frutas</t>
  </si>
  <si>
    <t>ITEM-11696-1</t>
  </si>
  <si>
    <t>Notas_Images/972f0ff6.Foto.140836.jpg</t>
  </si>
  <si>
    <t>ITEM-11697-1</t>
  </si>
  <si>
    <t>ITEM-1bfbaba60-1</t>
  </si>
  <si>
    <t>1bfbaba60</t>
  </si>
  <si>
    <t>ITEM-1eb323a51-1</t>
  </si>
  <si>
    <t>1eb323a51</t>
  </si>
  <si>
    <t>ITEM-1a998117-1</t>
  </si>
  <si>
    <t>1a998117</t>
  </si>
  <si>
    <t>ITEM-0baea303-1</t>
  </si>
  <si>
    <t>0baea303</t>
  </si>
  <si>
    <t>3cbb3788</t>
  </si>
  <si>
    <t>ITEM-0baea303-2</t>
  </si>
  <si>
    <t>Coper campos (26/09/2025) - Suco</t>
  </si>
  <si>
    <t>ITEM-0baea303-3</t>
  </si>
  <si>
    <t>Notas_Images/ce7e1e58.Foto.141148.jpg</t>
  </si>
  <si>
    <t>ITEM-0baea303-4</t>
  </si>
  <si>
    <t>ITEM-0baea303-5</t>
  </si>
  <si>
    <t>ITEM-0baea303-6</t>
  </si>
  <si>
    <t>ITEM-11719-1</t>
  </si>
  <si>
    <t>25add793</t>
  </si>
  <si>
    <t>caita supermercado (26/09/2025) - Café da equipe</t>
  </si>
  <si>
    <t>Notas_Images/8c077228.Foto.141233.jpg</t>
  </si>
  <si>
    <t>ITEM-245eb672-1</t>
  </si>
  <si>
    <t>245eb672</t>
  </si>
  <si>
    <t>ITEM-245eb672-2</t>
  </si>
  <si>
    <t>ITEM-245eb672-3</t>
  </si>
  <si>
    <t>Coca Cola (25/09/2025) - Bebidas</t>
  </si>
  <si>
    <t>ITEM-691882bf-1</t>
  </si>
  <si>
    <t>691882bf</t>
  </si>
  <si>
    <t>Notas_Images/fa4e0d63.Foto.185407.jpg</t>
  </si>
  <si>
    <t>ITEM-691882bf-2</t>
  </si>
  <si>
    <t>Notas_Images/fa4e0d63.Foto 1.185407.jpg</t>
  </si>
  <si>
    <t>ITEM-691882bf-3</t>
  </si>
  <si>
    <t>ITEM-691882bf-4</t>
  </si>
  <si>
    <t>Amadelli (29/09/2025) - Carga gelado</t>
  </si>
  <si>
    <t>Notas_Images/087bad4b.Foto.171018.jpg</t>
  </si>
  <si>
    <t>ITEM-691882bf-5</t>
  </si>
  <si>
    <t>Notas_Images/087bad4b.Foto 1.171018.jpg</t>
  </si>
  <si>
    <t>Notas_Images/087bad4b.Foto 2.171018.jpg</t>
  </si>
  <si>
    <t>ITEM-8fba0c56-1</t>
  </si>
  <si>
    <t>8fba0c56</t>
  </si>
  <si>
    <t>ITEM-38541fe4-1</t>
  </si>
  <si>
    <t>38541fe4</t>
  </si>
  <si>
    <t>Amadelli (01/10/2025) - Estoque seco</t>
  </si>
  <si>
    <t>Notas_Images/f38d6625.Foto.185912.jpg</t>
  </si>
  <si>
    <t>ITEM-936cdb86-1</t>
  </si>
  <si>
    <t>936cdb86</t>
  </si>
  <si>
    <t>ITEM-936cdb86-2</t>
  </si>
  <si>
    <t>ITEM-1af23b2f8-1</t>
  </si>
  <si>
    <t>1af23b2f8</t>
  </si>
  <si>
    <t>Amadelli (01/10/2025) - Carga seca</t>
  </si>
  <si>
    <t>ITEM-1bd9d0e9c-1</t>
  </si>
  <si>
    <t>Notas_Images/f061e4aa.Foto.190024.jpg</t>
  </si>
  <si>
    <t>1bd9d0e9c</t>
  </si>
  <si>
    <t>ITEM-1fa42f5b0-1</t>
  </si>
  <si>
    <t>Notas_Images/f061e4aa.Foto 1.190024.jpg</t>
  </si>
  <si>
    <t>1fa42f5b0</t>
  </si>
  <si>
    <t>ITEM-1af85d16d-1</t>
  </si>
  <si>
    <t>1af85d16d</t>
  </si>
  <si>
    <t>ITEM-1b3eafe63-1</t>
  </si>
  <si>
    <t>1b3eafe63</t>
  </si>
  <si>
    <t>Banderloff (03/10/2025) - Frutas</t>
  </si>
  <si>
    <t>Notas_Images/65f354cf.Foto.185826.jpg</t>
  </si>
  <si>
    <t>ITEM-11717-1</t>
  </si>
  <si>
    <t>ITEM-11718-1</t>
  </si>
  <si>
    <t>ITEM-1374f528a-1</t>
  </si>
  <si>
    <t>1374f528a</t>
  </si>
  <si>
    <t>1312c3f0</t>
  </si>
  <si>
    <t>4236a58e</t>
  </si>
  <si>
    <t>Morada do sol (03/10/2025) - Café da equipe</t>
  </si>
  <si>
    <t>Notas_Images/72d021c1.Foto.190129.jpg</t>
  </si>
  <si>
    <t>ITEM-13df1de32-1</t>
  </si>
  <si>
    <t>13df1de32</t>
  </si>
  <si>
    <t>ITEM-107e29d2f-1</t>
  </si>
  <si>
    <t>107e29d2f</t>
  </si>
  <si>
    <t>ITEM-1e8bc4fc1-1</t>
  </si>
  <si>
    <t>1e8bc4fc1</t>
  </si>
  <si>
    <t>ProFood (03/10/2025) - Embalagens</t>
  </si>
  <si>
    <t>ITEM-9d3e2ff2-1</t>
  </si>
  <si>
    <t>9d3e2ff2</t>
  </si>
  <si>
    <t>Notas_Images/24a7620f.Foto.144322.jpg</t>
  </si>
  <si>
    <t>ITEM-1f973548e-1</t>
  </si>
  <si>
    <t>1f973548e</t>
  </si>
  <si>
    <t>ITEM-1e8d5d45f-1</t>
  </si>
  <si>
    <t>1e8d5d45f</t>
  </si>
  <si>
    <t>ITEM-11729-1</t>
  </si>
  <si>
    <t>9b4ca685</t>
  </si>
  <si>
    <t>Lá femmr (03/10/2025) - Borrachinha cabelo</t>
  </si>
  <si>
    <t>Notas_Images/d4959ab3.Foto.183339.jpg</t>
  </si>
  <si>
    <t>Borrachinha cabelo</t>
  </si>
  <si>
    <t>ITEM-136e1e9bd-1</t>
  </si>
  <si>
    <t>136e1e9bd</t>
  </si>
  <si>
    <t>ITEM-3170e6dd-1</t>
  </si>
  <si>
    <t>3170e6dd</t>
  </si>
  <si>
    <t>ITEM-3170e6dd-2</t>
  </si>
  <si>
    <t>Superviza Supermercado (05/10/2025) - Café da equipe</t>
  </si>
  <si>
    <t>Notas_Images/62c3094c.Foto.183018.jpg</t>
  </si>
  <si>
    <t>ITEM-3170e6dd-3</t>
  </si>
  <si>
    <t>ITEM-3170e6dd-4</t>
  </si>
  <si>
    <t>ITEM-87d76b25-1</t>
  </si>
  <si>
    <t>87d76b25</t>
  </si>
  <si>
    <t>ITEM-87d76b25-2</t>
  </si>
  <si>
    <t>Superviza Supermercado (05/10/2025) - Frutas</t>
  </si>
  <si>
    <t>ITEM-87d76b25-3</t>
  </si>
  <si>
    <t>Notas_Images/b2552197.Foto.183236.jpg</t>
  </si>
  <si>
    <t>ITEM-87d76b25-4</t>
  </si>
  <si>
    <t>ITEM-87d76b25-5</t>
  </si>
  <si>
    <t>ITEM-eb3d8976-1</t>
  </si>
  <si>
    <t>eb3d8976</t>
  </si>
  <si>
    <t>ITEM-fa8da8e6-1</t>
  </si>
  <si>
    <t>fa8da8e6</t>
  </si>
  <si>
    <t>ITEM-66bad7fd-1</t>
  </si>
  <si>
    <t>66bad7fd</t>
  </si>
  <si>
    <t>Banderloff (07/10/2025) - Frutas</t>
  </si>
  <si>
    <t>ITEM-66bad7fd-2</t>
  </si>
  <si>
    <t>Notas_Images/a8ccfb57.Foto.181538.jpg</t>
  </si>
  <si>
    <t>ITEM-66bad7fd-3</t>
  </si>
  <si>
    <t>ITEM-66bad7fd-4</t>
  </si>
  <si>
    <t>ITEM-212eb2e9-1</t>
  </si>
  <si>
    <t>212eb2e9</t>
  </si>
  <si>
    <t>ITEM-212eb2e9-2</t>
  </si>
  <si>
    <t>ITEM-212eb2e9-3</t>
  </si>
  <si>
    <t>Suco prats (07/10/2025) - Suco</t>
  </si>
  <si>
    <t>ITEM-212eb2e9-4</t>
  </si>
  <si>
    <t>Notas_Images/05fba8e6.Foto.183146.jpg</t>
  </si>
  <si>
    <t>ITEM-11727-1</t>
  </si>
  <si>
    <t>ITEM-11728-1</t>
  </si>
  <si>
    <t>ITEM-11730-1</t>
  </si>
  <si>
    <t>ITEM-11735-1</t>
  </si>
  <si>
    <t>ITEM-11736-1</t>
  </si>
  <si>
    <t>ITEM-11737-1</t>
  </si>
  <si>
    <t>Jandira (08/10/2025) - Produto d limpeza</t>
  </si>
  <si>
    <t>ITEM-18a66cb27-1</t>
  </si>
  <si>
    <t>18a66cb27</t>
  </si>
  <si>
    <t>ITEM-192011b3d-1</t>
  </si>
  <si>
    <t>192011b3d</t>
  </si>
  <si>
    <t>ITEM-184917d95-1</t>
  </si>
  <si>
    <t>184917d95</t>
  </si>
  <si>
    <t>26f7a766</t>
  </si>
  <si>
    <t>ITEM-11d684674-1</t>
  </si>
  <si>
    <t>11d684674</t>
  </si>
  <si>
    <t>ITEM-19a3292f-1</t>
  </si>
  <si>
    <t>19a3292f</t>
  </si>
  <si>
    <t>ITEM-1a0ce40f-1</t>
  </si>
  <si>
    <t>1a0ce40f</t>
  </si>
  <si>
    <t>ITEM-1a0ce40f-2</t>
  </si>
  <si>
    <t>ITEM-1a0ce40f-3</t>
  </si>
  <si>
    <t>ITEM-1a0ce40f-4</t>
  </si>
  <si>
    <t>Notas_Images/5af42383.Foto.183942.jpg</t>
  </si>
  <si>
    <t>ITEM-e7dee4fb-1</t>
  </si>
  <si>
    <t>e7dee4fb</t>
  </si>
  <si>
    <t>ITEM-bca86dd2-1</t>
  </si>
  <si>
    <t>bca86dd2</t>
  </si>
  <si>
    <t>ITEM-65b2b9f9-1</t>
  </si>
  <si>
    <t>65b2b9f9</t>
  </si>
  <si>
    <t>ITEM-df239138-1</t>
  </si>
  <si>
    <t>Banderloff (09/10/2025) - Frutas</t>
  </si>
  <si>
    <t>df239138</t>
  </si>
  <si>
    <t>Notas_Images/71382169.Foto.181623.jpg</t>
  </si>
  <si>
    <t>ITEM-df239138-2</t>
  </si>
  <si>
    <t>ITEM-b42043b6-1</t>
  </si>
  <si>
    <t>b42043b6</t>
  </si>
  <si>
    <t>ITEM-8c27b9a5-1</t>
  </si>
  <si>
    <t>8c27b9a5</t>
  </si>
  <si>
    <t>ITEM-1cce19ff2-1</t>
  </si>
  <si>
    <t>BS bebidas (09/10/2025) - Agua com gas</t>
  </si>
  <si>
    <t>1cce19ff2</t>
  </si>
  <si>
    <t>Notas_Images/821c3d5d.Foto.182917.jpg</t>
  </si>
  <si>
    <t>Agua com gas</t>
  </si>
  <si>
    <t>ITEM-1a3bfb6c0-1</t>
  </si>
  <si>
    <t>1a3bfb6c0</t>
  </si>
  <si>
    <t>ITEM-145728967-1</t>
  </si>
  <si>
    <t>ITEM-173e6391e-1</t>
  </si>
  <si>
    <t>173e6391e</t>
  </si>
  <si>
    <t>Camila Morango (10/10/2025) - Morango</t>
  </si>
  <si>
    <t>Notas_Images/770ff067.Foto.181343.jpg</t>
  </si>
  <si>
    <t>ITEM-136261781-1</t>
  </si>
  <si>
    <t>7410e18b</t>
  </si>
  <si>
    <t>ITEM-156182674-1</t>
  </si>
  <si>
    <t>2204e4ef</t>
  </si>
  <si>
    <t>ITEM-8dc449d1-1</t>
  </si>
  <si>
    <t>8dc449d1</t>
  </si>
  <si>
    <t>Casa das Embalagens (10/10/2025) - Álcool,tampa marmita</t>
  </si>
  <si>
    <t>Notas_Images/d943f3e6.Foto.190232.jpg</t>
  </si>
  <si>
    <t>Álcool,tampa marmita</t>
  </si>
  <si>
    <t>ITEM-f744121a-1</t>
  </si>
  <si>
    <t>f744121a</t>
  </si>
  <si>
    <t>ITEM-75335ada-1</t>
  </si>
  <si>
    <t>75335ada</t>
  </si>
  <si>
    <t>ITEM-75335ada-2</t>
  </si>
  <si>
    <t>Coca Cola (09/10/2025) - Bebidas</t>
  </si>
  <si>
    <t>Notas_Images/b95d711c.Foto.182540.jpg</t>
  </si>
  <si>
    <t>ITEM-75335ada-3</t>
  </si>
  <si>
    <t>ITEM-75335ada-4</t>
  </si>
  <si>
    <t>Notas_Images/b95d711c.Foto 1.182540.jpg</t>
  </si>
  <si>
    <t>ITEM-5c7147e2-1</t>
  </si>
  <si>
    <t>5c7147e2</t>
  </si>
  <si>
    <t>Caita (11/10/2025) - Café d equipe</t>
  </si>
  <si>
    <t>ITEM-7d7d65fc-1</t>
  </si>
  <si>
    <t>7d7d65fc</t>
  </si>
  <si>
    <t>Notas_Images/e5e73048.Foto.123534.jpg</t>
  </si>
  <si>
    <t>ITEM-7d7d65fc-2</t>
  </si>
  <si>
    <t>Amadelli (14/10/2025) - Carga gelada</t>
  </si>
  <si>
    <t>ITEM-7d7d65fc-3</t>
  </si>
  <si>
    <t>Notas_Images/4d2a0fbb.Foto.123251.jpg</t>
  </si>
  <si>
    <t>Notas_Images/4d2a0fbb.Foto 1.123251.jpg</t>
  </si>
  <si>
    <t>Notas_Images/4d2a0fbb.Foto 2.123251.jpg</t>
  </si>
  <si>
    <t>ITEM-7d7d65fc-4</t>
  </si>
  <si>
    <t>ITEM-11677-1</t>
  </si>
  <si>
    <t>ITEM-1d45dfced-1</t>
  </si>
  <si>
    <t>1d45dfced</t>
  </si>
  <si>
    <t>Banderloff (15/10/2025) - Frutas</t>
  </si>
  <si>
    <t>Notas_Images/2c77cea8.Foto.123614.jpg</t>
  </si>
  <si>
    <t>ITEM-11757-1</t>
  </si>
  <si>
    <t>ITEM-11758-1</t>
  </si>
  <si>
    <t>ITEM-11759-1</t>
  </si>
  <si>
    <t>ITEM-11761-1</t>
  </si>
  <si>
    <t>Amadelli (15/10/2025) - Carga seca</t>
  </si>
  <si>
    <t>Notas_Images/de9c47e0.Foto.182407.jpg</t>
  </si>
  <si>
    <t>ITEM-11762-1</t>
  </si>
  <si>
    <t>ITEM-119bf704e-1</t>
  </si>
  <si>
    <t>119bf704e</t>
  </si>
  <si>
    <t>Notas_Images/de9c47e0.Foto 1.182407.jpg</t>
  </si>
  <si>
    <t>ITEM-62ceee81-1</t>
  </si>
  <si>
    <t>62ceee81</t>
  </si>
  <si>
    <t>ITEM-62ceee81-2</t>
  </si>
  <si>
    <t>ITEM-62ceee81-3</t>
  </si>
  <si>
    <t>ITEM-62ceee81-4</t>
  </si>
  <si>
    <t>Amadelli (15/10/2025) - Creme de leite ho</t>
  </si>
  <si>
    <t>Notas_Images/c390464a.Foto.181153.jpg</t>
  </si>
  <si>
    <t>Creme de leite ho</t>
  </si>
  <si>
    <t>ITEM-62ceee81-5</t>
  </si>
  <si>
    <t>ITEM-2b028662-1</t>
  </si>
  <si>
    <t>2b028662</t>
  </si>
  <si>
    <t>ITEM-24399162-1</t>
  </si>
  <si>
    <t>ITEM-14aa983e3-1</t>
  </si>
  <si>
    <t>14aa983e3</t>
  </si>
  <si>
    <t>ITEM-1c9243bf5-1</t>
  </si>
  <si>
    <t>1c9243bf5</t>
  </si>
  <si>
    <t>Coca Cola (16/10/2025) - Bebidas</t>
  </si>
  <si>
    <t>ITEM-1403b6655-1</t>
  </si>
  <si>
    <t>1403b6655</t>
  </si>
  <si>
    <t>800835b1</t>
  </si>
  <si>
    <t>Notas_Images/ede19ad4.Foto.200046.jpg</t>
  </si>
  <si>
    <t>ITEM-1f35956c6-1</t>
  </si>
  <si>
    <t>1f35956c6</t>
  </si>
  <si>
    <t>ITEM-8fcdaac0-1</t>
  </si>
  <si>
    <t>Notas_Images/ede19ad4.Foto 1.200046.jpg</t>
  </si>
  <si>
    <t>8fcdaac0</t>
  </si>
  <si>
    <t>ITEM-11769-1</t>
  </si>
  <si>
    <t>ITEM-11770-1</t>
  </si>
  <si>
    <t>Banderloff (17/10/2025) - Frutad</t>
  </si>
  <si>
    <t>Notas_Images/8b453bad.Foto.182247.jpg</t>
  </si>
  <si>
    <t>ITEM-1e741905b-1</t>
  </si>
  <si>
    <t>1e741905b</t>
  </si>
  <si>
    <t>ITEM-1f34ddca3-1</t>
  </si>
  <si>
    <t>1f34ddca3</t>
  </si>
  <si>
    <t>ITEM-16165ff77-1</t>
  </si>
  <si>
    <t>16165ff77</t>
  </si>
  <si>
    <t>Camila Morango (17/10/2025) - Morango</t>
  </si>
  <si>
    <t>a646b234</t>
  </si>
  <si>
    <t>Notas_Images/d3f571b7.Foto.155206.jpg</t>
  </si>
  <si>
    <t>ITEM-110266669-1</t>
  </si>
  <si>
    <t>ITEM-103ec8a28-1</t>
  </si>
  <si>
    <t>103ec8a28</t>
  </si>
  <si>
    <t>7c1a2b49</t>
  </si>
  <si>
    <t>ITEM-13a09e525-1</t>
  </si>
  <si>
    <t>13a09e525</t>
  </si>
  <si>
    <t>ACB (14/10/2025) - Bebidas</t>
  </si>
  <si>
    <t>Notas_Images/dd98845d.Foto.164539.jpg</t>
  </si>
  <si>
    <t>ITEM-1b341f71e-1</t>
  </si>
  <si>
    <t>1b341f71e</t>
  </si>
  <si>
    <t>Notas_Images/dd98845d.Foto 1.164539.jpg</t>
  </si>
  <si>
    <t>Notas_Images/dd98845d.Foto 2.164539.jpg</t>
  </si>
  <si>
    <t>ITEM-167a222d7-1</t>
  </si>
  <si>
    <t>167a222d7</t>
  </si>
  <si>
    <t>577d6b88</t>
  </si>
  <si>
    <t>ITEM-16bbd0213-1</t>
  </si>
  <si>
    <t>16bbd0213</t>
  </si>
  <si>
    <t>Ambev (20/09/2025) - Bebidas</t>
  </si>
  <si>
    <t>Notas_Images/577d6b88.Foto.192303.jpg</t>
  </si>
  <si>
    <t>ITEM-1ed7a0b97-1</t>
  </si>
  <si>
    <t>1ed7a0b97</t>
  </si>
  <si>
    <t>ITEM-17018be30-1</t>
  </si>
  <si>
    <t>17018be30</t>
  </si>
  <si>
    <t>91c0c59b</t>
  </si>
  <si>
    <t>ITEM-6596583b-1</t>
  </si>
  <si>
    <t>6596583b</t>
  </si>
  <si>
    <t>ITEM-11768-1</t>
  </si>
  <si>
    <t>kopus (16/10/2025) - Copos para milk shake</t>
  </si>
  <si>
    <t>Notas_Images/d276b985.Foto.182617.jpg</t>
  </si>
  <si>
    <t>ITEM-125bdef71-1</t>
  </si>
  <si>
    <t>125bdef71</t>
  </si>
  <si>
    <t>ITEM-18515a7ae-1</t>
  </si>
  <si>
    <t>18515a7ae</t>
  </si>
  <si>
    <t>ITEM-4eb39c0f-1</t>
  </si>
  <si>
    <t>4eb39c0f</t>
  </si>
  <si>
    <t>ITEM-4eb39c0f-2</t>
  </si>
  <si>
    <t>Coca Cola (23/10/2025) - Bebidas</t>
  </si>
  <si>
    <t>ITEM-4eb39c0f-3</t>
  </si>
  <si>
    <t>Notas_Images/cfb375f4.Foto.185633.jpg</t>
  </si>
  <si>
    <t>ITEM-4eb39c0f-4</t>
  </si>
  <si>
    <t>ITEM-4eb39c0f-5</t>
  </si>
  <si>
    <t>ITEM-c0aba0ae-1</t>
  </si>
  <si>
    <t>c0aba0ae</t>
  </si>
  <si>
    <t>ITEM-778d7074-1</t>
  </si>
  <si>
    <t>Embrast (23/10/2025) - Luvas bobinas</t>
  </si>
  <si>
    <t>778d7074</t>
  </si>
  <si>
    <t>Notas_Images/f62b40a4.Foto.220103.jpg</t>
  </si>
  <si>
    <t>ITEM-778d7074-2</t>
  </si>
  <si>
    <t>ITEM-15786028-1</t>
  </si>
  <si>
    <t>ITEM-15786028-2</t>
  </si>
  <si>
    <t>Banderloff (24/10/2025) - Frutas</t>
  </si>
  <si>
    <t>Notas_Images/8c8f059b.Foto.185123.jpg</t>
  </si>
  <si>
    <t>ITEM-15786028-3</t>
  </si>
  <si>
    <t>ITEM-15786028-4</t>
  </si>
  <si>
    <t>ITEM-15786028-5</t>
  </si>
  <si>
    <t>Camila Morango (25/10/2025) - Morango</t>
  </si>
  <si>
    <t>Notas_Images/ba6a8631.Foto.154456.jpg</t>
  </si>
  <si>
    <t>ITEM-4b84f811-1</t>
  </si>
  <si>
    <t>4b84f811</t>
  </si>
  <si>
    <t>ITEM-4b84f811-2</t>
  </si>
  <si>
    <t>Auto Coletivo Caçador (27/10/2025) - Vale transporte para 5 dias para a bruna</t>
  </si>
  <si>
    <t>ITEM-4b84f811-3</t>
  </si>
  <si>
    <t>Notas_Images/15623fe7.Foto.164222.jpg</t>
  </si>
  <si>
    <t>Vale transporte para 5 dias para a bruna</t>
  </si>
  <si>
    <t>ITEM-1ceeeb55-1</t>
  </si>
  <si>
    <t>1ceeeb55</t>
  </si>
  <si>
    <t>ITEM-1ceeeb55-2</t>
  </si>
  <si>
    <t>Superviza Supermercado (25/10/2025) - Café da equipe</t>
  </si>
  <si>
    <t>Notas_Images/d35b2beb.Foto.164330.jpg</t>
  </si>
  <si>
    <t>ITEM-1ceeeb55-3</t>
  </si>
  <si>
    <t>ITEM-a7f74b73-1</t>
  </si>
  <si>
    <t>a7f74b73</t>
  </si>
  <si>
    <t>Superviza Supermercado (24/10/2025) - Café equipe</t>
  </si>
  <si>
    <t>Notas_Images/9dd9d137.Foto.164436.jpg</t>
  </si>
  <si>
    <t>ITEM-1dca9d1f-1</t>
  </si>
  <si>
    <t>1dca9d1f</t>
  </si>
  <si>
    <t>ITEM-52df4fdc-1</t>
  </si>
  <si>
    <t>52df4fdc</t>
  </si>
  <si>
    <t>657b3ac5</t>
  </si>
  <si>
    <t>ITEM-9a7077d4-1</t>
  </si>
  <si>
    <t>Banderloff (27/10/2025) - Frutas</t>
  </si>
  <si>
    <t>9a7077d4</t>
  </si>
  <si>
    <t>Notas_Images/a4e5277b.Foto.164525.jpg</t>
  </si>
  <si>
    <t>ITEM-f83f1848-1</t>
  </si>
  <si>
    <t>f83f1848</t>
  </si>
  <si>
    <t>ITEM-11793-1</t>
  </si>
  <si>
    <t>Patrimonial (01/10/2025) - Monitoramento das câmeras</t>
  </si>
  <si>
    <t>Notas_Images/a982ef87.Foto.164626.jpg</t>
  </si>
  <si>
    <t>ITEM-11801-1</t>
  </si>
  <si>
    <t>ITEM-11802-1</t>
  </si>
  <si>
    <t>ProFood (27/10/2025) - Embalagens de 750ml</t>
  </si>
  <si>
    <t>Notas_Images/e7e9f249.Foto.170603.jpg</t>
  </si>
  <si>
    <t>Embalagens de 750ml</t>
  </si>
  <si>
    <t>ITEM-17bf43eec-1</t>
  </si>
  <si>
    <t>17bf43eec</t>
  </si>
  <si>
    <t>cbe7a6a8</t>
  </si>
  <si>
    <t>ITEM-11810-1</t>
  </si>
  <si>
    <t>ITEM-11811-1</t>
  </si>
  <si>
    <t>ITEM-14df1d934-1</t>
  </si>
  <si>
    <t>14df1d934</t>
  </si>
  <si>
    <t>ITEM-1d234fdbf-1</t>
  </si>
  <si>
    <t>1d234fdbf</t>
  </si>
  <si>
    <t>4fd86515</t>
  </si>
  <si>
    <t>ITEM-1e22d237b-1</t>
  </si>
  <si>
    <t>1e22d237b</t>
  </si>
  <si>
    <t>ITEM-194bbe065-1</t>
  </si>
  <si>
    <t>194bbe065</t>
  </si>
  <si>
    <t>ITEM-b7fa57c3-1</t>
  </si>
  <si>
    <t>b7fa57c3</t>
  </si>
  <si>
    <t>ITEM-29d0a3c9-1</t>
  </si>
  <si>
    <t>29d0a3c9</t>
  </si>
  <si>
    <t>ITEM-15194b0a3-1</t>
  </si>
  <si>
    <t>15194b0a3</t>
  </si>
  <si>
    <t>ITEM-14d598ea9-1</t>
  </si>
  <si>
    <t>14d598ea9</t>
  </si>
  <si>
    <t>ITEM-480dee39-1</t>
  </si>
  <si>
    <t>480dee39</t>
  </si>
  <si>
    <t>ITEM-d24bacae-1</t>
  </si>
  <si>
    <t>d24bacae</t>
  </si>
  <si>
    <t>ITEM-d24bacae-2</t>
  </si>
  <si>
    <t>ITEM-d24bacae-3</t>
  </si>
  <si>
    <t>ITEM-d24bacae-4</t>
  </si>
  <si>
    <t>ITEM-d24bacae-5</t>
  </si>
  <si>
    <t>2 conjuntos de tampas de vidros comprado por União</t>
  </si>
  <si>
    <t>ITEM-d24bacae-6</t>
  </si>
  <si>
    <t>ITEM-d24bacae-7</t>
  </si>
  <si>
    <t>ITEM-d24bacae-8</t>
  </si>
  <si>
    <t>ITEM-d24bacae-9</t>
  </si>
  <si>
    <t>ITEM-a009dac8-1</t>
  </si>
  <si>
    <t>Pedido 85172 nota de serviço</t>
  </si>
  <si>
    <t>a009dac8</t>
  </si>
  <si>
    <t>ITEM-9526d22f-1</t>
  </si>
  <si>
    <t>9526d22f</t>
  </si>
  <si>
    <t>ITEM-9526d22f-2</t>
  </si>
  <si>
    <t>ITEM-9526d22f-3</t>
  </si>
  <si>
    <t>ITEM-9526d22f-4</t>
  </si>
  <si>
    <t>ITEM-9526d22f-5</t>
  </si>
  <si>
    <t>ITEM-500c73ec-1</t>
  </si>
  <si>
    <t>500c73ec</t>
  </si>
  <si>
    <t>ITEM-500c73ec-2</t>
  </si>
  <si>
    <t>ITEM-500c73ec-3</t>
  </si>
  <si>
    <t>Pedido 85188 (nota de serviço) Bones e sacolas</t>
  </si>
  <si>
    <t>ITEM-b1cc2da9-1</t>
  </si>
  <si>
    <t>b1cc2da9</t>
  </si>
  <si>
    <t>Pedido 85178 nota de serviço</t>
  </si>
  <si>
    <t>ITEM-98244bfa-1</t>
  </si>
  <si>
    <t>98244bfa</t>
  </si>
  <si>
    <t>ITEM-98244bfa-2</t>
  </si>
  <si>
    <t>FGTS</t>
  </si>
  <si>
    <t>ITEM-98244bfa-3</t>
  </si>
  <si>
    <t>ITEM-98244bfa-4</t>
  </si>
  <si>
    <t>Simples Nacional</t>
  </si>
  <si>
    <t>ITEM-ff889cf5-1</t>
  </si>
  <si>
    <t>ff889cf5</t>
  </si>
  <si>
    <t>ITEM-e68044f5-1</t>
  </si>
  <si>
    <t>e68044f5</t>
  </si>
  <si>
    <t>ITEM-1e14cb490-1</t>
  </si>
  <si>
    <t>1e14cb490</t>
  </si>
  <si>
    <t>ITEM-1256cdbeb-1</t>
  </si>
  <si>
    <t>1256cdbeb</t>
  </si>
  <si>
    <t>Despesas</t>
  </si>
  <si>
    <t>ITEM-1e8ce097a-1</t>
  </si>
  <si>
    <t>1e8ce097a</t>
  </si>
  <si>
    <t>ITEM-14f180398-1</t>
  </si>
  <si>
    <t>14f180398</t>
  </si>
  <si>
    <t>ITEM-23c7735a-1</t>
  </si>
  <si>
    <t>23c7735a</t>
  </si>
  <si>
    <t>ITEM-0c4e1dd9-1</t>
  </si>
  <si>
    <t>0c4e1dd9</t>
  </si>
  <si>
    <t>Retificação</t>
  </si>
  <si>
    <t>ITEM-11812-1</t>
  </si>
  <si>
    <t>ITEM-1fed6e7f9-1</t>
  </si>
  <si>
    <t>1fed6e7f9</t>
  </si>
  <si>
    <t>ITEM-11822-1</t>
  </si>
  <si>
    <t>ITEM-11823-1</t>
  </si>
  <si>
    <t>ITEM-11824-1</t>
  </si>
  <si>
    <t>ITEM-11825-1</t>
  </si>
  <si>
    <t>ITEM-11826-1</t>
  </si>
  <si>
    <t>ITEM-11827-1</t>
  </si>
  <si>
    <t>ITEM-157d09fbf-1</t>
  </si>
  <si>
    <t>157d09fbf</t>
  </si>
  <si>
    <t>ITEM-14b68cdc2-1</t>
  </si>
  <si>
    <t>14b68cdc2</t>
  </si>
  <si>
    <t>ITEM-1303fd20c-1</t>
  </si>
  <si>
    <t>1303fd20c</t>
  </si>
  <si>
    <t>ITEM-1b8bf7eab-1</t>
  </si>
  <si>
    <t>1b8bf7eab</t>
  </si>
  <si>
    <t>ITEM-11828-1</t>
  </si>
  <si>
    <t>ITEM-11829-1</t>
  </si>
  <si>
    <t>ITEM-11830-1</t>
  </si>
  <si>
    <t>ITEM-11831-1</t>
  </si>
  <si>
    <t>ITEM-19226478c-1</t>
  </si>
  <si>
    <t>19226478c</t>
  </si>
  <si>
    <t>ITEM-181b57727-1</t>
  </si>
  <si>
    <t>181b57727</t>
  </si>
  <si>
    <t>ITEM-1fc68008c-1</t>
  </si>
  <si>
    <t>1fc68008c</t>
  </si>
  <si>
    <t>ITEM-16e8b1d59-1</t>
  </si>
  <si>
    <t>16e8b1d59</t>
  </si>
  <si>
    <t>ITEM-1efa336b0-1</t>
  </si>
  <si>
    <t>Nota Serviço Pedido 86935</t>
  </si>
  <si>
    <t>1efa336b0</t>
  </si>
  <si>
    <t>ITEM-1070d6780-1</t>
  </si>
  <si>
    <t>1070d6780</t>
  </si>
  <si>
    <t>ITEM-18a64a19e-1</t>
  </si>
  <si>
    <t>Boleto Serviço Pedido 86941</t>
  </si>
  <si>
    <t>18a64a19e</t>
  </si>
  <si>
    <t>ITEM-146d6f3d9-1</t>
  </si>
  <si>
    <t>146d6f3d9</t>
  </si>
  <si>
    <t>ITEM-138e136e4-1</t>
  </si>
  <si>
    <t>138e136e4</t>
  </si>
  <si>
    <t>ITEM-11861-1</t>
  </si>
  <si>
    <t>Boleto Serviço Pedido 87340</t>
  </si>
  <si>
    <t>ITEM-11862-1</t>
  </si>
  <si>
    <t>be696e90</t>
  </si>
  <si>
    <t>Agua conta 1</t>
  </si>
  <si>
    <t>ITEM-11863-1</t>
  </si>
  <si>
    <t>ITEM-11864-1</t>
  </si>
  <si>
    <t>ITEM-104b62741-1</t>
  </si>
  <si>
    <t>104b62741</t>
  </si>
  <si>
    <t>ITEM-1765ed7d5-1</t>
  </si>
  <si>
    <t>1765ed7d5</t>
  </si>
  <si>
    <t>548332ca</t>
  </si>
  <si>
    <t>ITEM-11866-1</t>
  </si>
  <si>
    <t>Agua conta 2</t>
  </si>
  <si>
    <t>ITEM-11868-1</t>
  </si>
  <si>
    <t>ITEM-11877-1</t>
  </si>
  <si>
    <t>ITEM-11878-1</t>
  </si>
  <si>
    <t>Sal ADM Jairo 3498+584</t>
  </si>
  <si>
    <t>ITEM-11879-1</t>
  </si>
  <si>
    <t>ITEM-11885-1</t>
  </si>
  <si>
    <t>ITEM-1483f4eb7-1</t>
  </si>
  <si>
    <t>1483f4eb7</t>
  </si>
  <si>
    <t>ITEM-116c6ff16-1</t>
  </si>
  <si>
    <t>116c6ff16</t>
  </si>
  <si>
    <t>ITEM-11895-1</t>
  </si>
  <si>
    <t>ITEM-1e752931c-1</t>
  </si>
  <si>
    <t>1e752931c</t>
  </si>
  <si>
    <t>ITEM-171aea2b9-1</t>
  </si>
  <si>
    <t>171aea2b9</t>
  </si>
  <si>
    <t>ITEM-1f0417453-1</t>
  </si>
  <si>
    <t>1f0417453</t>
  </si>
  <si>
    <t>Empréstimo pessoal Patrícia 10/25</t>
  </si>
  <si>
    <t>ITEM-19c0b42e8-1</t>
  </si>
  <si>
    <t>19c0b42e8</t>
  </si>
  <si>
    <t>ITEM-11894-1</t>
  </si>
  <si>
    <t>ITEM-1bcdbfbee-1</t>
  </si>
  <si>
    <t>1bcdbfbee</t>
  </si>
  <si>
    <t>ITEM-11766-1</t>
  </si>
  <si>
    <t>ITEM-11767-1</t>
  </si>
  <si>
    <t>ITEM-11771-1</t>
  </si>
  <si>
    <t>ITEM-1fa9b1573-1</t>
  </si>
  <si>
    <t>1fa9b1573</t>
  </si>
  <si>
    <t>ITEM-1e3dba557-1</t>
  </si>
  <si>
    <t>1e3dba557</t>
  </si>
  <si>
    <t>ITEM-11911-1</t>
  </si>
  <si>
    <t>ITEM-11914-1</t>
  </si>
  <si>
    <t>ITEM-11915-1</t>
  </si>
  <si>
    <t>ITEM-11916-1</t>
  </si>
  <si>
    <t>ITEM-11917-1</t>
  </si>
  <si>
    <t>ITEM-11918-1</t>
  </si>
  <si>
    <t>ITEM-11919-1</t>
  </si>
  <si>
    <t>ITEM-11925-1</t>
  </si>
  <si>
    <t>af8db38f</t>
  </si>
  <si>
    <t>ITEM-1a4b1eff3-1</t>
  </si>
  <si>
    <t>1a4b1eff3</t>
  </si>
  <si>
    <t>ITEM-1e8421559-1</t>
  </si>
  <si>
    <t>1e8421559</t>
  </si>
  <si>
    <t>ITEM-1b256c0ad-1</t>
  </si>
  <si>
    <t>1b256c0ad</t>
  </si>
  <si>
    <t>ITEM-1c4af0dc4-1</t>
  </si>
  <si>
    <t>1c4af0dc4</t>
  </si>
  <si>
    <t>Pedido 91134 nota de serviço</t>
  </si>
  <si>
    <t>ITEM-145604d2d-1</t>
  </si>
  <si>
    <t>145604d2d</t>
  </si>
  <si>
    <t>ITEM-1bb69f2ac-1</t>
  </si>
  <si>
    <t>1bb69f2ac</t>
  </si>
  <si>
    <t>Pedido  91134 - desconto R$ 36,91</t>
  </si>
  <si>
    <t>ITEM-1c4c7a2b7-1</t>
  </si>
  <si>
    <t>1c4c7a2b7</t>
  </si>
  <si>
    <t>Amadelli (28/10/2025) - Dangler The Best</t>
  </si>
  <si>
    <t>ITEM-11922-1</t>
  </si>
  <si>
    <t>Notas_Images/bc1d9059.Foto.121940.jpg</t>
  </si>
  <si>
    <t>Dangler The Best</t>
  </si>
  <si>
    <t>ITEM-14da48791-1</t>
  </si>
  <si>
    <t>14da48791</t>
  </si>
  <si>
    <t>d89f4ee0</t>
  </si>
  <si>
    <t>Amadelli (28/10/2025) - Carga gelada</t>
  </si>
  <si>
    <t>ITEM-11913-1</t>
  </si>
  <si>
    <t>Notas_Images/e51ee7f9.Foto.122033.jpg</t>
  </si>
  <si>
    <t>Notas_Images/e51ee7f9.Foto 1.122033.jpg</t>
  </si>
  <si>
    <t>ITEM-11920-1</t>
  </si>
  <si>
    <t>Coca Cola (30/10/2025) - Bebidas</t>
  </si>
  <si>
    <t>Notas_Images/daae5499.Foto.183621.jpg</t>
  </si>
  <si>
    <t>ITEM-11921-1</t>
  </si>
  <si>
    <t>ITEM-11923-1</t>
  </si>
  <si>
    <t>BS bebidas (30/10/2025) - Água e energético</t>
  </si>
  <si>
    <t>Notas_Images/00aed048.Foto.191629.jpg</t>
  </si>
  <si>
    <t>Água e energético</t>
  </si>
  <si>
    <t>ITEM-11924-1</t>
  </si>
  <si>
    <t>ITEM-1e901a5fd-1</t>
  </si>
  <si>
    <t>BS bebidas (30/10/2025) - Ice</t>
  </si>
  <si>
    <t>Notas_Images/7bd449f1.Foto.191729.jpg</t>
  </si>
  <si>
    <t>1e901a5fd</t>
  </si>
  <si>
    <t>Ice</t>
  </si>
  <si>
    <t>ITEM-11964-1</t>
  </si>
  <si>
    <t>ITEM-11965-1</t>
  </si>
  <si>
    <t>ITEM-18503d126-1</t>
  </si>
  <si>
    <t>18503d126</t>
  </si>
  <si>
    <t>ITEM-187a82d0e-1</t>
  </si>
  <si>
    <t>187a82d0e</t>
  </si>
  <si>
    <t>ITEM-1efe3a881-1</t>
  </si>
  <si>
    <t>1efe3a881</t>
  </si>
  <si>
    <t>ITEM-19c6b3bf4-1</t>
  </si>
  <si>
    <t>19c6b3bf4</t>
  </si>
  <si>
    <t>Monitoramento</t>
  </si>
  <si>
    <t>ITEM-11962-1</t>
  </si>
  <si>
    <t>ITEM-11966-1</t>
  </si>
  <si>
    <t>612b4795</t>
  </si>
  <si>
    <t>Aluguel</t>
  </si>
  <si>
    <t>ITEM-11971-1</t>
  </si>
  <si>
    <t>ITEM-11973-1</t>
  </si>
  <si>
    <t>Honorario</t>
  </si>
  <si>
    <t>ITEM-169f43f93-1</t>
  </si>
  <si>
    <t>169f43f93</t>
  </si>
  <si>
    <t>ITEM-14527f737-1</t>
  </si>
  <si>
    <t>14527f737</t>
  </si>
  <si>
    <t>30fced89</t>
  </si>
  <si>
    <t>ITEM-14f4a3f75-1</t>
  </si>
  <si>
    <t>14f4a3f75</t>
  </si>
  <si>
    <t>Pedido 88445 nota de serviço</t>
  </si>
  <si>
    <t>ITEM-16b097470-1</t>
  </si>
  <si>
    <t>16b097470</t>
  </si>
  <si>
    <t>ITEM-1343a5b89-1</t>
  </si>
  <si>
    <t>1343a5b89</t>
  </si>
  <si>
    <t>Pedido 91173 nota de serviço</t>
  </si>
  <si>
    <t>ITEM-16a0aca3a-1</t>
  </si>
  <si>
    <t>16a0aca3a</t>
  </si>
  <si>
    <t>Pedido 90692 nota de serviço</t>
  </si>
  <si>
    <t>ITEM-12fa089d7-1</t>
  </si>
  <si>
    <t>12fa089d7</t>
  </si>
  <si>
    <t>f19382d5</t>
  </si>
  <si>
    <t>Amadelli (29/10/2025) - Panetone</t>
  </si>
  <si>
    <t>Notas_Images/64bc920f.Foto.181736.jpg</t>
  </si>
  <si>
    <t>ITEM-11978-1</t>
  </si>
  <si>
    <t>Panetone</t>
  </si>
  <si>
    <t>ITEM-174259ae8-1</t>
  </si>
  <si>
    <t>174259ae8</t>
  </si>
  <si>
    <t>Amadelli (29/10/2025) - Estoque seco</t>
  </si>
  <si>
    <t>Notas_Images/5a7ab79f.Foto.181956.jpg</t>
  </si>
  <si>
    <t>ITEM-1cc6a9ed7-1</t>
  </si>
  <si>
    <t>1cc6a9ed7</t>
  </si>
  <si>
    <t>Notas_Images/5a7ab79f.Foto 1.181956.jpg</t>
  </si>
  <si>
    <t>ITEM-10b58aff8-1</t>
  </si>
  <si>
    <t>Banderloff (31/10/2025) - Frutas</t>
  </si>
  <si>
    <t>10b58aff8</t>
  </si>
  <si>
    <t>Notas_Images/8b6b71fc.Foto.182056.jpg</t>
  </si>
  <si>
    <t>ITEM-1a1df74b0-1</t>
  </si>
  <si>
    <t>1a1df74b0</t>
  </si>
  <si>
    <t>Superviza Supermercado (31/10/2025) - Café da equipe</t>
  </si>
  <si>
    <t>ITEM-1bb983d19-1</t>
  </si>
  <si>
    <t>Notas_Images/41ab9201.Foto.182305.jpg</t>
  </si>
  <si>
    <t>1bb983d19</t>
  </si>
  <si>
    <t>ITEM-1bc3d9bce-1</t>
  </si>
  <si>
    <t>1bc3d9bce</t>
  </si>
  <si>
    <t>ITEM-11977-1</t>
  </si>
  <si>
    <t>Help Multi Coisas (31/10/2025) - Recibo</t>
  </si>
  <si>
    <t>Notas_Images/023ef81f.Foto.182720.jpg</t>
  </si>
  <si>
    <t>Recibo</t>
  </si>
  <si>
    <t>ITEM-1b91dd99f-1</t>
  </si>
  <si>
    <t>1b91dd99f</t>
  </si>
  <si>
    <t>ITEM-14d09dd18-1</t>
  </si>
  <si>
    <t>14d09dd18</t>
  </si>
  <si>
    <t>Auto Coletivo Caçador (31/10/2025) - Vale transporte bruna</t>
  </si>
  <si>
    <t>ITEM-11875-1</t>
  </si>
  <si>
    <t>Notas_Images/9a149e49.Foto.183646.jpg</t>
  </si>
  <si>
    <t>ITEM-11876-1</t>
  </si>
  <si>
    <t>ITEM-11880-1</t>
  </si>
  <si>
    <t>05f52e71</t>
  </si>
  <si>
    <t>Motoboy Clóvis (30/10/2025) - Entrega de delivery</t>
  </si>
  <si>
    <t>Notas_Images/1d7be238.Foto.183755.jpg</t>
  </si>
  <si>
    <t>ITEM-1594e42fe-1</t>
  </si>
  <si>
    <t>Entrega de delivery</t>
  </si>
  <si>
    <t>1594e42fe</t>
  </si>
  <si>
    <t>ITEM-11996-1</t>
  </si>
  <si>
    <t>Banderloff (01/11/2025) - Frutas</t>
  </si>
  <si>
    <t>Notas_Images/9ab621ed.Foto.170711.jpg</t>
  </si>
  <si>
    <t>ITEM-11997-1</t>
  </si>
  <si>
    <t>Camila Morango (30/10/2025) - Morango</t>
  </si>
  <si>
    <t>ITEM-1e7a626a2-1</t>
  </si>
  <si>
    <t>Notas_Images/3c1c37a9.Foto.171121.jpg</t>
  </si>
  <si>
    <t>1e7a626a2</t>
  </si>
  <si>
    <t>ITEM-115cd3542-1</t>
  </si>
  <si>
    <t>115cd3542</t>
  </si>
  <si>
    <t>ITEM-11967-1</t>
  </si>
  <si>
    <t>Camila Morango (01/11/2025) - Morango</t>
  </si>
  <si>
    <t>Notas_Images/22818c4f.Foto.143057.jpg</t>
  </si>
  <si>
    <t>ITEM-11968-1</t>
  </si>
  <si>
    <t>77c5ea9b</t>
  </si>
  <si>
    <t>ITEM-11972-1</t>
  </si>
  <si>
    <t>Motoboy luiz (30/10/2025) - Motoboy</t>
  </si>
  <si>
    <t>Notas_Images/a987db65.Foto.152923.jpg</t>
  </si>
  <si>
    <t>ITEM-1413d91e0-1</t>
  </si>
  <si>
    <t>1413d91e0</t>
  </si>
  <si>
    <t>Motoboy Clóvis (31/10/2025) - Motoboy</t>
  </si>
  <si>
    <t>Notas_Images/76f69051.Foto.153220.jpg</t>
  </si>
  <si>
    <t>ITEM-17e4afd06-1</t>
  </si>
  <si>
    <t>17e4afd06</t>
  </si>
  <si>
    <t>Motoboy luiz (31/10/2025) - Motoboy</t>
  </si>
  <si>
    <t>Notas_Images/af69b869.Foto.153357.jpg</t>
  </si>
  <si>
    <t>ITEM-12022-1</t>
  </si>
  <si>
    <t>ITEM-12023-1</t>
  </si>
  <si>
    <t>Motoboy Clóvis (01/11/2025) - Motoboy</t>
  </si>
  <si>
    <t>Notas_Images/ba5f52e7.Foto.153502.jpg</t>
  </si>
  <si>
    <t>ITEM-12024-1</t>
  </si>
  <si>
    <t>Motoboy luiz (01/11/2025) - Motoboy</t>
  </si>
  <si>
    <t>Notas_Images/450681a8.Foto.153551.jpg</t>
  </si>
  <si>
    <t>ITEM-12025-1</t>
  </si>
  <si>
    <t>Motoboy Clóvis (02/11/2025) - Motoboy</t>
  </si>
  <si>
    <t>ITEM-12026-1</t>
  </si>
  <si>
    <t>Notas_Images/70e730a3.Foto.153711.jpg</t>
  </si>
  <si>
    <t>ITEM-12027-1</t>
  </si>
  <si>
    <t>027a19f7</t>
  </si>
  <si>
    <t>Dylan (01/11/2025) - Freelancer</t>
  </si>
  <si>
    <t>Notas_Images/98775ea0.Foto.153822.jpg</t>
  </si>
  <si>
    <t>Freelancer</t>
  </si>
  <si>
    <t>ITEM-12028-1</t>
  </si>
  <si>
    <t>d5a3358e</t>
  </si>
  <si>
    <t>Marlene (01/11/2025) - Freelancer</t>
  </si>
  <si>
    <t>Notas_Images/fe3addef.Foto.153929.jpg</t>
  </si>
  <si>
    <t>ITEM-12029-1</t>
  </si>
  <si>
    <t>74db5854</t>
  </si>
  <si>
    <t>Isabela leal (01/11/2025) - Freelancer</t>
  </si>
  <si>
    <t>ITEM-12030-1</t>
  </si>
  <si>
    <t>Notas_Images/52fbe51a.Foto.154107.jpg</t>
  </si>
  <si>
    <t>ITEM-12031-1</t>
  </si>
  <si>
    <t>bfc81c13</t>
  </si>
  <si>
    <t>Diuli (01/11/2025) - Freelancer</t>
  </si>
  <si>
    <t>Notas_Images/9e521d82.Foto.154231.jpg</t>
  </si>
  <si>
    <t>ITEM-12015-1</t>
  </si>
  <si>
    <t>Isabela leal (02/11/2025) - Freelancer</t>
  </si>
  <si>
    <t>Notas_Images/7d080d64.Foto.154357.jpg</t>
  </si>
  <si>
    <t>ITEM-12016-1</t>
  </si>
  <si>
    <t>ITEM-12017-1</t>
  </si>
  <si>
    <t>Dylan (02/11/2025) - Freelancer</t>
  </si>
  <si>
    <t>Notas_Images/d05c5049.Foto.154508.jpg</t>
  </si>
  <si>
    <t>ITEM-12018-1</t>
  </si>
  <si>
    <t>Delivery Much (01/10/2025) - Aplicativo de delivery</t>
  </si>
  <si>
    <t>Notas_Images/058728f1.Foto.151256.jpg</t>
  </si>
  <si>
    <t>ITEM-12019-1</t>
  </si>
  <si>
    <t>ITEM-1fedcd9f3-1</t>
  </si>
  <si>
    <t>1fedcd9f3</t>
  </si>
  <si>
    <t>1f469486</t>
  </si>
  <si>
    <t>Prioridade 10 (04/11/2025) - Tábua plástica</t>
  </si>
  <si>
    <t>d57227f3</t>
  </si>
  <si>
    <t>Notas_Images/67388b0e.Foto.165814.jpg</t>
  </si>
  <si>
    <t>Tábua plástica</t>
  </si>
  <si>
    <t>ITEM-129a35aef-1</t>
  </si>
  <si>
    <t>129a35aef</t>
  </si>
  <si>
    <t>4c2157ff</t>
  </si>
  <si>
    <t>Yasmin (03/11/2025) - Motoboy</t>
  </si>
  <si>
    <t>Notas_Images/ac89686b.Foto.165912.jpg</t>
  </si>
  <si>
    <t>ITEM-12034-1</t>
  </si>
  <si>
    <t>Motoboy Clóvis (03/11/2025) - Motoboy</t>
  </si>
  <si>
    <t>ITEM-150be9b68-1</t>
  </si>
  <si>
    <t>Notas_Images/2fa9cc51.Foto.170006.jpg</t>
  </si>
  <si>
    <t>150be9b68</t>
  </si>
  <si>
    <t>a3308e7b</t>
  </si>
  <si>
    <t>ITEM-199529d2d-1</t>
  </si>
  <si>
    <t>199529d2d</t>
  </si>
  <si>
    <t>Pedido 88445 cartaz campanha the best friday</t>
  </si>
  <si>
    <t>ITEM-1efe7598f-1</t>
  </si>
  <si>
    <t>1efe7598f</t>
  </si>
  <si>
    <t>e6a1b25f</t>
  </si>
  <si>
    <t>Royalties</t>
  </si>
  <si>
    <t>ITEM-15667f2bb-1</t>
  </si>
  <si>
    <t>15667f2bb</t>
  </si>
  <si>
    <t>ITEM-18cc6888e-1</t>
  </si>
  <si>
    <t>Marketing</t>
  </si>
  <si>
    <t>18cc6888e</t>
  </si>
  <si>
    <t>ITEM-12045-1</t>
  </si>
  <si>
    <t>d66a3a65</t>
  </si>
  <si>
    <t>Internet</t>
  </si>
  <si>
    <t>ITEM-12046-1</t>
  </si>
  <si>
    <t>Energia</t>
  </si>
  <si>
    <t>ITEM-12047-1</t>
  </si>
  <si>
    <t>ITEM-12049-1</t>
  </si>
  <si>
    <t>ITEM-1ee8d1551-1</t>
  </si>
  <si>
    <t>1ee8d1551</t>
  </si>
  <si>
    <t>ITEM-12062-1</t>
  </si>
  <si>
    <t>Motoboy Clóvis (04/11/2025) - Motoboy</t>
  </si>
  <si>
    <t>Notas_Images/8415bdac.Foto.145822.jpg</t>
  </si>
  <si>
    <t>ITEM-100618b33-1</t>
  </si>
  <si>
    <t>100618b33</t>
  </si>
  <si>
    <t>Jandira (05/11/2025) - Produto de limpeza</t>
  </si>
  <si>
    <t>Notas_Images/793bf361.Foto.184323.jpg</t>
  </si>
  <si>
    <t>ITEM-128b15bb1-1</t>
  </si>
  <si>
    <t>128b15bb1</t>
  </si>
  <si>
    <t>Banderloff (05/11/2025) - Frutas</t>
  </si>
  <si>
    <t>ITEM-1152f545b-1</t>
  </si>
  <si>
    <t>Notas_Images/e77c4a55.Foto.184655.jpg</t>
  </si>
  <si>
    <t>1152f545b</t>
  </si>
  <si>
    <t>ITEM-1f2cf39f2-1</t>
  </si>
  <si>
    <t>1f2cf39f2</t>
  </si>
  <si>
    <t>Motoboy Clóvis (05/11/2025) - Motoboy</t>
  </si>
  <si>
    <t>Notas_Images/2f8cf47a.Foto.155733.jpg</t>
  </si>
  <si>
    <t>ITEM-1b9123cb3-1</t>
  </si>
  <si>
    <t>1b9123cb3</t>
  </si>
  <si>
    <t>ITEM-104239b57-1</t>
  </si>
  <si>
    <t>Motoboy luiz (05/11/2025) - Motoboy</t>
  </si>
  <si>
    <t>Notas_Images/992d8aa1.Foto.155834.jpg</t>
  </si>
  <si>
    <t>104239b57</t>
  </si>
  <si>
    <t>ITEM-1145b6ea0-1</t>
  </si>
  <si>
    <t>1145b6ea0</t>
  </si>
  <si>
    <t>Coca Cola (06/11/2025) - Bebidas</t>
  </si>
  <si>
    <t>Notas_Images/8b291bc2.Foto.192323.jpg</t>
  </si>
  <si>
    <t>Notas_Images/8b291bc2.Foto 1.192323.jpg</t>
  </si>
  <si>
    <t>ITEM-12043-1</t>
  </si>
  <si>
    <t>ITEM-12044-1</t>
  </si>
  <si>
    <t>ITEM-12048-1</t>
  </si>
  <si>
    <t>INSS</t>
  </si>
  <si>
    <t>ITEM-12063-1</t>
  </si>
  <si>
    <t>Camila Morango (07/11/2025) - Morango</t>
  </si>
  <si>
    <t>ITEM-1c2ee2c46-1</t>
  </si>
  <si>
    <t>Notas_Images/c8e0f5e5.Foto.181143.jpg</t>
  </si>
  <si>
    <t>1c2ee2c46</t>
  </si>
  <si>
    <t>ITEM-189c0da1f-1</t>
  </si>
  <si>
    <t>Superviza Supermercado (07/11/2025) - Café equipe</t>
  </si>
  <si>
    <t>189c0da1f</t>
  </si>
  <si>
    <t>Notas_Images/ad7fb008.Foto.181924.jpg</t>
  </si>
  <si>
    <t>ITEM-10d01f827-1</t>
  </si>
  <si>
    <t>10d01f827</t>
  </si>
  <si>
    <t>ITEM-12082-1</t>
  </si>
  <si>
    <t>ITEM-12081-1</t>
  </si>
  <si>
    <t>ITEM-18d4a7b84-1</t>
  </si>
  <si>
    <t>18d4a7b84</t>
  </si>
  <si>
    <t>d231cc39</t>
  </si>
  <si>
    <t>Camila Morango (08/11/2025) - Morango</t>
  </si>
  <si>
    <t>Notas_Images/782d5d84.Foto.143754.jpg</t>
  </si>
  <si>
    <t>ITEM-1c0107825-1</t>
  </si>
  <si>
    <t>1c0107825</t>
  </si>
  <si>
    <t>Banderloff (07/11/2025) - Frutas</t>
  </si>
  <si>
    <t>ITEM-1ee6af4d9-1</t>
  </si>
  <si>
    <t>Notas_Images/fcf40e3d.Foto.142618.jpg</t>
  </si>
  <si>
    <t>1ee6af4d9</t>
  </si>
  <si>
    <t>ITEM-12087-1</t>
  </si>
  <si>
    <t>Suco prats (07/11/2025) - Sucos</t>
  </si>
  <si>
    <t>ITEM-12088-1</t>
  </si>
  <si>
    <t>Notas_Images/8938f2da.Foto.142851.jpg</t>
  </si>
  <si>
    <t>ITEM-12089-1</t>
  </si>
  <si>
    <t>ITEM-12090-1</t>
  </si>
  <si>
    <t>BS bebidas (07/11/2025) - Água</t>
  </si>
  <si>
    <t>Notas_Images/e94c5f93.Foto.142950.jpg</t>
  </si>
  <si>
    <t>ITEM-12096-1</t>
  </si>
  <si>
    <t>Dylan (09/11/2025) - Free lancer</t>
  </si>
  <si>
    <t>Notas_Images/f1677a0c.Foto.143049.jpg</t>
  </si>
  <si>
    <t>Free lancer</t>
  </si>
  <si>
    <t>ITEM-10255cc68-1</t>
  </si>
  <si>
    <t>10255cc68</t>
  </si>
  <si>
    <t>Diuli (09/11/2025) - Free lancer</t>
  </si>
  <si>
    <t>ITEM-12091-1</t>
  </si>
  <si>
    <t>Notas_Images/a2aa6b4d.Foto.143152.jpg</t>
  </si>
  <si>
    <t>ITEM-12092-1</t>
  </si>
  <si>
    <t>Isabela leal (09/11/2025) - Free Lancer</t>
  </si>
  <si>
    <t>Notas_Images/6dd1ed19.Foto.143251.jpg</t>
  </si>
  <si>
    <t>ITEM-12093-1</t>
  </si>
  <si>
    <t>Free Lancer</t>
  </si>
  <si>
    <t>ITEM-12094-1</t>
  </si>
  <si>
    <t>Motoboy Clóvis (06/11/2025) - Motoboy</t>
  </si>
  <si>
    <t>Notas_Images/c74430c7.Foto.143458.jpg</t>
  </si>
  <si>
    <t>ITEM-12095-1</t>
  </si>
  <si>
    <t>ITEM-12104-1</t>
  </si>
  <si>
    <t>Yasmin (06/11/2025) - Motoboy</t>
  </si>
  <si>
    <t>Notas_Images/26d18037.Foto.143611.jpg</t>
  </si>
  <si>
    <t>ITEM-12105-1</t>
  </si>
  <si>
    <t>ITEM-12106-1</t>
  </si>
  <si>
    <t>Motoboy luiz (07/11/2025) - Motoboy</t>
  </si>
  <si>
    <t>Notas_Images/688d7c73.Foto.143722.jpg</t>
  </si>
  <si>
    <t>ITEM-12107-1</t>
  </si>
  <si>
    <t>ITEM-12113-1</t>
  </si>
  <si>
    <t>Motoboy Clóvis (07/11/2025) - Motoboy</t>
  </si>
  <si>
    <t>Notas_Images/da5f730f.Foto.143835.jpg</t>
  </si>
  <si>
    <t>ITEM-119c1149b-1</t>
  </si>
  <si>
    <t>119c1149b</t>
  </si>
  <si>
    <t>Motoboy Clóvis (08/11/2025) - Motoboy</t>
  </si>
  <si>
    <t>Notas_Images/01faf8ec.Foto.144028.jpg</t>
  </si>
  <si>
    <t>ITEM-1d6e9f88f-1</t>
  </si>
  <si>
    <t>1d6e9f88f</t>
  </si>
  <si>
    <t>ITEM-145649040-1</t>
  </si>
  <si>
    <t>Motoboy luiz (08/11/2025) - Motoboy</t>
  </si>
  <si>
    <t>ITEM-17d6e717d-1</t>
  </si>
  <si>
    <t>Notas_Images/03d47506.Foto.144118.jpg</t>
  </si>
  <si>
    <t>17d6e717d</t>
  </si>
  <si>
    <t>ITEM-11c3fa650-1</t>
  </si>
  <si>
    <t>11c3fa650</t>
  </si>
  <si>
    <t>ProFood (10/11/2025) - Embalagens</t>
  </si>
  <si>
    <t>ITEM-12123-1</t>
  </si>
  <si>
    <t>Notas_Images/987c6a4c.Foto.155053.jpg</t>
  </si>
  <si>
    <t>ITEM-12124-1</t>
  </si>
  <si>
    <t>ITEM-12125-1</t>
  </si>
  <si>
    <t>ITEM-12126-1</t>
  </si>
  <si>
    <t>ITEM-162ba1ebc-1</t>
  </si>
  <si>
    <t>162ba1ebc</t>
  </si>
  <si>
    <t>9ee99ca0</t>
  </si>
  <si>
    <t>Banderloff (12/11/2025) - Frutas</t>
  </si>
  <si>
    <t>ITEM-10532d939-1</t>
  </si>
  <si>
    <t>Notas_Images/7399f15c.Foto.160151.jpg</t>
  </si>
  <si>
    <t>10532d939</t>
  </si>
  <si>
    <t>ITEM-1a68ded49-1</t>
  </si>
  <si>
    <t>1a68ded49</t>
  </si>
  <si>
    <t>ITEM-18216ded4-1</t>
  </si>
  <si>
    <t>ACB (11/11/2025) - Energético</t>
  </si>
  <si>
    <t>18216ded4</t>
  </si>
  <si>
    <t>Notas_Images/089da315.Foto.191950.jpg</t>
  </si>
  <si>
    <t>ITEM-1bd139e82-1</t>
  </si>
  <si>
    <t>1bd139e82</t>
  </si>
  <si>
    <t>ITEM-12121-1</t>
  </si>
  <si>
    <t>ACB (11/11/2025) - Energético, refrigerante</t>
  </si>
  <si>
    <t>Notas_Images/1af2dc23.Foto.192139.jpg</t>
  </si>
  <si>
    <t>Energético, refrigerante</t>
  </si>
  <si>
    <t>ITEM-12122-1</t>
  </si>
  <si>
    <t>ITEM-1eeef7134-1</t>
  </si>
  <si>
    <t>1eeef7134</t>
  </si>
  <si>
    <t>ITEM-1da92caa5-1</t>
  </si>
  <si>
    <t>Pedido 93562 nota de serviço</t>
  </si>
  <si>
    <t>1da92caa5</t>
  </si>
  <si>
    <t>ITEM-147f4a71c-1</t>
  </si>
  <si>
    <t>147f4a71c</t>
  </si>
  <si>
    <t>ITEM-1d2485e76-1</t>
  </si>
  <si>
    <t>1d2485e76</t>
  </si>
  <si>
    <t>ProFood (11/11/2025) - Embalagens para panetone</t>
  </si>
  <si>
    <t>Notas_Images/885cd247.Foto.150020.jpg</t>
  </si>
  <si>
    <t>ITEM-120ddab58-1</t>
  </si>
  <si>
    <t>120ddab58</t>
  </si>
  <si>
    <t>ITEM-12127-1</t>
  </si>
  <si>
    <t>ITEM-12131-1</t>
  </si>
  <si>
    <t>Help Multi Coisas (13/11/2025) - Copos d declaração para funcionários assinar 1,00</t>
  </si>
  <si>
    <t>ITEM-12132-1</t>
  </si>
  <si>
    <t>Notas_Images/d2ea0597.Foto.185516.jpg</t>
  </si>
  <si>
    <t>Copos d declaração para funcionários assinar 1,00</t>
  </si>
  <si>
    <t>ITEM-1a7f53214-1</t>
  </si>
  <si>
    <t>1a7f53214</t>
  </si>
  <si>
    <t>ITEM-15f22fa66-1</t>
  </si>
  <si>
    <t>15f22fa66</t>
  </si>
  <si>
    <t>Coca Cola (13/11/2025) - Bebidas</t>
  </si>
  <si>
    <t>Notas_Images/cde2fdcb.Foto.185635.jpg</t>
  </si>
  <si>
    <t>bd90e8d7</t>
  </si>
  <si>
    <t>e3c983ab</t>
  </si>
  <si>
    <t>Notas_Images/cde2fdcb.Foto 1.185635.jpg</t>
  </si>
  <si>
    <t>d73f9686</t>
  </si>
  <si>
    <t>6d4f60bb</t>
  </si>
  <si>
    <t>7d709f8a</t>
  </si>
  <si>
    <t>Banderloff (13/11/2025) - Frutas</t>
  </si>
  <si>
    <t>fd62e30b</t>
  </si>
  <si>
    <t>Notas_Images/a3e2a35f.Foto.193847.jpg</t>
  </si>
  <si>
    <t>18c381dd</t>
  </si>
  <si>
    <t>83c33361</t>
  </si>
  <si>
    <t>14f4152a</t>
  </si>
  <si>
    <t>858164bc</t>
  </si>
  <si>
    <t>961bf1d0</t>
  </si>
  <si>
    <t>d0409c7a</t>
  </si>
  <si>
    <t>2ff326b9</t>
  </si>
  <si>
    <t>Amadelli (11/11/2025) - Estoque gelado</t>
  </si>
  <si>
    <t>baab3804</t>
  </si>
  <si>
    <t>Notas_Images/ae5a1d3a.Foto.130248.jpg</t>
  </si>
  <si>
    <t>2e08f84d</t>
  </si>
  <si>
    <t>Notas_Images/ae5a1d3a.Foto 1.130248.jpg</t>
  </si>
  <si>
    <t>Notas_Images/ae5a1d3a.Foto 2.130248.jpg</t>
  </si>
  <si>
    <t>9e1aa4e9</t>
  </si>
  <si>
    <t>Amadelli (12/11/2025) - Estoque seco</t>
  </si>
  <si>
    <t>Notas_Images/af1c6518.Foto.154404.jpg</t>
  </si>
  <si>
    <t>9d288d77</t>
  </si>
  <si>
    <t>Notas_Images/af1c6518.Foto 1.154404.jpg</t>
  </si>
  <si>
    <t>b6fffe0f</t>
  </si>
  <si>
    <t>ad2a750f</t>
  </si>
  <si>
    <t>03bb49b8</t>
  </si>
  <si>
    <t>Banderloff (14/11/2025) - Frutas</t>
  </si>
  <si>
    <t>Notas_Images/13040625.Foto.154909.jpg</t>
  </si>
  <si>
    <t>ee8c1fda</t>
  </si>
  <si>
    <t>97b3f775</t>
  </si>
  <si>
    <t>e45f634c</t>
  </si>
  <si>
    <t>442f0c8b</t>
  </si>
  <si>
    <t>2f122c31</t>
  </si>
  <si>
    <t>Motoboy luiz (09/11/2025) - Motoboy</t>
  </si>
  <si>
    <t>9d37a44b</t>
  </si>
  <si>
    <t>Notas_Images/8b450b0f.Foto.155809.jpg</t>
  </si>
  <si>
    <t>bec94aeb</t>
  </si>
  <si>
    <t>868ea7d1</t>
  </si>
  <si>
    <t>155919cf</t>
  </si>
  <si>
    <t>Camila Morango (16/11/2025) - Morangos</t>
  </si>
  <si>
    <t>Notas_Images/d1e956d0.Foto.231612.jpg</t>
  </si>
  <si>
    <t>cf551229</t>
  </si>
  <si>
    <t>1f542171</t>
  </si>
  <si>
    <t>19245137</t>
  </si>
  <si>
    <t>50c317c9</t>
  </si>
  <si>
    <t>81555de9</t>
  </si>
  <si>
    <t>f36ce086</t>
  </si>
  <si>
    <t>bb038278</t>
  </si>
  <si>
    <t>bd334263</t>
  </si>
  <si>
    <t>83bd56be</t>
  </si>
  <si>
    <t>41d3f10b</t>
  </si>
  <si>
    <t>33953162</t>
  </si>
  <si>
    <t>22e4f984</t>
  </si>
  <si>
    <t>15732f76</t>
  </si>
  <si>
    <t>64d4a259</t>
  </si>
  <si>
    <t>R$3748 Parcela 08/48</t>
  </si>
  <si>
    <t>84822200</t>
  </si>
  <si>
    <t>42ec4d17</t>
  </si>
  <si>
    <t>4608ab14</t>
  </si>
  <si>
    <t>Yasmin (09/11/2025) - Motoboy</t>
  </si>
  <si>
    <t>85c3da77</t>
  </si>
  <si>
    <t>Notas_Images/572bc041.Foto.145121.jpg</t>
  </si>
  <si>
    <t>0175d34d</t>
  </si>
  <si>
    <t>d3838b35</t>
  </si>
  <si>
    <t>82938f4d</t>
  </si>
  <si>
    <t>Motoboy Clóvis (10/11/2025) - Motoboy</t>
  </si>
  <si>
    <t>Notas_Images/29b20857.Foto.145238.jpg</t>
  </si>
  <si>
    <t>1149b924</t>
  </si>
  <si>
    <t>cb80abf1</t>
  </si>
  <si>
    <t>58c9abe9</t>
  </si>
  <si>
    <t>5718c33b</t>
  </si>
  <si>
    <t>23a2f1fe</t>
  </si>
  <si>
    <t>fa19fe67</t>
  </si>
  <si>
    <t>Motoboy Clóvis (11/11/2025) - Motoboy</t>
  </si>
  <si>
    <t>97bb0b76</t>
  </si>
  <si>
    <t>Notas_Images/02bcd844.Foto.145434.jpg</t>
  </si>
  <si>
    <t>8f382675</t>
  </si>
  <si>
    <t>2cf51a1a</t>
  </si>
  <si>
    <t>21bb5655</t>
  </si>
  <si>
    <t>c11993d1</t>
  </si>
  <si>
    <t>Notas_Images/4c32044a.Foto.145759.jpg</t>
  </si>
  <si>
    <t>be1ebcf5</t>
  </si>
  <si>
    <t>06752dba</t>
  </si>
  <si>
    <t>3ea665c5</t>
  </si>
  <si>
    <t>Motoboy Clóvis (12/11/2025) - Motoboy</t>
  </si>
  <si>
    <t>e56d46d6</t>
  </si>
  <si>
    <t>Notas_Images/02b12000.Foto.145911.jpg</t>
  </si>
  <si>
    <t>dcc4130c</t>
  </si>
  <si>
    <t>b00f4f10</t>
  </si>
  <si>
    <t>0657bbab</t>
  </si>
  <si>
    <t>e6b96f0f</t>
  </si>
  <si>
    <t>0e5ee694</t>
  </si>
  <si>
    <t>Motoboy luiz (12/11/2025) - Motoboy</t>
  </si>
  <si>
    <t>Notas_Images/9a343297.Foto.150016.jpg</t>
  </si>
  <si>
    <t>34301655</t>
  </si>
  <si>
    <t>5fad01c6</t>
  </si>
  <si>
    <t>Pedido 93616 nota de serviço</t>
  </si>
  <si>
    <t>96a2e54d</t>
  </si>
  <si>
    <t>f1d823d4</t>
  </si>
  <si>
    <t>3e1fdefd</t>
  </si>
  <si>
    <t>Motoboy Clóvis (13/11/2025) - Motoboy</t>
  </si>
  <si>
    <t>Notas_Images/2be32037.Foto.172001.jpg</t>
  </si>
  <si>
    <t>80fa62dd</t>
  </si>
  <si>
    <t>4c7ab591</t>
  </si>
  <si>
    <t>Motoboy luiz (13/11/2025) - Motoboy</t>
  </si>
  <si>
    <t>Notas_Images/41fa3f3b.Foto.172215.jpg</t>
  </si>
  <si>
    <t>e8e0f9c7</t>
  </si>
  <si>
    <t>5bace078</t>
  </si>
  <si>
    <t>64afb154</t>
  </si>
  <si>
    <t>f438b507</t>
  </si>
  <si>
    <t>Yasmin (13/11/2025) - Motoboy</t>
  </si>
  <si>
    <t>Notas_Images/8a3440e8.Foto.172320.jpg</t>
  </si>
  <si>
    <t>2db26a47</t>
  </si>
  <si>
    <t>00ef2f6d</t>
  </si>
  <si>
    <t>Motoboy Clóvis (14/11/2025) - Motoboy</t>
  </si>
  <si>
    <t>Notas_Images/ca4ea173.Foto.172514.jpg</t>
  </si>
  <si>
    <t>381148fe</t>
  </si>
  <si>
    <t>dae5535f</t>
  </si>
  <si>
    <t>28fce78d</t>
  </si>
  <si>
    <t>Motoboy Clóvis (15/11/2025) - Motoboy</t>
  </si>
  <si>
    <t>Notas_Images/7a5405ba.Foto.172618.jpg</t>
  </si>
  <si>
    <t>a96fa5f7</t>
  </si>
  <si>
    <t>68ff0d4f</t>
  </si>
  <si>
    <t>5b649718</t>
  </si>
  <si>
    <t>93e43f56</t>
  </si>
  <si>
    <t>Motoboy luiz (15/11/2025) - Motoboy</t>
  </si>
  <si>
    <t>Notas_Images/5c207176.Foto.172714.jpg</t>
  </si>
  <si>
    <t>7876ef8d</t>
  </si>
  <si>
    <t>df35779e</t>
  </si>
  <si>
    <t>4f1ce5c1</t>
  </si>
  <si>
    <t>cb99df94</t>
  </si>
  <si>
    <t>Motoboy Clóvis (16/11/2025) - Motoboy</t>
  </si>
  <si>
    <t>5b30ed85</t>
  </si>
  <si>
    <t>Notas_Images/5cbd2a26.Foto.172813.jpg</t>
  </si>
  <si>
    <t>b22b8726</t>
  </si>
  <si>
    <t>eaf1af5e</t>
  </si>
  <si>
    <t>b6b00058</t>
  </si>
  <si>
    <t>c15605d0</t>
  </si>
  <si>
    <t>6643eaa7</t>
  </si>
  <si>
    <t>Marcos (17/11/2025) - Motoboy</t>
  </si>
  <si>
    <t>Notas_Images/f9218ab4.Foto.172905.jpg</t>
  </si>
  <si>
    <t>8dbb7c75</t>
  </si>
  <si>
    <t>d3eaf0be</t>
  </si>
  <si>
    <t>Motoboy luiz (17/11/2025) - Motoboy</t>
  </si>
  <si>
    <t>Notas_Images/ee634382.Foto.173051.jpg</t>
  </si>
  <si>
    <t>47c4a8b1</t>
  </si>
  <si>
    <t>9b2201cc</t>
  </si>
  <si>
    <t>Dylan (15/11/2025) - Freelancer</t>
  </si>
  <si>
    <t>Notas_Images/2da51275.Foto.173312.jpg</t>
  </si>
  <si>
    <t>09d5d29d</t>
  </si>
  <si>
    <t>5d139e60</t>
  </si>
  <si>
    <t>9ba19606</t>
  </si>
  <si>
    <t>7dec3a54</t>
  </si>
  <si>
    <t>Ana (15/11/2025) - Freelancer</t>
  </si>
  <si>
    <t>71ecf976</t>
  </si>
  <si>
    <t>Notas_Images/d3c272ab.Foto.173400.jpg</t>
  </si>
  <si>
    <t>56df7db1</t>
  </si>
  <si>
    <t>86d8d4b5</t>
  </si>
  <si>
    <t>eaf826cd</t>
  </si>
  <si>
    <t>f811fb5b</t>
  </si>
  <si>
    <t>7d7b30d0</t>
  </si>
  <si>
    <t>47c5ba16</t>
  </si>
  <si>
    <t>Wesley (15/11/2025) - Freelancer</t>
  </si>
  <si>
    <t>12539885</t>
  </si>
  <si>
    <t>Notas_Images/17777de3.Foto.173456.jpg</t>
  </si>
  <si>
    <t>a0116fc2</t>
  </si>
  <si>
    <t>062de84f</t>
  </si>
  <si>
    <t>25b54996</t>
  </si>
  <si>
    <t>Marlene (15/11/2025) - Freelancer</t>
  </si>
  <si>
    <t>d01d2fc6</t>
  </si>
  <si>
    <t>d14c53ab</t>
  </si>
  <si>
    <t>Notas_Images/b95178bc.Foto.173621.jpg</t>
  </si>
  <si>
    <t>8fa70ef6</t>
  </si>
  <si>
    <t>446518ae</t>
  </si>
  <si>
    <t>2dee4644</t>
  </si>
  <si>
    <t>Marlene (16/11/2025) - Freelancer</t>
  </si>
  <si>
    <t>Notas_Images/486f40dc.Foto.173714.jpg</t>
  </si>
  <si>
    <t>7fbf8a5b</t>
  </si>
  <si>
    <t>aab898bd</t>
  </si>
  <si>
    <t>7b75157d</t>
  </si>
  <si>
    <t>Dylan (16/11/2025) - Freelancer</t>
  </si>
  <si>
    <t>Notas_Images/465a4f91.Foto.173801.jpg</t>
  </si>
  <si>
    <t>615575c5</t>
  </si>
  <si>
    <t>25c07ae5</t>
  </si>
  <si>
    <t>fda176c3</t>
  </si>
  <si>
    <t>414f8009</t>
  </si>
  <si>
    <t>Paty (16/11/2025) - Freelancer</t>
  </si>
  <si>
    <t>fe00be58</t>
  </si>
  <si>
    <t>Notas_Images/0c741d22.Foto.173848.jpg</t>
  </si>
  <si>
    <t>079a351a</t>
  </si>
  <si>
    <t>e2d32d1f</t>
  </si>
  <si>
    <t>775d1fe7</t>
  </si>
  <si>
    <t>Isabela leal (16/11/2025) - Freelancer</t>
  </si>
  <si>
    <t>Notas_Images/517a52b6.Foto.173954.jpg</t>
  </si>
  <si>
    <t>b857e6ad</t>
  </si>
  <si>
    <t>ee2f62b5</t>
  </si>
  <si>
    <t>ce4d2a4e</t>
  </si>
  <si>
    <t>af97d317</t>
  </si>
  <si>
    <t>75375964</t>
  </si>
  <si>
    <t>64ba2c7f</t>
  </si>
  <si>
    <t>Milium (17/11/2025) - Potes</t>
  </si>
  <si>
    <t>Notas_Images/40846940.Foto.174139.jpg</t>
  </si>
  <si>
    <t>Potes</t>
  </si>
  <si>
    <t>eec86796</t>
  </si>
  <si>
    <t>b20b6c3a</t>
  </si>
  <si>
    <t>2ff5be64</t>
  </si>
  <si>
    <t>Casa das Embalagens (17/11/2025) - Copos, grampos e álcool</t>
  </si>
  <si>
    <t>Notas_Images/c415abed.Foto.174237.jpg</t>
  </si>
  <si>
    <t>Copos, grampos e álcool</t>
  </si>
  <si>
    <t>2cda2596</t>
  </si>
  <si>
    <t>e00efbba</t>
  </si>
  <si>
    <t>Prioridade 10 (17/11/2025) - Jarras</t>
  </si>
  <si>
    <t>916aa697</t>
  </si>
  <si>
    <t>9edac033</t>
  </si>
  <si>
    <t>Notas_Images/272a46f8.Foto.174423.jpg</t>
  </si>
  <si>
    <t>Jarras</t>
  </si>
  <si>
    <t>5dcc8493</t>
  </si>
  <si>
    <t>810e70c4</t>
  </si>
  <si>
    <t>41560c11</t>
  </si>
  <si>
    <t>4227ff11</t>
  </si>
  <si>
    <t>A da loja havia quebrado</t>
  </si>
  <si>
    <t>Para Smoothie</t>
  </si>
  <si>
    <t>6e4e6eae</t>
  </si>
  <si>
    <t>bb67d2ff</t>
  </si>
  <si>
    <t>e0f89126</t>
  </si>
  <si>
    <t>a5f07327</t>
  </si>
  <si>
    <t>600un</t>
  </si>
  <si>
    <t>26f46091</t>
  </si>
  <si>
    <t>eacc42b7</t>
  </si>
  <si>
    <t>338ca384</t>
  </si>
  <si>
    <t>b6d4f68c</t>
  </si>
  <si>
    <t>dd450349</t>
  </si>
  <si>
    <t>7 un</t>
  </si>
  <si>
    <t>b8c90ec3</t>
  </si>
  <si>
    <t>933a9f2b</t>
  </si>
  <si>
    <t>f27f3d4d</t>
  </si>
  <si>
    <t>capinha e ssd</t>
  </si>
  <si>
    <t>bba2413d</t>
  </si>
  <si>
    <t>50e2f3b4</t>
  </si>
  <si>
    <t>3cadd9c8</t>
  </si>
  <si>
    <t>2ddd5588</t>
  </si>
  <si>
    <t>8dbaa08c</t>
  </si>
  <si>
    <t>b2d2acd5</t>
  </si>
  <si>
    <t>b4f6fc23</t>
  </si>
  <si>
    <t>55371b82</t>
  </si>
  <si>
    <t>c8e08f1e</t>
  </si>
  <si>
    <t>2e8b4b92</t>
  </si>
  <si>
    <t>1° parcela 13°</t>
  </si>
  <si>
    <t>1733f753</t>
  </si>
  <si>
    <t>795e5a12</t>
  </si>
  <si>
    <t>29c5006c</t>
  </si>
  <si>
    <t>2° parcela 13°</t>
  </si>
  <si>
    <t>196289f7</t>
  </si>
  <si>
    <t>be6f6ab3</t>
  </si>
  <si>
    <t>26126d35</t>
  </si>
  <si>
    <t>10c3cadf</t>
  </si>
  <si>
    <t>745448b5</t>
  </si>
  <si>
    <t>9f00f252</t>
  </si>
  <si>
    <t>04f5a986</t>
  </si>
  <si>
    <t>b2d453da</t>
  </si>
  <si>
    <t>e0a768e6</t>
  </si>
  <si>
    <t>bbc18174</t>
  </si>
  <si>
    <t>4d941789</t>
  </si>
  <si>
    <t>59fdf4e5</t>
  </si>
  <si>
    <t>90dad107</t>
  </si>
  <si>
    <t>bf1ed461</t>
  </si>
  <si>
    <t>aafbb503</t>
  </si>
  <si>
    <t>74408425</t>
  </si>
  <si>
    <t>9c29e390</t>
  </si>
  <si>
    <t>2d30f1bf</t>
  </si>
  <si>
    <t>a1a3f46c</t>
  </si>
  <si>
    <t>66ee8c9c</t>
  </si>
  <si>
    <t>bb60c112</t>
  </si>
  <si>
    <t>a51ced0f</t>
  </si>
  <si>
    <t>8ed5fad9</t>
  </si>
  <si>
    <t>990fd0c4</t>
  </si>
  <si>
    <t>ab99aef8</t>
  </si>
  <si>
    <t>41f1728a</t>
  </si>
  <si>
    <t>63650d60</t>
  </si>
  <si>
    <t>2c21c0af</t>
  </si>
  <si>
    <t>d1358b7b</t>
  </si>
  <si>
    <t>3e5fd834</t>
  </si>
  <si>
    <t>cd68fe65</t>
  </si>
  <si>
    <t>c1ce455c</t>
  </si>
  <si>
    <t>1e62e814</t>
  </si>
  <si>
    <t>8abd88ea</t>
  </si>
  <si>
    <t>648a322b</t>
  </si>
  <si>
    <t>c602b6cf</t>
  </si>
  <si>
    <t>6f72ebd5</t>
  </si>
  <si>
    <t>Sal ADM Jairo 3498+585</t>
  </si>
  <si>
    <t>0e3ce0d6</t>
  </si>
  <si>
    <t>3b8ef115</t>
  </si>
  <si>
    <t>14ed35d1</t>
  </si>
  <si>
    <t>4e10334c</t>
  </si>
  <si>
    <t>90eedbc2</t>
  </si>
  <si>
    <t>a3a1d945</t>
  </si>
  <si>
    <t>Empréstimo pessoal Patrícia 11/25</t>
  </si>
  <si>
    <t>3caea23e</t>
  </si>
  <si>
    <t>287fa313</t>
  </si>
  <si>
    <t>998dee4f</t>
  </si>
  <si>
    <t>2893b198</t>
  </si>
  <si>
    <t>d83022ff</t>
  </si>
  <si>
    <t>2f584fad</t>
  </si>
  <si>
    <t>ece984da</t>
  </si>
  <si>
    <t>07a454d5</t>
  </si>
  <si>
    <t>41bd5f9a</t>
  </si>
  <si>
    <t>bd729c44</t>
  </si>
  <si>
    <t>0d3b96fd</t>
  </si>
  <si>
    <t>184b238b</t>
  </si>
  <si>
    <t>ce1f1234</t>
  </si>
  <si>
    <t>87149ab1</t>
  </si>
  <si>
    <t>52a2d845</t>
  </si>
  <si>
    <t>6342f1a5</t>
  </si>
  <si>
    <t>4723d387</t>
  </si>
  <si>
    <t>8accb144</t>
  </si>
  <si>
    <t>84fbfd0e</t>
  </si>
  <si>
    <t>c73cd2f8</t>
  </si>
  <si>
    <t>416f8b87</t>
  </si>
  <si>
    <t>bcd11217</t>
  </si>
  <si>
    <t>2c876e5d</t>
  </si>
  <si>
    <t>cdc80f01</t>
  </si>
  <si>
    <t>ba156a77</t>
  </si>
  <si>
    <t>39b00015</t>
  </si>
  <si>
    <t>fa00299f</t>
  </si>
  <si>
    <t>f660cdfc</t>
  </si>
  <si>
    <t>0d057a3f</t>
  </si>
  <si>
    <t>c3ab8cec</t>
  </si>
  <si>
    <t>27e7beb5</t>
  </si>
  <si>
    <t>Camila Morango (17/11/2025) - Morango</t>
  </si>
  <si>
    <t>Notas_Images/6b1254fb.Foto.103551.jpg</t>
  </si>
  <si>
    <t>f374ed97</t>
  </si>
  <si>
    <t>770aa73a</t>
  </si>
  <si>
    <t>6ca09b04</t>
  </si>
  <si>
    <t>Camila Morango (21/11/2025) - Morango</t>
  </si>
  <si>
    <t>96133e2d</t>
  </si>
  <si>
    <t>Notas_Images/e129a019.Foto.103631.jpg</t>
  </si>
  <si>
    <t>447491ed</t>
  </si>
  <si>
    <t>dec43d72</t>
  </si>
  <si>
    <t>61497b39</t>
  </si>
  <si>
    <t>Banderloff (19/11/2025) - Frutas</t>
  </si>
  <si>
    <t>Notas_Images/1544d848.Foto.153514.jpg</t>
  </si>
  <si>
    <t>d7d4d789</t>
  </si>
  <si>
    <t>ae8e7b46</t>
  </si>
  <si>
    <t>c47b01d6</t>
  </si>
  <si>
    <t>Banderloff (21/11/2025) - Frutas</t>
  </si>
  <si>
    <t>Notas_Images/dd3bed4c.Foto.153600.jpg</t>
  </si>
  <si>
    <t>9ef8deab</t>
  </si>
  <si>
    <t>94424d0c</t>
  </si>
  <si>
    <t>3baef872</t>
  </si>
  <si>
    <t>2b31b870</t>
  </si>
  <si>
    <t>Maci oeste produtos de limpeza (21/11/2025) - Papel higiênico</t>
  </si>
  <si>
    <t>5a1b36bf</t>
  </si>
  <si>
    <t>Notas_Images/70eb98f9.Foto.153946.jpg</t>
  </si>
  <si>
    <t>1c727d11</t>
  </si>
  <si>
    <t>Papel higiênico</t>
  </si>
  <si>
    <t>6f591117</t>
  </si>
  <si>
    <t>dd07f8e4</t>
  </si>
  <si>
    <t>c06c9694</t>
  </si>
  <si>
    <t>089dda43</t>
  </si>
  <si>
    <t>Alternativa Comunicação Visual (21/11/2025) - Adesivo chocowafer</t>
  </si>
  <si>
    <t>33765270</t>
  </si>
  <si>
    <t>Notas_Images/da70488d.Foto.154050.jpg</t>
  </si>
  <si>
    <t>Adesivo chocowafer</t>
  </si>
  <si>
    <t>15d802a3</t>
  </si>
  <si>
    <t>3a2da491</t>
  </si>
  <si>
    <t>BS bebidas (21/11/2025) - Água com e sem gas</t>
  </si>
  <si>
    <t>Notas_Images/b3dfdd46.Foto.154153.jpg</t>
  </si>
  <si>
    <t>Água com e sem gas</t>
  </si>
  <si>
    <t>7cd7945d</t>
  </si>
  <si>
    <t>27fa0895</t>
  </si>
  <si>
    <t>73a4941a</t>
  </si>
  <si>
    <t>3bddbe24</t>
  </si>
  <si>
    <t>Milium (21/11/2025) - Faca</t>
  </si>
  <si>
    <t>Notas_Images/0ad4942e.Foto.154236.jpg</t>
  </si>
  <si>
    <t>Faca</t>
  </si>
  <si>
    <t>034828c5</t>
  </si>
  <si>
    <t>9e31491f</t>
  </si>
  <si>
    <t>Isabela leal (19/11/2025) - Freelancer</t>
  </si>
  <si>
    <t>c867dcb1</t>
  </si>
  <si>
    <t>31c45335</t>
  </si>
  <si>
    <t>Notas_Images/8c5b1e11.Foto.155331.jpg</t>
  </si>
  <si>
    <t>bbc4f120</t>
  </si>
  <si>
    <t>1c1ec1dd</t>
  </si>
  <si>
    <t>1149d2f2</t>
  </si>
  <si>
    <t>Marlene (20/11/2025) - Free Lancer</t>
  </si>
  <si>
    <t>Notas_Images/eced661f.Foto.160515.jpg</t>
  </si>
  <si>
    <t>4e8daae2</t>
  </si>
  <si>
    <t>caa1745d</t>
  </si>
  <si>
    <t>dfa12696</t>
  </si>
  <si>
    <t>4d2bc7ed</t>
  </si>
  <si>
    <t>05a6ba8a</t>
  </si>
  <si>
    <t>Diuli (20/11/2025) - Freelancer</t>
  </si>
  <si>
    <t>Notas_Images/2b9a726f.Foto.160628.jpg</t>
  </si>
  <si>
    <t>758d33a4</t>
  </si>
  <si>
    <t>9974888f</t>
  </si>
  <si>
    <t>309fa624</t>
  </si>
  <si>
    <t>Isabela leal (21/11/2025) - Freelancer</t>
  </si>
  <si>
    <t>Notas_Images/1b02d5b8.Foto.160722.jpg</t>
  </si>
  <si>
    <t>303bdfaa</t>
  </si>
  <si>
    <t>e0c18a0a</t>
  </si>
  <si>
    <t>1a74bcf0</t>
  </si>
  <si>
    <t>931310ba</t>
  </si>
  <si>
    <t>Bruna (22/11/2025) - Freelancer</t>
  </si>
  <si>
    <t>8c94afaa</t>
  </si>
  <si>
    <t>Notas_Images/bcb85bdd.Foto.160815.jpg</t>
  </si>
  <si>
    <t>38930e7e</t>
  </si>
  <si>
    <t>c9aee8d9</t>
  </si>
  <si>
    <t>2b814789</t>
  </si>
  <si>
    <t>Marlene (22/11/2025) - Freelancer</t>
  </si>
  <si>
    <t>Notas_Images/f2098680.Foto.160858.jpg</t>
  </si>
  <si>
    <t>f500a708</t>
  </si>
  <si>
    <t>17ab4f3e</t>
  </si>
  <si>
    <t>e888e685</t>
  </si>
  <si>
    <t>e87a2075</t>
  </si>
  <si>
    <t>39677976</t>
  </si>
  <si>
    <t>bb2680d1</t>
  </si>
  <si>
    <t>57db8c9f</t>
  </si>
  <si>
    <t>Paty (23/11/2025) - Freelancer</t>
  </si>
  <si>
    <t>89adf01d</t>
  </si>
  <si>
    <t>Notas_Images/5b5f4409.Foto.160944.jpg</t>
  </si>
  <si>
    <t>c3dddf07</t>
  </si>
  <si>
    <t>f5da863a</t>
  </si>
  <si>
    <t>34d48fe9</t>
  </si>
  <si>
    <t>2a7fd1bf</t>
  </si>
  <si>
    <t>Diuli (23/11/2025) - Freelancer</t>
  </si>
  <si>
    <t>e3d1552c</t>
  </si>
  <si>
    <t>Notas_Images/f30934e3.Foto.161024.jpg</t>
  </si>
  <si>
    <t>6cc88a5f</t>
  </si>
  <si>
    <t>8e51d45e</t>
  </si>
  <si>
    <t>f07ea0ca</t>
  </si>
  <si>
    <t>40e2954c</t>
  </si>
  <si>
    <t>Dylan (23/11/2025) - Freelancer</t>
  </si>
  <si>
    <t>3d636fef</t>
  </si>
  <si>
    <t>Notas_Images/4ed13a52.Foto.161120.jpg</t>
  </si>
  <si>
    <t>3cf57f4d</t>
  </si>
  <si>
    <t>ad959e09</t>
  </si>
  <si>
    <t>64addb5b</t>
  </si>
  <si>
    <t>e3723d86</t>
  </si>
  <si>
    <t>Motoboy Clóvis (18/11/2025) - Motoboy</t>
  </si>
  <si>
    <t>Notas_Images/f5fcdd9c.Foto.161520.jpg</t>
  </si>
  <si>
    <t>b74d8e7b</t>
  </si>
  <si>
    <t>3efbc06a</t>
  </si>
  <si>
    <t>8889a9f7</t>
  </si>
  <si>
    <t>Yasmin (19/11/2025) - Motoboy</t>
  </si>
  <si>
    <t>293a4298</t>
  </si>
  <si>
    <t>Notas_Images/4ab895c5.Foto.161559.jpg</t>
  </si>
  <si>
    <t>5dc48b67</t>
  </si>
  <si>
    <t>9f5d5ab5</t>
  </si>
  <si>
    <t>Motoboy Clóvis (19/11/2025) - Motoboy</t>
  </si>
  <si>
    <t>Notas_Images/efea8ed1.Foto.161653.jpg</t>
  </si>
  <si>
    <t>8b66bdff</t>
  </si>
  <si>
    <t>e78ee2cc</t>
  </si>
  <si>
    <t>1315c70d</t>
  </si>
  <si>
    <t>366b8814</t>
  </si>
  <si>
    <t>1797568d</t>
  </si>
  <si>
    <t>Motoboy Clóvis (20/11/2025) - Motoboy</t>
  </si>
  <si>
    <t>Notas_Images/d476cb1e.Foto.161745.jpg</t>
  </si>
  <si>
    <t>526a7bac</t>
  </si>
  <si>
    <t>91bb2d9b</t>
  </si>
  <si>
    <t>75d0e23f</t>
  </si>
  <si>
    <t>a55ab68d</t>
  </si>
  <si>
    <t>85b38972</t>
  </si>
  <si>
    <t>Motoboy luiz (20/11/2025) - Motoboy</t>
  </si>
  <si>
    <t>d795813b</t>
  </si>
  <si>
    <t>ca36fc8b</t>
  </si>
  <si>
    <t>Notas_Images/1793b734.Foto.161832.jpg</t>
  </si>
  <si>
    <t>3d0dc348</t>
  </si>
  <si>
    <t>40a72753</t>
  </si>
  <si>
    <t>772f3a63</t>
  </si>
  <si>
    <t>a254a1a8</t>
  </si>
  <si>
    <t>cba35f87</t>
  </si>
  <si>
    <t>Motoboy Clóvis (21/11/2025) - Motoboy</t>
  </si>
  <si>
    <t>a428d2b6</t>
  </si>
  <si>
    <t>Notas_Images/8bea37bf.Foto.161916.jpg</t>
  </si>
  <si>
    <t>66059303</t>
  </si>
  <si>
    <t>486c4bc1</t>
  </si>
  <si>
    <t>92bece5f</t>
  </si>
  <si>
    <t>Motoboy luiz (21/11/2025) - Motoboy</t>
  </si>
  <si>
    <t>300d09e1</t>
  </si>
  <si>
    <t>Notas_Images/8e2aac5c.Foto.162024.jpg</t>
  </si>
  <si>
    <t>da518143</t>
  </si>
  <si>
    <t>c509acf6</t>
  </si>
  <si>
    <t>Motoboy Clóvis (22/11/2025) - Motoboy</t>
  </si>
  <si>
    <t>Notas_Images/c88aa135.Foto.162105.jpg</t>
  </si>
  <si>
    <t>3a5e5dd2</t>
  </si>
  <si>
    <t>077d074e</t>
  </si>
  <si>
    <t>Papelaria guarani (24/11/2025) - Recibo, folha contagem e canetas</t>
  </si>
  <si>
    <t>1c1f6f18</t>
  </si>
  <si>
    <t>Notas_Images/7b808192.Foto.164629.jpg</t>
  </si>
  <si>
    <t>Recibo, folha contagem e canetas</t>
  </si>
  <si>
    <t>cc5e750a</t>
  </si>
  <si>
    <t>ba2a6821</t>
  </si>
  <si>
    <t>Patrimonial (19/11/2025) - Monitoramento de cameras</t>
  </si>
  <si>
    <t>Notas_Images/98877b82.Foto.165244.jpg</t>
  </si>
  <si>
    <t>4d257d5a</t>
  </si>
  <si>
    <t>Monitoramento de cameras</t>
  </si>
  <si>
    <t>Notas_Images/98877b82.Foto 1.165244.jpg</t>
  </si>
  <si>
    <t>0f180048</t>
  </si>
  <si>
    <t>d72de237</t>
  </si>
  <si>
    <t>3f8de02d</t>
  </si>
  <si>
    <t>Amadelli (21/11/2025) - Panetone</t>
  </si>
  <si>
    <t>Notas_Images/7faea11d.Foto.192530.jpg</t>
  </si>
  <si>
    <t>aab3e212</t>
  </si>
  <si>
    <t>205cb3b1</t>
  </si>
  <si>
    <t>390ec2dd</t>
  </si>
  <si>
    <t>285a32f1</t>
  </si>
  <si>
    <t>Ambev (25/11/2025) - Refrigerante e energético</t>
  </si>
  <si>
    <t>Notas_Images/77fc93b6.Foto.204641.jpg</t>
  </si>
  <si>
    <t>Refrigerante e energético</t>
  </si>
  <si>
    <t>0c2e16e3</t>
  </si>
  <si>
    <t>Notas_Images/77fc93b6.Foto 1.204641.jpg</t>
  </si>
  <si>
    <t>53285203</t>
  </si>
  <si>
    <t>23bb8c3f</t>
  </si>
  <si>
    <t>a4da5157</t>
  </si>
  <si>
    <t>f1692688</t>
  </si>
  <si>
    <t>e324cdbc</t>
  </si>
  <si>
    <t>3bdd56f5</t>
  </si>
  <si>
    <t>a0dab91f</t>
  </si>
  <si>
    <t>adfb0451</t>
  </si>
  <si>
    <t>b4922bdd</t>
  </si>
  <si>
    <t>113d5ac0</t>
  </si>
  <si>
    <t>6d774e38</t>
  </si>
  <si>
    <t>b2fd823d</t>
  </si>
  <si>
    <t>Amadelli (25/11/2025) - Estoque gelado</t>
  </si>
  <si>
    <t>79408757</t>
  </si>
  <si>
    <t>Notas_Images/5c4cdd03.Foto.172601.jpg</t>
  </si>
  <si>
    <t>0200c473</t>
  </si>
  <si>
    <t>Notas_Images/5c4cdd03.Foto 1.172601.jpg</t>
  </si>
  <si>
    <t>8c33dc90</t>
  </si>
  <si>
    <t>Notas_Images/5c4cdd03.Foto 2.172601.jpg</t>
  </si>
  <si>
    <t>13acf54b</t>
  </si>
  <si>
    <t>Banderloff (27/11/2025) - Frutas</t>
  </si>
  <si>
    <t>Notas_Images/498cdb7e.Foto.175019.jpg</t>
  </si>
  <si>
    <t>53a932a5</t>
  </si>
  <si>
    <t>4e7c20f2</t>
  </si>
  <si>
    <t>53e2b16f</t>
  </si>
  <si>
    <t>Passarela Center via atacadista (22/11/2025) - Café equipe</t>
  </si>
  <si>
    <t>532d051f</t>
  </si>
  <si>
    <t>Notas_Images/aa836774.Foto.175455.jpg</t>
  </si>
  <si>
    <t>d52541bf</t>
  </si>
  <si>
    <t>6fefafa8</t>
  </si>
  <si>
    <t>Motoboy Clóvis (24/11/2025) - Motoboy</t>
  </si>
  <si>
    <t>Notas_Images/f7ab9fba.Foto.175638.jpg</t>
  </si>
  <si>
    <t>c8591a3d</t>
  </si>
  <si>
    <t>b458433e</t>
  </si>
  <si>
    <t>Yasmin (24/11/2025) - Motoboy</t>
  </si>
  <si>
    <t>5d978ef4</t>
  </si>
  <si>
    <t>Notas_Images/d230334e.Foto.175733.jpg</t>
  </si>
  <si>
    <t>72d41121</t>
  </si>
  <si>
    <t>636a18eb</t>
  </si>
  <si>
    <t>Motoboy Clóvis (25/11/2025) - Motoboy</t>
  </si>
  <si>
    <t>Notas_Images/44606334.Foto.180048.jpg</t>
  </si>
  <si>
    <t>6f41b2df</t>
  </si>
  <si>
    <t>fc1116cb</t>
  </si>
  <si>
    <t>0ac62059</t>
  </si>
  <si>
    <t>137b0de1</t>
  </si>
  <si>
    <t>78068056</t>
  </si>
  <si>
    <t>0936ae75</t>
  </si>
  <si>
    <t>Yasmin (26/11/2025) - Motoboy</t>
  </si>
  <si>
    <t>Notas_Images/7e74214f.Foto.180214.jpg</t>
  </si>
  <si>
    <t>2d30edb2</t>
  </si>
  <si>
    <t>3d84ddfd</t>
  </si>
  <si>
    <t>0873f175</t>
  </si>
  <si>
    <t>fa92c8d5</t>
  </si>
  <si>
    <t>c983a9df</t>
  </si>
  <si>
    <t>Motoboy Clóvis (26/11/2025) - Motoboy</t>
  </si>
  <si>
    <t>Notas_Images/0be4414c.Foto.180300.jpg</t>
  </si>
  <si>
    <t>eadbf774</t>
  </si>
  <si>
    <t>01372a83</t>
  </si>
  <si>
    <t>1e5b7feb</t>
  </si>
  <si>
    <t>b777934e</t>
  </si>
  <si>
    <t>Isabela leal (24/11/2025) - Freelancer</t>
  </si>
  <si>
    <t>26aad5ae</t>
  </si>
  <si>
    <t>Notas_Images/17b571e8.Foto.180431.jpg</t>
  </si>
  <si>
    <t>d427fa5c</t>
  </si>
  <si>
    <t>7109eeae</t>
  </si>
  <si>
    <t>Isabela leal (25/11/2025) - Freelancer</t>
  </si>
  <si>
    <t>Notas_Images/c5e590aa.Foto.180539.jpg</t>
  </si>
  <si>
    <t>5a38716b</t>
  </si>
  <si>
    <t>c14016d4</t>
  </si>
  <si>
    <t>Isabela leal (26/11/2025) - Freelancer</t>
  </si>
  <si>
    <t>Notas_Images/eb0c2c75.Foto.180628.jpg</t>
  </si>
  <si>
    <t>51155057</t>
  </si>
  <si>
    <t>7dc62def</t>
  </si>
  <si>
    <t>Coca Cola (27/11/2025) - Bebidas</t>
  </si>
  <si>
    <t>Notas_Images/3d539027.Foto.192821.jpg</t>
  </si>
  <si>
    <t>c1168bcc</t>
  </si>
  <si>
    <t>91a3266c</t>
  </si>
  <si>
    <t>Notas_Images/3d539027.Foto 1.192821.jpg</t>
  </si>
  <si>
    <t>27099662</t>
  </si>
  <si>
    <t>d74b9cfb</t>
  </si>
  <si>
    <t>ISS</t>
  </si>
  <si>
    <t>7008bdd6</t>
  </si>
  <si>
    <t>2434299e</t>
  </si>
  <si>
    <t>9c4df89c</t>
  </si>
  <si>
    <t>VO 905,44</t>
  </si>
  <si>
    <t>4b1cda8c</t>
  </si>
  <si>
    <t>ca36a09c</t>
  </si>
  <si>
    <t>28ec2ee3</t>
  </si>
  <si>
    <t>d496f517</t>
  </si>
  <si>
    <t>36abda44</t>
  </si>
  <si>
    <t>Banderloff (28/11/2025) - Frutas</t>
  </si>
  <si>
    <t>Notas_Images/f62d86f1.Foto.144116.jpg</t>
  </si>
  <si>
    <t>d657acab</t>
  </si>
  <si>
    <t>ea05eb1f</t>
  </si>
  <si>
    <t>74759911</t>
  </si>
  <si>
    <t>Camila Morango (28/11/2025) - Morango</t>
  </si>
  <si>
    <t>Notas_Images/badf3a8a.Foto.144343.jpg</t>
  </si>
  <si>
    <t>e7fb6ffd</t>
  </si>
  <si>
    <t>9fd2295d</t>
  </si>
  <si>
    <t>d2388100</t>
  </si>
  <si>
    <t>02c89800</t>
  </si>
  <si>
    <t>Notas_Images/81c8942d.Foto.144528.jpg</t>
  </si>
  <si>
    <t>bf109d46</t>
  </si>
  <si>
    <t>e67dd1ec</t>
  </si>
  <si>
    <t>82e116a6</t>
  </si>
  <si>
    <t>Superviza Supermercado (28/11/2025) - Café da equipe</t>
  </si>
  <si>
    <t>b289bfaa</t>
  </si>
  <si>
    <t>Notas_Images/9436402e.Foto.174741.jpg</t>
  </si>
  <si>
    <t>37a9a92a</t>
  </si>
  <si>
    <t>3fb64f45</t>
  </si>
  <si>
    <t>Amadelli (28/11/2025) - Pasta de amendoim e wheyprobioti a</t>
  </si>
  <si>
    <t>775c323a</t>
  </si>
  <si>
    <t>Notas_Images/1fbe332f.Foto.174907.jpg</t>
  </si>
  <si>
    <t>Pasta de amendoim e wheyprobioti a</t>
  </si>
  <si>
    <t>ac37c08e</t>
  </si>
  <si>
    <t>1be1aca1</t>
  </si>
  <si>
    <t>23495e7d</t>
  </si>
  <si>
    <t>d332b793</t>
  </si>
  <si>
    <t>Amadelli (26/11/2025) - Estoque seco</t>
  </si>
  <si>
    <t>Notas_Images/de6fd222.Foto.175013.jpg</t>
  </si>
  <si>
    <t>81a75603</t>
  </si>
  <si>
    <t>Notas_Images/de6fd222.Foto 1.175013.jpg</t>
  </si>
  <si>
    <t>Notas_Images/de6fd222.Foto 2.175013.jpg</t>
  </si>
  <si>
    <t>045a6d13</t>
  </si>
  <si>
    <t>e8fea2a0</t>
  </si>
  <si>
    <t>ProFood (28/11/2025) - Pote de 700ml</t>
  </si>
  <si>
    <t>cd30949c</t>
  </si>
  <si>
    <t>Notas_Images/641a803d.Foto.175100.jpg</t>
  </si>
  <si>
    <t>Pote de 700ml</t>
  </si>
  <si>
    <t>458ce4ac</t>
  </si>
  <si>
    <t>4d9c560d</t>
  </si>
  <si>
    <t>179e6e97</t>
  </si>
  <si>
    <t>Banderloff (02/12/2025) - Frutas</t>
  </si>
  <si>
    <t>Notas_Images/1766bf53.Foto.183209.jpg</t>
  </si>
  <si>
    <t>f93a0b4a</t>
  </si>
  <si>
    <t>966ad33d</t>
  </si>
  <si>
    <t>ac26e09b</t>
  </si>
  <si>
    <t>Camila Morango (03/12/2025) - Morango</t>
  </si>
  <si>
    <t>Notas_Images/5b71c889.Foto.232535.jpg</t>
  </si>
  <si>
    <t>7f54ec6c</t>
  </si>
  <si>
    <t>c4effe1f</t>
  </si>
  <si>
    <t>2486712d</t>
  </si>
  <si>
    <t>Pedido 96874 nota de serviço</t>
  </si>
  <si>
    <t>3ed4063b</t>
  </si>
  <si>
    <t>96b74d44</t>
  </si>
  <si>
    <t>def21f87</t>
  </si>
  <si>
    <t>Copos 720 ml</t>
  </si>
  <si>
    <t>aaacaad0</t>
  </si>
  <si>
    <t>1f809d9b</t>
  </si>
  <si>
    <t>Monouso comércio e importaçaoLTDA (03/12/2025) - Pote e tampa bolha</t>
  </si>
  <si>
    <t>Notas_Images/9b5ab1a9.Foto.205725.jpg</t>
  </si>
  <si>
    <t>Pote e tampa bolha</t>
  </si>
  <si>
    <t>dafce0b7</t>
  </si>
  <si>
    <t>b963575a</t>
  </si>
  <si>
    <t>Jandira (04/12/2025) - Produtos d limpeza</t>
  </si>
  <si>
    <t>9ab27c81</t>
  </si>
  <si>
    <t>Notas_Images/aa65b359.Foto.210057.jpg</t>
  </si>
  <si>
    <t>5827c1be</t>
  </si>
  <si>
    <t>eff6c986</t>
  </si>
  <si>
    <t>Camila Morango (05/12/2025) - Morango</t>
  </si>
  <si>
    <t>Notas_Images/527e6cf0.Foto.234021.jpg</t>
  </si>
  <si>
    <t>a6af8d25</t>
  </si>
  <si>
    <t>5892e3ad</t>
  </si>
  <si>
    <t>nicolasmartinshenrique@gmail.com</t>
  </si>
  <si>
    <t>4c2f8621</t>
  </si>
  <si>
    <t>Caixa</t>
  </si>
  <si>
    <t>69cb955f</t>
  </si>
  <si>
    <t>Alternativa Comunicação Visual (05/12/2025) - Adsivo</t>
  </si>
  <si>
    <t>Notas_Images/bfbad37a.Foto.014051.jpg</t>
  </si>
  <si>
    <t>Adsivo</t>
  </si>
  <si>
    <t>95d31f6c</t>
  </si>
  <si>
    <t>3b83f377</t>
  </si>
  <si>
    <t>6fc8efe4</t>
  </si>
  <si>
    <t>74409579</t>
  </si>
  <si>
    <t>BS bebidas (04/12/2025) - Água com gás e s gaz</t>
  </si>
  <si>
    <t>Notas_Images/f12617f7.Foto.014204.jpg</t>
  </si>
  <si>
    <t>365b2d61</t>
  </si>
  <si>
    <t>Água com gás e s gaz</t>
  </si>
  <si>
    <t>b52fdbfe</t>
  </si>
  <si>
    <t>992fe026</t>
  </si>
  <si>
    <t>fa848901</t>
  </si>
  <si>
    <t>de567797</t>
  </si>
  <si>
    <t>Milium (03/12/2025) - Torneiras</t>
  </si>
  <si>
    <t>Notas_Images/5d4f8213.Foto.014259.jpg</t>
  </si>
  <si>
    <t>Torneiras</t>
  </si>
  <si>
    <t>27376694</t>
  </si>
  <si>
    <t>6a7b9453</t>
  </si>
  <si>
    <t>Banderloff (03/12/2025) - Frutas</t>
  </si>
  <si>
    <t>Notas_Images/f7b37fe0.Foto.014354.jpg</t>
  </si>
  <si>
    <t>1686d664</t>
  </si>
  <si>
    <t>355ac3b0</t>
  </si>
  <si>
    <t>Banderloff (05/12/2025) - Frutas</t>
  </si>
  <si>
    <t>c40ae5f4</t>
  </si>
  <si>
    <t>Notas_Images/2e9a42ad.Foto.014441.jpg</t>
  </si>
  <si>
    <t>2a9b1104</t>
  </si>
  <si>
    <t>55973d9c</t>
  </si>
  <si>
    <t>Amadelli (04/12/2025) - Carga gelada açaitone</t>
  </si>
  <si>
    <t>Notas_Images/924f6330.Foto.014533.jpg</t>
  </si>
  <si>
    <t>Carga gelada açaitone</t>
  </si>
  <si>
    <t>bec78074</t>
  </si>
  <si>
    <t>f89daf20</t>
  </si>
  <si>
    <t>Coca Cola (04/12/2025) - Bebidas</t>
  </si>
  <si>
    <t>e6c451d4</t>
  </si>
  <si>
    <t>Notas_Images/429b901f.Foto.014625.jpg</t>
  </si>
  <si>
    <t>fccf5f87</t>
  </si>
  <si>
    <t>Notas_Images/429b901f.Foto 1.014625.jpg</t>
  </si>
  <si>
    <t>d21918e4</t>
  </si>
  <si>
    <t>153df364</t>
  </si>
  <si>
    <t>656f9807</t>
  </si>
  <si>
    <t>Campanha Natal</t>
  </si>
  <si>
    <t>13f96d9d</t>
  </si>
  <si>
    <t>366b86b7</t>
  </si>
  <si>
    <t>Camila Morango (09/12/2025) - Morango</t>
  </si>
  <si>
    <t>8a1effa6</t>
  </si>
  <si>
    <t>Notas_Images/4ae72956.Foto.194314.jpg</t>
  </si>
  <si>
    <t>51b8f449</t>
  </si>
  <si>
    <t>5d5daf94</t>
  </si>
  <si>
    <t>0d701f3c</t>
  </si>
  <si>
    <t>Pedido 97593 nota de serviço</t>
  </si>
  <si>
    <t>67df0924</t>
  </si>
  <si>
    <t>11a425bb</t>
  </si>
  <si>
    <t>3d7535ad</t>
  </si>
  <si>
    <t>Pedido 9574</t>
  </si>
  <si>
    <t>5cb284df</t>
  </si>
  <si>
    <t>a612df83</t>
  </si>
  <si>
    <t>8d7182b5</t>
  </si>
  <si>
    <t>42a58069</t>
  </si>
  <si>
    <t>9e8dfa1c</t>
  </si>
  <si>
    <t>714912aa</t>
  </si>
  <si>
    <t>21c611bd</t>
  </si>
  <si>
    <t>be615ab3</t>
  </si>
  <si>
    <t>4894a19e</t>
  </si>
  <si>
    <t>9e30c781</t>
  </si>
  <si>
    <t>55d698ef</t>
  </si>
  <si>
    <t>bb1bf431</t>
  </si>
  <si>
    <t>R$4521 Parcela 04/42</t>
  </si>
  <si>
    <t>3c7bad42</t>
  </si>
  <si>
    <t>df2dddf1</t>
  </si>
  <si>
    <t>ec5703f1</t>
  </si>
  <si>
    <t>914e48a4</t>
  </si>
  <si>
    <t>Pedido 96768 nota de serviço</t>
  </si>
  <si>
    <t>f6effef0</t>
  </si>
  <si>
    <t>2caf5c7a</t>
  </si>
  <si>
    <t>Aplicativo de delivery, dez zerado</t>
  </si>
  <si>
    <t>fee7a19c</t>
  </si>
  <si>
    <t>3fa46d35</t>
  </si>
  <si>
    <t>4950389f</t>
  </si>
  <si>
    <t>dd7f85d2</t>
  </si>
  <si>
    <t>ba38fe18</t>
  </si>
  <si>
    <t>5d07a24f</t>
  </si>
  <si>
    <t>14ca4cbf</t>
  </si>
  <si>
    <t>6c1026ff</t>
  </si>
  <si>
    <t>d1c9a2d3</t>
  </si>
  <si>
    <t>397b434d</t>
  </si>
  <si>
    <t>1b42bfb0</t>
  </si>
  <si>
    <t>549b49bd</t>
  </si>
  <si>
    <t>9a339b0c</t>
  </si>
  <si>
    <t>Açais e sorvetes</t>
  </si>
  <si>
    <t>38f8f1bf</t>
  </si>
  <si>
    <t>c12449ec</t>
  </si>
  <si>
    <t>12e4ee76</t>
  </si>
  <si>
    <t>271e2b40</t>
  </si>
  <si>
    <t>c2d5dbdd</t>
  </si>
  <si>
    <t>03b112dd</t>
  </si>
  <si>
    <t>Boleto de CN, pago por Caçador para acerto de Contas, o valor total de devolução de Caçador para CN foi de 13.962,20, sendo 13868,09 e 94,11 interno entre a conta Itau Aline</t>
  </si>
  <si>
    <t>3386a2ef</t>
  </si>
  <si>
    <t>9e1fb0d3</t>
  </si>
  <si>
    <t>1535406a</t>
  </si>
  <si>
    <t>Boleto CN pago por Caçador para acerto de conta Itau Aline</t>
  </si>
  <si>
    <t>95947979</t>
  </si>
  <si>
    <t>174b833e</t>
  </si>
  <si>
    <t>ACB (09/12/2025) - Bebidas</t>
  </si>
  <si>
    <t>d03f4ae3</t>
  </si>
  <si>
    <t>Notas_Images/2d130bdd.Foto.191527.jpg</t>
  </si>
  <si>
    <t>4e908be2</t>
  </si>
  <si>
    <t>Notas_Images/2d130bdd.Foto 1.191527.jpg</t>
  </si>
  <si>
    <t>03ed2a10</t>
  </si>
  <si>
    <t>Auto Coletivo Caçador (10/12/2025) - Vale transporte bruna</t>
  </si>
  <si>
    <t>83c5737a</t>
  </si>
  <si>
    <t>Notas_Images/b0c6ed45.Foto.194240.jpg</t>
  </si>
  <si>
    <t>b19f2133</t>
  </si>
  <si>
    <t>efc8bd0c</t>
  </si>
  <si>
    <t>f6c42d93</t>
  </si>
  <si>
    <t>Papelaria guarani (10/12/2025) - Impressão folha eduarda</t>
  </si>
  <si>
    <t>Notas_Images/63f818c9.Foto.195443.jpg</t>
  </si>
  <si>
    <t>0937adfe</t>
  </si>
  <si>
    <t>Impressão folha eduarda</t>
  </si>
  <si>
    <t>2ced651f</t>
  </si>
  <si>
    <t>b84dbb87</t>
  </si>
  <si>
    <t>78196011</t>
  </si>
  <si>
    <t>Amadelli (09/12/2025) - Carga gelada</t>
  </si>
  <si>
    <t>Notas_Images/9d2f293b.Foto.123119.jpg</t>
  </si>
  <si>
    <t>ef1dfcc1</t>
  </si>
  <si>
    <t>Notas_Images/9d2f293b.Foto 1.123119.jpg</t>
  </si>
  <si>
    <t>9fe58c12</t>
  </si>
  <si>
    <t>Patrimonial (01/12/2025) - Monitoramento de cameras</t>
  </si>
  <si>
    <t>fc1fbba4</t>
  </si>
  <si>
    <t>Notas_Images/b35f9925.Foto.123218.jpg</t>
  </si>
  <si>
    <t>1b2bf1ad</t>
  </si>
  <si>
    <t>a72684f5</t>
  </si>
  <si>
    <t>84f6da3f</t>
  </si>
  <si>
    <t>ada94483</t>
  </si>
  <si>
    <t>Eduarda</t>
  </si>
  <si>
    <t>f9289eb3</t>
  </si>
  <si>
    <t>21b5beb2</t>
  </si>
  <si>
    <t>06263d24</t>
  </si>
  <si>
    <t>53f51565</t>
  </si>
  <si>
    <t>Criatiano (03/12/2025) - Troca d torneira</t>
  </si>
  <si>
    <t>35dfb247</t>
  </si>
  <si>
    <t>Notas_Images/0f0bacac.Foto.210450.jpg</t>
  </si>
  <si>
    <t>Troca d torneira</t>
  </si>
  <si>
    <t>0276f465</t>
  </si>
  <si>
    <t>8ed0cf07</t>
  </si>
  <si>
    <t>07c449db</t>
  </si>
  <si>
    <t>8e5bd4ef</t>
  </si>
  <si>
    <t>Faramacia (11/12/2025) - Remédios para a loa</t>
  </si>
  <si>
    <t>Notas_Images/74281c0e.Foto.210618.jpg</t>
  </si>
  <si>
    <t>5719128a</t>
  </si>
  <si>
    <t>Remédios para a loa</t>
  </si>
  <si>
    <t>3b5440a4</t>
  </si>
  <si>
    <t>729e3e42</t>
  </si>
  <si>
    <t>4f6e17ba</t>
  </si>
  <si>
    <t>Superviza Supermercado (12/12/2025) - Café equipe</t>
  </si>
  <si>
    <t>Notas_Images/e512fdcf.Foto.210701.jpg</t>
  </si>
  <si>
    <t>9a69cf7f</t>
  </si>
  <si>
    <t>c488b6cc</t>
  </si>
  <si>
    <t>Faramacia (11/12/2025) - Remédio loja</t>
  </si>
  <si>
    <t>0fe45ba3</t>
  </si>
  <si>
    <t>Notas_Images/ff7f3b38.Foto.210747.jpg</t>
  </si>
  <si>
    <t>Remédio loja</t>
  </si>
  <si>
    <t>f62701ee</t>
  </si>
  <si>
    <t>692193cc</t>
  </si>
  <si>
    <t>BS bebidas (12/12/2025) - Aguas</t>
  </si>
  <si>
    <t>Notas_Images/9f8e9ec7.Foto.210830.jpg</t>
  </si>
  <si>
    <t>501ca74d</t>
  </si>
  <si>
    <t>7f4be67e</t>
  </si>
  <si>
    <t>Banderloff (11/12/2025) - Frutas</t>
  </si>
  <si>
    <t>9f30f864</t>
  </si>
  <si>
    <t>Notas_Images/40fde88d.Foto.210917.jpg</t>
  </si>
  <si>
    <t>5af29a6b</t>
  </si>
  <si>
    <t>a72efb1e</t>
  </si>
  <si>
    <t>79c0ccb5</t>
  </si>
  <si>
    <t>9b391467</t>
  </si>
  <si>
    <t>Coca Cola (11/12/2025) - Bebidas</t>
  </si>
  <si>
    <t>Notas_Images/79c0ccb5.Foto.210954.jpg</t>
  </si>
  <si>
    <t>cadecf1c</t>
  </si>
  <si>
    <t>patriciaalvescalistro13448@gmail.com</t>
  </si>
  <si>
    <t>c1c109d4</t>
  </si>
  <si>
    <t>5d0fdc35</t>
  </si>
  <si>
    <t>BOMPACK (12/12/2025) - Bobinas luvas</t>
  </si>
  <si>
    <t>5257fc94</t>
  </si>
  <si>
    <t>b9dbd981</t>
  </si>
  <si>
    <t>Notas_Images/45e26bcb.Foto.211037.jpg</t>
  </si>
  <si>
    <t>Bobinas luvas</t>
  </si>
  <si>
    <t>39208f20</t>
  </si>
  <si>
    <t>a3ac533b</t>
  </si>
  <si>
    <t>Camila Morango (12/12/2025) - Morango</t>
  </si>
  <si>
    <t>Notas_Images/09e2163c.Foto.103835.jpg</t>
  </si>
  <si>
    <t>e5e730ec</t>
  </si>
  <si>
    <t>6a4413c1</t>
  </si>
  <si>
    <t>Banderloff (13/12/2025) - Frutas</t>
  </si>
  <si>
    <t>Notas_Images/3cb76dae.Foto.163427.jpg</t>
  </si>
  <si>
    <t>c6032017</t>
  </si>
  <si>
    <t>14a7700d</t>
  </si>
  <si>
    <t>a29df1df</t>
  </si>
  <si>
    <t>d39d9621</t>
  </si>
  <si>
    <t>d47ffd25</t>
  </si>
  <si>
    <t>368d548a</t>
  </si>
  <si>
    <t>e9ed71fc</t>
  </si>
  <si>
    <t>efcb63bd</t>
  </si>
  <si>
    <t>67792784</t>
  </si>
  <si>
    <t>51435bff</t>
  </si>
  <si>
    <t>rescisão Eduarda</t>
  </si>
  <si>
    <t>62a19195</t>
  </si>
  <si>
    <t>6087e4f7</t>
  </si>
  <si>
    <t>52043df5</t>
  </si>
  <si>
    <t>Pedido 92643 nota de serviço</t>
  </si>
  <si>
    <t>ca85dd37</t>
  </si>
  <si>
    <t>a56e895a</t>
  </si>
  <si>
    <t>37af5406</t>
  </si>
  <si>
    <t>FGTS Rescisão Eduarda</t>
  </si>
  <si>
    <t>10468ec6</t>
  </si>
  <si>
    <t>f0e6676e</t>
  </si>
  <si>
    <t>Camila Morango (15/12/2025) - Morango</t>
  </si>
  <si>
    <t>Notas_Images/d96a3be6.Foto.144807.jpg</t>
  </si>
  <si>
    <t>ca97960e</t>
  </si>
  <si>
    <t>010f0883</t>
  </si>
  <si>
    <t>Banderloff (15/12/2025) - Frutas</t>
  </si>
  <si>
    <t>Notas_Images/3fd10aa4.Foto.161254.jpg</t>
  </si>
  <si>
    <t>f2dc3801</t>
  </si>
  <si>
    <t>f5f30cfe</t>
  </si>
  <si>
    <t>59461fc1</t>
  </si>
  <si>
    <t>0ca710b1</t>
  </si>
  <si>
    <t>Nordio supermercado (16/12/2025) - Panetone</t>
  </si>
  <si>
    <t>eb1a43cf</t>
  </si>
  <si>
    <t>Notas_Images/d8b4111c.Foto.232228.jpg</t>
  </si>
  <si>
    <t>294ea430</t>
  </si>
  <si>
    <t>fb83bd84</t>
  </si>
  <si>
    <t>ade788ac</t>
  </si>
  <si>
    <t>ab9efc96</t>
  </si>
  <si>
    <t>2cd95094</t>
  </si>
  <si>
    <t>17fac7a4</t>
  </si>
  <si>
    <t>2d2f80a7</t>
  </si>
  <si>
    <t>Cristiano - Caixa d´gua com vazamento</t>
  </si>
  <si>
    <t>dfcdbd5e</t>
  </si>
  <si>
    <t>cf6362c7</t>
  </si>
  <si>
    <t>bfacbb74</t>
  </si>
  <si>
    <t>8dae9ca9</t>
  </si>
  <si>
    <t>37d0fd52</t>
  </si>
  <si>
    <t>40905cc3</t>
  </si>
  <si>
    <t>ecb5d020</t>
  </si>
  <si>
    <t>11e0a6f4</t>
  </si>
  <si>
    <t>70d25959</t>
  </si>
  <si>
    <t>be9c0ed9</t>
  </si>
  <si>
    <t>d14092b1</t>
  </si>
  <si>
    <t>682695f4</t>
  </si>
  <si>
    <t>6d8ac3fe</t>
  </si>
  <si>
    <t>13°</t>
  </si>
  <si>
    <t>8d2a5134</t>
  </si>
  <si>
    <t>f2e683d1</t>
  </si>
  <si>
    <t>f282ea74</t>
  </si>
  <si>
    <t>Custo mensal do escritório</t>
  </si>
  <si>
    <t>f2fff347</t>
  </si>
  <si>
    <t>3788c21b</t>
  </si>
  <si>
    <t>8bbda82c</t>
  </si>
  <si>
    <t>Amadelli (12/12/2025) - Estoque seco</t>
  </si>
  <si>
    <t>85e5b9e8</t>
  </si>
  <si>
    <t>Notas_Images/1a998117.Foto.165502.jpg</t>
  </si>
  <si>
    <t>Notas_Images/1a998117.Foto 1.165503.jpg</t>
  </si>
  <si>
    <t>aa16b1d5</t>
  </si>
  <si>
    <t>60e87ffa</t>
  </si>
  <si>
    <t>Coca Cola (17/12/2025) - Bebidas</t>
  </si>
  <si>
    <t>Notas_Images/0baea303.Foto.200155.jpg</t>
  </si>
  <si>
    <t>1f2bff06</t>
  </si>
  <si>
    <t>09a08430</t>
  </si>
  <si>
    <t>e1475569</t>
  </si>
  <si>
    <t>457a8745</t>
  </si>
  <si>
    <t>70caa56b</t>
  </si>
  <si>
    <t>Computador, VO 1267,50</t>
  </si>
  <si>
    <t>0ba6b3d2</t>
  </si>
  <si>
    <t>Banderloff (17/12/2025) - Frutas</t>
  </si>
  <si>
    <t>Notas_Images/245eb672.Foto.152441.jpg</t>
  </si>
  <si>
    <t>e118f232</t>
  </si>
  <si>
    <t>Banderloff (18/12/2025) - Frutas</t>
  </si>
  <si>
    <t>7197d67a</t>
  </si>
  <si>
    <t>Notas_Images/691882bf.Foto.152525.jpg</t>
  </si>
  <si>
    <t>8c1ee3e6</t>
  </si>
  <si>
    <t>38debed6</t>
  </si>
  <si>
    <t>Z4 Supermercado (14/12/2025) - Notas de compras</t>
  </si>
  <si>
    <t>Notas_Images/8fba0c56.Foto.174230.jpg</t>
  </si>
  <si>
    <t>Notas de compras</t>
  </si>
  <si>
    <t>01348b73</t>
  </si>
  <si>
    <t>47017e5e</t>
  </si>
  <si>
    <t>Superviza Supermercado (19/12/2025) - Notas de compras</t>
  </si>
  <si>
    <t>edc09261</t>
  </si>
  <si>
    <t>Notas_Images/38541fe4.Foto.174439.jpg</t>
  </si>
  <si>
    <t>7cca7326</t>
  </si>
  <si>
    <t>AGUA (19/12/2025) - Notas de compras referentes- água com gas, e água sem gás.</t>
  </si>
  <si>
    <t>Notas_Images/936cdb86.Foto.175440.jpg</t>
  </si>
  <si>
    <t>Notas de compras referentes- água com gas, e água sem gás.</t>
  </si>
  <si>
    <t>061632f9</t>
  </si>
  <si>
    <t>2a45fa31</t>
  </si>
  <si>
    <t>77bd882a</t>
  </si>
  <si>
    <t>Pedido 100075 nota de serviço</t>
  </si>
  <si>
    <t>003d0c00</t>
  </si>
  <si>
    <t>f540ade8</t>
  </si>
  <si>
    <t>Pedido 100085 nota de serviço</t>
  </si>
  <si>
    <t>7f0ab733</t>
  </si>
  <si>
    <t>250+500</t>
  </si>
  <si>
    <t>a05fc21a</t>
  </si>
  <si>
    <t>2d7f397f</t>
  </si>
  <si>
    <t>Mensal</t>
  </si>
  <si>
    <t>d989fec0</t>
  </si>
  <si>
    <t>0ccec56f</t>
  </si>
  <si>
    <t>6208e87b</t>
  </si>
  <si>
    <t>b54cf1cd</t>
  </si>
  <si>
    <t>804aa877</t>
  </si>
  <si>
    <t>3833a3c9</t>
  </si>
  <si>
    <t>19d3c6c8</t>
  </si>
  <si>
    <t>77969f29</t>
  </si>
  <si>
    <t>bc942dff</t>
  </si>
  <si>
    <t>para reformar equipamentos</t>
  </si>
  <si>
    <t>19a6577b</t>
  </si>
  <si>
    <t>0bf9f702</t>
  </si>
  <si>
    <t>Transferencia de mercadoria</t>
  </si>
  <si>
    <t>607a041d</t>
  </si>
  <si>
    <t>bc66eff7</t>
  </si>
  <si>
    <t>Fgts multa rescisória</t>
  </si>
  <si>
    <t>63bb223e</t>
  </si>
  <si>
    <t>3f6b990f</t>
  </si>
  <si>
    <t>f47d67c1</t>
  </si>
  <si>
    <t>Rescisao Patricia</t>
  </si>
  <si>
    <t>204ba9cf</t>
  </si>
  <si>
    <t>cec42538</t>
  </si>
  <si>
    <t>cfe28376</t>
  </si>
  <si>
    <t>Amadelli (22/12/2025) - Estoque gelado</t>
  </si>
  <si>
    <t>Notas_Images/9d3e2ff2.Foto.140701.jpg</t>
  </si>
  <si>
    <t>fe8b3d7c</t>
  </si>
  <si>
    <t>Notas_Images/9d3e2ff2.Foto 1.140701.jpg</t>
  </si>
  <si>
    <t>Notas_Images/9d3e2ff2.Foto 2.140701.jpg</t>
  </si>
  <si>
    <t>580c33b8</t>
  </si>
  <si>
    <t>a28dc7a4</t>
  </si>
  <si>
    <t>11768a5d</t>
  </si>
  <si>
    <t>ae2df3ea</t>
  </si>
  <si>
    <t>f32b3ec9</t>
  </si>
  <si>
    <t>2bed865b</t>
  </si>
  <si>
    <t>adb4fb10</t>
  </si>
  <si>
    <t>e9b30ef2</t>
  </si>
  <si>
    <t>e88026e8</t>
  </si>
  <si>
    <t>a00cd775</t>
  </si>
  <si>
    <t>34dccc06</t>
  </si>
  <si>
    <t>0ac4488e</t>
  </si>
  <si>
    <t>7e8bbdcc</t>
  </si>
  <si>
    <t>df99e343</t>
  </si>
  <si>
    <t>Banderloff (27/12/2025) - Frutas</t>
  </si>
  <si>
    <t>Notas_Images/3170e6dd.Foto.164720.jpg</t>
  </si>
  <si>
    <t>d22ff338</t>
  </si>
  <si>
    <t>6efd6a04</t>
  </si>
  <si>
    <t>Banderloff (26/12/2025) - Frutas</t>
  </si>
  <si>
    <t>Notas_Images/87d76b25.Foto.164836.jpg</t>
  </si>
  <si>
    <t>5416d7a8</t>
  </si>
  <si>
    <t>dcd3a2b1</t>
  </si>
  <si>
    <t>85c4a2b1</t>
  </si>
  <si>
    <t>caita supermercado (26/12/2025) - Compra de lustra móveis</t>
  </si>
  <si>
    <t>Notas_Images/eb3d8976.Foto.170007.jpg</t>
  </si>
  <si>
    <t>Compra de lustra móveis</t>
  </si>
  <si>
    <t>fdb8b78e</t>
  </si>
  <si>
    <t>83b5a85e</t>
  </si>
  <si>
    <t>Superviza Supermercado (26/12/2025) - Compra para o café</t>
  </si>
  <si>
    <t>Notas_Images/fa8da8e6.Foto.170217.jpg</t>
  </si>
  <si>
    <t>Compra para o café</t>
  </si>
  <si>
    <t>35c5bc5b</t>
  </si>
  <si>
    <t>323dcf28</t>
  </si>
  <si>
    <t>48a492bf</t>
  </si>
  <si>
    <t>Jandira (29/12/2025) - Produtos de limpeza</t>
  </si>
  <si>
    <t>Notas_Images/66bad7fd.Foto.182156.jpg</t>
  </si>
  <si>
    <t>791aec74</t>
  </si>
  <si>
    <t>23aeaba6</t>
  </si>
  <si>
    <t>00049f7e</t>
  </si>
  <si>
    <t>c9073b3a</t>
  </si>
  <si>
    <t>7029d8bc</t>
  </si>
  <si>
    <t>Coca Cola (29/12/2025) - Bebidas</t>
  </si>
  <si>
    <t>f1be3ce5</t>
  </si>
  <si>
    <t>Notas_Images/212eb2e9.Foto.154124.jpg</t>
  </si>
  <si>
    <t>36b4d308</t>
  </si>
  <si>
    <t>Notas_Images/212eb2e9.Foto 1.154124.jpg</t>
  </si>
  <si>
    <t>a2b1cc24</t>
  </si>
  <si>
    <t>0479481c</t>
  </si>
  <si>
    <t>d2110a24</t>
  </si>
  <si>
    <t>f607fca2</t>
  </si>
  <si>
    <t>3b41a46d</t>
  </si>
  <si>
    <t>01daa9e1</t>
  </si>
  <si>
    <t>f2ca4ae9</t>
  </si>
  <si>
    <t>a90af91a</t>
  </si>
  <si>
    <t>Reembolso grav cam 40 + Spotfy 22 + TBA 10</t>
  </si>
  <si>
    <t>bc24ffc9</t>
  </si>
  <si>
    <t>285057ca</t>
  </si>
  <si>
    <t>7af8946c</t>
  </si>
  <si>
    <t>af9c332a</t>
  </si>
  <si>
    <t>9ce672fa</t>
  </si>
  <si>
    <t>0bc0d512</t>
  </si>
  <si>
    <t>54fa8366</t>
  </si>
  <si>
    <t>e20e8b13</t>
  </si>
  <si>
    <t>e44893ff</t>
  </si>
  <si>
    <t>0e9f477e</t>
  </si>
  <si>
    <t>824b67f4</t>
  </si>
  <si>
    <t>60f29b1b</t>
  </si>
  <si>
    <t>4f419896</t>
  </si>
  <si>
    <t>Pedido 102119 nota de serviço</t>
  </si>
  <si>
    <t>d4c31385</t>
  </si>
  <si>
    <t>9cac1144</t>
  </si>
  <si>
    <t>553caf1a</t>
  </si>
  <si>
    <t>d50047c4</t>
  </si>
  <si>
    <t>e948d3f5</t>
  </si>
  <si>
    <t>b3a9e4e6</t>
  </si>
  <si>
    <t>Exame admissional Ramon e Regiane</t>
  </si>
  <si>
    <t>3c8e58c7</t>
  </si>
  <si>
    <t>0da7f1cd</t>
  </si>
  <si>
    <t>424f6499</t>
  </si>
  <si>
    <t>54cd10c7</t>
  </si>
  <si>
    <t>611ba82a</t>
  </si>
  <si>
    <t>bb74bb2f</t>
  </si>
  <si>
    <t>e0e3af1f</t>
  </si>
  <si>
    <t>294ae1e7</t>
  </si>
  <si>
    <t>ea4cdb6a</t>
  </si>
  <si>
    <t>4e78398f</t>
  </si>
  <si>
    <t>Supermercado moriggi (30/12/2025) - Banana</t>
  </si>
  <si>
    <t>d1810f3b</t>
  </si>
  <si>
    <t>Notas_Images/19a3292f.Foto.162356.jpg</t>
  </si>
  <si>
    <t>Banana</t>
  </si>
  <si>
    <t>5922a9f5</t>
  </si>
  <si>
    <t>c328d133</t>
  </si>
  <si>
    <t>da11c60c</t>
  </si>
  <si>
    <t>Banderloff (02/01/2026) - Frutas</t>
  </si>
  <si>
    <t>Notas_Images/1a0ce40f.Foto.174928.jpg</t>
  </si>
  <si>
    <t>214b2aa6</t>
  </si>
  <si>
    <t>7098fc63</t>
  </si>
  <si>
    <t>e99e67c2</t>
  </si>
  <si>
    <t>d8ac53d9</t>
  </si>
  <si>
    <t>Notas_Images/e7dee4fb.Foto.175017.jpg</t>
  </si>
  <si>
    <t>71f33755</t>
  </si>
  <si>
    <t>2ed80810</t>
  </si>
  <si>
    <t>037fa562</t>
  </si>
  <si>
    <t>Banderloff (29/12/2025) - Frutas</t>
  </si>
  <si>
    <t>Notas_Images/bca86dd2.Foto.175131.jpg</t>
  </si>
  <si>
    <t>f0e59957</t>
  </si>
  <si>
    <t>24b94dc5</t>
  </si>
  <si>
    <t>caita supermercado (02/01/2026) - Cafe funcionários</t>
  </si>
  <si>
    <t>Notas_Images/65b2b9f9.Foto.180316.jpg</t>
  </si>
  <si>
    <t>4a15a136</t>
  </si>
  <si>
    <t>Cafe funcionários</t>
  </si>
  <si>
    <t>41ef3c3c</t>
  </si>
  <si>
    <t>ae84bef3</t>
  </si>
  <si>
    <t>8e70a073</t>
  </si>
  <si>
    <t>Banderloff (03/01/2026) - Frutas</t>
  </si>
  <si>
    <t>Notas_Images/df239138.Foto.152913.jpg</t>
  </si>
  <si>
    <t>9143cb0c</t>
  </si>
  <si>
    <t>ed2a8469</t>
  </si>
  <si>
    <t>ProFood (30/12/2025) - Pote de papel</t>
  </si>
  <si>
    <t>Notas_Images/b42043b6.Foto.165645.jpg</t>
  </si>
  <si>
    <t>Pote de papel</t>
  </si>
  <si>
    <t>f29b1d19</t>
  </si>
  <si>
    <t>a2627261</t>
  </si>
  <si>
    <t>97553067</t>
  </si>
  <si>
    <t>356ab69b</t>
  </si>
  <si>
    <t>Amadelli (26/12/2025) - Estoque seco</t>
  </si>
  <si>
    <t>Notas_Images/8c27b9a5.Foto.174315.jpg</t>
  </si>
  <si>
    <t>f67e7a04</t>
  </si>
  <si>
    <t>8734cbdf</t>
  </si>
  <si>
    <t>Notas_Images/8c27b9a5.Foto 1.174315.jpg</t>
  </si>
  <si>
    <t>34a5fb6b</t>
  </si>
  <si>
    <t>2a8ce63f</t>
  </si>
  <si>
    <t>Salario</t>
  </si>
  <si>
    <t>694c5c2c</t>
  </si>
  <si>
    <t>67d85a0a</t>
  </si>
  <si>
    <t>5*129,90</t>
  </si>
  <si>
    <t>26206f9c</t>
  </si>
  <si>
    <t>dcd47afb</t>
  </si>
  <si>
    <t>94b76d08</t>
  </si>
  <si>
    <t>paguei por pix</t>
  </si>
  <si>
    <t>61675635</t>
  </si>
  <si>
    <t>e5a3aad8</t>
  </si>
  <si>
    <t>4138f51d</t>
  </si>
  <si>
    <t>8afb83f3</t>
  </si>
  <si>
    <t>8c134715</t>
  </si>
  <si>
    <t>Freelancer Guilherme</t>
  </si>
  <si>
    <t>f28b9ae6</t>
  </si>
  <si>
    <t>f34f97f6</t>
  </si>
  <si>
    <t>bba821e6</t>
  </si>
  <si>
    <t>074633ba</t>
  </si>
  <si>
    <t>9a65bb12</t>
  </si>
  <si>
    <t>luvas e outros</t>
  </si>
  <si>
    <t>46a1a597</t>
  </si>
  <si>
    <t>45d019e6</t>
  </si>
  <si>
    <t>57302df7</t>
  </si>
  <si>
    <t>grades para o deck</t>
  </si>
  <si>
    <t>8f6bceee</t>
  </si>
  <si>
    <t>cc0e68be</t>
  </si>
  <si>
    <t>1ff84182</t>
  </si>
  <si>
    <t>0620e7e0</t>
  </si>
  <si>
    <t>Superviza Supermercado (05/01/2026) - Saco de lixo</t>
  </si>
  <si>
    <t>Notas_Images/8dc449d1.Foto.160444.jpg</t>
  </si>
  <si>
    <t>938e5a2e</t>
  </si>
  <si>
    <t>0194084c</t>
  </si>
  <si>
    <t>ef684f75</t>
  </si>
  <si>
    <t>Jairo (06/01/2026) - Morangos 6kg</t>
  </si>
  <si>
    <t>226ade7d</t>
  </si>
  <si>
    <t>Notas_Images/f744121a.Foto.205809.jpg</t>
  </si>
  <si>
    <t>Morangos 6kg</t>
  </si>
  <si>
    <t>a71077b4</t>
  </si>
  <si>
    <t>82f14fbe</t>
  </si>
  <si>
    <t>Banderloff (06/01/2026) - Frutas</t>
  </si>
  <si>
    <t>Notas_Images/75335ada.Foto.205951.jpg</t>
  </si>
  <si>
    <t>63ff3b8d</t>
  </si>
  <si>
    <t>54d7f273</t>
  </si>
  <si>
    <t>dd4c704b</t>
  </si>
  <si>
    <t>d21a4798</t>
  </si>
  <si>
    <t>f6cbeebc</t>
  </si>
  <si>
    <t>Zat (06/01/2026) - Sacos de lixo</t>
  </si>
  <si>
    <t>Notas_Images/5c7147e2.Foto.210402.jpg</t>
  </si>
  <si>
    <t>995c7c62</t>
  </si>
  <si>
    <t>1d9d6175</t>
  </si>
  <si>
    <t>e789a4e4</t>
  </si>
  <si>
    <t>f7a057eb</t>
  </si>
  <si>
    <t>699dc33d</t>
  </si>
  <si>
    <t>b2bd3f65</t>
  </si>
  <si>
    <t>95b1cca1</t>
  </si>
  <si>
    <t>Suco prats (05/01/2026) - Bebidas</t>
  </si>
  <si>
    <t>cfd8a1a9</t>
  </si>
  <si>
    <t>Notas_Images/7d7d65fc.Foto.210458.jpg</t>
  </si>
  <si>
    <t>b22c3b4f</t>
  </si>
  <si>
    <t>18e0b383</t>
  </si>
  <si>
    <t>083e1f9c</t>
  </si>
  <si>
    <t>83fbe4c6</t>
  </si>
  <si>
    <t>ba91e7ed</t>
  </si>
  <si>
    <t>8cc30543</t>
  </si>
  <si>
    <t>d0480a26</t>
  </si>
  <si>
    <t>a7331639</t>
  </si>
  <si>
    <t>d71b8bc4</t>
  </si>
  <si>
    <t>7b7d2fbd</t>
  </si>
  <si>
    <t>Pedido 102606 nota de serviço</t>
  </si>
  <si>
    <t>497cfa67</t>
  </si>
  <si>
    <t>9ed7836d</t>
  </si>
  <si>
    <t>d434830e</t>
  </si>
  <si>
    <t>95651559</t>
  </si>
  <si>
    <t>8348247d</t>
  </si>
  <si>
    <t>9830e1ed</t>
  </si>
  <si>
    <t>ab598fee</t>
  </si>
  <si>
    <t>e9da3375</t>
  </si>
  <si>
    <t>8f3a44e0</t>
  </si>
  <si>
    <t>85df3bdb</t>
  </si>
  <si>
    <t>5d41db98</t>
  </si>
  <si>
    <t>3b111afb</t>
  </si>
  <si>
    <t>4afd1ef3</t>
  </si>
  <si>
    <t>5baab426</t>
  </si>
  <si>
    <t>473c2214</t>
  </si>
  <si>
    <t>84ef1ca8</t>
  </si>
  <si>
    <t>cfcf36f0</t>
  </si>
  <si>
    <t>2d36e20a</t>
  </si>
  <si>
    <t>432c87dd</t>
  </si>
  <si>
    <t>Computador</t>
  </si>
  <si>
    <t>ebaaa01d</t>
  </si>
  <si>
    <t>1b451eab</t>
  </si>
  <si>
    <t>91f3b14d</t>
  </si>
  <si>
    <t>ACB (06/01/2026) - Bebidas</t>
  </si>
  <si>
    <t>e817a9ca</t>
  </si>
  <si>
    <t>d932696c</t>
  </si>
  <si>
    <t>Notas_Images/62ceee81.Foto.140638.jpg</t>
  </si>
  <si>
    <t>07f5fa8b</t>
  </si>
  <si>
    <t>e486da0e</t>
  </si>
  <si>
    <t>bbc97289</t>
  </si>
  <si>
    <t>02853adf</t>
  </si>
  <si>
    <t>Notas_Images/2b028662.Foto.140731.jpg</t>
  </si>
  <si>
    <t>3f4dc28c</t>
  </si>
  <si>
    <t>c9e81c9b</t>
  </si>
  <si>
    <t>Amadelli (06/01/2026) - Carga gelada</t>
  </si>
  <si>
    <t>02b0d7a8</t>
  </si>
  <si>
    <t>Notas_Images/24399162.Foto.140849.jpg</t>
  </si>
  <si>
    <t>e1483e07</t>
  </si>
  <si>
    <t>Notas_Images/24399162.Foto 1.140849.jpg</t>
  </si>
  <si>
    <t>4909c69c</t>
  </si>
  <si>
    <t>Notas_Images/24399162.Foto 2.140849.jpg</t>
  </si>
  <si>
    <t>9e09eb57</t>
  </si>
  <si>
    <t>f3271674</t>
  </si>
  <si>
    <t>dias 3,6 e 7, 300+500+250</t>
  </si>
  <si>
    <t>8f4b7ba3</t>
  </si>
  <si>
    <t>f1ec1d54</t>
  </si>
  <si>
    <t>2d52eda4</t>
  </si>
  <si>
    <t>4e555f39</t>
  </si>
  <si>
    <t>entregue no local</t>
  </si>
  <si>
    <t>89042c60</t>
  </si>
  <si>
    <t>15a80e5a</t>
  </si>
  <si>
    <t>dabc865e</t>
  </si>
  <si>
    <t>Sangrias lançadas com total de R$8670, porém entrou R$8620</t>
  </si>
  <si>
    <t>149de3e8</t>
  </si>
  <si>
    <t>c2f052bd</t>
  </si>
  <si>
    <t>b49cc49f</t>
  </si>
  <si>
    <t>debdc13c</t>
  </si>
  <si>
    <t>SuperPão (12/01/2026) - Compra de banana</t>
  </si>
  <si>
    <t>Notas_Images/8fcdaac0.Foto.004255.jpg</t>
  </si>
  <si>
    <t>cf4e1920</t>
  </si>
  <si>
    <t>Compra de banana</t>
  </si>
  <si>
    <t>b8b00091</t>
  </si>
  <si>
    <t>4ad547e3</t>
  </si>
  <si>
    <t>eca4e195</t>
  </si>
  <si>
    <t>88c880c0</t>
  </si>
  <si>
    <t>3a189196</t>
  </si>
  <si>
    <t>ee5a2384</t>
  </si>
  <si>
    <t>b6c25583</t>
  </si>
  <si>
    <t>Ventilador</t>
  </si>
  <si>
    <t>1ca5c7a4</t>
  </si>
  <si>
    <t>c0a7c684</t>
  </si>
  <si>
    <t>b7c05fc8</t>
  </si>
  <si>
    <t>9732b992</t>
  </si>
  <si>
    <t>Freelancer Angela</t>
  </si>
  <si>
    <t>6655dc11</t>
  </si>
  <si>
    <t>23bd94d1</t>
  </si>
  <si>
    <t>c0e280f7</t>
  </si>
  <si>
    <t>diversos itens</t>
  </si>
  <si>
    <t>86dc10a6</t>
  </si>
  <si>
    <t>4ea3fdba</t>
  </si>
  <si>
    <t>5 fardos</t>
  </si>
  <si>
    <t>251e90d6</t>
  </si>
  <si>
    <t>ef5f53a0</t>
  </si>
  <si>
    <t>paçocas</t>
  </si>
  <si>
    <t>16092f40</t>
  </si>
  <si>
    <t>0a97e858</t>
  </si>
  <si>
    <t>potes de isopor</t>
  </si>
  <si>
    <t>e4bbbc2a</t>
  </si>
  <si>
    <t>e7a9a848</t>
  </si>
  <si>
    <t>aef900f2</t>
  </si>
  <si>
    <t>varios itens</t>
  </si>
  <si>
    <t>17b1b4f4</t>
  </si>
  <si>
    <t>02b405fd</t>
  </si>
  <si>
    <t>5451a094</t>
  </si>
  <si>
    <t>5a0dc059</t>
  </si>
  <si>
    <t>Transferencia de mercadoria gelados e secos</t>
  </si>
  <si>
    <t>5a26fe80</t>
  </si>
  <si>
    <t>05f268d0</t>
  </si>
  <si>
    <t>bbeb2f42</t>
  </si>
  <si>
    <t>51bcadca</t>
  </si>
  <si>
    <t>9d3b73b7</t>
  </si>
  <si>
    <t>67c43366</t>
  </si>
  <si>
    <t>Pedido 104327 nota de serviço</t>
  </si>
  <si>
    <t>a808c5fd</t>
  </si>
  <si>
    <t>afffa3c5</t>
  </si>
  <si>
    <t>c7e00e01</t>
  </si>
  <si>
    <t>610 Alimentação e combustível + 702 hotel</t>
  </si>
  <si>
    <t>8eb59483</t>
  </si>
  <si>
    <t>1f924c62</t>
  </si>
  <si>
    <t>5476ec03</t>
  </si>
  <si>
    <t>SQ Supermercados (09/01/2026) - Cafe funcionários</t>
  </si>
  <si>
    <t>c7b9f4d9</t>
  </si>
  <si>
    <t>Notas_Images/6596583b.Foto.161158.jpg</t>
  </si>
  <si>
    <t>d283ad99</t>
  </si>
  <si>
    <t>e26f963b</t>
  </si>
  <si>
    <t>41bafb26</t>
  </si>
  <si>
    <t>d279739f</t>
  </si>
  <si>
    <t>b3a5078e</t>
  </si>
  <si>
    <t>63313548</t>
  </si>
  <si>
    <t>400dfc4d</t>
  </si>
  <si>
    <t>e80a6153</t>
  </si>
  <si>
    <t>Rescisório Eduarda</t>
  </si>
  <si>
    <t>39ec8a4d</t>
  </si>
  <si>
    <t>0740c218</t>
  </si>
  <si>
    <t>Bompack</t>
  </si>
  <si>
    <t>a944f78a</t>
  </si>
  <si>
    <t>e182d80b</t>
  </si>
  <si>
    <t>1fd5f7cd</t>
  </si>
  <si>
    <t>Ditribuidora de Bebidas Caçador (15/01/2026) - Bebidas</t>
  </si>
  <si>
    <t>Notas_Images/4eb39c0f.Foto.175502.jpg</t>
  </si>
  <si>
    <t>5d0a44a4</t>
  </si>
  <si>
    <t>Notas_Images/4eb39c0f.Foto 1.175502.jpg</t>
  </si>
  <si>
    <t>20268702</t>
  </si>
  <si>
    <t>Lasta Frutolândia (15/01/2026) - Banana</t>
  </si>
  <si>
    <t>Notas_Images/c0aba0ae.Foto.180454.jpg</t>
  </si>
  <si>
    <t>62486a83</t>
  </si>
  <si>
    <t>Passarela Center via atacadista (17/01/2026) - Agua</t>
  </si>
  <si>
    <t>Notas_Images/778d7074.Foto.210933.jpg</t>
  </si>
  <si>
    <t>a320a599</t>
  </si>
  <si>
    <t>7a1337ae</t>
  </si>
  <si>
    <t>Lasta Frutolândia (17/01/2026) - Frutas</t>
  </si>
  <si>
    <t>1adfc4fe</t>
  </si>
  <si>
    <t>Notas_Images/15786028.Foto.211113.jpg</t>
  </si>
  <si>
    <t>934ebd52</t>
  </si>
  <si>
    <t>Lasta Frutolândia (14/01/2026) - Frutas</t>
  </si>
  <si>
    <t>Notas_Images/4b84f811.Foto.211229.jpg</t>
  </si>
  <si>
    <t>bac5928f</t>
  </si>
  <si>
    <t>Lasta Frutolândia (13/01/2026) - Frutas</t>
  </si>
  <si>
    <t>Notas_Images/1ceeeb55.Foto.211328.jpg</t>
  </si>
  <si>
    <t>b613c186</t>
  </si>
  <si>
    <t>Superviza Supermercado (16/01/2026) - Café funcionários</t>
  </si>
  <si>
    <t>Notas_Images/a7f74b73.Foto.211450.jpg</t>
  </si>
  <si>
    <t>Café funcionários</t>
  </si>
  <si>
    <t>4da13880</t>
  </si>
  <si>
    <t>COMERCIO DE EMBALAGENS CACADOR LTDA EPP (16/01/2026) - Canudos</t>
  </si>
  <si>
    <t>Notas_Images/1dca9d1f.Foto.211636.jpg</t>
  </si>
  <si>
    <t>Canudos</t>
  </si>
  <si>
    <t>ITEM-151febd43-1</t>
  </si>
  <si>
    <t>151febd43</t>
  </si>
  <si>
    <t>4cbd629e</t>
  </si>
  <si>
    <t>Osbi extintores LTDA Caçador (16/01/2026) - Extintores</t>
  </si>
  <si>
    <t>Notas_Images/52df4fdc.Foto.211910.jpg</t>
  </si>
  <si>
    <t>ITEM-12fb23b9e-1</t>
  </si>
  <si>
    <t>Extintores</t>
  </si>
  <si>
    <t>12fb23b9e</t>
  </si>
  <si>
    <t>da2ce4b8</t>
  </si>
  <si>
    <t>Tuicial (09/01/2026) - Copos e tampas 720</t>
  </si>
  <si>
    <t>ITEM-1a3c166ee-1</t>
  </si>
  <si>
    <t>Notas_Images/9a7077d4.Foto.213128.jpg</t>
  </si>
  <si>
    <t>Copos e tampas 720</t>
  </si>
  <si>
    <t>1a3c166ee</t>
  </si>
  <si>
    <t>ITEM-199fe610a-1</t>
  </si>
  <si>
    <t>Amadelli (08/01/2026) - Estoque seco</t>
  </si>
  <si>
    <t>199fe610a</t>
  </si>
  <si>
    <t>Notas_Images/f83f1848.Foto.214249.jpg</t>
  </si>
  <si>
    <t>Notas_Images/f83f1848.Foto 1.214249.jpg</t>
  </si>
  <si>
    <t>ITEM-12155-1</t>
  </si>
  <si>
    <t>ITEM-12156-1</t>
  </si>
  <si>
    <t>ITEM-11947164c-1</t>
  </si>
  <si>
    <t>11947164c</t>
  </si>
  <si>
    <t>ITEM-10cf5d939-1</t>
  </si>
  <si>
    <t>10cf5d939</t>
  </si>
  <si>
    <t>ITEM-12164-1</t>
  </si>
  <si>
    <t>ITEM-12165-1</t>
  </si>
  <si>
    <t>ITEM-12166-1</t>
  </si>
  <si>
    <t>paguei por pix no momento da entrega</t>
  </si>
  <si>
    <t>ITEM-12167-1</t>
  </si>
  <si>
    <t>ITEM-12173-1</t>
  </si>
  <si>
    <t>484,36+409,41+302,96 notas lançadas no compras</t>
  </si>
  <si>
    <t>ITEM-12174-1</t>
  </si>
  <si>
    <t>7ee51177</t>
  </si>
  <si>
    <t>ITEM-1efcd1302-1</t>
  </si>
  <si>
    <t>4 entregas 200 275 500 275</t>
  </si>
  <si>
    <t>1efcd1302</t>
  </si>
  <si>
    <t>ITEM-12168-1</t>
  </si>
  <si>
    <t>ITEM-12169-1</t>
  </si>
  <si>
    <t>Amadelli (20/01/2026) - Carga gelada</t>
  </si>
  <si>
    <t>Notas_Images/b7fa57c3.Foto.163028.jpg</t>
  </si>
  <si>
    <t>ITEM-12170-1</t>
  </si>
  <si>
    <t>Notas_Images/b7fa57c3.Foto 1.163028.jpg</t>
  </si>
  <si>
    <t>Notas_Images/29d0a3c9.Foto.163437.jpg</t>
  </si>
  <si>
    <t>ITEM-12171-1</t>
  </si>
  <si>
    <t>Notas_Images/29d0a3c9.Foto 1.163437.jpg</t>
  </si>
  <si>
    <t>Notas_Images/29d0a3c9.Foto 2.163437.jpg</t>
  </si>
  <si>
    <t>731b8072</t>
  </si>
  <si>
    <t>ITEM-12172-1</t>
  </si>
  <si>
    <t>52 passes 5,60 cada ao funcionario Renan</t>
  </si>
  <si>
    <t>ITEM-11bd8b551-1</t>
  </si>
  <si>
    <t>11bd8b551</t>
  </si>
  <si>
    <t>27 passes a func Bruna 5,60 cada</t>
  </si>
  <si>
    <t>ITEM-12225-1</t>
  </si>
  <si>
    <t>Amadelli (20/01/2026) - Estoque seco</t>
  </si>
  <si>
    <t>Notas_Images/480dee39.Foto.173831.jpg</t>
  </si>
  <si>
    <t>Notas_Images/480dee39.Foto 1.173831.jpg</t>
  </si>
  <si>
    <t>ITEM-12226-1</t>
  </si>
  <si>
    <t>Ditribuidora de Bebidas Caçador (23/01/2026) - Bebidas</t>
  </si>
  <si>
    <t>Notas_Images/d24bacae.Foto.174705.jpg</t>
  </si>
  <si>
    <t>Notas_Images/d24bacae.Foto 1.174705.jpg</t>
  </si>
  <si>
    <t>ITEM-12227-1</t>
  </si>
  <si>
    <t>Nordio supermercado (23/01/2026) - Café funcionários</t>
  </si>
  <si>
    <t>Notas_Images/a009dac8.Foto.174856.jpg</t>
  </si>
  <si>
    <t>ITEM-12230-1</t>
  </si>
  <si>
    <t>Banderloff (22/01/2026) - Frutas</t>
  </si>
  <si>
    <t>Notas_Images/9526d22f.Foto.002949.jpg</t>
  </si>
  <si>
    <t>ITEM-12238-1</t>
  </si>
  <si>
    <t>Banderloff (24/01/2026) - Frutas</t>
  </si>
  <si>
    <t>ITEM-1d8cb016d-1</t>
  </si>
  <si>
    <t>Notas_Images/500c73ec.Foto.003100.jpg</t>
  </si>
  <si>
    <t>1d8cb016d</t>
  </si>
  <si>
    <t>ITEM-1b03176fb-1</t>
  </si>
  <si>
    <t>6d1b6cdf</t>
  </si>
  <si>
    <t>Papelaria (26/01/2026) - Plastificação alvará</t>
  </si>
  <si>
    <t>1b03176fb</t>
  </si>
  <si>
    <t>Notas_Images/b1cc2da9.Foto.194905.jpg</t>
  </si>
  <si>
    <t>Plastificação alvará</t>
  </si>
  <si>
    <t>ITEM-17ecf3535-1</t>
  </si>
  <si>
    <t>17ecf3535</t>
  </si>
  <si>
    <t>Superviza Supermercado (26/01/2026) - Suco e limpeza</t>
  </si>
  <si>
    <t>Notas_Images/98244bfa.Foto.195038.jpg</t>
  </si>
  <si>
    <t>Suco e limpeza</t>
  </si>
  <si>
    <t>ITEM-12228-1</t>
  </si>
  <si>
    <t>Amadelli (22/01/2026) - Pedido 108817 - colheres</t>
  </si>
  <si>
    <t>Notas_Images/ff889cf5.Foto.200143.jpg</t>
  </si>
  <si>
    <t>Pedido 108817 - colheres</t>
  </si>
  <si>
    <t>ITEM-12239-1</t>
  </si>
  <si>
    <t>9b12c1aa</t>
  </si>
  <si>
    <t>Julio Cesar Moriggi &amp; CIA LTDA (26/01/2026) - Banana</t>
  </si>
  <si>
    <t>Notas_Images/e68044f5.Foto.200450.jpg</t>
  </si>
  <si>
    <t>ITEM-12240-1</t>
  </si>
  <si>
    <t>ITEM-1ee2b5c86-1</t>
  </si>
  <si>
    <t>1ee2b5c86</t>
  </si>
  <si>
    <t>ITEM-1b621e1ae-1</t>
  </si>
  <si>
    <t>1b621e1ae</t>
  </si>
  <si>
    <t>ITEM-1174f1eb3-1</t>
  </si>
  <si>
    <t>1174f1eb3</t>
  </si>
  <si>
    <t>ITEM-1c477441e-1</t>
  </si>
  <si>
    <t>1c477441e</t>
  </si>
  <si>
    <t>ITEM-14689c258-1</t>
  </si>
  <si>
    <t>mercado di domenico (21/01/2026) - Bananas</t>
  </si>
  <si>
    <t>14689c258</t>
  </si>
  <si>
    <t>Notas_Images/23c7735a.Foto.173531.jpg</t>
  </si>
  <si>
    <t>Bananas</t>
  </si>
  <si>
    <t>4ee24237</t>
  </si>
  <si>
    <t>Patrimonial (19/01/2026) - Monitoramento/alarme</t>
  </si>
  <si>
    <t>Notas_Images/0c4e1dd9.Foto.174102.jpg</t>
  </si>
  <si>
    <t>Monitoramento/alarme</t>
  </si>
  <si>
    <t>edf40fa2</t>
  </si>
  <si>
    <t>R$4492 Parcela 10/48</t>
  </si>
  <si>
    <t>a209d87e</t>
  </si>
  <si>
    <t>paguei por pix para a cliente</t>
  </si>
  <si>
    <t>2e0e7c64</t>
  </si>
  <si>
    <t>f6449cff</t>
  </si>
  <si>
    <t>290875bf</t>
  </si>
  <si>
    <t>67e4e747</t>
  </si>
  <si>
    <t>5276bfa0</t>
  </si>
  <si>
    <t>b51efeeb</t>
  </si>
  <si>
    <t>d4b60631</t>
  </si>
  <si>
    <t>eae5bbb7</t>
  </si>
  <si>
    <t>c8cc01c7</t>
  </si>
  <si>
    <t>a98374fa</t>
  </si>
  <si>
    <t>Marmitas 1100</t>
  </si>
  <si>
    <t>24e7a5d4</t>
  </si>
  <si>
    <t>0b815412</t>
  </si>
  <si>
    <t>eed67828</t>
  </si>
  <si>
    <t>dia 21 e dia 26 325+175</t>
  </si>
  <si>
    <t>dd67a9b2</t>
  </si>
  <si>
    <t>3e3db49e</t>
  </si>
  <si>
    <t>Nota dia 27</t>
  </si>
  <si>
    <t>9d968feb</t>
  </si>
  <si>
    <t>Passarela Center via atacadista (28/01/2026) - Banana e água</t>
  </si>
  <si>
    <t>Notas_Images/fd62e30b.Foto.234604.jpg</t>
  </si>
  <si>
    <t>Banana e água</t>
  </si>
  <si>
    <t>4d9bf2ea</t>
  </si>
  <si>
    <t>Distribuidora de bebidas Caçador LTDA (29/01/2026) - Bebidas</t>
  </si>
  <si>
    <t>Notas_Images/baab3804.Foto.215013.jpg</t>
  </si>
  <si>
    <t>33c74994</t>
  </si>
  <si>
    <t>12 passes + taxa de regularização</t>
  </si>
  <si>
    <t>bfc93a3b</t>
  </si>
  <si>
    <t>COMERCIO DE EMBALAGENS CACADOR LTDA EPP (30/01/2026) - Produtos limpeza</t>
  </si>
  <si>
    <t>Notas_Images/f36ce086.Foto.001223.jpg</t>
  </si>
  <si>
    <t>eb529c0b</t>
  </si>
  <si>
    <t>Superviza Supermercado (30/01/2026) - Café funcionários</t>
  </si>
  <si>
    <t>Notas_Images/442f0c8b.Foto.001320.jpg</t>
  </si>
  <si>
    <t>07727a96</t>
  </si>
  <si>
    <t>6308fc9f</t>
  </si>
  <si>
    <t>1ba7dd19</t>
  </si>
  <si>
    <t>cd1799c4</t>
  </si>
  <si>
    <t>Prestige (30/01/2026) - Luvas</t>
  </si>
  <si>
    <t>Notas_Images/15732f76.Foto.001409.jpg</t>
  </si>
  <si>
    <t>Luvas</t>
  </si>
  <si>
    <t>945ae4b6</t>
  </si>
  <si>
    <t>0bdd0e45</t>
  </si>
  <si>
    <t>ANAS QUIMSUL INDÚSTRIA E COMERCIO DE PRODUTOS DE LIMPEZA LTDA (30/01/2026) - Produtos de limpeza</t>
  </si>
  <si>
    <t>274b0510</t>
  </si>
  <si>
    <t>Notas_Images/4608ab14.Foto.001637.jpg</t>
  </si>
  <si>
    <t>7475c046</t>
  </si>
  <si>
    <t>Banderloff (30/01/2026) - Frutas</t>
  </si>
  <si>
    <t>Notas_Images/d3838b35.Foto.001820.jpg</t>
  </si>
  <si>
    <t>39bcecdf</t>
  </si>
  <si>
    <t>b951904a</t>
  </si>
  <si>
    <t>2deb1a30</t>
  </si>
  <si>
    <t>1da9a36a</t>
  </si>
  <si>
    <t>68517ffd</t>
  </si>
  <si>
    <t>72c4dad5</t>
  </si>
  <si>
    <t>8746c442</t>
  </si>
  <si>
    <t>b3c6a3bf</t>
  </si>
  <si>
    <t>Rescisão de período sem registro + salario de janeiro</t>
  </si>
  <si>
    <t>d3514a11</t>
  </si>
  <si>
    <t>f6741773</t>
  </si>
  <si>
    <t>80119de6</t>
  </si>
  <si>
    <t>443f8138</t>
  </si>
  <si>
    <t>Banderloff (31/01/2026) - Frutas</t>
  </si>
  <si>
    <t>Notas_Images/58c9abe9.Foto.000730.jpg</t>
  </si>
  <si>
    <t>6ca2a7c4</t>
  </si>
  <si>
    <t>64ebc381</t>
  </si>
  <si>
    <t>d553384b</t>
  </si>
  <si>
    <t>Superviza Supermercado (31/01/2026) - Café funcionários</t>
  </si>
  <si>
    <t>Notas_Images/2cf51a1a.Foto.152006.jpg</t>
  </si>
  <si>
    <t>67875323</t>
  </si>
  <si>
    <t>Passarela Center via atacadista (31/01/2026) - Café funcionários</t>
  </si>
  <si>
    <t>Notas_Images/c11993d1.Foto.152319.jpg</t>
  </si>
  <si>
    <t>12236-A</t>
  </si>
  <si>
    <t>59963ece</t>
  </si>
  <si>
    <t>Freiberger e Zini LTDA (29/01/2026) - Hemograma Ramon</t>
  </si>
  <si>
    <t>Notas_Images/ad2a750f.Foto.153137.jpg</t>
  </si>
  <si>
    <t>Hemograma Ramon</t>
  </si>
  <si>
    <t>12237-A</t>
  </si>
  <si>
    <t>Freiberger e Zini LTDA (29/01/2026) - Hemograma Regiane</t>
  </si>
  <si>
    <t>Notas_Images/97b3f775.Foto.153235.jpg</t>
  </si>
  <si>
    <t>Hemograma Regiane</t>
  </si>
  <si>
    <t>12241-A</t>
  </si>
  <si>
    <t>Distribuidora de bebidas Caçador LTDA (03/02/2026) - Bebidas</t>
  </si>
  <si>
    <t>8f85bb94</t>
  </si>
  <si>
    <t>Notas_Images/f1d823d4.Foto.213155.jpg</t>
  </si>
  <si>
    <t>ad7e9e36</t>
  </si>
  <si>
    <t>c863a727</t>
  </si>
  <si>
    <t>Banderloff (03/02/2026) - Frutas</t>
  </si>
  <si>
    <t>Notas_Images/f438b507.Foto.213333.jpg</t>
  </si>
  <si>
    <t>12242-A</t>
  </si>
  <si>
    <t>Tuicial (02/02/2026) - P1183096 - Seco</t>
  </si>
  <si>
    <t>Notas_Images/dcc4130c.Foto.214329.jpg</t>
  </si>
  <si>
    <t>P1183096 - Seco</t>
  </si>
  <si>
    <t>12250-A</t>
  </si>
  <si>
    <t>Notas_Images/dcc4130c.Foto 1.214329.jpg</t>
  </si>
  <si>
    <t>18fdc46ae-A</t>
  </si>
  <si>
    <t>18fdc46ae</t>
  </si>
  <si>
    <t>1de9dbec0-A</t>
  </si>
  <si>
    <t>1de9dbec0</t>
  </si>
  <si>
    <t>para não perder número</t>
  </si>
  <si>
    <t>13da343b3-A</t>
  </si>
  <si>
    <t>13da343b3</t>
  </si>
  <si>
    <t>2 exaustores para a cozinha</t>
  </si>
  <si>
    <t>2f3c6aac</t>
  </si>
  <si>
    <t>5146f09c</t>
  </si>
  <si>
    <t>3 sonoff</t>
  </si>
  <si>
    <t>943a259a</t>
  </si>
  <si>
    <t>e2fbfcc5</t>
  </si>
  <si>
    <t>c6c35d30</t>
  </si>
  <si>
    <t>Dispenser Torre</t>
  </si>
  <si>
    <t>215f2049</t>
  </si>
  <si>
    <t>5449112c</t>
  </si>
  <si>
    <t>b391e34f</t>
  </si>
  <si>
    <t>3b4b044d</t>
  </si>
  <si>
    <t>4dc7818e</t>
  </si>
  <si>
    <t>be14582c</t>
  </si>
  <si>
    <t>9680b409</t>
  </si>
  <si>
    <t>a3c63dc1</t>
  </si>
  <si>
    <t>4d87a941</t>
  </si>
  <si>
    <t>c0fc466b</t>
  </si>
  <si>
    <t>83133efe</t>
  </si>
  <si>
    <t>Pedido 107129 etiquetas Frozen</t>
  </si>
  <si>
    <t>1004a8091-A</t>
  </si>
  <si>
    <t>1004a8091</t>
  </si>
  <si>
    <t>Renan</t>
  </si>
  <si>
    <t>12251-A</t>
  </si>
  <si>
    <t>HOSCORP TECNOLOGIA LTDA (28/01/2026) - Computador</t>
  </si>
  <si>
    <t>Notas_Images/961bf1d0.Foto.222317.jpg</t>
  </si>
  <si>
    <t>1156455db-A</t>
  </si>
  <si>
    <t>1156455db</t>
  </si>
  <si>
    <t>ANAS QUIMSUL INDÚSTRIA E COMERCIO DE PRODUTOS DE LIMPEZA LTDA (05/02/2026) - Produtos de limpeza</t>
  </si>
  <si>
    <t>Notas_Images/5b649718.Foto.223354.jpg</t>
  </si>
  <si>
    <t>15ec8abb5-A</t>
  </si>
  <si>
    <t>15ec8abb5</t>
  </si>
  <si>
    <t>12266-A</t>
  </si>
  <si>
    <t>Amadelli (21/01/2026) - Cartela adesivos</t>
  </si>
  <si>
    <t>Notas_Images/e3c983ab.Foto.223729.jpg</t>
  </si>
  <si>
    <t>Cartela adesivos</t>
  </si>
  <si>
    <t>1f78fd2c1-A</t>
  </si>
  <si>
    <t>1f78fd2c1</t>
  </si>
  <si>
    <t>Amadelli (02/02/2026) - P110505 - Carga gelada</t>
  </si>
  <si>
    <t>Notas_Images/0e5ee694.Foto.224832.jpg</t>
  </si>
  <si>
    <t>P110505 - Carga gelada</t>
  </si>
  <si>
    <t>1b860bb0</t>
  </si>
  <si>
    <t>9f498336</t>
  </si>
  <si>
    <t>Notas_Images/0e5ee694.Foto 1.224832.jpg</t>
  </si>
  <si>
    <t>e885bd97</t>
  </si>
  <si>
    <t>Banderloff (07/02/2026) - Frutas</t>
  </si>
  <si>
    <t>Notas_Images/2dee4644.Foto.221454.jpg</t>
  </si>
  <si>
    <t>5f320cea</t>
  </si>
  <si>
    <t>Banderloff (06/02/2026) - Frutas</t>
  </si>
  <si>
    <t>Notas_Images/47c4a8b1.Foto.221627.jpg</t>
  </si>
  <si>
    <t>f5e5a4ad</t>
  </si>
  <si>
    <t>Prestige (09/02/2026) - Luvas e saco de lixo</t>
  </si>
  <si>
    <t>Notas_Images/25c07ae5.Foto.222459.jpg</t>
  </si>
  <si>
    <t>40905146</t>
  </si>
  <si>
    <t>Luvas e saco de lixo</t>
  </si>
  <si>
    <t>0e5dcfc2</t>
  </si>
  <si>
    <t>b9489966</t>
  </si>
  <si>
    <t>Amadelli (05/02/2026) - P110511</t>
  </si>
  <si>
    <t>Notas_Images/cb99df94.Foto.223516.jpg</t>
  </si>
  <si>
    <t>P110511</t>
  </si>
  <si>
    <t>Notas_Images/cb99df94.Foto 1.223516.jpg</t>
  </si>
  <si>
    <t>e1e4837b</t>
  </si>
  <si>
    <t>0a755462</t>
  </si>
  <si>
    <t>1efdcc15</t>
  </si>
  <si>
    <t>Zat (08/02/2026) - Banana</t>
  </si>
  <si>
    <t>Notas_Images/062de84f.Foto.223946.jpg</t>
  </si>
  <si>
    <t>6e27518e</t>
  </si>
  <si>
    <t>4a5bd776</t>
  </si>
  <si>
    <t>8b42e974</t>
  </si>
  <si>
    <t>9364d825</t>
  </si>
  <si>
    <t>17115fbb</t>
  </si>
  <si>
    <t>Universo Materiais de Construção LTDA (05/02/2026) - Lâmpadas</t>
  </si>
  <si>
    <t>Notas_Images/eaf1af5e.Foto.224307.jpg</t>
  </si>
  <si>
    <t>Lâmpadas</t>
  </si>
  <si>
    <t>66e4fc82</t>
  </si>
  <si>
    <t>Lojas milium (06/02/2026) - Canetas</t>
  </si>
  <si>
    <t>Notas_Images/71ecf976.Foto.224424.jpg</t>
  </si>
  <si>
    <t>Lojas milium (06/02/2026) - Teclado computador</t>
  </si>
  <si>
    <t>Notas_Images/86d8d4b5.Foto.224547.jpg</t>
  </si>
  <si>
    <t>1b8a71a4</t>
  </si>
  <si>
    <t>Teclado computador</t>
  </si>
  <si>
    <t>9da39de0</t>
  </si>
  <si>
    <t>962552fd</t>
  </si>
  <si>
    <t>Juliano Frigotto (06/02/2026) - Morangos</t>
  </si>
  <si>
    <t>Notas_Images/47c5ba16.Foto.224929.jpg</t>
  </si>
  <si>
    <t>8444a94b</t>
  </si>
  <si>
    <t>Juliano Frigotto (08/02/2026) - Morangos</t>
  </si>
  <si>
    <t>14695d1a</t>
  </si>
  <si>
    <t>Notas_Images/d14c53ab.Foto.225127.jpg</t>
  </si>
  <si>
    <t>45268318</t>
  </si>
  <si>
    <t>3514c03b</t>
  </si>
  <si>
    <t>0b2bedb3</t>
  </si>
  <si>
    <t>Auto Coletivo Caçador LTDA (10/02/2026) - Vale transporte Renan</t>
  </si>
  <si>
    <t>Notas_Images/9edac033.Foto.164727.jpg</t>
  </si>
  <si>
    <t>Vale transporte Renan</t>
  </si>
  <si>
    <t>9cfb25f4</t>
  </si>
  <si>
    <t>Papelaria guarani (10/02/2026) - Impressão</t>
  </si>
  <si>
    <t>fbfb3147</t>
  </si>
  <si>
    <t>Notas_Images/810e70c4.Foto.232154.jpg</t>
  </si>
  <si>
    <t>fd17cb35</t>
  </si>
  <si>
    <t>Distribuidora de bebidas Caçador LTDA (09/02/2026) - Bebidas</t>
  </si>
  <si>
    <t>Notas_Images/ee2f62b5.Foto.232827.jpg</t>
  </si>
  <si>
    <t>Notas_Images/ee2f62b5.Foto 1.232826.jpg</t>
  </si>
  <si>
    <t>9eafe45c</t>
  </si>
  <si>
    <t>a28c085b</t>
  </si>
  <si>
    <t>Amadelli (05/02/2026) - P110928 - Seco</t>
  </si>
  <si>
    <t>Notas_Images/6643eaa7.Foto.233827.jpg</t>
  </si>
  <si>
    <t>P110928 - Seco</t>
  </si>
  <si>
    <t>a8fbd68b</t>
  </si>
  <si>
    <t>58292c0a</t>
  </si>
  <si>
    <t>6f17f134</t>
  </si>
  <si>
    <t>Aplicativo de delivery janeiro zerado</t>
  </si>
  <si>
    <t>1a6cdb3b</t>
  </si>
  <si>
    <t>b9b95fe0</t>
  </si>
  <si>
    <t>ef254630</t>
  </si>
  <si>
    <t>d483fd2a</t>
  </si>
  <si>
    <t>12271-A</t>
  </si>
  <si>
    <t>12272-A</t>
  </si>
  <si>
    <t>12273-A</t>
  </si>
  <si>
    <t>Rescisório Bruna</t>
  </si>
  <si>
    <t>12274-A</t>
  </si>
  <si>
    <t>12275-A</t>
  </si>
  <si>
    <t>Mensal Rescisório Bruna</t>
  </si>
  <si>
    <t>12280-A</t>
  </si>
  <si>
    <t>Banderloff (11/02/2026) - Frutas</t>
  </si>
  <si>
    <t>Notas_Images/bb67d2ff.Foto.213800.jpg</t>
  </si>
  <si>
    <t>12281-A</t>
  </si>
  <si>
    <t>kopus (04/02/2026) - Copo 550</t>
  </si>
  <si>
    <t>Notas_Images/28fce78d.Foto.214625.jpg</t>
  </si>
  <si>
    <t>14df79e94-A</t>
  </si>
  <si>
    <t>Copo 550</t>
  </si>
  <si>
    <t>14df79e94</t>
  </si>
  <si>
    <t>f1a97522</t>
  </si>
  <si>
    <t>f6f4b9f2</t>
  </si>
  <si>
    <t>Superviza Supermercado (13/02/2026) - Café funcionários</t>
  </si>
  <si>
    <t>Notas_Images/eacc42b7.Foto.215005.jpg</t>
  </si>
  <si>
    <t>07dbe59b</t>
  </si>
  <si>
    <t>Banderloff (13/02/2026) - Frutas</t>
  </si>
  <si>
    <t>d712362c</t>
  </si>
  <si>
    <t>Notas_Images/55371b82.Foto.215129.jpg</t>
  </si>
  <si>
    <t>3cd7a0c3</t>
  </si>
  <si>
    <t>8bae48d3</t>
  </si>
  <si>
    <t>Juliano Frigotto (13/02/2026) - Morangos</t>
  </si>
  <si>
    <t>Notas_Images/196289f7.Foto.222317.jpg</t>
  </si>
  <si>
    <t>604f99d0</t>
  </si>
  <si>
    <t>0f9dcf05</t>
  </si>
  <si>
    <t>ANAS QUIMSUL INDÚSTRIA E COMERCIO DE PRODUTOS DE LIMPEZA LTDA (16/02/2026) - Produtos de limpeza</t>
  </si>
  <si>
    <t>Notas_Images/26126d35.Foto.222540.jpg</t>
  </si>
  <si>
    <t>58012327</t>
  </si>
  <si>
    <t>058ae2b8</t>
  </si>
  <si>
    <t>2b093ca1</t>
  </si>
  <si>
    <t>d0cc9f0e</t>
  </si>
  <si>
    <t>87626c9e</t>
  </si>
  <si>
    <t>Ref a nota de morangos</t>
  </si>
  <si>
    <t>12276-A</t>
  </si>
  <si>
    <t>5kg</t>
  </si>
  <si>
    <t>12277-A</t>
  </si>
  <si>
    <t>pães, presunto e mussarela para sex, sab e domingo</t>
  </si>
  <si>
    <t>12278-A</t>
  </si>
  <si>
    <t>12279-A</t>
  </si>
  <si>
    <t>1249ef337-A</t>
  </si>
  <si>
    <t>1249ef337</t>
  </si>
  <si>
    <t>Pedido 110505 nota de serviço</t>
  </si>
  <si>
    <t>9d258899</t>
  </si>
  <si>
    <t>8cfe178d</t>
  </si>
  <si>
    <t>990e1a1e</t>
  </si>
  <si>
    <t>COMERCIO DE EMBALAGENS CACADOR LTDA EPP (19/02/2026) - Embalagens</t>
  </si>
  <si>
    <t>Notas_Images/66ee8c9c.Foto.213834.jpg</t>
  </si>
  <si>
    <t>b0bb3c37</t>
  </si>
  <si>
    <t>5579df1c</t>
  </si>
  <si>
    <t>cb6cd1e3</t>
  </si>
  <si>
    <t>e9da946f</t>
  </si>
  <si>
    <t>Distribuidora de bebidas Caçador LTDA (19/02/2026) - Bebidas</t>
  </si>
  <si>
    <t>Notas_Images/a51ced0f.Foto.214736.jpg</t>
  </si>
  <si>
    <t>Notas_Images/a51ced0f.Foto 1.214736.jpg</t>
  </si>
  <si>
    <t>f09c401f</t>
  </si>
  <si>
    <t>d15c5fe0</t>
  </si>
  <si>
    <t>420ab68d</t>
  </si>
  <si>
    <t>Construsim materiais de construção LTDA (18/02/2026) - Mangueira</t>
  </si>
  <si>
    <t>Notas_Images/e0a768e6.Foto.215014.jpg</t>
  </si>
  <si>
    <t>95ca6dc2</t>
  </si>
  <si>
    <t>Mangueira</t>
  </si>
  <si>
    <t>dd9eb020</t>
  </si>
  <si>
    <t>a9c70993</t>
  </si>
  <si>
    <t>Z4 Supermercado (18/02/2026) - Suco laranja</t>
  </si>
  <si>
    <t>Notas_Images/59fdf4e5.Foto.215229.jpg</t>
  </si>
  <si>
    <t>Suco laranja</t>
  </si>
  <si>
    <t>0cd8500b</t>
  </si>
  <si>
    <t>6cf09a20</t>
  </si>
  <si>
    <t>Banderloff (18/02/2026) - Frutas</t>
  </si>
  <si>
    <t>Notas_Images/bf1ed461.Foto.215950.jpg</t>
  </si>
  <si>
    <t>6e77a55f</t>
  </si>
  <si>
    <t>0e10a566</t>
  </si>
  <si>
    <t>Prioridade 10 (21/02/2026) - Marcador delivery</t>
  </si>
  <si>
    <t>Notas_Images/2893b198.Foto.000530.jpg</t>
  </si>
  <si>
    <t>Marcador delivery</t>
  </si>
  <si>
    <t>4f4635f2</t>
  </si>
  <si>
    <t>e6692c75</t>
  </si>
  <si>
    <t>Farmácia Preço Popular (21/02/2026) - Remédios</t>
  </si>
  <si>
    <t>Notas_Images/184b238b.Foto.000701.jpg</t>
  </si>
  <si>
    <t>a2527dab</t>
  </si>
  <si>
    <t>80b06d42</t>
  </si>
  <si>
    <t>COMERCIO DE EMBALAGENS CACADOR LTDA EPP (21/02/2026) - Panos e grampeador</t>
  </si>
  <si>
    <t>Notas_Images/8accb144.Foto.001018.jpg</t>
  </si>
  <si>
    <t>Panos e grampeador</t>
  </si>
  <si>
    <t>000438ad</t>
  </si>
  <si>
    <t>deb71488</t>
  </si>
  <si>
    <t>Lojas milium (21/02/2026) - Mouse computador 2</t>
  </si>
  <si>
    <t>Notas_Images/2c876e5d.Foto.001115.jpg</t>
  </si>
  <si>
    <t>Mouse computador 2</t>
  </si>
  <si>
    <t>8f0c4a48</t>
  </si>
  <si>
    <t>901b5a7c</t>
  </si>
  <si>
    <t>Superviza Supermercado (20/02/2026) - Café funcionários</t>
  </si>
  <si>
    <t>Notas_Images/cd68fe65.Foto.001204.jpg</t>
  </si>
  <si>
    <t>33885438</t>
  </si>
  <si>
    <t>408362b5</t>
  </si>
  <si>
    <t>Banderloff (20/02/2026) - Frutas</t>
  </si>
  <si>
    <t>Notas_Images/14ed35d1.Foto.001315.jpg</t>
  </si>
  <si>
    <t>460a152c</t>
  </si>
  <si>
    <t>Amadelli (16/02/2026) - P112386- Carga seca</t>
  </si>
  <si>
    <t>3946f2c1</t>
  </si>
  <si>
    <t>Notas_Images/9f00f252.Foto.130312.jpg</t>
  </si>
  <si>
    <t>P112386- Carga seca</t>
  </si>
  <si>
    <t>Notas_Images/9f00f252.Foto 1.130312.jpg</t>
  </si>
  <si>
    <t>7e7e49a7</t>
  </si>
  <si>
    <t>Juliano Frigotto (23/02/2026) - Morangos</t>
  </si>
  <si>
    <t>Notas_Images/39b00015.Foto.003609.jpg</t>
  </si>
  <si>
    <t>37f43563</t>
  </si>
  <si>
    <t>bffb91fc</t>
  </si>
  <si>
    <t>82360301</t>
  </si>
  <si>
    <t>Prestige (24/02/2026) - Luvas</t>
  </si>
  <si>
    <t>Notas_Images/f660cdfc.Foto.220234.jpg</t>
  </si>
  <si>
    <t>9d826c18</t>
  </si>
  <si>
    <t>1a8c52ce</t>
  </si>
  <si>
    <t>1ab2a9b9</t>
  </si>
  <si>
    <t>71053158</t>
  </si>
  <si>
    <t>45b63bd4</t>
  </si>
  <si>
    <t>a79adeee</t>
  </si>
  <si>
    <t>b0bde0b2</t>
  </si>
  <si>
    <t>Pedido 110511 nota de serviço</t>
  </si>
  <si>
    <t>78601bc7</t>
  </si>
  <si>
    <t>485000ac</t>
  </si>
  <si>
    <t>f22f2d0e</t>
  </si>
  <si>
    <t>Pedido 110928 nota de serviço</t>
  </si>
  <si>
    <t>43245128</t>
  </si>
  <si>
    <t>c981bcf2</t>
  </si>
  <si>
    <t>1cae1336c-A</t>
  </si>
  <si>
    <t>1cae1336c</t>
  </si>
  <si>
    <t>19e4d8541-A</t>
  </si>
  <si>
    <t>19e4d8541</t>
  </si>
  <si>
    <t>12291-A</t>
  </si>
  <si>
    <t>12292-A</t>
  </si>
  <si>
    <t>12293-A</t>
  </si>
  <si>
    <t>117197623-A</t>
  </si>
  <si>
    <t>16e63fe6e-A</t>
  </si>
  <si>
    <t>16e63fe6e</t>
  </si>
  <si>
    <t>Bebedouro</t>
  </si>
  <si>
    <t>196892a78-A</t>
  </si>
  <si>
    <t>196892a78</t>
  </si>
  <si>
    <t>1ec2ebf99-A</t>
  </si>
  <si>
    <t>1ec2ebf99</t>
  </si>
  <si>
    <t>Pedido 104336 nota de serviço</t>
  </si>
  <si>
    <t>12303-A</t>
  </si>
  <si>
    <t>Pedido 107554 nota de serviço</t>
  </si>
  <si>
    <t>1e95613ae-A</t>
  </si>
  <si>
    <t>1e95613ae</t>
  </si>
  <si>
    <t>60bf6a05</t>
  </si>
  <si>
    <t>68c1dcf3</t>
  </si>
  <si>
    <t>Pedido 108376 nota de serviço</t>
  </si>
  <si>
    <t>3ca38286</t>
  </si>
  <si>
    <t>5f57659c</t>
  </si>
  <si>
    <t>a630c522</t>
  </si>
  <si>
    <t>Pedido 112381 nota de serviço</t>
  </si>
  <si>
    <t>6b3e6344</t>
  </si>
  <si>
    <t>76422f1a</t>
  </si>
  <si>
    <t>Superviza Supermercado (26/02/2026) - Bananas</t>
  </si>
  <si>
    <t>Notas_Images/2b31b870.Foto.235348.jpg</t>
  </si>
  <si>
    <t>ebeee7c8</t>
  </si>
  <si>
    <t>28059eff</t>
  </si>
  <si>
    <t>ed65834c</t>
  </si>
  <si>
    <t>aa3828d0</t>
  </si>
  <si>
    <t>ANAS QUIMSUL INDÚSTRIA E COMERCIO DE PRODUTOS DE LIMPEZA LTDA (25/02/2026) - Produtos de limpeza</t>
  </si>
  <si>
    <t>0e0723b3</t>
  </si>
  <si>
    <t>Notas_Images/61497b39.Foto.235443.jpg</t>
  </si>
  <si>
    <t>6c1c223a</t>
  </si>
  <si>
    <t>bb148e92</t>
  </si>
  <si>
    <t>COMERCIO DE EMBALAGENS CACADOR LTDA EPP (25/02/2026) - Saco delivery</t>
  </si>
  <si>
    <t>Notas_Images/94424d0c.Foto.235604.jpg</t>
  </si>
  <si>
    <t>04c8deae</t>
  </si>
  <si>
    <t>Saco delivery</t>
  </si>
  <si>
    <t>3ae4b686</t>
  </si>
  <si>
    <t>724074b9</t>
  </si>
  <si>
    <t>a108f857</t>
  </si>
  <si>
    <t>d049949a</t>
  </si>
  <si>
    <t>77bad337</t>
  </si>
  <si>
    <t>fa220fc8</t>
  </si>
  <si>
    <t>6d45ffc5</t>
  </si>
  <si>
    <t>Ferraz dedetização e sanitizacao (26/02/2026) - Dedetização</t>
  </si>
  <si>
    <t>Notas_Images/1c727d11.Foto.182258.jpg</t>
  </si>
  <si>
    <t>fc6057f7</t>
  </si>
  <si>
    <t>60d23e35</t>
  </si>
  <si>
    <t>16367609</t>
  </si>
  <si>
    <t>Banderloff (27/02/2026) - Frutas</t>
  </si>
  <si>
    <t>Notas_Images/27fa0895.Foto.182604.jpg</t>
  </si>
  <si>
    <t>35302a78</t>
  </si>
  <si>
    <t>Passarela Center via atacadista (27/02/2026) - Inseticida e produtos para banheiro</t>
  </si>
  <si>
    <t>ca86e8a7</t>
  </si>
  <si>
    <t>Notas_Images/31c45335.Foto.002734.jpg</t>
  </si>
  <si>
    <t>Inseticida e produtos para banheiro</t>
  </si>
  <si>
    <t>eaab5772</t>
  </si>
  <si>
    <t>65c84665</t>
  </si>
  <si>
    <t>Superviza Supermercado (27/02/2026) - Café funcionários</t>
  </si>
  <si>
    <t>Notas_Images/4d2bc7ed.Foto.002915.jpg</t>
  </si>
  <si>
    <t>31281344</t>
  </si>
  <si>
    <t>17e44a8e</t>
  </si>
  <si>
    <t>6c435457</t>
  </si>
  <si>
    <t>46b50892</t>
  </si>
  <si>
    <t>Amadelli (24/02/2026) - P115278</t>
  </si>
  <si>
    <t>Notas_Images/27e7beb5.Foto.000150.jpg</t>
  </si>
  <si>
    <t>2972a013</t>
  </si>
  <si>
    <t>P115278</t>
  </si>
  <si>
    <t>Notas_Images/27e7beb5.Foto 1.000150.jpg</t>
  </si>
  <si>
    <t>d0f27930</t>
  </si>
  <si>
    <t>12314-A</t>
  </si>
  <si>
    <t>Amadelli (24/02/2026) - P113805 - chocolates</t>
  </si>
  <si>
    <t>Notas_Images/96133e2d.Foto.000542.jpg</t>
  </si>
  <si>
    <t>12294-A</t>
  </si>
  <si>
    <t>P113805 - chocolates</t>
  </si>
  <si>
    <t>12295-A</t>
  </si>
  <si>
    <t>Distribuidora de bebidas Caçador LTDA (26/02/2026) - Bebidas</t>
  </si>
  <si>
    <t>Notas_Images/dd07f8e4.Foto.211500.jpg</t>
  </si>
  <si>
    <t>14f81c288-A</t>
  </si>
  <si>
    <t>14f81c288</t>
  </si>
  <si>
    <t>1b89d0768-A</t>
  </si>
  <si>
    <t>Juliano Frigotto (28/02/2026) - Morangos</t>
  </si>
  <si>
    <t>1b89d0768</t>
  </si>
  <si>
    <t>Notas_Images/2b814789.Foto.212000.jpg</t>
  </si>
  <si>
    <t>12308-A</t>
  </si>
  <si>
    <t>12309-A</t>
  </si>
  <si>
    <t>Prestige (02/03/2026) - Embalagem delivery</t>
  </si>
  <si>
    <t>Notas_Images/ad959e09.Foto.212137.jpg</t>
  </si>
  <si>
    <t>Embalagem delivery</t>
  </si>
  <si>
    <t>12310-A</t>
  </si>
  <si>
    <t>12311-A</t>
  </si>
  <si>
    <t>12312-A</t>
  </si>
  <si>
    <t>Banderloff (02/03/2026) - Frutas</t>
  </si>
  <si>
    <t>Notas_Images/3efbc06a.Foto.212348.jpg</t>
  </si>
  <si>
    <t>865a013a</t>
  </si>
  <si>
    <t>Farmácia sagrado coração (01/03/2026) - Farmácia</t>
  </si>
  <si>
    <t>Notas_Images/17ab4f3e.Foto.212508.jpg</t>
  </si>
  <si>
    <t>Farmácia</t>
  </si>
  <si>
    <t>12313-A</t>
  </si>
  <si>
    <t>Superviza Supermercado (01/03/2026) - Manga</t>
  </si>
  <si>
    <t>Notas_Images/3d636fef.Foto.212602.jpg</t>
  </si>
  <si>
    <t>cfff7fef</t>
  </si>
  <si>
    <t>9a1205f2</t>
  </si>
  <si>
    <t>Monitoramento Patrimonial (20/02/2026) - Monitoramento</t>
  </si>
  <si>
    <t>ab9828b2</t>
  </si>
  <si>
    <t>Notas_Images/287fa313.Foto.214031.jpg</t>
  </si>
  <si>
    <t>Juliano Frigotto (02/03/2026) - Morangos</t>
  </si>
  <si>
    <t>Notas_Images/e78ee2cc.Foto.215934.jpg</t>
  </si>
  <si>
    <t>1b517746d-A</t>
  </si>
  <si>
    <t>1b517746d</t>
  </si>
  <si>
    <t>120a1a2b0-A</t>
  </si>
  <si>
    <t>Mesa para levar sorvetes</t>
  </si>
  <si>
    <t>120a1a2b0</t>
  </si>
  <si>
    <t>105c1dc01-A</t>
  </si>
  <si>
    <t>105c1dc01</t>
  </si>
  <si>
    <t>R$4650 Parcela 12/48</t>
  </si>
  <si>
    <t>11a6e778f-A</t>
  </si>
  <si>
    <t>11a6e778f</t>
  </si>
  <si>
    <t>19b96200c-A</t>
  </si>
  <si>
    <t>19b96200c</t>
  </si>
  <si>
    <t>a9930f8f</t>
  </si>
  <si>
    <t>b010d0d9</t>
  </si>
  <si>
    <t>a67ffcef</t>
  </si>
  <si>
    <t>625fd8db</t>
  </si>
  <si>
    <t>b1a3abc3</t>
  </si>
  <si>
    <t>0c4084df</t>
  </si>
  <si>
    <t>4fdeda24</t>
  </si>
  <si>
    <t>0f8b89c9</t>
  </si>
  <si>
    <t>252e2c14</t>
  </si>
  <si>
    <t>9b3418dd</t>
  </si>
  <si>
    <t>e183fc28</t>
  </si>
  <si>
    <t>Amadelli (27/02/2026) - P114653 - Seca Páscoa</t>
  </si>
  <si>
    <t>f042477c</t>
  </si>
  <si>
    <t>Notas_Images/8c94afaa.Foto.215858.jpg</t>
  </si>
  <si>
    <t>P114653 - Seca Páscoa</t>
  </si>
  <si>
    <t>082447ef</t>
  </si>
  <si>
    <t>Embrast (04/03/2026) - Insumos</t>
  </si>
  <si>
    <t>Notas_Images/d795813b.Foto.220522.jpg</t>
  </si>
  <si>
    <t>Insumos</t>
  </si>
  <si>
    <t>Notas_Images/d795813b.Foto 1.220522.jpg</t>
  </si>
  <si>
    <t>a2e4184f</t>
  </si>
  <si>
    <t>Distribuidora de bebidas Caçador LTDA (05/03/2026) - Bebidas</t>
  </si>
  <si>
    <t>d94f2b7c</t>
  </si>
  <si>
    <t>Notas_Images/205cb3b1.Foto.221401.jpg</t>
  </si>
  <si>
    <t>Notas_Images/205cb3b1.Foto 1.221401.jpg</t>
  </si>
  <si>
    <t>11fc04b3</t>
  </si>
  <si>
    <t>Amadelli (03/03/2026) - P116062 - Gelada</t>
  </si>
  <si>
    <t>Notas_Images/366b8814.Foto.222154.jpg</t>
  </si>
  <si>
    <t>P116062 - Gelada</t>
  </si>
  <si>
    <t>96cdb846</t>
  </si>
  <si>
    <t>Notas_Images/366b8814.Foto 1.222154.jpg</t>
  </si>
  <si>
    <t>288593dc</t>
  </si>
  <si>
    <t>Lojas milium (05/03/2026) - Prato microondas e tigela</t>
  </si>
  <si>
    <t>96717242</t>
  </si>
  <si>
    <t>Notas_Images/a0dab91f.Foto.223614.jpg</t>
  </si>
  <si>
    <t>Prato microondas e tigela</t>
  </si>
  <si>
    <t>ab5dc429</t>
  </si>
  <si>
    <t>6adf7fe4</t>
  </si>
  <si>
    <t>481fa4b9</t>
  </si>
  <si>
    <t>Viviane Gaio (03/03/2026) - Plastificação</t>
  </si>
  <si>
    <t>Notas_Images/75d0e23f.Foto.223747.jpg</t>
  </si>
  <si>
    <t>Plastificação</t>
  </si>
  <si>
    <t>ea9d27e3</t>
  </si>
  <si>
    <t>Passarela Center via atacadista (04/03/2026) - Banana</t>
  </si>
  <si>
    <t>Notas_Images/3f8de02d.Foto.223859.jpg</t>
  </si>
  <si>
    <t>8cd473d5</t>
  </si>
  <si>
    <t>8a40a419</t>
  </si>
  <si>
    <t>Banderloff (07/03/2026) - Frutas</t>
  </si>
  <si>
    <t>Notas_Images/7109eeae.Foto.214442.jpg</t>
  </si>
  <si>
    <t>ae6604ff</t>
  </si>
  <si>
    <t>ANAS QUIMSUL INDÚSTRIA E COMERCIO DE PRODUTOS DE LIMPEZA LTDA (06/03/2026) - Produtos de limpeza</t>
  </si>
  <si>
    <t>Notas_Images/8c33dc90.Foto.214557.jpg</t>
  </si>
  <si>
    <t>fcd08228</t>
  </si>
  <si>
    <t>ed706a23</t>
  </si>
  <si>
    <t>Coopercampos (06/03/2026) - Café funcionários</t>
  </si>
  <si>
    <t>a2c5074c</t>
  </si>
  <si>
    <t>Notas_Images/53e2b16f.Foto.215108.jpg</t>
  </si>
  <si>
    <t>abe61755</t>
  </si>
  <si>
    <t>e7cce281</t>
  </si>
  <si>
    <t>Cdc comércio de utilidades (06/03/2026) - Pegador páscoa</t>
  </si>
  <si>
    <t>Notas_Images/fc1116cb.Foto.215228.jpg</t>
  </si>
  <si>
    <t>Pegador páscoa</t>
  </si>
  <si>
    <t>1ac2e01c</t>
  </si>
  <si>
    <t>099445a8</t>
  </si>
  <si>
    <t>Amanda Carolina Zucco Cruz LTDA (06/03/2026) - Organizador campanha</t>
  </si>
  <si>
    <t>Notas_Images/78068056.Foto.215936.jpg</t>
  </si>
  <si>
    <t>af38b59b</t>
  </si>
  <si>
    <t>Organizador campanha</t>
  </si>
  <si>
    <t>39bfa384</t>
  </si>
  <si>
    <t>Amadelli (05/03/2026) - P116066 - Seca</t>
  </si>
  <si>
    <t>Notas_Images/b2fd823d.Foto.211915.jpg</t>
  </si>
  <si>
    <t>P116066 - Seca</t>
  </si>
  <si>
    <t>e80e0e3a</t>
  </si>
  <si>
    <t>Superviza Supermercado (09/03/2026) - Banana</t>
  </si>
  <si>
    <t>Notas_Images/91a3266c.Foto.212121.jpg</t>
  </si>
  <si>
    <t>8958fd3d</t>
  </si>
  <si>
    <t>Prestige (09/03/2026) - Saco delivery plástico filme</t>
  </si>
  <si>
    <t>Notas_Images/2434299e.Foto.212226.jpg</t>
  </si>
  <si>
    <t>Saco delivery plástico filme</t>
  </si>
  <si>
    <t>8e3baf03</t>
  </si>
  <si>
    <t>dffe56ee</t>
  </si>
  <si>
    <t>fat ven março zerada</t>
  </si>
  <si>
    <t>966e98e2</t>
  </si>
  <si>
    <t>dd0e2fdf</t>
  </si>
  <si>
    <t>R$4521 Parcela 08/42</t>
  </si>
  <si>
    <t>12315-A</t>
  </si>
  <si>
    <t>12318-A</t>
  </si>
  <si>
    <t>12319-A</t>
  </si>
  <si>
    <t>Pedido 116062 nota de serviço</t>
  </si>
  <si>
    <t>1c211ddf</t>
  </si>
  <si>
    <t>9f3d4168</t>
  </si>
  <si>
    <t>9bae3dad</t>
  </si>
  <si>
    <t>79bc85ad</t>
  </si>
  <si>
    <t>1e69e313</t>
  </si>
  <si>
    <t>03d59904</t>
  </si>
  <si>
    <t>cd46e52b</t>
  </si>
  <si>
    <t>910d6524</t>
  </si>
  <si>
    <t>1c171a2b8-A</t>
  </si>
  <si>
    <t>1c171a2b8</t>
  </si>
  <si>
    <t>12330-A</t>
  </si>
  <si>
    <t>15f596d8d-A</t>
  </si>
  <si>
    <t>março zerado</t>
  </si>
  <si>
    <t>15f596d8d</t>
  </si>
  <si>
    <t>d170bcdb</t>
  </si>
  <si>
    <t>7655dce3</t>
  </si>
  <si>
    <t>60c32d77</t>
  </si>
  <si>
    <t>4f0106c2</t>
  </si>
  <si>
    <t>95f06ddf</t>
  </si>
  <si>
    <t>Morango 250 - Difal 28,12</t>
  </si>
  <si>
    <t>9c45af6b</t>
  </si>
  <si>
    <t>adf16b4c</t>
  </si>
  <si>
    <t>d1f0a825</t>
  </si>
  <si>
    <t>ad678c7e</t>
  </si>
  <si>
    <t>9c1e9497</t>
  </si>
  <si>
    <t>d99fb09b</t>
  </si>
  <si>
    <t>Nota do dia 19/02</t>
  </si>
  <si>
    <t>f4340eb4</t>
  </si>
  <si>
    <t>3a1b5754</t>
  </si>
  <si>
    <t>Tuicial Indústria Gráfica e Editora LTDA (06/03/2026) - P1231797 - Seca sacos de Delivery e potes</t>
  </si>
  <si>
    <t>c9168fa5</t>
  </si>
  <si>
    <t>Notas_Images/b777934e.Foto.214852.jpg</t>
  </si>
  <si>
    <t>P1231797 - Seca sacos de Delivery e potes</t>
  </si>
  <si>
    <t>15a3f3f7</t>
  </si>
  <si>
    <t>9cc7e249</t>
  </si>
  <si>
    <t>12a6a8b3</t>
  </si>
  <si>
    <t>Rescisão Patricia</t>
  </si>
  <si>
    <t>55bf1ee4</t>
  </si>
  <si>
    <t>Padaria santelmo (13/03/2026) - Café funcionários</t>
  </si>
  <si>
    <t>b4bf53d8</t>
  </si>
  <si>
    <t>Notas_Images/d496f517.Foto.230738.jpg</t>
  </si>
  <si>
    <t>9fc189d6</t>
  </si>
  <si>
    <t>1efbdfbe</t>
  </si>
  <si>
    <t>d9c6077c</t>
  </si>
  <si>
    <t>Superviza Supermercado (13/03/2026) - Café funcionários</t>
  </si>
  <si>
    <t>d3654589</t>
  </si>
  <si>
    <t>Notas_Images/ea05eb1f.Foto.230841.jpg</t>
  </si>
  <si>
    <t>91364335</t>
  </si>
  <si>
    <t>d35ae1ea</t>
  </si>
  <si>
    <t>e8fd8b95</t>
  </si>
  <si>
    <t>Alternativa Comunicação Visual (13/03/2026) - Adesivos</t>
  </si>
  <si>
    <t>Notas_Images/02c89800.Foto.231032.jpg</t>
  </si>
  <si>
    <t>14957c704-A</t>
  </si>
  <si>
    <t>14957c704</t>
  </si>
  <si>
    <t>18db35444-A</t>
  </si>
  <si>
    <t>18db35444</t>
  </si>
  <si>
    <t>Juliano Frigotto (13/03/2026) - Morangos</t>
  </si>
  <si>
    <t>Notas_Images/e67dd1ec.Foto.231252.jpg</t>
  </si>
  <si>
    <t>12338-A</t>
  </si>
  <si>
    <t>12339-A</t>
  </si>
  <si>
    <t>Juliano Frigotto (10/03/2026) - Morangos</t>
  </si>
  <si>
    <t>Notas_Images/ca36a09c.Foto.231607.jpg</t>
  </si>
  <si>
    <t>12340-A</t>
  </si>
  <si>
    <t>12341-A</t>
  </si>
  <si>
    <t>Banderloff (13/03/2026) - Frutas</t>
  </si>
  <si>
    <t>Notas_Images/5892e3ad.Foto.231900.jpg</t>
  </si>
  <si>
    <t>12347-A</t>
  </si>
  <si>
    <t>12348-A</t>
  </si>
  <si>
    <t>Distribuidora de bebidas Caçador LTDA (12/03/2026) - Bebidas</t>
  </si>
  <si>
    <t>1f9649c0f-A</t>
  </si>
  <si>
    <t>Notas_Images/96b74d44.Foto.232612.jpg</t>
  </si>
  <si>
    <t>1f9649c0f</t>
  </si>
  <si>
    <t>Notas_Images/96b74d44.Foto 1.232612.jpg</t>
  </si>
  <si>
    <t>3c6c0289</t>
  </si>
  <si>
    <t>4a76f3d1</t>
  </si>
  <si>
    <t>Z4 Supermercado (15/03/2026) - Frutas</t>
  </si>
  <si>
    <t>7e2aead3</t>
  </si>
  <si>
    <t>Notas_Images/b289bfaa.Foto.004550.jpg</t>
  </si>
  <si>
    <t>b41525a6</t>
  </si>
  <si>
    <t>84c16822</t>
  </si>
  <si>
    <t>Juliano Frigotto (16/03/2026) - Morangos</t>
  </si>
  <si>
    <t>Notas_Images/1be1aca1.Foto.214251.jpg</t>
  </si>
  <si>
    <t>a86afc9d</t>
  </si>
  <si>
    <t>Banderloff (16/03/2026) - Frutas</t>
  </si>
  <si>
    <t>057d6f4a</t>
  </si>
  <si>
    <t>ef23821c</t>
  </si>
  <si>
    <t>Notas_Images/74409579.Foto.214446.jpg</t>
  </si>
  <si>
    <t>11c6ec88</t>
  </si>
  <si>
    <t>6f01d7ef</t>
  </si>
  <si>
    <t>Pedido 113805 nota de serviço</t>
  </si>
  <si>
    <t>985fd4a4</t>
  </si>
  <si>
    <t>d4f588d4</t>
  </si>
  <si>
    <t>Pedido 115278 nota de serviço</t>
  </si>
  <si>
    <t>6fda69e5</t>
  </si>
  <si>
    <t>3c0d0cb1</t>
  </si>
  <si>
    <t>7a81e9d9</t>
  </si>
  <si>
    <t>Restante da cobertura do deck</t>
  </si>
  <si>
    <t>8388152c</t>
  </si>
  <si>
    <t>548d72a6</t>
  </si>
  <si>
    <t>b0daea09</t>
  </si>
  <si>
    <t>d3913317</t>
  </si>
  <si>
    <t>9f2b1313</t>
  </si>
  <si>
    <t>Pedido 116066 nota de serviço</t>
  </si>
  <si>
    <t>c7ce55fe</t>
  </si>
  <si>
    <t>e4b58b20</t>
  </si>
  <si>
    <t>Pedido 107573 nota de serviço</t>
  </si>
  <si>
    <t>946faefe</t>
  </si>
  <si>
    <t>7f6e1f02</t>
  </si>
  <si>
    <t>43c56e57</t>
  </si>
  <si>
    <t>dcfb1a66</t>
  </si>
  <si>
    <t>Pedido 108817 nota de serviço</t>
  </si>
  <si>
    <t>58b3862b</t>
  </si>
  <si>
    <t>7e8e13d4</t>
  </si>
  <si>
    <t>d506f0b8</t>
  </si>
  <si>
    <t>Embalagem</t>
  </si>
  <si>
    <t>4a3eca4b</t>
  </si>
  <si>
    <t>Tuicial Indústria Gráfica e Editora LTDA (16/03/2026) - P1251068 - Pote de papel</t>
  </si>
  <si>
    <t>a16f7c45</t>
  </si>
  <si>
    <t>Notas_Images/d332b793.Foto.215119.jpg</t>
  </si>
  <si>
    <t>P1251068 - Pote de papel</t>
  </si>
  <si>
    <t>cc0cfea0</t>
  </si>
  <si>
    <t>ea5f86d5</t>
  </si>
  <si>
    <t>00176b48</t>
  </si>
  <si>
    <t>fa8abee7</t>
  </si>
  <si>
    <t>Pedido 112386 nota de serviço</t>
  </si>
  <si>
    <t>15859790</t>
  </si>
  <si>
    <t>7c5c48c4</t>
  </si>
  <si>
    <t>Pedido 114653 nota de serviço</t>
  </si>
  <si>
    <t>62b6c52a</t>
  </si>
  <si>
    <t>e3991b8e</t>
  </si>
  <si>
    <t>cb757e5a</t>
  </si>
  <si>
    <t>6da3154b</t>
  </si>
  <si>
    <t>Pedido 107129 nota de serviço</t>
  </si>
  <si>
    <t>eb61380f</t>
  </si>
  <si>
    <t>0c8636e1</t>
  </si>
  <si>
    <t>8b033653</t>
  </si>
  <si>
    <t>Superviza Supermercado (20/03/2026) - Café funcionários</t>
  </si>
  <si>
    <t>52a0c5f7</t>
  </si>
  <si>
    <t>Notas_Images/fccf5f87.Foto.003743.jpg</t>
  </si>
  <si>
    <t>2d7b18c7</t>
  </si>
  <si>
    <t>aa24f54b</t>
  </si>
  <si>
    <t>ba0b2b34</t>
  </si>
  <si>
    <t>Juliano Frigotto (20/03/2026) - Morangos</t>
  </si>
  <si>
    <t>Notas_Images/0d701f3c.Foto.003832.jpg</t>
  </si>
  <si>
    <t>18cc3b08</t>
  </si>
  <si>
    <t>3e38f09c</t>
  </si>
  <si>
    <t>6e177b24</t>
  </si>
  <si>
    <t>Banderloff (20/03/2026) - Frutas</t>
  </si>
  <si>
    <t>Notas_Images/11a425bb.Foto.004040.jpg</t>
  </si>
  <si>
    <t>28e7fc6d</t>
  </si>
  <si>
    <t>05d022c9</t>
  </si>
  <si>
    <t>4b07eeb5</t>
  </si>
  <si>
    <t>Distribuidora de bebidas Caçador LTDA (19/03/2026) - Bebidas</t>
  </si>
  <si>
    <t>Notas_Images/fa848901.Foto.005027.jpg</t>
  </si>
  <si>
    <t>5dccdde3</t>
  </si>
  <si>
    <t>Notas_Images/fa848901.Foto 1.005027.jpg</t>
  </si>
  <si>
    <t>6029bd3c</t>
  </si>
  <si>
    <t>f7fc167e</t>
  </si>
  <si>
    <t>7a7e2799</t>
  </si>
  <si>
    <t>Amadelli (17/03/2026) - P118173</t>
  </si>
  <si>
    <t>26b0e444</t>
  </si>
  <si>
    <t>Notas_Images/e8fea2a0.Foto.005453.jpg</t>
  </si>
  <si>
    <t>b0594f19</t>
  </si>
  <si>
    <t>P118173</t>
  </si>
  <si>
    <t>Notas_Images/e8fea2a0.Foto 1.005453.jpg</t>
  </si>
  <si>
    <t>f9ed20e1</t>
  </si>
  <si>
    <t>a340abec</t>
  </si>
  <si>
    <t>ANAS QUIMSUL INDÚSTRIA E COMERCIO DE PRODUTOS DE LIMPEZA LTDA (19/03/2026) - Produtos de limpeza</t>
  </si>
  <si>
    <t>Notas_Images/ac26e09b.Foto.005850.jpg</t>
  </si>
  <si>
    <t>81863407</t>
  </si>
  <si>
    <t>0a210bc4</t>
  </si>
  <si>
    <t>Juliano Frigotto (23/03/2026) - Morangos</t>
  </si>
  <si>
    <t>Notas_Images/bb1bf431.Foto.005938.jpg</t>
  </si>
  <si>
    <t>bf709245</t>
  </si>
  <si>
    <t>5025dd3b</t>
  </si>
  <si>
    <t>45680b9d</t>
  </si>
  <si>
    <t>5aefec41</t>
  </si>
  <si>
    <t>Superviza Supermercado (22/03/2026) - Frutas</t>
  </si>
  <si>
    <t>Notas_Images/9e8dfa1c.Foto.010606.jpg</t>
  </si>
  <si>
    <t>13a0613c</t>
  </si>
  <si>
    <t>9af68133</t>
  </si>
  <si>
    <t>d06356bb</t>
  </si>
  <si>
    <t>310bd72b</t>
  </si>
  <si>
    <t>Bahniuk (22/03/2026) - Frutas</t>
  </si>
  <si>
    <t>Notas_Images/be615ab3.Foto.010709.jpg</t>
  </si>
  <si>
    <t>c6d453b5</t>
  </si>
  <si>
    <t>be5338a6</t>
  </si>
  <si>
    <t>30ccf691</t>
  </si>
  <si>
    <t>37478207</t>
  </si>
  <si>
    <t>2a05a2d2</t>
  </si>
  <si>
    <t>Freelancer que a Patrícia fez depois de sair</t>
  </si>
  <si>
    <t>328aab75</t>
  </si>
  <si>
    <t>3020001d</t>
  </si>
  <si>
    <t>61b81705</t>
  </si>
  <si>
    <t>abfd24b1</t>
  </si>
  <si>
    <t>R$4650 Parcela 13/48</t>
  </si>
  <si>
    <t>1da8fef5</t>
  </si>
  <si>
    <t>Materiais para instalar os sonoffs</t>
  </si>
  <si>
    <t>54d5cd28</t>
  </si>
  <si>
    <t>Superviza Supermercado (24/03/2026) - Abacaxi</t>
  </si>
  <si>
    <t>ace1da8d</t>
  </si>
  <si>
    <t>Notas_Images/df2dddf1.Foto.201838.jpg</t>
  </si>
  <si>
    <t>Abacaxi</t>
  </si>
  <si>
    <t>12343-A</t>
  </si>
  <si>
    <t>Amadelli (17/03/2026) - P118177 - Seca</t>
  </si>
  <si>
    <t>12344-A</t>
  </si>
  <si>
    <t>Notas_Images/179e6e97.Foto.202420.jpg</t>
  </si>
  <si>
    <t>P118177 - Seca</t>
  </si>
  <si>
    <t>Notas_Images/179e6e97.Foto 1.202420.jpg</t>
  </si>
  <si>
    <t>12345-A</t>
  </si>
  <si>
    <t>Pedido 118173 nota de serviço</t>
  </si>
  <si>
    <t>Juliano Frigotto (27/03/2026) - Morangos</t>
  </si>
  <si>
    <t>Notas_Images/397b434d.Foto.195305.jpg</t>
  </si>
  <si>
    <t>12346-A</t>
  </si>
  <si>
    <t>1cda28d1f-A</t>
  </si>
  <si>
    <t>Banderloff (27/03/2026) - Frutas</t>
  </si>
  <si>
    <t>1cda28d1f</t>
  </si>
  <si>
    <t>Notas_Images/549b49bd.Foto.195428.jpg</t>
  </si>
  <si>
    <t>190f60d83-A</t>
  </si>
  <si>
    <t>190f60d83</t>
  </si>
  <si>
    <t>12376-A</t>
  </si>
  <si>
    <t>Superviza Supermercado (26/03/2026) - Banana</t>
  </si>
  <si>
    <t>12377-A</t>
  </si>
  <si>
    <t>Notas_Images/914e48a4.Foto.195532.jpg</t>
  </si>
  <si>
    <t>12379-A</t>
  </si>
  <si>
    <t>12380-A</t>
  </si>
  <si>
    <t>Distribuidora de bebidas Caçador LTDA (26/03/2026) - Bebidas</t>
  </si>
  <si>
    <t>Notas_Images/2caf5c7a.Foto.201402.jpg</t>
  </si>
  <si>
    <t>12381-A</t>
  </si>
  <si>
    <t>Notas_Images/2caf5c7a.Foto 1.201402.jpg</t>
  </si>
  <si>
    <t>ba006b27</t>
  </si>
  <si>
    <t>9d3e5d5d</t>
  </si>
  <si>
    <t>c0aea1f2</t>
  </si>
  <si>
    <t>5753396a</t>
  </si>
  <si>
    <t>Patrimonial (27/03/2026) - Patrimonial</t>
  </si>
  <si>
    <t>Notas_Images/271e2b40.Foto.201639.jpg</t>
  </si>
  <si>
    <t>3c1a9763</t>
  </si>
  <si>
    <t>e653fab3</t>
  </si>
  <si>
    <t>Juliano Frigotto (30/03/2026) - Morangos</t>
  </si>
  <si>
    <t>Notas_Images/ada94483.Foto.230610.jpg</t>
  </si>
  <si>
    <t>Banderloff (30/03/2026) - Frutas</t>
  </si>
  <si>
    <t>Notas_Images/21b5beb2.Foto.230914.jpg</t>
  </si>
  <si>
    <t>Z4 Supermercado (28/03/2026) - Bananas</t>
  </si>
  <si>
    <t>Notas_Images/1b2bf1ad.Foto.231026.jpg</t>
  </si>
  <si>
    <t>Passarela Center via atacadista (27/03/2026) - Café funcionários</t>
  </si>
  <si>
    <t>Notas_Images/03b112dd.Foto.231227.jpg</t>
  </si>
  <si>
    <t>ANAS QUIMSUL INDÚSTRIA E COMERCIO DE PRODUTOS DE LIMPEZA LTDA (27/03/2026) - Produtos de limpeza</t>
  </si>
  <si>
    <t>Notas_Images/f6c42d93.Foto.231428.jpg</t>
  </si>
  <si>
    <t>Notas_Images/b84dbb87.Foto.231618.jpg</t>
  </si>
  <si>
    <t>Pedido 118177 nota de serviço</t>
  </si>
  <si>
    <t>Embrast (31/03/2026) - Insumos</t>
  </si>
  <si>
    <t>Notas_Images/4f6e17ba.Foto.222907.jpg</t>
  </si>
  <si>
    <t>Distribuidora de bebidas Caçador LTDA (01/04/2026) - Bebidas</t>
  </si>
  <si>
    <t>Notas_Images/b9dbd981.Foto.223429.jpg</t>
  </si>
  <si>
    <t>Notas_Images/b9dbd981.Foto 1.223429.jpg</t>
  </si>
  <si>
    <t>Viviane Gaio (02/04/2026) - Impressão</t>
  </si>
  <si>
    <t>Notas_Images/52043df5.Foto.163227.jpg</t>
  </si>
  <si>
    <t>Passarela Center via atacadista (02/04/2026) - Café funcionários</t>
  </si>
  <si>
    <t>Notas_Images/a56e895a.Foto.163342.jpg</t>
  </si>
  <si>
    <t>Juliano Frigotto (02/04/2026) - Morangos</t>
  </si>
  <si>
    <t>Notas_Images/f5f30cfe.Foto.163458.jpg</t>
  </si>
  <si>
    <t>Banderloff (02/04/2026) - Frutas</t>
  </si>
  <si>
    <t>Notas_Images/eb1a43cf.Foto.163846.jpg</t>
  </si>
  <si>
    <t>Amadelli (31/03/2026) - P121456 - Gelada</t>
  </si>
  <si>
    <t>Notas_Images/07c449db.Foto.164256.jpg</t>
  </si>
  <si>
    <t>P121456 - Gelada</t>
  </si>
  <si>
    <t>Notas_Images/07c449db.Foto 1.164256.jpg</t>
  </si>
  <si>
    <t>Notas_Images/07c449db.Foto 2.164256.jpg</t>
  </si>
  <si>
    <t>Amadelli (31/03/2026) - P118926</t>
  </si>
  <si>
    <t>Notas_Images/a72efb1e.Foto.164534.jpg</t>
  </si>
  <si>
    <t>P118926</t>
  </si>
  <si>
    <t>345ac4c6</t>
  </si>
  <si>
    <t>Cacau show (03/04/2026) - Voucher funcionários</t>
  </si>
  <si>
    <t>Notas_Images/17fac7a4.Foto.005310.jpg</t>
  </si>
  <si>
    <t>Voucher funcionários</t>
  </si>
  <si>
    <t>Banderloff (04/04/2026) - Bananas fruteira</t>
  </si>
  <si>
    <t>Notas_Images/cf6362c7.Foto.005433.jpg</t>
  </si>
  <si>
    <t>Bananas fruteira</t>
  </si>
  <si>
    <t>Julio Cesar Moriggi &amp; CIA LTDA (04/04/2026) - Café funcionários</t>
  </si>
  <si>
    <t>Notas_Images/8dae9ca9.Foto.005519.jpg</t>
  </si>
  <si>
    <t>Auto Coletivo Caçador (07/04/2026) - VT Renan</t>
  </si>
  <si>
    <t>Notas_Images/40905cc3.Foto.210539.jpg</t>
  </si>
  <si>
    <t>VT Renan</t>
  </si>
  <si>
    <t>venc abril zerado</t>
  </si>
  <si>
    <t>R$4521 Parcela 09/42</t>
  </si>
  <si>
    <t>Ramon Levar Sorvetes para União</t>
  </si>
  <si>
    <t>paletes para freezer</t>
  </si>
  <si>
    <t>fatura venc abril zerada</t>
  </si>
  <si>
    <t>Limpeza em 2 ar e 4 cortinas</t>
  </si>
  <si>
    <t>Tuicial Indústria Gráfica e Editora LTDA (01/04/2026) - P1298309 - Seca potes buffet</t>
  </si>
  <si>
    <t>Notas_Images/e9ed71fc.Foto.223849.jpg</t>
  </si>
  <si>
    <t>P1298309 - Seca potes buffet</t>
  </si>
  <si>
    <t>Juliano Frigotto (09/04/2026) - Morangos</t>
  </si>
  <si>
    <t>Notas_Images/f282ea74.Foto.224533.jpg</t>
  </si>
  <si>
    <t>Distribuidora de bebidas Caçador LTDA (09/04/2026) - Bebidas</t>
  </si>
  <si>
    <t>Notas_Images/3788c21b.Foto.224910.jpg</t>
  </si>
  <si>
    <t>Notas_Images/3788c21b.Foto 1.224910.jpg</t>
  </si>
  <si>
    <t>Tuicial Indústria Gráfica e Editora LTDA (01/04/2026) - P1272092 - Seca Copos delivery</t>
  </si>
  <si>
    <t>Notas_Images/51435bff.Foto.225255.jpg</t>
  </si>
  <si>
    <t>P1272092 - Seca Copos delivery</t>
  </si>
  <si>
    <t>Viviane Gaio (09/04/2026) - Impressão</t>
  </si>
  <si>
    <t>Notas_Images/09a08430.Foto.225946.jpg</t>
  </si>
  <si>
    <t>Superviza Supermercado (12/04/2026) - Leite</t>
  </si>
  <si>
    <t>Notas_Images/2d7f397f.Foto.214319.jpg</t>
  </si>
  <si>
    <t>Leite</t>
  </si>
  <si>
    <t>Superviza Supermercado (10/04/2026) - Café funcionários</t>
  </si>
  <si>
    <t>Notas_Images/457a8745.Foto.214413.jpg</t>
  </si>
  <si>
    <t>53a4bcc0</t>
  </si>
  <si>
    <t>Loja do 7,99 (10/04/2026) - Canecas</t>
  </si>
  <si>
    <t>Notas_Images/edc09261.Foto.214527.jpg</t>
  </si>
  <si>
    <t>Canecas</t>
  </si>
  <si>
    <t>Banderloff (10/04/2026) - Frutas</t>
  </si>
  <si>
    <t>Notas_Images/2a45fa31.Foto.214700.jpg</t>
  </si>
  <si>
    <t>Pedido 118926 nota de serviço</t>
  </si>
  <si>
    <t>Pedido 121456 nota de serviço</t>
  </si>
  <si>
    <t>Pedido 121501 nota de serviço</t>
  </si>
  <si>
    <t>Funcionários</t>
  </si>
  <si>
    <t>Cadastro</t>
  </si>
  <si>
    <t>Pedido 121501</t>
  </si>
  <si>
    <t>Tuicial Indústria Gráfica e Editora LTDA (13/04/2026) - Caixa de tampa que faltou</t>
  </si>
  <si>
    <t>Notas_Images/0ccec56f.Foto.214327.jpg</t>
  </si>
  <si>
    <t>Caixa de tampa que faltou</t>
  </si>
  <si>
    <t>Amadelli (07/04/2026) - P121700 - seca</t>
  </si>
  <si>
    <t>Notas_Images/11e0a6f4.Foto.214758.jpg</t>
  </si>
  <si>
    <t>P121700 - seca</t>
  </si>
  <si>
    <t>Amadelli (31/03/2026) - P121501 - seca</t>
  </si>
  <si>
    <t>Notas_Images/c1c109d4.Foto.214947.jpg</t>
  </si>
  <si>
    <t>P121501 - seca</t>
  </si>
  <si>
    <t>Notas_Images/c1c109d4.Foto 1.214947.jpg</t>
  </si>
  <si>
    <t>Amadelli (14/04/2026) - P124697 - Gelada</t>
  </si>
  <si>
    <t>Notas_Images/b54cf1cd.Foto.212735.jpg</t>
  </si>
  <si>
    <t>P124697 - Gelada</t>
  </si>
  <si>
    <t>Notas_Images/b54cf1cd.Foto 1.212734.jpg</t>
  </si>
  <si>
    <t>Juliano Frigotto (16/04/2026) - Morangos</t>
  </si>
  <si>
    <t>Notas_Images/bc66eff7.Foto.213403.jpg</t>
  </si>
  <si>
    <t>Distribuidora de bebidas Caçador LTDA (16/04/2026) - Bebidas</t>
  </si>
  <si>
    <t>Notas_Images/3f6b990f.Foto.213849.jpg</t>
  </si>
  <si>
    <t>Superviza Supermercado (16/04/2026) - Café funcionários</t>
  </si>
  <si>
    <t>Notas_Images/cfe28376.Foto.214038.jpg</t>
  </si>
  <si>
    <t>ANAS QUIMSUL INDÚSTRIA E COMERCIO DE PRODUTOS DE LIMPEZA LTDA (16/04/2026) - Produtos de limpeza</t>
  </si>
  <si>
    <t>Notas_Images/e88026e8.Foto.214203.jpg</t>
  </si>
  <si>
    <t>Banderloff (17/04/2026) - Frutas</t>
  </si>
  <si>
    <t>Notas_Images/7e8bbdcc.Foto.225344.jpg</t>
  </si>
  <si>
    <t>Banderloff (20/04/2026) - Frutas</t>
  </si>
  <si>
    <t>Notas_Images/83b5a85e.Foto.223222.jpg</t>
  </si>
  <si>
    <t>Juliano Frigotto (20/04/2026) - Morangos</t>
  </si>
  <si>
    <t>Notas_Images/48a492bf.Foto.223406.jpg</t>
  </si>
  <si>
    <t>Z4 Supermercado (18/04/2026) - Bananas</t>
  </si>
  <si>
    <t>Notas_Images/dcd3a2b1.Foto.223558.jpg</t>
  </si>
  <si>
    <t>Amadelli (14/04/2026) - P124699 - Seco</t>
  </si>
  <si>
    <t>Notas_Images/77969f29.Foto.224019.jpg</t>
  </si>
  <si>
    <t>P124699 - Seco</t>
  </si>
  <si>
    <t>Consumo</t>
  </si>
  <si>
    <t>Pedido 121700 nota de serviço</t>
  </si>
  <si>
    <t>Favor enviar o comprovante de pagamento para o proprietário</t>
  </si>
  <si>
    <t>Favor enviar o comprovante para o proprietário</t>
  </si>
  <si>
    <t>R$4650 Parcela 14/48</t>
  </si>
  <si>
    <t>Patrimonial (14/04/2026) - Monitoramento</t>
  </si>
  <si>
    <t>Notas_Images/0bf9f702.Foto.153104.jpg</t>
  </si>
  <si>
    <t>Z4 Supermercado (22/04/2026) - Mangas</t>
  </si>
  <si>
    <t>Bruna</t>
  </si>
  <si>
    <t>Notas_Images/23aeaba6.Foto.153229.jpg</t>
  </si>
  <si>
    <t>Mangas</t>
  </si>
  <si>
    <t>Consumo Líquido</t>
  </si>
  <si>
    <t>Banderloff (24/04/2026) - Frutas</t>
  </si>
  <si>
    <t>Notas_Images/9ce672fa.Foto.185321.jpg</t>
  </si>
  <si>
    <t>Alternativa Comunicação Visual (23/04/2026) - Danglers</t>
  </si>
  <si>
    <t>Notas_Images/c9073b3a.Foto.190014.jpg</t>
  </si>
  <si>
    <t>Danglers</t>
  </si>
  <si>
    <t>4792b798</t>
  </si>
  <si>
    <t>Nova Era Comunicação visual (23/04/2026) - Cartaz</t>
  </si>
  <si>
    <t>Notas_Images/f1be3ce5.Foto.190321.jpg</t>
  </si>
  <si>
    <t>Passarela Center via atacadista (24/04/2026) - Café funcionários</t>
  </si>
  <si>
    <t>Notas_Images/824b67f4.Foto.235350.jpg</t>
  </si>
  <si>
    <t>Superviza Supermercado (24/04/2026) - Pão café funcionários</t>
  </si>
  <si>
    <t>Notas_Images/b3a9e4e6.Foto.235443.jpg</t>
  </si>
  <si>
    <t>Pão café funcionários</t>
  </si>
  <si>
    <t>Josi Ribas</t>
  </si>
  <si>
    <t>Empréstimo</t>
  </si>
  <si>
    <t>COMERCIO DE EMBALAGENS CACADOR LTDA EPP (24/04/2026) - Saco para colherinha delivery</t>
  </si>
  <si>
    <t>Notas_Images/424f6499.Foto.235715.jpg</t>
  </si>
  <si>
    <t>Saco para colherinha delivery</t>
  </si>
  <si>
    <t>Distribuidora de bebidas Caçador LTDA (23/04/2026) - Bebidas</t>
  </si>
  <si>
    <t>Notas_Images/a2b1cc24.Foto.000404.jpg</t>
  </si>
  <si>
    <t>Notas_Images/a2b1cc24.Foto 1.000404.jpg</t>
  </si>
  <si>
    <t>Juliano Frigotto (23/04/2026) - Morangos</t>
  </si>
  <si>
    <t>Notas_Images/7af8946c.Foto.000555.jpg</t>
  </si>
  <si>
    <t>Rose</t>
  </si>
  <si>
    <t>6f5c9bef</t>
  </si>
  <si>
    <t>Parcela</t>
  </si>
  <si>
    <t>Praia</t>
  </si>
  <si>
    <t>13/25</t>
  </si>
  <si>
    <t>Juliano Frigotto (27/04/2026) - Morangos</t>
  </si>
  <si>
    <t>Notas_Images/294ae1e7.Foto.000926.jpg</t>
  </si>
  <si>
    <t>Construsim materiais de construção LTDA (27/04/2026) - Mecanismo caixa de descarga</t>
  </si>
  <si>
    <t>Notas_Images/fbe845bd.Foto.001028.jpg</t>
  </si>
  <si>
    <t>Mecanismo caixa de descarga</t>
  </si>
  <si>
    <t>Pedido 124697 nota de serviço</t>
  </si>
  <si>
    <t>Pedido 124699 nota de serviço</t>
  </si>
  <si>
    <t>Sal ADM Aline 4351 + retroativo março 268</t>
  </si>
  <si>
    <t>Caixas</t>
  </si>
  <si>
    <t>Custos</t>
  </si>
  <si>
    <t>Aplicativos</t>
  </si>
  <si>
    <t>Bebedouro 3/10 Total R$709</t>
  </si>
  <si>
    <t>Viviane Gaio (30/04/2026) - Impressão</t>
  </si>
  <si>
    <t>Notas_Images/24ad862b.Foto.215843.jpg</t>
  </si>
  <si>
    <t>Superviza Supermercado (30/04/2026) - Café funcionários</t>
  </si>
  <si>
    <t>Notas_Images/bf2fd627.Foto.220031.jpg</t>
  </si>
  <si>
    <t>Caixa Sangria</t>
  </si>
  <si>
    <t>Juliano Frigotto (30/04/2026) - Morangos</t>
  </si>
  <si>
    <t>Notas_Images/356ab69b.Foto.220333.jpg</t>
  </si>
  <si>
    <t>Banderloff (30/04/2026) - Frutas</t>
  </si>
  <si>
    <t>Notas_Images/8734cbdf.Foto.220523.jpg</t>
  </si>
  <si>
    <t>Compra Moedas</t>
  </si>
  <si>
    <t>Cortesias</t>
  </si>
  <si>
    <t>Amadelli (28/04/2026) - P125338 - Seco</t>
  </si>
  <si>
    <t>Incentivos</t>
  </si>
  <si>
    <t>Notas_Images/c328d133.Foto.221722.jpg</t>
  </si>
  <si>
    <t>P125338 - Seco</t>
  </si>
  <si>
    <t>Amadelli (28/04/2026) - P128174 - gelado</t>
  </si>
  <si>
    <t>Notas_Images/7098fc63.Foto.222110.jpg</t>
  </si>
  <si>
    <t>P128174 - gelado</t>
  </si>
  <si>
    <t>Notas_Images/7098fc63.Foto 1.222110.jpg</t>
  </si>
  <si>
    <t>Amadelli (28/04/2026) - P126446 - Gelado</t>
  </si>
  <si>
    <t>Notas_Images/2ed80810.Foto.222334.jpg</t>
  </si>
  <si>
    <t>P126446 - Gelado</t>
  </si>
  <si>
    <t>Férias 11 a 30/05 Josiane (20 dias)</t>
  </si>
  <si>
    <t>Início</t>
  </si>
  <si>
    <t>Ifood</t>
  </si>
  <si>
    <t>Banderloff (02/05/2026) - Frutas</t>
  </si>
  <si>
    <t>Notas_Images/dcd47afb.Foto.230134.jpg</t>
  </si>
  <si>
    <t>Amadelli (28/04/2026) - P128652 - seco</t>
  </si>
  <si>
    <t>Notas_Images/24b94dc5.Foto.234514.jpg</t>
  </si>
  <si>
    <t>P128652 - seco</t>
  </si>
  <si>
    <t>Amadelli (28/04/2026) - P128175 - Seco</t>
  </si>
  <si>
    <t>Notas_Images/ae84bef3.Foto.233937.jpg</t>
  </si>
  <si>
    <t>P128175 - Seco</t>
  </si>
  <si>
    <t>Notas_Images/ae84bef3.Foto 1.233937.jpg</t>
  </si>
  <si>
    <t>Entradas</t>
  </si>
  <si>
    <t>venc maio zerado</t>
  </si>
  <si>
    <t>Aiqfome</t>
  </si>
  <si>
    <t>R$4521 Parcela 10/42</t>
  </si>
  <si>
    <t>Pedido 126446 nota de serviço</t>
  </si>
  <si>
    <t>Saídas</t>
  </si>
  <si>
    <t>Pedido 125338 nota de serviço</t>
  </si>
  <si>
    <t>Pedido 128174 nota de serviço</t>
  </si>
  <si>
    <t>Outros Pagamentos</t>
  </si>
  <si>
    <t>Delivery Much</t>
  </si>
  <si>
    <t>Pedido 128175 nota de serviço</t>
  </si>
  <si>
    <t>Pedido 128652 nota de serviço</t>
  </si>
  <si>
    <t>Movientações das Sangrias</t>
  </si>
  <si>
    <t>Aiboo</t>
  </si>
  <si>
    <t>Almoço</t>
  </si>
  <si>
    <t>Caixa Atendimento</t>
  </si>
  <si>
    <t>Fios e Luminárias para Deck</t>
  </si>
  <si>
    <t>Inadimplência</t>
  </si>
  <si>
    <t>Pedidos 10</t>
  </si>
  <si>
    <t>Ida e Volta Caçador</t>
  </si>
  <si>
    <t>Pedido 128175</t>
  </si>
  <si>
    <t>Depositada</t>
  </si>
  <si>
    <t>adiant</t>
  </si>
  <si>
    <t>Movimentações de Caixa</t>
  </si>
  <si>
    <t>Local da Sangria</t>
  </si>
  <si>
    <t>Pedido 128905 nota de serviço</t>
  </si>
  <si>
    <t>Amadelli (20/05/2026) - P132200 - Gelado</t>
  </si>
  <si>
    <t>Notas de Compras_Images/cfcf36f0.Foto.175734.jpg</t>
  </si>
  <si>
    <t>P132200 - Gelado</t>
  </si>
  <si>
    <t>R$ 700,00</t>
  </si>
  <si>
    <t>sangria bruna 23/09</t>
  </si>
  <si>
    <t>Amadelli (12/05/2026) - P130974 - Gelado</t>
  </si>
  <si>
    <t>Notas de Compras_Images/95651559.Foto.175856.jpg</t>
  </si>
  <si>
    <t>P130974 - Gelado</t>
  </si>
  <si>
    <t>Sangria</t>
  </si>
  <si>
    <t>Distribuidora de bebidas Caçador LTDA (10/02/2026) - kuat guaraná</t>
  </si>
  <si>
    <t>Notas de Compras_Images/4227ff11.Foto.165748.jpg</t>
  </si>
  <si>
    <t>kuat guaraná</t>
  </si>
  <si>
    <t>Juliano Frigotto (22/05/2026) - Morangos</t>
  </si>
  <si>
    <t>Notas de Compras_Images/d932696c.Foto.213013.jpg</t>
  </si>
  <si>
    <t>Banderloff (25/05/2026) - Frutas</t>
  </si>
  <si>
    <t>Notas de Compras_Images/4e555f39.Foto.213335.jpg</t>
  </si>
  <si>
    <t>Alternativa Comunicação Visual (22/05/2026) - Adesivos</t>
  </si>
  <si>
    <t>Notas de Compras_Images/e486da0e.Foto.213542.jpg</t>
  </si>
  <si>
    <t>2191008</t>
  </si>
  <si>
    <t>86272740</t>
  </si>
  <si>
    <t>Superviza Supermercado (22/05/2026) - Café funcionários</t>
  </si>
  <si>
    <t>Notas de Compras_Images/02853adf.Foto.213708.jpg</t>
  </si>
  <si>
    <t>2191012</t>
  </si>
  <si>
    <t>ANAS QUIMSUL INDÚSTRIA E COMERCIO DE PRODUTOS DE LIMPEZA LTDA (06/05/2026) - Produtos de limpeza</t>
  </si>
  <si>
    <t>Notas de Compras_Images/0194084c.Foto.183503.jpg</t>
  </si>
  <si>
    <t>2168229</t>
  </si>
  <si>
    <t>Superviza Supermercado (04/05/2026) - Café dia do trabalhador</t>
  </si>
  <si>
    <t>Notas de Compras_Images/4138f51d.Foto.183621.jpg</t>
  </si>
  <si>
    <t>Café dia do trabalhador</t>
  </si>
  <si>
    <t>2164975</t>
  </si>
  <si>
    <t>Padaria santelmo (04/05/2026) - Café dia do trabalhador</t>
  </si>
  <si>
    <t>Notas de Compras_Images/a0322226.Foto.184501.jpg</t>
  </si>
  <si>
    <t>2164978</t>
  </si>
  <si>
    <t>Nordio supermercado (06/05/2026) - Banana</t>
  </si>
  <si>
    <t>Notas de Compras_Images/54d7f273.Foto.184631.jpg</t>
  </si>
  <si>
    <t>2168001</t>
  </si>
  <si>
    <t>Passarela Center via atacadista (07/05/2026) - Café funcionários</t>
  </si>
  <si>
    <t>Notas de Compras_Images/d21a4798.Foto.184804.jpg</t>
  </si>
  <si>
    <t>2170383</t>
  </si>
  <si>
    <t>Construsim materiais de construção LTDA (07/05/2026) - Válvula para pia</t>
  </si>
  <si>
    <t>Notas de Compras_Images/f7a057eb.Foto.184943.jpg</t>
  </si>
  <si>
    <t>Válvula para pia</t>
  </si>
  <si>
    <t>2170385</t>
  </si>
  <si>
    <t>R$ 233,10</t>
  </si>
  <si>
    <t>Construsim materiais de construção LTDA (07/05/2026) - Trava trocador</t>
  </si>
  <si>
    <t>Notas de Compras_Images/b2bd3f65.Foto.185056.jpg</t>
  </si>
  <si>
    <t>Trava trocador</t>
  </si>
  <si>
    <t>2170388</t>
  </si>
  <si>
    <t>Compra de Mercadorias</t>
  </si>
  <si>
    <t>Alternativa Comunicação Visual (08/05/2026) - Adesivo horário</t>
  </si>
  <si>
    <t>Notas de Compras_Images/b22c3b4f.Foto.185229.jpg</t>
  </si>
  <si>
    <t>Adesivo horário</t>
  </si>
  <si>
    <t>2171886</t>
  </si>
  <si>
    <t>Superviza Supermercado (08/05/2026) - Café funcionários</t>
  </si>
  <si>
    <t>Notas de Compras_Images/083e1f9c.Foto.185349.jpg</t>
  </si>
  <si>
    <t>2171887</t>
  </si>
  <si>
    <t>Julio Cesar Moriggi &amp; CIA LTDA (09/05/2026) - Banana</t>
  </si>
  <si>
    <t>Notas de Compras_Images/497cfa67.Foto.185454.jpg</t>
  </si>
  <si>
    <t>2173390</t>
  </si>
  <si>
    <t>Lojas milium (15/05/2026) - Abraçadeira brinquedo</t>
  </si>
  <si>
    <t>Notas de Compras_Images/ab598fee.Foto.185612.jpg</t>
  </si>
  <si>
    <t>Abraçadeira brinquedo</t>
  </si>
  <si>
    <t>R$ 19,80</t>
  </si>
  <si>
    <t>2181327</t>
  </si>
  <si>
    <t>Superviza Supermercado (15/05/2026) - Café funcionários</t>
  </si>
  <si>
    <t>Notas de Compras_Images/8f3a44e0.Foto.185713.jpg</t>
  </si>
  <si>
    <t>2181328</t>
  </si>
  <si>
    <t>7884e1a8</t>
  </si>
  <si>
    <t>Vogel (18/05/2026) - Jarra</t>
  </si>
  <si>
    <t>Notas de Compras_Images/6f33f84f.Foto.185830.jpg</t>
  </si>
  <si>
    <t>Jarra</t>
  </si>
  <si>
    <t>2186010</t>
  </si>
  <si>
    <t>Superviza Supermercado (19/05/2026) - Manga</t>
  </si>
  <si>
    <t>Notas de Compras_Images/473c2214.Foto.185932.jpg</t>
  </si>
  <si>
    <t>2187416</t>
  </si>
  <si>
    <t>Superviza Supermercado (20/05/2026) - Banan</t>
  </si>
  <si>
    <t>Notas de Compras_Images/d0343871.Foto.190040.jpg</t>
  </si>
  <si>
    <t>Banan</t>
  </si>
  <si>
    <t>2188585</t>
  </si>
  <si>
    <t>consumo bruna 26/09</t>
  </si>
  <si>
    <t>ANAS QUIMSUL INDÚSTRIA E COMERCIO DE PRODUTOS DE LIMPEZA LTDA (26/05/2026) - Produtos de limpeza</t>
  </si>
  <si>
    <t>Notas de Compras_Images/ec663f58.Foto.192054.jpg</t>
  </si>
  <si>
    <t>2196802</t>
  </si>
  <si>
    <t>Superviza Supermercado (26/05/2026) - Banana</t>
  </si>
  <si>
    <t>Notas de Compras_Images/d859a82b.Foto.192309.jpg</t>
  </si>
  <si>
    <t>2196804</t>
  </si>
  <si>
    <t>Monitoramento Patrimonial (20/05/2026) - Monitoramento de sistema de alarme</t>
  </si>
  <si>
    <t>Notas de Compras_Images/91f3b14d.Foto.182249.jpg</t>
  </si>
  <si>
    <t>Monitoramento de sistema de alarme</t>
  </si>
  <si>
    <t>R$ 278,00</t>
  </si>
  <si>
    <t>pagamento bs bebidas</t>
  </si>
  <si>
    <t>Alternativa Comunicação Visual (26/05/2026) - Adesivo preços potes</t>
  </si>
  <si>
    <t>Notas de Compras_Images/3a189196.Foto.183025.jpg</t>
  </si>
  <si>
    <t>Adesivo preços potes</t>
  </si>
  <si>
    <t>2196836</t>
  </si>
  <si>
    <t>fa0b586c</t>
  </si>
  <si>
    <t>Nicopel Embalagens LTDA (22/05/2026) - Potes copa e embalagens waffle</t>
  </si>
  <si>
    <t>Notas de Compras_Images/8f4b7ba3.Foto.183431.jpg</t>
  </si>
  <si>
    <t>Potes copa e embalagens waffle</t>
  </si>
  <si>
    <t>26065919</t>
  </si>
  <si>
    <t>Auto Coletivo Caçador (28/05/2026) - VT Renan</t>
  </si>
  <si>
    <t>Notas de Compras_Images/b6c25583.Foto.170615.jpg</t>
  </si>
  <si>
    <t>Embrast (27/05/2026) - Insumos</t>
  </si>
  <si>
    <t>Notas de Compras_Images/c0a7c684.Foto.221231.jpg</t>
  </si>
  <si>
    <t>Distribuidora de bebidas Caçador LTDA (28/05/2026) - Bebidas</t>
  </si>
  <si>
    <t>Notas de Compras_Images/23bd94d1.Foto.221725.jpg</t>
  </si>
  <si>
    <t>Notas de Compras_Images/23bd94d1.Foto 1.221725.jpg</t>
  </si>
  <si>
    <t>Amadelli (12/05/2026) - P131799 - Seco</t>
  </si>
  <si>
    <t>Notas de Compras_Images/aef900f2.Foto.163200.jpg</t>
  </si>
  <si>
    <t>P131799 - Seco</t>
  </si>
  <si>
    <t>Notas de Compras_Images/aef900f2.Foto 1.163200.jpg</t>
  </si>
  <si>
    <t>Juliano Frigotto (28/05/2026) - Morangos</t>
  </si>
  <si>
    <t>Notas de Compras_Images/5451a094.Foto.232938.jpg</t>
  </si>
  <si>
    <t>pagamento motoboy luis (4 entregas)</t>
  </si>
  <si>
    <t>Banderloff (29/05/2026) - Frutas</t>
  </si>
  <si>
    <t>Notas de Compras_Images/5a26fe80.Foto.233145.jpg</t>
  </si>
  <si>
    <t>Superviza Supermercado (29/05/2026) - Café funcionários</t>
  </si>
  <si>
    <t>Notas de Compras_Images/51bcadca.Foto.233715.jpg</t>
  </si>
  <si>
    <t>2201381</t>
  </si>
  <si>
    <t>Juliano Frigotto (01/06/2026) - Morangos</t>
  </si>
  <si>
    <t>Notas de Compras_Images/b3a5078e.Foto.231118.jpg</t>
  </si>
  <si>
    <t>pagamento motoboy clovison (6 entregas)</t>
  </si>
  <si>
    <t>Superviza Supermercado (02/06/2026) - Frutas</t>
  </si>
  <si>
    <t>Notas de Compras_Images/855a0141.Foto.224740.jpg</t>
  </si>
  <si>
    <t>2208316</t>
  </si>
  <si>
    <t>Tuicial Indústria Gráfica e Editora LTDA (12/05/2026) - P1361336 - Embalagens</t>
  </si>
  <si>
    <t>Notas de Compras_Images/400dfc4d.Foto.225015.jpg</t>
  </si>
  <si>
    <t>P1361336 - Embalagens</t>
  </si>
  <si>
    <t>Distribuidora de bebidas Caçador LTDA (03/06/2026) - Bebidas</t>
  </si>
  <si>
    <t>Notas de Compras_Images/e182d80b.Foto.225559.jpg</t>
  </si>
  <si>
    <t>Notas de Compras_Images/e182d80b.Foto 1.225559.jpg</t>
  </si>
  <si>
    <t>pagamento free renan</t>
  </si>
  <si>
    <t>Banderloff (03/06/2026) - Frutas</t>
  </si>
  <si>
    <t>Notas de Compras_Images/1adfc4fe.Foto.230722.jpg</t>
  </si>
  <si>
    <t>Alternativa Comunicação Visual (04/06/2026) - Adesivos copa</t>
  </si>
  <si>
    <t>Notas de Compras_Images/b9928428.Foto.231034.jpg</t>
  </si>
  <si>
    <t>Adesivos copa</t>
  </si>
  <si>
    <t>2211377</t>
  </si>
  <si>
    <t>sangria bruna 26/09</t>
  </si>
  <si>
    <t>Superviza Supermercado (05/06/2026) - Café funcionários</t>
  </si>
  <si>
    <t>Notas de Compras_Images/02480ea8.Foto.161117.jpg</t>
  </si>
  <si>
    <t>2213306</t>
  </si>
  <si>
    <t>Juliano Frigotto (05/06/2026) - Morangos</t>
  </si>
  <si>
    <t>Notas de Compras_Images/5276bfa0.Foto.161209.jpg</t>
  </si>
  <si>
    <t>Banderloff (05/06/2026) - Frutas</t>
  </si>
  <si>
    <t>Notas de Compras_Images/d4b60631.Foto.161502.jpg</t>
  </si>
  <si>
    <t>Juliano Frigotto (08/06/2026) - Morangos</t>
  </si>
  <si>
    <t>Notas de Compras_Images/0b815412.Foto.192844.jpg</t>
  </si>
  <si>
    <t>sangria bruna dia 22/09</t>
  </si>
  <si>
    <t>Banderloff (08/06/2026) - Frutas</t>
  </si>
  <si>
    <t>Notas de Compras_Images/dd67a9b2.Foto.193334.jpg</t>
  </si>
  <si>
    <t>Pedido 130974 nota de serviço</t>
  </si>
  <si>
    <t>R$ 100,44</t>
  </si>
  <si>
    <t>Pedido 131791 nota de serviço</t>
  </si>
  <si>
    <t>consumo eduarda27/09</t>
  </si>
  <si>
    <t>Pedido 131799 nota de serviço</t>
  </si>
  <si>
    <t>Emp 2 Parcela 15/48</t>
  </si>
  <si>
    <t>troco</t>
  </si>
  <si>
    <t>caixa troco</t>
  </si>
  <si>
    <t>Pedido 122830 nota de serviço</t>
  </si>
  <si>
    <t>Pedido 122018 nota de serviço</t>
  </si>
  <si>
    <t>R$ 77,00</t>
  </si>
  <si>
    <t>pagamento motoboy clovis 7 entregas</t>
  </si>
  <si>
    <t>Sal ADM Aline 3727+624</t>
  </si>
  <si>
    <t>R$ 13,05</t>
  </si>
  <si>
    <t>consumo bruna</t>
  </si>
  <si>
    <t>Pedido 131799</t>
  </si>
  <si>
    <t>R$ 26,90</t>
  </si>
  <si>
    <t>Pedido 132200 nota de serviço</t>
  </si>
  <si>
    <t>R$ 8,50</t>
  </si>
  <si>
    <t>venc junho zerado</t>
  </si>
  <si>
    <t>R$ 46,00</t>
  </si>
  <si>
    <t>pagamento motoboy luiz 3 entregas</t>
  </si>
  <si>
    <t>frete mercadorias</t>
  </si>
  <si>
    <t>Troca de Mercadorias</t>
  </si>
  <si>
    <t>R$ 67,44</t>
  </si>
  <si>
    <t>pagamento free crislaine</t>
  </si>
  <si>
    <t>Emp 1 Parcela 11/42</t>
  </si>
  <si>
    <t>ad</t>
  </si>
  <si>
    <t>R$ 118,50</t>
  </si>
  <si>
    <t>pagamento free maria</t>
  </si>
  <si>
    <t>R$ 170,00</t>
  </si>
  <si>
    <t>Caixa Troco</t>
  </si>
  <si>
    <t>ANAS QUIMSUL INDÚSTRIA E COMERCIO DE PRODUTOS DE LIMPEZA LTDA (11/06/2026) - Produtos de limpeza</t>
  </si>
  <si>
    <t>Notas de Compras_Images/8a214e42.Foto.232432.jpg</t>
  </si>
  <si>
    <t>2223114</t>
  </si>
  <si>
    <t>Distribuidora de bebidas Caçador LTDA (11/06/2026) - Bebidas</t>
  </si>
  <si>
    <t>Notas de Compras_Images/1ba7dd19.Foto.232615.jpg</t>
  </si>
  <si>
    <t>Notas de Compras_Images/1ba7dd19.Foto 1.232615.jpg</t>
  </si>
  <si>
    <t>Viviane Gaio (13/06/2026) - Impressão fechamento 18:30</t>
  </si>
  <si>
    <t>Notas de Compras_Images/1c3e2af9.Foto.153823.jpg</t>
  </si>
  <si>
    <t>Impressão fechamento 18:30</t>
  </si>
  <si>
    <t>2225155</t>
  </si>
  <si>
    <t>Superviza Supermercado (13/06/2026) - Café funcionários</t>
  </si>
  <si>
    <t>Notas de Compras_Images/823f134a.Foto.153923.jpg</t>
  </si>
  <si>
    <t>2225156</t>
  </si>
  <si>
    <t>pagamento free lancer</t>
  </si>
  <si>
    <t>Banderloff (12/06/2026) - Frutas</t>
  </si>
  <si>
    <t>Notas de Compras_Images/1da9a36a.Foto.154014.jpg</t>
  </si>
  <si>
    <t>Juliano Frigotto (12/06/2026) - Morangos</t>
  </si>
  <si>
    <t>Notas de Compras_Images/f6741773.Foto.154052.jpg</t>
  </si>
  <si>
    <t>Amadelli (08/06/2026) - P136044</t>
  </si>
  <si>
    <t>Notas de Compras_Images/ad7e9e36.Foto.184257.jpg</t>
  </si>
  <si>
    <t>P136044</t>
  </si>
  <si>
    <t>R$ 1.800,00</t>
  </si>
  <si>
    <t>sangria renan paty 27/09</t>
  </si>
  <si>
    <t>R$ 161,00</t>
  </si>
  <si>
    <t>pagamento motoboy luis (19 entregas)</t>
  </si>
  <si>
    <t>Pedido 136044 nota de serviço</t>
  </si>
  <si>
    <t>1a140409</t>
  </si>
  <si>
    <t>VO 1150,86 Credito de energia</t>
  </si>
  <si>
    <t>Credito de energia</t>
  </si>
  <si>
    <t>R$ 118,00</t>
  </si>
  <si>
    <t>Juliano Frigotto (15/06/2026) - Morangos</t>
  </si>
  <si>
    <t>Notas de Compras_Images/5146f09c.Foto.132726.jpg</t>
  </si>
  <si>
    <t>Amadelli (10/06/2026) - P136043 - Gelado</t>
  </si>
  <si>
    <t>Notas de Compras_Images/e2fbfcc5.Foto.133524.jpg</t>
  </si>
  <si>
    <t>P136043 - Gelado</t>
  </si>
  <si>
    <t>Notas de Compras_Images/e2fbfcc5.Foto 1.133524.jpg</t>
  </si>
  <si>
    <t>Banderloff (19/06/2026) - Frutas</t>
  </si>
  <si>
    <t>Notas de Compras_Images/b391e34f.Foto.181232.jpg</t>
  </si>
  <si>
    <t>pagamento free cris</t>
  </si>
  <si>
    <t>Superviza Supermercado (19/06/2026) - Café funcionários</t>
  </si>
  <si>
    <t>Notas de Compras_Images/313db0ff.Foto.201507.jpg</t>
  </si>
  <si>
    <t>2233812</t>
  </si>
  <si>
    <t>Notas de Compras_Images/7709c49e.Foto.201613.jpg</t>
  </si>
  <si>
    <t>2233810</t>
  </si>
  <si>
    <t>Banderloff (22/06/2026) - Frutas</t>
  </si>
  <si>
    <t>pagamento free dylan</t>
  </si>
  <si>
    <t>Notas de Compras_Images/9f498336.Foto.220954.jpg</t>
  </si>
  <si>
    <t>Morangos frigotto (22/06/2026) - Morangos</t>
  </si>
  <si>
    <t>Notas de Compras_Images/0e5dcfc2.Foto.221130.jpg</t>
  </si>
  <si>
    <t>Emp 2 Parcela 16/48</t>
  </si>
  <si>
    <t>R$ 1.070,00</t>
  </si>
  <si>
    <t>sangria bruna 28/09</t>
  </si>
  <si>
    <t>Pedido 136043 nota de serviço</t>
  </si>
  <si>
    <t>Transferencia Total de R$1497,56, pg salario Jairo 657+ boleto Gold 816,42, total de R$1473,42, saldo de R$24,14 sera transf pelo conta Aline Itau</t>
  </si>
  <si>
    <t>R$ 70,00</t>
  </si>
  <si>
    <t>pagamento motoboy clovison (6entregas)</t>
  </si>
  <si>
    <t>Saldo 1497,56 - 1473,42</t>
  </si>
  <si>
    <t>Viviane Gaio (24/06/2026) - Impressão fechamento</t>
  </si>
  <si>
    <t>Notas de Compras_Images/08d5c9ce.Foto.161924.jpg</t>
  </si>
  <si>
    <t>Impressão fechamento</t>
  </si>
  <si>
    <t>2240320</t>
  </si>
  <si>
    <t>Banderloff (26/06/2026) - Frutas</t>
  </si>
  <si>
    <t>Notas de Compras_Images/3514c03b.Foto.232113.jpg</t>
  </si>
  <si>
    <t>pagamento lui(1 entrega)</t>
  </si>
  <si>
    <t>Amadelli (16/06/2026) - P133814 - Gelado Waffles</t>
  </si>
  <si>
    <t>Notas de Compras_Images/0a755462.Foto.232509.jpg</t>
  </si>
  <si>
    <t>P133814 - Gelado Waffles</t>
  </si>
  <si>
    <t>Distribuidora de bebidas Caçador LTDA (25/06/2026) - Bebidas</t>
  </si>
  <si>
    <t>Notas de Compras_Images/4a5bd776.Foto.232934.jpg</t>
  </si>
  <si>
    <t>Notas de Compras_Images/4a5bd776.Foto 1.232934.jpg</t>
  </si>
  <si>
    <t>Prestige (26/06/2026) - Desmoldante</t>
  </si>
  <si>
    <t>Notas de Compras_Images/e2ba672a.Foto.233641.jpg</t>
  </si>
  <si>
    <t>Desmoldante</t>
  </si>
  <si>
    <t>R$ 770,00</t>
  </si>
  <si>
    <t>sangria bruna 29/09</t>
  </si>
  <si>
    <t>2242963</t>
  </si>
  <si>
    <t>Zat (26/06/2026) - Café funcionários</t>
  </si>
  <si>
    <t>Notas de Compras_Images/80da12e3.Foto.233752.jpg</t>
  </si>
  <si>
    <t>2242964</t>
  </si>
  <si>
    <t>pagamento mtoboy clovison (¨6 entregas)</t>
  </si>
  <si>
    <t>Rescisão</t>
  </si>
  <si>
    <t>pagamento mtooboy clovison (1 entregas)</t>
  </si>
  <si>
    <t>Caita (29/06/2026) - Bananas</t>
  </si>
  <si>
    <t>Notas de Compras_Images/f6f4b9f2.Foto.233922.jpg</t>
  </si>
  <si>
    <t>2247896</t>
  </si>
  <si>
    <t>117aa1ae</t>
  </si>
  <si>
    <t>Criative (29/06/2026) - Impressão</t>
  </si>
  <si>
    <t>pagamento motoboy</t>
  </si>
  <si>
    <t>Notas de Compras_Images/8bae48d3.Foto.234024.jpg</t>
  </si>
  <si>
    <t>2247897</t>
  </si>
  <si>
    <t>Multa rescisão</t>
  </si>
  <si>
    <t>Adiantamentos feitos pela Conta Corrente</t>
  </si>
  <si>
    <t>sangria bruna 30/09</t>
  </si>
  <si>
    <t>ANAS QUIMSUL INDÚSTRIA E COMERCIO DE PRODUTOS DE LIMPEZA LTDA (01/07/2026) - Produtos de limpeza</t>
  </si>
  <si>
    <t>Notas de Compras_Images/9643931c.Foto.222104.jpg</t>
  </si>
  <si>
    <t>2250557</t>
  </si>
  <si>
    <t>Morangos frigotto (01/07/2026) - Morangos</t>
  </si>
  <si>
    <t>Notas de Compras_Images/87626c9e.Foto.222201.jpg</t>
  </si>
  <si>
    <t>R$ 71,00</t>
  </si>
  <si>
    <t>consumo bruna01/10</t>
  </si>
  <si>
    <t>Amadelli (23/06/2026) - P137519 - Seco</t>
  </si>
  <si>
    <t>Notas de Compras_Images/8cfe178d.Foto.222047.jpg</t>
  </si>
  <si>
    <t>P137519 - Seco</t>
  </si>
  <si>
    <t>Código Func</t>
  </si>
  <si>
    <t xml:space="preserve">pagamento uber </t>
  </si>
  <si>
    <t>Amadelli (23/06/2026) - P133574 - Seco</t>
  </si>
  <si>
    <t>Notas de Compras_Images/cb6cd1e3.Foto.222155.jpg</t>
  </si>
  <si>
    <t>P133574 - Seco</t>
  </si>
  <si>
    <t>Universo Materiais de Construção LTDA (02/07/2026) - Adaptador</t>
  </si>
  <si>
    <t>Notas de Compras_Images/7257e06a.Foto.222402.jpg</t>
  </si>
  <si>
    <t>Adaptador</t>
  </si>
  <si>
    <t>2252008</t>
  </si>
  <si>
    <t>Distribuidora de bebidas Caçador LTDA (02/07/2026) - Bebidas</t>
  </si>
  <si>
    <t>Notas de Compras_Images/dd9eb020.Foto.222539.jpg</t>
  </si>
  <si>
    <t>Notas de Compras_Images/dd9eb020.Foto 1.222539.jpg</t>
  </si>
  <si>
    <t>Pedido 133814 nota de serviço</t>
  </si>
  <si>
    <t>Amadelli (01/07/2026) - P137857 - Gelado</t>
  </si>
  <si>
    <t>Notas de Compras_Images/deb71488.Foto.231048.jpg</t>
  </si>
  <si>
    <t>P137857 - Gelado</t>
  </si>
  <si>
    <t>Notas de Compras_Images/deb71488.Foto 1.231048.jpg</t>
  </si>
  <si>
    <t>Zat (03/07/2026) - Café funcionários</t>
  </si>
  <si>
    <t>Notas de Compras_Images/95174567.Foto.231157.jpg</t>
  </si>
  <si>
    <t>pagamento motoboy clovison (2 entregas)</t>
  </si>
  <si>
    <t>2253391</t>
  </si>
  <si>
    <t>Banderloff (03/07/2026) - Frutas</t>
  </si>
  <si>
    <t>Notas de Compras_Images/485000ac.Foto.231306.jpg</t>
  </si>
  <si>
    <t>Alternativa Comunicação Visual (02/07/2026) - Adesivos</t>
  </si>
  <si>
    <t>Notas de Compras_Images/bc594d8a.Foto.231454.jpg</t>
  </si>
  <si>
    <t>2253652</t>
  </si>
  <si>
    <t>pagamento motoboy yasmi(1 entrega)</t>
  </si>
  <si>
    <t>Pedido 137519 nota de serviço</t>
  </si>
  <si>
    <t>sangria bruna 01/10</t>
  </si>
  <si>
    <t>Pedido 138021</t>
  </si>
  <si>
    <t>consumo paty02/10</t>
  </si>
  <si>
    <t>Pedido 138021 nota de serviço</t>
  </si>
  <si>
    <t>Pedido 137519 VO 1880,51 desconto 115,28</t>
  </si>
  <si>
    <t>Pedido 133574</t>
  </si>
  <si>
    <t>julho zerada</t>
  </si>
  <si>
    <t>Pedido 133574 nota de serviço</t>
  </si>
  <si>
    <t>pagamento motoboy luis (2 entregas)</t>
  </si>
  <si>
    <t>Nordio supermercado (08/07/2026) - Bananas</t>
  </si>
  <si>
    <t>Notas de Compras_Images/aa3828d0.Foto.154812.jpg</t>
  </si>
  <si>
    <t>2260963</t>
  </si>
  <si>
    <t>284e865b</t>
  </si>
  <si>
    <t>Nelson Tomasi (07/07/2026) - Isopor</t>
  </si>
  <si>
    <t>Notas de Compras_Images/68c1dcf3.Foto.154931.jpg</t>
  </si>
  <si>
    <t>Isopor</t>
  </si>
  <si>
    <t>2259765</t>
  </si>
  <si>
    <t>Superviza Supermercado (07/07/2026) - Suco</t>
  </si>
  <si>
    <t>Notas de Compras_Images/a630c522.Foto.155019.jpg</t>
  </si>
  <si>
    <t>2259767</t>
  </si>
  <si>
    <t>4978daf0</t>
  </si>
  <si>
    <t>Loja 7 (07/07/2026) - Panos</t>
  </si>
  <si>
    <t>Notas de Compras_Images/76422f1a.Foto.155152.jpg</t>
  </si>
  <si>
    <t>Panos</t>
  </si>
  <si>
    <t>2259768</t>
  </si>
  <si>
    <t>Morangos frigotto (07/07/2026) - Morangos</t>
  </si>
  <si>
    <t>Notas de Compras_Images/28059eff.Foto.155314.jpg</t>
  </si>
  <si>
    <t>Amadelli (29/06/2026) - P138021 - Seco</t>
  </si>
  <si>
    <t>Notas de Compras_Images/bb148e92.Foto.155959.jpg</t>
  </si>
  <si>
    <t>P138021 - Seco</t>
  </si>
  <si>
    <t>Superviza Supermercado (10/07/2026) - Café funcionários</t>
  </si>
  <si>
    <t>Notas de Compras_Images/724074b9.Foto.160114.jpg</t>
  </si>
  <si>
    <t>consumo bruna 02/10</t>
  </si>
  <si>
    <t>2264633</t>
  </si>
  <si>
    <t>Prioridade 10 (10/07/2026) - Pano casquinha</t>
  </si>
  <si>
    <t>Notas de Compras_Images/60d23e35.Foto.160346.jpg</t>
  </si>
  <si>
    <t>Pano casquinha</t>
  </si>
  <si>
    <t>2264634</t>
  </si>
  <si>
    <t>Morangos frigotto (10/07/2026) - Morangoa</t>
  </si>
  <si>
    <t>Notas de Compras_Images/65c84665.Foto.160435.jpg</t>
  </si>
  <si>
    <t>Morangoa</t>
  </si>
  <si>
    <t>Banderloff (10/07/2026) - Frutas</t>
  </si>
  <si>
    <t>Notas de Compras_Images/17e44a8e.Foto.160702.jpg</t>
  </si>
  <si>
    <t>Aluguel de energia</t>
  </si>
  <si>
    <t>Sonia Uniformes (06/05/2026) - Uniformes</t>
  </si>
  <si>
    <t>Notas de Compras_Images/ab9828b2.Foto.195809.jpg</t>
  </si>
  <si>
    <t>Prestige (14/07/2026) - Desmoldante</t>
  </si>
  <si>
    <t>Notas de Compras_Images/6f0570ab.Foto.233323.jpg</t>
  </si>
  <si>
    <t>sangria bruna 02/10</t>
  </si>
  <si>
    <t>2271538</t>
  </si>
  <si>
    <t>venc julho zerado</t>
  </si>
  <si>
    <t>Emp 1 Parcela 12/42</t>
  </si>
  <si>
    <t>Pedido 137857</t>
  </si>
  <si>
    <t>Pedido 137857 nota de serviço</t>
  </si>
  <si>
    <t>R$ 0,01</t>
  </si>
  <si>
    <t>consumo bruna pago pix 3,00</t>
  </si>
  <si>
    <t>R$ 73,99</t>
  </si>
  <si>
    <t>venc 19/12/25</t>
  </si>
  <si>
    <t>adian</t>
  </si>
  <si>
    <t>Distribuidora de bebidas Caçador LTDA (16/07/2026) - Bebidas</t>
  </si>
  <si>
    <t>Notas de Compras_Images/625fd8db.Foto.234618.jpg</t>
  </si>
  <si>
    <t>Notas de Compras_Images/625fd8db.Foto 1.234618.jpg</t>
  </si>
  <si>
    <t>Morangos frigotto (15/07/2026) - Morangos</t>
  </si>
  <si>
    <t>pagamento borrachinha</t>
  </si>
  <si>
    <t>Notas de Compras_Images/b010d0d9.Foto.235028.jpg</t>
  </si>
  <si>
    <t>Banderloff (17/07/2026) - Frutas</t>
  </si>
  <si>
    <t>Notas de Compras_Images/6adf7fe4.Foto.233639.jpg</t>
  </si>
  <si>
    <t>0e1739d2</t>
  </si>
  <si>
    <t>Econômico supermercado (17/07/2026) - Café funcionários</t>
  </si>
  <si>
    <t>Notas de Compras_Images/fe65e75b.Foto.233822.jpg</t>
  </si>
  <si>
    <t>2276596</t>
  </si>
  <si>
    <t>ANAS QUIMSUL INDÚSTRIA E COMERCIO DE PRODUTOS DE LIMPEZA LTDA (17/07/2026) - Produtos de limpeza</t>
  </si>
  <si>
    <t>Notas de Compras_Images/f32d72ca.Foto.234249.jpg</t>
  </si>
  <si>
    <t>2276591</t>
  </si>
  <si>
    <t>Amadelli (14/07/2026) - P139776 - Gelado</t>
  </si>
  <si>
    <t>Notas de Compras_Images/288593dc.Foto.234623.jpg</t>
  </si>
  <si>
    <t>P139776 - Gelado</t>
  </si>
  <si>
    <t>Notas de Compras_Images/288593dc.Foto 1.234623.jpg</t>
  </si>
  <si>
    <t>Morangos frigotto (20/07/2026) - Morangos</t>
  </si>
  <si>
    <t>Notas de Compras_Images/79bc85ad.Foto.224326.jpg</t>
  </si>
  <si>
    <t>Banderloff (20/07/2026) - Frutas</t>
  </si>
  <si>
    <t>Notas de Compras_Images/03d59904.Foto.224540.jpg</t>
  </si>
  <si>
    <t>R$ 41,80</t>
  </si>
  <si>
    <t>consumo duda 03/10</t>
  </si>
  <si>
    <t>Z4 Supermercado (19/07/2026) - Bananas</t>
  </si>
  <si>
    <t>Notas de Compras_Images/9f3d4168.Foto.224805.jpg</t>
  </si>
  <si>
    <t>2281773</t>
  </si>
  <si>
    <t>Emp 2 Parcela 17/48</t>
  </si>
  <si>
    <t>0b71c80a</t>
  </si>
  <si>
    <t>Frete referente a pedido de gelados, por fora</t>
  </si>
  <si>
    <t>pagamento motoboy clovison (8 entregas)</t>
  </si>
  <si>
    <t>Prestige (22/07/2026) - Saco de lixo</t>
  </si>
  <si>
    <t>Notas de Compras_Images/ce971e83.Foto.231235.jpg</t>
  </si>
  <si>
    <t>2286980</t>
  </si>
  <si>
    <t>Amadelli (16/07/2026) - P139785 - Seco</t>
  </si>
  <si>
    <t>Notas de Compras_Images/7655dce3.Foto.231827.jpg</t>
  </si>
  <si>
    <t>P139785 - Seco</t>
  </si>
  <si>
    <t>Notas de Compras_Images/7655dce3.Foto 1.231827.jpg</t>
  </si>
  <si>
    <t>Morangos frigotto (24/07/2026) - Morangos</t>
  </si>
  <si>
    <t>Notas de Compras_Images/adf16b4c.Foto.233609.jpg</t>
  </si>
  <si>
    <t>Banderloff (24/07/2026) - Frutas</t>
  </si>
  <si>
    <t>Notas de Compras_Images/ad678c7e.Foto.233829.jpg</t>
  </si>
  <si>
    <t>pagamento motoboy luis (1 entrega)</t>
  </si>
  <si>
    <t>Econômico supermercado (24/07/2026) - Café funcionários</t>
  </si>
  <si>
    <t>Notas de Compras_Images/555e06b4.Foto.234129.jpg</t>
  </si>
  <si>
    <t>2290352</t>
  </si>
  <si>
    <t>88d23c2d</t>
  </si>
  <si>
    <t>Lojão Astral (24/07/2026) - Jarra e utensílios</t>
  </si>
  <si>
    <t>Notas de Compras_Images/9013cda4.Foto.234233.jpg</t>
  </si>
  <si>
    <t>Jarra e utensílios</t>
  </si>
  <si>
    <t>2290351</t>
  </si>
  <si>
    <t>sangria bruna 03/10</t>
  </si>
  <si>
    <t>Embrast (22/07/2026) - Insumos</t>
  </si>
  <si>
    <t>Notas de Compras_Images/4a76f3d1.Foto.184314.jpg</t>
  </si>
  <si>
    <t>Distribuidora de bebidas Caçador LTDA (23/07/2026) - Bebidas</t>
  </si>
  <si>
    <t>Notas de Compras_Images/ef23821c.Foto.184637.jpg</t>
  </si>
  <si>
    <t>Notas de Compras_Images/ef23821c.Foto 1.184637.jpg</t>
  </si>
  <si>
    <t>R$ 140,00</t>
  </si>
  <si>
    <t>pagamento motoboy clovison (13 entregas)</t>
  </si>
  <si>
    <t>Pedido 139785 nota  de serviço</t>
  </si>
  <si>
    <t>Pedido 139776 nota de serviço</t>
  </si>
  <si>
    <t>R$ 107,00</t>
  </si>
  <si>
    <t>pagamento motoboy luis (9 entregas)</t>
  </si>
  <si>
    <t>Saldo de um total de R$4351 Sal ADM Aline 3727+624</t>
  </si>
  <si>
    <t>pagamento free dyan</t>
  </si>
  <si>
    <t>R$ 117,00</t>
  </si>
  <si>
    <t>pagamento free isa</t>
  </si>
  <si>
    <t>Distribuidora de bebidas Caçador LTDA (30/07/2026) - Bebidas</t>
  </si>
  <si>
    <t>Notas de Compras_Images/fa8abee7.Foto.230351.jpg</t>
  </si>
  <si>
    <t>Notas de Compras_Images/fa8abee7.Foto 1.230351.jpg</t>
  </si>
  <si>
    <t>ANAS QUIMSUL INDÚSTRIA E COMERCIO DE PRODUTOS DE LIMPEZA LTDA (28/07/2026) - Produtos de limpeza</t>
  </si>
  <si>
    <t>Notas de Compras_Images/dcfb1a66.Foto.230828.jpg</t>
  </si>
  <si>
    <t>2298133</t>
  </si>
  <si>
    <t>Morangos frigotto (29/07/2026) - Morangos</t>
  </si>
  <si>
    <t>Notas de Compras_Images/ea5f86d5.Foto.230958.jpg</t>
  </si>
  <si>
    <t>consumo paty 04/10</t>
  </si>
  <si>
    <t>Banderloff (27/07/2026) - Frutas</t>
  </si>
  <si>
    <t>Notas de Compras_Images/c7ce55fe.Foto.231134.jpg</t>
  </si>
  <si>
    <t>dbeafb84</t>
  </si>
  <si>
    <t>Janete morangos (31/07/2026) - Morangos</t>
  </si>
  <si>
    <t>Notas de Compras_Images/29336ec3.Foto.231610.jpg</t>
  </si>
  <si>
    <t>2303508</t>
  </si>
  <si>
    <t>Janete morangos (27/07/2026) - Morangos</t>
  </si>
  <si>
    <t>Notas de Compras_Images/aa24f54b.Foto.231816.jpg</t>
  </si>
  <si>
    <t>2296639</t>
  </si>
  <si>
    <t>R$ 155,00</t>
  </si>
  <si>
    <t>Prestige (31/07/2026) - Gelatina beijo</t>
  </si>
  <si>
    <t>consumo bruna 04/10</t>
  </si>
  <si>
    <t>Notas de Compras_Images/00d869fe.Foto.232003.jpg</t>
  </si>
  <si>
    <t>Gelatina beijo</t>
  </si>
  <si>
    <t>2302705</t>
  </si>
  <si>
    <t>Banderloff (03/08/2026) - Frutas</t>
  </si>
  <si>
    <t>Notas de Compras_Images/abfd24b1.Foto.144407.jpg</t>
  </si>
  <si>
    <t>Banderloff (31/07/2026) - Frutas</t>
  </si>
  <si>
    <t>Notas de Compras_Images/b0594f19.Foto.145017.jpg</t>
  </si>
  <si>
    <t>R$ 1.550,00</t>
  </si>
  <si>
    <t>sangria bruna 04/10</t>
  </si>
  <si>
    <t>Morangos frigotto (31/07/2026) - Morangos</t>
  </si>
  <si>
    <t>Notas de Compras_Images/5025dd3b.Foto.145202.jpg</t>
  </si>
  <si>
    <t>Amadelli (28/07/2026) - P141298 - Gelado</t>
  </si>
  <si>
    <t>Notas de Compras_Images/05d022c9.Foto.145517.jpg</t>
  </si>
  <si>
    <t>P141298 - Gelado</t>
  </si>
  <si>
    <t>Notas de Compras_Images/05d022c9.Foto 1.145517.jpg</t>
  </si>
  <si>
    <t>Notas de Compras_Images/05d022c9.Foto 2.145517.jpg</t>
  </si>
  <si>
    <t>consumo eduarda</t>
  </si>
  <si>
    <t>128fafd0</t>
  </si>
  <si>
    <t>Posto de gasolina (28/07/2026) - Combustível Ramon</t>
  </si>
  <si>
    <t>Notas de Compras_Images/f7fc167e.Foto.145814.jpg</t>
  </si>
  <si>
    <t>Combustível Ramon</t>
  </si>
  <si>
    <t>2298536</t>
  </si>
  <si>
    <t>Superviza Supermercado (31/07/2026) - Café funcionários</t>
  </si>
  <si>
    <t>Notas de Compras_Images/5aefec41.Foto.153454.jpg</t>
  </si>
  <si>
    <t>2309953</t>
  </si>
  <si>
    <t>Amadelli (29/07/2026) - Pedido 140844</t>
  </si>
  <si>
    <t>Notas de Compras_Images/9d3e5d5d.Foto.112820.jpg</t>
  </si>
  <si>
    <t>Outros</t>
  </si>
  <si>
    <t>Pedido 140844</t>
  </si>
  <si>
    <t>Notas de Compras_Images/9d3e5d5d.Foto 1.112820.jpg</t>
  </si>
  <si>
    <t>70415fc1</t>
  </si>
  <si>
    <t>Amadelli (28/07/2026) - Pedido 141797</t>
  </si>
  <si>
    <t>Pedido 141797</t>
  </si>
  <si>
    <t>Morangos frigotto (03/08/2026) - Morangos</t>
  </si>
  <si>
    <t>Notas de Compras_Images/e653fab3.Foto.222245.jpg</t>
  </si>
  <si>
    <t>R$ 26,97</t>
  </si>
  <si>
    <t>R$ 197,88</t>
  </si>
  <si>
    <t>Entrada, a proxima será em 30 dias</t>
  </si>
  <si>
    <t>Saldo de um total de R$4351</t>
  </si>
  <si>
    <t>74b6e132</t>
  </si>
  <si>
    <t>CONSUMO PATY</t>
  </si>
  <si>
    <t>venc 08 zerada</t>
  </si>
  <si>
    <t>Emp 1 Parcela 13/42</t>
  </si>
  <si>
    <t>PAGAMENTO FREE MARIA</t>
  </si>
  <si>
    <t>PAGAMENTO FREE DYLAN</t>
  </si>
  <si>
    <t>PAGAMENTO FREE RENAN</t>
  </si>
  <si>
    <t>R$ 1.750,00</t>
  </si>
  <si>
    <t>SANGRIA RENAN PATY 05/10</t>
  </si>
  <si>
    <t>R$ 505,00</t>
  </si>
  <si>
    <t>PAGAMENTO MOTOBOY LUIZ 05/10</t>
  </si>
  <si>
    <t>consumo bruna pago em credito</t>
  </si>
  <si>
    <t>pagamento motoboy clovison (1 entrega)</t>
  </si>
  <si>
    <t>Relação de Notas de Compras não enviadas</t>
  </si>
  <si>
    <t>sangria bruna 06/10</t>
  </si>
  <si>
    <t>pagamento suco prats</t>
  </si>
  <si>
    <t>R$ 52,00</t>
  </si>
  <si>
    <t>pagamneto motoboy clovison (5 entregas)</t>
  </si>
  <si>
    <t>sangria bruna 07/10</t>
  </si>
  <si>
    <t>sangria bruna07/10</t>
  </si>
  <si>
    <t>sangria bruna06/10</t>
  </si>
  <si>
    <t>R$ 66,93</t>
  </si>
  <si>
    <t>consumo eduarda08/10</t>
  </si>
  <si>
    <t>R$ 1.220,00</t>
  </si>
  <si>
    <t>R$ 2.250,00</t>
  </si>
  <si>
    <t>saida caixa atendimento para caixa troco</t>
  </si>
  <si>
    <t>pagamento mtoboy clovison(3 entregas)</t>
  </si>
  <si>
    <t>pagamento motoboy yasmi (3 entregas</t>
  </si>
  <si>
    <t>R$ 242,50</t>
  </si>
  <si>
    <t>pagemto bs bebidas</t>
  </si>
  <si>
    <t>consumo bruna 09/10</t>
  </si>
  <si>
    <t>consumo paty 09/10</t>
  </si>
  <si>
    <t>pagamento motoboy (2 entregas)</t>
  </si>
  <si>
    <t>pagamento motoboy yasmin (2 entregas)</t>
  </si>
  <si>
    <t>R$ 117,09</t>
  </si>
  <si>
    <t>pagamento casa das embalagens</t>
  </si>
  <si>
    <t>consumo rose 10/10</t>
  </si>
  <si>
    <t>pagamento motoboy luis (3 entregas)</t>
  </si>
  <si>
    <t>motoboy</t>
  </si>
  <si>
    <t>Outros compra de refrigerante Rose</t>
  </si>
  <si>
    <t>R$ 125,74</t>
  </si>
  <si>
    <t>compra de mercadorias</t>
  </si>
  <si>
    <t>pagamento clovis(9entregas)</t>
  </si>
  <si>
    <t>R$ 102,00</t>
  </si>
  <si>
    <t>pagamento motoboy luiz(8 entregas)</t>
  </si>
  <si>
    <t>R$ 104,00</t>
  </si>
  <si>
    <t>pagamento free dany</t>
  </si>
  <si>
    <t>pagamento free scheila</t>
  </si>
  <si>
    <t>sangria paty11/10</t>
  </si>
  <si>
    <t>sangria</t>
  </si>
  <si>
    <t>R$ 271,00</t>
  </si>
  <si>
    <t>pagamento motoboy luis(23 entregas)</t>
  </si>
  <si>
    <t>R$ 116,00</t>
  </si>
  <si>
    <t>sangria bruna 12/10</t>
  </si>
  <si>
    <t>consumo bruna pago em pix 5 reais</t>
  </si>
  <si>
    <t>pagamento motoboy clovison (6 entrega)</t>
  </si>
  <si>
    <t>pagamento motoboy luis (1entrega)</t>
  </si>
  <si>
    <t>R$ 1.350,00</t>
  </si>
  <si>
    <t>sangria bruna 13/10</t>
  </si>
  <si>
    <t>R$ 9,00</t>
  </si>
  <si>
    <t>consumo eduarda14/10</t>
  </si>
  <si>
    <t>consumo paty 14/10</t>
  </si>
  <si>
    <t>R$ 110,00</t>
  </si>
  <si>
    <t>pagamento motoboy clovison (10 entregas)</t>
  </si>
  <si>
    <t>pagamento motoboy nanico (1 entrega)</t>
  </si>
  <si>
    <t>R$ 870,00</t>
  </si>
  <si>
    <t>sangria bruna 14/10</t>
  </si>
  <si>
    <t>consumo bruna pago em pix dia 15/10</t>
  </si>
  <si>
    <t>R$ 189,00</t>
  </si>
  <si>
    <t>pagamento motoboy clovison (14 entregas)</t>
  </si>
  <si>
    <t>sangria bruna 15/10</t>
  </si>
  <si>
    <t>consumo rose pago em debito 22 16/10</t>
  </si>
  <si>
    <t>consumo pago bruna 16/10 8 reais</t>
  </si>
  <si>
    <t>pagamento motoboy yasmin (3 entregas)</t>
  </si>
  <si>
    <t>pagamento motoboy clovison (3 entregas)</t>
  </si>
  <si>
    <t>sangria bruna 16/10</t>
  </si>
  <si>
    <t>pagamento motoboy clovison (7 entregas)</t>
  </si>
  <si>
    <t>sangria bruna 17/10</t>
  </si>
  <si>
    <t>pagamento motoboy clovison(6 entregas)</t>
  </si>
  <si>
    <t>pagamento free dani</t>
  </si>
  <si>
    <t>pagamento motoboy luis (6 enttregas)</t>
  </si>
  <si>
    <t>sangria bruna 18/10</t>
  </si>
  <si>
    <t>entrada troco</t>
  </si>
  <si>
    <t>R$ 335,00</t>
  </si>
  <si>
    <t>PAGAMENTO MOTOBOY CLOVISON 19/10</t>
  </si>
  <si>
    <t>PAGAMENTO FREE DANI</t>
  </si>
  <si>
    <t>CONSUMO PATRICIA</t>
  </si>
  <si>
    <t>CONSUMO ROSE PAGO EM DEBITO NO VALOR DE 44,63 19/10</t>
  </si>
  <si>
    <t>SANGRIA RENAN PATY 19/10</t>
  </si>
  <si>
    <t>pagamento motoboy clovison (5 entregas)</t>
  </si>
  <si>
    <t>sangria bruna 20/10</t>
  </si>
  <si>
    <t>consumo bruna pago em pix 5 reais dia 21/10</t>
  </si>
  <si>
    <t>R$ 9,50</t>
  </si>
  <si>
    <t>consumo duda 21/10</t>
  </si>
  <si>
    <t>sangria bruna 21/10</t>
  </si>
  <si>
    <t>consumo bruna pago em pix 5 reais pag dia 22/10</t>
  </si>
  <si>
    <t>consumo rose 22/10</t>
  </si>
  <si>
    <t>sangria bruna 22/10</t>
  </si>
  <si>
    <t>consumo pago em pix 16.80 dia 22/10 bruna</t>
  </si>
  <si>
    <t>consumo pago em debito bruna 5 reais dia 23/10</t>
  </si>
  <si>
    <t>R$ 290,00</t>
  </si>
  <si>
    <t>sangria bruna 23/10</t>
  </si>
  <si>
    <t>R$ 92,87</t>
  </si>
  <si>
    <t>consumo duda</t>
  </si>
  <si>
    <t>R$ 132,00</t>
  </si>
  <si>
    <t>pagamento motoboy clovison (15 entregas)</t>
  </si>
  <si>
    <t>R$ 940,00</t>
  </si>
  <si>
    <t>sangria bruna 24/10</t>
  </si>
  <si>
    <t>pagamento motoboy clovison</t>
  </si>
  <si>
    <t>1763275</t>
  </si>
  <si>
    <t>1759029</t>
  </si>
  <si>
    <t>14/25</t>
  </si>
  <si>
    <t>1756224</t>
  </si>
  <si>
    <t>R$ 177,00</t>
  </si>
  <si>
    <t>pagamento clovis 14 entregas</t>
  </si>
  <si>
    <t>R$ 8,16</t>
  </si>
  <si>
    <t>consumo eduarda 25/10</t>
  </si>
  <si>
    <t>R$ 96,90</t>
  </si>
  <si>
    <t>PAGAMENTO FREE LANCER SCHEILA</t>
  </si>
  <si>
    <t>PAGAMENTO FREE LANCER MARLENE</t>
  </si>
  <si>
    <t>PAGAMENTO FREE LANCER DANY</t>
  </si>
  <si>
    <t>PGAMENTO MOTOBOY LUIZ (2 ENTREGAS)</t>
  </si>
  <si>
    <t>R$ 1.100,00</t>
  </si>
  <si>
    <t>SANGRIA PATY25/10</t>
  </si>
  <si>
    <t>pagamento motoboy yasmin (20 entregas)</t>
  </si>
  <si>
    <t>R$ 111,00</t>
  </si>
  <si>
    <t>pagamento fre maria</t>
  </si>
  <si>
    <t>pagamento free marlene</t>
  </si>
  <si>
    <t>R$ 180,00</t>
  </si>
  <si>
    <t>sangria bruna 26/10</t>
  </si>
  <si>
    <t>0,01pagamento consumo bruna em debito27/10</t>
  </si>
  <si>
    <t>pagamento cartao onibus bruna</t>
  </si>
  <si>
    <t>R$ 16,60</t>
  </si>
  <si>
    <t>pagamento em pix 8 reais bruna 27/10</t>
  </si>
  <si>
    <t>R$ 85,00</t>
  </si>
  <si>
    <t>pagamento motoboy clovsion (6 entregas)</t>
  </si>
  <si>
    <t>consumo paty 27/10</t>
  </si>
  <si>
    <t>sangria bruna 27/10</t>
  </si>
  <si>
    <t>R$ 79,00</t>
  </si>
  <si>
    <t>pagamento motoboy nanico (6 entregas)</t>
  </si>
  <si>
    <t>consumo duda 28/10</t>
  </si>
  <si>
    <t>R$ 190,00</t>
  </si>
  <si>
    <t>R$ 59,10</t>
  </si>
  <si>
    <t>consumo bruna dia 28/10</t>
  </si>
  <si>
    <t>sangria bruna 28/10</t>
  </si>
  <si>
    <t>consumo eduarda29/10</t>
  </si>
  <si>
    <t>1767540</t>
  </si>
  <si>
    <t>consumo bruna pago em pix 8 reais dia 29/10</t>
  </si>
  <si>
    <t>1767542</t>
  </si>
  <si>
    <t>consumo duda 29/10</t>
  </si>
  <si>
    <t>pagamento motoboy luis (2entregas)</t>
  </si>
  <si>
    <t>pagamento motoboy clovsion( 3 entregas)</t>
  </si>
  <si>
    <t>pagamento mtoboy clovison (6 entregas)</t>
  </si>
  <si>
    <t>sangria bruna29/10</t>
  </si>
  <si>
    <t>R$ 241,40</t>
  </si>
  <si>
    <t>R$ 36,00</t>
  </si>
  <si>
    <t>consumo bruna 26/11</t>
  </si>
  <si>
    <t>R$ 59,80</t>
  </si>
  <si>
    <t>consumo paty30/10</t>
  </si>
  <si>
    <t>Sangria bruna 26/11</t>
  </si>
  <si>
    <t>consumo duda 30/10</t>
  </si>
  <si>
    <t>consumo bruna 30/10</t>
  </si>
  <si>
    <t>1768857</t>
  </si>
  <si>
    <t>comprada de recebi</t>
  </si>
  <si>
    <t>1768855</t>
  </si>
  <si>
    <t>R$ 153,00</t>
  </si>
  <si>
    <t>pagamento cafe da equipe</t>
  </si>
  <si>
    <t>1768903</t>
  </si>
  <si>
    <t>consumo rose</t>
  </si>
  <si>
    <t>pagamento cartao auto coletivo bruna</t>
  </si>
  <si>
    <t>1768073</t>
  </si>
  <si>
    <t>consumo paty</t>
  </si>
  <si>
    <t>R$ 9,94</t>
  </si>
  <si>
    <t>R$ 167,32</t>
  </si>
  <si>
    <t>R$ 7,00</t>
  </si>
  <si>
    <t>Sangria bruna 27/11</t>
  </si>
  <si>
    <t>R$ 98,70</t>
  </si>
  <si>
    <t>parceria</t>
  </si>
  <si>
    <t>1768066</t>
  </si>
  <si>
    <t>sangria bruna 24/11</t>
  </si>
  <si>
    <t>pastor</t>
  </si>
  <si>
    <t>1769559</t>
  </si>
  <si>
    <t>pagamento clovison (9 entregas)</t>
  </si>
  <si>
    <t>1769629</t>
  </si>
  <si>
    <t>pagamento motoboy luiz (1 entrega)</t>
  </si>
  <si>
    <t>1771253</t>
  </si>
  <si>
    <t>R$ 169,13</t>
  </si>
  <si>
    <t>R$ 79,09</t>
  </si>
  <si>
    <t>consumo bruna 31/10</t>
  </si>
  <si>
    <t>1771849</t>
  </si>
  <si>
    <t>R$ 44,90</t>
  </si>
  <si>
    <t>consumo rose 31/10</t>
  </si>
  <si>
    <t>R$ 162,00</t>
  </si>
  <si>
    <t>pagamento motoboy clovison (12 entregas)</t>
  </si>
  <si>
    <t>sangria bruna 31/10</t>
  </si>
  <si>
    <t>1774139</t>
  </si>
  <si>
    <t>pagamento motoboy luiz (6 entregas)</t>
  </si>
  <si>
    <t>1771564</t>
  </si>
  <si>
    <t>pagamento mtoboy clovison (5 entregas)</t>
  </si>
  <si>
    <t>1771563</t>
  </si>
  <si>
    <t>1771505</t>
  </si>
  <si>
    <t>1771560</t>
  </si>
  <si>
    <t>pagamento free diuli</t>
  </si>
  <si>
    <t>1773976</t>
  </si>
  <si>
    <t>pagamento motoboy luiz (5 entregas)</t>
  </si>
  <si>
    <t>R$ 1.410,00</t>
  </si>
  <si>
    <t>sangria bruna 28/11</t>
  </si>
  <si>
    <t>R$ 70,90</t>
  </si>
  <si>
    <t>1773973</t>
  </si>
  <si>
    <t>consumo duda 01/11</t>
  </si>
  <si>
    <t>sangria bruna 01/11</t>
  </si>
  <si>
    <t>sangria bruna 25/11</t>
  </si>
  <si>
    <t>1776834</t>
  </si>
  <si>
    <t>R$ 358,00</t>
  </si>
  <si>
    <t>pagamento motoboy clovison (30 entregas)</t>
  </si>
  <si>
    <t>pagamento freelancer isa</t>
  </si>
  <si>
    <t>1776163</t>
  </si>
  <si>
    <t>1776164</t>
  </si>
  <si>
    <t>consumo eduarda 02/11</t>
  </si>
  <si>
    <t>pagamento fre diuili</t>
  </si>
  <si>
    <t>R$ 353,00</t>
  </si>
  <si>
    <t>pagamento motoboy clovis(33entregas)</t>
  </si>
  <si>
    <t>consumo patricia</t>
  </si>
  <si>
    <t>sangria bruna 29/11</t>
  </si>
  <si>
    <t>R$ 1.370,00</t>
  </si>
  <si>
    <t>sangria paty02/11</t>
  </si>
  <si>
    <t>R$ 110,17</t>
  </si>
  <si>
    <t>consumo eduarda 03/11</t>
  </si>
  <si>
    <t>1777953</t>
  </si>
  <si>
    <t>consumo bruna03/11</t>
  </si>
  <si>
    <t>R$ 1.850,00</t>
  </si>
  <si>
    <t>sangria paty 30/11</t>
  </si>
  <si>
    <t>1779669</t>
  </si>
  <si>
    <t>sangria bruna25/11 (27/11 R$900)</t>
  </si>
  <si>
    <t>1779692</t>
  </si>
  <si>
    <t>R$ 339,00</t>
  </si>
  <si>
    <t>pafamento motoboy clovi(27taxas)</t>
  </si>
  <si>
    <t>Sangria bruna 03/11</t>
  </si>
  <si>
    <t>1782438</t>
  </si>
  <si>
    <t>compra de tabulas para a cozinha</t>
  </si>
  <si>
    <t>consumo paty 04/11</t>
  </si>
  <si>
    <t>devoluçao para o cliente</t>
  </si>
  <si>
    <t>Estorno Cliente</t>
  </si>
  <si>
    <t>pagamento motoboy clovison (11 entregas)</t>
  </si>
  <si>
    <t>1782731</t>
  </si>
  <si>
    <t>1782732</t>
  </si>
  <si>
    <t>R$ 710,00</t>
  </si>
  <si>
    <t>sangria bruna 04/11</t>
  </si>
  <si>
    <t>1787684</t>
  </si>
  <si>
    <t>sangria bruna 01/12</t>
  </si>
  <si>
    <t>sangria bruna04/11</t>
  </si>
  <si>
    <t>1787688</t>
  </si>
  <si>
    <t>1787687</t>
  </si>
  <si>
    <t>sangria bruna 02/12</t>
  </si>
  <si>
    <t>R$ 45,54</t>
  </si>
  <si>
    <t>coertezia a casa do onibus pelo troco fornecido</t>
  </si>
  <si>
    <t>1781410</t>
  </si>
  <si>
    <t>1781483</t>
  </si>
  <si>
    <t>consumo bruna 02/12</t>
  </si>
  <si>
    <t>R$ 800,00</t>
  </si>
  <si>
    <t>saida do caixa tatendimento para caixa troco</t>
  </si>
  <si>
    <t>1783288</t>
  </si>
  <si>
    <t>R$ 89,00</t>
  </si>
  <si>
    <t>R$ 39,60</t>
  </si>
  <si>
    <t>1783286</t>
  </si>
  <si>
    <t>tentando tira uma nota com cnpj</t>
  </si>
  <si>
    <t>1784689</t>
  </si>
  <si>
    <t>R$ 182,00</t>
  </si>
  <si>
    <t>pagamentoy free isa</t>
  </si>
  <si>
    <t>1785310</t>
  </si>
  <si>
    <t>pagamento motoboy luiz (2 entregas)</t>
  </si>
  <si>
    <t>R$ 214,00</t>
  </si>
  <si>
    <t>pagamento motoboy clovison (17 entregas)</t>
  </si>
  <si>
    <t>conusmo pago em debito 5 reais bruna</t>
  </si>
  <si>
    <t>R$ 67,00</t>
  </si>
  <si>
    <t>pagamenot free marlene</t>
  </si>
  <si>
    <t>consumo bruna 05/11</t>
  </si>
  <si>
    <t>R$ 1.130,00</t>
  </si>
  <si>
    <t>sangria bruna 05/11</t>
  </si>
  <si>
    <t>1794514</t>
  </si>
  <si>
    <t>R$ 199,80</t>
  </si>
  <si>
    <t>torneira</t>
  </si>
  <si>
    <t>consumo bruna06/11</t>
  </si>
  <si>
    <t>pagamento troca de torneira</t>
  </si>
  <si>
    <t>devoluçao para cliente</t>
  </si>
  <si>
    <t>pagamento motoboy clocison (10 entregas)</t>
  </si>
  <si>
    <t>R$ 420,00</t>
  </si>
  <si>
    <t>sangria bruna 03/12</t>
  </si>
  <si>
    <t>pagamento motoboy yasmin( 3 entregas)</t>
  </si>
  <si>
    <t>1787656</t>
  </si>
  <si>
    <t>R$ 3,00</t>
  </si>
  <si>
    <t>consumo bruna 06/11</t>
  </si>
  <si>
    <t>R$ 1.300,00</t>
  </si>
  <si>
    <t>sangria bruna 06/11</t>
  </si>
  <si>
    <t>R$ 107,01</t>
  </si>
  <si>
    <t>consumo paty 04/12</t>
  </si>
  <si>
    <t>pagamento cade da equipe</t>
  </si>
  <si>
    <t>R$ 72,70</t>
  </si>
  <si>
    <t>troca d moedas</t>
  </si>
  <si>
    <t>sangria bruna 03/11</t>
  </si>
  <si>
    <t>Compra de Moedas</t>
  </si>
  <si>
    <t>R$ 15,22</t>
  </si>
  <si>
    <t>R$ 172,20</t>
  </si>
  <si>
    <t>troca de moedas</t>
  </si>
  <si>
    <t>pagamento suco prast</t>
  </si>
  <si>
    <t>1787681</t>
  </si>
  <si>
    <t>R$ 403,30</t>
  </si>
  <si>
    <t>pagamento bebidas BS</t>
  </si>
  <si>
    <t>1789909</t>
  </si>
  <si>
    <t>1791838</t>
  </si>
  <si>
    <t>R$ 699,20</t>
  </si>
  <si>
    <t>1792006</t>
  </si>
  <si>
    <t>bebidas bs</t>
  </si>
  <si>
    <t>1793548</t>
  </si>
  <si>
    <t>pagamento motoboy clovson (14 entregas)</t>
  </si>
  <si>
    <t>1793545</t>
  </si>
  <si>
    <t>1795185</t>
  </si>
  <si>
    <t>1795187</t>
  </si>
  <si>
    <t>R$ 1.210,00</t>
  </si>
  <si>
    <t>1795188</t>
  </si>
  <si>
    <t>pagamento clovis(11 entregas)</t>
  </si>
  <si>
    <t>1797482</t>
  </si>
  <si>
    <t>adesivo</t>
  </si>
  <si>
    <t>pagamrnto motoboy luiz (1 entrega)</t>
  </si>
  <si>
    <t>1799339</t>
  </si>
  <si>
    <t>PAGAMENOT MOTOBOY CLOVISON (13 ENTREGAS)</t>
  </si>
  <si>
    <t>sangria paty08/11</t>
  </si>
  <si>
    <t>1799350</t>
  </si>
  <si>
    <t>PAGAMENTO MOTOBOY YASMIN (6 ENTREGAS)</t>
  </si>
  <si>
    <t>1802101</t>
  </si>
  <si>
    <t>R$ 414,00</t>
  </si>
  <si>
    <t>pagamento motoboy luis (44 entregas)</t>
  </si>
  <si>
    <t>PAGAMENTO FREE ANGELA</t>
  </si>
  <si>
    <t>1804003</t>
  </si>
  <si>
    <t>pagamento motoboy yasmin</t>
  </si>
  <si>
    <t>1804006</t>
  </si>
  <si>
    <t>PAGAMENTO FREE MARLENE</t>
  </si>
  <si>
    <t>1799382</t>
  </si>
  <si>
    <t>R$ 1.810,00</t>
  </si>
  <si>
    <t>SANGRIA BRUNA 05/11</t>
  </si>
  <si>
    <t>1799387</t>
  </si>
  <si>
    <t>1799384</t>
  </si>
  <si>
    <t>pagamento fee diuli</t>
  </si>
  <si>
    <t>1799381</t>
  </si>
  <si>
    <t>R$ 225,00</t>
  </si>
  <si>
    <t>pagamento motobot clovis(19 entregas)</t>
  </si>
  <si>
    <t>1802005</t>
  </si>
  <si>
    <t>1802006</t>
  </si>
  <si>
    <t>1802010</t>
  </si>
  <si>
    <t>sangria bruna 09/11</t>
  </si>
  <si>
    <t>pagamento free ariel</t>
  </si>
  <si>
    <t>1802014</t>
  </si>
  <si>
    <t>pagamento motoboy luiz 1 ewwntrega</t>
  </si>
  <si>
    <t>1803652</t>
  </si>
  <si>
    <t>R$ 98,22</t>
  </si>
  <si>
    <t>cortezia em troca de moedas 500 reais</t>
  </si>
  <si>
    <t>1803622</t>
  </si>
  <si>
    <t>Pagamento motoboy clovison (3 entregas)</t>
  </si>
  <si>
    <t>saida caixa atendimento para caixa trocp</t>
  </si>
  <si>
    <t>R$ 2.350,00</t>
  </si>
  <si>
    <t>1803590</t>
  </si>
  <si>
    <t>sangria paty 06/12</t>
  </si>
  <si>
    <t>R$ 980,00</t>
  </si>
  <si>
    <t>sangria paty 11/11</t>
  </si>
  <si>
    <t>R$ 260,00</t>
  </si>
  <si>
    <t>R$ 322,00</t>
  </si>
  <si>
    <t>pagamento motoboy ysamin (26 entregas)</t>
  </si>
  <si>
    <t>consumo bruna 11/11</t>
  </si>
  <si>
    <t>pagamento free angela</t>
  </si>
  <si>
    <t>consumo bruna pago em dinheiro uma coca</t>
  </si>
  <si>
    <t>R$ 2.850,00</t>
  </si>
  <si>
    <t>sangria bruna 07/12</t>
  </si>
  <si>
    <t>sangria bruna 04/12</t>
  </si>
  <si>
    <t>devoluçao caixa troco</t>
  </si>
  <si>
    <t>consumo bruna agua 3 reas pago em dinheiro</t>
  </si>
  <si>
    <t>pagmento free isa</t>
  </si>
  <si>
    <t>pagamento motoboy clovison (8entregas)</t>
  </si>
  <si>
    <t>sangria bruna 11/11</t>
  </si>
  <si>
    <t>1811737</t>
  </si>
  <si>
    <t>1811507</t>
  </si>
  <si>
    <t>Sangria bruna 08/12</t>
  </si>
  <si>
    <t>1811309</t>
  </si>
  <si>
    <t>1811005</t>
  </si>
  <si>
    <t>pagamento motoboy yamsin (1 entrega)</t>
  </si>
  <si>
    <t>1807247</t>
  </si>
  <si>
    <t>1809165</t>
  </si>
  <si>
    <t>1809160</t>
  </si>
  <si>
    <t>pagamento bruna de free lancer</t>
  </si>
  <si>
    <t>1811748</t>
  </si>
  <si>
    <t>1814045</t>
  </si>
  <si>
    <t>Sangria bruna 09/12</t>
  </si>
  <si>
    <t>1814648</t>
  </si>
  <si>
    <t>1816981</t>
  </si>
  <si>
    <t>sangria bruna 09/12</t>
  </si>
  <si>
    <t>1816977</t>
  </si>
  <si>
    <t>1816975</t>
  </si>
  <si>
    <t>1805537</t>
  </si>
  <si>
    <t>pagamento motoboy clovison (1 entregas)</t>
  </si>
  <si>
    <t>vale transporte bruna 10/12</t>
  </si>
  <si>
    <t>1807245</t>
  </si>
  <si>
    <t>1807248</t>
  </si>
  <si>
    <t>1809161</t>
  </si>
  <si>
    <t>1809767</t>
  </si>
  <si>
    <t>sangria bruna 12/11</t>
  </si>
  <si>
    <t>1811776</t>
  </si>
  <si>
    <t>1812197</t>
  </si>
  <si>
    <t>1814373</t>
  </si>
  <si>
    <t>help impressao e granpo</t>
  </si>
  <si>
    <t>pagamento free renan ,</t>
  </si>
  <si>
    <t>1818515</t>
  </si>
  <si>
    <t>R$ 105,01</t>
  </si>
  <si>
    <t>cortesia copo 600 reias</t>
  </si>
  <si>
    <t>consumo paty 13/11</t>
  </si>
  <si>
    <t>Sangria bruna 10/12</t>
  </si>
  <si>
    <t>pagamento motoboy clovison (4 entregas)</t>
  </si>
  <si>
    <t>R$ 100,99</t>
  </si>
  <si>
    <t>cortezia troca moedas</t>
  </si>
  <si>
    <t>sangria bruna 10/12</t>
  </si>
  <si>
    <t>1820102</t>
  </si>
  <si>
    <t>R$ 22,73</t>
  </si>
  <si>
    <t>remedio para equipe</t>
  </si>
  <si>
    <t>1818931</t>
  </si>
  <si>
    <t>R$ 48,74</t>
  </si>
  <si>
    <t>1818932</t>
  </si>
  <si>
    <t>remedio equipe</t>
  </si>
  <si>
    <t>44606334</t>
  </si>
  <si>
    <t>1820888</t>
  </si>
  <si>
    <t>pagamento motoboy yamin(2 entregas)</t>
  </si>
  <si>
    <t>1822401</t>
  </si>
  <si>
    <t>1822400</t>
  </si>
  <si>
    <t>C ONSUMO ROSE</t>
  </si>
  <si>
    <t>1818934</t>
  </si>
  <si>
    <t>R$ 1.080,00</t>
  </si>
  <si>
    <t>sangria bruna 11/12</t>
  </si>
  <si>
    <t>1820884</t>
  </si>
  <si>
    <t>SANGRIA BRUNA 13/11</t>
  </si>
  <si>
    <t>1821818</t>
  </si>
  <si>
    <t>R$ 68,07</t>
  </si>
  <si>
    <t>R$ 531,00</t>
  </si>
  <si>
    <t>consumo paty 14/11</t>
  </si>
  <si>
    <t>pagamento bebida bs</t>
  </si>
  <si>
    <t>R$ 235,00</t>
  </si>
  <si>
    <t>pagamento motoboy clovison (20 entregas)</t>
  </si>
  <si>
    <t>R$ 1.200,00</t>
  </si>
  <si>
    <t>Sangria Bruna 14/11</t>
  </si>
  <si>
    <t>R$ 103,00</t>
  </si>
  <si>
    <t>1825308</t>
  </si>
  <si>
    <t>pagamento motoboy yasmin (5 entregas)</t>
  </si>
  <si>
    <t>R$ 275,00</t>
  </si>
  <si>
    <t>R$ 540,00</t>
  </si>
  <si>
    <t>Sangria bruna 12/12</t>
  </si>
  <si>
    <t>pagamento motoboy luiz (3 entregas)</t>
  </si>
  <si>
    <t>sangria bruna 12/12</t>
  </si>
  <si>
    <t>51049577</t>
  </si>
  <si>
    <t>79788768</t>
  </si>
  <si>
    <t>R$ 124,00</t>
  </si>
  <si>
    <t>1840875</t>
  </si>
  <si>
    <t>pagamento free wesley</t>
  </si>
  <si>
    <t>pagamento free cassiano</t>
  </si>
  <si>
    <t>1839021</t>
  </si>
  <si>
    <t>1837785</t>
  </si>
  <si>
    <t>pagamento free ana</t>
  </si>
  <si>
    <t>sangria bruna 15/11</t>
  </si>
  <si>
    <t>R$ 2.270,00</t>
  </si>
  <si>
    <t>sangria bruna 13/12</t>
  </si>
  <si>
    <t>pagamento free lancer marlene</t>
  </si>
  <si>
    <t>pagamento free lancer dylan</t>
  </si>
  <si>
    <t>pagamento free lancer paty</t>
  </si>
  <si>
    <t>R$ 1.520,00</t>
  </si>
  <si>
    <t>sangria renan paty 14/12</t>
  </si>
  <si>
    <t>R$ 37,06</t>
  </si>
  <si>
    <t>mercado relacionado ao cafe</t>
  </si>
  <si>
    <t>pagamento free lancer isabela</t>
  </si>
  <si>
    <t>trouco</t>
  </si>
  <si>
    <t>R$ 326,00</t>
  </si>
  <si>
    <t>pagamento motoboy clovis(27entregas)</t>
  </si>
  <si>
    <t>pagamento motoboy luiz</t>
  </si>
  <si>
    <t>R$ 1.650,00</t>
  </si>
  <si>
    <t>sangria paty 16/11</t>
  </si>
  <si>
    <t>sangria bruna 15/12</t>
  </si>
  <si>
    <t>R$ 92,76</t>
  </si>
  <si>
    <t>chocottone</t>
  </si>
  <si>
    <t>Sangria bruna 16/12</t>
  </si>
  <si>
    <t>jarra</t>
  </si>
  <si>
    <t>pagmento free renan</t>
  </si>
  <si>
    <t>1852628</t>
  </si>
  <si>
    <t>R$ 222,02</t>
  </si>
  <si>
    <t>pagamento emalagens</t>
  </si>
  <si>
    <t>1852632</t>
  </si>
  <si>
    <t>Regiane</t>
  </si>
  <si>
    <t>pagamento motoboy luiz ( 5 entregas)</t>
  </si>
  <si>
    <t>R$ 143,90</t>
  </si>
  <si>
    <t>Ramon Dutra</t>
  </si>
  <si>
    <t>pagamento milium</t>
  </si>
  <si>
    <t>pagamento mtooboy clovison</t>
  </si>
  <si>
    <t>1837787</t>
  </si>
  <si>
    <t>sangria bruna 17/12</t>
  </si>
  <si>
    <t>1855106</t>
  </si>
  <si>
    <t>Pagamento motoboy marcos (1 entrega)</t>
  </si>
  <si>
    <t>1856354</t>
  </si>
  <si>
    <t>1855102</t>
  </si>
  <si>
    <t>R$ 850,00</t>
  </si>
  <si>
    <t>Pagamento motoboy Luiz (3 entregas)</t>
  </si>
  <si>
    <t>1856358</t>
  </si>
  <si>
    <t>pagamento motoboy clovison (9 entregas)</t>
  </si>
  <si>
    <t>Sangria bruna 17/11</t>
  </si>
  <si>
    <t>R$ 61,00</t>
  </si>
  <si>
    <t>pagamento motoboy yasmin (6 entregas)</t>
  </si>
  <si>
    <t>R$ 2.220,00</t>
  </si>
  <si>
    <t>sangria bruna 18/12</t>
  </si>
  <si>
    <t>consumo bruna pago em debito 5 reais</t>
  </si>
  <si>
    <t>entrada caixa atendimento 19/12</t>
  </si>
  <si>
    <t>A/F de Caixa</t>
  </si>
  <si>
    <t>R$ 213,46</t>
  </si>
  <si>
    <t>cafe</t>
  </si>
  <si>
    <t>Sangria bruna 18/11</t>
  </si>
  <si>
    <t>pagamento bebidas bs</t>
  </si>
  <si>
    <t>R$ 165,00</t>
  </si>
  <si>
    <t>1865768</t>
  </si>
  <si>
    <t>devolucao para cliente</t>
  </si>
  <si>
    <t>R$ 72,50</t>
  </si>
  <si>
    <t>consumo renan 23/12</t>
  </si>
  <si>
    <t>R$ 2.180,00</t>
  </si>
  <si>
    <t>sangria bruna 19/12</t>
  </si>
  <si>
    <t>motoboy luiz</t>
  </si>
  <si>
    <t>R$ 203,00</t>
  </si>
  <si>
    <t>pagamento free angela 22/12 e 23/12</t>
  </si>
  <si>
    <t>consumo bruna pago em debito valor 11,00 19/11</t>
  </si>
  <si>
    <t>R$ 86,00</t>
  </si>
  <si>
    <t>pagamento motoboy clovis 8 entregas 20/12</t>
  </si>
  <si>
    <t>pagamento motoboy luiz 20/12 5 entregas</t>
  </si>
  <si>
    <t>Pagamento motoboy yasmin (1 entrega)</t>
  </si>
  <si>
    <t>pagamento do motoboy lançado duas vezes</t>
  </si>
  <si>
    <t>R$ 1.450,00</t>
  </si>
  <si>
    <t>saida sangria renan 20/12</t>
  </si>
  <si>
    <t>sangria bruna 23/12</t>
  </si>
  <si>
    <t>Pagamento motoboy clovison (7 entregas)</t>
  </si>
  <si>
    <t>1862615</t>
  </si>
  <si>
    <t>R$ 330,00</t>
  </si>
  <si>
    <t>sangria 2 renan 20/12</t>
  </si>
  <si>
    <t>R$ 148,00</t>
  </si>
  <si>
    <t>1871089</t>
  </si>
  <si>
    <t>1871717</t>
  </si>
  <si>
    <t>Pagamento free isa</t>
  </si>
  <si>
    <t>R$ 85,93</t>
  </si>
  <si>
    <t>lustra moveis</t>
  </si>
  <si>
    <t>consumo renan 21/12</t>
  </si>
  <si>
    <t>Sangria Bruna 19/11</t>
  </si>
  <si>
    <t>consumo jairo</t>
  </si>
  <si>
    <t>R$ 380,00</t>
  </si>
  <si>
    <t>pagamento motoboy clovis(23entrega)</t>
  </si>
  <si>
    <t>consumo bruna 26/12</t>
  </si>
  <si>
    <t>R$ 15,78</t>
  </si>
  <si>
    <t>consumo rose pago em debito 39</t>
  </si>
  <si>
    <t>R$ 253,00</t>
  </si>
  <si>
    <t>pagmento motoboy clovison (19 entregas)</t>
  </si>
  <si>
    <t>sangria bruna 26/12</t>
  </si>
  <si>
    <t>pagamento free lancer diuli</t>
  </si>
  <si>
    <t>R$ 55,10</t>
  </si>
  <si>
    <t>cortesia troca de moedas pastor</t>
  </si>
  <si>
    <t>R$ 2.340,00</t>
  </si>
  <si>
    <t>sangria bruna 21/12</t>
  </si>
  <si>
    <t>consumo renan 27/12</t>
  </si>
  <si>
    <t>R$ 21,30</t>
  </si>
  <si>
    <t>consumo paty 20/11</t>
  </si>
  <si>
    <t>consumo renan 22/12</t>
  </si>
  <si>
    <t>R$ 207,00</t>
  </si>
  <si>
    <t>pagamento motoboy Clovison (16 entregas)</t>
  </si>
  <si>
    <t>pagamento motoboy luix(5 entregas)</t>
  </si>
  <si>
    <t>1887312</t>
  </si>
  <si>
    <t>pagamento free yago</t>
  </si>
  <si>
    <t>R$ 1.530,00</t>
  </si>
  <si>
    <t>sangria bruna 22/12</t>
  </si>
  <si>
    <t>1886120</t>
  </si>
  <si>
    <t>pagamento free luara</t>
  </si>
  <si>
    <t>R$ 2.000,00</t>
  </si>
  <si>
    <t>sangria paty20/11</t>
  </si>
  <si>
    <t>sangria bruna 27/12</t>
  </si>
  <si>
    <t>R$ 27,80</t>
  </si>
  <si>
    <t>Sangria Bruna 18/11</t>
  </si>
  <si>
    <t>R$ 266,00</t>
  </si>
  <si>
    <t>pagamento motoboy clovison 20 entregas</t>
  </si>
  <si>
    <t>R$ 527,30</t>
  </si>
  <si>
    <t>pagamento free paty</t>
  </si>
  <si>
    <t>sangria bruna 19/11</t>
  </si>
  <si>
    <t>1897272</t>
  </si>
  <si>
    <t>sangria renan 28/12</t>
  </si>
  <si>
    <t>1902093</t>
  </si>
  <si>
    <t>macioeste</t>
  </si>
  <si>
    <t>consumo bruna 29/12</t>
  </si>
  <si>
    <t>pagamento motoboy clovison 7 entregas</t>
  </si>
  <si>
    <t>R$ 1.600,00</t>
  </si>
  <si>
    <t>sangria bruna 29/12</t>
  </si>
  <si>
    <t>R$ 4,54</t>
  </si>
  <si>
    <t>mercado, banana</t>
  </si>
  <si>
    <t>R$ 36,45</t>
  </si>
  <si>
    <t>devoluçao cliente , jairo ciente</t>
  </si>
  <si>
    <t>Pagamento motoboy luiz (3 entregas)</t>
  </si>
  <si>
    <t>1911383</t>
  </si>
  <si>
    <t>R$ 126,00</t>
  </si>
  <si>
    <t>consumo rose 21/11</t>
  </si>
  <si>
    <t>1912891</t>
  </si>
  <si>
    <t>1912900</t>
  </si>
  <si>
    <t>Sangria bruna 21/11</t>
  </si>
  <si>
    <t>Pagamento motoboy clovison (8 entregas)</t>
  </si>
  <si>
    <t>R$ 830,00</t>
  </si>
  <si>
    <t>sangria bruna 30/12</t>
  </si>
  <si>
    <t>consumo pago em pix renan 13 reais</t>
  </si>
  <si>
    <t>pagamento motoboy yasmin ( 3 entregas)</t>
  </si>
  <si>
    <t>consumo bruna pago em pix</t>
  </si>
  <si>
    <t>sangria bruna 31/12</t>
  </si>
  <si>
    <t>pagamento free bruna</t>
  </si>
  <si>
    <t>24399162</t>
  </si>
  <si>
    <t>R$ 34,22</t>
  </si>
  <si>
    <t>consumo rose 22/11</t>
  </si>
  <si>
    <t>consumo renan</t>
  </si>
  <si>
    <t>sangria bruna 22/11</t>
  </si>
  <si>
    <t>R$ 1.700,00</t>
  </si>
  <si>
    <t>sangria bruna 02/01</t>
  </si>
  <si>
    <t>R$ 175,00</t>
  </si>
  <si>
    <t>pagamento motoboy matheus (16 entregas)</t>
  </si>
  <si>
    <t>1926897</t>
  </si>
  <si>
    <t>consumo bruna pago em dinheiro 3 reais</t>
  </si>
  <si>
    <t>R$ 142,00</t>
  </si>
  <si>
    <t>pagamento motoboy yasmin (13 entregas)</t>
  </si>
  <si>
    <t>R$ 84,50</t>
  </si>
  <si>
    <t>R$ 97,00</t>
  </si>
  <si>
    <t>PAGAMENTO MOTOBOY CLOVISON</t>
  </si>
  <si>
    <t>FREE SORAIDA</t>
  </si>
  <si>
    <t>R$ 123,50</t>
  </si>
  <si>
    <t>pagamento free gustavo</t>
  </si>
  <si>
    <t>pagamento free patricia</t>
  </si>
  <si>
    <t>pagamento clovison ida no mercado esquecida do dia 02/01</t>
  </si>
  <si>
    <t>sangria renan paty03/01</t>
  </si>
  <si>
    <t>Sangria bruna 23/11</t>
  </si>
  <si>
    <t>R$ 48,80</t>
  </si>
  <si>
    <t>sangria paty 18/11</t>
  </si>
  <si>
    <t>R$ 65,01</t>
  </si>
  <si>
    <t>cortesia influencer</t>
  </si>
  <si>
    <t>R$ 172,56</t>
  </si>
  <si>
    <t>trocou copos por moedas</t>
  </si>
  <si>
    <t>1919083</t>
  </si>
  <si>
    <t>R$ 67,55</t>
  </si>
  <si>
    <t>R$ 780,00</t>
  </si>
  <si>
    <t>pgamento frre soraida</t>
  </si>
  <si>
    <t>bloco de nota</t>
  </si>
  <si>
    <t>1932986</t>
  </si>
  <si>
    <t>1937585</t>
  </si>
  <si>
    <t>15786028</t>
  </si>
  <si>
    <t>R$ 211,00</t>
  </si>
  <si>
    <t>sangria bruna 04/01</t>
  </si>
  <si>
    <t>1935147</t>
  </si>
  <si>
    <t>1935436</t>
  </si>
  <si>
    <t>1935510</t>
  </si>
  <si>
    <t>Sangria bruna 24/11</t>
  </si>
  <si>
    <t>R$ 51,58</t>
  </si>
  <si>
    <t>troca de copo por moedas</t>
  </si>
  <si>
    <t>R$ 86,72</t>
  </si>
  <si>
    <t>R$ 325,00</t>
  </si>
  <si>
    <t>pagamento motoboy lui (3 entregas)</t>
  </si>
  <si>
    <t>saco de lixo</t>
  </si>
  <si>
    <t>R$ 64,90</t>
  </si>
  <si>
    <t>R$ 920,00</t>
  </si>
  <si>
    <t>sangria bruna 05/01</t>
  </si>
  <si>
    <t>R$ 93,00</t>
  </si>
  <si>
    <t>bruna 8 reais pago em dinheiro</t>
  </si>
  <si>
    <t>R$ 69,87</t>
  </si>
  <si>
    <t>sangria bruna 06/01</t>
  </si>
  <si>
    <t>1950783</t>
  </si>
  <si>
    <t>1957583</t>
  </si>
  <si>
    <t>1957588</t>
  </si>
  <si>
    <t>R$ 184,00</t>
  </si>
  <si>
    <t>1957820</t>
  </si>
  <si>
    <t>R$ 1.440,00</t>
  </si>
  <si>
    <t>sangria bruna 07/01</t>
  </si>
  <si>
    <t>pagamento fre luara</t>
  </si>
  <si>
    <t>1946951</t>
  </si>
  <si>
    <t>Sangria bruna 08/01</t>
  </si>
  <si>
    <t>R$ 187,44</t>
  </si>
  <si>
    <t>Sangria bruna 09/01</t>
  </si>
  <si>
    <t>pagamento motoboy matheus (8 entregas)</t>
  </si>
  <si>
    <t>1962211</t>
  </si>
  <si>
    <t>lojacacadorsc@gmail.com</t>
  </si>
  <si>
    <t>1966897</t>
  </si>
  <si>
    <t>1966892</t>
  </si>
  <si>
    <t>pagamento free soraida</t>
  </si>
  <si>
    <t>1966889</t>
  </si>
  <si>
    <t>1966273</t>
  </si>
  <si>
    <t>R$ 25,15</t>
  </si>
  <si>
    <t>consumo bruna 10/01</t>
  </si>
  <si>
    <t>pagamento motoboy luiz( 4 entregas)</t>
  </si>
  <si>
    <t>Sangria bruna 10/01</t>
  </si>
  <si>
    <t>PAGAMENTO MOTOBOY</t>
  </si>
  <si>
    <t>1969303</t>
  </si>
  <si>
    <t>PAGAMENTO FREE LUARA</t>
  </si>
  <si>
    <t>1969301</t>
  </si>
  <si>
    <t>1965490</t>
  </si>
  <si>
    <t>PAGAMENTO FREE GUSTAVO</t>
  </si>
  <si>
    <t>1965493</t>
  </si>
  <si>
    <t>PAGAMENT FREE GUSTAVO</t>
  </si>
  <si>
    <t>SANGRIA RENAN 11/01</t>
  </si>
  <si>
    <t>220d0550</t>
  </si>
  <si>
    <t>Tuicial (02/02/2026) - P1183096</t>
  </si>
  <si>
    <t>P1183096</t>
  </si>
  <si>
    <t>Notas_Images/220d0550.Foto.214853.jpg</t>
  </si>
  <si>
    <t>Notas_Images/220d0550.Foto 1.214853.jpg</t>
  </si>
  <si>
    <t>R$ 11,58</t>
  </si>
  <si>
    <t>banana</t>
  </si>
  <si>
    <t>abertura outro caixa</t>
  </si>
  <si>
    <t>R$ 467,60</t>
  </si>
  <si>
    <t>sangria renan 12/01</t>
  </si>
  <si>
    <t>entrada de caixa</t>
  </si>
  <si>
    <t>R$ 270,00</t>
  </si>
  <si>
    <t>consumo pago em pix bruna 5 reais</t>
  </si>
  <si>
    <t>R$ 109,00</t>
  </si>
  <si>
    <t>sangria bruna 12/01</t>
  </si>
  <si>
    <t>1979193</t>
  </si>
  <si>
    <t>R$ 88,00</t>
  </si>
  <si>
    <t>sangria renan 13/01</t>
  </si>
  <si>
    <t>1988989</t>
  </si>
  <si>
    <t>1985915</t>
  </si>
  <si>
    <t>sangria bruna 13/01</t>
  </si>
  <si>
    <t>1981769</t>
  </si>
  <si>
    <t>1981765</t>
  </si>
  <si>
    <t>1981755</t>
  </si>
  <si>
    <t>sangria renan 14/01</t>
  </si>
  <si>
    <t>R$ 47,01</t>
  </si>
  <si>
    <t>trocas de moedas por copo</t>
  </si>
  <si>
    <t>1990850</t>
  </si>
  <si>
    <t>Sangria bruna 14/01</t>
  </si>
  <si>
    <t>Notas_Images/ee2f62b5.Foto 2.232826.jpg</t>
  </si>
  <si>
    <t>R$ 37,75</t>
  </si>
  <si>
    <t>compra de banana</t>
  </si>
  <si>
    <t>devoluçao cliente entrega</t>
  </si>
  <si>
    <t>R$ 80,50</t>
  </si>
  <si>
    <t>sangria renan 15/01</t>
  </si>
  <si>
    <t>R$ 206,00</t>
  </si>
  <si>
    <t>1996326</t>
  </si>
  <si>
    <t>Sangria bruna 15/01</t>
  </si>
  <si>
    <t>2004541</t>
  </si>
  <si>
    <t>R$ 0,03</t>
  </si>
  <si>
    <t>Conumo Renan</t>
  </si>
  <si>
    <t>R$ 91,60</t>
  </si>
  <si>
    <t>CAIXA TROCO</t>
  </si>
  <si>
    <t>R$ 47,88</t>
  </si>
  <si>
    <t>canudos</t>
  </si>
  <si>
    <t>2011528</t>
  </si>
  <si>
    <t>d185ec64</t>
  </si>
  <si>
    <t>Amadelli (17/02/2026) - P11280 - Carga seca</t>
  </si>
  <si>
    <t>P11280 - Carga seca</t>
  </si>
  <si>
    <t>sangria renan 11/01</t>
  </si>
  <si>
    <t>Notas_Images/d185ec64.Foto.214322.jpg</t>
  </si>
  <si>
    <t>Notas_Images/d185ec64.Foto 1.214321.jpg</t>
  </si>
  <si>
    <t>extintores</t>
  </si>
  <si>
    <t>2009435</t>
  </si>
  <si>
    <t>saida troco</t>
  </si>
  <si>
    <t>2009441</t>
  </si>
  <si>
    <t>sangria renan 16/01</t>
  </si>
  <si>
    <t>2015813</t>
  </si>
  <si>
    <t>2015802</t>
  </si>
  <si>
    <t>pagamento motoboy clovsion</t>
  </si>
  <si>
    <t>2015811</t>
  </si>
  <si>
    <t>consumo renan 16/01</t>
  </si>
  <si>
    <t>2015815</t>
  </si>
  <si>
    <t>2013354</t>
  </si>
  <si>
    <t>Amadelli (16/02/2026) - P112381- Carga gelada</t>
  </si>
  <si>
    <t>P112381- Carga gelada</t>
  </si>
  <si>
    <t>sangria bruna 16/01</t>
  </si>
  <si>
    <t>R$ 212,19</t>
  </si>
  <si>
    <t>compra de agua</t>
  </si>
  <si>
    <t>2022336</t>
  </si>
  <si>
    <t>pagamento motoboy clovison ( 6 entregas)</t>
  </si>
  <si>
    <t>influencie</t>
  </si>
  <si>
    <t>pagamento motoboy luiz (4 entregas)</t>
  </si>
  <si>
    <t>consumo rose 17/01</t>
  </si>
  <si>
    <t>Sangria bruna 17/01</t>
  </si>
  <si>
    <t>uber freelancer luara</t>
  </si>
  <si>
    <t>energetico freelancer luara</t>
  </si>
  <si>
    <t>2025184</t>
  </si>
  <si>
    <t>coca freelancer paty</t>
  </si>
  <si>
    <t>2024054</t>
  </si>
  <si>
    <t>R$ 53,79</t>
  </si>
  <si>
    <t>2023513</t>
  </si>
  <si>
    <t>cortesia em troca de moedas e troco</t>
  </si>
  <si>
    <t>R$ 284,00</t>
  </si>
  <si>
    <t>pagamento motoboy clovison 23 entregas</t>
  </si>
  <si>
    <t>pagamento freelancer soraida</t>
  </si>
  <si>
    <t>2026252</t>
  </si>
  <si>
    <t>R$ 59,66</t>
  </si>
  <si>
    <t>R$ 94,00</t>
  </si>
  <si>
    <t>pagamento freelancer luara</t>
  </si>
  <si>
    <t>2027408</t>
  </si>
  <si>
    <t>sangria renan 18/01</t>
  </si>
  <si>
    <t>2027406</t>
  </si>
  <si>
    <t>R$ 37,50</t>
  </si>
  <si>
    <t>pagamento motoboy clovis</t>
  </si>
  <si>
    <t>Sangria renan 19/01</t>
  </si>
  <si>
    <t>R$ 538,95</t>
  </si>
  <si>
    <t>jairo fez pix para troco</t>
  </si>
  <si>
    <t>consumo pag pix bruna 15.80</t>
  </si>
  <si>
    <t>consumo pago em debito rose 25;00</t>
  </si>
  <si>
    <t>2034608</t>
  </si>
  <si>
    <t>consumo bruna pago em dinheiro 5 reais</t>
  </si>
  <si>
    <t>2032873</t>
  </si>
  <si>
    <t>2032864</t>
  </si>
  <si>
    <t>sangria bruna 19/01</t>
  </si>
  <si>
    <t>uber freelance luara</t>
  </si>
  <si>
    <t>sangria renan 20/01</t>
  </si>
  <si>
    <t>consumo pago em debito 5 reais bruna</t>
  </si>
  <si>
    <t>sangria bruna 20/01</t>
  </si>
  <si>
    <t>2040300</t>
  </si>
  <si>
    <t>2040295</t>
  </si>
  <si>
    <t>2040290</t>
  </si>
  <si>
    <t>R$ 10,85</t>
  </si>
  <si>
    <t>mercado banana</t>
  </si>
  <si>
    <t>2042873</t>
  </si>
  <si>
    <t>sangria renan 21/01</t>
  </si>
  <si>
    <t>2042890</t>
  </si>
  <si>
    <t>2042885</t>
  </si>
  <si>
    <t>pagamento motoboy luiz ( 1 entrega)</t>
  </si>
  <si>
    <t>2042888</t>
  </si>
  <si>
    <t>2050003</t>
  </si>
  <si>
    <t>2050005</t>
  </si>
  <si>
    <t>sangria bruna 21/01</t>
  </si>
  <si>
    <t>uber free luara</t>
  </si>
  <si>
    <t>R$ 542,80</t>
  </si>
  <si>
    <t>troco trocado por pix</t>
  </si>
  <si>
    <t>sangria renan 22/01</t>
  </si>
  <si>
    <t>consumo pago em debito bruna 5</t>
  </si>
  <si>
    <t>2056894</t>
  </si>
  <si>
    <t>2056892</t>
  </si>
  <si>
    <t>2056939</t>
  </si>
  <si>
    <t>Sangria Bruna 22/01</t>
  </si>
  <si>
    <t>R$ 126,54</t>
  </si>
  <si>
    <t>cafe funcionarios</t>
  </si>
  <si>
    <t>sangria renan 23/01</t>
  </si>
  <si>
    <t>2062752</t>
  </si>
  <si>
    <t>R$ 123,00</t>
  </si>
  <si>
    <t>Sangria bruna 23/01</t>
  </si>
  <si>
    <t>consumo paga em dinheiro bruna 5 reias</t>
  </si>
  <si>
    <t>pagamento motoboy luiz( 1 entrega)</t>
  </si>
  <si>
    <t>Sangria bruna 24/01</t>
  </si>
  <si>
    <t>R$ 32,70</t>
  </si>
  <si>
    <t>brinde troco</t>
  </si>
  <si>
    <t>2072664</t>
  </si>
  <si>
    <t>pagamento motoboy luis</t>
  </si>
  <si>
    <t>R$ 1.950,00</t>
  </si>
  <si>
    <t>2070461</t>
  </si>
  <si>
    <t>sangria renan 25/01</t>
  </si>
  <si>
    <t>2078294</t>
  </si>
  <si>
    <t>2078297</t>
  </si>
  <si>
    <t>2082077</t>
  </si>
  <si>
    <t>2085622</t>
  </si>
  <si>
    <t>2090610</t>
  </si>
  <si>
    <t>2087524</t>
  </si>
  <si>
    <t>2087700</t>
  </si>
  <si>
    <t>2087696</t>
  </si>
  <si>
    <t>troco moedas</t>
  </si>
  <si>
    <t>2101578</t>
  </si>
  <si>
    <t>2101477</t>
  </si>
  <si>
    <t>papelaria</t>
  </si>
  <si>
    <t>R$ 44,86</t>
  </si>
  <si>
    <t>mercado</t>
  </si>
  <si>
    <t>R$ 12,35</t>
  </si>
  <si>
    <t>referente a saida 1957820 bananas</t>
  </si>
  <si>
    <t>referente saída 1958374 - tx entrega motoboy Clovis</t>
  </si>
  <si>
    <t>2107487</t>
  </si>
  <si>
    <t>Consumo Renan</t>
  </si>
  <si>
    <t>2107115</t>
  </si>
  <si>
    <t>2107111</t>
  </si>
  <si>
    <t>Tx entrega Luiz</t>
  </si>
  <si>
    <t>Tx Motoboy Clovis mercado</t>
  </si>
  <si>
    <t>R$ 7,35</t>
  </si>
  <si>
    <t>R$ 29,26</t>
  </si>
  <si>
    <t>R$ 94,64</t>
  </si>
  <si>
    <t>consumo Renan</t>
  </si>
  <si>
    <t>R$ 20,88</t>
  </si>
  <si>
    <t>sangria renan 26/02</t>
  </si>
  <si>
    <t>R$ 50,32</t>
  </si>
  <si>
    <t>parceria influencer</t>
  </si>
  <si>
    <t>sangria renan 27/01</t>
  </si>
  <si>
    <t>R$ 109,95</t>
  </si>
  <si>
    <t>consumo pago em dinheiro 8 reias bruna</t>
  </si>
  <si>
    <t>Saida Outros: Tx entrega Luiz</t>
  </si>
  <si>
    <t>R$ 160,00</t>
  </si>
  <si>
    <t>Consumo Bruna</t>
  </si>
  <si>
    <t>Saida Outros: Sangria Ramon 26/02</t>
  </si>
  <si>
    <t>CONSUMO BRUNA</t>
  </si>
  <si>
    <t>Saida Outros: Dedetização Ferraz</t>
  </si>
  <si>
    <t>R$ 95,45</t>
  </si>
  <si>
    <t>2116036</t>
  </si>
  <si>
    <t>R$ 85,65</t>
  </si>
  <si>
    <t>limpeza</t>
  </si>
  <si>
    <t>sangria renan 27/02</t>
  </si>
  <si>
    <t>2121728</t>
  </si>
  <si>
    <t>R$ 32,90</t>
  </si>
  <si>
    <t>2117719</t>
  </si>
  <si>
    <t>Consumo Rose</t>
  </si>
  <si>
    <t>Sangria Bruna</t>
  </si>
  <si>
    <t>2117720</t>
  </si>
  <si>
    <t>Erro no sistema, desconsiderar ID`s 1960582 1960583 1960584 1960585 1960586 1960587 1960588</t>
  </si>
  <si>
    <t>R$ 68,42</t>
  </si>
  <si>
    <t>compra banana</t>
  </si>
  <si>
    <t>R$ 34,85</t>
  </si>
  <si>
    <t>consumo regiane</t>
  </si>
  <si>
    <t>sangria renan 28/01</t>
  </si>
  <si>
    <t>PAGAMENTO MOTOBOY CLOVIS</t>
  </si>
  <si>
    <t>Tx entrega motoboy Luis</t>
  </si>
  <si>
    <t>Sangria Ramon</t>
  </si>
  <si>
    <t>exame hemograma renan</t>
  </si>
  <si>
    <t>sangria renan 29/01</t>
  </si>
  <si>
    <t>Tx entrega Luis</t>
  </si>
  <si>
    <t>2128574</t>
  </si>
  <si>
    <t>2128644</t>
  </si>
  <si>
    <t>sangria renan 28/02</t>
  </si>
  <si>
    <t>R$ 50,63</t>
  </si>
  <si>
    <t>R$ 280,00</t>
  </si>
  <si>
    <t>R$ 24,19</t>
  </si>
  <si>
    <t>MANGA</t>
  </si>
  <si>
    <t>2132823</t>
  </si>
  <si>
    <t>R$ 8,90</t>
  </si>
  <si>
    <t>FARMACIA</t>
  </si>
  <si>
    <t>R$ 61,39</t>
  </si>
  <si>
    <t>luva funcionarios</t>
  </si>
  <si>
    <t>Freelance Soraida</t>
  </si>
  <si>
    <t>R$ 56,30</t>
  </si>
  <si>
    <t>Freelance Graziella</t>
  </si>
  <si>
    <t>R$ 68,95</t>
  </si>
  <si>
    <t>Tx entrega Clovis</t>
  </si>
  <si>
    <t>sangria Ramon 01/03</t>
  </si>
  <si>
    <t>sangria renan 30/01</t>
  </si>
  <si>
    <t>R$ 78,95</t>
  </si>
  <si>
    <t>embalagem delivery</t>
  </si>
  <si>
    <t>Tx entrega Yasmin</t>
  </si>
  <si>
    <t>2141995</t>
  </si>
  <si>
    <t>R$ 390,00</t>
  </si>
  <si>
    <t>2144134</t>
  </si>
  <si>
    <t>sangria renan 02/03</t>
  </si>
  <si>
    <t>2144135</t>
  </si>
  <si>
    <t>2146265</t>
  </si>
  <si>
    <t>2146263</t>
  </si>
  <si>
    <t>devolucao cliente</t>
  </si>
  <si>
    <t>2146262</t>
  </si>
  <si>
    <t>Saida Outros: Sangria Ramon 02/03</t>
  </si>
  <si>
    <t>R$ 176,00</t>
  </si>
  <si>
    <t>R$ 35,47</t>
  </si>
  <si>
    <t>lanche funcionarios</t>
  </si>
  <si>
    <t>2152821</t>
  </si>
  <si>
    <t>R$ 7,69</t>
  </si>
  <si>
    <t>sorvete ramon pago em debito 54</t>
  </si>
  <si>
    <t>R$ 92,50</t>
  </si>
  <si>
    <t>sorvete rose pago em dinheiro 58</t>
  </si>
  <si>
    <t>pagamento motoboy tarde Luis</t>
  </si>
  <si>
    <t>sangria renan 03/03</t>
  </si>
  <si>
    <t>sangria regiane 31/01</t>
  </si>
  <si>
    <t>2156850</t>
  </si>
  <si>
    <t>2156851</t>
  </si>
  <si>
    <t>Saida Outros: Sangria Ramon 03/03</t>
  </si>
  <si>
    <t>TROCO</t>
  </si>
  <si>
    <t>Sangria bruna 01/02</t>
  </si>
  <si>
    <t>R$ 411,00</t>
  </si>
  <si>
    <t>pagamento clovis</t>
  </si>
  <si>
    <t>pagamento motoboy mateus</t>
  </si>
  <si>
    <t>sangria renan 04/03</t>
  </si>
  <si>
    <t>consumo Renan 3,00 pago em debito</t>
  </si>
  <si>
    <t>Saida Outros: Consumo Rose 44,50 no débito</t>
  </si>
  <si>
    <t>consumo Renan 5,00 pago em debito</t>
  </si>
  <si>
    <t>R$ 66,92</t>
  </si>
  <si>
    <t>Saida Outros: Sangria Ramon 04/03</t>
  </si>
  <si>
    <t>R$ 6,20</t>
  </si>
  <si>
    <t>plastificaçao</t>
  </si>
  <si>
    <t>R$ 128,80</t>
  </si>
  <si>
    <t>utencilios microondas</t>
  </si>
  <si>
    <t>sangria renan 02/02</t>
  </si>
  <si>
    <t>R$ 54,10</t>
  </si>
  <si>
    <t>cortesia moeda</t>
  </si>
  <si>
    <t>R$ 138,00</t>
  </si>
  <si>
    <t>Saida Outros: Sangria Ramon 05/03</t>
  </si>
  <si>
    <t>R$ 133,00</t>
  </si>
  <si>
    <t>SANGRIA RAMON 02/02</t>
  </si>
  <si>
    <t>R$ 257,00</t>
  </si>
  <si>
    <t>saida pagamento motoboy</t>
  </si>
  <si>
    <t>Saida Outros: pegador de inox</t>
  </si>
  <si>
    <t>sangria renan 03/02</t>
  </si>
  <si>
    <t>R$ 134,90</t>
  </si>
  <si>
    <t>Saida Outros: organizador campanha pascoa</t>
  </si>
  <si>
    <t>R$ 97,75</t>
  </si>
  <si>
    <t>SANGRIA RAMON</t>
  </si>
  <si>
    <t>Saida Outros: sangria renan 06/03</t>
  </si>
  <si>
    <t>TX ENTREGA CLOVIS</t>
  </si>
  <si>
    <t>R$ 18,20</t>
  </si>
  <si>
    <t>CONSUMO RAMON PAGO NO DEBITO 44,00</t>
  </si>
  <si>
    <t>Saida Outros: Sangria Ramon 06/03</t>
  </si>
  <si>
    <t>R$ 87,00</t>
  </si>
  <si>
    <t>Saida Outros: uber Luara</t>
  </si>
  <si>
    <t>sangria renan 04/02</t>
  </si>
  <si>
    <t>R$ 15,72</t>
  </si>
  <si>
    <t>R$ 249,00</t>
  </si>
  <si>
    <t>pagamento produtos de limpeza ANAs</t>
  </si>
  <si>
    <t>R$ 56,48</t>
  </si>
  <si>
    <t>Saida Outros: Consumo freelancer Luara</t>
  </si>
  <si>
    <t>sangria renan 05/02</t>
  </si>
  <si>
    <t>Saida Outros: Pagamento Freelancer Luara</t>
  </si>
  <si>
    <t>Tx Entrega Luiz</t>
  </si>
  <si>
    <t>Saida Outros: Pagamento Freelancer Soraida</t>
  </si>
  <si>
    <t>Pagamento Freelancer Luara</t>
  </si>
  <si>
    <t>Saida Outros: Pagamento Freelancer Izabela</t>
  </si>
  <si>
    <t>R$ 46,17</t>
  </si>
  <si>
    <t>Parceria Comendo em Caçador</t>
  </si>
  <si>
    <t>R$ 87,50</t>
  </si>
  <si>
    <t>Saida Outros: Sangria Ramon 07/03</t>
  </si>
  <si>
    <t>R$ 149,80</t>
  </si>
  <si>
    <t>teclado salao</t>
  </si>
  <si>
    <t>R$ 4,95</t>
  </si>
  <si>
    <t>caneta azul</t>
  </si>
  <si>
    <t>R$ 43,70</t>
  </si>
  <si>
    <t>lacre</t>
  </si>
  <si>
    <t>R$ 361,00</t>
  </si>
  <si>
    <t>Saida Outros: pagamento motoboy luiz</t>
  </si>
  <si>
    <t>R$ 122,00</t>
  </si>
  <si>
    <t>Saida Outros: pagamento free luara</t>
  </si>
  <si>
    <t>sangria renan 06/02</t>
  </si>
  <si>
    <t>Saida Outros: sangria renan 08/03</t>
  </si>
  <si>
    <t>R$ 56,21</t>
  </si>
  <si>
    <t>Saida Outros: pagamento uber free luara</t>
  </si>
  <si>
    <t>Saida Outros: devoluçao cliente</t>
  </si>
  <si>
    <t>R$ 23,32</t>
  </si>
  <si>
    <t>R$ 75,55</t>
  </si>
  <si>
    <t>Saida Outros: sucos</t>
  </si>
  <si>
    <t>R$ 67,69</t>
  </si>
  <si>
    <t>Saida Outros: embalagens delivery</t>
  </si>
  <si>
    <t>R$ 127,00</t>
  </si>
  <si>
    <t>Saida Outros: pagamento free maria</t>
  </si>
  <si>
    <t>Saida Outros: sangria renan 07/02</t>
  </si>
  <si>
    <t>Saida Outros: Sangria Ramon 09/03</t>
  </si>
  <si>
    <t>R$ 8,88</t>
  </si>
  <si>
    <t>R$ 16,96</t>
  </si>
  <si>
    <t>Saida Outros: consumo ramon</t>
  </si>
  <si>
    <t>Tx entrega motoboy Luiz</t>
  </si>
  <si>
    <t>Pagamento Freelancer Soraida</t>
  </si>
  <si>
    <t>Saida Outros: sangria renan 10/03</t>
  </si>
  <si>
    <t>Pagamento diferença Freelancer Soraida 07/02</t>
  </si>
  <si>
    <t>Saida Outros: Sangria Ramon 10/03</t>
  </si>
  <si>
    <t>Sangria Regiane</t>
  </si>
  <si>
    <t>Entrada Outros: entrada sangria renan 05/02</t>
  </si>
  <si>
    <t>R$ 205,28</t>
  </si>
  <si>
    <t>Saida Outros: compra saco de lixo</t>
  </si>
  <si>
    <t>Saida Outros: troco</t>
  </si>
  <si>
    <t>Saida Outros: devoluçao entrega cliente</t>
  </si>
  <si>
    <t>Saida Outros: sangria renan 11/03</t>
  </si>
  <si>
    <t>Entrada Outros: 2053350 finalizado como saida mais era entrada</t>
  </si>
  <si>
    <t>Saida Outros: sangria renan 09/02</t>
  </si>
  <si>
    <t>Saida Outros: consumo Ramon</t>
  </si>
  <si>
    <t>Saida Outros: Sangria Ramon 11/03</t>
  </si>
  <si>
    <t>R$ 15,45</t>
  </si>
  <si>
    <t>R$ 43,90</t>
  </si>
  <si>
    <t>impressao</t>
  </si>
  <si>
    <t>R$ 99,00</t>
  </si>
  <si>
    <t>Saida Outros: pagamento moytoboy clovis</t>
  </si>
  <si>
    <t>sangria renan 10/02</t>
  </si>
  <si>
    <t>R$ 47,40</t>
  </si>
  <si>
    <t>Saida Outros: sangria renan 13/03</t>
  </si>
  <si>
    <t>Saida Outros: Sangria Ramon 10/02</t>
  </si>
  <si>
    <t>Saida Outros: adesivos</t>
  </si>
  <si>
    <t>Saida Outros: Sangria Ramon 13/03</t>
  </si>
  <si>
    <t>R$ 259,00</t>
  </si>
  <si>
    <t>Saida Outros: Tx entrega Luiz (venda pelo whatsapp)</t>
  </si>
  <si>
    <t>sangria renan 12/02</t>
  </si>
  <si>
    <t>R$ 12,49</t>
  </si>
  <si>
    <t>Saida Outros: compra mercado bananas</t>
  </si>
  <si>
    <t>R$ 41,50</t>
  </si>
  <si>
    <t>Saida Outros: sangria renan 14/03</t>
  </si>
  <si>
    <t>Saida Outros: pagamento luiz</t>
  </si>
  <si>
    <t>Saida Outros: motoboy clovis</t>
  </si>
  <si>
    <t>R$ 104,37</t>
  </si>
  <si>
    <t>Saida Outros: sangria Regiane 26/03</t>
  </si>
  <si>
    <t>R$ 443,00</t>
  </si>
  <si>
    <t>R$ 23,27</t>
  </si>
  <si>
    <t>Saida Outros: CUPOM TOUR</t>
  </si>
  <si>
    <t>R$ 91,17</t>
  </si>
  <si>
    <t>Saida Outros: cafe funcionarios final de semana</t>
  </si>
  <si>
    <t>R$ 324,92</t>
  </si>
  <si>
    <t>Saida Outros: DELIVERY ONLINE ajuste vendas online</t>
  </si>
  <si>
    <t>Saida Outros: Freelancer Izabela</t>
  </si>
  <si>
    <t>R$ 730,00</t>
  </si>
  <si>
    <t>Saida Outros: SANGRIA RENAN 13/02</t>
  </si>
  <si>
    <t>Saida Outros: Consumo Regiane 43,15 no debito</t>
  </si>
  <si>
    <t>Saida Outros: Sangria Ramon 26/03</t>
  </si>
  <si>
    <t>Saida Outros: Sangria Ramon 15/03</t>
  </si>
  <si>
    <t>Entrada Outros: Sangria Ramon 26/03 - Caixa atendimento</t>
  </si>
  <si>
    <t>R$ 71,31</t>
  </si>
  <si>
    <t>Saida Outros: DELIVERY ONLINE - Ajuste venda online</t>
  </si>
  <si>
    <t>R$ 89,40</t>
  </si>
  <si>
    <t>R$ 139,00</t>
  </si>
  <si>
    <t>Saida Outros: Consumo Rose pago em dinheiro</t>
  </si>
  <si>
    <t>Saida Outros: sangria renan 16/03</t>
  </si>
  <si>
    <t>R$ 202,00</t>
  </si>
  <si>
    <t>Saida Outros: sangria renan 27/03</t>
  </si>
  <si>
    <t>Saida Outros: Sangria Ramon 16/03</t>
  </si>
  <si>
    <t>Saida Outros: volta motoboy</t>
  </si>
  <si>
    <t>sangria renan 14/02</t>
  </si>
  <si>
    <t>Saida Outros: sangria renan 17/03</t>
  </si>
  <si>
    <t>R$ 13,50</t>
  </si>
  <si>
    <t>uber luara</t>
  </si>
  <si>
    <t>Saida Outros: Sangria Ramon 27/03</t>
  </si>
  <si>
    <t>Saida Outros: Sangria Ramon 17/03</t>
  </si>
  <si>
    <t>R$ 196,00</t>
  </si>
  <si>
    <t>Saida Outros: Consumo Ramon 67,50 pago no debito</t>
  </si>
  <si>
    <t>R$ 215,00</t>
  </si>
  <si>
    <t>Tx entrega Clovis (era retirada, cliente pediu para entregar e pagou em Pix)</t>
  </si>
  <si>
    <t>R$ 12,80</t>
  </si>
  <si>
    <t>Saida Outros: Banana</t>
  </si>
  <si>
    <t>Freelancer Soraida</t>
  </si>
  <si>
    <t>Saida Outros: sangria renan 18/03</t>
  </si>
  <si>
    <t>Consumo Freelancer Luara</t>
  </si>
  <si>
    <t>Saida Outros: motoboy mateus</t>
  </si>
  <si>
    <t>R$ 94,50</t>
  </si>
  <si>
    <t>Saida Outros: Sangria Ramon 18/03</t>
  </si>
  <si>
    <t>Sangria Regiane 15/02</t>
  </si>
  <si>
    <t>Saida Outros: freelancer Soraida</t>
  </si>
  <si>
    <t>Saida Outros: freelancer Gustavo</t>
  </si>
  <si>
    <t>Saida Outros: sangria renan 19/03</t>
  </si>
  <si>
    <t>R$ 52,50</t>
  </si>
  <si>
    <t>R$ 236,00</t>
  </si>
  <si>
    <t>sangria renan 16/02</t>
  </si>
  <si>
    <t>Saida Outros: Tx entrega Luis</t>
  </si>
  <si>
    <t>Saida Outros: Sangria Regiane 28/03</t>
  </si>
  <si>
    <t>Saida Outros: Sangria Ramon 19/03</t>
  </si>
  <si>
    <t>R$ 36,46</t>
  </si>
  <si>
    <t>Saida Outros: devoluçao clientes</t>
  </si>
  <si>
    <t>Entrada Outros: entrada sangria renan 16/03 caixa atendimento</t>
  </si>
  <si>
    <t>Saida Outros: Sangria Ramon 16/02</t>
  </si>
  <si>
    <t>Entrada Outros: entrada sangria renan 18/03 caixa atendimento</t>
  </si>
  <si>
    <t>R$ 363,00</t>
  </si>
  <si>
    <t>Saida Outros: pagamento nmotoboy</t>
  </si>
  <si>
    <t>Saida Outros: caixa troco</t>
  </si>
  <si>
    <t>R$ 175,82</t>
  </si>
  <si>
    <t>R$ 2.090,00</t>
  </si>
  <si>
    <t>Saida Outros: sangria renan 29/03</t>
  </si>
  <si>
    <t>Saida Outros: DELIVERY ONLINE - Ajuste vendas online</t>
  </si>
  <si>
    <t>Saida Outros: sangria renan 20/03</t>
  </si>
  <si>
    <t>Saida Outros: sangria renan 30/03</t>
  </si>
  <si>
    <t>R$ 87,10</t>
  </si>
  <si>
    <t>R$ 305,00</t>
  </si>
  <si>
    <t>R$ 52,06</t>
  </si>
  <si>
    <t>sangria renan 17/02</t>
  </si>
  <si>
    <t>Saida Outros: Sangria Ramon 20/03</t>
  </si>
  <si>
    <t>Saida Outros: pagamentyo motoboy clovis</t>
  </si>
  <si>
    <t>Saida Outros: Consumo Renan débito</t>
  </si>
  <si>
    <t>R$ 232,50</t>
  </si>
  <si>
    <t>Saida Outros: sangria renan 21/03</t>
  </si>
  <si>
    <t>R$ 118,15</t>
  </si>
  <si>
    <t>Saida Outros: VENDAS ONLINE - Ajuste vendas online</t>
  </si>
  <si>
    <t>Entrada Outros: Sangria Renan 27/03 - Caixa atendimento</t>
  </si>
  <si>
    <t>Saida Outros: Sangria Ramon 17/02</t>
  </si>
  <si>
    <t>consumo josiane 10,00 pago em debito</t>
  </si>
  <si>
    <t>sangria ramom 17/02</t>
  </si>
  <si>
    <t>Saida Outros: sangria renan 31/03</t>
  </si>
  <si>
    <t>R$ 50,95</t>
  </si>
  <si>
    <t>sangria ramon 16/02</t>
  </si>
  <si>
    <t>R$ 104,12</t>
  </si>
  <si>
    <t>R$ 341,00</t>
  </si>
  <si>
    <t>Saida Outros: Tx entrega Yasmin</t>
  </si>
  <si>
    <t>Saida Outros: Free Soraida</t>
  </si>
  <si>
    <t>Saida Outros: Free Isabela</t>
  </si>
  <si>
    <t>R$ 62,15</t>
  </si>
  <si>
    <t>Saida Outros: Sangria Ramon 22/03</t>
  </si>
  <si>
    <t>mangueira</t>
  </si>
  <si>
    <t>Saida Outros: sangria renan 23/03</t>
  </si>
  <si>
    <t>R$ 4,35</t>
  </si>
  <si>
    <t>R$ 26,50</t>
  </si>
  <si>
    <t>Saida Outros: pagamento free regiane 29/03</t>
  </si>
  <si>
    <t>sangria renan 18/02</t>
  </si>
  <si>
    <t>Saida Outros: Sangria Ramon 23/03</t>
  </si>
  <si>
    <t>Saida Outros: Observação errada no ID 2080969 - Tx entrega Yasmin</t>
  </si>
  <si>
    <t>Saida Outros: Sangria Ramon 18/02</t>
  </si>
  <si>
    <t>Saida Outros: Sangria Ramon 01/04</t>
  </si>
  <si>
    <t>R$ 89,90</t>
  </si>
  <si>
    <t>Saida Outros: abacaxi</t>
  </si>
  <si>
    <t>R$ 91,80</t>
  </si>
  <si>
    <t>sangria renan 19/02</t>
  </si>
  <si>
    <t>Saida Outros: impressao</t>
  </si>
  <si>
    <t>R$ 113,00</t>
  </si>
  <si>
    <t>Saida Outros: Consumo Regi 19,90 pago no débito</t>
  </si>
  <si>
    <t>Saida Outros: Consumo Regiane 11,95 debito</t>
  </si>
  <si>
    <t>R$ 63,75</t>
  </si>
  <si>
    <t>Saida Outros: Consumo Ramon pago no débito</t>
  </si>
  <si>
    <t>Saida Outros: Sangria Ramon 19/02</t>
  </si>
  <si>
    <t>Entrada Outros: ID 2082538 lançada errada</t>
  </si>
  <si>
    <t>Saida Outros: sangria renan 02/03</t>
  </si>
  <si>
    <t>Saida Outros: Sangria Ramon 24/03</t>
  </si>
  <si>
    <t>R$ 81,50</t>
  </si>
  <si>
    <t>Entrada Outros: TROCO</t>
  </si>
  <si>
    <t>sangria renan 20/02</t>
  </si>
  <si>
    <t>Saida Outros: Sangria Ramon 02/04</t>
  </si>
  <si>
    <t>R$ 990,00</t>
  </si>
  <si>
    <t>Saida Outros: consumo Regiane 48,80 pago em debito</t>
  </si>
  <si>
    <t>Saida Outros: pagamento free angela</t>
  </si>
  <si>
    <t>Saida Outros: consumo Ramon 10,00 pago em debito</t>
  </si>
  <si>
    <t>Saida Outros: Sangria Ramon 20/02</t>
  </si>
  <si>
    <t>R$ 83,77</t>
  </si>
  <si>
    <t>R$ 155,97</t>
  </si>
  <si>
    <t>Panos e Grampeador</t>
  </si>
  <si>
    <t>Marcador para delivery</t>
  </si>
  <si>
    <t>R$ 16,90</t>
  </si>
  <si>
    <t>Mouse para computador 2</t>
  </si>
  <si>
    <t>Saida Outros: sangria renan 03/04</t>
  </si>
  <si>
    <t>R$ 21,98</t>
  </si>
  <si>
    <t>R$ 11,20</t>
  </si>
  <si>
    <t>Saida Outros: Bananas fruteira</t>
  </si>
  <si>
    <t>R$ 193,00</t>
  </si>
  <si>
    <t>Sangria Regiane 21/02'</t>
  </si>
  <si>
    <t>R$ 12,55</t>
  </si>
  <si>
    <t>pagamento uber free luara</t>
  </si>
  <si>
    <t>R$ 205,00</t>
  </si>
  <si>
    <t>Saida Outros: Voucher Cacau Show funcionários</t>
  </si>
  <si>
    <t>Saida Outros: Freelancer Gustavo</t>
  </si>
  <si>
    <t>pagamento free luara,</t>
  </si>
  <si>
    <t>sangria renan 22/02</t>
  </si>
  <si>
    <t>R$ 120,25</t>
  </si>
  <si>
    <t>Saida Outros: Sangria Regiane 04/04</t>
  </si>
  <si>
    <t>Saida Outros: pagamento frtee luara</t>
  </si>
  <si>
    <t>sangrian renan 23/02</t>
  </si>
  <si>
    <t>Saida Outros: Sangria Ramon 23/02</t>
  </si>
  <si>
    <t>Sangria Renan 23/02</t>
  </si>
  <si>
    <t>R$ 209,00</t>
  </si>
  <si>
    <t>Sangria Ramon 23/02</t>
  </si>
  <si>
    <t>R$ 10,80</t>
  </si>
  <si>
    <t>Saida Outros: cupom tour</t>
  </si>
  <si>
    <t>R$ 131,55</t>
  </si>
  <si>
    <t>R$ 145,00</t>
  </si>
  <si>
    <t>R$ 38,92</t>
  </si>
  <si>
    <t>Saida Outros: Venda online</t>
  </si>
  <si>
    <t>sangria renan 24/02</t>
  </si>
  <si>
    <t>Saida Outros: sangria renan 08/04</t>
  </si>
  <si>
    <t>R$ 121,00</t>
  </si>
  <si>
    <t>R$ 45,15</t>
  </si>
  <si>
    <t>Saida Outros: Sangria Ramon 24/02</t>
  </si>
  <si>
    <t>Saida Outros: Sangria Ramon 08/04</t>
  </si>
  <si>
    <t>R$ 29,90</t>
  </si>
  <si>
    <t>devoluçao cliente</t>
  </si>
  <si>
    <t>Saida Outros: sangria renan 09/04</t>
  </si>
  <si>
    <t>R$ 60,38</t>
  </si>
  <si>
    <t>Saida Outros: Parceria influencer</t>
  </si>
  <si>
    <t>R$ 255,00</t>
  </si>
  <si>
    <t>pagamento produtos de limpeza</t>
  </si>
  <si>
    <t>R$ 4,50</t>
  </si>
  <si>
    <t>Saida Outros: Sangria Ramon 09/04</t>
  </si>
  <si>
    <t>Saida Outros: Sangria Ramon 25/02</t>
  </si>
  <si>
    <t>R$ 54,85</t>
  </si>
  <si>
    <t>R$ 91,10</t>
  </si>
  <si>
    <t>Saida Outros: CAFE FUNCIONARIOS</t>
  </si>
  <si>
    <t>Saida Outros: CANECAS</t>
  </si>
  <si>
    <t>Saida Outros: PAGAMENTO MOTOBOY CLOVIS</t>
  </si>
  <si>
    <t>R$ 67,50</t>
  </si>
  <si>
    <t>Saida Outros: Sangria Ramon 10/04</t>
  </si>
  <si>
    <t>Saida Outros: sangria renan 11/04</t>
  </si>
  <si>
    <t>Saida Outros: motoboy yasmim</t>
  </si>
  <si>
    <t>R$ 5,79</t>
  </si>
  <si>
    <t>Saida Outros: mercado</t>
  </si>
  <si>
    <t>Saida Outros: sangria renan 13/04</t>
  </si>
  <si>
    <t>Saida Outros: pagamento moptoboy clovis</t>
  </si>
  <si>
    <t>Saida Outros: Sangria Ramon 13/04</t>
  </si>
  <si>
    <t>Saida Outros: Consumo Regi pago no débito 12,70</t>
  </si>
  <si>
    <t>Saida Outros: sangria renan 14/04</t>
  </si>
  <si>
    <t>R$ 73,90</t>
  </si>
  <si>
    <t>Saida Outros: Parceria influencer Tour</t>
  </si>
  <si>
    <t>Entrada Outros: treoco</t>
  </si>
  <si>
    <t>Saida Outros: sangraia renan 15/04</t>
  </si>
  <si>
    <t>R$ 146,00</t>
  </si>
  <si>
    <t>R$ 229,50</t>
  </si>
  <si>
    <t>Saida Outros: sangria renan 17/04</t>
  </si>
  <si>
    <t>Entrada Outros: Sangria Ramon 13/04</t>
  </si>
  <si>
    <t>Entrada Outros: Sangria Renan 14/04</t>
  </si>
  <si>
    <t>Entrada Outros: Sangria Renan 15/04</t>
  </si>
  <si>
    <t>Saida Outros: Sangria Ramon 17/04</t>
  </si>
  <si>
    <t>Saida Outros: pagamento mnotoboy clovis</t>
  </si>
  <si>
    <t>Saida Outros: sangria renan 18/04</t>
  </si>
  <si>
    <t>Saida Outros: Sangria Regiane 19/04</t>
  </si>
  <si>
    <t>Saida Outros: sangria renan 20/04</t>
  </si>
  <si>
    <t>Entrada Outros: Sangria Renan 13/04</t>
  </si>
  <si>
    <t>Entrada Outros: Sangria Ramon 16/04</t>
  </si>
  <si>
    <t>Entrada Outros: Sangria Renan 17/04</t>
  </si>
  <si>
    <t>Entrada Outros: Sangria Renan 18/04</t>
  </si>
  <si>
    <t>Saida Outros: Sangria Ramon 20/04</t>
  </si>
  <si>
    <t>Saida Outros: pagamento motoboy Clovis</t>
  </si>
  <si>
    <t>R$ 14,60</t>
  </si>
  <si>
    <t>Saida Outros: mangas</t>
  </si>
  <si>
    <t>Saida Outros: sangria renan 22/04</t>
  </si>
  <si>
    <t>R$ 12,20</t>
  </si>
  <si>
    <t>Saida Outros: Sangria Ramon 22/04</t>
  </si>
  <si>
    <t>Saida Outros: danglers</t>
  </si>
  <si>
    <t>Saida Outros: cartaz</t>
  </si>
  <si>
    <t>Saida Outros: Cupom da copa não estava dando desconto do valor final</t>
  </si>
  <si>
    <t>Saida Outros: Sangria Ramon 23/04</t>
  </si>
  <si>
    <t>Saida Outros: sangria renan 24/04</t>
  </si>
  <si>
    <t>Entrada Outros: Sangria Renan 22/04</t>
  </si>
  <si>
    <t>R$ 65,49</t>
  </si>
  <si>
    <t>Saida Outros: Saco para colherinhas delivery</t>
  </si>
  <si>
    <t>Saida Outros: Pão café funcionários</t>
  </si>
  <si>
    <t>R$ 112,88</t>
  </si>
  <si>
    <t>Saida Outros: Sangria Ramon 24/04</t>
  </si>
  <si>
    <t>R$ 62,90</t>
  </si>
  <si>
    <t>Saida Outros: Freelancer Victor</t>
  </si>
  <si>
    <t>Saida Outros: Sangria Regiane 25/04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</si>
</sst>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d/mm/yyyy hh:mm:ss"/>
    <numFmt numFmtId="166" formatCode="dd/mm/yyyy"/>
    <numFmt numFmtId="167" formatCode="[$R$ -416]#,##0.00"/>
    <numFmt numFmtId="168" formatCode="d/m"/>
    <numFmt numFmtId="169" formatCode="d/m/yyyy"/>
    <numFmt numFmtId="170" formatCode="dd/MM/yyyy"/>
  </numFmts>
  <fonts count="32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Calibri"/>
    </font>
    <font>
      <b/>
      <color theme="1"/>
      <name val="Arial"/>
    </font>
    <font>
      <sz val="11.0"/>
      <color rgb="FF000000"/>
      <name val="Roboto"/>
    </font>
    <font>
      <color theme="1"/>
      <name val="Arial"/>
      <scheme val="minor"/>
    </font>
    <font>
      <b/>
      <sz val="12.0"/>
      <color theme="1"/>
      <name val="Calibri"/>
    </font>
    <font>
      <b/>
      <sz val="17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b/>
      <color theme="1"/>
      <name val="Arial"/>
      <scheme val="minor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color rgb="FF000000"/>
      <name val="Roboto"/>
    </font>
    <font>
      <b/>
      <color theme="1"/>
      <name val="Google Sans Mono"/>
    </font>
    <font>
      <b/>
      <sz val="14.0"/>
      <color theme="1"/>
      <name val="Roboto"/>
    </font>
    <font>
      <b/>
      <sz val="11.0"/>
      <color theme="1"/>
      <name val="Roboto"/>
    </font>
    <font>
      <b/>
      <sz val="12.0"/>
      <color theme="1"/>
      <name val="Roboto"/>
    </font>
    <font>
      <b/>
      <color theme="1"/>
      <name val="Roboto"/>
    </font>
    <font>
      <b/>
      <color rgb="FF434343"/>
      <name val="Roboto"/>
    </font>
    <font>
      <sz val="11.0"/>
      <color rgb="FFFF0000"/>
      <name val="Calibri"/>
    </font>
    <font>
      <b/>
      <sz val="9.0"/>
      <color rgb="FF434343"/>
      <name val="&quot;Google Sans Mono&quot;"/>
    </font>
    <font>
      <sz val="11.0"/>
      <color rgb="FFFF0000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AFAFA"/>
        <bgColor rgb="FFFAFAFA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41">
    <border/>
    <border>
      <left style="thick">
        <color rgb="FF000000"/>
      </left>
    </border>
    <border>
      <bottom style="thin">
        <color rgb="FFF0F0F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3" fontId="2" numFmtId="164" xfId="0" applyAlignment="1" applyFont="1" applyNumberFormat="1">
      <alignment horizontal="center" vertical="bottom"/>
    </xf>
    <xf borderId="1" fillId="4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0" fillId="0" fontId="1" numFmtId="14" xfId="0" applyAlignment="1" applyFont="1" applyNumberFormat="1">
      <alignment horizontal="right" vertical="bottom"/>
    </xf>
    <xf borderId="0" fillId="4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4" fontId="2" numFmtId="164" xfId="0" applyAlignment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2" fillId="0" fontId="4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horizontal="left" readingOrder="0" shrinkToFit="0" wrapText="1"/>
    </xf>
    <xf borderId="2" fillId="0" fontId="4" numFmtId="0" xfId="0" applyAlignment="1" applyBorder="1" applyFont="1">
      <alignment horizontal="left" shrinkToFit="0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5" numFmtId="166" xfId="0" applyAlignment="1" applyFont="1" applyNumberFormat="1">
      <alignment readingOrder="0"/>
    </xf>
    <xf quotePrefix="1" borderId="0" fillId="0" fontId="5" numFmtId="0" xfId="0" applyAlignment="1" applyFont="1">
      <alignment readingOrder="0"/>
    </xf>
    <xf borderId="0" fillId="0" fontId="5" numFmtId="14" xfId="0" applyAlignment="1" applyFont="1" applyNumberFormat="1">
      <alignment readingOrder="0"/>
    </xf>
    <xf borderId="0" fillId="0" fontId="5" numFmtId="0" xfId="0" applyAlignment="1" applyFont="1">
      <alignment readingOrder="0"/>
    </xf>
    <xf borderId="2" fillId="5" fontId="4" numFmtId="0" xfId="0" applyAlignment="1" applyBorder="1" applyFill="1" applyFont="1">
      <alignment horizontal="left" shrinkToFit="0" wrapText="1"/>
    </xf>
    <xf borderId="0" fillId="0" fontId="1" numFmtId="14" xfId="0" applyAlignment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6" fontId="6" numFmtId="164" xfId="0" applyAlignment="1" applyFill="1" applyFont="1" applyNumberFormat="1">
      <alignment horizontal="center" vertical="bottom"/>
    </xf>
    <xf borderId="0" fillId="6" fontId="5" numFmtId="0" xfId="0" applyFont="1"/>
    <xf borderId="0" fillId="6" fontId="5" numFmtId="0" xfId="0" applyFont="1"/>
    <xf borderId="3" fillId="7" fontId="7" numFmtId="164" xfId="0" applyAlignment="1" applyBorder="1" applyFill="1" applyFont="1" applyNumberFormat="1">
      <alignment horizontal="center" readingOrder="0" vertical="bottom"/>
    </xf>
    <xf borderId="4" fillId="0" fontId="8" numFmtId="0" xfId="0" applyBorder="1" applyFont="1"/>
    <xf borderId="5" fillId="0" fontId="8" numFmtId="0" xfId="0" applyBorder="1" applyFont="1"/>
    <xf borderId="6" fillId="8" fontId="9" numFmtId="0" xfId="0" applyAlignment="1" applyBorder="1" applyFill="1" applyFont="1">
      <alignment horizontal="center" readingOrder="0"/>
    </xf>
    <xf borderId="7" fillId="0" fontId="8" numFmtId="0" xfId="0" applyBorder="1" applyFont="1"/>
    <xf borderId="8" fillId="8" fontId="9" numFmtId="164" xfId="0" applyAlignment="1" applyBorder="1" applyFont="1" applyNumberFormat="1">
      <alignment horizontal="center" vertical="bottom"/>
    </xf>
    <xf borderId="9" fillId="0" fontId="8" numFmtId="0" xfId="0" applyBorder="1" applyFont="1"/>
    <xf borderId="10" fillId="8" fontId="9" numFmtId="164" xfId="0" applyAlignment="1" applyBorder="1" applyFont="1" applyNumberFormat="1">
      <alignment horizontal="center" vertical="bottom"/>
    </xf>
    <xf borderId="11" fillId="0" fontId="8" numFmtId="0" xfId="0" applyBorder="1" applyFont="1"/>
    <xf borderId="0" fillId="6" fontId="9" numFmtId="0" xfId="0" applyAlignment="1" applyFont="1">
      <alignment horizontal="center" vertical="bottom"/>
    </xf>
    <xf borderId="3" fillId="8" fontId="9" numFmtId="164" xfId="0" applyAlignment="1" applyBorder="1" applyFont="1" applyNumberFormat="1">
      <alignment horizontal="center" vertical="bottom"/>
    </xf>
    <xf borderId="0" fillId="6" fontId="9" numFmtId="164" xfId="0" applyAlignment="1" applyFont="1" applyNumberFormat="1">
      <alignment horizontal="center" vertical="bottom"/>
    </xf>
    <xf borderId="12" fillId="9" fontId="10" numFmtId="0" xfId="0" applyAlignment="1" applyBorder="1" applyFill="1" applyFont="1">
      <alignment readingOrder="0"/>
    </xf>
    <xf borderId="13" fillId="9" fontId="10" numFmtId="0" xfId="0" applyAlignment="1" applyBorder="1" applyFont="1">
      <alignment readingOrder="0"/>
    </xf>
    <xf borderId="0" fillId="5" fontId="11" numFmtId="164" xfId="0" applyAlignment="1" applyFont="1" applyNumberFormat="1">
      <alignment horizontal="left" vertical="bottom"/>
    </xf>
    <xf borderId="14" fillId="5" fontId="12" numFmtId="167" xfId="0" applyAlignment="1" applyBorder="1" applyFont="1" applyNumberFormat="1">
      <alignment horizontal="right" vertical="bottom"/>
    </xf>
    <xf borderId="15" fillId="5" fontId="11" numFmtId="164" xfId="0" applyAlignment="1" applyBorder="1" applyFont="1" applyNumberFormat="1">
      <alignment horizontal="left" vertical="bottom"/>
    </xf>
    <xf borderId="16" fillId="5" fontId="12" numFmtId="167" xfId="0" applyAlignment="1" applyBorder="1" applyFont="1" applyNumberFormat="1">
      <alignment horizontal="right" vertical="bottom"/>
    </xf>
    <xf borderId="17" fillId="5" fontId="13" numFmtId="0" xfId="0" applyBorder="1" applyFont="1"/>
    <xf borderId="0" fillId="5" fontId="6" numFmtId="0" xfId="0" applyFont="1"/>
    <xf borderId="16" fillId="5" fontId="6" numFmtId="0" xfId="0" applyBorder="1" applyFont="1"/>
    <xf borderId="0" fillId="9" fontId="10" numFmtId="0" xfId="0" applyAlignment="1" applyFont="1">
      <alignment readingOrder="0"/>
    </xf>
    <xf borderId="14" fillId="9" fontId="10" numFmtId="0" xfId="0" applyAlignment="1" applyBorder="1" applyFont="1">
      <alignment readingOrder="0"/>
    </xf>
    <xf borderId="17" fillId="5" fontId="14" numFmtId="0" xfId="0" applyAlignment="1" applyBorder="1" applyFont="1">
      <alignment horizontal="left"/>
    </xf>
    <xf borderId="0" fillId="5" fontId="14" numFmtId="0" xfId="0" applyAlignment="1" applyFont="1">
      <alignment horizontal="left"/>
    </xf>
    <xf borderId="16" fillId="5" fontId="14" numFmtId="0" xfId="0" applyAlignment="1" applyBorder="1" applyFont="1">
      <alignment horizontal="left"/>
    </xf>
    <xf borderId="15" fillId="5" fontId="11" numFmtId="0" xfId="0" applyAlignment="1" applyBorder="1" applyFont="1">
      <alignment horizontal="left" vertical="bottom"/>
    </xf>
    <xf borderId="18" fillId="5" fontId="6" numFmtId="164" xfId="0" applyAlignment="1" applyBorder="1" applyFont="1" applyNumberFormat="1">
      <alignment horizontal="center" vertical="bottom"/>
    </xf>
    <xf borderId="19" fillId="0" fontId="8" numFmtId="0" xfId="0" applyBorder="1" applyFont="1"/>
    <xf borderId="20" fillId="5" fontId="6" numFmtId="164" xfId="0" applyAlignment="1" applyBorder="1" applyFont="1" applyNumberFormat="1">
      <alignment horizontal="center" vertical="bottom"/>
    </xf>
    <xf borderId="21" fillId="0" fontId="8" numFmtId="0" xfId="0" applyBorder="1" applyFont="1"/>
    <xf borderId="0" fillId="6" fontId="6" numFmtId="0" xfId="0" applyAlignment="1" applyFont="1">
      <alignment horizontal="center" vertical="bottom"/>
    </xf>
    <xf borderId="17" fillId="5" fontId="14" numFmtId="0" xfId="0" applyAlignment="1" applyBorder="1" applyFont="1">
      <alignment horizontal="left" vertical="bottom"/>
    </xf>
    <xf borderId="0" fillId="5" fontId="14" numFmtId="0" xfId="0" applyAlignment="1" applyFont="1">
      <alignment horizontal="left" vertical="bottom"/>
    </xf>
    <xf borderId="16" fillId="5" fontId="14" numFmtId="0" xfId="0" applyAlignment="1" applyBorder="1" applyFont="1">
      <alignment horizontal="left" vertical="bottom"/>
    </xf>
    <xf borderId="0" fillId="5" fontId="11" numFmtId="164" xfId="0" applyAlignment="1" applyFont="1" applyNumberFormat="1">
      <alignment vertical="bottom"/>
    </xf>
    <xf borderId="14" fillId="5" fontId="12" numFmtId="0" xfId="0" applyAlignment="1" applyBorder="1" applyFont="1">
      <alignment readingOrder="0" vertical="bottom"/>
    </xf>
    <xf borderId="15" fillId="5" fontId="11" numFmtId="164" xfId="0" applyAlignment="1" applyBorder="1" applyFont="1" applyNumberFormat="1">
      <alignment vertical="bottom"/>
    </xf>
    <xf borderId="14" fillId="5" fontId="12" numFmtId="168" xfId="0" applyAlignment="1" applyBorder="1" applyFont="1" applyNumberFormat="1">
      <alignment vertical="bottom"/>
    </xf>
    <xf borderId="16" fillId="5" fontId="12" numFmtId="168" xfId="0" applyAlignment="1" applyBorder="1" applyFont="1" applyNumberFormat="1">
      <alignment readingOrder="0" vertical="bottom"/>
    </xf>
    <xf borderId="0" fillId="6" fontId="12" numFmtId="0" xfId="0" applyAlignment="1" applyFont="1">
      <alignment vertical="bottom"/>
    </xf>
    <xf borderId="22" fillId="5" fontId="11" numFmtId="164" xfId="0" applyAlignment="1" applyBorder="1" applyFont="1" applyNumberFormat="1">
      <alignment vertical="bottom"/>
    </xf>
    <xf borderId="23" fillId="5" fontId="12" numFmtId="164" xfId="0" applyAlignment="1" applyBorder="1" applyFont="1" applyNumberFormat="1">
      <alignment readingOrder="0" vertical="bottom"/>
    </xf>
    <xf borderId="24" fillId="5" fontId="11" numFmtId="164" xfId="0" applyAlignment="1" applyBorder="1" applyFont="1" applyNumberFormat="1">
      <alignment vertical="bottom"/>
    </xf>
    <xf borderId="23" fillId="5" fontId="12" numFmtId="164" xfId="0" applyAlignment="1" applyBorder="1" applyFont="1" applyNumberFormat="1">
      <alignment vertical="bottom"/>
    </xf>
    <xf borderId="25" fillId="5" fontId="12" numFmtId="164" xfId="0" applyAlignment="1" applyBorder="1" applyFont="1" applyNumberFormat="1">
      <alignment readingOrder="0" vertical="bottom"/>
    </xf>
    <xf borderId="0" fillId="6" fontId="12" numFmtId="0" xfId="0" applyAlignment="1" applyFont="1">
      <alignment vertical="bottom"/>
    </xf>
    <xf borderId="17" fillId="5" fontId="14" numFmtId="0" xfId="0" applyAlignment="1" applyBorder="1" applyFont="1">
      <alignment horizontal="left"/>
    </xf>
    <xf borderId="0" fillId="5" fontId="14" numFmtId="0" xfId="0" applyAlignment="1" applyFont="1">
      <alignment horizontal="left"/>
    </xf>
    <xf borderId="16" fillId="5" fontId="14" numFmtId="0" xfId="0" applyAlignment="1" applyBorder="1" applyFont="1">
      <alignment horizontal="left"/>
    </xf>
    <xf borderId="0" fillId="6" fontId="14" numFmtId="0" xfId="0" applyAlignment="1" applyFont="1">
      <alignment vertical="bottom"/>
    </xf>
    <xf borderId="3" fillId="7" fontId="5" numFmtId="0" xfId="0" applyBorder="1" applyFont="1"/>
    <xf borderId="6" fillId="7" fontId="7" numFmtId="0" xfId="0" applyAlignment="1" applyBorder="1" applyFont="1">
      <alignment horizontal="center" readingOrder="0" vertical="bottom"/>
    </xf>
    <xf borderId="12" fillId="0" fontId="8" numFmtId="0" xfId="0" applyBorder="1" applyFont="1"/>
    <xf borderId="26" fillId="8" fontId="9" numFmtId="164" xfId="0" applyAlignment="1" applyBorder="1" applyFont="1" applyNumberFormat="1">
      <alignment horizontal="center" vertical="bottom"/>
    </xf>
    <xf borderId="27" fillId="0" fontId="8" numFmtId="0" xfId="0" applyBorder="1" applyFont="1"/>
    <xf borderId="28" fillId="0" fontId="8" numFmtId="0" xfId="0" applyBorder="1" applyFont="1"/>
    <xf borderId="29" fillId="8" fontId="9" numFmtId="164" xfId="0" applyAlignment="1" applyBorder="1" applyFont="1" applyNumberFormat="1">
      <alignment horizontal="center" readingOrder="0" vertical="bottom"/>
    </xf>
    <xf borderId="30" fillId="8" fontId="15" numFmtId="167" xfId="0" applyBorder="1" applyFont="1" applyNumberFormat="1"/>
    <xf borderId="31" fillId="8" fontId="9" numFmtId="164" xfId="0" applyAlignment="1" applyBorder="1" applyFont="1" applyNumberFormat="1">
      <alignment horizontal="center" vertical="bottom"/>
    </xf>
    <xf borderId="32" fillId="8" fontId="9" numFmtId="16" xfId="0" applyAlignment="1" applyBorder="1" applyFont="1" applyNumberFormat="1">
      <alignment horizontal="center" vertical="bottom"/>
    </xf>
    <xf borderId="26" fillId="8" fontId="9" numFmtId="164" xfId="0" applyAlignment="1" applyBorder="1" applyFont="1" applyNumberFormat="1">
      <alignment horizontal="center" readingOrder="0" vertical="bottom"/>
    </xf>
    <xf borderId="0" fillId="6" fontId="5" numFmtId="0" xfId="0" applyAlignment="1" applyFont="1">
      <alignment horizontal="left" readingOrder="0"/>
    </xf>
    <xf borderId="17" fillId="5" fontId="11" numFmtId="164" xfId="0" applyAlignment="1" applyBorder="1" applyFont="1" applyNumberFormat="1">
      <alignment horizontal="left" vertical="bottom"/>
    </xf>
    <xf borderId="14" fillId="5" fontId="12" numFmtId="167" xfId="0" applyAlignment="1" applyBorder="1" applyFont="1" applyNumberFormat="1">
      <alignment readingOrder="0"/>
    </xf>
    <xf borderId="0" fillId="5" fontId="16" numFmtId="0" xfId="0" applyAlignment="1" applyFont="1">
      <alignment readingOrder="0"/>
    </xf>
    <xf borderId="16" fillId="5" fontId="12" numFmtId="167" xfId="0" applyAlignment="1" applyBorder="1" applyFont="1" applyNumberFormat="1">
      <alignment readingOrder="0"/>
    </xf>
    <xf borderId="33" fillId="5" fontId="12" numFmtId="164" xfId="0" applyAlignment="1" applyBorder="1" applyFont="1" applyNumberFormat="1">
      <alignment horizontal="center" vertical="bottom"/>
    </xf>
    <xf borderId="34" fillId="5" fontId="12" numFmtId="167" xfId="0" applyAlignment="1" applyBorder="1" applyFont="1" applyNumberFormat="1">
      <alignment horizontal="center" vertical="bottom"/>
    </xf>
    <xf borderId="17" fillId="5" fontId="11" numFmtId="164" xfId="0" applyAlignment="1" applyBorder="1" applyFont="1" applyNumberFormat="1">
      <alignment horizontal="left" readingOrder="0" vertical="bottom"/>
    </xf>
    <xf borderId="16" fillId="5" fontId="12" numFmtId="167" xfId="0" applyAlignment="1" applyBorder="1" applyFont="1" applyNumberFormat="1">
      <alignment horizontal="left" vertical="bottom"/>
    </xf>
    <xf borderId="0" fillId="6" fontId="14" numFmtId="164" xfId="0" applyAlignment="1" applyFont="1" applyNumberFormat="1">
      <alignment horizontal="left" vertical="bottom"/>
    </xf>
    <xf borderId="0" fillId="5" fontId="12" numFmtId="167" xfId="0" applyAlignment="1" applyFont="1" applyNumberFormat="1">
      <alignment horizontal="right" vertical="bottom"/>
    </xf>
    <xf borderId="33" fillId="5" fontId="12" numFmtId="164" xfId="0" applyAlignment="1" applyBorder="1" applyFont="1" applyNumberFormat="1">
      <alignment vertical="bottom"/>
    </xf>
    <xf borderId="34" fillId="5" fontId="12" numFmtId="16" xfId="0" applyAlignment="1" applyBorder="1" applyFont="1" applyNumberFormat="1">
      <alignment vertical="bottom"/>
    </xf>
    <xf borderId="17" fillId="5" fontId="11" numFmtId="0" xfId="0" applyAlignment="1" applyBorder="1" applyFont="1">
      <alignment horizontal="left" vertical="bottom"/>
    </xf>
    <xf borderId="9" fillId="5" fontId="12" numFmtId="167" xfId="0" applyAlignment="1" applyBorder="1" applyFont="1" applyNumberFormat="1">
      <alignment horizontal="right" vertical="bottom"/>
    </xf>
    <xf borderId="10" fillId="5" fontId="11" numFmtId="164" xfId="0" applyAlignment="1" applyBorder="1" applyFont="1" applyNumberFormat="1">
      <alignment horizontal="left" readingOrder="0" vertical="bottom"/>
    </xf>
    <xf borderId="11" fillId="5" fontId="12" numFmtId="167" xfId="0" applyAlignment="1" applyBorder="1" applyFont="1" applyNumberFormat="1">
      <alignment horizontal="right" vertical="bottom"/>
    </xf>
    <xf borderId="35" fillId="8" fontId="9" numFmtId="164" xfId="0" applyAlignment="1" applyBorder="1" applyFont="1" applyNumberFormat="1">
      <alignment horizontal="center" readingOrder="0" vertical="center"/>
    </xf>
    <xf borderId="36" fillId="0" fontId="8" numFmtId="0" xfId="0" applyBorder="1" applyFont="1"/>
    <xf borderId="0" fillId="6" fontId="2" numFmtId="167" xfId="0" applyAlignment="1" applyFont="1" applyNumberFormat="1">
      <alignment horizontal="center" readingOrder="0" vertical="center"/>
    </xf>
    <xf borderId="37" fillId="5" fontId="6" numFmtId="164" xfId="0" applyAlignment="1" applyBorder="1" applyFont="1" applyNumberFormat="1">
      <alignment horizontal="center" vertical="bottom"/>
    </xf>
    <xf borderId="15" fillId="5" fontId="11" numFmtId="164" xfId="0" applyAlignment="1" applyBorder="1" applyFont="1" applyNumberFormat="1">
      <alignment horizontal="center" readingOrder="0" vertical="bottom"/>
    </xf>
    <xf borderId="16" fillId="0" fontId="8" numFmtId="0" xfId="0" applyBorder="1" applyFont="1"/>
    <xf borderId="22" fillId="9" fontId="17" numFmtId="164" xfId="0" applyAlignment="1" applyBorder="1" applyFont="1" applyNumberFormat="1">
      <alignment horizontal="center"/>
    </xf>
    <xf borderId="25" fillId="0" fontId="8" numFmtId="0" xfId="0" applyBorder="1" applyFont="1"/>
    <xf borderId="0" fillId="6" fontId="2" numFmtId="167" xfId="0" applyAlignment="1" applyFont="1" applyNumberFormat="1">
      <alignment horizontal="center" vertical="center"/>
    </xf>
    <xf borderId="17" fillId="5" fontId="11" numFmtId="164" xfId="0" applyAlignment="1" applyBorder="1" applyFont="1" applyNumberFormat="1">
      <alignment vertical="bottom"/>
    </xf>
    <xf borderId="16" fillId="5" fontId="12" numFmtId="164" xfId="0" applyAlignment="1" applyBorder="1" applyFont="1" applyNumberFormat="1">
      <alignment vertical="bottom"/>
    </xf>
    <xf borderId="16" fillId="5" fontId="12" numFmtId="167" xfId="0" applyAlignment="1" applyBorder="1" applyFont="1" applyNumberFormat="1">
      <alignment horizontal="right" vertical="bottom"/>
    </xf>
    <xf borderId="17" fillId="8" fontId="9" numFmtId="164" xfId="0" applyAlignment="1" applyBorder="1" applyFont="1" applyNumberFormat="1">
      <alignment horizontal="center" readingOrder="0" vertical="bottom"/>
    </xf>
    <xf borderId="38" fillId="5" fontId="11" numFmtId="164" xfId="0" applyAlignment="1" applyBorder="1" applyFont="1" applyNumberFormat="1">
      <alignment vertical="bottom"/>
    </xf>
    <xf borderId="25" fillId="5" fontId="12" numFmtId="164" xfId="0" applyAlignment="1" applyBorder="1" applyFont="1" applyNumberFormat="1">
      <alignment vertical="bottom"/>
    </xf>
    <xf borderId="24" fillId="5" fontId="11" numFmtId="164" xfId="0" applyAlignment="1" applyBorder="1" applyFont="1" applyNumberFormat="1">
      <alignment horizontal="left" readingOrder="0" vertical="bottom"/>
    </xf>
    <xf borderId="25" fillId="5" fontId="12" numFmtId="167" xfId="0" applyAlignment="1" applyBorder="1" applyFont="1" applyNumberFormat="1">
      <alignment horizontal="right" vertical="bottom"/>
    </xf>
    <xf borderId="38" fillId="5" fontId="11" numFmtId="164" xfId="0" applyAlignment="1" applyBorder="1" applyFont="1" applyNumberFormat="1">
      <alignment horizontal="left" vertical="bottom"/>
    </xf>
    <xf borderId="25" fillId="5" fontId="12" numFmtId="167" xfId="0" applyAlignment="1" applyBorder="1" applyFont="1" applyNumberFormat="1">
      <alignment horizontal="left" vertical="bottom"/>
    </xf>
    <xf borderId="38" fillId="5" fontId="14" numFmtId="0" xfId="0" applyAlignment="1" applyBorder="1" applyFont="1">
      <alignment horizontal="left"/>
    </xf>
    <xf borderId="22" fillId="5" fontId="14" numFmtId="0" xfId="0" applyAlignment="1" applyBorder="1" applyFont="1">
      <alignment horizontal="left"/>
    </xf>
    <xf borderId="25" fillId="5" fontId="14" numFmtId="0" xfId="0" applyAlignment="1" applyBorder="1" applyFont="1">
      <alignment horizontal="left"/>
    </xf>
    <xf borderId="0" fillId="6" fontId="2" numFmtId="164" xfId="0" applyAlignment="1" applyFont="1" applyNumberFormat="1">
      <alignment readingOrder="0" vertical="bottom"/>
    </xf>
    <xf borderId="0" fillId="6" fontId="2" numFmtId="0" xfId="0" applyAlignment="1" applyFont="1">
      <alignment readingOrder="0" vertical="bottom"/>
    </xf>
    <xf borderId="0" fillId="6" fontId="2" numFmtId="164" xfId="0" applyAlignment="1" applyFont="1" applyNumberFormat="1">
      <alignment horizontal="center" vertical="bottom"/>
    </xf>
    <xf borderId="0" fillId="6" fontId="2" numFmtId="0" xfId="0" applyAlignment="1" applyFont="1">
      <alignment horizontal="center" vertical="bottom"/>
    </xf>
    <xf borderId="0" fillId="6" fontId="18" numFmtId="164" xfId="0" applyAlignment="1" applyFont="1" applyNumberFormat="1">
      <alignment horizontal="center" readingOrder="0" vertical="bottom"/>
    </xf>
    <xf borderId="0" fillId="7" fontId="18" numFmtId="164" xfId="0" applyAlignment="1" applyFont="1" applyNumberFormat="1">
      <alignment horizontal="center" readingOrder="0" vertical="bottom"/>
    </xf>
    <xf borderId="0" fillId="6" fontId="2" numFmtId="0" xfId="0" applyAlignment="1" applyFont="1">
      <alignment vertical="bottom"/>
    </xf>
    <xf borderId="30" fillId="8" fontId="2" numFmtId="0" xfId="0" applyAlignment="1" applyBorder="1" applyFont="1">
      <alignment vertical="bottom"/>
    </xf>
    <xf borderId="30" fillId="8" fontId="2" numFmtId="164" xfId="0" applyAlignment="1" applyBorder="1" applyFont="1" applyNumberFormat="1">
      <alignment horizontal="center" vertical="bottom"/>
    </xf>
    <xf borderId="30" fillId="8" fontId="2" numFmtId="164" xfId="0" applyAlignment="1" applyBorder="1" applyFont="1" applyNumberFormat="1">
      <alignment horizontal="center" readingOrder="0" vertical="bottom"/>
    </xf>
    <xf borderId="30" fillId="8" fontId="5" numFmtId="0" xfId="0" applyBorder="1" applyFont="1"/>
    <xf borderId="30" fillId="8" fontId="19" numFmtId="0" xfId="0" applyAlignment="1" applyBorder="1" applyFont="1">
      <alignment horizontal="center" readingOrder="0"/>
    </xf>
    <xf borderId="30" fillId="8" fontId="2" numFmtId="0" xfId="0" applyAlignment="1" applyBorder="1" applyFont="1">
      <alignment horizontal="center" vertical="bottom"/>
    </xf>
    <xf borderId="0" fillId="8" fontId="9" numFmtId="164" xfId="0" applyAlignment="1" applyFont="1" applyNumberFormat="1">
      <alignment horizontal="center" vertical="bottom"/>
    </xf>
    <xf borderId="0" fillId="6" fontId="4" numFmtId="0" xfId="0" applyAlignment="1" applyFont="1">
      <alignment horizontal="left" readingOrder="0" shrinkToFit="0" wrapText="1"/>
    </xf>
    <xf borderId="0" fillId="0" fontId="1" numFmtId="14" xfId="0" applyAlignment="1" applyFont="1" applyNumberFormat="1">
      <alignment readingOrder="0" vertical="bottom"/>
    </xf>
    <xf borderId="2" fillId="0" fontId="4" numFmtId="0" xfId="0" applyAlignment="1" applyBorder="1" applyFont="1">
      <alignment horizontal="left" readingOrder="0" shrinkToFit="0" wrapText="1"/>
    </xf>
    <xf borderId="2" fillId="0" fontId="4" numFmtId="165" xfId="0" applyAlignment="1" applyBorder="1" applyFont="1" applyNumberFormat="1">
      <alignment horizontal="left" readingOrder="0" shrinkToFit="0" wrapText="1"/>
    </xf>
    <xf borderId="2" fillId="0" fontId="4" numFmtId="164" xfId="0" applyAlignment="1" applyBorder="1" applyFont="1" applyNumberFormat="1">
      <alignment horizontal="left" readingOrder="0" shrinkToFit="0" wrapText="1"/>
    </xf>
    <xf borderId="2" fillId="0" fontId="4" numFmtId="4" xfId="0" applyAlignment="1" applyBorder="1" applyFont="1" applyNumberFormat="1">
      <alignment horizontal="left" readingOrder="0" shrinkToFit="0" wrapText="1"/>
    </xf>
    <xf borderId="2" fillId="0" fontId="4" numFmtId="164" xfId="0" applyAlignment="1" applyBorder="1" applyFont="1" applyNumberFormat="1">
      <alignment horizontal="left" shrinkToFit="0" wrapText="1"/>
    </xf>
    <xf borderId="0" fillId="0" fontId="14" numFmtId="164" xfId="0" applyAlignment="1" applyFont="1" applyNumberFormat="1">
      <alignment readingOrder="0" vertical="bottom"/>
    </xf>
    <xf borderId="39" fillId="9" fontId="20" numFmtId="0" xfId="0" applyAlignment="1" applyBorder="1" applyFont="1">
      <alignment horizontal="center"/>
    </xf>
    <xf borderId="0" fillId="3" fontId="3" numFmtId="0" xfId="0" applyAlignment="1" applyFont="1">
      <alignment horizontal="center" vertical="bottom"/>
    </xf>
    <xf borderId="0" fillId="6" fontId="21" numFmtId="0" xfId="0" applyFont="1"/>
    <xf borderId="0" fillId="5" fontId="13" numFmtId="0" xfId="0" applyFont="1"/>
    <xf borderId="2" fillId="0" fontId="22" numFmtId="164" xfId="0" applyAlignment="1" applyBorder="1" applyFont="1" applyNumberFormat="1">
      <alignment horizontal="left" shrinkToFit="0" wrapText="0"/>
    </xf>
    <xf borderId="0" fillId="9" fontId="23" numFmtId="0" xfId="0" applyAlignment="1" applyFont="1">
      <alignment horizontal="center" vertical="bottom"/>
    </xf>
    <xf borderId="0" fillId="10" fontId="3" numFmtId="0" xfId="0" applyAlignment="1" applyFill="1" applyFont="1">
      <alignment horizontal="center" vertical="bottom"/>
    </xf>
    <xf borderId="0" fillId="9" fontId="3" numFmtId="0" xfId="0" applyAlignment="1" applyFont="1">
      <alignment horizontal="center" vertical="bottom"/>
    </xf>
    <xf borderId="2" fillId="5" fontId="4" numFmtId="164" xfId="0" applyAlignment="1" applyBorder="1" applyFont="1" applyNumberFormat="1">
      <alignment horizontal="left" shrinkToFit="0" wrapText="1"/>
    </xf>
    <xf borderId="0" fillId="10" fontId="23" numFmtId="0" xfId="0" applyAlignment="1" applyFont="1">
      <alignment horizontal="center" vertical="bottom"/>
    </xf>
    <xf borderId="0" fillId="0" fontId="1" numFmtId="166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14" numFmtId="164" xfId="0" applyAlignment="1" applyFont="1" applyNumberFormat="1">
      <alignment vertical="bottom"/>
    </xf>
    <xf borderId="0" fillId="0" fontId="14" numFmtId="164" xfId="0" applyFont="1" applyNumberFormat="1"/>
    <xf borderId="0" fillId="8" fontId="9" numFmtId="164" xfId="0" applyAlignment="1" applyFont="1" applyNumberFormat="1">
      <alignment horizontal="center" vertical="top"/>
    </xf>
    <xf borderId="0" fillId="7" fontId="24" numFmtId="0" xfId="0" applyAlignment="1" applyFont="1">
      <alignment horizontal="center"/>
    </xf>
    <xf borderId="0" fillId="8" fontId="25" numFmtId="0" xfId="0" applyAlignment="1" applyFont="1">
      <alignment vertical="bottom"/>
    </xf>
    <xf borderId="0" fillId="5" fontId="1" numFmtId="0" xfId="0" applyAlignment="1" applyFont="1">
      <alignment readingOrder="0" vertical="bottom"/>
    </xf>
    <xf borderId="0" fillId="5" fontId="1" numFmtId="14" xfId="0" applyAlignment="1" applyFont="1" applyNumberFormat="1">
      <alignment readingOrder="0" vertical="bottom"/>
    </xf>
    <xf borderId="0" fillId="5" fontId="1" numFmtId="167" xfId="0" applyAlignment="1" applyFont="1" applyNumberFormat="1">
      <alignment readingOrder="0" vertical="bottom"/>
    </xf>
    <xf borderId="0" fillId="10" fontId="1" numFmtId="167" xfId="0" applyAlignment="1" applyFont="1" applyNumberFormat="1">
      <alignment vertical="bottom"/>
    </xf>
    <xf borderId="0" fillId="10" fontId="1" numFmtId="167" xfId="0" applyAlignment="1" applyFont="1" applyNumberFormat="1">
      <alignment readingOrder="0" vertical="bottom"/>
    </xf>
    <xf borderId="0" fillId="5" fontId="1" numFmtId="0" xfId="0" applyAlignment="1" applyFont="1">
      <alignment vertical="bottom"/>
    </xf>
    <xf borderId="0" fillId="5" fontId="1" numFmtId="167" xfId="0" applyAlignment="1" applyFont="1" applyNumberFormat="1">
      <alignment vertical="bottom"/>
    </xf>
    <xf borderId="0" fillId="7" fontId="26" numFmtId="167" xfId="0" applyAlignment="1" applyFont="1" applyNumberFormat="1">
      <alignment horizontal="center" vertical="bottom"/>
    </xf>
    <xf borderId="0" fillId="8" fontId="27" numFmtId="0" xfId="0" applyAlignment="1" applyFont="1">
      <alignment horizontal="center" vertical="bottom"/>
    </xf>
    <xf borderId="0" fillId="8" fontId="27" numFmtId="167" xfId="0" applyAlignment="1" applyFont="1" applyNumberFormat="1">
      <alignment horizontal="center" vertical="bottom"/>
    </xf>
    <xf borderId="0" fillId="8" fontId="28" numFmtId="0" xfId="0" applyAlignment="1" applyFont="1">
      <alignment horizontal="center" vertical="bottom"/>
    </xf>
    <xf borderId="0" fillId="10" fontId="3" numFmtId="0" xfId="0" applyAlignment="1" applyFont="1">
      <alignment horizontal="center" vertical="bottom"/>
    </xf>
    <xf borderId="0" fillId="10" fontId="3" numFmtId="165" xfId="0" applyAlignment="1" applyFont="1" applyNumberFormat="1">
      <alignment horizontal="right" vertical="bottom"/>
    </xf>
    <xf borderId="0" fillId="10" fontId="3" numFmtId="167" xfId="0" applyAlignment="1" applyFont="1" applyNumberFormat="1">
      <alignment horizontal="center" vertical="bottom"/>
    </xf>
    <xf borderId="0" fillId="9" fontId="3" numFmtId="0" xfId="0" applyAlignment="1" applyFont="1">
      <alignment horizontal="center" vertical="bottom"/>
    </xf>
    <xf borderId="0" fillId="9" fontId="3" numFmtId="165" xfId="0" applyAlignment="1" applyFont="1" applyNumberFormat="1">
      <alignment horizontal="right" vertical="bottom"/>
    </xf>
    <xf borderId="0" fillId="9" fontId="3" numFmtId="167" xfId="0" applyAlignment="1" applyFont="1" applyNumberFormat="1">
      <alignment horizontal="center" vertical="bottom"/>
    </xf>
    <xf borderId="2" fillId="11" fontId="4" numFmtId="164" xfId="0" applyAlignment="1" applyBorder="1" applyFill="1" applyFont="1" applyNumberFormat="1">
      <alignment horizontal="left" readingOrder="0" shrinkToFit="0" wrapText="1"/>
    </xf>
    <xf borderId="0" fillId="0" fontId="5" numFmtId="0" xfId="0" applyFont="1"/>
    <xf borderId="0" fillId="9" fontId="3" numFmtId="0" xfId="0" applyAlignment="1" applyFont="1">
      <alignment horizontal="right" vertical="bottom"/>
    </xf>
    <xf borderId="0" fillId="10" fontId="3" numFmtId="0" xfId="0" applyAlignment="1" applyFont="1">
      <alignment horizontal="right" vertical="bottom"/>
    </xf>
    <xf borderId="0" fillId="9" fontId="3" numFmtId="14" xfId="0" applyAlignment="1" applyFont="1" applyNumberFormat="1">
      <alignment horizontal="center" vertical="bottom"/>
    </xf>
    <xf borderId="0" fillId="9" fontId="3" numFmtId="14" xfId="0" applyAlignment="1" applyFont="1" applyNumberFormat="1">
      <alignment horizontal="right" vertical="bottom"/>
    </xf>
    <xf borderId="0" fillId="0" fontId="4" numFmtId="0" xfId="0" applyAlignment="1" applyFont="1">
      <alignment horizontal="left" shrinkToFit="0" wrapText="1"/>
    </xf>
    <xf borderId="0" fillId="0" fontId="4" numFmtId="165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4" xfId="0" applyAlignment="1" applyFont="1" applyNumberFormat="1">
      <alignment horizontal="left" shrinkToFit="0" wrapText="1"/>
    </xf>
    <xf borderId="0" fillId="0" fontId="5" numFmtId="169" xfId="0" applyAlignment="1" applyFont="1" applyNumberFormat="1">
      <alignment readingOrder="0"/>
    </xf>
    <xf borderId="17" fillId="5" fontId="14" numFmtId="165" xfId="0" applyAlignment="1" applyBorder="1" applyFont="1" applyNumberFormat="1">
      <alignment horizontal="left"/>
    </xf>
    <xf borderId="17" fillId="5" fontId="14" numFmtId="165" xfId="0" applyAlignment="1" applyBorder="1" applyFont="1" applyNumberFormat="1">
      <alignment horizontal="left" vertical="bottom"/>
    </xf>
    <xf borderId="40" fillId="8" fontId="2" numFmtId="164" xfId="0" applyAlignment="1" applyBorder="1" applyFont="1" applyNumberFormat="1">
      <alignment horizontal="center" readingOrder="0" vertical="bottom"/>
    </xf>
    <xf borderId="0" fillId="3" fontId="3" numFmtId="0" xfId="0" applyAlignment="1" applyFont="1">
      <alignment vertical="bottom"/>
    </xf>
    <xf borderId="0" fillId="5" fontId="14" numFmtId="165" xfId="0" applyAlignment="1" applyFont="1" applyNumberFormat="1">
      <alignment horizontal="left"/>
    </xf>
    <xf borderId="0" fillId="10" fontId="3" numFmtId="0" xfId="0" applyAlignment="1" applyFont="1">
      <alignment vertical="bottom"/>
    </xf>
    <xf borderId="0" fillId="5" fontId="14" numFmtId="165" xfId="0" applyAlignment="1" applyFont="1" applyNumberFormat="1">
      <alignment horizontal="left" vertical="bottom"/>
    </xf>
    <xf borderId="0" fillId="9" fontId="3" numFmtId="0" xfId="0" applyAlignment="1" applyFont="1">
      <alignment vertical="bottom"/>
    </xf>
    <xf borderId="2" fillId="0" fontId="4" numFmtId="164" xfId="0" applyAlignment="1" applyBorder="1" applyFont="1" applyNumberFormat="1">
      <alignment horizontal="left" readingOrder="0" shrinkToFit="0" wrapText="1"/>
    </xf>
    <xf borderId="2" fillId="0" fontId="4" numFmtId="4" xfId="0" applyAlignment="1" applyBorder="1" applyFont="1" applyNumberFormat="1">
      <alignment horizontal="left" readingOrder="0" shrinkToFit="0" wrapText="1"/>
    </xf>
    <xf borderId="2" fillId="0" fontId="4" numFmtId="164" xfId="0" applyAlignment="1" applyBorder="1" applyFont="1" applyNumberFormat="1">
      <alignment horizontal="left" shrinkToFit="0" wrapText="1"/>
    </xf>
    <xf borderId="0" fillId="9" fontId="5" numFmtId="0" xfId="0" applyFont="1"/>
    <xf borderId="2" fillId="5" fontId="4" numFmtId="164" xfId="0" applyAlignment="1" applyBorder="1" applyFont="1" applyNumberFormat="1">
      <alignment horizontal="left" shrinkToFit="0" wrapText="1"/>
    </xf>
    <xf borderId="0" fillId="9" fontId="14" numFmtId="170" xfId="0" applyAlignment="1" applyFont="1" applyNumberFormat="1">
      <alignment horizontal="center"/>
    </xf>
    <xf borderId="0" fillId="0" fontId="29" numFmtId="4" xfId="0" applyFont="1" applyNumberFormat="1"/>
    <xf borderId="0" fillId="0" fontId="4" numFmtId="0" xfId="0" applyAlignment="1" applyFont="1">
      <alignment horizontal="left" shrinkToFit="0" wrapText="1"/>
    </xf>
    <xf borderId="0" fillId="0" fontId="4" numFmtId="165" xfId="0" applyAlignment="1" applyFont="1" applyNumberFormat="1">
      <alignment horizontal="left" shrinkToFit="0" wrapText="1"/>
    </xf>
    <xf borderId="0" fillId="0" fontId="4" numFmtId="164" xfId="0" applyAlignment="1" applyFont="1" applyNumberFormat="1">
      <alignment horizontal="left" shrinkToFit="0" wrapText="1"/>
    </xf>
    <xf borderId="0" fillId="0" fontId="4" numFmtId="4" xfId="0" applyAlignment="1" applyFont="1" applyNumberFormat="1">
      <alignment horizontal="left" shrinkToFit="0" wrapText="1"/>
    </xf>
    <xf borderId="2" fillId="11" fontId="4" numFmtId="4" xfId="0" applyAlignment="1" applyBorder="1" applyFont="1" applyNumberFormat="1">
      <alignment horizontal="left" readingOrder="0" shrinkToFit="0" wrapText="1"/>
    </xf>
    <xf borderId="0" fillId="10" fontId="3" numFmtId="0" xfId="0" applyAlignment="1" applyFont="1">
      <alignment horizontal="center" readingOrder="0" vertical="bottom"/>
    </xf>
    <xf borderId="0" fillId="6" fontId="30" numFmtId="0" xfId="0" applyAlignment="1" applyFont="1">
      <alignment horizontal="center"/>
    </xf>
    <xf borderId="0" fillId="0" fontId="5" numFmtId="168" xfId="0" applyAlignment="1" applyFont="1" applyNumberFormat="1">
      <alignment readingOrder="0"/>
    </xf>
    <xf borderId="0" fillId="6" fontId="30" numFmtId="0" xfId="0" applyFont="1"/>
    <xf borderId="2" fillId="11" fontId="4" numFmtId="0" xfId="0" applyAlignment="1" applyBorder="1" applyFont="1">
      <alignment horizontal="left" readingOrder="0" shrinkToFit="0" wrapText="1"/>
    </xf>
    <xf borderId="2" fillId="11" fontId="4" numFmtId="165" xfId="0" applyAlignment="1" applyBorder="1" applyFont="1" applyNumberFormat="1">
      <alignment horizontal="left" readingOrder="0" shrinkToFit="0" wrapText="1"/>
    </xf>
    <xf borderId="2" fillId="11" fontId="4" numFmtId="164" xfId="0" applyAlignment="1" applyBorder="1" applyFont="1" applyNumberFormat="1">
      <alignment horizontal="left" shrinkToFit="0" wrapText="1"/>
    </xf>
    <xf borderId="2" fillId="12" fontId="4" numFmtId="164" xfId="0" applyAlignment="1" applyBorder="1" applyFill="1" applyFont="1" applyNumberFormat="1">
      <alignment horizontal="left" readingOrder="0" shrinkToFit="0" wrapText="1"/>
    </xf>
    <xf borderId="38" fillId="5" fontId="14" numFmtId="165" xfId="0" applyAlignment="1" applyBorder="1" applyFont="1" applyNumberFormat="1">
      <alignment horizontal="left"/>
    </xf>
    <xf borderId="2" fillId="9" fontId="4" numFmtId="164" xfId="0" applyAlignment="1" applyBorder="1" applyFont="1" applyNumberFormat="1">
      <alignment horizontal="left" readingOrder="0" shrinkToFit="0" wrapText="1"/>
    </xf>
    <xf borderId="2" fillId="0" fontId="31" numFmtId="164" xfId="0" applyAlignment="1" applyBorder="1" applyFont="1" applyNumberFormat="1">
      <alignment horizontal="left"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8">
    <tableStyle count="3" pivot="0" name="OUTUBRO 2025-style">
      <tableStyleElement dxfId="1" type="headerRow"/>
      <tableStyleElement dxfId="2" type="firstRowStripe"/>
      <tableStyleElement dxfId="3" type="secondRowStripe"/>
    </tableStyle>
    <tableStyle count="3" pivot="0" name="NOVEMBRO 2025-style">
      <tableStyleElement dxfId="4" type="headerRow"/>
      <tableStyleElement dxfId="2" type="firstRowStripe"/>
      <tableStyleElement dxfId="3" type="secondRowStripe"/>
    </tableStyle>
    <tableStyle count="3" pivot="0" name="DEZEMBRO 2025-style">
      <tableStyleElement dxfId="4" type="headerRow"/>
      <tableStyleElement dxfId="2" type="firstRowStripe"/>
      <tableStyleElement dxfId="3" type="secondRowStripe"/>
    </tableStyle>
    <tableStyle count="3" pivot="0" name="JANEIRO 2026-style">
      <tableStyleElement dxfId="4" type="headerRow"/>
      <tableStyleElement dxfId="2" type="firstRowStripe"/>
      <tableStyleElement dxfId="3" type="secondRowStripe"/>
    </tableStyle>
    <tableStyle count="3" pivot="0" name="FEVEREIRO 2026-style">
      <tableStyleElement dxfId="4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MAIO 202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22:M500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UTUBRO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22:M500" displayName="Table_2" name="Table_2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NOVEMBRO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22:M500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DEZEMBRO 20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22:M500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22:M500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22:M500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22:M500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22:M500" displayName="Table_8" name="Table_8" id="8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IO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4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5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4.5"/>
    <col customWidth="1" min="3" max="3" width="11.75"/>
    <col customWidth="1" min="4" max="4" width="5.38"/>
    <col customWidth="1" min="5" max="5" width="6.25"/>
    <col customWidth="1" min="6" max="6" width="8.25"/>
    <col hidden="1" min="7" max="24" width="12.63"/>
  </cols>
  <sheetData>
    <row r="1">
      <c r="A1" s="2" t="s">
        <v>1</v>
      </c>
      <c r="B1" s="4" t="s">
        <v>10</v>
      </c>
      <c r="C1" s="4" t="s">
        <v>16</v>
      </c>
      <c r="D1" s="4" t="s">
        <v>18</v>
      </c>
      <c r="E1" s="4" t="s">
        <v>19</v>
      </c>
      <c r="F1" s="4" t="s">
        <v>8</v>
      </c>
      <c r="G1" s="5" t="s">
        <v>26</v>
      </c>
      <c r="H1" s="7" t="s">
        <v>34</v>
      </c>
      <c r="I1" s="9" t="s">
        <v>38</v>
      </c>
      <c r="J1" s="11" t="s">
        <v>43</v>
      </c>
      <c r="K1" s="11" t="s">
        <v>12</v>
      </c>
      <c r="L1" s="11" t="s">
        <v>50</v>
      </c>
      <c r="M1" s="12" t="s">
        <v>5</v>
      </c>
      <c r="N1" s="7" t="s">
        <v>21</v>
      </c>
      <c r="O1" s="7" t="s">
        <v>2</v>
      </c>
      <c r="P1" s="7" t="s">
        <v>60</v>
      </c>
      <c r="Q1" s="7" t="s">
        <v>62</v>
      </c>
      <c r="R1" s="7" t="s">
        <v>6</v>
      </c>
      <c r="S1" s="7" t="s">
        <v>11</v>
      </c>
      <c r="T1" s="7" t="s">
        <v>66</v>
      </c>
      <c r="U1" s="7" t="s">
        <v>68</v>
      </c>
      <c r="V1" s="7" t="s">
        <v>70</v>
      </c>
      <c r="W1" s="7" t="s">
        <v>72</v>
      </c>
      <c r="X1" s="7" t="s">
        <v>74</v>
      </c>
    </row>
    <row r="2" hidden="1">
      <c r="A2" s="13">
        <v>2150653.0</v>
      </c>
      <c r="B2" s="14">
        <v>46138.85293981482</v>
      </c>
      <c r="C2" s="13" t="s">
        <v>101</v>
      </c>
      <c r="D2" s="13" t="s">
        <v>104</v>
      </c>
      <c r="E2" s="15"/>
      <c r="F2" s="13" t="s">
        <v>109</v>
      </c>
      <c r="G2" s="16">
        <v>13.36</v>
      </c>
      <c r="I2" s="16" t="b">
        <v>0</v>
      </c>
      <c r="J2" s="16" t="s">
        <v>116</v>
      </c>
      <c r="K2" s="16" t="s">
        <v>117</v>
      </c>
      <c r="N2" s="16" t="b">
        <v>1</v>
      </c>
      <c r="O2" s="16" t="s">
        <v>35</v>
      </c>
      <c r="R2" s="16" t="s">
        <v>118</v>
      </c>
    </row>
    <row r="3" hidden="1">
      <c r="A3" s="13">
        <v>2150854.0</v>
      </c>
      <c r="B3" s="14">
        <v>46138.885</v>
      </c>
      <c r="C3" s="13" t="s">
        <v>101</v>
      </c>
      <c r="D3" s="13" t="s">
        <v>121</v>
      </c>
      <c r="E3" s="15"/>
      <c r="F3" s="13" t="s">
        <v>124</v>
      </c>
      <c r="G3" s="16">
        <v>135.0</v>
      </c>
      <c r="I3" s="16" t="b">
        <v>0</v>
      </c>
      <c r="J3" s="16" t="s">
        <v>126</v>
      </c>
      <c r="N3" s="16" t="b">
        <v>1</v>
      </c>
      <c r="O3" s="16" t="s">
        <v>35</v>
      </c>
      <c r="R3" s="16" t="s">
        <v>127</v>
      </c>
    </row>
    <row r="4" hidden="1">
      <c r="A4" s="13">
        <v>2151126.0</v>
      </c>
      <c r="B4" s="14">
        <v>46138.9146412037</v>
      </c>
      <c r="C4" s="13" t="s">
        <v>101</v>
      </c>
      <c r="D4" s="13" t="s">
        <v>130</v>
      </c>
      <c r="E4" s="15"/>
      <c r="F4" s="13" t="s">
        <v>133</v>
      </c>
      <c r="G4" s="16">
        <v>302.0</v>
      </c>
      <c r="I4" s="16" t="b">
        <v>0</v>
      </c>
      <c r="J4" s="16" t="s">
        <v>134</v>
      </c>
      <c r="N4" s="16" t="b">
        <v>1</v>
      </c>
      <c r="O4" s="16" t="s">
        <v>35</v>
      </c>
      <c r="R4" s="16" t="s">
        <v>136</v>
      </c>
    </row>
    <row r="5" hidden="1">
      <c r="A5" s="13">
        <v>2152362.0</v>
      </c>
      <c r="B5" s="14">
        <v>46139.697291666664</v>
      </c>
      <c r="C5" s="13" t="s">
        <v>139</v>
      </c>
      <c r="D5" s="13" t="s">
        <v>141</v>
      </c>
      <c r="E5" s="15"/>
      <c r="F5" s="13" t="s">
        <v>142</v>
      </c>
      <c r="G5" s="16">
        <v>50.0</v>
      </c>
      <c r="I5" s="16" t="b">
        <v>0</v>
      </c>
      <c r="J5" s="16" t="s">
        <v>144</v>
      </c>
      <c r="N5" s="16" t="b">
        <v>1</v>
      </c>
      <c r="O5" s="16" t="s">
        <v>35</v>
      </c>
      <c r="R5" s="16" t="s">
        <v>148</v>
      </c>
    </row>
    <row r="6" hidden="1">
      <c r="A6" s="13">
        <v>2152439.0</v>
      </c>
      <c r="B6" s="14">
        <v>46139.72385416667</v>
      </c>
      <c r="C6" s="13" t="s">
        <v>101</v>
      </c>
      <c r="D6" s="13" t="s">
        <v>149</v>
      </c>
      <c r="E6" s="15"/>
      <c r="F6" s="13" t="s">
        <v>133</v>
      </c>
      <c r="G6" s="16">
        <v>69.0</v>
      </c>
      <c r="I6" s="16" t="b">
        <v>0</v>
      </c>
      <c r="J6" s="16" t="s">
        <v>134</v>
      </c>
      <c r="N6" s="16" t="b">
        <v>1</v>
      </c>
      <c r="O6" s="16" t="s">
        <v>35</v>
      </c>
      <c r="R6" s="16" t="s">
        <v>158</v>
      </c>
    </row>
    <row r="7" hidden="1">
      <c r="A7" s="13">
        <v>2152797.0</v>
      </c>
      <c r="B7" s="14">
        <v>46139.87542824074</v>
      </c>
      <c r="C7" s="13" t="s">
        <v>139</v>
      </c>
      <c r="D7" s="13" t="s">
        <v>161</v>
      </c>
      <c r="E7" s="15"/>
      <c r="F7" s="13" t="s">
        <v>142</v>
      </c>
      <c r="G7" s="16">
        <v>60.0</v>
      </c>
      <c r="I7" s="16" t="b">
        <v>0</v>
      </c>
      <c r="J7" s="16" t="s">
        <v>144</v>
      </c>
      <c r="N7" s="16" t="b">
        <v>1</v>
      </c>
      <c r="O7" s="16" t="s">
        <v>35</v>
      </c>
      <c r="R7" s="16" t="s">
        <v>164</v>
      </c>
    </row>
    <row r="8" hidden="1">
      <c r="A8" s="13">
        <v>2152821.0</v>
      </c>
      <c r="B8" s="14">
        <v>46139.88002314815</v>
      </c>
      <c r="C8" s="13" t="s">
        <v>101</v>
      </c>
      <c r="D8" s="13" t="s">
        <v>165</v>
      </c>
      <c r="E8" s="15"/>
      <c r="F8" s="13" t="s">
        <v>167</v>
      </c>
      <c r="G8" s="16">
        <v>58.0</v>
      </c>
      <c r="I8" s="16" t="b">
        <v>0</v>
      </c>
      <c r="J8" s="16" t="s">
        <v>170</v>
      </c>
      <c r="M8" s="16" t="s">
        <v>172</v>
      </c>
      <c r="N8" s="16" t="b">
        <v>1</v>
      </c>
      <c r="O8" s="16" t="s">
        <v>35</v>
      </c>
      <c r="R8" s="16" t="s">
        <v>173</v>
      </c>
    </row>
    <row r="9" hidden="1">
      <c r="A9" s="13">
        <v>2152929.0</v>
      </c>
      <c r="B9" s="14">
        <v>46139.90762731482</v>
      </c>
      <c r="C9" s="13" t="s">
        <v>101</v>
      </c>
      <c r="D9" s="13" t="s">
        <v>179</v>
      </c>
      <c r="E9" s="15"/>
      <c r="F9" s="13" t="s">
        <v>181</v>
      </c>
      <c r="G9" s="16">
        <v>20.0</v>
      </c>
      <c r="I9" s="16" t="b">
        <v>0</v>
      </c>
      <c r="J9" s="16" t="s">
        <v>134</v>
      </c>
      <c r="N9" s="16" t="b">
        <v>1</v>
      </c>
      <c r="O9" s="16" t="s">
        <v>35</v>
      </c>
      <c r="R9" s="16" t="s">
        <v>187</v>
      </c>
    </row>
    <row r="10" hidden="1">
      <c r="A10" s="13">
        <v>2153802.0</v>
      </c>
      <c r="B10" s="14">
        <v>46140.73045138889</v>
      </c>
      <c r="C10" s="13" t="s">
        <v>101</v>
      </c>
      <c r="D10" s="13" t="s">
        <v>191</v>
      </c>
      <c r="E10" s="15"/>
      <c r="F10" s="13" t="s">
        <v>133</v>
      </c>
      <c r="G10" s="16">
        <v>39.0</v>
      </c>
      <c r="I10" s="16" t="b">
        <v>0</v>
      </c>
      <c r="J10" s="16" t="s">
        <v>134</v>
      </c>
      <c r="N10" s="16" t="b">
        <v>1</v>
      </c>
      <c r="O10" s="16" t="s">
        <v>35</v>
      </c>
      <c r="R10" s="16" t="s">
        <v>197</v>
      </c>
    </row>
    <row r="11" hidden="1">
      <c r="A11" s="13">
        <v>2153820.0</v>
      </c>
      <c r="B11" s="14">
        <v>46140.74114583333</v>
      </c>
      <c r="C11" s="13" t="s">
        <v>101</v>
      </c>
      <c r="D11" s="13" t="s">
        <v>201</v>
      </c>
      <c r="E11" s="15"/>
      <c r="F11" s="13" t="s">
        <v>202</v>
      </c>
      <c r="G11" s="16">
        <v>150.0</v>
      </c>
      <c r="I11" s="16" t="b">
        <v>0</v>
      </c>
      <c r="J11" s="16" t="s">
        <v>205</v>
      </c>
      <c r="K11" s="16" t="s">
        <v>117</v>
      </c>
      <c r="N11" s="16" t="b">
        <v>1</v>
      </c>
      <c r="O11" s="16" t="s">
        <v>35</v>
      </c>
      <c r="R11" s="16" t="s">
        <v>207</v>
      </c>
    </row>
    <row r="12" hidden="1">
      <c r="A12" s="13">
        <v>2154260.0</v>
      </c>
      <c r="B12" s="14">
        <v>46140.91162037037</v>
      </c>
      <c r="C12" s="13" t="s">
        <v>101</v>
      </c>
      <c r="D12" s="13" t="s">
        <v>210</v>
      </c>
      <c r="E12" s="15"/>
      <c r="F12" s="13" t="s">
        <v>181</v>
      </c>
      <c r="G12" s="16">
        <v>40.0</v>
      </c>
      <c r="I12" s="16" t="b">
        <v>0</v>
      </c>
      <c r="J12" s="16" t="s">
        <v>134</v>
      </c>
      <c r="N12" s="16" t="b">
        <v>1</v>
      </c>
      <c r="O12" s="16" t="s">
        <v>35</v>
      </c>
      <c r="R12" s="16" t="s">
        <v>212</v>
      </c>
    </row>
    <row r="13" hidden="1">
      <c r="A13" s="13">
        <v>2154282.0</v>
      </c>
      <c r="B13" s="14">
        <v>46140.91440972222</v>
      </c>
      <c r="C13" s="13" t="s">
        <v>101</v>
      </c>
      <c r="D13" s="13" t="s">
        <v>213</v>
      </c>
      <c r="E13" s="15"/>
      <c r="F13" s="13" t="s">
        <v>215</v>
      </c>
      <c r="G13" s="16">
        <v>200.0</v>
      </c>
      <c r="I13" s="16" t="b">
        <v>0</v>
      </c>
      <c r="J13" s="16" t="s">
        <v>205</v>
      </c>
      <c r="K13" s="16" t="s">
        <v>218</v>
      </c>
      <c r="N13" s="16" t="b">
        <v>1</v>
      </c>
      <c r="O13" s="16" t="s">
        <v>35</v>
      </c>
      <c r="R13" s="16" t="s">
        <v>219</v>
      </c>
    </row>
    <row r="14" hidden="1">
      <c r="A14" s="13">
        <v>2155128.0</v>
      </c>
      <c r="B14" s="14">
        <v>46141.73127314815</v>
      </c>
      <c r="C14" s="13" t="s">
        <v>101</v>
      </c>
      <c r="D14" s="13" t="s">
        <v>179</v>
      </c>
      <c r="E14" s="15"/>
      <c r="F14" s="13" t="s">
        <v>133</v>
      </c>
      <c r="G14" s="16">
        <v>20.0</v>
      </c>
      <c r="I14" s="16" t="b">
        <v>0</v>
      </c>
      <c r="J14" s="16" t="s">
        <v>134</v>
      </c>
      <c r="N14" s="16" t="b">
        <v>1</v>
      </c>
      <c r="O14" s="16" t="s">
        <v>35</v>
      </c>
      <c r="R14" s="16" t="s">
        <v>222</v>
      </c>
    </row>
    <row r="15" hidden="1">
      <c r="A15" s="13">
        <v>2155540.0</v>
      </c>
      <c r="B15" s="14">
        <v>46141.9084375</v>
      </c>
      <c r="C15" s="13" t="s">
        <v>101</v>
      </c>
      <c r="D15" s="13" t="s">
        <v>223</v>
      </c>
      <c r="E15" s="15"/>
      <c r="F15" s="13" t="s">
        <v>225</v>
      </c>
      <c r="G15" s="16">
        <v>44.0</v>
      </c>
      <c r="I15" s="16" t="b">
        <v>0</v>
      </c>
      <c r="J15" s="16" t="s">
        <v>116</v>
      </c>
      <c r="K15" s="16" t="s">
        <v>227</v>
      </c>
      <c r="N15" s="16" t="b">
        <v>1</v>
      </c>
      <c r="O15" s="16" t="s">
        <v>35</v>
      </c>
      <c r="R15" s="16" t="s">
        <v>229</v>
      </c>
    </row>
    <row r="16" hidden="1">
      <c r="A16" s="13">
        <v>2155542.0</v>
      </c>
      <c r="B16" s="14">
        <v>46141.908784722225</v>
      </c>
      <c r="C16" s="13" t="s">
        <v>101</v>
      </c>
      <c r="D16" s="13" t="s">
        <v>231</v>
      </c>
      <c r="E16" s="15"/>
      <c r="F16" s="13" t="s">
        <v>181</v>
      </c>
      <c r="G16" s="16">
        <v>10.0</v>
      </c>
      <c r="I16" s="16" t="b">
        <v>0</v>
      </c>
      <c r="J16" s="16" t="s">
        <v>134</v>
      </c>
      <c r="N16" s="16" t="b">
        <v>1</v>
      </c>
      <c r="O16" s="16" t="s">
        <v>35</v>
      </c>
      <c r="R16" s="16" t="s">
        <v>234</v>
      </c>
    </row>
    <row r="17" hidden="1">
      <c r="A17" s="13">
        <v>2155593.0</v>
      </c>
      <c r="B17" s="14">
        <v>46141.914930555555</v>
      </c>
      <c r="C17" s="13" t="s">
        <v>101</v>
      </c>
      <c r="D17" s="13" t="s">
        <v>237</v>
      </c>
      <c r="E17" s="15"/>
      <c r="F17" s="13" t="s">
        <v>239</v>
      </c>
      <c r="G17" s="16">
        <v>100.0</v>
      </c>
      <c r="I17" s="16" t="b">
        <v>0</v>
      </c>
      <c r="J17" s="16" t="s">
        <v>205</v>
      </c>
      <c r="K17" s="16" t="s">
        <v>218</v>
      </c>
      <c r="N17" s="16" t="b">
        <v>1</v>
      </c>
      <c r="O17" s="16" t="s">
        <v>35</v>
      </c>
      <c r="R17" s="16" t="s">
        <v>244</v>
      </c>
    </row>
    <row r="18" hidden="1">
      <c r="A18" s="13">
        <v>2156260.0</v>
      </c>
      <c r="B18" s="14">
        <v>46142.62494212963</v>
      </c>
      <c r="C18" s="13" t="s">
        <v>139</v>
      </c>
      <c r="D18" s="13" t="s">
        <v>246</v>
      </c>
      <c r="E18" s="15"/>
      <c r="F18" s="13" t="s">
        <v>142</v>
      </c>
      <c r="G18" s="16">
        <v>30.0</v>
      </c>
      <c r="I18" s="16" t="b">
        <v>0</v>
      </c>
      <c r="J18" s="16" t="s">
        <v>144</v>
      </c>
      <c r="N18" s="16" t="b">
        <v>1</v>
      </c>
      <c r="O18" s="16" t="s">
        <v>35</v>
      </c>
      <c r="R18" s="16" t="s">
        <v>250</v>
      </c>
    </row>
    <row r="19" hidden="1">
      <c r="A19" s="13">
        <v>2156421.0</v>
      </c>
      <c r="B19" s="14">
        <v>46142.66894675926</v>
      </c>
      <c r="C19" s="13" t="s">
        <v>101</v>
      </c>
      <c r="D19" s="13" t="s">
        <v>252</v>
      </c>
      <c r="E19" s="15"/>
      <c r="F19" s="13" t="s">
        <v>253</v>
      </c>
      <c r="G19" s="16">
        <v>4.0</v>
      </c>
      <c r="I19" s="16" t="b">
        <v>0</v>
      </c>
      <c r="J19" s="16" t="s">
        <v>116</v>
      </c>
      <c r="K19" s="16" t="s">
        <v>117</v>
      </c>
      <c r="N19" s="16" t="b">
        <v>1</v>
      </c>
      <c r="O19" s="16" t="s">
        <v>35</v>
      </c>
      <c r="R19" s="16" t="s">
        <v>255</v>
      </c>
    </row>
    <row r="20" hidden="1">
      <c r="A20" s="13">
        <v>2156699.0</v>
      </c>
      <c r="B20" s="14">
        <v>46142.741875</v>
      </c>
      <c r="C20" s="13" t="s">
        <v>101</v>
      </c>
      <c r="D20" s="13" t="s">
        <v>256</v>
      </c>
      <c r="E20" s="15"/>
      <c r="F20" s="13" t="s">
        <v>257</v>
      </c>
      <c r="G20" s="16">
        <v>300.0</v>
      </c>
      <c r="I20" s="16" t="b">
        <v>0</v>
      </c>
      <c r="J20" s="16" t="s">
        <v>205</v>
      </c>
      <c r="K20" s="16" t="s">
        <v>117</v>
      </c>
      <c r="N20" s="16" t="b">
        <v>1</v>
      </c>
      <c r="O20" s="16" t="s">
        <v>35</v>
      </c>
      <c r="R20" s="16" t="s">
        <v>259</v>
      </c>
    </row>
    <row r="21" hidden="1">
      <c r="A21" s="13">
        <v>2156736.0</v>
      </c>
      <c r="B21" s="14">
        <v>46142.751180555555</v>
      </c>
      <c r="C21" s="13" t="s">
        <v>101</v>
      </c>
      <c r="D21" s="13" t="s">
        <v>260</v>
      </c>
      <c r="E21" s="15"/>
      <c r="F21" s="13" t="s">
        <v>253</v>
      </c>
      <c r="G21" s="16">
        <v>10.4</v>
      </c>
      <c r="I21" s="16" t="b">
        <v>0</v>
      </c>
      <c r="J21" s="16" t="s">
        <v>116</v>
      </c>
      <c r="K21" s="16" t="s">
        <v>117</v>
      </c>
      <c r="N21" s="16" t="b">
        <v>1</v>
      </c>
      <c r="O21" s="16" t="s">
        <v>35</v>
      </c>
      <c r="R21" s="16" t="s">
        <v>263</v>
      </c>
    </row>
    <row r="22" hidden="1">
      <c r="A22" s="13">
        <v>2156843.0</v>
      </c>
      <c r="B22" s="14">
        <v>46142.78659722222</v>
      </c>
      <c r="C22" s="13" t="s">
        <v>139</v>
      </c>
      <c r="D22" s="13" t="s">
        <v>201</v>
      </c>
      <c r="E22" s="24"/>
      <c r="F22" s="13" t="s">
        <v>267</v>
      </c>
      <c r="G22" s="16">
        <v>150.0</v>
      </c>
      <c r="I22" s="16" t="b">
        <v>0</v>
      </c>
      <c r="J22" s="16" t="s">
        <v>205</v>
      </c>
      <c r="K22" s="16" t="s">
        <v>117</v>
      </c>
      <c r="N22" s="16" t="b">
        <v>1</v>
      </c>
      <c r="O22" s="16" t="s">
        <v>35</v>
      </c>
      <c r="R22" s="16" t="s">
        <v>269</v>
      </c>
    </row>
    <row r="23" hidden="1">
      <c r="A23" s="13">
        <v>2156847.0</v>
      </c>
      <c r="B23" s="14">
        <v>46142.78726851852</v>
      </c>
      <c r="C23" s="13" t="s">
        <v>139</v>
      </c>
      <c r="D23" s="13" t="s">
        <v>270</v>
      </c>
      <c r="E23" s="15"/>
      <c r="F23" s="13" t="s">
        <v>272</v>
      </c>
      <c r="G23" s="16">
        <v>62.0</v>
      </c>
      <c r="I23" s="16" t="b">
        <v>0</v>
      </c>
      <c r="J23" s="16" t="s">
        <v>144</v>
      </c>
      <c r="N23" s="16" t="b">
        <v>1</v>
      </c>
      <c r="O23" s="16" t="s">
        <v>35</v>
      </c>
      <c r="R23" s="16" t="s">
        <v>273</v>
      </c>
    </row>
    <row r="24" hidden="1">
      <c r="A24" s="13">
        <v>2156850.0</v>
      </c>
      <c r="B24" s="14">
        <v>46142.7878125</v>
      </c>
      <c r="C24" s="13" t="s">
        <v>101</v>
      </c>
      <c r="D24" s="13" t="s">
        <v>274</v>
      </c>
      <c r="E24" s="15"/>
      <c r="F24" s="13" t="s">
        <v>276</v>
      </c>
      <c r="G24" s="16">
        <v>6.0</v>
      </c>
      <c r="I24" s="16" t="b">
        <v>0</v>
      </c>
      <c r="J24" s="16" t="s">
        <v>170</v>
      </c>
      <c r="M24" s="16" t="s">
        <v>278</v>
      </c>
      <c r="N24" s="16" t="b">
        <v>1</v>
      </c>
      <c r="O24" s="16" t="s">
        <v>35</v>
      </c>
      <c r="R24" s="16" t="s">
        <v>279</v>
      </c>
    </row>
    <row r="25" hidden="1">
      <c r="A25" s="13">
        <v>2156851.0</v>
      </c>
      <c r="B25" s="14">
        <v>46142.788773148146</v>
      </c>
      <c r="C25" s="13" t="s">
        <v>101</v>
      </c>
      <c r="D25" s="13" t="s">
        <v>281</v>
      </c>
      <c r="E25" s="15"/>
      <c r="F25" s="13" t="s">
        <v>282</v>
      </c>
      <c r="G25" s="16">
        <v>42.0</v>
      </c>
      <c r="I25" s="16" t="b">
        <v>0</v>
      </c>
      <c r="J25" s="16" t="s">
        <v>170</v>
      </c>
      <c r="M25" s="16" t="s">
        <v>283</v>
      </c>
      <c r="N25" s="16" t="b">
        <v>1</v>
      </c>
      <c r="O25" s="16" t="s">
        <v>35</v>
      </c>
      <c r="R25" s="16" t="s">
        <v>285</v>
      </c>
    </row>
    <row r="26" hidden="1">
      <c r="A26" s="13">
        <v>2157235.0</v>
      </c>
      <c r="B26" s="14">
        <v>46142.91392361111</v>
      </c>
      <c r="C26" s="13" t="s">
        <v>101</v>
      </c>
      <c r="D26" s="13" t="s">
        <v>288</v>
      </c>
      <c r="E26" s="15"/>
      <c r="F26" s="13" t="s">
        <v>181</v>
      </c>
      <c r="G26" s="16">
        <v>23.0</v>
      </c>
      <c r="I26" s="16" t="b">
        <v>0</v>
      </c>
      <c r="J26" s="16" t="s">
        <v>134</v>
      </c>
      <c r="N26" s="16" t="b">
        <v>1</v>
      </c>
      <c r="O26" s="16" t="s">
        <v>35</v>
      </c>
      <c r="R26" s="16" t="s">
        <v>290</v>
      </c>
    </row>
    <row r="27" hidden="1">
      <c r="A27" s="13">
        <v>2157303.0</v>
      </c>
      <c r="B27" s="14">
        <v>46142.921261574076</v>
      </c>
      <c r="C27" s="13" t="s">
        <v>101</v>
      </c>
      <c r="D27" s="13" t="s">
        <v>291</v>
      </c>
      <c r="E27" s="15"/>
      <c r="F27" s="13" t="s">
        <v>293</v>
      </c>
      <c r="G27" s="16">
        <v>250.0</v>
      </c>
      <c r="I27" s="16" t="b">
        <v>0</v>
      </c>
      <c r="J27" s="16" t="s">
        <v>205</v>
      </c>
      <c r="K27" s="16" t="s">
        <v>218</v>
      </c>
      <c r="N27" s="16" t="b">
        <v>1</v>
      </c>
      <c r="O27" s="16" t="s">
        <v>35</v>
      </c>
      <c r="R27" s="16" t="s">
        <v>295</v>
      </c>
    </row>
    <row r="28" hidden="1">
      <c r="A28" s="13">
        <v>2158375.0</v>
      </c>
      <c r="B28" s="14">
        <v>46143.71439814815</v>
      </c>
      <c r="C28" s="13" t="s">
        <v>139</v>
      </c>
      <c r="D28" s="13" t="s">
        <v>201</v>
      </c>
      <c r="E28" s="15"/>
      <c r="F28" s="13" t="s">
        <v>142</v>
      </c>
      <c r="G28" s="16">
        <v>150.0</v>
      </c>
      <c r="I28" s="16" t="b">
        <v>0</v>
      </c>
      <c r="J28" s="16" t="s">
        <v>144</v>
      </c>
      <c r="N28" s="16" t="b">
        <v>1</v>
      </c>
      <c r="O28" s="16" t="s">
        <v>35</v>
      </c>
      <c r="R28" s="16" t="s">
        <v>299</v>
      </c>
    </row>
    <row r="29" hidden="1">
      <c r="A29" s="13">
        <v>2158383.0</v>
      </c>
      <c r="B29" s="14">
        <v>46143.71565972222</v>
      </c>
      <c r="C29" s="13" t="s">
        <v>139</v>
      </c>
      <c r="D29" s="13" t="s">
        <v>141</v>
      </c>
      <c r="E29" s="15"/>
      <c r="F29" s="13" t="s">
        <v>142</v>
      </c>
      <c r="G29" s="16">
        <v>50.0</v>
      </c>
      <c r="I29" s="16" t="b">
        <v>0</v>
      </c>
      <c r="J29" s="16" t="s">
        <v>144</v>
      </c>
      <c r="N29" s="16" t="b">
        <v>1</v>
      </c>
      <c r="O29" s="16" t="s">
        <v>35</v>
      </c>
      <c r="R29" s="16" t="s">
        <v>302</v>
      </c>
    </row>
    <row r="30" hidden="1">
      <c r="A30" s="13">
        <v>2159338.0</v>
      </c>
      <c r="B30" s="14">
        <v>46143.90715277778</v>
      </c>
      <c r="C30" s="13" t="s">
        <v>101</v>
      </c>
      <c r="D30" s="13" t="s">
        <v>121</v>
      </c>
      <c r="E30" s="15"/>
      <c r="F30" s="13" t="s">
        <v>124</v>
      </c>
      <c r="G30" s="16">
        <v>135.0</v>
      </c>
      <c r="I30" s="16" t="b">
        <v>0</v>
      </c>
      <c r="J30" s="16" t="s">
        <v>126</v>
      </c>
      <c r="N30" s="16" t="b">
        <v>1</v>
      </c>
      <c r="O30" s="16" t="s">
        <v>35</v>
      </c>
      <c r="R30" s="16" t="s">
        <v>303</v>
      </c>
    </row>
    <row r="31" hidden="1">
      <c r="A31" s="13">
        <v>2159345.0</v>
      </c>
      <c r="B31" s="14">
        <v>46143.90770833333</v>
      </c>
      <c r="C31" s="13" t="s">
        <v>101</v>
      </c>
      <c r="D31" s="13" t="s">
        <v>306</v>
      </c>
      <c r="E31" s="15"/>
      <c r="F31" s="13" t="s">
        <v>308</v>
      </c>
      <c r="G31" s="16">
        <v>22.0</v>
      </c>
      <c r="I31" s="16" t="b">
        <v>0</v>
      </c>
      <c r="J31" s="16" t="s">
        <v>134</v>
      </c>
      <c r="N31" s="16" t="b">
        <v>1</v>
      </c>
      <c r="O31" s="16" t="s">
        <v>35</v>
      </c>
      <c r="R31" s="16" t="s">
        <v>310</v>
      </c>
    </row>
    <row r="32" hidden="1">
      <c r="A32" s="13">
        <v>2159450.0</v>
      </c>
      <c r="B32" s="14">
        <v>46143.91853009259</v>
      </c>
      <c r="C32" s="13" t="s">
        <v>101</v>
      </c>
      <c r="D32" s="13" t="s">
        <v>312</v>
      </c>
      <c r="E32" s="15"/>
      <c r="F32" s="13" t="s">
        <v>313</v>
      </c>
      <c r="G32" s="16">
        <v>1000.0</v>
      </c>
      <c r="I32" s="16" t="b">
        <v>0</v>
      </c>
      <c r="J32" s="16" t="s">
        <v>205</v>
      </c>
      <c r="K32" s="16" t="s">
        <v>117</v>
      </c>
      <c r="N32" s="16" t="b">
        <v>1</v>
      </c>
      <c r="O32" s="16" t="s">
        <v>35</v>
      </c>
      <c r="R32" s="16" t="s">
        <v>315</v>
      </c>
    </row>
    <row r="33" hidden="1">
      <c r="A33" s="13">
        <v>2159470.0</v>
      </c>
      <c r="B33" s="14">
        <v>46143.91978009259</v>
      </c>
      <c r="C33" s="13" t="s">
        <v>101</v>
      </c>
      <c r="D33" s="13" t="s">
        <v>316</v>
      </c>
      <c r="E33" s="15"/>
      <c r="F33" s="13" t="s">
        <v>317</v>
      </c>
      <c r="G33" s="16">
        <v>125.0</v>
      </c>
      <c r="I33" s="16" t="b">
        <v>0</v>
      </c>
      <c r="J33" s="16" t="s">
        <v>134</v>
      </c>
      <c r="N33" s="16" t="b">
        <v>1</v>
      </c>
      <c r="O33" s="16" t="s">
        <v>35</v>
      </c>
      <c r="R33" s="16" t="s">
        <v>320</v>
      </c>
    </row>
    <row r="34" hidden="1">
      <c r="A34" s="13">
        <v>2159485.0</v>
      </c>
      <c r="B34" s="14">
        <v>46143.92046296296</v>
      </c>
      <c r="C34" s="13" t="s">
        <v>101</v>
      </c>
      <c r="D34" s="13" t="s">
        <v>321</v>
      </c>
      <c r="E34" s="15"/>
      <c r="F34" s="13" t="s">
        <v>308</v>
      </c>
      <c r="G34" s="16">
        <v>83.0</v>
      </c>
      <c r="I34" s="16" t="b">
        <v>0</v>
      </c>
      <c r="J34" s="16" t="s">
        <v>134</v>
      </c>
      <c r="N34" s="16" t="b">
        <v>1</v>
      </c>
      <c r="O34" s="16" t="s">
        <v>35</v>
      </c>
      <c r="R34" s="16" t="s">
        <v>322</v>
      </c>
    </row>
    <row r="35" hidden="1">
      <c r="A35" s="13">
        <v>2160769.0</v>
      </c>
      <c r="B35" s="14">
        <v>46144.71107638889</v>
      </c>
      <c r="C35" s="13" t="s">
        <v>101</v>
      </c>
      <c r="D35" s="13" t="s">
        <v>324</v>
      </c>
      <c r="E35" s="15"/>
      <c r="F35" s="13" t="s">
        <v>325</v>
      </c>
      <c r="G35" s="16">
        <v>36.0</v>
      </c>
      <c r="I35" s="16" t="b">
        <v>0</v>
      </c>
      <c r="J35" s="16" t="s">
        <v>116</v>
      </c>
      <c r="K35" s="16" t="s">
        <v>117</v>
      </c>
      <c r="N35" s="16" t="b">
        <v>1</v>
      </c>
      <c r="O35" s="16" t="s">
        <v>35</v>
      </c>
      <c r="R35" s="16" t="s">
        <v>327</v>
      </c>
    </row>
    <row r="36" hidden="1">
      <c r="A36" s="13">
        <v>2161152.0</v>
      </c>
      <c r="B36" s="14">
        <v>46144.81607638889</v>
      </c>
      <c r="C36" s="13" t="s">
        <v>101</v>
      </c>
      <c r="D36" s="13" t="s">
        <v>328</v>
      </c>
      <c r="E36" s="15"/>
      <c r="F36" s="13" t="s">
        <v>329</v>
      </c>
      <c r="G36" s="16">
        <v>48.0</v>
      </c>
      <c r="I36" s="16" t="b">
        <v>0</v>
      </c>
      <c r="J36" s="16" t="s">
        <v>134</v>
      </c>
      <c r="N36" s="16" t="b">
        <v>1</v>
      </c>
      <c r="O36" s="16" t="s">
        <v>35</v>
      </c>
      <c r="R36" s="16" t="s">
        <v>331</v>
      </c>
    </row>
    <row r="37" hidden="1">
      <c r="A37" s="13">
        <v>2161523.0</v>
      </c>
      <c r="B37" s="14">
        <v>46144.909155092595</v>
      </c>
      <c r="C37" s="13" t="s">
        <v>101</v>
      </c>
      <c r="D37" s="13" t="s">
        <v>332</v>
      </c>
      <c r="E37" s="24"/>
      <c r="F37" s="13" t="s">
        <v>334</v>
      </c>
      <c r="G37" s="16">
        <v>22.8</v>
      </c>
      <c r="I37" s="16" t="b">
        <v>0</v>
      </c>
      <c r="J37" s="16" t="s">
        <v>116</v>
      </c>
      <c r="K37" s="16" t="s">
        <v>336</v>
      </c>
      <c r="N37" s="16" t="b">
        <v>1</v>
      </c>
      <c r="O37" s="16" t="s">
        <v>35</v>
      </c>
      <c r="R37" s="16" t="s">
        <v>337</v>
      </c>
    </row>
    <row r="38" hidden="1">
      <c r="A38" s="13">
        <v>2161525.0</v>
      </c>
      <c r="B38" s="14">
        <v>46144.90928240741</v>
      </c>
      <c r="C38" s="13" t="s">
        <v>101</v>
      </c>
      <c r="D38" s="13" t="s">
        <v>339</v>
      </c>
      <c r="E38" s="15"/>
      <c r="F38" s="13" t="s">
        <v>181</v>
      </c>
      <c r="G38" s="16">
        <v>31.0</v>
      </c>
      <c r="I38" s="16" t="b">
        <v>0</v>
      </c>
      <c r="J38" s="16" t="s">
        <v>134</v>
      </c>
      <c r="N38" s="16" t="b">
        <v>1</v>
      </c>
      <c r="O38" s="16" t="s">
        <v>35</v>
      </c>
      <c r="R38" s="16" t="s">
        <v>341</v>
      </c>
    </row>
    <row r="39" hidden="1">
      <c r="A39" s="13">
        <v>2161574.0</v>
      </c>
      <c r="B39" s="14">
        <v>46144.915034722224</v>
      </c>
      <c r="C39" s="13" t="s">
        <v>101</v>
      </c>
      <c r="D39" s="13" t="s">
        <v>121</v>
      </c>
      <c r="E39" s="15"/>
      <c r="F39" s="13" t="s">
        <v>344</v>
      </c>
      <c r="G39" s="16">
        <v>135.0</v>
      </c>
      <c r="I39" s="16" t="b">
        <v>0</v>
      </c>
      <c r="J39" s="16" t="s">
        <v>126</v>
      </c>
      <c r="N39" s="16" t="b">
        <v>1</v>
      </c>
      <c r="O39" s="16" t="s">
        <v>35</v>
      </c>
      <c r="R39" s="16" t="s">
        <v>345</v>
      </c>
    </row>
    <row r="40" hidden="1">
      <c r="A40" s="13">
        <v>2161577.0</v>
      </c>
      <c r="B40" s="14">
        <v>46144.91527777778</v>
      </c>
      <c r="C40" s="13" t="s">
        <v>101</v>
      </c>
      <c r="D40" s="13" t="s">
        <v>213</v>
      </c>
      <c r="E40" s="15"/>
      <c r="F40" s="13" t="s">
        <v>346</v>
      </c>
      <c r="G40" s="16">
        <v>200.0</v>
      </c>
      <c r="I40" s="16" t="b">
        <v>0</v>
      </c>
      <c r="J40" s="16" t="s">
        <v>205</v>
      </c>
      <c r="K40" s="16" t="s">
        <v>336</v>
      </c>
      <c r="N40" s="16" t="b">
        <v>1</v>
      </c>
      <c r="O40" s="16" t="s">
        <v>35</v>
      </c>
      <c r="R40" s="16" t="s">
        <v>348</v>
      </c>
    </row>
    <row r="41" hidden="1">
      <c r="A41" s="13">
        <v>2161613.0</v>
      </c>
      <c r="B41" s="14">
        <v>46144.91915509259</v>
      </c>
      <c r="C41" s="13" t="s">
        <v>139</v>
      </c>
      <c r="D41" s="13" t="s">
        <v>201</v>
      </c>
      <c r="E41" s="15"/>
      <c r="F41" s="13" t="s">
        <v>272</v>
      </c>
      <c r="G41" s="16">
        <v>150.0</v>
      </c>
      <c r="I41" s="16" t="b">
        <v>0</v>
      </c>
      <c r="J41" s="16" t="s">
        <v>144</v>
      </c>
      <c r="N41" s="16" t="b">
        <v>1</v>
      </c>
      <c r="O41" s="16" t="s">
        <v>35</v>
      </c>
      <c r="R41" s="16" t="s">
        <v>350</v>
      </c>
    </row>
    <row r="42" hidden="1">
      <c r="A42" s="13">
        <v>2163504.0</v>
      </c>
      <c r="B42" s="14">
        <v>46145.87793981482</v>
      </c>
      <c r="C42" s="13" t="s">
        <v>139</v>
      </c>
      <c r="D42" s="13" t="s">
        <v>237</v>
      </c>
      <c r="E42" s="15"/>
      <c r="F42" s="13" t="s">
        <v>142</v>
      </c>
      <c r="G42" s="16">
        <v>100.0</v>
      </c>
      <c r="I42" s="16" t="b">
        <v>0</v>
      </c>
      <c r="J42" s="16" t="s">
        <v>144</v>
      </c>
      <c r="N42" s="16" t="b">
        <v>1</v>
      </c>
      <c r="O42" s="16" t="s">
        <v>35</v>
      </c>
      <c r="R42" s="16" t="s">
        <v>352</v>
      </c>
    </row>
    <row r="43" hidden="1">
      <c r="A43" s="13">
        <v>2163625.0</v>
      </c>
      <c r="B43" s="14">
        <v>46145.8959837963</v>
      </c>
      <c r="C43" s="13" t="s">
        <v>101</v>
      </c>
      <c r="D43" s="13" t="s">
        <v>121</v>
      </c>
      <c r="E43" s="15"/>
      <c r="F43" s="13" t="s">
        <v>355</v>
      </c>
      <c r="G43" s="16">
        <v>135.0</v>
      </c>
      <c r="I43" s="16" t="b">
        <v>0</v>
      </c>
      <c r="J43" s="16" t="s">
        <v>126</v>
      </c>
      <c r="N43" s="16" t="b">
        <v>1</v>
      </c>
      <c r="O43" s="16" t="s">
        <v>35</v>
      </c>
      <c r="R43" s="16" t="s">
        <v>357</v>
      </c>
    </row>
    <row r="44" hidden="1">
      <c r="A44" s="13">
        <v>2163629.0</v>
      </c>
      <c r="B44" s="14">
        <v>46145.896157407406</v>
      </c>
      <c r="C44" s="13" t="s">
        <v>101</v>
      </c>
      <c r="D44" s="13" t="s">
        <v>121</v>
      </c>
      <c r="E44" s="15"/>
      <c r="F44" s="13" t="s">
        <v>358</v>
      </c>
      <c r="G44" s="16">
        <v>135.0</v>
      </c>
      <c r="I44" s="16" t="b">
        <v>0</v>
      </c>
      <c r="J44" s="16" t="s">
        <v>126</v>
      </c>
      <c r="N44" s="16" t="b">
        <v>1</v>
      </c>
      <c r="O44" s="16" t="s">
        <v>35</v>
      </c>
      <c r="R44" s="16" t="s">
        <v>357</v>
      </c>
    </row>
    <row r="45" hidden="1">
      <c r="A45" s="13">
        <v>2163633.0</v>
      </c>
      <c r="B45" s="14">
        <v>46145.89640046296</v>
      </c>
      <c r="C45" s="13" t="s">
        <v>101</v>
      </c>
      <c r="D45" s="13" t="s">
        <v>121</v>
      </c>
      <c r="E45" s="15"/>
      <c r="F45" s="13" t="s">
        <v>362</v>
      </c>
      <c r="G45" s="16">
        <v>135.0</v>
      </c>
      <c r="I45" s="16" t="b">
        <v>0</v>
      </c>
      <c r="J45" s="16" t="s">
        <v>126</v>
      </c>
      <c r="N45" s="16" t="b">
        <v>1</v>
      </c>
      <c r="O45" s="16" t="s">
        <v>35</v>
      </c>
      <c r="R45" s="16" t="s">
        <v>357</v>
      </c>
    </row>
    <row r="46" hidden="1">
      <c r="A46" s="13">
        <v>2163802.0</v>
      </c>
      <c r="B46" s="14">
        <v>46145.91726851852</v>
      </c>
      <c r="C46" s="13" t="s">
        <v>101</v>
      </c>
      <c r="D46" s="13" t="s">
        <v>364</v>
      </c>
      <c r="E46" s="15"/>
      <c r="F46" s="13" t="s">
        <v>365</v>
      </c>
      <c r="G46" s="16">
        <v>600.0</v>
      </c>
      <c r="I46" s="16" t="b">
        <v>0</v>
      </c>
      <c r="J46" s="16" t="s">
        <v>205</v>
      </c>
      <c r="K46" s="16" t="s">
        <v>117</v>
      </c>
      <c r="N46" s="16" t="b">
        <v>1</v>
      </c>
      <c r="O46" s="16" t="s">
        <v>35</v>
      </c>
      <c r="R46" s="16" t="s">
        <v>367</v>
      </c>
    </row>
    <row r="47" hidden="1">
      <c r="A47" s="13">
        <v>2163810.0</v>
      </c>
      <c r="B47" s="14">
        <v>46145.91748842593</v>
      </c>
      <c r="C47" s="13" t="s">
        <v>101</v>
      </c>
      <c r="D47" s="13" t="s">
        <v>370</v>
      </c>
      <c r="E47" s="24"/>
      <c r="F47" s="13" t="s">
        <v>371</v>
      </c>
      <c r="G47" s="16">
        <v>244.0</v>
      </c>
      <c r="I47" s="16" t="b">
        <v>0</v>
      </c>
      <c r="J47" s="16" t="s">
        <v>134</v>
      </c>
      <c r="N47" s="16" t="b">
        <v>1</v>
      </c>
      <c r="O47" s="16" t="s">
        <v>35</v>
      </c>
      <c r="R47" s="16" t="s">
        <v>372</v>
      </c>
    </row>
    <row r="48" hidden="1">
      <c r="A48" s="13">
        <v>2164909.0</v>
      </c>
      <c r="B48" s="14">
        <v>46146.71366898148</v>
      </c>
      <c r="C48" s="13" t="s">
        <v>139</v>
      </c>
      <c r="D48" s="13" t="s">
        <v>374</v>
      </c>
      <c r="E48" s="15"/>
      <c r="F48" s="13" t="s">
        <v>142</v>
      </c>
      <c r="G48" s="16">
        <v>70.5</v>
      </c>
      <c r="I48" s="16" t="b">
        <v>0</v>
      </c>
      <c r="J48" s="16" t="s">
        <v>144</v>
      </c>
      <c r="N48" s="16" t="b">
        <v>1</v>
      </c>
      <c r="O48" s="16" t="s">
        <v>35</v>
      </c>
      <c r="R48" s="16" t="s">
        <v>375</v>
      </c>
    </row>
    <row r="49" hidden="1">
      <c r="A49" s="13">
        <v>2164974.0</v>
      </c>
      <c r="B49" s="14">
        <v>46146.733622685184</v>
      </c>
      <c r="C49" s="13" t="s">
        <v>101</v>
      </c>
      <c r="D49" s="13" t="s">
        <v>377</v>
      </c>
      <c r="E49" s="24"/>
      <c r="F49" s="13" t="s">
        <v>133</v>
      </c>
      <c r="G49" s="16">
        <v>33.0</v>
      </c>
      <c r="I49" s="16" t="b">
        <v>0</v>
      </c>
      <c r="J49" s="16" t="s">
        <v>134</v>
      </c>
      <c r="N49" s="16" t="b">
        <v>1</v>
      </c>
      <c r="O49" s="16" t="s">
        <v>35</v>
      </c>
      <c r="R49" s="16" t="s">
        <v>378</v>
      </c>
    </row>
    <row r="50" hidden="1">
      <c r="A50" s="13">
        <v>2164975.0</v>
      </c>
      <c r="B50" s="14">
        <v>46146.73462962963</v>
      </c>
      <c r="C50" s="13" t="s">
        <v>101</v>
      </c>
      <c r="D50" s="13" t="s">
        <v>379</v>
      </c>
      <c r="E50" s="15"/>
      <c r="F50" s="13" t="s">
        <v>381</v>
      </c>
      <c r="G50" s="16">
        <v>120.54</v>
      </c>
      <c r="I50" s="16" t="b">
        <v>0</v>
      </c>
      <c r="J50" s="16" t="s">
        <v>170</v>
      </c>
      <c r="N50" s="16" t="b">
        <v>1</v>
      </c>
      <c r="O50" s="16" t="s">
        <v>35</v>
      </c>
      <c r="R50" s="16" t="s">
        <v>382</v>
      </c>
    </row>
    <row r="51" hidden="1">
      <c r="A51" s="13">
        <v>2164978.0</v>
      </c>
      <c r="B51" s="14">
        <v>46146.73539351852</v>
      </c>
      <c r="C51" s="13" t="s">
        <v>101</v>
      </c>
      <c r="D51" s="13" t="s">
        <v>384</v>
      </c>
      <c r="E51" s="15"/>
      <c r="F51" s="13" t="s">
        <v>381</v>
      </c>
      <c r="G51" s="16">
        <v>62.53</v>
      </c>
      <c r="I51" s="16" t="b">
        <v>0</v>
      </c>
      <c r="J51" s="16" t="s">
        <v>170</v>
      </c>
      <c r="M51" s="16" t="s">
        <v>385</v>
      </c>
      <c r="N51" s="16" t="b">
        <v>1</v>
      </c>
      <c r="O51" s="16" t="s">
        <v>35</v>
      </c>
      <c r="R51" s="16" t="s">
        <v>387</v>
      </c>
    </row>
    <row r="52" hidden="1">
      <c r="A52" s="13">
        <v>2165307.0</v>
      </c>
      <c r="B52" s="14">
        <v>46146.87298611111</v>
      </c>
      <c r="C52" s="13" t="s">
        <v>101</v>
      </c>
      <c r="D52" s="13" t="s">
        <v>231</v>
      </c>
      <c r="E52" s="15"/>
      <c r="F52" s="13" t="s">
        <v>181</v>
      </c>
      <c r="G52" s="16">
        <v>10.0</v>
      </c>
      <c r="I52" s="16" t="b">
        <v>0</v>
      </c>
      <c r="J52" s="16" t="s">
        <v>134</v>
      </c>
      <c r="N52" s="16" t="b">
        <v>1</v>
      </c>
      <c r="O52" s="16" t="s">
        <v>35</v>
      </c>
      <c r="R52" s="16" t="s">
        <v>390</v>
      </c>
    </row>
    <row r="53" hidden="1">
      <c r="A53" s="13">
        <v>2165951.0</v>
      </c>
      <c r="B53" s="14">
        <v>46147.57113425926</v>
      </c>
      <c r="C53" s="13" t="s">
        <v>101</v>
      </c>
      <c r="D53" s="13" t="s">
        <v>392</v>
      </c>
      <c r="E53" s="15"/>
      <c r="F53" s="13" t="s">
        <v>393</v>
      </c>
      <c r="G53" s="16">
        <v>21.6</v>
      </c>
      <c r="I53" s="16" t="b">
        <v>0</v>
      </c>
      <c r="J53" s="16" t="s">
        <v>116</v>
      </c>
      <c r="K53" s="16" t="s">
        <v>218</v>
      </c>
      <c r="N53" s="16" t="b">
        <v>1</v>
      </c>
      <c r="O53" s="16" t="s">
        <v>35</v>
      </c>
      <c r="R53" s="16" t="s">
        <v>394</v>
      </c>
    </row>
    <row r="54" hidden="1">
      <c r="A54" s="13">
        <v>2165953.0</v>
      </c>
      <c r="B54" s="14">
        <v>46147.571435185186</v>
      </c>
      <c r="C54" s="13" t="s">
        <v>101</v>
      </c>
      <c r="D54" s="13" t="s">
        <v>231</v>
      </c>
      <c r="E54" s="15"/>
      <c r="F54" s="13" t="s">
        <v>109</v>
      </c>
      <c r="G54" s="16">
        <v>8.0</v>
      </c>
      <c r="I54" s="16" t="b">
        <v>0</v>
      </c>
      <c r="J54" s="16" t="s">
        <v>116</v>
      </c>
      <c r="K54" s="16" t="s">
        <v>117</v>
      </c>
      <c r="N54" s="16" t="b">
        <v>1</v>
      </c>
      <c r="O54" s="16" t="s">
        <v>35</v>
      </c>
      <c r="R54" s="16" t="s">
        <v>396</v>
      </c>
    </row>
    <row r="55" hidden="1">
      <c r="A55" s="13">
        <v>2166390.0</v>
      </c>
      <c r="B55" s="14">
        <v>46147.712013888886</v>
      </c>
      <c r="C55" s="13" t="s">
        <v>101</v>
      </c>
      <c r="D55" s="13" t="s">
        <v>398</v>
      </c>
      <c r="E55" s="15"/>
      <c r="F55" s="13" t="s">
        <v>399</v>
      </c>
      <c r="G55" s="16">
        <v>12.0</v>
      </c>
      <c r="I55" s="16" t="b">
        <v>0</v>
      </c>
      <c r="J55" s="16" t="s">
        <v>134</v>
      </c>
      <c r="N55" s="16" t="b">
        <v>1</v>
      </c>
      <c r="O55" s="16" t="s">
        <v>35</v>
      </c>
      <c r="R55" s="16" t="s">
        <v>400</v>
      </c>
    </row>
    <row r="56" hidden="1">
      <c r="A56" s="13">
        <v>2166393.0</v>
      </c>
      <c r="B56" s="14">
        <v>46147.71224537037</v>
      </c>
      <c r="C56" s="13" t="s">
        <v>101</v>
      </c>
      <c r="D56" s="13" t="s">
        <v>401</v>
      </c>
      <c r="E56" s="15"/>
      <c r="F56" s="13" t="s">
        <v>133</v>
      </c>
      <c r="G56" s="16">
        <v>65.0</v>
      </c>
      <c r="I56" s="16" t="b">
        <v>0</v>
      </c>
      <c r="J56" s="16" t="s">
        <v>134</v>
      </c>
      <c r="N56" s="16" t="b">
        <v>1</v>
      </c>
      <c r="O56" s="16" t="s">
        <v>35</v>
      </c>
      <c r="R56" s="16" t="s">
        <v>403</v>
      </c>
    </row>
    <row r="57" hidden="1">
      <c r="A57" s="13">
        <v>2166473.0</v>
      </c>
      <c r="B57" s="14">
        <v>46147.73284722222</v>
      </c>
      <c r="C57" s="13" t="s">
        <v>101</v>
      </c>
      <c r="D57" s="13" t="s">
        <v>405</v>
      </c>
      <c r="E57" s="15"/>
      <c r="F57" s="13" t="s">
        <v>407</v>
      </c>
      <c r="G57" s="16">
        <v>650.0</v>
      </c>
      <c r="I57" s="16" t="b">
        <v>0</v>
      </c>
      <c r="J57" s="16" t="s">
        <v>205</v>
      </c>
      <c r="K57" s="16" t="s">
        <v>117</v>
      </c>
      <c r="N57" s="16" t="b">
        <v>1</v>
      </c>
      <c r="O57" s="16" t="s">
        <v>35</v>
      </c>
      <c r="R57" s="16" t="s">
        <v>409</v>
      </c>
    </row>
    <row r="58" hidden="1">
      <c r="A58" s="13">
        <v>2166530.0</v>
      </c>
      <c r="B58" s="14">
        <v>46147.745104166665</v>
      </c>
      <c r="C58" s="13" t="s">
        <v>101</v>
      </c>
      <c r="D58" s="13" t="s">
        <v>410</v>
      </c>
      <c r="E58" s="24"/>
      <c r="F58" s="13" t="s">
        <v>325</v>
      </c>
      <c r="G58" s="16">
        <v>23.2</v>
      </c>
      <c r="I58" s="16" t="b">
        <v>0</v>
      </c>
      <c r="J58" s="16" t="s">
        <v>116</v>
      </c>
      <c r="K58" s="16" t="s">
        <v>117</v>
      </c>
      <c r="N58" s="16" t="b">
        <v>1</v>
      </c>
      <c r="O58" s="16" t="s">
        <v>35</v>
      </c>
      <c r="R58" s="16" t="s">
        <v>413</v>
      </c>
    </row>
    <row r="59" hidden="1">
      <c r="A59" s="13">
        <v>2166538.0</v>
      </c>
      <c r="B59" s="14">
        <v>46147.746458333335</v>
      </c>
      <c r="C59" s="13" t="s">
        <v>101</v>
      </c>
      <c r="D59" s="13" t="s">
        <v>252</v>
      </c>
      <c r="E59" s="15"/>
      <c r="F59" s="13" t="s">
        <v>325</v>
      </c>
      <c r="G59" s="16">
        <v>4.0</v>
      </c>
      <c r="I59" s="16" t="b">
        <v>0</v>
      </c>
      <c r="J59" s="16" t="s">
        <v>116</v>
      </c>
      <c r="K59" s="16" t="s">
        <v>117</v>
      </c>
      <c r="N59" s="16" t="b">
        <v>1</v>
      </c>
      <c r="O59" s="16" t="s">
        <v>35</v>
      </c>
      <c r="R59" s="16" t="s">
        <v>416</v>
      </c>
    </row>
    <row r="60" hidden="1">
      <c r="A60" s="13">
        <v>2166842.0</v>
      </c>
      <c r="B60" s="14">
        <v>46147.85465277778</v>
      </c>
      <c r="C60" s="13" t="s">
        <v>139</v>
      </c>
      <c r="D60" s="13" t="s">
        <v>213</v>
      </c>
      <c r="E60" s="15"/>
      <c r="F60" s="13" t="s">
        <v>417</v>
      </c>
      <c r="G60" s="16">
        <v>200.0</v>
      </c>
      <c r="I60" s="16" t="b">
        <v>0</v>
      </c>
      <c r="J60" s="16" t="s">
        <v>205</v>
      </c>
      <c r="K60" s="16" t="s">
        <v>218</v>
      </c>
      <c r="N60" s="16" t="b">
        <v>1</v>
      </c>
      <c r="O60" s="16" t="s">
        <v>35</v>
      </c>
      <c r="R60" s="16" t="s">
        <v>419</v>
      </c>
    </row>
    <row r="61" hidden="1">
      <c r="A61" s="13">
        <v>2166845.0</v>
      </c>
      <c r="B61" s="14">
        <v>46147.85490740741</v>
      </c>
      <c r="C61" s="13" t="s">
        <v>139</v>
      </c>
      <c r="D61" s="13" t="s">
        <v>364</v>
      </c>
      <c r="E61" s="15"/>
      <c r="F61" s="13" t="s">
        <v>421</v>
      </c>
      <c r="G61" s="16">
        <v>600.0</v>
      </c>
      <c r="I61" s="16" t="b">
        <v>0</v>
      </c>
      <c r="J61" s="16" t="s">
        <v>205</v>
      </c>
      <c r="K61" s="16" t="s">
        <v>117</v>
      </c>
      <c r="N61" s="16" t="b">
        <v>1</v>
      </c>
      <c r="O61" s="16" t="s">
        <v>35</v>
      </c>
      <c r="R61" s="16" t="s">
        <v>423</v>
      </c>
    </row>
    <row r="62" hidden="1">
      <c r="A62" s="13">
        <v>2166850.0</v>
      </c>
      <c r="B62" s="14">
        <v>46147.857986111114</v>
      </c>
      <c r="C62" s="13" t="s">
        <v>101</v>
      </c>
      <c r="D62" s="13" t="s">
        <v>424</v>
      </c>
      <c r="E62" s="15"/>
      <c r="F62" s="13" t="s">
        <v>425</v>
      </c>
      <c r="G62" s="16">
        <v>706.0</v>
      </c>
      <c r="I62" s="16" t="b">
        <v>0</v>
      </c>
      <c r="J62" s="16" t="s">
        <v>144</v>
      </c>
      <c r="N62" s="16" t="b">
        <v>1</v>
      </c>
      <c r="O62" s="16" t="s">
        <v>35</v>
      </c>
      <c r="R62" s="16" t="s">
        <v>426</v>
      </c>
    </row>
    <row r="63" hidden="1">
      <c r="A63" s="13">
        <v>2166877.0</v>
      </c>
      <c r="B63" s="14">
        <v>46147.86760416667</v>
      </c>
      <c r="C63" s="13" t="s">
        <v>101</v>
      </c>
      <c r="D63" s="13" t="s">
        <v>428</v>
      </c>
      <c r="E63" s="15"/>
      <c r="F63" s="13" t="s">
        <v>181</v>
      </c>
      <c r="G63" s="16">
        <v>35.0</v>
      </c>
      <c r="I63" s="16" t="b">
        <v>0</v>
      </c>
      <c r="J63" s="16" t="s">
        <v>134</v>
      </c>
      <c r="N63" s="16" t="b">
        <v>1</v>
      </c>
      <c r="O63" s="16" t="s">
        <v>35</v>
      </c>
      <c r="R63" s="16" t="s">
        <v>430</v>
      </c>
    </row>
    <row r="64" hidden="1">
      <c r="A64" s="13">
        <v>2166918.0</v>
      </c>
      <c r="B64" s="14">
        <v>46147.87832175926</v>
      </c>
      <c r="C64" s="13" t="s">
        <v>101</v>
      </c>
      <c r="D64" s="13" t="s">
        <v>291</v>
      </c>
      <c r="E64" s="15"/>
      <c r="F64" s="13" t="s">
        <v>432</v>
      </c>
      <c r="G64" s="16">
        <v>250.0</v>
      </c>
      <c r="I64" s="16" t="b">
        <v>0</v>
      </c>
      <c r="J64" s="16" t="s">
        <v>205</v>
      </c>
      <c r="K64" s="16" t="s">
        <v>218</v>
      </c>
      <c r="N64" s="16" t="b">
        <v>1</v>
      </c>
      <c r="O64" s="16" t="s">
        <v>35</v>
      </c>
      <c r="R64" s="16" t="s">
        <v>433</v>
      </c>
    </row>
    <row r="65" hidden="1">
      <c r="A65" s="13">
        <v>2167609.0</v>
      </c>
      <c r="B65" s="14">
        <v>46148.52148148148</v>
      </c>
      <c r="C65" s="13" t="s">
        <v>101</v>
      </c>
      <c r="D65" s="13" t="s">
        <v>260</v>
      </c>
      <c r="E65" s="15"/>
      <c r="F65" s="13" t="s">
        <v>253</v>
      </c>
      <c r="G65" s="16">
        <v>10.4</v>
      </c>
      <c r="I65" s="16" t="b">
        <v>0</v>
      </c>
      <c r="J65" s="16" t="s">
        <v>116</v>
      </c>
      <c r="K65" s="16" t="s">
        <v>117</v>
      </c>
      <c r="N65" s="16" t="b">
        <v>1</v>
      </c>
      <c r="O65" s="16" t="s">
        <v>35</v>
      </c>
      <c r="R65" s="16" t="s">
        <v>435</v>
      </c>
    </row>
    <row r="66" hidden="1">
      <c r="A66" s="13">
        <v>2168001.0</v>
      </c>
      <c r="B66" s="14">
        <v>46148.67847222222</v>
      </c>
      <c r="C66" s="13" t="s">
        <v>101</v>
      </c>
      <c r="D66" s="13" t="s">
        <v>437</v>
      </c>
      <c r="E66" s="15"/>
      <c r="F66" s="13" t="s">
        <v>438</v>
      </c>
      <c r="G66" s="16">
        <v>6.05</v>
      </c>
      <c r="I66" s="16" t="b">
        <v>0</v>
      </c>
      <c r="J66" s="16" t="s">
        <v>170</v>
      </c>
      <c r="N66" s="16" t="b">
        <v>1</v>
      </c>
      <c r="O66" s="16" t="s">
        <v>35</v>
      </c>
      <c r="R66" s="16" t="s">
        <v>439</v>
      </c>
    </row>
    <row r="67" hidden="1">
      <c r="A67" s="13">
        <v>2168113.0</v>
      </c>
      <c r="B67" s="14">
        <v>46148.705046296294</v>
      </c>
      <c r="C67" s="13" t="s">
        <v>101</v>
      </c>
      <c r="D67" s="13" t="s">
        <v>440</v>
      </c>
      <c r="E67" s="15"/>
      <c r="F67" s="13" t="s">
        <v>133</v>
      </c>
      <c r="G67" s="16">
        <v>74.0</v>
      </c>
      <c r="I67" s="16" t="b">
        <v>0</v>
      </c>
      <c r="J67" s="16" t="s">
        <v>134</v>
      </c>
      <c r="N67" s="16" t="b">
        <v>1</v>
      </c>
      <c r="O67" s="16" t="s">
        <v>35</v>
      </c>
      <c r="R67" s="16" t="s">
        <v>442</v>
      </c>
    </row>
    <row r="68" hidden="1">
      <c r="A68" s="13">
        <v>2168138.0</v>
      </c>
      <c r="B68" s="14">
        <v>46148.709398148145</v>
      </c>
      <c r="C68" s="13" t="s">
        <v>139</v>
      </c>
      <c r="D68" s="13" t="s">
        <v>201</v>
      </c>
      <c r="E68" s="15"/>
      <c r="F68" s="13" t="s">
        <v>272</v>
      </c>
      <c r="G68" s="16">
        <v>150.0</v>
      </c>
      <c r="I68" s="16" t="b">
        <v>0</v>
      </c>
      <c r="J68" s="16" t="s">
        <v>144</v>
      </c>
      <c r="N68" s="16" t="b">
        <v>1</v>
      </c>
      <c r="O68" s="16" t="s">
        <v>35</v>
      </c>
      <c r="R68" s="16" t="s">
        <v>444</v>
      </c>
    </row>
    <row r="69" hidden="1">
      <c r="A69" s="13">
        <v>2168148.0</v>
      </c>
      <c r="B69" s="14">
        <v>46148.712789351855</v>
      </c>
      <c r="C69" s="13" t="s">
        <v>139</v>
      </c>
      <c r="D69" s="13" t="s">
        <v>237</v>
      </c>
      <c r="E69" s="24"/>
      <c r="F69" s="13" t="s">
        <v>142</v>
      </c>
      <c r="G69" s="16">
        <v>100.0</v>
      </c>
      <c r="I69" s="16" t="b">
        <v>0</v>
      </c>
      <c r="J69" s="16" t="s">
        <v>144</v>
      </c>
      <c r="N69" s="16" t="b">
        <v>1</v>
      </c>
      <c r="O69" s="16" t="s">
        <v>35</v>
      </c>
      <c r="R69" s="16" t="s">
        <v>447</v>
      </c>
    </row>
    <row r="70" hidden="1">
      <c r="A70" s="13">
        <v>2168171.0</v>
      </c>
      <c r="B70" s="14">
        <v>46148.71931712963</v>
      </c>
      <c r="C70" s="13" t="s">
        <v>101</v>
      </c>
      <c r="D70" s="13" t="s">
        <v>392</v>
      </c>
      <c r="E70" s="15"/>
      <c r="F70" s="13" t="s">
        <v>133</v>
      </c>
      <c r="G70" s="16">
        <v>27.0</v>
      </c>
      <c r="I70" s="16" t="b">
        <v>0</v>
      </c>
      <c r="J70" s="16" t="s">
        <v>134</v>
      </c>
      <c r="N70" s="16" t="b">
        <v>1</v>
      </c>
      <c r="O70" s="16" t="s">
        <v>35</v>
      </c>
      <c r="R70" s="16" t="s">
        <v>450</v>
      </c>
    </row>
    <row r="71" hidden="1">
      <c r="A71" s="13">
        <v>2168229.0</v>
      </c>
      <c r="B71" s="14">
        <v>46148.73222222222</v>
      </c>
      <c r="C71" s="13" t="s">
        <v>101</v>
      </c>
      <c r="D71" s="13" t="s">
        <v>451</v>
      </c>
      <c r="E71" s="15"/>
      <c r="F71" s="13" t="s">
        <v>452</v>
      </c>
      <c r="G71" s="16">
        <v>476.0</v>
      </c>
      <c r="I71" s="16" t="b">
        <v>0</v>
      </c>
      <c r="J71" s="16" t="s">
        <v>170</v>
      </c>
      <c r="N71" s="16" t="b">
        <v>1</v>
      </c>
      <c r="O71" s="16" t="s">
        <v>35</v>
      </c>
      <c r="R71" s="16" t="s">
        <v>454</v>
      </c>
    </row>
    <row r="72" hidden="1">
      <c r="A72" s="13">
        <v>2168262.0</v>
      </c>
      <c r="B72" s="14">
        <v>46148.74184027778</v>
      </c>
      <c r="C72" s="13" t="s">
        <v>101</v>
      </c>
      <c r="D72" s="13" t="s">
        <v>141</v>
      </c>
      <c r="E72" s="15"/>
      <c r="F72" s="13" t="s">
        <v>457</v>
      </c>
      <c r="G72" s="16">
        <v>50.0</v>
      </c>
      <c r="I72" s="16" t="b">
        <v>0</v>
      </c>
      <c r="J72" s="16" t="s">
        <v>205</v>
      </c>
      <c r="K72" s="16" t="s">
        <v>117</v>
      </c>
      <c r="N72" s="16" t="b">
        <v>1</v>
      </c>
      <c r="O72" s="16" t="s">
        <v>35</v>
      </c>
      <c r="R72" s="16" t="s">
        <v>458</v>
      </c>
    </row>
    <row r="73" hidden="1">
      <c r="A73" s="13">
        <v>2168295.0</v>
      </c>
      <c r="B73" s="14">
        <v>46148.75173611111</v>
      </c>
      <c r="C73" s="13" t="s">
        <v>101</v>
      </c>
      <c r="D73" s="13" t="s">
        <v>260</v>
      </c>
      <c r="E73" s="15"/>
      <c r="F73" s="13" t="s">
        <v>325</v>
      </c>
      <c r="G73" s="16">
        <v>10.4</v>
      </c>
      <c r="I73" s="16" t="b">
        <v>0</v>
      </c>
      <c r="J73" s="16" t="s">
        <v>116</v>
      </c>
      <c r="K73" s="16" t="s">
        <v>117</v>
      </c>
      <c r="N73" s="16" t="b">
        <v>1</v>
      </c>
      <c r="O73" s="16" t="s">
        <v>35</v>
      </c>
      <c r="R73" s="16" t="s">
        <v>435</v>
      </c>
    </row>
    <row r="74" hidden="1">
      <c r="A74" s="13">
        <v>2168623.0</v>
      </c>
      <c r="B74" s="14">
        <v>46148.869050925925</v>
      </c>
      <c r="C74" s="13" t="s">
        <v>101</v>
      </c>
      <c r="D74" s="13" t="s">
        <v>231</v>
      </c>
      <c r="E74" s="15"/>
      <c r="F74" s="13" t="s">
        <v>181</v>
      </c>
      <c r="G74" s="16">
        <v>10.0</v>
      </c>
      <c r="I74" s="16" t="b">
        <v>0</v>
      </c>
      <c r="J74" s="16" t="s">
        <v>134</v>
      </c>
      <c r="N74" s="16" t="b">
        <v>1</v>
      </c>
      <c r="O74" s="16" t="s">
        <v>35</v>
      </c>
      <c r="R74" s="16" t="s">
        <v>463</v>
      </c>
    </row>
    <row r="75" hidden="1">
      <c r="A75" s="13">
        <v>2168661.0</v>
      </c>
      <c r="B75" s="14">
        <v>46148.88075231481</v>
      </c>
      <c r="C75" s="13" t="s">
        <v>101</v>
      </c>
      <c r="D75" s="13" t="s">
        <v>465</v>
      </c>
      <c r="E75" s="15"/>
      <c r="F75" s="13" t="s">
        <v>466</v>
      </c>
      <c r="G75" s="16">
        <v>550.0</v>
      </c>
      <c r="I75" s="16" t="b">
        <v>0</v>
      </c>
      <c r="J75" s="16" t="s">
        <v>205</v>
      </c>
      <c r="K75" s="16" t="s">
        <v>218</v>
      </c>
      <c r="N75" s="16" t="b">
        <v>1</v>
      </c>
      <c r="O75" s="16" t="s">
        <v>35</v>
      </c>
      <c r="R75" s="16" t="s">
        <v>468</v>
      </c>
    </row>
    <row r="76" hidden="1">
      <c r="A76" s="13">
        <v>2169386.0</v>
      </c>
      <c r="B76" s="14">
        <v>46149.56108796296</v>
      </c>
      <c r="C76" s="13" t="s">
        <v>101</v>
      </c>
      <c r="D76" s="13" t="s">
        <v>252</v>
      </c>
      <c r="E76" s="15"/>
      <c r="F76" s="13" t="s">
        <v>253</v>
      </c>
      <c r="G76" s="16">
        <v>4.0</v>
      </c>
      <c r="I76" s="16" t="b">
        <v>0</v>
      </c>
      <c r="J76" s="16" t="s">
        <v>116</v>
      </c>
      <c r="K76" s="16" t="s">
        <v>117</v>
      </c>
      <c r="N76" s="16" t="b">
        <v>1</v>
      </c>
      <c r="O76" s="16" t="s">
        <v>35</v>
      </c>
      <c r="R76" s="16" t="s">
        <v>471</v>
      </c>
    </row>
    <row r="77" hidden="1">
      <c r="A77" s="13">
        <v>2169581.0</v>
      </c>
      <c r="B77" s="14">
        <v>46149.63989583333</v>
      </c>
      <c r="C77" s="13" t="s">
        <v>101</v>
      </c>
      <c r="D77" s="13" t="s">
        <v>473</v>
      </c>
      <c r="E77" s="15"/>
      <c r="F77" s="13" t="s">
        <v>393</v>
      </c>
      <c r="G77" s="16">
        <v>12.0</v>
      </c>
      <c r="I77" s="16" t="b">
        <v>0</v>
      </c>
      <c r="J77" s="16" t="s">
        <v>116</v>
      </c>
      <c r="K77" s="16" t="s">
        <v>218</v>
      </c>
      <c r="N77" s="16" t="b">
        <v>1</v>
      </c>
      <c r="O77" s="16" t="s">
        <v>35</v>
      </c>
      <c r="R77" s="16" t="s">
        <v>475</v>
      </c>
    </row>
    <row r="78" hidden="1">
      <c r="A78" s="13">
        <v>2169943.0</v>
      </c>
      <c r="B78" s="14">
        <v>46149.73090277778</v>
      </c>
      <c r="C78" s="13" t="s">
        <v>101</v>
      </c>
      <c r="D78" s="13" t="s">
        <v>477</v>
      </c>
      <c r="E78" s="15"/>
      <c r="F78" s="13" t="s">
        <v>133</v>
      </c>
      <c r="G78" s="16">
        <v>73.0</v>
      </c>
      <c r="I78" s="16" t="b">
        <v>0</v>
      </c>
      <c r="J78" s="16" t="s">
        <v>134</v>
      </c>
      <c r="N78" s="16" t="b">
        <v>1</v>
      </c>
      <c r="O78" s="16" t="s">
        <v>35</v>
      </c>
      <c r="R78" s="16" t="s">
        <v>478</v>
      </c>
    </row>
    <row r="79" hidden="1">
      <c r="A79" s="13">
        <v>2169966.0</v>
      </c>
      <c r="B79" s="14">
        <v>46149.73746527778</v>
      </c>
      <c r="C79" s="13" t="s">
        <v>101</v>
      </c>
      <c r="D79" s="13" t="s">
        <v>256</v>
      </c>
      <c r="E79" s="15"/>
      <c r="F79" s="13" t="s">
        <v>480</v>
      </c>
      <c r="G79" s="16">
        <v>300.0</v>
      </c>
      <c r="I79" s="16" t="b">
        <v>0</v>
      </c>
      <c r="J79" s="16" t="s">
        <v>205</v>
      </c>
      <c r="K79" s="16" t="s">
        <v>117</v>
      </c>
      <c r="N79" s="16" t="b">
        <v>1</v>
      </c>
      <c r="O79" s="16" t="s">
        <v>35</v>
      </c>
      <c r="R79" s="16" t="s">
        <v>483</v>
      </c>
    </row>
    <row r="80" hidden="1">
      <c r="A80" s="13">
        <v>2169991.0</v>
      </c>
      <c r="B80" s="14">
        <v>46149.74469907407</v>
      </c>
      <c r="C80" s="13" t="s">
        <v>101</v>
      </c>
      <c r="D80" s="13" t="s">
        <v>231</v>
      </c>
      <c r="E80" s="24"/>
      <c r="F80" s="13" t="s">
        <v>133</v>
      </c>
      <c r="G80" s="16">
        <v>10.0</v>
      </c>
      <c r="I80" s="16" t="b">
        <v>0</v>
      </c>
      <c r="J80" s="16" t="s">
        <v>134</v>
      </c>
      <c r="N80" s="16" t="b">
        <v>1</v>
      </c>
      <c r="O80" s="16" t="s">
        <v>35</v>
      </c>
      <c r="R80" s="16" t="s">
        <v>487</v>
      </c>
    </row>
    <row r="81" hidden="1">
      <c r="A81" s="13">
        <v>2170005.0</v>
      </c>
      <c r="B81" s="14">
        <v>46149.74701388889</v>
      </c>
      <c r="C81" s="13" t="s">
        <v>101</v>
      </c>
      <c r="D81" s="13" t="s">
        <v>488</v>
      </c>
      <c r="E81" s="15"/>
      <c r="F81" s="13" t="s">
        <v>253</v>
      </c>
      <c r="G81" s="16">
        <v>31.75</v>
      </c>
      <c r="I81" s="16" t="b">
        <v>0</v>
      </c>
      <c r="J81" s="16" t="s">
        <v>116</v>
      </c>
      <c r="K81" s="16" t="s">
        <v>117</v>
      </c>
      <c r="N81" s="16" t="b">
        <v>1</v>
      </c>
      <c r="O81" s="16" t="s">
        <v>35</v>
      </c>
      <c r="R81" s="16" t="s">
        <v>491</v>
      </c>
    </row>
    <row r="82" hidden="1">
      <c r="A82" s="13">
        <v>2170049.0</v>
      </c>
      <c r="B82" s="14">
        <v>46149.756747685184</v>
      </c>
      <c r="C82" s="13" t="s">
        <v>101</v>
      </c>
      <c r="D82" s="13" t="s">
        <v>492</v>
      </c>
      <c r="E82" s="15"/>
      <c r="F82" s="13" t="s">
        <v>494</v>
      </c>
      <c r="G82" s="16">
        <v>9.36</v>
      </c>
      <c r="I82" s="16" t="b">
        <v>0</v>
      </c>
      <c r="J82" s="16" t="s">
        <v>116</v>
      </c>
      <c r="K82" s="16" t="s">
        <v>336</v>
      </c>
      <c r="N82" s="16" t="b">
        <v>1</v>
      </c>
      <c r="O82" s="16" t="s">
        <v>35</v>
      </c>
      <c r="R82" s="16" t="s">
        <v>496</v>
      </c>
    </row>
    <row r="83" hidden="1">
      <c r="A83" s="13">
        <v>2170383.0</v>
      </c>
      <c r="B83" s="14">
        <v>46149.868726851855</v>
      </c>
      <c r="C83" s="13" t="s">
        <v>101</v>
      </c>
      <c r="D83" s="13" t="s">
        <v>497</v>
      </c>
      <c r="E83" s="15"/>
      <c r="F83" s="13" t="s">
        <v>282</v>
      </c>
      <c r="G83" s="16">
        <v>30.98</v>
      </c>
      <c r="I83" s="16" t="b">
        <v>0</v>
      </c>
      <c r="J83" s="16" t="s">
        <v>170</v>
      </c>
      <c r="N83" s="16" t="b">
        <v>1</v>
      </c>
      <c r="O83" s="16" t="s">
        <v>35</v>
      </c>
      <c r="R83" s="16" t="s">
        <v>499</v>
      </c>
    </row>
    <row r="84" hidden="1">
      <c r="A84" s="13">
        <v>2170385.0</v>
      </c>
      <c r="B84" s="14">
        <v>46149.869108796294</v>
      </c>
      <c r="C84" s="13" t="s">
        <v>101</v>
      </c>
      <c r="D84" s="13" t="s">
        <v>501</v>
      </c>
      <c r="E84" s="15"/>
      <c r="F84" s="13" t="s">
        <v>502</v>
      </c>
      <c r="G84" s="16">
        <v>25.0</v>
      </c>
      <c r="I84" s="16" t="b">
        <v>0</v>
      </c>
      <c r="J84" s="16" t="s">
        <v>170</v>
      </c>
      <c r="N84" s="16" t="b">
        <v>1</v>
      </c>
      <c r="O84" s="16" t="s">
        <v>35</v>
      </c>
      <c r="R84" s="16" t="s">
        <v>504</v>
      </c>
    </row>
    <row r="85" hidden="1">
      <c r="A85" s="13">
        <v>2170388.0</v>
      </c>
      <c r="B85" s="14">
        <v>46149.86950231482</v>
      </c>
      <c r="C85" s="13" t="s">
        <v>101</v>
      </c>
      <c r="D85" s="13" t="s">
        <v>231</v>
      </c>
      <c r="E85" s="15"/>
      <c r="F85" s="13" t="s">
        <v>507</v>
      </c>
      <c r="G85" s="16">
        <v>10.0</v>
      </c>
      <c r="I85" s="16" t="b">
        <v>0</v>
      </c>
      <c r="J85" s="16" t="s">
        <v>170</v>
      </c>
      <c r="N85" s="16" t="b">
        <v>1</v>
      </c>
      <c r="O85" s="16" t="s">
        <v>35</v>
      </c>
      <c r="R85" s="16" t="s">
        <v>508</v>
      </c>
    </row>
    <row r="86" hidden="1">
      <c r="A86" s="13">
        <v>2170416.0</v>
      </c>
      <c r="B86" s="14">
        <v>46149.87706018519</v>
      </c>
      <c r="C86" s="13" t="s">
        <v>101</v>
      </c>
      <c r="D86" s="13" t="s">
        <v>510</v>
      </c>
      <c r="E86" s="15"/>
      <c r="F86" s="13" t="s">
        <v>512</v>
      </c>
      <c r="G86" s="16">
        <v>24.0</v>
      </c>
      <c r="I86" s="16" t="b">
        <v>0</v>
      </c>
      <c r="J86" s="16" t="s">
        <v>134</v>
      </c>
      <c r="N86" s="16" t="b">
        <v>1</v>
      </c>
      <c r="O86" s="16" t="s">
        <v>35</v>
      </c>
      <c r="R86" s="16" t="s">
        <v>513</v>
      </c>
    </row>
    <row r="87" hidden="1">
      <c r="A87" s="13">
        <v>2170418.0</v>
      </c>
      <c r="B87" s="14">
        <v>46149.87734953704</v>
      </c>
      <c r="C87" s="13" t="s">
        <v>101</v>
      </c>
      <c r="D87" s="13" t="s">
        <v>213</v>
      </c>
      <c r="E87" s="15"/>
      <c r="F87" s="13" t="s">
        <v>516</v>
      </c>
      <c r="G87" s="16">
        <v>200.0</v>
      </c>
      <c r="I87" s="16" t="b">
        <v>0</v>
      </c>
      <c r="J87" s="16" t="s">
        <v>205</v>
      </c>
      <c r="K87" s="16" t="s">
        <v>218</v>
      </c>
      <c r="N87" s="16" t="b">
        <v>1</v>
      </c>
      <c r="O87" s="16" t="s">
        <v>35</v>
      </c>
      <c r="R87" s="16" t="s">
        <v>519</v>
      </c>
    </row>
    <row r="88" hidden="1">
      <c r="A88" s="13">
        <v>2171128.0</v>
      </c>
      <c r="B88" s="14">
        <v>46150.51715277778</v>
      </c>
      <c r="C88" s="13" t="s">
        <v>101</v>
      </c>
      <c r="D88" s="13" t="s">
        <v>252</v>
      </c>
      <c r="E88" s="15"/>
      <c r="F88" s="13" t="s">
        <v>523</v>
      </c>
      <c r="G88" s="16">
        <v>4.0</v>
      </c>
      <c r="I88" s="16" t="b">
        <v>0</v>
      </c>
      <c r="J88" s="16" t="s">
        <v>116</v>
      </c>
      <c r="K88" s="16" t="s">
        <v>336</v>
      </c>
      <c r="N88" s="16" t="b">
        <v>1</v>
      </c>
      <c r="O88" s="16" t="s">
        <v>35</v>
      </c>
      <c r="R88" s="16" t="s">
        <v>524</v>
      </c>
    </row>
    <row r="89" hidden="1">
      <c r="A89" s="13">
        <v>2171883.0</v>
      </c>
      <c r="B89" s="14">
        <v>46150.80798611111</v>
      </c>
      <c r="C89" s="13" t="s">
        <v>101</v>
      </c>
      <c r="D89" s="13" t="s">
        <v>526</v>
      </c>
      <c r="E89" s="15"/>
      <c r="F89" s="13" t="s">
        <v>133</v>
      </c>
      <c r="G89" s="16">
        <v>21.0</v>
      </c>
      <c r="I89" s="16" t="b">
        <v>0</v>
      </c>
      <c r="J89" s="16" t="s">
        <v>134</v>
      </c>
      <c r="N89" s="16" t="b">
        <v>1</v>
      </c>
      <c r="O89" s="16" t="s">
        <v>35</v>
      </c>
      <c r="R89" s="16" t="s">
        <v>529</v>
      </c>
    </row>
    <row r="90" hidden="1">
      <c r="A90" s="13">
        <v>2171886.0</v>
      </c>
      <c r="B90" s="14">
        <v>46150.80819444444</v>
      </c>
      <c r="C90" s="13" t="s">
        <v>101</v>
      </c>
      <c r="D90" s="13" t="s">
        <v>141</v>
      </c>
      <c r="E90" s="15"/>
      <c r="F90" s="13" t="s">
        <v>531</v>
      </c>
      <c r="G90" s="16">
        <v>50.0</v>
      </c>
      <c r="I90" s="16" t="b">
        <v>0</v>
      </c>
      <c r="J90" s="16" t="s">
        <v>170</v>
      </c>
      <c r="N90" s="16" t="b">
        <v>1</v>
      </c>
      <c r="O90" s="16" t="s">
        <v>35</v>
      </c>
      <c r="R90" s="16" t="s">
        <v>534</v>
      </c>
    </row>
    <row r="91" hidden="1">
      <c r="A91" s="13">
        <v>2171887.0</v>
      </c>
      <c r="B91" s="14">
        <v>46150.80842592593</v>
      </c>
      <c r="C91" s="13" t="s">
        <v>101</v>
      </c>
      <c r="D91" s="13" t="s">
        <v>535</v>
      </c>
      <c r="E91" s="15"/>
      <c r="F91" s="13" t="s">
        <v>537</v>
      </c>
      <c r="G91" s="16">
        <v>43.59</v>
      </c>
      <c r="I91" s="16" t="b">
        <v>0</v>
      </c>
      <c r="J91" s="16" t="s">
        <v>170</v>
      </c>
      <c r="N91" s="16" t="b">
        <v>1</v>
      </c>
      <c r="O91" s="16" t="s">
        <v>35</v>
      </c>
      <c r="R91" s="16" t="s">
        <v>540</v>
      </c>
    </row>
    <row r="92" hidden="1">
      <c r="A92" s="13">
        <v>2171908.0</v>
      </c>
      <c r="B92" s="14">
        <v>46150.81599537037</v>
      </c>
      <c r="C92" s="13" t="s">
        <v>139</v>
      </c>
      <c r="D92" s="13" t="s">
        <v>141</v>
      </c>
      <c r="E92" s="24"/>
      <c r="F92" s="13" t="s">
        <v>272</v>
      </c>
      <c r="G92" s="16">
        <v>50.0</v>
      </c>
      <c r="I92" s="16" t="b">
        <v>0</v>
      </c>
      <c r="J92" s="16" t="s">
        <v>144</v>
      </c>
      <c r="N92" s="16" t="b">
        <v>1</v>
      </c>
      <c r="O92" s="16" t="s">
        <v>35</v>
      </c>
      <c r="R92" s="16" t="s">
        <v>545</v>
      </c>
    </row>
    <row r="93" hidden="1">
      <c r="A93" s="13">
        <v>2171947.0</v>
      </c>
      <c r="B93" s="14">
        <v>46150.82886574074</v>
      </c>
      <c r="C93" s="13" t="s">
        <v>101</v>
      </c>
      <c r="D93" s="13" t="s">
        <v>246</v>
      </c>
      <c r="E93" s="15"/>
      <c r="F93" s="13" t="s">
        <v>325</v>
      </c>
      <c r="G93" s="16">
        <v>24.0</v>
      </c>
      <c r="I93" s="16" t="b">
        <v>0</v>
      </c>
      <c r="J93" s="16" t="s">
        <v>116</v>
      </c>
      <c r="K93" s="16" t="s">
        <v>117</v>
      </c>
      <c r="N93" s="16" t="b">
        <v>1</v>
      </c>
      <c r="O93" s="16" t="s">
        <v>35</v>
      </c>
      <c r="R93" s="16" t="s">
        <v>549</v>
      </c>
    </row>
    <row r="94" hidden="1">
      <c r="A94" s="13">
        <v>2172048.0</v>
      </c>
      <c r="B94" s="14">
        <v>46150.87253472222</v>
      </c>
      <c r="C94" s="13" t="s">
        <v>101</v>
      </c>
      <c r="D94" s="13" t="s">
        <v>306</v>
      </c>
      <c r="E94" s="15"/>
      <c r="F94" s="13" t="s">
        <v>512</v>
      </c>
      <c r="G94" s="16">
        <v>22.0</v>
      </c>
      <c r="I94" s="16" t="b">
        <v>0</v>
      </c>
      <c r="J94" s="16" t="s">
        <v>134</v>
      </c>
      <c r="N94" s="16" t="b">
        <v>1</v>
      </c>
      <c r="O94" s="16" t="s">
        <v>35</v>
      </c>
      <c r="R94" s="16" t="s">
        <v>554</v>
      </c>
    </row>
    <row r="95" hidden="1">
      <c r="A95" s="13">
        <v>2173226.0</v>
      </c>
      <c r="B95" s="14">
        <v>46151.773993055554</v>
      </c>
      <c r="C95" s="13" t="s">
        <v>101</v>
      </c>
      <c r="D95" s="13" t="s">
        <v>556</v>
      </c>
      <c r="E95" s="15"/>
      <c r="F95" s="13" t="s">
        <v>109</v>
      </c>
      <c r="G95" s="16">
        <v>19.4</v>
      </c>
      <c r="I95" s="16" t="b">
        <v>0</v>
      </c>
      <c r="J95" s="16" t="s">
        <v>116</v>
      </c>
      <c r="K95" s="16" t="s">
        <v>117</v>
      </c>
      <c r="N95" s="16" t="b">
        <v>1</v>
      </c>
      <c r="O95" s="16" t="s">
        <v>35</v>
      </c>
      <c r="R95" s="16" t="s">
        <v>557</v>
      </c>
    </row>
    <row r="96" hidden="1">
      <c r="A96" s="13">
        <v>2173390.0</v>
      </c>
      <c r="B96" s="14">
        <v>46151.83298611111</v>
      </c>
      <c r="C96" s="13" t="s">
        <v>101</v>
      </c>
      <c r="D96" s="13" t="s">
        <v>561</v>
      </c>
      <c r="E96" s="15"/>
      <c r="F96" s="13" t="s">
        <v>438</v>
      </c>
      <c r="G96" s="16">
        <v>14.5</v>
      </c>
      <c r="I96" s="16" t="b">
        <v>0</v>
      </c>
      <c r="J96" s="16" t="s">
        <v>170</v>
      </c>
      <c r="N96" s="16" t="b">
        <v>1</v>
      </c>
      <c r="O96" s="16" t="s">
        <v>35</v>
      </c>
      <c r="R96" s="16" t="s">
        <v>563</v>
      </c>
    </row>
    <row r="97" hidden="1">
      <c r="A97" s="13">
        <v>2173419.0</v>
      </c>
      <c r="B97" s="14">
        <v>46151.84158564815</v>
      </c>
      <c r="C97" s="13" t="s">
        <v>101</v>
      </c>
      <c r="D97" s="13" t="s">
        <v>324</v>
      </c>
      <c r="E97" s="15"/>
      <c r="F97" s="13" t="s">
        <v>133</v>
      </c>
      <c r="G97" s="16">
        <v>45.0</v>
      </c>
      <c r="I97" s="16" t="b">
        <v>0</v>
      </c>
      <c r="J97" s="16" t="s">
        <v>134</v>
      </c>
      <c r="N97" s="16" t="b">
        <v>1</v>
      </c>
      <c r="O97" s="16" t="s">
        <v>35</v>
      </c>
      <c r="R97" s="16" t="s">
        <v>567</v>
      </c>
    </row>
    <row r="98" hidden="1">
      <c r="A98" s="13">
        <v>2173506.0</v>
      </c>
      <c r="B98" s="14">
        <v>46151.8666087963</v>
      </c>
      <c r="C98" s="13" t="s">
        <v>101</v>
      </c>
      <c r="D98" s="13" t="s">
        <v>210</v>
      </c>
      <c r="E98" s="24"/>
      <c r="F98" s="13" t="s">
        <v>109</v>
      </c>
      <c r="G98" s="16">
        <v>32.0</v>
      </c>
      <c r="I98" s="16" t="b">
        <v>0</v>
      </c>
      <c r="J98" s="16" t="s">
        <v>116</v>
      </c>
      <c r="K98" s="16" t="s">
        <v>117</v>
      </c>
      <c r="N98" s="16" t="b">
        <v>1</v>
      </c>
      <c r="O98" s="16" t="s">
        <v>35</v>
      </c>
      <c r="R98" s="16" t="s">
        <v>572</v>
      </c>
    </row>
    <row r="99" hidden="1">
      <c r="A99" s="13">
        <v>2175065.0</v>
      </c>
      <c r="B99" s="14">
        <v>46152.85673611111</v>
      </c>
      <c r="C99" s="13" t="s">
        <v>101</v>
      </c>
      <c r="D99" s="13" t="s">
        <v>428</v>
      </c>
      <c r="E99" s="15"/>
      <c r="F99" s="13" t="s">
        <v>574</v>
      </c>
      <c r="G99" s="16">
        <v>28.0</v>
      </c>
      <c r="I99" s="16" t="b">
        <v>0</v>
      </c>
      <c r="J99" s="16" t="s">
        <v>116</v>
      </c>
      <c r="K99" s="16" t="s">
        <v>218</v>
      </c>
      <c r="N99" s="16" t="b">
        <v>1</v>
      </c>
      <c r="O99" s="16" t="s">
        <v>35</v>
      </c>
      <c r="R99" s="16" t="s">
        <v>576</v>
      </c>
    </row>
    <row r="100" hidden="1">
      <c r="A100" s="13">
        <v>2175099.0</v>
      </c>
      <c r="B100" s="14">
        <v>46152.866319444445</v>
      </c>
      <c r="C100" s="13" t="s">
        <v>101</v>
      </c>
      <c r="D100" s="13" t="s">
        <v>213</v>
      </c>
      <c r="E100" s="24"/>
      <c r="F100" s="13" t="s">
        <v>578</v>
      </c>
      <c r="G100" s="16">
        <v>200.0</v>
      </c>
      <c r="I100" s="16" t="b">
        <v>0</v>
      </c>
      <c r="J100" s="16" t="s">
        <v>205</v>
      </c>
      <c r="K100" s="16" t="s">
        <v>336</v>
      </c>
      <c r="N100" s="16" t="b">
        <v>1</v>
      </c>
      <c r="O100" s="16" t="s">
        <v>35</v>
      </c>
      <c r="R100" s="16" t="s">
        <v>581</v>
      </c>
    </row>
    <row r="101" hidden="1">
      <c r="A101" s="13">
        <v>2175101.0</v>
      </c>
      <c r="B101" s="14">
        <v>46152.86649305555</v>
      </c>
      <c r="C101" s="13" t="s">
        <v>101</v>
      </c>
      <c r="D101" s="13" t="s">
        <v>582</v>
      </c>
      <c r="E101" s="15"/>
      <c r="F101" s="13" t="s">
        <v>512</v>
      </c>
      <c r="G101" s="16">
        <v>151.0</v>
      </c>
      <c r="I101" s="16" t="b">
        <v>0</v>
      </c>
      <c r="J101" s="16" t="s">
        <v>134</v>
      </c>
      <c r="N101" s="16" t="b">
        <v>1</v>
      </c>
      <c r="O101" s="16" t="s">
        <v>35</v>
      </c>
      <c r="R101" s="16" t="s">
        <v>585</v>
      </c>
    </row>
    <row r="102" hidden="1">
      <c r="A102" s="13">
        <v>2175103.0</v>
      </c>
      <c r="B102" s="14">
        <v>46152.86666666667</v>
      </c>
      <c r="C102" s="13" t="s">
        <v>101</v>
      </c>
      <c r="D102" s="13" t="s">
        <v>586</v>
      </c>
      <c r="E102" s="15"/>
      <c r="F102" s="13" t="s">
        <v>344</v>
      </c>
      <c r="G102" s="16">
        <v>120.0</v>
      </c>
      <c r="I102" s="16" t="b">
        <v>0</v>
      </c>
      <c r="J102" s="16" t="s">
        <v>126</v>
      </c>
      <c r="N102" s="16" t="b">
        <v>1</v>
      </c>
      <c r="O102" s="16" t="s">
        <v>35</v>
      </c>
      <c r="R102" s="16" t="s">
        <v>588</v>
      </c>
    </row>
    <row r="103" hidden="1">
      <c r="A103" s="13">
        <v>2176323.0</v>
      </c>
      <c r="B103" s="14">
        <v>46153.727743055555</v>
      </c>
      <c r="C103" s="13" t="s">
        <v>101</v>
      </c>
      <c r="D103" s="13" t="s">
        <v>237</v>
      </c>
      <c r="E103" s="15"/>
      <c r="F103" s="13" t="s">
        <v>590</v>
      </c>
      <c r="G103" s="16">
        <v>100.0</v>
      </c>
      <c r="I103" s="16" t="b">
        <v>0</v>
      </c>
      <c r="J103" s="16" t="s">
        <v>205</v>
      </c>
      <c r="K103" s="16" t="s">
        <v>117</v>
      </c>
      <c r="N103" s="16" t="b">
        <v>1</v>
      </c>
      <c r="O103" s="16" t="s">
        <v>35</v>
      </c>
      <c r="R103" s="16" t="s">
        <v>591</v>
      </c>
    </row>
    <row r="104" hidden="1">
      <c r="A104" s="13">
        <v>2176377.0</v>
      </c>
      <c r="B104" s="14">
        <v>46153.74716435185</v>
      </c>
      <c r="C104" s="13" t="s">
        <v>101</v>
      </c>
      <c r="D104" s="13" t="s">
        <v>165</v>
      </c>
      <c r="E104" s="15"/>
      <c r="F104" s="13" t="s">
        <v>133</v>
      </c>
      <c r="G104" s="16">
        <v>58.0</v>
      </c>
      <c r="I104" s="16" t="b">
        <v>0</v>
      </c>
      <c r="J104" s="16" t="s">
        <v>134</v>
      </c>
      <c r="N104" s="16" t="b">
        <v>1</v>
      </c>
      <c r="O104" s="16" t="s">
        <v>35</v>
      </c>
      <c r="R104" s="16" t="s">
        <v>597</v>
      </c>
    </row>
    <row r="105" hidden="1">
      <c r="A105" s="13">
        <v>2176595.0</v>
      </c>
      <c r="B105" s="14">
        <v>46153.86895833333</v>
      </c>
      <c r="C105" s="13" t="s">
        <v>101</v>
      </c>
      <c r="D105" s="13" t="s">
        <v>599</v>
      </c>
      <c r="E105" s="15"/>
      <c r="F105" s="13" t="s">
        <v>600</v>
      </c>
      <c r="G105" s="16">
        <v>11.0</v>
      </c>
      <c r="I105" s="16" t="b">
        <v>0</v>
      </c>
      <c r="J105" s="16" t="s">
        <v>134</v>
      </c>
      <c r="N105" s="16" t="b">
        <v>1</v>
      </c>
      <c r="O105" s="16" t="s">
        <v>35</v>
      </c>
      <c r="R105" s="16" t="s">
        <v>602</v>
      </c>
    </row>
    <row r="106" hidden="1">
      <c r="A106" s="13">
        <v>2177149.0</v>
      </c>
      <c r="B106" s="14">
        <v>46154.58918981482</v>
      </c>
      <c r="C106" s="13" t="s">
        <v>101</v>
      </c>
      <c r="D106" s="13" t="s">
        <v>603</v>
      </c>
      <c r="E106" s="15"/>
      <c r="F106" s="13" t="s">
        <v>393</v>
      </c>
      <c r="G106" s="16">
        <v>19.6</v>
      </c>
      <c r="I106" s="16" t="b">
        <v>0</v>
      </c>
      <c r="J106" s="16" t="s">
        <v>116</v>
      </c>
      <c r="K106" s="16" t="s">
        <v>218</v>
      </c>
      <c r="N106" s="16" t="b">
        <v>1</v>
      </c>
      <c r="O106" s="16" t="s">
        <v>35</v>
      </c>
      <c r="R106" s="16" t="s">
        <v>607</v>
      </c>
    </row>
    <row r="107" hidden="1">
      <c r="A107" s="13">
        <v>2177437.0</v>
      </c>
      <c r="B107" s="14">
        <v>46154.721608796295</v>
      </c>
      <c r="C107" s="13" t="s">
        <v>101</v>
      </c>
      <c r="D107" s="13" t="s">
        <v>231</v>
      </c>
      <c r="E107" s="15"/>
      <c r="F107" s="13" t="s">
        <v>133</v>
      </c>
      <c r="G107" s="16">
        <v>10.0</v>
      </c>
      <c r="I107" s="16" t="b">
        <v>0</v>
      </c>
      <c r="J107" s="16" t="s">
        <v>134</v>
      </c>
      <c r="N107" s="16" t="b">
        <v>1</v>
      </c>
      <c r="O107" s="16" t="s">
        <v>35</v>
      </c>
      <c r="R107" s="16" t="s">
        <v>610</v>
      </c>
    </row>
    <row r="108" hidden="1">
      <c r="A108" s="13">
        <v>2177450.0</v>
      </c>
      <c r="B108" s="14">
        <v>46154.72902777778</v>
      </c>
      <c r="C108" s="13" t="s">
        <v>101</v>
      </c>
      <c r="D108" s="13" t="s">
        <v>256</v>
      </c>
      <c r="E108" s="15"/>
      <c r="F108" s="13" t="s">
        <v>612</v>
      </c>
      <c r="G108" s="16">
        <v>300.0</v>
      </c>
      <c r="I108" s="16" t="b">
        <v>0</v>
      </c>
      <c r="J108" s="16" t="s">
        <v>205</v>
      </c>
      <c r="K108" s="16" t="s">
        <v>117</v>
      </c>
      <c r="N108" s="16" t="b">
        <v>1</v>
      </c>
      <c r="O108" s="16" t="s">
        <v>35</v>
      </c>
      <c r="R108" s="16" t="s">
        <v>613</v>
      </c>
    </row>
    <row r="109" hidden="1">
      <c r="A109" s="13">
        <v>2177524.0</v>
      </c>
      <c r="B109" s="14">
        <v>46154.75795138889</v>
      </c>
      <c r="C109" s="13" t="s">
        <v>101</v>
      </c>
      <c r="D109" s="13" t="s">
        <v>615</v>
      </c>
      <c r="E109" s="15"/>
      <c r="F109" s="13" t="s">
        <v>494</v>
      </c>
      <c r="G109" s="16">
        <v>14.4</v>
      </c>
      <c r="I109" s="16" t="b">
        <v>0</v>
      </c>
      <c r="J109" s="16" t="s">
        <v>116</v>
      </c>
      <c r="K109" s="16" t="s">
        <v>336</v>
      </c>
      <c r="N109" s="16" t="b">
        <v>1</v>
      </c>
      <c r="O109" s="16" t="s">
        <v>35</v>
      </c>
      <c r="R109" s="16" t="s">
        <v>619</v>
      </c>
    </row>
    <row r="110" hidden="1">
      <c r="A110" s="13">
        <v>2177705.0</v>
      </c>
      <c r="B110" s="14">
        <v>46154.85118055555</v>
      </c>
      <c r="C110" s="13" t="s">
        <v>101</v>
      </c>
      <c r="D110" s="13" t="s">
        <v>246</v>
      </c>
      <c r="E110" s="15"/>
      <c r="F110" s="13" t="s">
        <v>225</v>
      </c>
      <c r="G110" s="16">
        <v>24.0</v>
      </c>
      <c r="I110" s="16" t="b">
        <v>0</v>
      </c>
      <c r="J110" s="16" t="s">
        <v>116</v>
      </c>
      <c r="K110" s="16" t="s">
        <v>227</v>
      </c>
      <c r="N110" s="16" t="b">
        <v>1</v>
      </c>
      <c r="O110" s="16" t="s">
        <v>35</v>
      </c>
      <c r="R110" s="16" t="s">
        <v>622</v>
      </c>
    </row>
    <row r="111" hidden="1">
      <c r="A111" s="13">
        <v>2177748.0</v>
      </c>
      <c r="B111" s="14">
        <v>46154.8671875</v>
      </c>
      <c r="C111" s="13" t="s">
        <v>101</v>
      </c>
      <c r="D111" s="13" t="s">
        <v>599</v>
      </c>
      <c r="E111" s="15"/>
      <c r="F111" s="13" t="s">
        <v>600</v>
      </c>
      <c r="G111" s="16">
        <v>11.0</v>
      </c>
      <c r="I111" s="16" t="b">
        <v>0</v>
      </c>
      <c r="J111" s="16" t="s">
        <v>134</v>
      </c>
      <c r="N111" s="16" t="b">
        <v>1</v>
      </c>
      <c r="O111" s="16" t="s">
        <v>35</v>
      </c>
      <c r="R111" s="16" t="s">
        <v>627</v>
      </c>
    </row>
    <row r="112" hidden="1">
      <c r="A112" s="13">
        <v>2178610.0</v>
      </c>
      <c r="B112" s="14">
        <v>46155.72678240741</v>
      </c>
      <c r="C112" s="13" t="s">
        <v>101</v>
      </c>
      <c r="D112" s="13" t="s">
        <v>141</v>
      </c>
      <c r="E112" s="15"/>
      <c r="F112" s="13" t="s">
        <v>629</v>
      </c>
      <c r="G112" s="16">
        <v>50.0</v>
      </c>
      <c r="I112" s="16" t="b">
        <v>0</v>
      </c>
      <c r="J112" s="16" t="s">
        <v>134</v>
      </c>
      <c r="N112" s="16" t="b">
        <v>1</v>
      </c>
      <c r="O112" s="16" t="s">
        <v>35</v>
      </c>
      <c r="R112" s="16" t="s">
        <v>631</v>
      </c>
    </row>
    <row r="113" hidden="1">
      <c r="A113" s="13">
        <v>2178900.0</v>
      </c>
      <c r="B113" s="14">
        <v>46155.865266203706</v>
      </c>
      <c r="C113" s="13" t="s">
        <v>101</v>
      </c>
      <c r="D113" s="13" t="s">
        <v>398</v>
      </c>
      <c r="E113" s="15"/>
      <c r="F113" s="13" t="s">
        <v>600</v>
      </c>
      <c r="G113" s="16">
        <v>12.0</v>
      </c>
      <c r="I113" s="16" t="b">
        <v>0</v>
      </c>
      <c r="J113" s="16" t="s">
        <v>134</v>
      </c>
      <c r="N113" s="16" t="b">
        <v>1</v>
      </c>
      <c r="O113" s="16" t="s">
        <v>35</v>
      </c>
      <c r="R113" s="16" t="s">
        <v>635</v>
      </c>
    </row>
    <row r="114" hidden="1">
      <c r="A114" s="13">
        <v>2179854.0</v>
      </c>
      <c r="B114" s="14">
        <v>46156.72292824074</v>
      </c>
      <c r="C114" s="13" t="s">
        <v>101</v>
      </c>
      <c r="D114" s="13" t="s">
        <v>637</v>
      </c>
      <c r="E114" s="15"/>
      <c r="F114" s="13" t="s">
        <v>133</v>
      </c>
      <c r="G114" s="16">
        <v>41.0</v>
      </c>
      <c r="I114" s="16" t="b">
        <v>0</v>
      </c>
      <c r="J114" s="16" t="s">
        <v>134</v>
      </c>
      <c r="N114" s="16" t="b">
        <v>1</v>
      </c>
      <c r="O114" s="16" t="s">
        <v>35</v>
      </c>
      <c r="R114" s="16" t="s">
        <v>639</v>
      </c>
    </row>
    <row r="115" hidden="1">
      <c r="A115" s="13">
        <v>2179874.0</v>
      </c>
      <c r="B115" s="14">
        <v>46156.73037037037</v>
      </c>
      <c r="C115" s="13" t="s">
        <v>101</v>
      </c>
      <c r="D115" s="13" t="s">
        <v>237</v>
      </c>
      <c r="E115" s="15"/>
      <c r="F115" s="13" t="s">
        <v>642</v>
      </c>
      <c r="G115" s="16">
        <v>100.0</v>
      </c>
      <c r="I115" s="16" t="b">
        <v>0</v>
      </c>
      <c r="J115" s="16" t="s">
        <v>205</v>
      </c>
      <c r="K115" s="16" t="s">
        <v>117</v>
      </c>
      <c r="N115" s="16" t="b">
        <v>1</v>
      </c>
      <c r="O115" s="16" t="s">
        <v>35</v>
      </c>
      <c r="R115" s="16" t="s">
        <v>643</v>
      </c>
    </row>
    <row r="116" hidden="1">
      <c r="A116" s="13">
        <v>2180193.0</v>
      </c>
      <c r="B116" s="14">
        <v>46156.86922453704</v>
      </c>
      <c r="C116" s="13" t="s">
        <v>101</v>
      </c>
      <c r="D116" s="13" t="s">
        <v>526</v>
      </c>
      <c r="E116" s="15"/>
      <c r="F116" s="13" t="s">
        <v>600</v>
      </c>
      <c r="G116" s="16">
        <v>21.0</v>
      </c>
      <c r="I116" s="16" t="b">
        <v>0</v>
      </c>
      <c r="J116" s="16" t="s">
        <v>134</v>
      </c>
      <c r="N116" s="16" t="b">
        <v>1</v>
      </c>
      <c r="O116" s="16" t="s">
        <v>35</v>
      </c>
      <c r="R116" s="16" t="s">
        <v>647</v>
      </c>
    </row>
    <row r="117" hidden="1">
      <c r="A117" s="13">
        <v>2180199.0</v>
      </c>
      <c r="B117" s="14">
        <v>46156.870671296296</v>
      </c>
      <c r="C117" s="13" t="s">
        <v>101</v>
      </c>
      <c r="D117" s="13" t="s">
        <v>649</v>
      </c>
      <c r="E117" s="15"/>
      <c r="F117" s="13" t="s">
        <v>574</v>
      </c>
      <c r="G117" s="16">
        <v>48.56</v>
      </c>
      <c r="I117" s="16" t="b">
        <v>0</v>
      </c>
      <c r="J117" s="16" t="s">
        <v>116</v>
      </c>
      <c r="K117" s="16" t="s">
        <v>218</v>
      </c>
      <c r="N117" s="16" t="b">
        <v>1</v>
      </c>
      <c r="O117" s="16" t="s">
        <v>35</v>
      </c>
      <c r="R117" s="16" t="s">
        <v>652</v>
      </c>
    </row>
    <row r="118" hidden="1">
      <c r="A118" s="13">
        <v>2180200.0</v>
      </c>
      <c r="B118" s="14">
        <v>46156.87070601852</v>
      </c>
      <c r="C118" s="13" t="s">
        <v>101</v>
      </c>
      <c r="D118" s="13" t="s">
        <v>649</v>
      </c>
      <c r="E118" s="15"/>
      <c r="F118" s="13" t="s">
        <v>574</v>
      </c>
      <c r="G118" s="16">
        <v>60.7</v>
      </c>
      <c r="I118" s="16" t="b">
        <v>1</v>
      </c>
      <c r="J118" s="16" t="s">
        <v>655</v>
      </c>
      <c r="K118" s="16" t="s">
        <v>218</v>
      </c>
      <c r="N118" s="16" t="b">
        <v>1</v>
      </c>
      <c r="O118" s="16" t="s">
        <v>35</v>
      </c>
      <c r="R118" s="16" t="s">
        <v>656</v>
      </c>
    </row>
    <row r="119" hidden="1">
      <c r="A119" s="13">
        <v>2180211.0</v>
      </c>
      <c r="B119" s="14">
        <v>46156.87540509259</v>
      </c>
      <c r="C119" s="13" t="s">
        <v>139</v>
      </c>
      <c r="D119" s="13" t="s">
        <v>649</v>
      </c>
      <c r="E119" s="15"/>
      <c r="F119" s="13" t="s">
        <v>659</v>
      </c>
      <c r="G119" s="16">
        <v>60.7</v>
      </c>
      <c r="I119" s="16" t="b">
        <v>1</v>
      </c>
      <c r="J119" s="16" t="s">
        <v>655</v>
      </c>
      <c r="N119" s="16" t="b">
        <v>1</v>
      </c>
      <c r="O119" s="16" t="s">
        <v>35</v>
      </c>
      <c r="R119" s="16" t="s">
        <v>662</v>
      </c>
    </row>
    <row r="120" hidden="1">
      <c r="A120" s="13">
        <v>2181308.0</v>
      </c>
      <c r="B120" s="14">
        <v>46157.76415509259</v>
      </c>
      <c r="C120" s="13" t="s">
        <v>101</v>
      </c>
      <c r="D120" s="13" t="s">
        <v>288</v>
      </c>
      <c r="E120" s="15"/>
      <c r="F120" s="13" t="s">
        <v>133</v>
      </c>
      <c r="G120" s="16">
        <v>23.0</v>
      </c>
      <c r="I120" s="16" t="b">
        <v>0</v>
      </c>
      <c r="J120" s="16" t="s">
        <v>134</v>
      </c>
      <c r="N120" s="16" t="b">
        <v>1</v>
      </c>
      <c r="O120" s="16" t="s">
        <v>35</v>
      </c>
      <c r="R120" s="16" t="s">
        <v>667</v>
      </c>
    </row>
    <row r="121" hidden="1">
      <c r="A121" s="13">
        <v>2181317.0</v>
      </c>
      <c r="B121" s="14">
        <v>46157.76684027778</v>
      </c>
      <c r="C121" s="13" t="s">
        <v>139</v>
      </c>
      <c r="D121" s="13" t="s">
        <v>179</v>
      </c>
      <c r="E121" s="15"/>
      <c r="F121" s="13" t="s">
        <v>142</v>
      </c>
      <c r="G121" s="16">
        <v>20.0</v>
      </c>
      <c r="I121" s="16" t="b">
        <v>0</v>
      </c>
      <c r="J121" s="16" t="s">
        <v>144</v>
      </c>
      <c r="N121" s="16" t="b">
        <v>1</v>
      </c>
      <c r="O121" s="16" t="s">
        <v>35</v>
      </c>
      <c r="R121" s="16" t="s">
        <v>674</v>
      </c>
    </row>
    <row r="122" hidden="1">
      <c r="A122" s="13">
        <v>2181318.0</v>
      </c>
      <c r="B122" s="14">
        <v>46157.767164351855</v>
      </c>
      <c r="C122" s="13" t="s">
        <v>139</v>
      </c>
      <c r="D122" s="13" t="s">
        <v>161</v>
      </c>
      <c r="E122" s="15"/>
      <c r="F122" s="13" t="s">
        <v>272</v>
      </c>
      <c r="G122" s="16">
        <v>60.0</v>
      </c>
      <c r="I122" s="16" t="b">
        <v>0</v>
      </c>
      <c r="J122" s="16" t="s">
        <v>144</v>
      </c>
      <c r="N122" s="16" t="b">
        <v>1</v>
      </c>
      <c r="O122" s="16" t="s">
        <v>35</v>
      </c>
      <c r="R122" s="16" t="s">
        <v>676</v>
      </c>
    </row>
    <row r="123" hidden="1">
      <c r="A123" s="13">
        <v>2181327.0</v>
      </c>
      <c r="B123" s="14">
        <v>46157.76871527778</v>
      </c>
      <c r="C123" s="13" t="s">
        <v>101</v>
      </c>
      <c r="D123" s="13" t="s">
        <v>681</v>
      </c>
      <c r="E123" s="15"/>
      <c r="F123" s="13" t="s">
        <v>684</v>
      </c>
      <c r="G123" s="16">
        <v>32.8</v>
      </c>
      <c r="I123" s="16" t="b">
        <v>0</v>
      </c>
      <c r="J123" s="16" t="s">
        <v>170</v>
      </c>
      <c r="N123" s="16" t="b">
        <v>1</v>
      </c>
      <c r="O123" s="16" t="s">
        <v>35</v>
      </c>
      <c r="R123" s="16" t="s">
        <v>686</v>
      </c>
    </row>
    <row r="124" hidden="1">
      <c r="A124" s="13">
        <v>2181328.0</v>
      </c>
      <c r="B124" s="14">
        <v>46157.7690162037</v>
      </c>
      <c r="C124" s="13" t="s">
        <v>101</v>
      </c>
      <c r="D124" s="13" t="s">
        <v>689</v>
      </c>
      <c r="E124" s="15"/>
      <c r="F124" s="13" t="s">
        <v>537</v>
      </c>
      <c r="G124" s="16">
        <v>51.9</v>
      </c>
      <c r="I124" s="16" t="b">
        <v>0</v>
      </c>
      <c r="J124" s="16" t="s">
        <v>170</v>
      </c>
      <c r="N124" s="16" t="b">
        <v>1</v>
      </c>
      <c r="O124" s="16" t="s">
        <v>35</v>
      </c>
      <c r="R124" s="16" t="s">
        <v>692</v>
      </c>
    </row>
    <row r="125" hidden="1">
      <c r="A125" s="13">
        <v>2181506.0</v>
      </c>
      <c r="B125" s="14">
        <v>46157.870046296295</v>
      </c>
      <c r="C125" s="13" t="s">
        <v>101</v>
      </c>
      <c r="D125" s="13" t="s">
        <v>599</v>
      </c>
      <c r="E125" s="15"/>
      <c r="F125" s="13" t="s">
        <v>512</v>
      </c>
      <c r="G125" s="16">
        <v>11.0</v>
      </c>
      <c r="I125" s="16" t="b">
        <v>0</v>
      </c>
      <c r="J125" s="16" t="s">
        <v>134</v>
      </c>
      <c r="N125" s="16" t="b">
        <v>1</v>
      </c>
      <c r="O125" s="16" t="s">
        <v>35</v>
      </c>
      <c r="R125" s="16" t="s">
        <v>697</v>
      </c>
    </row>
    <row r="126" hidden="1">
      <c r="A126" s="13">
        <v>2181507.0</v>
      </c>
      <c r="B126" s="14">
        <v>46157.870162037034</v>
      </c>
      <c r="C126" s="13" t="s">
        <v>101</v>
      </c>
      <c r="D126" s="13" t="s">
        <v>306</v>
      </c>
      <c r="E126" s="15"/>
      <c r="F126" s="13" t="s">
        <v>600</v>
      </c>
      <c r="G126" s="16">
        <v>22.0</v>
      </c>
      <c r="I126" s="16" t="b">
        <v>0</v>
      </c>
      <c r="J126" s="16" t="s">
        <v>134</v>
      </c>
      <c r="N126" s="16" t="b">
        <v>1</v>
      </c>
      <c r="O126" s="16" t="s">
        <v>35</v>
      </c>
      <c r="R126" s="16" t="s">
        <v>700</v>
      </c>
    </row>
    <row r="127" hidden="1">
      <c r="A127" s="13">
        <v>2181518.0</v>
      </c>
      <c r="B127" s="14">
        <v>46157.87337962963</v>
      </c>
      <c r="C127" s="13" t="s">
        <v>101</v>
      </c>
      <c r="D127" s="13" t="s">
        <v>615</v>
      </c>
      <c r="E127" s="15"/>
      <c r="F127" s="13" t="s">
        <v>334</v>
      </c>
      <c r="G127" s="16">
        <v>14.4</v>
      </c>
      <c r="I127" s="16" t="b">
        <v>0</v>
      </c>
      <c r="J127" s="16" t="s">
        <v>116</v>
      </c>
      <c r="K127" s="16" t="s">
        <v>336</v>
      </c>
      <c r="N127" s="16" t="b">
        <v>1</v>
      </c>
      <c r="O127" s="16" t="s">
        <v>35</v>
      </c>
      <c r="R127" s="16" t="s">
        <v>704</v>
      </c>
    </row>
    <row r="128" hidden="1">
      <c r="A128" s="13">
        <v>2182809.0</v>
      </c>
      <c r="B128" s="14">
        <v>46158.80100694444</v>
      </c>
      <c r="C128" s="13" t="s">
        <v>139</v>
      </c>
      <c r="D128" s="13" t="s">
        <v>141</v>
      </c>
      <c r="E128" s="24"/>
      <c r="F128" s="13" t="s">
        <v>272</v>
      </c>
      <c r="G128" s="16">
        <v>50.0</v>
      </c>
      <c r="I128" s="16" t="b">
        <v>0</v>
      </c>
      <c r="J128" s="16" t="s">
        <v>144</v>
      </c>
      <c r="N128" s="16" t="b">
        <v>1</v>
      </c>
      <c r="O128" s="16" t="s">
        <v>35</v>
      </c>
      <c r="R128" s="16" t="s">
        <v>708</v>
      </c>
    </row>
    <row r="129" hidden="1">
      <c r="A129" s="13">
        <v>2182819.0</v>
      </c>
      <c r="B129" s="14">
        <v>46158.80290509259</v>
      </c>
      <c r="C129" s="13" t="s">
        <v>101</v>
      </c>
      <c r="D129" s="13" t="s">
        <v>121</v>
      </c>
      <c r="E129" s="24"/>
      <c r="F129" s="13" t="s">
        <v>710</v>
      </c>
      <c r="G129" s="16">
        <v>135.0</v>
      </c>
      <c r="I129" s="16" t="b">
        <v>0</v>
      </c>
      <c r="J129" s="16" t="s">
        <v>126</v>
      </c>
      <c r="N129" s="16" t="b">
        <v>1</v>
      </c>
      <c r="O129" s="16" t="s">
        <v>35</v>
      </c>
      <c r="R129" s="16" t="s">
        <v>715</v>
      </c>
    </row>
    <row r="130" hidden="1">
      <c r="A130" s="13">
        <v>2182820.0</v>
      </c>
      <c r="B130" s="14">
        <v>46158.80310185185</v>
      </c>
      <c r="C130" s="13" t="s">
        <v>101</v>
      </c>
      <c r="D130" s="13" t="s">
        <v>718</v>
      </c>
      <c r="E130" s="15"/>
      <c r="F130" s="13" t="s">
        <v>512</v>
      </c>
      <c r="G130" s="16">
        <v>32.0</v>
      </c>
      <c r="I130" s="16" t="b">
        <v>0</v>
      </c>
      <c r="J130" s="16" t="s">
        <v>134</v>
      </c>
      <c r="N130" s="16" t="b">
        <v>1</v>
      </c>
      <c r="O130" s="16" t="s">
        <v>35</v>
      </c>
      <c r="R130" s="16" t="s">
        <v>723</v>
      </c>
    </row>
    <row r="131" hidden="1">
      <c r="A131" s="13">
        <v>2183024.0</v>
      </c>
      <c r="B131" s="14">
        <v>46158.867939814816</v>
      </c>
      <c r="C131" s="13" t="s">
        <v>101</v>
      </c>
      <c r="D131" s="13" t="s">
        <v>727</v>
      </c>
      <c r="E131" s="15"/>
      <c r="F131" s="13" t="s">
        <v>729</v>
      </c>
      <c r="G131" s="16">
        <v>76.0</v>
      </c>
      <c r="I131" s="16" t="b">
        <v>0</v>
      </c>
      <c r="J131" s="16" t="s">
        <v>134</v>
      </c>
      <c r="N131" s="16" t="b">
        <v>1</v>
      </c>
      <c r="O131" s="16" t="s">
        <v>35</v>
      </c>
      <c r="R131" s="16" t="s">
        <v>730</v>
      </c>
    </row>
    <row r="132" hidden="1">
      <c r="A132" s="13">
        <v>2183029.0</v>
      </c>
      <c r="B132" s="14">
        <v>46158.868993055556</v>
      </c>
      <c r="C132" s="13" t="s">
        <v>101</v>
      </c>
      <c r="D132" s="13" t="s">
        <v>465</v>
      </c>
      <c r="E132" s="15"/>
      <c r="F132" s="13" t="s">
        <v>732</v>
      </c>
      <c r="G132" s="16">
        <v>550.0</v>
      </c>
      <c r="I132" s="16" t="b">
        <v>0</v>
      </c>
      <c r="J132" s="16" t="s">
        <v>205</v>
      </c>
      <c r="K132" s="16" t="s">
        <v>336</v>
      </c>
      <c r="N132" s="16" t="b">
        <v>1</v>
      </c>
      <c r="O132" s="16" t="s">
        <v>35</v>
      </c>
      <c r="R132" s="16" t="s">
        <v>734</v>
      </c>
    </row>
    <row r="133" hidden="1">
      <c r="A133" s="13">
        <v>2184845.0</v>
      </c>
      <c r="B133" s="14">
        <v>46159.867743055554</v>
      </c>
      <c r="C133" s="13" t="s">
        <v>101</v>
      </c>
      <c r="D133" s="13" t="s">
        <v>121</v>
      </c>
      <c r="E133" s="15"/>
      <c r="F133" s="13" t="s">
        <v>737</v>
      </c>
      <c r="G133" s="16">
        <v>135.0</v>
      </c>
      <c r="I133" s="16" t="b">
        <v>0</v>
      </c>
      <c r="J133" s="16" t="s">
        <v>126</v>
      </c>
      <c r="N133" s="16" t="b">
        <v>1</v>
      </c>
      <c r="O133" s="16" t="s">
        <v>35</v>
      </c>
      <c r="R133" s="16" t="s">
        <v>738</v>
      </c>
    </row>
    <row r="134" hidden="1">
      <c r="A134" s="13">
        <v>2184848.0</v>
      </c>
      <c r="B134" s="14">
        <v>46159.86902777778</v>
      </c>
      <c r="C134" s="13" t="s">
        <v>101</v>
      </c>
      <c r="D134" s="13" t="s">
        <v>740</v>
      </c>
      <c r="E134" s="15"/>
      <c r="F134" s="13" t="s">
        <v>742</v>
      </c>
      <c r="G134" s="16">
        <v>188.0</v>
      </c>
      <c r="I134" s="16" t="b">
        <v>0</v>
      </c>
      <c r="J134" s="16" t="s">
        <v>134</v>
      </c>
      <c r="N134" s="16" t="b">
        <v>1</v>
      </c>
      <c r="O134" s="16" t="s">
        <v>35</v>
      </c>
      <c r="R134" s="16" t="s">
        <v>744</v>
      </c>
    </row>
    <row r="135" hidden="1">
      <c r="A135" s="13">
        <v>2184875.0</v>
      </c>
      <c r="B135" s="14">
        <v>46159.875081018516</v>
      </c>
      <c r="C135" s="13" t="s">
        <v>101</v>
      </c>
      <c r="D135" s="13" t="s">
        <v>746</v>
      </c>
      <c r="E135" s="15"/>
      <c r="F135" s="13" t="s">
        <v>747</v>
      </c>
      <c r="G135" s="16">
        <v>350.0</v>
      </c>
      <c r="I135" s="16" t="b">
        <v>0</v>
      </c>
      <c r="J135" s="16" t="s">
        <v>205</v>
      </c>
      <c r="K135" s="16" t="s">
        <v>117</v>
      </c>
      <c r="N135" s="16" t="b">
        <v>1</v>
      </c>
      <c r="O135" s="16" t="s">
        <v>35</v>
      </c>
      <c r="R135" s="16" t="s">
        <v>749</v>
      </c>
    </row>
    <row r="136" hidden="1">
      <c r="A136" s="13">
        <v>2186010.0</v>
      </c>
      <c r="B136" s="14">
        <v>46160.6628587963</v>
      </c>
      <c r="C136" s="13" t="s">
        <v>101</v>
      </c>
      <c r="D136" s="13" t="s">
        <v>750</v>
      </c>
      <c r="E136" s="15"/>
      <c r="F136" s="13" t="s">
        <v>751</v>
      </c>
      <c r="G136" s="16">
        <v>16.99</v>
      </c>
      <c r="I136" s="16" t="b">
        <v>0</v>
      </c>
      <c r="J136" s="16" t="s">
        <v>170</v>
      </c>
      <c r="M136" s="16" t="s">
        <v>753</v>
      </c>
      <c r="N136" s="16" t="b">
        <v>1</v>
      </c>
      <c r="O136" s="16" t="s">
        <v>35</v>
      </c>
      <c r="R136" s="16" t="s">
        <v>755</v>
      </c>
    </row>
    <row r="137" hidden="1">
      <c r="A137" s="13">
        <v>2186168.0</v>
      </c>
      <c r="B137" s="14">
        <v>46160.72337962963</v>
      </c>
      <c r="C137" s="13" t="s">
        <v>101</v>
      </c>
      <c r="D137" s="13" t="s">
        <v>718</v>
      </c>
      <c r="E137" s="15"/>
      <c r="F137" s="13" t="s">
        <v>133</v>
      </c>
      <c r="G137" s="16">
        <v>32.0</v>
      </c>
      <c r="I137" s="16" t="b">
        <v>0</v>
      </c>
      <c r="J137" s="16" t="s">
        <v>134</v>
      </c>
      <c r="N137" s="16" t="b">
        <v>1</v>
      </c>
      <c r="O137" s="16" t="s">
        <v>35</v>
      </c>
      <c r="R137" s="16" t="s">
        <v>758</v>
      </c>
    </row>
    <row r="138" hidden="1">
      <c r="A138" s="13">
        <v>2186189.0</v>
      </c>
      <c r="B138" s="14">
        <v>46160.73267361111</v>
      </c>
      <c r="C138" s="13" t="s">
        <v>101</v>
      </c>
      <c r="D138" s="13" t="s">
        <v>237</v>
      </c>
      <c r="E138" s="15"/>
      <c r="F138" s="13" t="s">
        <v>761</v>
      </c>
      <c r="G138" s="16">
        <v>100.0</v>
      </c>
      <c r="I138" s="16" t="b">
        <v>0</v>
      </c>
      <c r="J138" s="16" t="s">
        <v>205</v>
      </c>
      <c r="K138" s="16" t="s">
        <v>117</v>
      </c>
      <c r="N138" s="16" t="b">
        <v>1</v>
      </c>
      <c r="O138" s="16" t="s">
        <v>35</v>
      </c>
      <c r="R138" s="16" t="s">
        <v>763</v>
      </c>
    </row>
    <row r="139" hidden="1">
      <c r="A139" s="13">
        <v>2186251.0</v>
      </c>
      <c r="B139" s="14">
        <v>46160.759201388886</v>
      </c>
      <c r="C139" s="13" t="s">
        <v>101</v>
      </c>
      <c r="D139" s="13" t="s">
        <v>246</v>
      </c>
      <c r="E139" s="15"/>
      <c r="F139" s="13" t="s">
        <v>494</v>
      </c>
      <c r="G139" s="16">
        <v>24.0</v>
      </c>
      <c r="I139" s="16" t="b">
        <v>0</v>
      </c>
      <c r="J139" s="16" t="s">
        <v>116</v>
      </c>
      <c r="K139" s="16" t="s">
        <v>336</v>
      </c>
      <c r="N139" s="16" t="b">
        <v>1</v>
      </c>
      <c r="O139" s="16" t="s">
        <v>35</v>
      </c>
      <c r="R139" s="16" t="s">
        <v>771</v>
      </c>
    </row>
    <row r="140" hidden="1">
      <c r="A140" s="13">
        <v>2186478.0</v>
      </c>
      <c r="B140" s="14">
        <v>46160.869618055556</v>
      </c>
      <c r="C140" s="13" t="s">
        <v>101</v>
      </c>
      <c r="D140" s="13" t="s">
        <v>306</v>
      </c>
      <c r="E140" s="15"/>
      <c r="F140" s="13" t="s">
        <v>574</v>
      </c>
      <c r="G140" s="16">
        <v>17.6</v>
      </c>
      <c r="I140" s="16" t="b">
        <v>0</v>
      </c>
      <c r="J140" s="16" t="s">
        <v>116</v>
      </c>
      <c r="K140" s="16" t="s">
        <v>218</v>
      </c>
      <c r="N140" s="16" t="b">
        <v>1</v>
      </c>
      <c r="O140" s="16" t="s">
        <v>35</v>
      </c>
      <c r="R140" s="16" t="s">
        <v>774</v>
      </c>
    </row>
    <row r="141" hidden="1">
      <c r="A141" s="13">
        <v>2186501.0</v>
      </c>
      <c r="B141" s="14">
        <v>46160.87842592593</v>
      </c>
      <c r="C141" s="13" t="s">
        <v>101</v>
      </c>
      <c r="D141" s="13" t="s">
        <v>306</v>
      </c>
      <c r="E141" s="24"/>
      <c r="F141" s="13" t="s">
        <v>600</v>
      </c>
      <c r="G141" s="16">
        <v>22.0</v>
      </c>
      <c r="I141" s="16" t="b">
        <v>0</v>
      </c>
      <c r="J141" s="16" t="s">
        <v>134</v>
      </c>
      <c r="N141" s="16" t="b">
        <v>1</v>
      </c>
      <c r="O141" s="16" t="s">
        <v>35</v>
      </c>
      <c r="R141" s="16" t="s">
        <v>777</v>
      </c>
    </row>
    <row r="142" hidden="1">
      <c r="A142" s="13">
        <v>2187035.0</v>
      </c>
      <c r="B142" s="14">
        <v>46161.553506944445</v>
      </c>
      <c r="C142" s="13" t="s">
        <v>101</v>
      </c>
      <c r="D142" s="13" t="s">
        <v>779</v>
      </c>
      <c r="E142" s="15"/>
      <c r="F142" s="13" t="s">
        <v>781</v>
      </c>
      <c r="G142" s="16">
        <v>14.0</v>
      </c>
      <c r="I142" s="16" t="b">
        <v>0</v>
      </c>
      <c r="J142" s="16" t="s">
        <v>783</v>
      </c>
      <c r="N142" s="16" t="b">
        <v>1</v>
      </c>
      <c r="O142" s="16" t="s">
        <v>35</v>
      </c>
      <c r="R142" s="16" t="s">
        <v>785</v>
      </c>
    </row>
    <row r="143" hidden="1">
      <c r="A143" s="13">
        <v>2187364.0</v>
      </c>
      <c r="B143" s="14">
        <v>46161.71296296296</v>
      </c>
      <c r="C143" s="13" t="s">
        <v>139</v>
      </c>
      <c r="D143" s="13" t="s">
        <v>786</v>
      </c>
      <c r="E143" s="15"/>
      <c r="F143" s="13" t="s">
        <v>788</v>
      </c>
      <c r="G143" s="16">
        <v>130.0</v>
      </c>
      <c r="I143" s="16" t="b">
        <v>0</v>
      </c>
      <c r="J143" s="16" t="s">
        <v>144</v>
      </c>
      <c r="N143" s="16" t="b">
        <v>1</v>
      </c>
      <c r="O143" s="16" t="s">
        <v>35</v>
      </c>
      <c r="R143" s="16" t="s">
        <v>793</v>
      </c>
    </row>
    <row r="144" hidden="1">
      <c r="A144" s="13">
        <v>2187400.0</v>
      </c>
      <c r="B144" s="14">
        <v>46161.71797453704</v>
      </c>
      <c r="C144" s="13" t="s">
        <v>101</v>
      </c>
      <c r="D144" s="13" t="s">
        <v>231</v>
      </c>
      <c r="E144" s="15"/>
      <c r="F144" s="13" t="s">
        <v>133</v>
      </c>
      <c r="G144" s="16">
        <v>10.0</v>
      </c>
      <c r="I144" s="16" t="b">
        <v>0</v>
      </c>
      <c r="J144" s="16" t="s">
        <v>134</v>
      </c>
      <c r="N144" s="16" t="b">
        <v>1</v>
      </c>
      <c r="O144" s="16" t="s">
        <v>35</v>
      </c>
      <c r="R144" s="16" t="s">
        <v>796</v>
      </c>
    </row>
    <row r="145" hidden="1">
      <c r="A145" s="13">
        <v>2187401.0</v>
      </c>
      <c r="B145" s="14">
        <v>46161.71925925926</v>
      </c>
      <c r="C145" s="13" t="s">
        <v>139</v>
      </c>
      <c r="D145" s="13" t="s">
        <v>799</v>
      </c>
      <c r="E145" s="15"/>
      <c r="F145" s="13" t="s">
        <v>272</v>
      </c>
      <c r="G145" s="16">
        <v>75.0</v>
      </c>
      <c r="I145" s="16" t="b">
        <v>0</v>
      </c>
      <c r="J145" s="16" t="s">
        <v>144</v>
      </c>
      <c r="N145" s="16" t="b">
        <v>1</v>
      </c>
      <c r="O145" s="16" t="s">
        <v>35</v>
      </c>
      <c r="R145" s="16" t="s">
        <v>803</v>
      </c>
    </row>
    <row r="146" hidden="1">
      <c r="A146" s="13">
        <v>2187410.0</v>
      </c>
      <c r="B146" s="14">
        <v>46161.72238425926</v>
      </c>
      <c r="C146" s="13" t="s">
        <v>101</v>
      </c>
      <c r="D146" s="13" t="s">
        <v>804</v>
      </c>
      <c r="E146" s="15"/>
      <c r="F146" s="13" t="s">
        <v>805</v>
      </c>
      <c r="G146" s="16">
        <v>500.0</v>
      </c>
      <c r="I146" s="16" t="b">
        <v>0</v>
      </c>
      <c r="J146" s="16" t="s">
        <v>205</v>
      </c>
      <c r="K146" s="16" t="s">
        <v>117</v>
      </c>
      <c r="N146" s="16" t="b">
        <v>1</v>
      </c>
      <c r="O146" s="16" t="s">
        <v>35</v>
      </c>
      <c r="R146" s="16" t="s">
        <v>807</v>
      </c>
    </row>
    <row r="147" hidden="1">
      <c r="A147" s="13">
        <v>2187416.0</v>
      </c>
      <c r="B147" s="14">
        <v>46161.72418981481</v>
      </c>
      <c r="C147" s="13" t="s">
        <v>101</v>
      </c>
      <c r="D147" s="13" t="s">
        <v>810</v>
      </c>
      <c r="E147" s="15"/>
      <c r="F147" s="13" t="s">
        <v>813</v>
      </c>
      <c r="G147" s="16">
        <v>15.05</v>
      </c>
      <c r="I147" s="16" t="b">
        <v>0</v>
      </c>
      <c r="J147" s="16" t="s">
        <v>170</v>
      </c>
      <c r="N147" s="16" t="b">
        <v>1</v>
      </c>
      <c r="O147" s="16" t="s">
        <v>35</v>
      </c>
      <c r="R147" s="16" t="s">
        <v>815</v>
      </c>
    </row>
    <row r="148" hidden="1">
      <c r="A148" s="13">
        <v>2187446.0</v>
      </c>
      <c r="B148" s="14">
        <v>46161.734293981484</v>
      </c>
      <c r="C148" s="13" t="s">
        <v>101</v>
      </c>
      <c r="D148" s="13" t="s">
        <v>816</v>
      </c>
      <c r="E148" s="15"/>
      <c r="F148" s="13" t="s">
        <v>334</v>
      </c>
      <c r="G148" s="16">
        <v>24.88</v>
      </c>
      <c r="I148" s="16" t="b">
        <v>0</v>
      </c>
      <c r="J148" s="16" t="s">
        <v>116</v>
      </c>
      <c r="K148" s="16" t="s">
        <v>336</v>
      </c>
      <c r="N148" s="16" t="b">
        <v>1</v>
      </c>
      <c r="O148" s="16" t="s">
        <v>35</v>
      </c>
      <c r="R148" s="16" t="s">
        <v>818</v>
      </c>
    </row>
    <row r="149" hidden="1">
      <c r="A149" s="13">
        <v>2187653.0</v>
      </c>
      <c r="B149" s="14">
        <v>46161.85570601852</v>
      </c>
      <c r="C149" s="13" t="s">
        <v>101</v>
      </c>
      <c r="D149" s="13" t="s">
        <v>201</v>
      </c>
      <c r="E149" s="15"/>
      <c r="F149" s="13" t="s">
        <v>239</v>
      </c>
      <c r="G149" s="16">
        <v>150.0</v>
      </c>
      <c r="I149" s="16" t="b">
        <v>0</v>
      </c>
      <c r="J149" s="16" t="s">
        <v>205</v>
      </c>
      <c r="K149" s="16" t="s">
        <v>218</v>
      </c>
      <c r="N149" s="16" t="b">
        <v>1</v>
      </c>
      <c r="O149" s="16" t="s">
        <v>35</v>
      </c>
      <c r="R149" s="16" t="s">
        <v>822</v>
      </c>
    </row>
    <row r="150" hidden="1">
      <c r="A150" s="13">
        <v>2187688.0</v>
      </c>
      <c r="B150" s="14">
        <v>46161.87244212963</v>
      </c>
      <c r="C150" s="13" t="s">
        <v>101</v>
      </c>
      <c r="D150" s="13" t="s">
        <v>823</v>
      </c>
      <c r="E150" s="15"/>
      <c r="F150" s="13" t="s">
        <v>600</v>
      </c>
      <c r="G150" s="16">
        <v>37.0</v>
      </c>
      <c r="I150" s="16" t="b">
        <v>0</v>
      </c>
      <c r="J150" s="16" t="s">
        <v>134</v>
      </c>
      <c r="N150" s="16" t="b">
        <v>1</v>
      </c>
      <c r="O150" s="16" t="s">
        <v>35</v>
      </c>
      <c r="R150" s="16" t="s">
        <v>825</v>
      </c>
    </row>
    <row r="151" hidden="1">
      <c r="A151" s="13">
        <v>2188442.0</v>
      </c>
      <c r="B151" s="14">
        <v>46162.67951388889</v>
      </c>
      <c r="C151" s="13" t="s">
        <v>101</v>
      </c>
      <c r="D151" s="13" t="s">
        <v>826</v>
      </c>
      <c r="E151" s="15"/>
      <c r="F151" s="13" t="s">
        <v>828</v>
      </c>
      <c r="G151" s="16">
        <v>64.16</v>
      </c>
      <c r="I151" s="16" t="b">
        <v>0</v>
      </c>
      <c r="J151" s="16" t="s">
        <v>830</v>
      </c>
      <c r="N151" s="16" t="b">
        <v>1</v>
      </c>
      <c r="O151" s="16" t="s">
        <v>35</v>
      </c>
      <c r="R151" s="16" t="s">
        <v>831</v>
      </c>
    </row>
    <row r="152" hidden="1">
      <c r="A152" s="13">
        <v>2188583.0</v>
      </c>
      <c r="B152" s="14">
        <v>46162.73136574074</v>
      </c>
      <c r="C152" s="13" t="s">
        <v>101</v>
      </c>
      <c r="D152" s="13" t="s">
        <v>213</v>
      </c>
      <c r="E152" s="24"/>
      <c r="F152" s="13" t="s">
        <v>832</v>
      </c>
      <c r="G152" s="16">
        <v>200.0</v>
      </c>
      <c r="I152" s="16" t="b">
        <v>0</v>
      </c>
      <c r="J152" s="16" t="s">
        <v>205</v>
      </c>
      <c r="K152" s="16" t="s">
        <v>117</v>
      </c>
      <c r="N152" s="16" t="b">
        <v>1</v>
      </c>
      <c r="O152" s="16" t="s">
        <v>35</v>
      </c>
      <c r="R152" s="16" t="s">
        <v>835</v>
      </c>
    </row>
    <row r="153" hidden="1">
      <c r="A153" s="13">
        <v>2188584.0</v>
      </c>
      <c r="B153" s="14">
        <v>46162.731527777774</v>
      </c>
      <c r="C153" s="13" t="s">
        <v>101</v>
      </c>
      <c r="D153" s="13" t="s">
        <v>231</v>
      </c>
      <c r="E153" s="24"/>
      <c r="F153" s="13" t="s">
        <v>629</v>
      </c>
      <c r="G153" s="16">
        <v>10.0</v>
      </c>
      <c r="I153" s="16" t="b">
        <v>0</v>
      </c>
      <c r="J153" s="16" t="s">
        <v>134</v>
      </c>
      <c r="N153" s="16" t="b">
        <v>1</v>
      </c>
      <c r="O153" s="16" t="s">
        <v>35</v>
      </c>
      <c r="R153" s="16" t="s">
        <v>839</v>
      </c>
    </row>
    <row r="154" hidden="1">
      <c r="A154" s="13">
        <v>2188585.0</v>
      </c>
      <c r="B154" s="14">
        <v>46162.732569444444</v>
      </c>
      <c r="C154" s="13" t="s">
        <v>101</v>
      </c>
      <c r="D154" s="13" t="s">
        <v>841</v>
      </c>
      <c r="E154" s="15"/>
      <c r="F154" s="13" t="s">
        <v>438</v>
      </c>
      <c r="G154" s="16">
        <v>5.25</v>
      </c>
      <c r="I154" s="16" t="b">
        <v>0</v>
      </c>
      <c r="J154" s="16" t="s">
        <v>170</v>
      </c>
      <c r="M154" s="16" t="s">
        <v>842</v>
      </c>
      <c r="N154" s="16" t="b">
        <v>1</v>
      </c>
      <c r="O154" s="16" t="s">
        <v>35</v>
      </c>
      <c r="R154" s="16" t="s">
        <v>843</v>
      </c>
    </row>
    <row r="155" hidden="1">
      <c r="A155" s="13">
        <v>2188892.0</v>
      </c>
      <c r="B155" s="14">
        <v>46162.86866898148</v>
      </c>
      <c r="C155" s="13" t="s">
        <v>101</v>
      </c>
      <c r="D155" s="13" t="s">
        <v>845</v>
      </c>
      <c r="E155" s="15"/>
      <c r="F155" s="13" t="s">
        <v>600</v>
      </c>
      <c r="G155" s="16">
        <v>26.0</v>
      </c>
      <c r="I155" s="16" t="b">
        <v>0</v>
      </c>
      <c r="J155" s="16" t="s">
        <v>134</v>
      </c>
      <c r="N155" s="16" t="b">
        <v>1</v>
      </c>
      <c r="O155" s="16" t="s">
        <v>35</v>
      </c>
      <c r="R155" s="16" t="s">
        <v>849</v>
      </c>
    </row>
    <row r="156" hidden="1">
      <c r="A156" s="13">
        <v>2189837.0</v>
      </c>
      <c r="B156" s="14">
        <v>46163.715416666666</v>
      </c>
      <c r="C156" s="13" t="s">
        <v>139</v>
      </c>
      <c r="D156" s="13" t="s">
        <v>141</v>
      </c>
      <c r="E156" s="15"/>
      <c r="F156" s="13" t="s">
        <v>272</v>
      </c>
      <c r="G156" s="16">
        <v>50.0</v>
      </c>
      <c r="I156" s="16" t="b">
        <v>0</v>
      </c>
      <c r="J156" s="16" t="s">
        <v>144</v>
      </c>
      <c r="N156" s="16" t="b">
        <v>1</v>
      </c>
      <c r="O156" s="16" t="s">
        <v>35</v>
      </c>
      <c r="R156" s="16" t="s">
        <v>851</v>
      </c>
    </row>
    <row r="157" hidden="1">
      <c r="A157" s="13">
        <v>2189845.0</v>
      </c>
      <c r="B157" s="14">
        <v>46163.71703703704</v>
      </c>
      <c r="C157" s="13" t="s">
        <v>101</v>
      </c>
      <c r="D157" s="13" t="s">
        <v>231</v>
      </c>
      <c r="E157" s="15"/>
      <c r="F157" s="13" t="s">
        <v>133</v>
      </c>
      <c r="G157" s="16">
        <v>10.0</v>
      </c>
      <c r="I157" s="16" t="b">
        <v>0</v>
      </c>
      <c r="J157" s="16" t="s">
        <v>134</v>
      </c>
      <c r="N157" s="16" t="b">
        <v>1</v>
      </c>
      <c r="O157" s="16" t="s">
        <v>35</v>
      </c>
      <c r="R157" s="16" t="s">
        <v>855</v>
      </c>
    </row>
    <row r="158" hidden="1">
      <c r="A158" s="13">
        <v>2189855.0</v>
      </c>
      <c r="B158" s="14">
        <v>46163.72130787037</v>
      </c>
      <c r="C158" s="13" t="s">
        <v>101</v>
      </c>
      <c r="D158" s="13" t="s">
        <v>256</v>
      </c>
      <c r="E158" s="15"/>
      <c r="F158" s="13" t="s">
        <v>857</v>
      </c>
      <c r="G158" s="16">
        <v>300.0</v>
      </c>
      <c r="I158" s="16" t="b">
        <v>0</v>
      </c>
      <c r="J158" s="16" t="s">
        <v>205</v>
      </c>
      <c r="K158" s="16" t="s">
        <v>117</v>
      </c>
      <c r="N158" s="16" t="b">
        <v>1</v>
      </c>
      <c r="O158" s="16" t="s">
        <v>35</v>
      </c>
      <c r="R158" s="16" t="s">
        <v>860</v>
      </c>
    </row>
    <row r="159" hidden="1">
      <c r="A159" s="13">
        <v>2190111.0</v>
      </c>
      <c r="B159" s="14">
        <v>46163.86519675926</v>
      </c>
      <c r="C159" s="13" t="s">
        <v>101</v>
      </c>
      <c r="D159" s="13" t="s">
        <v>398</v>
      </c>
      <c r="E159" s="15"/>
      <c r="F159" s="13" t="s">
        <v>512</v>
      </c>
      <c r="G159" s="16">
        <v>12.0</v>
      </c>
      <c r="I159" s="16" t="b">
        <v>0</v>
      </c>
      <c r="J159" s="16" t="s">
        <v>134</v>
      </c>
      <c r="N159" s="16" t="b">
        <v>1</v>
      </c>
      <c r="O159" s="16" t="s">
        <v>35</v>
      </c>
      <c r="R159" s="16" t="s">
        <v>863</v>
      </c>
    </row>
    <row r="160" hidden="1">
      <c r="A160" s="13">
        <v>2191004.0</v>
      </c>
      <c r="B160" s="14">
        <v>46164.70159722222</v>
      </c>
      <c r="C160" s="13" t="s">
        <v>139</v>
      </c>
      <c r="D160" s="13" t="s">
        <v>213</v>
      </c>
      <c r="E160" s="15"/>
      <c r="F160" s="13" t="s">
        <v>866</v>
      </c>
      <c r="G160" s="16">
        <v>200.0</v>
      </c>
      <c r="I160" s="16" t="b">
        <v>0</v>
      </c>
      <c r="J160" s="16" t="s">
        <v>205</v>
      </c>
      <c r="K160" s="16" t="s">
        <v>117</v>
      </c>
      <c r="N160" s="16" t="b">
        <v>1</v>
      </c>
      <c r="O160" s="16" t="s">
        <v>35</v>
      </c>
      <c r="R160" s="16" t="s">
        <v>868</v>
      </c>
    </row>
    <row r="161" hidden="1">
      <c r="A161" s="13">
        <v>2191005.0</v>
      </c>
      <c r="B161" s="14">
        <v>46164.70175925926</v>
      </c>
      <c r="C161" s="13" t="s">
        <v>139</v>
      </c>
      <c r="D161" s="13" t="s">
        <v>201</v>
      </c>
      <c r="E161" s="15"/>
      <c r="F161" s="13" t="s">
        <v>869</v>
      </c>
      <c r="G161" s="16">
        <v>150.0</v>
      </c>
      <c r="I161" s="16" t="b">
        <v>0</v>
      </c>
      <c r="J161" s="16" t="s">
        <v>205</v>
      </c>
      <c r="K161" s="16" t="s">
        <v>218</v>
      </c>
      <c r="N161" s="16" t="b">
        <v>1</v>
      </c>
      <c r="O161" s="16" t="s">
        <v>35</v>
      </c>
      <c r="R161" s="16" t="s">
        <v>871</v>
      </c>
    </row>
    <row r="162" hidden="1">
      <c r="A162" s="13">
        <v>2191008.0</v>
      </c>
      <c r="B162" s="14">
        <v>46164.702511574076</v>
      </c>
      <c r="C162" s="13" t="s">
        <v>101</v>
      </c>
      <c r="D162" s="13" t="s">
        <v>876</v>
      </c>
      <c r="E162" s="15"/>
      <c r="F162" s="13" t="s">
        <v>877</v>
      </c>
      <c r="G162" s="16">
        <v>378.0</v>
      </c>
      <c r="I162" s="16" t="b">
        <v>0</v>
      </c>
      <c r="J162" s="16" t="s">
        <v>170</v>
      </c>
      <c r="N162" s="16" t="b">
        <v>1</v>
      </c>
      <c r="O162" s="16" t="s">
        <v>35</v>
      </c>
      <c r="R162" s="16" t="s">
        <v>878</v>
      </c>
    </row>
    <row r="163" hidden="1">
      <c r="A163" s="13">
        <v>2191012.0</v>
      </c>
      <c r="B163" s="14">
        <v>46164.70337962963</v>
      </c>
      <c r="C163" s="13" t="s">
        <v>101</v>
      </c>
      <c r="D163" s="13" t="s">
        <v>879</v>
      </c>
      <c r="E163" s="15"/>
      <c r="F163" s="13" t="s">
        <v>881</v>
      </c>
      <c r="G163" s="16">
        <v>62.3</v>
      </c>
      <c r="I163" s="16" t="b">
        <v>0</v>
      </c>
      <c r="J163" s="16" t="s">
        <v>170</v>
      </c>
      <c r="N163" s="16" t="b">
        <v>1</v>
      </c>
      <c r="O163" s="16" t="s">
        <v>35</v>
      </c>
      <c r="R163" s="16" t="s">
        <v>883</v>
      </c>
    </row>
    <row r="164" hidden="1">
      <c r="A164" s="13">
        <v>2191119.0</v>
      </c>
      <c r="B164" s="14">
        <v>46164.73872685185</v>
      </c>
      <c r="C164" s="13" t="s">
        <v>101</v>
      </c>
      <c r="D164" s="13" t="s">
        <v>885</v>
      </c>
      <c r="E164" s="15"/>
      <c r="F164" s="13" t="s">
        <v>133</v>
      </c>
      <c r="G164" s="16">
        <v>81.0</v>
      </c>
      <c r="I164" s="16" t="b">
        <v>0</v>
      </c>
      <c r="J164" s="16" t="s">
        <v>134</v>
      </c>
      <c r="N164" s="16" t="b">
        <v>1</v>
      </c>
      <c r="O164" s="16" t="s">
        <v>35</v>
      </c>
      <c r="R164" s="16" t="s">
        <v>886</v>
      </c>
    </row>
    <row r="165" hidden="1">
      <c r="A165" s="13">
        <v>2191334.0</v>
      </c>
      <c r="B165" s="14">
        <v>46164.86344907407</v>
      </c>
      <c r="C165" s="13" t="s">
        <v>101</v>
      </c>
      <c r="D165" s="13" t="s">
        <v>889</v>
      </c>
      <c r="E165" s="15"/>
      <c r="F165" s="13" t="s">
        <v>334</v>
      </c>
      <c r="G165" s="16">
        <v>34.0</v>
      </c>
      <c r="I165" s="16" t="b">
        <v>0</v>
      </c>
      <c r="J165" s="16" t="s">
        <v>116</v>
      </c>
      <c r="K165" s="16" t="s">
        <v>336</v>
      </c>
      <c r="N165" s="16" t="b">
        <v>1</v>
      </c>
      <c r="O165" s="16" t="s">
        <v>35</v>
      </c>
      <c r="R165" s="16" t="s">
        <v>894</v>
      </c>
    </row>
    <row r="166" hidden="1">
      <c r="A166" s="13">
        <v>2191336.0</v>
      </c>
      <c r="B166" s="14">
        <v>46164.863969907405</v>
      </c>
      <c r="C166" s="13" t="s">
        <v>101</v>
      </c>
      <c r="D166" s="13" t="s">
        <v>252</v>
      </c>
      <c r="E166" s="15"/>
      <c r="F166" s="13" t="s">
        <v>334</v>
      </c>
      <c r="G166" s="16">
        <v>4.0</v>
      </c>
      <c r="I166" s="16" t="b">
        <v>0</v>
      </c>
      <c r="J166" s="16" t="s">
        <v>116</v>
      </c>
      <c r="K166" s="16" t="s">
        <v>336</v>
      </c>
      <c r="N166" s="16" t="b">
        <v>1</v>
      </c>
      <c r="O166" s="16" t="s">
        <v>35</v>
      </c>
      <c r="R166" s="16" t="s">
        <v>896</v>
      </c>
    </row>
    <row r="167" hidden="1">
      <c r="A167" s="13">
        <v>2191349.0</v>
      </c>
      <c r="B167" s="14">
        <v>46164.87123842593</v>
      </c>
      <c r="C167" s="13" t="s">
        <v>101</v>
      </c>
      <c r="D167" s="13" t="s">
        <v>599</v>
      </c>
      <c r="E167" s="15"/>
      <c r="F167" s="13" t="s">
        <v>600</v>
      </c>
      <c r="G167" s="16">
        <v>11.0</v>
      </c>
      <c r="I167" s="16" t="b">
        <v>0</v>
      </c>
      <c r="J167" s="16" t="s">
        <v>134</v>
      </c>
      <c r="N167" s="16" t="b">
        <v>1</v>
      </c>
      <c r="O167" s="16" t="s">
        <v>35</v>
      </c>
      <c r="R167" s="16" t="s">
        <v>900</v>
      </c>
    </row>
    <row r="168" hidden="1">
      <c r="A168" s="13">
        <v>2192339.0</v>
      </c>
      <c r="B168" s="14">
        <v>46165.74957175926</v>
      </c>
      <c r="C168" s="13" t="s">
        <v>101</v>
      </c>
      <c r="D168" s="13" t="s">
        <v>901</v>
      </c>
      <c r="E168" s="15"/>
      <c r="F168" s="13" t="s">
        <v>133</v>
      </c>
      <c r="G168" s="16">
        <v>108.0</v>
      </c>
      <c r="I168" s="16" t="b">
        <v>0</v>
      </c>
      <c r="J168" s="16" t="s">
        <v>134</v>
      </c>
      <c r="N168" s="16" t="b">
        <v>1</v>
      </c>
      <c r="O168" s="16" t="s">
        <v>35</v>
      </c>
      <c r="R168" s="16" t="s">
        <v>904</v>
      </c>
    </row>
    <row r="169" hidden="1">
      <c r="A169" s="13">
        <v>2192621.0</v>
      </c>
      <c r="B169" s="14">
        <v>46165.87431712963</v>
      </c>
      <c r="C169" s="13" t="s">
        <v>101</v>
      </c>
      <c r="D169" s="13" t="s">
        <v>907</v>
      </c>
      <c r="E169" s="15"/>
      <c r="F169" s="13" t="s">
        <v>629</v>
      </c>
      <c r="G169" s="16">
        <v>54.0</v>
      </c>
      <c r="I169" s="16" t="b">
        <v>0</v>
      </c>
      <c r="J169" s="16" t="s">
        <v>134</v>
      </c>
      <c r="N169" s="16" t="b">
        <v>1</v>
      </c>
      <c r="O169" s="16" t="s">
        <v>35</v>
      </c>
      <c r="R169" s="16" t="s">
        <v>908</v>
      </c>
    </row>
    <row r="170" hidden="1">
      <c r="A170" s="13">
        <v>2192626.0</v>
      </c>
      <c r="B170" s="14">
        <v>46165.87652777778</v>
      </c>
      <c r="C170" s="13" t="s">
        <v>101</v>
      </c>
      <c r="D170" s="13" t="s">
        <v>121</v>
      </c>
      <c r="E170" s="15"/>
      <c r="F170" s="13" t="s">
        <v>910</v>
      </c>
      <c r="G170" s="16">
        <v>135.0</v>
      </c>
      <c r="I170" s="16" t="b">
        <v>0</v>
      </c>
      <c r="J170" s="16" t="s">
        <v>126</v>
      </c>
      <c r="N170" s="16" t="b">
        <v>1</v>
      </c>
      <c r="O170" s="16" t="s">
        <v>35</v>
      </c>
      <c r="R170" s="16" t="s">
        <v>913</v>
      </c>
    </row>
    <row r="171" hidden="1">
      <c r="A171" s="13">
        <v>2192630.0</v>
      </c>
      <c r="B171" s="14">
        <v>46165.8783912037</v>
      </c>
      <c r="C171" s="13" t="s">
        <v>101</v>
      </c>
      <c r="D171" s="13" t="s">
        <v>213</v>
      </c>
      <c r="E171" s="15"/>
      <c r="F171" s="13" t="s">
        <v>914</v>
      </c>
      <c r="G171" s="16">
        <v>200.0</v>
      </c>
      <c r="I171" s="16" t="b">
        <v>0</v>
      </c>
      <c r="J171" s="16" t="s">
        <v>205</v>
      </c>
      <c r="K171" s="16" t="s">
        <v>117</v>
      </c>
      <c r="N171" s="16" t="b">
        <v>1</v>
      </c>
      <c r="O171" s="16" t="s">
        <v>35</v>
      </c>
      <c r="R171" s="16" t="s">
        <v>916</v>
      </c>
    </row>
    <row r="172" hidden="1">
      <c r="A172" s="13">
        <v>2193820.0</v>
      </c>
      <c r="B172" s="14">
        <v>46166.75947916666</v>
      </c>
      <c r="C172" s="13" t="s">
        <v>101</v>
      </c>
      <c r="D172" s="13" t="s">
        <v>201</v>
      </c>
      <c r="E172" s="24"/>
      <c r="F172" s="13" t="s">
        <v>918</v>
      </c>
      <c r="G172" s="16">
        <v>150.0</v>
      </c>
      <c r="I172" s="16" t="b">
        <v>0</v>
      </c>
      <c r="J172" s="16" t="s">
        <v>134</v>
      </c>
      <c r="N172" s="16" t="b">
        <v>1</v>
      </c>
      <c r="O172" s="16" t="s">
        <v>35</v>
      </c>
      <c r="R172" s="16" t="s">
        <v>920</v>
      </c>
    </row>
    <row r="173" hidden="1">
      <c r="A173" s="13">
        <v>2194239.0</v>
      </c>
      <c r="B173" s="14">
        <v>46166.865</v>
      </c>
      <c r="C173" s="13" t="s">
        <v>101</v>
      </c>
      <c r="D173" s="13" t="s">
        <v>921</v>
      </c>
      <c r="E173" s="15"/>
      <c r="F173" s="13" t="s">
        <v>922</v>
      </c>
      <c r="G173" s="16">
        <v>57.0</v>
      </c>
      <c r="I173" s="16" t="b">
        <v>0</v>
      </c>
      <c r="J173" s="16" t="s">
        <v>134</v>
      </c>
      <c r="N173" s="16" t="b">
        <v>1</v>
      </c>
      <c r="O173" s="16" t="s">
        <v>35</v>
      </c>
      <c r="R173" s="16" t="s">
        <v>924</v>
      </c>
    </row>
    <row r="174" hidden="1">
      <c r="A174" s="13">
        <v>2194248.0</v>
      </c>
      <c r="B174" s="14">
        <v>46166.86646990741</v>
      </c>
      <c r="C174" s="13" t="s">
        <v>101</v>
      </c>
      <c r="D174" s="13" t="s">
        <v>926</v>
      </c>
      <c r="E174" s="15"/>
      <c r="F174" s="13" t="s">
        <v>334</v>
      </c>
      <c r="G174" s="16">
        <v>32.61</v>
      </c>
      <c r="I174" s="16" t="b">
        <v>0</v>
      </c>
      <c r="J174" s="16" t="s">
        <v>116</v>
      </c>
      <c r="K174" s="16" t="s">
        <v>336</v>
      </c>
      <c r="N174" s="16" t="b">
        <v>1</v>
      </c>
      <c r="O174" s="16" t="s">
        <v>35</v>
      </c>
      <c r="R174" s="16" t="s">
        <v>928</v>
      </c>
    </row>
    <row r="175" hidden="1">
      <c r="A175" s="13">
        <v>2194290.0</v>
      </c>
      <c r="B175" s="14">
        <v>46166.87232638889</v>
      </c>
      <c r="C175" s="13" t="s">
        <v>101</v>
      </c>
      <c r="D175" s="13" t="s">
        <v>256</v>
      </c>
      <c r="E175" s="15"/>
      <c r="F175" s="13" t="s">
        <v>930</v>
      </c>
      <c r="G175" s="16">
        <v>300.0</v>
      </c>
      <c r="I175" s="16" t="b">
        <v>0</v>
      </c>
      <c r="J175" s="16" t="s">
        <v>205</v>
      </c>
      <c r="K175" s="16" t="s">
        <v>336</v>
      </c>
      <c r="N175" s="16" t="b">
        <v>1</v>
      </c>
      <c r="O175" s="16" t="s">
        <v>35</v>
      </c>
      <c r="R175" s="16" t="s">
        <v>932</v>
      </c>
    </row>
    <row r="176" hidden="1">
      <c r="A176" s="13">
        <v>2194303.0</v>
      </c>
      <c r="B176" s="14">
        <v>46166.87380787037</v>
      </c>
      <c r="C176" s="13" t="s">
        <v>101</v>
      </c>
      <c r="D176" s="13" t="s">
        <v>121</v>
      </c>
      <c r="E176" s="15"/>
      <c r="F176" s="13" t="s">
        <v>933</v>
      </c>
      <c r="G176" s="16">
        <v>135.0</v>
      </c>
      <c r="I176" s="16" t="b">
        <v>0</v>
      </c>
      <c r="J176" s="16" t="s">
        <v>126</v>
      </c>
      <c r="N176" s="16" t="b">
        <v>1</v>
      </c>
      <c r="O176" s="16" t="s">
        <v>35</v>
      </c>
      <c r="R176" s="16" t="s">
        <v>935</v>
      </c>
    </row>
    <row r="177" hidden="1">
      <c r="A177" s="13">
        <v>2195183.0</v>
      </c>
      <c r="B177" s="14">
        <v>46167.5178125</v>
      </c>
      <c r="C177" s="13" t="s">
        <v>139</v>
      </c>
      <c r="D177" s="13" t="s">
        <v>937</v>
      </c>
      <c r="E177" s="15"/>
      <c r="F177" s="13" t="s">
        <v>142</v>
      </c>
      <c r="G177" s="16">
        <v>105.0</v>
      </c>
      <c r="I177" s="16" t="b">
        <v>0</v>
      </c>
      <c r="J177" s="16" t="s">
        <v>144</v>
      </c>
      <c r="N177" s="16" t="b">
        <v>1</v>
      </c>
      <c r="O177" s="16" t="s">
        <v>35</v>
      </c>
      <c r="R177" s="16" t="s">
        <v>938</v>
      </c>
    </row>
    <row r="178" hidden="1">
      <c r="A178" s="13">
        <v>2195341.0</v>
      </c>
      <c r="B178" s="14">
        <v>46167.61153935185</v>
      </c>
      <c r="C178" s="13" t="s">
        <v>101</v>
      </c>
      <c r="D178" s="13" t="s">
        <v>288</v>
      </c>
      <c r="E178" s="15"/>
      <c r="F178" s="13" t="s">
        <v>940</v>
      </c>
      <c r="G178" s="16">
        <v>23.0</v>
      </c>
      <c r="I178" s="16" t="b">
        <v>0</v>
      </c>
      <c r="J178" s="16" t="s">
        <v>134</v>
      </c>
      <c r="N178" s="16" t="b">
        <v>1</v>
      </c>
      <c r="O178" s="16" t="s">
        <v>35</v>
      </c>
      <c r="R178" s="16" t="s">
        <v>942</v>
      </c>
    </row>
    <row r="179" hidden="1">
      <c r="A179" s="13">
        <v>2195501.0</v>
      </c>
      <c r="B179" s="14">
        <v>46167.68861111111</v>
      </c>
      <c r="C179" s="13" t="s">
        <v>101</v>
      </c>
      <c r="D179" s="13" t="s">
        <v>260</v>
      </c>
      <c r="E179" s="15"/>
      <c r="F179" s="13" t="s">
        <v>944</v>
      </c>
      <c r="G179" s="16">
        <v>13.0</v>
      </c>
      <c r="I179" s="16" t="b">
        <v>0</v>
      </c>
      <c r="J179" s="16" t="s">
        <v>134</v>
      </c>
      <c r="N179" s="16" t="b">
        <v>1</v>
      </c>
      <c r="O179" s="16" t="s">
        <v>35</v>
      </c>
      <c r="R179" s="16" t="s">
        <v>946</v>
      </c>
    </row>
    <row r="180" hidden="1">
      <c r="A180" s="13">
        <v>2195596.0</v>
      </c>
      <c r="B180" s="14">
        <v>46167.73032407407</v>
      </c>
      <c r="C180" s="13" t="s">
        <v>101</v>
      </c>
      <c r="D180" s="13" t="s">
        <v>213</v>
      </c>
      <c r="E180" s="15"/>
      <c r="F180" s="13" t="s">
        <v>948</v>
      </c>
      <c r="G180" s="16">
        <v>200.0</v>
      </c>
      <c r="I180" s="16" t="b">
        <v>0</v>
      </c>
      <c r="J180" s="16" t="s">
        <v>205</v>
      </c>
      <c r="K180" s="16" t="s">
        <v>117</v>
      </c>
      <c r="N180" s="16" t="b">
        <v>1</v>
      </c>
      <c r="O180" s="16" t="s">
        <v>35</v>
      </c>
      <c r="R180" s="16" t="s">
        <v>950</v>
      </c>
    </row>
    <row r="181" hidden="1">
      <c r="A181" s="13">
        <v>2195598.0</v>
      </c>
      <c r="B181" s="14">
        <v>46167.730833333335</v>
      </c>
      <c r="C181" s="13" t="s">
        <v>101</v>
      </c>
      <c r="D181" s="13" t="s">
        <v>599</v>
      </c>
      <c r="E181" s="15"/>
      <c r="F181" s="13" t="s">
        <v>940</v>
      </c>
      <c r="G181" s="16">
        <v>11.0</v>
      </c>
      <c r="I181" s="16" t="b">
        <v>0</v>
      </c>
      <c r="J181" s="16" t="s">
        <v>134</v>
      </c>
      <c r="N181" s="16" t="b">
        <v>1</v>
      </c>
      <c r="O181" s="16" t="s">
        <v>35</v>
      </c>
      <c r="R181" s="16" t="s">
        <v>952</v>
      </c>
    </row>
    <row r="182" hidden="1">
      <c r="A182" s="13">
        <v>2195947.0</v>
      </c>
      <c r="B182" s="14">
        <v>46167.87189814815</v>
      </c>
      <c r="C182" s="13" t="s">
        <v>101</v>
      </c>
      <c r="D182" s="13" t="s">
        <v>213</v>
      </c>
      <c r="E182" s="15"/>
      <c r="F182" s="13" t="s">
        <v>239</v>
      </c>
      <c r="G182" s="16">
        <v>200.0</v>
      </c>
      <c r="I182" s="16" t="b">
        <v>0</v>
      </c>
      <c r="J182" s="16" t="s">
        <v>205</v>
      </c>
      <c r="K182" s="16" t="s">
        <v>218</v>
      </c>
      <c r="N182" s="16" t="b">
        <v>1</v>
      </c>
      <c r="O182" s="16" t="s">
        <v>35</v>
      </c>
      <c r="R182" s="16" t="s">
        <v>955</v>
      </c>
    </row>
    <row r="183" hidden="1">
      <c r="A183" s="13">
        <v>2196659.0</v>
      </c>
      <c r="B183" s="14">
        <v>46168.61350694444</v>
      </c>
      <c r="C183" s="13" t="s">
        <v>139</v>
      </c>
      <c r="D183" s="13" t="s">
        <v>237</v>
      </c>
      <c r="E183" s="15"/>
      <c r="F183" s="13" t="s">
        <v>142</v>
      </c>
      <c r="G183" s="16">
        <v>100.0</v>
      </c>
      <c r="I183" s="16" t="b">
        <v>0</v>
      </c>
      <c r="J183" s="16" t="s">
        <v>144</v>
      </c>
      <c r="N183" s="16" t="b">
        <v>1</v>
      </c>
      <c r="O183" s="16" t="s">
        <v>35</v>
      </c>
      <c r="R183" s="16" t="s">
        <v>959</v>
      </c>
    </row>
    <row r="184" hidden="1">
      <c r="A184" s="13">
        <v>2196802.0</v>
      </c>
      <c r="B184" s="14">
        <v>46168.67796296296</v>
      </c>
      <c r="C184" s="13" t="s">
        <v>101</v>
      </c>
      <c r="D184" s="13" t="s">
        <v>961</v>
      </c>
      <c r="E184" s="15"/>
      <c r="F184" s="13" t="s">
        <v>452</v>
      </c>
      <c r="G184" s="16">
        <v>258.5</v>
      </c>
      <c r="I184" s="16" t="b">
        <v>0</v>
      </c>
      <c r="J184" s="16" t="s">
        <v>170</v>
      </c>
      <c r="M184" s="16" t="s">
        <v>963</v>
      </c>
      <c r="N184" s="16" t="b">
        <v>1</v>
      </c>
      <c r="O184" s="16" t="s">
        <v>35</v>
      </c>
      <c r="R184" s="16" t="s">
        <v>966</v>
      </c>
    </row>
    <row r="185" hidden="1">
      <c r="A185" s="13">
        <v>2196804.0</v>
      </c>
      <c r="B185" s="14">
        <v>46168.678611111114</v>
      </c>
      <c r="C185" s="13" t="s">
        <v>101</v>
      </c>
      <c r="D185" s="13" t="s">
        <v>967</v>
      </c>
      <c r="E185" s="15"/>
      <c r="F185" s="13" t="s">
        <v>438</v>
      </c>
      <c r="G185" s="16">
        <v>7.8</v>
      </c>
      <c r="I185" s="16" t="b">
        <v>0</v>
      </c>
      <c r="J185" s="16" t="s">
        <v>170</v>
      </c>
      <c r="M185" s="16" t="s">
        <v>968</v>
      </c>
      <c r="N185" s="16" t="b">
        <v>1</v>
      </c>
      <c r="O185" s="16" t="s">
        <v>35</v>
      </c>
      <c r="R185" s="16" t="s">
        <v>970</v>
      </c>
    </row>
    <row r="186" hidden="1">
      <c r="A186" s="13">
        <v>2196834.0</v>
      </c>
      <c r="B186" s="14">
        <v>46168.68996527778</v>
      </c>
      <c r="C186" s="13" t="s">
        <v>139</v>
      </c>
      <c r="D186" s="13" t="s">
        <v>256</v>
      </c>
      <c r="E186" s="15"/>
      <c r="F186" s="13" t="s">
        <v>972</v>
      </c>
      <c r="G186" s="16">
        <v>300.0</v>
      </c>
      <c r="I186" s="16" t="b">
        <v>0</v>
      </c>
      <c r="J186" s="16" t="s">
        <v>205</v>
      </c>
      <c r="K186" s="16" t="s">
        <v>336</v>
      </c>
      <c r="N186" s="16" t="b">
        <v>1</v>
      </c>
      <c r="O186" s="16" t="s">
        <v>35</v>
      </c>
      <c r="R186" s="16" t="s">
        <v>973</v>
      </c>
    </row>
    <row r="187" hidden="1">
      <c r="A187" s="13">
        <v>2196835.0</v>
      </c>
      <c r="B187" s="14">
        <v>46168.69012731482</v>
      </c>
      <c r="C187" s="13" t="s">
        <v>101</v>
      </c>
      <c r="D187" s="13" t="s">
        <v>213</v>
      </c>
      <c r="E187" s="15"/>
      <c r="F187" s="13" t="s">
        <v>425</v>
      </c>
      <c r="G187" s="16">
        <v>200.0</v>
      </c>
      <c r="I187" s="16" t="b">
        <v>0</v>
      </c>
      <c r="J187" s="16" t="s">
        <v>144</v>
      </c>
      <c r="N187" s="16" t="b">
        <v>1</v>
      </c>
      <c r="O187" s="16" t="s">
        <v>35</v>
      </c>
      <c r="R187" s="16" t="s">
        <v>975</v>
      </c>
    </row>
    <row r="188" hidden="1">
      <c r="A188" s="13">
        <v>2196836.0</v>
      </c>
      <c r="B188" s="14">
        <v>46168.690416666665</v>
      </c>
      <c r="C188" s="13" t="s">
        <v>101</v>
      </c>
      <c r="D188" s="13" t="s">
        <v>231</v>
      </c>
      <c r="E188" s="15"/>
      <c r="F188" s="13" t="s">
        <v>977</v>
      </c>
      <c r="G188" s="16">
        <v>10.0</v>
      </c>
      <c r="I188" s="16" t="b">
        <v>0</v>
      </c>
      <c r="J188" s="16" t="s">
        <v>170</v>
      </c>
      <c r="N188" s="16" t="b">
        <v>1</v>
      </c>
      <c r="O188" s="16" t="s">
        <v>35</v>
      </c>
      <c r="R188" s="16" t="s">
        <v>980</v>
      </c>
    </row>
    <row r="189" hidden="1">
      <c r="A189" s="13">
        <v>2196884.0</v>
      </c>
      <c r="B189" s="14">
        <v>46168.70638888889</v>
      </c>
      <c r="C189" s="13" t="s">
        <v>101</v>
      </c>
      <c r="D189" s="13" t="s">
        <v>237</v>
      </c>
      <c r="E189" s="15"/>
      <c r="F189" s="13" t="s">
        <v>325</v>
      </c>
      <c r="G189" s="16">
        <v>80.0</v>
      </c>
      <c r="I189" s="16" t="b">
        <v>0</v>
      </c>
      <c r="J189" s="16" t="s">
        <v>116</v>
      </c>
      <c r="K189" s="16" t="s">
        <v>117</v>
      </c>
      <c r="N189" s="16" t="b">
        <v>1</v>
      </c>
      <c r="O189" s="16" t="s">
        <v>35</v>
      </c>
      <c r="R189" s="16" t="s">
        <v>983</v>
      </c>
    </row>
    <row r="190" hidden="1">
      <c r="A190" s="13">
        <v>2196890.0</v>
      </c>
      <c r="B190" s="14">
        <v>46168.710439814815</v>
      </c>
      <c r="C190" s="13" t="s">
        <v>101</v>
      </c>
      <c r="D190" s="13" t="s">
        <v>985</v>
      </c>
      <c r="E190" s="15"/>
      <c r="F190" s="13" t="s">
        <v>629</v>
      </c>
      <c r="G190" s="16">
        <v>47.0</v>
      </c>
      <c r="I190" s="16" t="b">
        <v>0</v>
      </c>
      <c r="J190" s="16" t="s">
        <v>134</v>
      </c>
      <c r="N190" s="16" t="b">
        <v>1</v>
      </c>
      <c r="O190" s="16" t="s">
        <v>35</v>
      </c>
      <c r="R190" s="16" t="s">
        <v>987</v>
      </c>
    </row>
    <row r="191" hidden="1">
      <c r="A191" s="13">
        <v>2197032.0</v>
      </c>
      <c r="B191" s="14">
        <v>46168.76006944444</v>
      </c>
      <c r="C191" s="13" t="s">
        <v>101</v>
      </c>
      <c r="D191" s="13" t="s">
        <v>988</v>
      </c>
      <c r="E191" s="15"/>
      <c r="F191" s="13" t="s">
        <v>334</v>
      </c>
      <c r="G191" s="16">
        <v>6.0</v>
      </c>
      <c r="I191" s="16" t="b">
        <v>0</v>
      </c>
      <c r="J191" s="16" t="s">
        <v>116</v>
      </c>
      <c r="K191" s="16" t="s">
        <v>336</v>
      </c>
      <c r="N191" s="16" t="b">
        <v>1</v>
      </c>
      <c r="O191" s="16" t="s">
        <v>35</v>
      </c>
      <c r="R191" s="16" t="s">
        <v>990</v>
      </c>
    </row>
    <row r="192" hidden="1">
      <c r="A192" s="13">
        <v>2197239.0</v>
      </c>
      <c r="B192" s="14">
        <v>46168.8624537037</v>
      </c>
      <c r="C192" s="13" t="s">
        <v>101</v>
      </c>
      <c r="D192" s="13" t="s">
        <v>213</v>
      </c>
      <c r="E192" s="15"/>
      <c r="F192" s="13" t="s">
        <v>993</v>
      </c>
      <c r="G192" s="16">
        <v>200.0</v>
      </c>
      <c r="I192" s="16" t="b">
        <v>0</v>
      </c>
      <c r="J192" s="16" t="s">
        <v>205</v>
      </c>
      <c r="K192" s="16" t="s">
        <v>218</v>
      </c>
      <c r="N192" s="16" t="b">
        <v>1</v>
      </c>
      <c r="O192" s="16" t="s">
        <v>35</v>
      </c>
      <c r="R192" s="16" t="s">
        <v>995</v>
      </c>
    </row>
    <row r="193" hidden="1">
      <c r="A193" s="13">
        <v>2197253.0</v>
      </c>
      <c r="B193" s="14">
        <v>46168.865578703706</v>
      </c>
      <c r="C193" s="13" t="s">
        <v>101</v>
      </c>
      <c r="D193" s="13" t="s">
        <v>179</v>
      </c>
      <c r="E193" s="15"/>
      <c r="F193" s="13" t="s">
        <v>600</v>
      </c>
      <c r="G193" s="16">
        <v>20.0</v>
      </c>
      <c r="I193" s="16" t="b">
        <v>0</v>
      </c>
      <c r="J193" s="16" t="s">
        <v>134</v>
      </c>
      <c r="N193" s="16" t="b">
        <v>1</v>
      </c>
      <c r="O193" s="16" t="s">
        <v>35</v>
      </c>
      <c r="R193" s="16" t="s">
        <v>997</v>
      </c>
    </row>
    <row r="194" hidden="1">
      <c r="A194" s="13">
        <v>2197275.0</v>
      </c>
      <c r="B194" s="14">
        <v>46168.87267361111</v>
      </c>
      <c r="C194" s="13" t="s">
        <v>101</v>
      </c>
      <c r="D194" s="13" t="s">
        <v>328</v>
      </c>
      <c r="E194" s="15"/>
      <c r="F194" s="13" t="s">
        <v>574</v>
      </c>
      <c r="G194" s="16">
        <v>38.4</v>
      </c>
      <c r="I194" s="16" t="b">
        <v>0</v>
      </c>
      <c r="J194" s="16" t="s">
        <v>116</v>
      </c>
      <c r="K194" s="16" t="s">
        <v>218</v>
      </c>
      <c r="N194" s="16" t="b">
        <v>1</v>
      </c>
      <c r="O194" s="16" t="s">
        <v>35</v>
      </c>
      <c r="R194" s="16" t="s">
        <v>1000</v>
      </c>
    </row>
    <row r="195" hidden="1">
      <c r="A195" s="13">
        <v>2198255.0</v>
      </c>
      <c r="B195" s="14">
        <v>46169.70773148148</v>
      </c>
      <c r="C195" s="13" t="s">
        <v>101</v>
      </c>
      <c r="D195" s="13" t="s">
        <v>823</v>
      </c>
      <c r="E195" s="15"/>
      <c r="F195" s="13" t="s">
        <v>325</v>
      </c>
      <c r="G195" s="16">
        <v>29.6</v>
      </c>
      <c r="I195" s="16" t="b">
        <v>0</v>
      </c>
      <c r="J195" s="16" t="s">
        <v>116</v>
      </c>
      <c r="K195" s="16" t="s">
        <v>117</v>
      </c>
      <c r="N195" s="16" t="b">
        <v>1</v>
      </c>
      <c r="O195" s="16" t="s">
        <v>35</v>
      </c>
      <c r="R195" s="16" t="s">
        <v>1003</v>
      </c>
    </row>
    <row r="196" hidden="1">
      <c r="A196" s="13">
        <v>2198315.0</v>
      </c>
      <c r="B196" s="14">
        <v>46169.721655092595</v>
      </c>
      <c r="C196" s="13" t="s">
        <v>101</v>
      </c>
      <c r="D196" s="13" t="s">
        <v>1006</v>
      </c>
      <c r="E196" s="15"/>
      <c r="F196" s="13" t="s">
        <v>629</v>
      </c>
      <c r="G196" s="16">
        <v>68.0</v>
      </c>
      <c r="I196" s="16" t="b">
        <v>0</v>
      </c>
      <c r="J196" s="16" t="s">
        <v>134</v>
      </c>
      <c r="N196" s="16" t="b">
        <v>1</v>
      </c>
      <c r="O196" s="16" t="s">
        <v>35</v>
      </c>
      <c r="R196" s="16" t="s">
        <v>1007</v>
      </c>
    </row>
    <row r="197" hidden="1">
      <c r="A197" s="13">
        <v>2198363.0</v>
      </c>
      <c r="B197" s="14">
        <v>46169.735914351855</v>
      </c>
      <c r="C197" s="13" t="s">
        <v>101</v>
      </c>
      <c r="D197" s="13" t="s">
        <v>201</v>
      </c>
      <c r="E197" s="15"/>
      <c r="F197" s="13" t="s">
        <v>1009</v>
      </c>
      <c r="G197" s="16">
        <v>150.0</v>
      </c>
      <c r="I197" s="16" t="b">
        <v>0</v>
      </c>
      <c r="J197" s="16" t="s">
        <v>205</v>
      </c>
      <c r="K197" s="16" t="s">
        <v>117</v>
      </c>
      <c r="N197" s="16" t="b">
        <v>1</v>
      </c>
      <c r="O197" s="16" t="s">
        <v>35</v>
      </c>
      <c r="R197" s="16" t="s">
        <v>1012</v>
      </c>
    </row>
    <row r="198" hidden="1">
      <c r="A198" s="13">
        <v>2198424.0</v>
      </c>
      <c r="B198" s="14">
        <v>46169.75465277778</v>
      </c>
      <c r="C198" s="13" t="s">
        <v>101</v>
      </c>
      <c r="D198" s="13" t="s">
        <v>1013</v>
      </c>
      <c r="E198" s="15"/>
      <c r="F198" s="13" t="s">
        <v>334</v>
      </c>
      <c r="G198" s="16">
        <v>13.6</v>
      </c>
      <c r="I198" s="16" t="b">
        <v>0</v>
      </c>
      <c r="J198" s="16" t="s">
        <v>116</v>
      </c>
      <c r="K198" s="16" t="s">
        <v>336</v>
      </c>
      <c r="N198" s="16" t="b">
        <v>1</v>
      </c>
      <c r="O198" s="16" t="s">
        <v>35</v>
      </c>
      <c r="R198" s="16" t="s">
        <v>1014</v>
      </c>
    </row>
    <row r="199" hidden="1">
      <c r="A199" s="13">
        <v>2198541.0</v>
      </c>
      <c r="B199" s="14">
        <v>46169.81896990741</v>
      </c>
      <c r="C199" s="13" t="s">
        <v>101</v>
      </c>
      <c r="D199" s="13" t="s">
        <v>1013</v>
      </c>
      <c r="E199" s="15"/>
      <c r="F199" s="13" t="s">
        <v>1018</v>
      </c>
      <c r="G199" s="16">
        <v>17.0</v>
      </c>
      <c r="I199" s="16" t="b">
        <v>0</v>
      </c>
      <c r="J199" s="16" t="s">
        <v>655</v>
      </c>
      <c r="N199" s="16" t="b">
        <v>1</v>
      </c>
      <c r="O199" s="16" t="s">
        <v>35</v>
      </c>
      <c r="R199" s="16" t="s">
        <v>1021</v>
      </c>
    </row>
    <row r="200" hidden="1">
      <c r="A200" s="13">
        <v>2198634.0</v>
      </c>
      <c r="B200" s="14">
        <v>46169.864803240744</v>
      </c>
      <c r="C200" s="13" t="s">
        <v>101</v>
      </c>
      <c r="D200" s="13" t="s">
        <v>428</v>
      </c>
      <c r="E200" s="15"/>
      <c r="F200" s="13" t="s">
        <v>600</v>
      </c>
      <c r="G200" s="16">
        <v>35.0</v>
      </c>
      <c r="I200" s="16" t="b">
        <v>0</v>
      </c>
      <c r="J200" s="16" t="s">
        <v>134</v>
      </c>
      <c r="N200" s="16" t="b">
        <v>1</v>
      </c>
      <c r="O200" s="16" t="s">
        <v>35</v>
      </c>
      <c r="R200" s="16" t="s">
        <v>1024</v>
      </c>
    </row>
    <row r="201" hidden="1">
      <c r="A201" s="13">
        <v>2199487.0</v>
      </c>
      <c r="B201" s="14">
        <v>46170.66483796296</v>
      </c>
      <c r="C201" s="13" t="s">
        <v>101</v>
      </c>
      <c r="D201" s="13" t="s">
        <v>223</v>
      </c>
      <c r="E201" s="15"/>
      <c r="F201" s="13" t="s">
        <v>325</v>
      </c>
      <c r="G201" s="16">
        <v>44.0</v>
      </c>
      <c r="I201" s="16" t="b">
        <v>0</v>
      </c>
      <c r="J201" s="16" t="s">
        <v>116</v>
      </c>
      <c r="K201" s="16" t="s">
        <v>117</v>
      </c>
      <c r="N201" s="16" t="b">
        <v>1</v>
      </c>
      <c r="O201" s="16" t="s">
        <v>35</v>
      </c>
      <c r="R201" s="16" t="s">
        <v>1027</v>
      </c>
    </row>
    <row r="202" hidden="1">
      <c r="A202" s="13">
        <v>2199650.0</v>
      </c>
      <c r="B202" s="14">
        <v>46170.72019675926</v>
      </c>
      <c r="C202" s="13" t="s">
        <v>101</v>
      </c>
      <c r="D202" s="13" t="s">
        <v>1028</v>
      </c>
      <c r="E202" s="24"/>
      <c r="F202" s="13" t="s">
        <v>133</v>
      </c>
      <c r="G202" s="16">
        <v>53.0</v>
      </c>
      <c r="I202" s="16" t="b">
        <v>0</v>
      </c>
      <c r="J202" s="16" t="s">
        <v>134</v>
      </c>
      <c r="N202" s="16" t="b">
        <v>1</v>
      </c>
      <c r="O202" s="16" t="s">
        <v>35</v>
      </c>
      <c r="R202" s="16" t="s">
        <v>1031</v>
      </c>
    </row>
    <row r="203" hidden="1">
      <c r="A203" s="13">
        <v>2199686.0</v>
      </c>
      <c r="B203" s="14">
        <v>46170.7309375</v>
      </c>
      <c r="C203" s="13" t="s">
        <v>101</v>
      </c>
      <c r="D203" s="13" t="s">
        <v>237</v>
      </c>
      <c r="E203" s="15"/>
      <c r="F203" s="13" t="s">
        <v>1033</v>
      </c>
      <c r="G203" s="16">
        <v>100.0</v>
      </c>
      <c r="I203" s="16" t="b">
        <v>0</v>
      </c>
      <c r="J203" s="16" t="s">
        <v>205</v>
      </c>
      <c r="K203" s="16" t="s">
        <v>117</v>
      </c>
      <c r="N203" s="16" t="b">
        <v>1</v>
      </c>
      <c r="O203" s="16" t="s">
        <v>35</v>
      </c>
      <c r="R203" s="16" t="s">
        <v>1034</v>
      </c>
    </row>
    <row r="204" hidden="1">
      <c r="A204" s="13">
        <v>2199981.0</v>
      </c>
      <c r="B204" s="14">
        <v>46170.858715277776</v>
      </c>
      <c r="C204" s="13" t="s">
        <v>101</v>
      </c>
      <c r="D204" s="13" t="s">
        <v>377</v>
      </c>
      <c r="E204" s="15"/>
      <c r="F204" s="13" t="s">
        <v>225</v>
      </c>
      <c r="G204" s="16">
        <v>26.4</v>
      </c>
      <c r="I204" s="16" t="b">
        <v>0</v>
      </c>
      <c r="J204" s="16" t="s">
        <v>116</v>
      </c>
      <c r="K204" s="16" t="s">
        <v>227</v>
      </c>
      <c r="N204" s="16" t="b">
        <v>1</v>
      </c>
      <c r="O204" s="16" t="s">
        <v>35</v>
      </c>
      <c r="R204" s="16" t="s">
        <v>1038</v>
      </c>
    </row>
    <row r="205" hidden="1">
      <c r="A205" s="13">
        <v>2200000.0</v>
      </c>
      <c r="B205" s="14">
        <v>46170.866585648146</v>
      </c>
      <c r="C205" s="13" t="s">
        <v>101</v>
      </c>
      <c r="D205" s="13" t="s">
        <v>473</v>
      </c>
      <c r="E205" s="15"/>
      <c r="F205" s="13" t="s">
        <v>600</v>
      </c>
      <c r="G205" s="16">
        <v>15.0</v>
      </c>
      <c r="I205" s="16" t="b">
        <v>0</v>
      </c>
      <c r="J205" s="16" t="s">
        <v>134</v>
      </c>
      <c r="N205" s="16" t="b">
        <v>1</v>
      </c>
      <c r="O205" s="16" t="s">
        <v>35</v>
      </c>
      <c r="R205" s="16" t="s">
        <v>1042</v>
      </c>
    </row>
    <row r="206" hidden="1">
      <c r="A206" s="13">
        <v>2201053.0</v>
      </c>
      <c r="B206" s="14">
        <v>46171.715092592596</v>
      </c>
      <c r="C206" s="13" t="s">
        <v>101</v>
      </c>
      <c r="D206" s="13" t="s">
        <v>1045</v>
      </c>
      <c r="E206" s="15"/>
      <c r="F206" s="13" t="s">
        <v>133</v>
      </c>
      <c r="G206" s="16">
        <v>91.0</v>
      </c>
      <c r="I206" s="16" t="b">
        <v>0</v>
      </c>
      <c r="J206" s="16" t="s">
        <v>134</v>
      </c>
      <c r="N206" s="16" t="b">
        <v>1</v>
      </c>
      <c r="O206" s="16" t="s">
        <v>35</v>
      </c>
      <c r="R206" s="16" t="s">
        <v>1050</v>
      </c>
    </row>
    <row r="207" hidden="1">
      <c r="A207" s="13">
        <v>2201306.0</v>
      </c>
      <c r="B207" s="14">
        <v>46171.81082175926</v>
      </c>
      <c r="C207" s="13" t="s">
        <v>101</v>
      </c>
      <c r="D207" s="13" t="s">
        <v>1051</v>
      </c>
      <c r="E207" s="15"/>
      <c r="F207" s="13" t="s">
        <v>325</v>
      </c>
      <c r="G207" s="16">
        <v>52.72</v>
      </c>
      <c r="I207" s="16" t="b">
        <v>0</v>
      </c>
      <c r="J207" s="16" t="s">
        <v>116</v>
      </c>
      <c r="K207" s="16" t="s">
        <v>117</v>
      </c>
      <c r="N207" s="16" t="b">
        <v>1</v>
      </c>
      <c r="O207" s="16" t="s">
        <v>35</v>
      </c>
      <c r="R207" s="16" t="s">
        <v>1053</v>
      </c>
    </row>
    <row r="208" hidden="1">
      <c r="A208" s="13">
        <v>2201379.0</v>
      </c>
      <c r="B208" s="14">
        <v>46171.84866898148</v>
      </c>
      <c r="C208" s="13" t="s">
        <v>139</v>
      </c>
      <c r="D208" s="13" t="s">
        <v>213</v>
      </c>
      <c r="E208" s="15"/>
      <c r="F208" s="13" t="s">
        <v>1056</v>
      </c>
      <c r="G208" s="16">
        <v>200.0</v>
      </c>
      <c r="I208" s="16" t="b">
        <v>0</v>
      </c>
      <c r="J208" s="16" t="s">
        <v>205</v>
      </c>
      <c r="K208" s="16" t="s">
        <v>218</v>
      </c>
      <c r="N208" s="16" t="b">
        <v>1</v>
      </c>
      <c r="O208" s="16" t="s">
        <v>35</v>
      </c>
      <c r="R208" s="16" t="s">
        <v>1060</v>
      </c>
    </row>
    <row r="209" hidden="1">
      <c r="A209" s="13">
        <v>2201381.0</v>
      </c>
      <c r="B209" s="14">
        <v>46171.849340277775</v>
      </c>
      <c r="C209" s="13" t="s">
        <v>101</v>
      </c>
      <c r="D209" s="13" t="s">
        <v>1062</v>
      </c>
      <c r="E209" s="15"/>
      <c r="F209" s="13" t="s">
        <v>282</v>
      </c>
      <c r="G209" s="16">
        <v>128.48</v>
      </c>
      <c r="I209" s="16" t="b">
        <v>0</v>
      </c>
      <c r="J209" s="16" t="s">
        <v>170</v>
      </c>
      <c r="N209" s="16" t="b">
        <v>1</v>
      </c>
      <c r="O209" s="16" t="s">
        <v>35</v>
      </c>
      <c r="R209" s="16" t="s">
        <v>1064</v>
      </c>
    </row>
    <row r="210" hidden="1">
      <c r="A210" s="13">
        <v>2201422.0</v>
      </c>
      <c r="B210" s="14">
        <v>46171.86678240741</v>
      </c>
      <c r="C210" s="13" t="s">
        <v>101</v>
      </c>
      <c r="D210" s="13" t="s">
        <v>718</v>
      </c>
      <c r="E210" s="15"/>
      <c r="F210" s="13" t="s">
        <v>574</v>
      </c>
      <c r="G210" s="16">
        <v>25.6</v>
      </c>
      <c r="I210" s="16" t="b">
        <v>0</v>
      </c>
      <c r="J210" s="16" t="s">
        <v>116</v>
      </c>
      <c r="K210" s="16" t="s">
        <v>218</v>
      </c>
      <c r="N210" s="16" t="b">
        <v>1</v>
      </c>
      <c r="O210" s="16" t="s">
        <v>35</v>
      </c>
      <c r="R210" s="16" t="s">
        <v>1066</v>
      </c>
    </row>
    <row r="211" hidden="1">
      <c r="A211" s="13">
        <v>2201423.0</v>
      </c>
      <c r="B211" s="14">
        <v>46171.86678240741</v>
      </c>
      <c r="C211" s="13" t="s">
        <v>101</v>
      </c>
      <c r="D211" s="13" t="s">
        <v>718</v>
      </c>
      <c r="E211" s="15"/>
      <c r="F211" s="13" t="s">
        <v>574</v>
      </c>
      <c r="G211" s="16">
        <v>32.0</v>
      </c>
      <c r="I211" s="16" t="b">
        <v>1</v>
      </c>
      <c r="J211" s="16" t="s">
        <v>655</v>
      </c>
      <c r="N211" s="16" t="b">
        <v>1</v>
      </c>
      <c r="O211" s="16" t="s">
        <v>35</v>
      </c>
      <c r="R211" s="16" t="s">
        <v>1068</v>
      </c>
    </row>
    <row r="212" hidden="1">
      <c r="A212" s="13">
        <v>2201455.0</v>
      </c>
      <c r="B212" s="14">
        <v>46171.88003472222</v>
      </c>
      <c r="C212" s="13" t="s">
        <v>139</v>
      </c>
      <c r="D212" s="13" t="s">
        <v>718</v>
      </c>
      <c r="E212" s="15"/>
      <c r="F212" s="13" t="s">
        <v>1070</v>
      </c>
      <c r="G212" s="16">
        <v>32.0</v>
      </c>
      <c r="I212" s="16" t="b">
        <v>1</v>
      </c>
      <c r="J212" s="16" t="s">
        <v>655</v>
      </c>
      <c r="N212" s="16" t="b">
        <v>1</v>
      </c>
      <c r="O212" s="16" t="s">
        <v>35</v>
      </c>
      <c r="R212" s="16" t="s">
        <v>1068</v>
      </c>
    </row>
    <row r="213" hidden="1">
      <c r="A213" s="13">
        <v>2201457.0</v>
      </c>
      <c r="B213" s="14">
        <v>46171.88037037037</v>
      </c>
      <c r="C213" s="13" t="s">
        <v>101</v>
      </c>
      <c r="D213" s="13" t="s">
        <v>213</v>
      </c>
      <c r="E213" s="15"/>
      <c r="F213" s="13" t="s">
        <v>239</v>
      </c>
      <c r="G213" s="16">
        <v>200.0</v>
      </c>
      <c r="I213" s="16" t="b">
        <v>0</v>
      </c>
      <c r="J213" s="16" t="s">
        <v>205</v>
      </c>
      <c r="K213" s="16" t="s">
        <v>218</v>
      </c>
      <c r="N213" s="16" t="b">
        <v>1</v>
      </c>
      <c r="O213" s="16" t="s">
        <v>35</v>
      </c>
      <c r="R213" s="16" t="s">
        <v>1060</v>
      </c>
    </row>
    <row r="214" hidden="1">
      <c r="A214" s="13">
        <v>2201458.0</v>
      </c>
      <c r="B214" s="14">
        <v>46171.880590277775</v>
      </c>
      <c r="C214" s="13" t="s">
        <v>101</v>
      </c>
      <c r="D214" s="13" t="s">
        <v>398</v>
      </c>
      <c r="E214" s="15"/>
      <c r="F214" s="13" t="s">
        <v>600</v>
      </c>
      <c r="G214" s="16">
        <v>12.0</v>
      </c>
      <c r="I214" s="16" t="b">
        <v>0</v>
      </c>
      <c r="J214" s="16" t="s">
        <v>134</v>
      </c>
      <c r="N214" s="16" t="b">
        <v>1</v>
      </c>
      <c r="O214" s="16" t="s">
        <v>35</v>
      </c>
      <c r="R214" s="16" t="s">
        <v>1078</v>
      </c>
    </row>
    <row r="215" hidden="1">
      <c r="A215" s="13">
        <v>2202986.0</v>
      </c>
      <c r="B215" s="14">
        <v>46172.851631944446</v>
      </c>
      <c r="C215" s="13" t="s">
        <v>139</v>
      </c>
      <c r="D215" s="13" t="s">
        <v>237</v>
      </c>
      <c r="E215" s="15"/>
      <c r="F215" s="13" t="s">
        <v>272</v>
      </c>
      <c r="G215" s="16">
        <v>100.0</v>
      </c>
      <c r="I215" s="16" t="b">
        <v>0</v>
      </c>
      <c r="J215" s="16" t="s">
        <v>144</v>
      </c>
      <c r="N215" s="16" t="b">
        <v>1</v>
      </c>
      <c r="O215" s="16" t="s">
        <v>35</v>
      </c>
      <c r="R215" s="16" t="s">
        <v>1084</v>
      </c>
    </row>
    <row r="216" hidden="1">
      <c r="A216" s="13">
        <v>2203031.0</v>
      </c>
      <c r="B216" s="14">
        <v>46172.86697916667</v>
      </c>
      <c r="C216" s="13" t="s">
        <v>101</v>
      </c>
      <c r="D216" s="13" t="s">
        <v>1086</v>
      </c>
      <c r="E216" s="15"/>
      <c r="F216" s="13" t="s">
        <v>334</v>
      </c>
      <c r="G216" s="16">
        <v>10.0</v>
      </c>
      <c r="I216" s="16" t="b">
        <v>0</v>
      </c>
      <c r="J216" s="16" t="s">
        <v>116</v>
      </c>
      <c r="K216" s="16" t="s">
        <v>336</v>
      </c>
      <c r="N216" s="16" t="b">
        <v>1</v>
      </c>
      <c r="O216" s="16" t="s">
        <v>35</v>
      </c>
      <c r="R216" s="16" t="s">
        <v>1088</v>
      </c>
    </row>
    <row r="217" hidden="1">
      <c r="A217" s="13">
        <v>2203086.0</v>
      </c>
      <c r="B217" s="14">
        <v>46172.87908564815</v>
      </c>
      <c r="C217" s="13" t="s">
        <v>101</v>
      </c>
      <c r="D217" s="13" t="s">
        <v>121</v>
      </c>
      <c r="E217" s="15"/>
      <c r="F217" s="13" t="s">
        <v>1090</v>
      </c>
      <c r="G217" s="16">
        <v>135.0</v>
      </c>
      <c r="I217" s="16" t="b">
        <v>0</v>
      </c>
      <c r="J217" s="16" t="s">
        <v>126</v>
      </c>
      <c r="N217" s="16" t="b">
        <v>1</v>
      </c>
      <c r="O217" s="16" t="s">
        <v>35</v>
      </c>
      <c r="R217" s="16" t="s">
        <v>1093</v>
      </c>
    </row>
    <row r="218" hidden="1">
      <c r="A218" s="13">
        <v>2203087.0</v>
      </c>
      <c r="B218" s="14">
        <v>46172.879212962966</v>
      </c>
      <c r="C218" s="13" t="s">
        <v>101</v>
      </c>
      <c r="D218" s="13" t="s">
        <v>1094</v>
      </c>
      <c r="E218" s="15"/>
      <c r="F218" s="13" t="s">
        <v>512</v>
      </c>
      <c r="G218" s="16">
        <v>181.0</v>
      </c>
      <c r="I218" s="16" t="b">
        <v>0</v>
      </c>
      <c r="J218" s="16" t="s">
        <v>134</v>
      </c>
      <c r="N218" s="16" t="b">
        <v>1</v>
      </c>
      <c r="O218" s="16" t="s">
        <v>35</v>
      </c>
      <c r="R218" s="16" t="s">
        <v>1096</v>
      </c>
    </row>
    <row r="219" hidden="1">
      <c r="A219" s="13">
        <v>2203093.0</v>
      </c>
      <c r="B219" s="14">
        <v>46172.88056712963</v>
      </c>
      <c r="C219" s="13" t="s">
        <v>101</v>
      </c>
      <c r="D219" s="13" t="s">
        <v>1097</v>
      </c>
      <c r="E219" s="15"/>
      <c r="F219" s="13" t="s">
        <v>732</v>
      </c>
      <c r="G219" s="16">
        <v>450.0</v>
      </c>
      <c r="I219" s="16" t="b">
        <v>0</v>
      </c>
      <c r="J219" s="16" t="s">
        <v>205</v>
      </c>
      <c r="K219" s="16" t="s">
        <v>336</v>
      </c>
      <c r="N219" s="16" t="b">
        <v>1</v>
      </c>
      <c r="O219" s="16" t="s">
        <v>35</v>
      </c>
      <c r="R219" s="16" t="s">
        <v>1101</v>
      </c>
    </row>
    <row r="220" hidden="1">
      <c r="A220" s="13">
        <v>2205065.0</v>
      </c>
      <c r="B220" s="14">
        <v>46173.86530092593</v>
      </c>
      <c r="C220" s="13" t="s">
        <v>101</v>
      </c>
      <c r="D220" s="13" t="s">
        <v>1102</v>
      </c>
      <c r="E220" s="15"/>
      <c r="F220" s="13" t="s">
        <v>1104</v>
      </c>
      <c r="G220" s="16">
        <v>216.0</v>
      </c>
      <c r="I220" s="16" t="b">
        <v>0</v>
      </c>
      <c r="J220" s="16" t="s">
        <v>134</v>
      </c>
      <c r="N220" s="16" t="b">
        <v>1</v>
      </c>
      <c r="O220" s="16" t="s">
        <v>35</v>
      </c>
      <c r="R220" s="16" t="s">
        <v>1105</v>
      </c>
    </row>
    <row r="221" hidden="1">
      <c r="A221" s="13">
        <v>2205066.0</v>
      </c>
      <c r="B221" s="14">
        <v>46173.86546296296</v>
      </c>
      <c r="C221" s="13" t="s">
        <v>101</v>
      </c>
      <c r="D221" s="13" t="s">
        <v>121</v>
      </c>
      <c r="E221" s="15"/>
      <c r="F221" s="13" t="s">
        <v>124</v>
      </c>
      <c r="G221" s="16">
        <v>135.0</v>
      </c>
      <c r="I221" s="16" t="b">
        <v>0</v>
      </c>
      <c r="J221" s="16" t="s">
        <v>126</v>
      </c>
      <c r="N221" s="16" t="b">
        <v>1</v>
      </c>
      <c r="O221" s="16" t="s">
        <v>35</v>
      </c>
      <c r="R221" s="16" t="s">
        <v>1107</v>
      </c>
    </row>
    <row r="222" hidden="1">
      <c r="A222" s="13">
        <v>2205067.0</v>
      </c>
      <c r="B222" s="14">
        <v>46173.86561342593</v>
      </c>
      <c r="C222" s="13" t="s">
        <v>101</v>
      </c>
      <c r="D222" s="13" t="s">
        <v>121</v>
      </c>
      <c r="E222" s="15"/>
      <c r="F222" s="13" t="s">
        <v>1109</v>
      </c>
      <c r="G222" s="16">
        <v>135.0</v>
      </c>
      <c r="I222" s="16" t="b">
        <v>0</v>
      </c>
      <c r="J222" s="16" t="s">
        <v>126</v>
      </c>
      <c r="N222" s="16" t="b">
        <v>1</v>
      </c>
      <c r="O222" s="16" t="s">
        <v>35</v>
      </c>
      <c r="R222" s="16" t="s">
        <v>1107</v>
      </c>
    </row>
    <row r="223" hidden="1">
      <c r="A223" s="13">
        <v>2205122.0</v>
      </c>
      <c r="B223" s="14">
        <v>46173.87479166667</v>
      </c>
      <c r="C223" s="13" t="s">
        <v>101</v>
      </c>
      <c r="D223" s="13" t="s">
        <v>804</v>
      </c>
      <c r="E223" s="15"/>
      <c r="F223" s="13" t="s">
        <v>1111</v>
      </c>
      <c r="G223" s="16">
        <v>500.0</v>
      </c>
      <c r="I223" s="16" t="b">
        <v>0</v>
      </c>
      <c r="J223" s="16" t="s">
        <v>205</v>
      </c>
      <c r="K223" s="16" t="s">
        <v>117</v>
      </c>
      <c r="N223" s="16" t="b">
        <v>1</v>
      </c>
      <c r="O223" s="16" t="s">
        <v>35</v>
      </c>
      <c r="R223" s="16" t="s">
        <v>1112</v>
      </c>
    </row>
    <row r="224" hidden="1">
      <c r="A224" s="13">
        <v>2206425.0</v>
      </c>
      <c r="B224" s="14">
        <v>46174.65534722222</v>
      </c>
      <c r="C224" s="13" t="s">
        <v>139</v>
      </c>
      <c r="D224" s="13" t="s">
        <v>1114</v>
      </c>
      <c r="E224" s="15"/>
      <c r="F224" s="13" t="s">
        <v>788</v>
      </c>
      <c r="G224" s="16">
        <v>68.6</v>
      </c>
      <c r="I224" s="16" t="b">
        <v>0</v>
      </c>
      <c r="J224" s="16" t="s">
        <v>144</v>
      </c>
      <c r="N224" s="16" t="b">
        <v>1</v>
      </c>
      <c r="O224" s="16" t="s">
        <v>35</v>
      </c>
      <c r="R224" s="16" t="s">
        <v>1118</v>
      </c>
    </row>
    <row r="225" hidden="1">
      <c r="A225" s="13">
        <v>2206636.0</v>
      </c>
      <c r="B225" s="14">
        <v>46174.71759259259</v>
      </c>
      <c r="C225" s="13" t="s">
        <v>101</v>
      </c>
      <c r="D225" s="13" t="s">
        <v>637</v>
      </c>
      <c r="E225" s="15"/>
      <c r="F225" s="13" t="s">
        <v>133</v>
      </c>
      <c r="G225" s="16">
        <v>41.0</v>
      </c>
      <c r="I225" s="16" t="b">
        <v>0</v>
      </c>
      <c r="J225" s="16" t="s">
        <v>134</v>
      </c>
      <c r="N225" s="16" t="b">
        <v>1</v>
      </c>
      <c r="O225" s="16" t="s">
        <v>35</v>
      </c>
      <c r="R225" s="16" t="s">
        <v>1119</v>
      </c>
    </row>
    <row r="226" hidden="1">
      <c r="A226" s="13">
        <v>2206712.0</v>
      </c>
      <c r="B226" s="14">
        <v>46174.738703703704</v>
      </c>
      <c r="C226" s="13" t="s">
        <v>101</v>
      </c>
      <c r="D226" s="13" t="s">
        <v>256</v>
      </c>
      <c r="E226" s="15"/>
      <c r="F226" s="13" t="s">
        <v>1122</v>
      </c>
      <c r="G226" s="16">
        <v>300.0</v>
      </c>
      <c r="I226" s="16" t="b">
        <v>0</v>
      </c>
      <c r="J226" s="16" t="s">
        <v>205</v>
      </c>
      <c r="K226" s="16" t="s">
        <v>117</v>
      </c>
      <c r="N226" s="16" t="b">
        <v>1</v>
      </c>
      <c r="O226" s="16" t="s">
        <v>35</v>
      </c>
      <c r="R226" s="16" t="s">
        <v>1125</v>
      </c>
    </row>
    <row r="227" hidden="1">
      <c r="A227" s="13">
        <v>2207052.0</v>
      </c>
      <c r="B227" s="14">
        <v>46174.871354166666</v>
      </c>
      <c r="C227" s="13" t="s">
        <v>101</v>
      </c>
      <c r="D227" s="13" t="s">
        <v>223</v>
      </c>
      <c r="E227" s="15"/>
      <c r="F227" s="13" t="s">
        <v>334</v>
      </c>
      <c r="G227" s="16">
        <v>44.0</v>
      </c>
      <c r="I227" s="16" t="b">
        <v>0</v>
      </c>
      <c r="J227" s="16" t="s">
        <v>116</v>
      </c>
      <c r="K227" s="16" t="s">
        <v>336</v>
      </c>
      <c r="N227" s="16" t="b">
        <v>1</v>
      </c>
      <c r="O227" s="16" t="s">
        <v>35</v>
      </c>
      <c r="R227" s="16" t="s">
        <v>1128</v>
      </c>
    </row>
    <row r="228" hidden="1">
      <c r="A228" s="13">
        <v>2207055.0</v>
      </c>
      <c r="B228" s="14">
        <v>46174.873344907406</v>
      </c>
      <c r="C228" s="13" t="s">
        <v>101</v>
      </c>
      <c r="D228" s="13" t="s">
        <v>256</v>
      </c>
      <c r="E228" s="15"/>
      <c r="F228" s="13" t="s">
        <v>1132</v>
      </c>
      <c r="G228" s="16">
        <v>300.0</v>
      </c>
      <c r="I228" s="16" t="b">
        <v>0</v>
      </c>
      <c r="J228" s="16" t="s">
        <v>205</v>
      </c>
      <c r="K228" s="16" t="s">
        <v>218</v>
      </c>
      <c r="N228" s="16" t="b">
        <v>1</v>
      </c>
      <c r="O228" s="16" t="s">
        <v>35</v>
      </c>
      <c r="R228" s="16" t="s">
        <v>1134</v>
      </c>
    </row>
    <row r="229" hidden="1">
      <c r="A229" s="13">
        <v>2208124.0</v>
      </c>
      <c r="B229" s="14">
        <v>46175.732939814814</v>
      </c>
      <c r="C229" s="13" t="s">
        <v>101</v>
      </c>
      <c r="D229" s="13" t="s">
        <v>398</v>
      </c>
      <c r="E229" s="15"/>
      <c r="F229" s="13" t="s">
        <v>629</v>
      </c>
      <c r="G229" s="16">
        <v>12.0</v>
      </c>
      <c r="I229" s="16" t="b">
        <v>0</v>
      </c>
      <c r="J229" s="16" t="s">
        <v>134</v>
      </c>
      <c r="N229" s="16" t="b">
        <v>1</v>
      </c>
      <c r="O229" s="16" t="s">
        <v>35</v>
      </c>
      <c r="R229" s="16" t="s">
        <v>1137</v>
      </c>
    </row>
    <row r="230" hidden="1">
      <c r="A230" s="13">
        <v>2208133.0</v>
      </c>
      <c r="B230" s="14">
        <v>46175.73640046296</v>
      </c>
      <c r="C230" s="13" t="s">
        <v>101</v>
      </c>
      <c r="D230" s="13" t="s">
        <v>256</v>
      </c>
      <c r="E230" s="15"/>
      <c r="F230" s="13" t="s">
        <v>1141</v>
      </c>
      <c r="G230" s="16">
        <v>300.0</v>
      </c>
      <c r="I230" s="16" t="b">
        <v>0</v>
      </c>
      <c r="J230" s="16" t="s">
        <v>205</v>
      </c>
      <c r="K230" s="16" t="s">
        <v>117</v>
      </c>
      <c r="N230" s="16" t="b">
        <v>1</v>
      </c>
      <c r="O230" s="16" t="s">
        <v>35</v>
      </c>
      <c r="R230" s="16" t="s">
        <v>1142</v>
      </c>
    </row>
    <row r="231" hidden="1">
      <c r="A231" s="13">
        <v>2208312.0</v>
      </c>
      <c r="B231" s="14">
        <v>46175.81476851852</v>
      </c>
      <c r="C231" s="13" t="s">
        <v>139</v>
      </c>
      <c r="D231" s="13" t="s">
        <v>804</v>
      </c>
      <c r="E231" s="15"/>
      <c r="F231" s="13" t="s">
        <v>1144</v>
      </c>
      <c r="G231" s="16">
        <v>500.0</v>
      </c>
      <c r="I231" s="16" t="b">
        <v>0</v>
      </c>
      <c r="J231" s="16" t="s">
        <v>205</v>
      </c>
      <c r="K231" s="16" t="s">
        <v>117</v>
      </c>
      <c r="N231" s="16" t="b">
        <v>1</v>
      </c>
      <c r="O231" s="16" t="s">
        <v>35</v>
      </c>
      <c r="R231" s="16" t="s">
        <v>1147</v>
      </c>
    </row>
    <row r="232" hidden="1">
      <c r="A232" s="13">
        <v>2208315.0</v>
      </c>
      <c r="B232" s="14">
        <v>46175.81537037037</v>
      </c>
      <c r="C232" s="13" t="s">
        <v>101</v>
      </c>
      <c r="D232" s="13" t="s">
        <v>213</v>
      </c>
      <c r="E232" s="15"/>
      <c r="F232" s="13" t="s">
        <v>425</v>
      </c>
      <c r="G232" s="16">
        <v>200.0</v>
      </c>
      <c r="I232" s="16" t="b">
        <v>0</v>
      </c>
      <c r="J232" s="16" t="s">
        <v>144</v>
      </c>
      <c r="N232" s="16" t="b">
        <v>1</v>
      </c>
      <c r="O232" s="16" t="s">
        <v>35</v>
      </c>
      <c r="R232" s="16" t="s">
        <v>1149</v>
      </c>
    </row>
    <row r="233" hidden="1">
      <c r="A233" s="13">
        <v>2208316.0</v>
      </c>
      <c r="B233" s="14">
        <v>46175.81565972222</v>
      </c>
      <c r="C233" s="13" t="s">
        <v>101</v>
      </c>
      <c r="D233" s="13" t="s">
        <v>1151</v>
      </c>
      <c r="E233" s="15"/>
      <c r="F233" s="13" t="s">
        <v>1153</v>
      </c>
      <c r="G233" s="16">
        <v>26.46</v>
      </c>
      <c r="I233" s="16" t="b">
        <v>0</v>
      </c>
      <c r="J233" s="16" t="s">
        <v>170</v>
      </c>
      <c r="M233" s="16" t="s">
        <v>1154</v>
      </c>
      <c r="N233" s="16" t="b">
        <v>1</v>
      </c>
      <c r="O233" s="16" t="s">
        <v>35</v>
      </c>
      <c r="R233" s="16" t="s">
        <v>1155</v>
      </c>
    </row>
    <row r="234" hidden="1">
      <c r="A234" s="13">
        <v>2208454.0</v>
      </c>
      <c r="B234" s="14">
        <v>46175.87563657408</v>
      </c>
      <c r="C234" s="13" t="s">
        <v>101</v>
      </c>
      <c r="D234" s="13" t="s">
        <v>161</v>
      </c>
      <c r="E234" s="15"/>
      <c r="F234" s="13" t="s">
        <v>334</v>
      </c>
      <c r="G234" s="16">
        <v>60.0</v>
      </c>
      <c r="I234" s="16" t="b">
        <v>1</v>
      </c>
      <c r="J234" s="16" t="s">
        <v>655</v>
      </c>
      <c r="N234" s="16" t="b">
        <v>1</v>
      </c>
      <c r="O234" s="16" t="s">
        <v>35</v>
      </c>
      <c r="R234" s="16" t="s">
        <v>1158</v>
      </c>
    </row>
    <row r="235" hidden="1">
      <c r="A235" s="13">
        <v>2208455.0</v>
      </c>
      <c r="B235" s="14">
        <v>46175.87563657408</v>
      </c>
      <c r="C235" s="13" t="s">
        <v>101</v>
      </c>
      <c r="D235" s="13" t="s">
        <v>161</v>
      </c>
      <c r="E235" s="15"/>
      <c r="F235" s="13" t="s">
        <v>334</v>
      </c>
      <c r="G235" s="16">
        <v>48.0</v>
      </c>
      <c r="I235" s="16" t="b">
        <v>0</v>
      </c>
      <c r="J235" s="16" t="s">
        <v>116</v>
      </c>
      <c r="K235" s="16" t="s">
        <v>336</v>
      </c>
      <c r="N235" s="16" t="b">
        <v>1</v>
      </c>
      <c r="O235" s="16" t="s">
        <v>35</v>
      </c>
      <c r="R235" s="16" t="s">
        <v>1162</v>
      </c>
    </row>
    <row r="236" hidden="1">
      <c r="A236" s="13">
        <v>2208467.0</v>
      </c>
      <c r="B236" s="14">
        <v>46175.87981481481</v>
      </c>
      <c r="C236" s="13" t="s">
        <v>101</v>
      </c>
      <c r="D236" s="13" t="s">
        <v>306</v>
      </c>
      <c r="E236" s="15"/>
      <c r="F236" s="13" t="s">
        <v>600</v>
      </c>
      <c r="G236" s="16">
        <v>22.0</v>
      </c>
      <c r="I236" s="16" t="b">
        <v>0</v>
      </c>
      <c r="J236" s="16" t="s">
        <v>134</v>
      </c>
      <c r="N236" s="16" t="b">
        <v>1</v>
      </c>
      <c r="O236" s="16" t="s">
        <v>35</v>
      </c>
      <c r="R236" s="16" t="s">
        <v>1165</v>
      </c>
    </row>
    <row r="237" hidden="1">
      <c r="A237" s="13">
        <v>2208472.0</v>
      </c>
      <c r="B237" s="14">
        <v>46175.88123842593</v>
      </c>
      <c r="C237" s="13" t="s">
        <v>101</v>
      </c>
      <c r="D237" s="13" t="s">
        <v>804</v>
      </c>
      <c r="E237" s="15"/>
      <c r="F237" s="13" t="s">
        <v>1167</v>
      </c>
      <c r="G237" s="16">
        <v>500.0</v>
      </c>
      <c r="I237" s="16" t="b">
        <v>0</v>
      </c>
      <c r="J237" s="16" t="s">
        <v>205</v>
      </c>
      <c r="K237" s="16" t="s">
        <v>218</v>
      </c>
      <c r="N237" s="16" t="b">
        <v>1</v>
      </c>
      <c r="O237" s="16" t="s">
        <v>35</v>
      </c>
      <c r="R237" s="16" t="s">
        <v>1169</v>
      </c>
    </row>
    <row r="238" hidden="1">
      <c r="A238" s="13">
        <v>2208484.0</v>
      </c>
      <c r="B238" s="14">
        <v>46175.88450231482</v>
      </c>
      <c r="C238" s="13" t="s">
        <v>139</v>
      </c>
      <c r="D238" s="13" t="s">
        <v>161</v>
      </c>
      <c r="E238" s="15"/>
      <c r="F238" s="13" t="s">
        <v>1171</v>
      </c>
      <c r="G238" s="16">
        <v>60.0</v>
      </c>
      <c r="I238" s="16" t="b">
        <v>1</v>
      </c>
      <c r="J238" s="16" t="s">
        <v>655</v>
      </c>
      <c r="N238" s="16" t="b">
        <v>1</v>
      </c>
      <c r="O238" s="16" t="s">
        <v>35</v>
      </c>
      <c r="R238" s="16" t="s">
        <v>1158</v>
      </c>
    </row>
    <row r="239" hidden="1">
      <c r="A239" s="13">
        <v>2209420.0</v>
      </c>
      <c r="B239" s="14">
        <v>46176.70412037037</v>
      </c>
      <c r="C239" s="13" t="s">
        <v>101</v>
      </c>
      <c r="D239" s="13" t="s">
        <v>288</v>
      </c>
      <c r="E239" s="15"/>
      <c r="F239" s="13" t="s">
        <v>133</v>
      </c>
      <c r="G239" s="16">
        <v>23.0</v>
      </c>
      <c r="I239" s="16" t="b">
        <v>0</v>
      </c>
      <c r="J239" s="16" t="s">
        <v>134</v>
      </c>
      <c r="N239" s="16" t="b">
        <v>1</v>
      </c>
      <c r="O239" s="16" t="s">
        <v>35</v>
      </c>
      <c r="R239" s="16" t="s">
        <v>1174</v>
      </c>
    </row>
    <row r="240" hidden="1">
      <c r="A240" s="13">
        <v>2209444.0</v>
      </c>
      <c r="B240" s="14">
        <v>46176.71107638889</v>
      </c>
      <c r="C240" s="13" t="s">
        <v>101</v>
      </c>
      <c r="D240" s="13" t="s">
        <v>231</v>
      </c>
      <c r="E240" s="15"/>
      <c r="F240" s="13" t="s">
        <v>629</v>
      </c>
      <c r="G240" s="16">
        <v>10.0</v>
      </c>
      <c r="I240" s="16" t="b">
        <v>0</v>
      </c>
      <c r="J240" s="16" t="s">
        <v>134</v>
      </c>
      <c r="N240" s="16" t="b">
        <v>1</v>
      </c>
      <c r="O240" s="16" t="s">
        <v>35</v>
      </c>
      <c r="R240" s="16" t="s">
        <v>1178</v>
      </c>
    </row>
    <row r="241" hidden="1">
      <c r="A241" s="13">
        <v>2209520.0</v>
      </c>
      <c r="B241" s="14">
        <v>46176.73149305556</v>
      </c>
      <c r="C241" s="13" t="s">
        <v>101</v>
      </c>
      <c r="D241" s="13" t="s">
        <v>237</v>
      </c>
      <c r="E241" s="15"/>
      <c r="F241" s="13" t="s">
        <v>1179</v>
      </c>
      <c r="G241" s="16">
        <v>100.0</v>
      </c>
      <c r="I241" s="16" t="b">
        <v>0</v>
      </c>
      <c r="J241" s="16" t="s">
        <v>205</v>
      </c>
      <c r="K241" s="16" t="s">
        <v>117</v>
      </c>
      <c r="N241" s="16" t="b">
        <v>1</v>
      </c>
      <c r="O241" s="16" t="s">
        <v>35</v>
      </c>
      <c r="R241" s="16" t="s">
        <v>1180</v>
      </c>
    </row>
    <row r="242" hidden="1">
      <c r="A242" s="13">
        <v>2209529.0</v>
      </c>
      <c r="B242" s="14">
        <v>46176.73363425926</v>
      </c>
      <c r="C242" s="13" t="s">
        <v>139</v>
      </c>
      <c r="D242" s="13" t="s">
        <v>237</v>
      </c>
      <c r="E242" s="15"/>
      <c r="F242" s="13" t="s">
        <v>272</v>
      </c>
      <c r="G242" s="16">
        <v>100.0</v>
      </c>
      <c r="I242" s="16" t="b">
        <v>0</v>
      </c>
      <c r="J242" s="16" t="s">
        <v>144</v>
      </c>
      <c r="N242" s="16" t="b">
        <v>1</v>
      </c>
      <c r="O242" s="16" t="s">
        <v>35</v>
      </c>
      <c r="R242" s="16" t="s">
        <v>1185</v>
      </c>
    </row>
    <row r="243" hidden="1">
      <c r="A243" s="13">
        <v>2209877.0</v>
      </c>
      <c r="B243" s="14">
        <v>46176.872465277775</v>
      </c>
      <c r="C243" s="13" t="s">
        <v>101</v>
      </c>
      <c r="D243" s="13" t="s">
        <v>213</v>
      </c>
      <c r="E243" s="15"/>
      <c r="F243" s="13" t="s">
        <v>239</v>
      </c>
      <c r="G243" s="16">
        <v>200.0</v>
      </c>
      <c r="I243" s="16" t="b">
        <v>0</v>
      </c>
      <c r="J243" s="16" t="s">
        <v>205</v>
      </c>
      <c r="K243" s="16" t="s">
        <v>218</v>
      </c>
      <c r="N243" s="16" t="b">
        <v>1</v>
      </c>
      <c r="O243" s="16" t="s">
        <v>35</v>
      </c>
      <c r="R243" s="16" t="s">
        <v>1187</v>
      </c>
    </row>
    <row r="244" hidden="1">
      <c r="A244" s="13">
        <v>2209878.0</v>
      </c>
      <c r="B244" s="14">
        <v>46176.87260416667</v>
      </c>
      <c r="C244" s="13" t="s">
        <v>101</v>
      </c>
      <c r="D244" s="13" t="s">
        <v>428</v>
      </c>
      <c r="E244" s="15"/>
      <c r="F244" s="13" t="s">
        <v>600</v>
      </c>
      <c r="G244" s="16">
        <v>35.0</v>
      </c>
      <c r="I244" s="16" t="b">
        <v>0</v>
      </c>
      <c r="J244" s="16" t="s">
        <v>134</v>
      </c>
      <c r="N244" s="16" t="b">
        <v>1</v>
      </c>
      <c r="O244" s="16" t="s">
        <v>35</v>
      </c>
      <c r="R244" s="16" t="s">
        <v>1192</v>
      </c>
    </row>
    <row r="245" hidden="1">
      <c r="A245" s="13">
        <v>2211062.0</v>
      </c>
      <c r="B245" s="14">
        <v>46177.75140046296</v>
      </c>
      <c r="C245" s="13" t="s">
        <v>101</v>
      </c>
      <c r="D245" s="13" t="s">
        <v>1193</v>
      </c>
      <c r="E245" s="15"/>
      <c r="F245" s="13" t="s">
        <v>133</v>
      </c>
      <c r="G245" s="16">
        <v>101.0</v>
      </c>
      <c r="I245" s="16" t="b">
        <v>0</v>
      </c>
      <c r="J245" s="16" t="s">
        <v>134</v>
      </c>
      <c r="N245" s="16" t="b">
        <v>1</v>
      </c>
      <c r="O245" s="16" t="s">
        <v>35</v>
      </c>
      <c r="R245" s="16" t="s">
        <v>1196</v>
      </c>
    </row>
    <row r="246" hidden="1">
      <c r="A246" s="13">
        <v>2211140.0</v>
      </c>
      <c r="B246" s="14">
        <v>46177.770682870374</v>
      </c>
      <c r="C246" s="13" t="s">
        <v>101</v>
      </c>
      <c r="D246" s="13" t="s">
        <v>213</v>
      </c>
      <c r="E246" s="15"/>
      <c r="F246" s="13" t="s">
        <v>1199</v>
      </c>
      <c r="G246" s="16">
        <v>200.0</v>
      </c>
      <c r="I246" s="16" t="b">
        <v>0</v>
      </c>
      <c r="J246" s="16" t="s">
        <v>205</v>
      </c>
      <c r="K246" s="16" t="s">
        <v>117</v>
      </c>
      <c r="N246" s="16" t="b">
        <v>1</v>
      </c>
      <c r="O246" s="16" t="s">
        <v>35</v>
      </c>
      <c r="R246" s="16" t="s">
        <v>1202</v>
      </c>
    </row>
    <row r="247" hidden="1">
      <c r="A247" s="13">
        <v>2211377.0</v>
      </c>
      <c r="B247" s="14">
        <v>46177.84003472222</v>
      </c>
      <c r="C247" s="13" t="s">
        <v>101</v>
      </c>
      <c r="D247" s="13" t="s">
        <v>473</v>
      </c>
      <c r="E247" s="15"/>
      <c r="F247" s="13" t="s">
        <v>1203</v>
      </c>
      <c r="G247" s="16">
        <v>15.0</v>
      </c>
      <c r="I247" s="16" t="b">
        <v>0</v>
      </c>
      <c r="J247" s="16" t="s">
        <v>170</v>
      </c>
      <c r="M247" s="16" t="s">
        <v>1204</v>
      </c>
      <c r="N247" s="16" t="b">
        <v>1</v>
      </c>
      <c r="O247" s="16" t="s">
        <v>35</v>
      </c>
      <c r="R247" s="16" t="s">
        <v>1206</v>
      </c>
    </row>
    <row r="248" hidden="1">
      <c r="A248" s="13">
        <v>2211490.0</v>
      </c>
      <c r="B248" s="14">
        <v>46177.86934027778</v>
      </c>
      <c r="C248" s="13" t="s">
        <v>101</v>
      </c>
      <c r="D248" s="13" t="s">
        <v>1208</v>
      </c>
      <c r="E248" s="24"/>
      <c r="F248" s="13" t="s">
        <v>600</v>
      </c>
      <c r="G248" s="16">
        <v>98.0</v>
      </c>
      <c r="I248" s="16" t="b">
        <v>0</v>
      </c>
      <c r="J248" s="16" t="s">
        <v>134</v>
      </c>
      <c r="N248" s="16" t="b">
        <v>1</v>
      </c>
      <c r="O248" s="16" t="s">
        <v>35</v>
      </c>
      <c r="R248" s="16" t="s">
        <v>1210</v>
      </c>
    </row>
    <row r="249" hidden="1">
      <c r="A249" s="13">
        <v>2211557.0</v>
      </c>
      <c r="B249" s="14">
        <v>46177.881053240744</v>
      </c>
      <c r="C249" s="13" t="s">
        <v>101</v>
      </c>
      <c r="D249" s="13" t="s">
        <v>237</v>
      </c>
      <c r="E249" s="15"/>
      <c r="F249" s="13" t="s">
        <v>1211</v>
      </c>
      <c r="G249" s="16">
        <v>100.0</v>
      </c>
      <c r="I249" s="16" t="b">
        <v>0</v>
      </c>
      <c r="J249" s="16" t="s">
        <v>205</v>
      </c>
      <c r="K249" s="16" t="s">
        <v>218</v>
      </c>
      <c r="N249" s="16" t="b">
        <v>1</v>
      </c>
      <c r="O249" s="16" t="s">
        <v>35</v>
      </c>
      <c r="R249" s="16" t="s">
        <v>1213</v>
      </c>
    </row>
    <row r="250" hidden="1">
      <c r="A250" s="13">
        <v>2213306.0</v>
      </c>
      <c r="B250" s="14">
        <v>46178.80594907407</v>
      </c>
      <c r="C250" s="13" t="s">
        <v>101</v>
      </c>
      <c r="D250" s="13" t="s">
        <v>1215</v>
      </c>
      <c r="E250" s="15"/>
      <c r="F250" s="13" t="s">
        <v>537</v>
      </c>
      <c r="G250" s="16">
        <v>72.8</v>
      </c>
      <c r="I250" s="16" t="b">
        <v>0</v>
      </c>
      <c r="J250" s="16" t="s">
        <v>170</v>
      </c>
      <c r="M250" s="16" t="s">
        <v>1217</v>
      </c>
      <c r="N250" s="16" t="b">
        <v>1</v>
      </c>
      <c r="O250" s="16" t="s">
        <v>35</v>
      </c>
      <c r="R250" s="16" t="s">
        <v>1218</v>
      </c>
    </row>
    <row r="251" hidden="1">
      <c r="A251" s="13">
        <v>2213338.0</v>
      </c>
      <c r="B251" s="14">
        <v>46178.811898148146</v>
      </c>
      <c r="C251" s="13" t="s">
        <v>101</v>
      </c>
      <c r="D251" s="13" t="s">
        <v>1219</v>
      </c>
      <c r="E251" s="15"/>
      <c r="F251" s="13" t="s">
        <v>1221</v>
      </c>
      <c r="G251" s="16">
        <v>400.0</v>
      </c>
      <c r="I251" s="16" t="b">
        <v>0</v>
      </c>
      <c r="J251" s="16" t="s">
        <v>205</v>
      </c>
      <c r="K251" s="16" t="s">
        <v>117</v>
      </c>
      <c r="N251" s="16" t="b">
        <v>1</v>
      </c>
      <c r="O251" s="16" t="s">
        <v>35</v>
      </c>
      <c r="R251" s="16" t="s">
        <v>1223</v>
      </c>
    </row>
    <row r="252" hidden="1">
      <c r="A252" s="13">
        <v>2213343.0</v>
      </c>
      <c r="B252" s="14">
        <v>46178.81398148148</v>
      </c>
      <c r="C252" s="13" t="s">
        <v>101</v>
      </c>
      <c r="D252" s="13" t="s">
        <v>885</v>
      </c>
      <c r="E252" s="15"/>
      <c r="F252" s="13" t="s">
        <v>133</v>
      </c>
      <c r="G252" s="16">
        <v>81.0</v>
      </c>
      <c r="I252" s="16" t="b">
        <v>0</v>
      </c>
      <c r="J252" s="16" t="s">
        <v>134</v>
      </c>
      <c r="N252" s="16" t="b">
        <v>1</v>
      </c>
      <c r="O252" s="16" t="s">
        <v>35</v>
      </c>
      <c r="R252" s="16" t="s">
        <v>1226</v>
      </c>
    </row>
    <row r="253" hidden="1">
      <c r="A253" s="13">
        <v>2213466.0</v>
      </c>
      <c r="B253" s="14">
        <v>46178.86237268519</v>
      </c>
      <c r="C253" s="13" t="s">
        <v>139</v>
      </c>
      <c r="D253" s="13" t="s">
        <v>141</v>
      </c>
      <c r="E253" s="15"/>
      <c r="F253" s="13" t="s">
        <v>272</v>
      </c>
      <c r="G253" s="16">
        <v>50.0</v>
      </c>
      <c r="I253" s="16" t="b">
        <v>0</v>
      </c>
      <c r="J253" s="16" t="s">
        <v>144</v>
      </c>
      <c r="N253" s="16" t="b">
        <v>1</v>
      </c>
      <c r="O253" s="16" t="s">
        <v>35</v>
      </c>
      <c r="R253" s="16" t="s">
        <v>1230</v>
      </c>
    </row>
    <row r="254" hidden="1">
      <c r="A254" s="13">
        <v>2213497.0</v>
      </c>
      <c r="B254" s="14">
        <v>46178.87210648148</v>
      </c>
      <c r="C254" s="13" t="s">
        <v>101</v>
      </c>
      <c r="D254" s="13" t="s">
        <v>231</v>
      </c>
      <c r="E254" s="15"/>
      <c r="F254" s="13" t="s">
        <v>600</v>
      </c>
      <c r="G254" s="16">
        <v>10.0</v>
      </c>
      <c r="I254" s="16" t="b">
        <v>0</v>
      </c>
      <c r="J254" s="16" t="s">
        <v>134</v>
      </c>
      <c r="N254" s="16" t="b">
        <v>1</v>
      </c>
      <c r="O254" s="16" t="s">
        <v>35</v>
      </c>
      <c r="R254" s="16" t="s">
        <v>1231</v>
      </c>
    </row>
    <row r="255" hidden="1">
      <c r="A255" s="13">
        <v>2214818.0</v>
      </c>
      <c r="B255" s="14">
        <v>46179.71975694445</v>
      </c>
      <c r="C255" s="13" t="s">
        <v>101</v>
      </c>
      <c r="D255" s="13" t="s">
        <v>1233</v>
      </c>
      <c r="E255" s="15"/>
      <c r="F255" s="13" t="s">
        <v>133</v>
      </c>
      <c r="G255" s="16">
        <v>112.0</v>
      </c>
      <c r="I255" s="16" t="b">
        <v>0</v>
      </c>
      <c r="J255" s="16" t="s">
        <v>134</v>
      </c>
      <c r="N255" s="16" t="b">
        <v>1</v>
      </c>
      <c r="O255" s="16" t="s">
        <v>35</v>
      </c>
      <c r="R255" s="16" t="s">
        <v>1236</v>
      </c>
    </row>
    <row r="256" hidden="1">
      <c r="A256" s="13">
        <v>2215269.0</v>
      </c>
      <c r="B256" s="14">
        <v>46179.85159722222</v>
      </c>
      <c r="C256" s="13" t="s">
        <v>101</v>
      </c>
      <c r="D256" s="13" t="s">
        <v>121</v>
      </c>
      <c r="E256" s="15"/>
      <c r="F256" s="13" t="s">
        <v>124</v>
      </c>
      <c r="G256" s="16">
        <v>135.0</v>
      </c>
      <c r="I256" s="16" t="b">
        <v>0</v>
      </c>
      <c r="J256" s="16" t="s">
        <v>126</v>
      </c>
      <c r="N256" s="16" t="b">
        <v>1</v>
      </c>
      <c r="O256" s="16" t="s">
        <v>35</v>
      </c>
      <c r="R256" s="16" t="s">
        <v>1237</v>
      </c>
    </row>
    <row r="257" hidden="1">
      <c r="A257" s="13">
        <v>2215270.0</v>
      </c>
      <c r="B257" s="14">
        <v>46179.85181712963</v>
      </c>
      <c r="C257" s="13" t="s">
        <v>101</v>
      </c>
      <c r="D257" s="13" t="s">
        <v>121</v>
      </c>
      <c r="E257" s="15"/>
      <c r="F257" s="13" t="s">
        <v>1240</v>
      </c>
      <c r="G257" s="16">
        <v>135.0</v>
      </c>
      <c r="I257" s="16" t="b">
        <v>0</v>
      </c>
      <c r="J257" s="16" t="s">
        <v>126</v>
      </c>
      <c r="N257" s="16" t="b">
        <v>1</v>
      </c>
      <c r="O257" s="16" t="s">
        <v>35</v>
      </c>
      <c r="R257" s="16" t="s">
        <v>1237</v>
      </c>
    </row>
    <row r="258" hidden="1">
      <c r="A258" s="13">
        <v>2215297.0</v>
      </c>
      <c r="B258" s="14">
        <v>46179.86094907407</v>
      </c>
      <c r="C258" s="13" t="s">
        <v>139</v>
      </c>
      <c r="D258" s="13" t="s">
        <v>1243</v>
      </c>
      <c r="E258" s="15"/>
      <c r="F258" s="13" t="s">
        <v>142</v>
      </c>
      <c r="G258" s="16">
        <v>2.0</v>
      </c>
      <c r="I258" s="16" t="b">
        <v>0</v>
      </c>
      <c r="J258" s="16" t="s">
        <v>144</v>
      </c>
      <c r="N258" s="16" t="b">
        <v>1</v>
      </c>
      <c r="O258" s="16" t="s">
        <v>35</v>
      </c>
      <c r="R258" s="16" t="s">
        <v>1244</v>
      </c>
    </row>
    <row r="259" hidden="1">
      <c r="A259" s="13">
        <v>2215304.0</v>
      </c>
      <c r="B259" s="14">
        <v>46179.86355324074</v>
      </c>
      <c r="C259" s="13" t="s">
        <v>101</v>
      </c>
      <c r="D259" s="13" t="s">
        <v>1246</v>
      </c>
      <c r="E259" s="24"/>
      <c r="F259" s="13" t="s">
        <v>1247</v>
      </c>
      <c r="G259" s="16">
        <v>114.0</v>
      </c>
      <c r="I259" s="16" t="b">
        <v>0</v>
      </c>
      <c r="J259" s="16" t="s">
        <v>134</v>
      </c>
      <c r="N259" s="16" t="b">
        <v>1</v>
      </c>
      <c r="O259" s="16" t="s">
        <v>35</v>
      </c>
      <c r="R259" s="16" t="s">
        <v>1251</v>
      </c>
    </row>
    <row r="260" hidden="1">
      <c r="A260" s="13">
        <v>2215324.0</v>
      </c>
      <c r="B260" s="14">
        <v>46179.86608796296</v>
      </c>
      <c r="C260" s="13" t="s">
        <v>101</v>
      </c>
      <c r="D260" s="13" t="s">
        <v>1252</v>
      </c>
      <c r="E260" s="15"/>
      <c r="F260" s="13" t="s">
        <v>1253</v>
      </c>
      <c r="G260" s="16">
        <v>1050.0</v>
      </c>
      <c r="I260" s="16" t="b">
        <v>0</v>
      </c>
      <c r="J260" s="16" t="s">
        <v>205</v>
      </c>
      <c r="K260" s="16" t="s">
        <v>117</v>
      </c>
      <c r="N260" s="16" t="b">
        <v>1</v>
      </c>
      <c r="O260" s="16" t="s">
        <v>35</v>
      </c>
      <c r="R260" s="16" t="s">
        <v>1255</v>
      </c>
    </row>
    <row r="261" hidden="1">
      <c r="A261" s="13">
        <v>2217395.0</v>
      </c>
      <c r="B261" s="14">
        <v>46180.87351851852</v>
      </c>
      <c r="C261" s="13" t="s">
        <v>139</v>
      </c>
      <c r="D261" s="13" t="s">
        <v>586</v>
      </c>
      <c r="E261" s="15"/>
      <c r="F261" s="13" t="s">
        <v>272</v>
      </c>
      <c r="G261" s="16">
        <v>120.0</v>
      </c>
      <c r="I261" s="16" t="b">
        <v>0</v>
      </c>
      <c r="J261" s="16" t="s">
        <v>144</v>
      </c>
      <c r="N261" s="16" t="b">
        <v>1</v>
      </c>
      <c r="O261" s="16" t="s">
        <v>35</v>
      </c>
      <c r="R261" s="16" t="s">
        <v>1258</v>
      </c>
    </row>
    <row r="262" hidden="1">
      <c r="A262" s="13">
        <v>2217397.0</v>
      </c>
      <c r="B262" s="14">
        <v>46180.87372685185</v>
      </c>
      <c r="C262" s="13" t="s">
        <v>101</v>
      </c>
      <c r="D262" s="13" t="s">
        <v>586</v>
      </c>
      <c r="E262" s="15"/>
      <c r="F262" s="13" t="s">
        <v>344</v>
      </c>
      <c r="G262" s="16">
        <v>120.0</v>
      </c>
      <c r="I262" s="16" t="b">
        <v>0</v>
      </c>
      <c r="J262" s="16" t="s">
        <v>126</v>
      </c>
      <c r="N262" s="16" t="b">
        <v>1</v>
      </c>
      <c r="O262" s="16" t="s">
        <v>35</v>
      </c>
      <c r="R262" s="16" t="s">
        <v>1261</v>
      </c>
    </row>
    <row r="263" hidden="1">
      <c r="A263" s="13">
        <v>2217401.0</v>
      </c>
      <c r="B263" s="14">
        <v>46180.87403935185</v>
      </c>
      <c r="C263" s="13" t="s">
        <v>101</v>
      </c>
      <c r="D263" s="13" t="s">
        <v>586</v>
      </c>
      <c r="E263" s="15"/>
      <c r="F263" s="13" t="s">
        <v>1263</v>
      </c>
      <c r="G263" s="16">
        <v>120.0</v>
      </c>
      <c r="I263" s="16" t="b">
        <v>0</v>
      </c>
      <c r="J263" s="16" t="s">
        <v>126</v>
      </c>
      <c r="N263" s="16" t="b">
        <v>1</v>
      </c>
      <c r="O263" s="16" t="s">
        <v>35</v>
      </c>
      <c r="R263" s="16" t="s">
        <v>1261</v>
      </c>
    </row>
    <row r="264" hidden="1">
      <c r="A264" s="13">
        <v>2217438.0</v>
      </c>
      <c r="B264" s="14">
        <v>46180.87939814815</v>
      </c>
      <c r="C264" s="13" t="s">
        <v>101</v>
      </c>
      <c r="D264" s="13" t="s">
        <v>1264</v>
      </c>
      <c r="E264" s="15"/>
      <c r="F264" s="13" t="s">
        <v>512</v>
      </c>
      <c r="G264" s="16">
        <v>349.0</v>
      </c>
      <c r="I264" s="16" t="b">
        <v>0</v>
      </c>
      <c r="J264" s="16" t="s">
        <v>134</v>
      </c>
      <c r="N264" s="16" t="b">
        <v>1</v>
      </c>
      <c r="O264" s="16" t="s">
        <v>35</v>
      </c>
      <c r="R264" s="16" t="s">
        <v>1266</v>
      </c>
    </row>
    <row r="265" hidden="1">
      <c r="A265" s="13">
        <v>2217442.0</v>
      </c>
      <c r="B265" s="14">
        <v>46180.880277777775</v>
      </c>
      <c r="C265" s="13" t="s">
        <v>101</v>
      </c>
      <c r="D265" s="13" t="s">
        <v>1268</v>
      </c>
      <c r="E265" s="15"/>
      <c r="F265" s="13" t="s">
        <v>1271</v>
      </c>
      <c r="G265" s="16">
        <v>1150.0</v>
      </c>
      <c r="I265" s="16" t="b">
        <v>0</v>
      </c>
      <c r="J265" s="16" t="s">
        <v>205</v>
      </c>
      <c r="K265" s="16" t="s">
        <v>336</v>
      </c>
      <c r="N265" s="16" t="b">
        <v>1</v>
      </c>
      <c r="O265" s="16" t="s">
        <v>35</v>
      </c>
      <c r="R265" s="16" t="s">
        <v>1272</v>
      </c>
    </row>
    <row r="266" hidden="1">
      <c r="A266" s="13">
        <v>2219284.0</v>
      </c>
      <c r="B266" s="14">
        <v>46181.85649305556</v>
      </c>
      <c r="C266" s="13" t="s">
        <v>101</v>
      </c>
      <c r="D266" s="13" t="s">
        <v>1274</v>
      </c>
      <c r="E266" s="15"/>
      <c r="F266" s="13" t="s">
        <v>512</v>
      </c>
      <c r="G266" s="16">
        <v>66.0</v>
      </c>
      <c r="I266" s="16" t="b">
        <v>0</v>
      </c>
      <c r="J266" s="16" t="s">
        <v>134</v>
      </c>
      <c r="N266" s="16" t="b">
        <v>1</v>
      </c>
      <c r="O266" s="16" t="s">
        <v>35</v>
      </c>
      <c r="R266" s="16" t="s">
        <v>1277</v>
      </c>
    </row>
    <row r="267" hidden="1">
      <c r="A267" s="13">
        <v>2219318.0</v>
      </c>
      <c r="B267" s="14">
        <v>46181.86739583333</v>
      </c>
      <c r="C267" s="13" t="s">
        <v>101</v>
      </c>
      <c r="D267" s="13" t="s">
        <v>210</v>
      </c>
      <c r="E267" s="15"/>
      <c r="F267" s="13" t="s">
        <v>574</v>
      </c>
      <c r="G267" s="16">
        <v>32.0</v>
      </c>
      <c r="I267" s="16" t="b">
        <v>0</v>
      </c>
      <c r="J267" s="16" t="s">
        <v>116</v>
      </c>
      <c r="K267" s="16" t="s">
        <v>218</v>
      </c>
      <c r="N267" s="16" t="b">
        <v>1</v>
      </c>
      <c r="O267" s="16" t="s">
        <v>35</v>
      </c>
      <c r="R267" s="16" t="s">
        <v>1279</v>
      </c>
    </row>
    <row r="268" hidden="1">
      <c r="A268" s="13">
        <v>2219320.0</v>
      </c>
      <c r="B268" s="14">
        <v>46181.86850694445</v>
      </c>
      <c r="C268" s="13" t="s">
        <v>101</v>
      </c>
      <c r="D268" s="13" t="s">
        <v>213</v>
      </c>
      <c r="E268" s="15"/>
      <c r="F268" s="13" t="s">
        <v>1283</v>
      </c>
      <c r="G268" s="16">
        <v>200.0</v>
      </c>
      <c r="I268" s="16" t="b">
        <v>0</v>
      </c>
      <c r="J268" s="16" t="s">
        <v>205</v>
      </c>
      <c r="K268" s="16" t="s">
        <v>336</v>
      </c>
      <c r="N268" s="16" t="b">
        <v>1</v>
      </c>
      <c r="O268" s="16" t="s">
        <v>35</v>
      </c>
      <c r="R268" s="16" t="s">
        <v>1285</v>
      </c>
    </row>
    <row r="269" hidden="1">
      <c r="A269" s="13">
        <v>2220653.0</v>
      </c>
      <c r="B269" s="14">
        <v>46182.856828703705</v>
      </c>
      <c r="C269" s="13" t="s">
        <v>101</v>
      </c>
      <c r="D269" s="13" t="s">
        <v>237</v>
      </c>
      <c r="E269" s="15"/>
      <c r="F269" s="13" t="s">
        <v>1287</v>
      </c>
      <c r="G269" s="16">
        <v>100.0</v>
      </c>
      <c r="I269" s="16" t="b">
        <v>0</v>
      </c>
      <c r="J269" s="16" t="s">
        <v>205</v>
      </c>
      <c r="K269" s="16" t="s">
        <v>218</v>
      </c>
      <c r="N269" s="16" t="b">
        <v>1</v>
      </c>
      <c r="O269" s="16" t="s">
        <v>35</v>
      </c>
      <c r="R269" s="16" t="s">
        <v>1288</v>
      </c>
    </row>
    <row r="270" hidden="1">
      <c r="A270" s="13">
        <v>2220654.0</v>
      </c>
      <c r="B270" s="14">
        <v>46182.85704861111</v>
      </c>
      <c r="C270" s="13" t="s">
        <v>101</v>
      </c>
      <c r="D270" s="13" t="s">
        <v>1290</v>
      </c>
      <c r="E270" s="15"/>
      <c r="F270" s="13" t="s">
        <v>512</v>
      </c>
      <c r="G270" s="16">
        <v>56.0</v>
      </c>
      <c r="I270" s="16" t="b">
        <v>0</v>
      </c>
      <c r="J270" s="16" t="s">
        <v>134</v>
      </c>
      <c r="N270" s="16" t="b">
        <v>1</v>
      </c>
      <c r="O270" s="16" t="s">
        <v>35</v>
      </c>
      <c r="R270" s="16" t="s">
        <v>1292</v>
      </c>
    </row>
    <row r="271" hidden="1">
      <c r="A271" s="13">
        <v>2220655.0</v>
      </c>
      <c r="B271" s="14">
        <v>46182.85724537037</v>
      </c>
      <c r="C271" s="13" t="s">
        <v>101</v>
      </c>
      <c r="D271" s="13" t="s">
        <v>324</v>
      </c>
      <c r="E271" s="15"/>
      <c r="F271" s="13" t="s">
        <v>1294</v>
      </c>
      <c r="G271" s="16">
        <v>45.0</v>
      </c>
      <c r="I271" s="16" t="b">
        <v>0</v>
      </c>
      <c r="J271" s="16" t="s">
        <v>126</v>
      </c>
      <c r="N271" s="16" t="b">
        <v>1</v>
      </c>
      <c r="O271" s="16" t="s">
        <v>35</v>
      </c>
      <c r="R271" s="16" t="s">
        <v>1296</v>
      </c>
    </row>
    <row r="272" hidden="1">
      <c r="A272" s="13">
        <v>2220666.0</v>
      </c>
      <c r="B272" s="14">
        <v>46182.86035879629</v>
      </c>
      <c r="C272" s="13" t="s">
        <v>101</v>
      </c>
      <c r="D272" s="13" t="s">
        <v>252</v>
      </c>
      <c r="E272" s="15"/>
      <c r="F272" s="13" t="s">
        <v>574</v>
      </c>
      <c r="G272" s="16">
        <v>4.0</v>
      </c>
      <c r="I272" s="16" t="b">
        <v>0</v>
      </c>
      <c r="J272" s="16" t="s">
        <v>116</v>
      </c>
      <c r="K272" s="16" t="s">
        <v>218</v>
      </c>
      <c r="N272" s="16" t="b">
        <v>1</v>
      </c>
      <c r="O272" s="16" t="s">
        <v>35</v>
      </c>
      <c r="R272" s="16" t="s">
        <v>1299</v>
      </c>
    </row>
    <row r="273" hidden="1">
      <c r="A273" s="13">
        <v>2221697.0</v>
      </c>
      <c r="B273" s="14">
        <v>46183.724386574075</v>
      </c>
      <c r="C273" s="13" t="s">
        <v>101</v>
      </c>
      <c r="D273" s="13" t="s">
        <v>907</v>
      </c>
      <c r="E273" s="15"/>
      <c r="F273" s="13" t="s">
        <v>1301</v>
      </c>
      <c r="G273" s="16">
        <v>54.0</v>
      </c>
      <c r="I273" s="16" t="b">
        <v>0</v>
      </c>
      <c r="J273" s="16" t="s">
        <v>134</v>
      </c>
      <c r="N273" s="16" t="b">
        <v>1</v>
      </c>
      <c r="O273" s="16" t="s">
        <v>35</v>
      </c>
      <c r="R273" s="16" t="s">
        <v>1303</v>
      </c>
    </row>
    <row r="274" hidden="1">
      <c r="A274" s="13">
        <v>2221952.0</v>
      </c>
      <c r="B274" s="14">
        <v>46183.8524537037</v>
      </c>
      <c r="C274" s="13" t="s">
        <v>139</v>
      </c>
      <c r="D274" s="13" t="s">
        <v>161</v>
      </c>
      <c r="E274" s="24"/>
      <c r="F274" s="13" t="s">
        <v>142</v>
      </c>
      <c r="G274" s="16">
        <v>60.0</v>
      </c>
      <c r="I274" s="16" t="b">
        <v>0</v>
      </c>
      <c r="J274" s="16" t="s">
        <v>144</v>
      </c>
      <c r="N274" s="16" t="b">
        <v>1</v>
      </c>
      <c r="O274" s="16" t="s">
        <v>35</v>
      </c>
      <c r="R274" s="16" t="s">
        <v>1304</v>
      </c>
    </row>
    <row r="275" hidden="1">
      <c r="A275" s="13">
        <v>2221957.0</v>
      </c>
      <c r="B275" s="14">
        <v>46183.85351851852</v>
      </c>
      <c r="C275" s="13" t="s">
        <v>101</v>
      </c>
      <c r="D275" s="13" t="s">
        <v>377</v>
      </c>
      <c r="E275" s="15"/>
      <c r="F275" s="13" t="s">
        <v>133</v>
      </c>
      <c r="G275" s="16">
        <v>33.0</v>
      </c>
      <c r="I275" s="16" t="b">
        <v>0</v>
      </c>
      <c r="J275" s="16" t="s">
        <v>134</v>
      </c>
      <c r="N275" s="16" t="b">
        <v>1</v>
      </c>
      <c r="O275" s="16" t="s">
        <v>35</v>
      </c>
      <c r="R275" s="16" t="s">
        <v>1307</v>
      </c>
    </row>
    <row r="276" hidden="1">
      <c r="A276" s="13">
        <v>2221973.0</v>
      </c>
      <c r="B276" s="14">
        <v>46183.861030092594</v>
      </c>
      <c r="C276" s="13" t="s">
        <v>101</v>
      </c>
      <c r="D276" s="13" t="s">
        <v>201</v>
      </c>
      <c r="E276" s="24"/>
      <c r="F276" s="13" t="s">
        <v>1309</v>
      </c>
      <c r="G276" s="16">
        <v>150.0</v>
      </c>
      <c r="I276" s="16" t="b">
        <v>0</v>
      </c>
      <c r="J276" s="16" t="s">
        <v>205</v>
      </c>
      <c r="K276" s="16" t="s">
        <v>117</v>
      </c>
      <c r="N276" s="16" t="b">
        <v>1</v>
      </c>
      <c r="O276" s="16" t="s">
        <v>35</v>
      </c>
      <c r="R276" s="16" t="s">
        <v>1312</v>
      </c>
    </row>
    <row r="277" hidden="1">
      <c r="A277" s="13">
        <v>2222780.0</v>
      </c>
      <c r="B277" s="14">
        <v>46184.694872685184</v>
      </c>
      <c r="C277" s="13" t="s">
        <v>139</v>
      </c>
      <c r="D277" s="13" t="s">
        <v>237</v>
      </c>
      <c r="E277" s="15"/>
      <c r="F277" s="13" t="s">
        <v>1315</v>
      </c>
      <c r="G277" s="16">
        <v>100.0</v>
      </c>
      <c r="I277" s="16" t="b">
        <v>0</v>
      </c>
      <c r="J277" s="16" t="s">
        <v>205</v>
      </c>
      <c r="K277" s="16" t="s">
        <v>218</v>
      </c>
      <c r="N277" s="16" t="b">
        <v>1</v>
      </c>
      <c r="O277" s="16" t="s">
        <v>35</v>
      </c>
      <c r="R277" s="16" t="s">
        <v>1316</v>
      </c>
    </row>
    <row r="278" hidden="1">
      <c r="A278" s="13">
        <v>2222781.0</v>
      </c>
      <c r="B278" s="14">
        <v>46184.69564814815</v>
      </c>
      <c r="C278" s="13" t="s">
        <v>139</v>
      </c>
      <c r="D278" s="13" t="s">
        <v>213</v>
      </c>
      <c r="E278" s="15"/>
      <c r="F278" s="13" t="s">
        <v>1317</v>
      </c>
      <c r="G278" s="16">
        <v>200.0</v>
      </c>
      <c r="I278" s="16" t="b">
        <v>0</v>
      </c>
      <c r="J278" s="16" t="s">
        <v>205</v>
      </c>
      <c r="K278" s="16" t="s">
        <v>336</v>
      </c>
      <c r="N278" s="16" t="b">
        <v>1</v>
      </c>
      <c r="O278" s="16" t="s">
        <v>35</v>
      </c>
      <c r="R278" s="16" t="s">
        <v>1319</v>
      </c>
    </row>
    <row r="279" hidden="1">
      <c r="A279" s="13">
        <v>2222885.0</v>
      </c>
      <c r="B279" s="14">
        <v>46184.732523148145</v>
      </c>
      <c r="C279" s="13" t="s">
        <v>101</v>
      </c>
      <c r="D279" s="13" t="s">
        <v>213</v>
      </c>
      <c r="E279" s="15"/>
      <c r="F279" s="13" t="s">
        <v>1322</v>
      </c>
      <c r="G279" s="16">
        <v>200.0</v>
      </c>
      <c r="I279" s="16" t="b">
        <v>0</v>
      </c>
      <c r="J279" s="16" t="s">
        <v>205</v>
      </c>
      <c r="K279" s="16" t="s">
        <v>117</v>
      </c>
      <c r="N279" s="16" t="b">
        <v>1</v>
      </c>
      <c r="O279" s="16" t="s">
        <v>35</v>
      </c>
      <c r="R279" s="16" t="s">
        <v>1325</v>
      </c>
    </row>
    <row r="280" hidden="1">
      <c r="A280" s="13">
        <v>2223111.0</v>
      </c>
      <c r="B280" s="14">
        <v>46184.84678240741</v>
      </c>
      <c r="C280" s="13" t="s">
        <v>101</v>
      </c>
      <c r="D280" s="13" t="s">
        <v>141</v>
      </c>
      <c r="E280" s="15"/>
      <c r="F280" s="13" t="s">
        <v>574</v>
      </c>
      <c r="G280" s="16">
        <v>40.0</v>
      </c>
      <c r="I280" s="16" t="b">
        <v>0</v>
      </c>
      <c r="J280" s="16" t="s">
        <v>116</v>
      </c>
      <c r="K280" s="16" t="s">
        <v>218</v>
      </c>
      <c r="N280" s="16" t="b">
        <v>1</v>
      </c>
      <c r="O280" s="16" t="s">
        <v>35</v>
      </c>
      <c r="R280" s="16" t="s">
        <v>1328</v>
      </c>
    </row>
    <row r="281" hidden="1">
      <c r="A281" s="13">
        <v>2223114.0</v>
      </c>
      <c r="B281" s="14">
        <v>46184.84837962963</v>
      </c>
      <c r="C281" s="13" t="s">
        <v>101</v>
      </c>
      <c r="D281" s="13" t="s">
        <v>1330</v>
      </c>
      <c r="E281" s="15"/>
      <c r="F281" s="13" t="s">
        <v>1331</v>
      </c>
      <c r="G281" s="16">
        <v>373.5</v>
      </c>
      <c r="I281" s="16" t="b">
        <v>0</v>
      </c>
      <c r="J281" s="16" t="s">
        <v>170</v>
      </c>
      <c r="M281" s="16" t="s">
        <v>1332</v>
      </c>
      <c r="N281" s="16" t="b">
        <v>1</v>
      </c>
      <c r="O281" s="16" t="s">
        <v>35</v>
      </c>
      <c r="R281" s="16" t="s">
        <v>1333</v>
      </c>
    </row>
    <row r="282" hidden="1">
      <c r="A282" s="13">
        <v>2223161.0</v>
      </c>
      <c r="B282" s="14">
        <v>46184.868622685186</v>
      </c>
      <c r="C282" s="13" t="s">
        <v>101</v>
      </c>
      <c r="D282" s="13" t="s">
        <v>237</v>
      </c>
      <c r="E282" s="15"/>
      <c r="F282" s="13" t="s">
        <v>239</v>
      </c>
      <c r="G282" s="16">
        <v>100.0</v>
      </c>
      <c r="I282" s="16" t="b">
        <v>0</v>
      </c>
      <c r="J282" s="16" t="s">
        <v>205</v>
      </c>
      <c r="K282" s="16" t="s">
        <v>218</v>
      </c>
      <c r="N282" s="16" t="b">
        <v>1</v>
      </c>
      <c r="O282" s="16" t="s">
        <v>35</v>
      </c>
      <c r="R282" s="16" t="s">
        <v>1316</v>
      </c>
    </row>
    <row r="283" hidden="1">
      <c r="A283" s="13">
        <v>2224346.0</v>
      </c>
      <c r="B283" s="14">
        <v>46185.793807870374</v>
      </c>
      <c r="C283" s="13" t="s">
        <v>139</v>
      </c>
      <c r="D283" s="13" t="s">
        <v>799</v>
      </c>
      <c r="E283" s="15"/>
      <c r="F283" s="13" t="s">
        <v>272</v>
      </c>
      <c r="G283" s="16">
        <v>75.0</v>
      </c>
      <c r="I283" s="16" t="b">
        <v>0</v>
      </c>
      <c r="J283" s="16" t="s">
        <v>144</v>
      </c>
      <c r="N283" s="16" t="b">
        <v>1</v>
      </c>
      <c r="O283" s="16" t="s">
        <v>35</v>
      </c>
      <c r="R283" s="16" t="s">
        <v>1337</v>
      </c>
    </row>
    <row r="284" hidden="1">
      <c r="A284" s="13">
        <v>2224353.0</v>
      </c>
      <c r="B284" s="14">
        <v>46185.79625</v>
      </c>
      <c r="C284" s="13" t="s">
        <v>101</v>
      </c>
      <c r="D284" s="13" t="s">
        <v>161</v>
      </c>
      <c r="E284" s="15"/>
      <c r="F284" s="13" t="s">
        <v>133</v>
      </c>
      <c r="G284" s="16">
        <v>60.0</v>
      </c>
      <c r="I284" s="16" t="b">
        <v>0</v>
      </c>
      <c r="J284" s="16" t="s">
        <v>134</v>
      </c>
      <c r="N284" s="16" t="b">
        <v>1</v>
      </c>
      <c r="O284" s="16" t="s">
        <v>35</v>
      </c>
      <c r="R284" s="16" t="s">
        <v>1342</v>
      </c>
    </row>
    <row r="285" hidden="1">
      <c r="A285" s="13">
        <v>2224370.0</v>
      </c>
      <c r="B285" s="14">
        <v>46185.80233796296</v>
      </c>
      <c r="C285" s="13" t="s">
        <v>101</v>
      </c>
      <c r="D285" s="13" t="s">
        <v>201</v>
      </c>
      <c r="E285" s="15"/>
      <c r="F285" s="13" t="s">
        <v>1344</v>
      </c>
      <c r="G285" s="16">
        <v>150.0</v>
      </c>
      <c r="I285" s="16" t="b">
        <v>0</v>
      </c>
      <c r="J285" s="16" t="s">
        <v>205</v>
      </c>
      <c r="K285" s="16" t="s">
        <v>117</v>
      </c>
      <c r="N285" s="16" t="b">
        <v>1</v>
      </c>
      <c r="O285" s="16" t="s">
        <v>35</v>
      </c>
      <c r="R285" s="16" t="s">
        <v>1347</v>
      </c>
    </row>
    <row r="286" hidden="1">
      <c r="A286" s="13">
        <v>2224548.0</v>
      </c>
      <c r="B286" s="14">
        <v>46185.87150462963</v>
      </c>
      <c r="C286" s="13" t="s">
        <v>101</v>
      </c>
      <c r="D286" s="13" t="s">
        <v>1349</v>
      </c>
      <c r="E286" s="15"/>
      <c r="F286" s="13" t="s">
        <v>600</v>
      </c>
      <c r="G286" s="16">
        <v>64.0</v>
      </c>
      <c r="I286" s="16" t="b">
        <v>0</v>
      </c>
      <c r="J286" s="16" t="s">
        <v>134</v>
      </c>
      <c r="N286" s="16" t="b">
        <v>1</v>
      </c>
      <c r="O286" s="16" t="s">
        <v>35</v>
      </c>
      <c r="R286" s="16" t="s">
        <v>1352</v>
      </c>
    </row>
    <row r="287" hidden="1">
      <c r="A287" s="13">
        <v>2225155.0</v>
      </c>
      <c r="B287" s="14">
        <v>46186.52515046296</v>
      </c>
      <c r="C287" s="13" t="s">
        <v>101</v>
      </c>
      <c r="D287" s="13" t="s">
        <v>252</v>
      </c>
      <c r="E287" s="15"/>
      <c r="F287" s="13" t="s">
        <v>1353</v>
      </c>
      <c r="G287" s="16">
        <v>5.0</v>
      </c>
      <c r="I287" s="16" t="b">
        <v>0</v>
      </c>
      <c r="J287" s="16" t="s">
        <v>170</v>
      </c>
      <c r="M287" s="16" t="s">
        <v>1355</v>
      </c>
      <c r="N287" s="16" t="b">
        <v>1</v>
      </c>
      <c r="O287" s="16" t="s">
        <v>35</v>
      </c>
      <c r="R287" s="16" t="s">
        <v>1356</v>
      </c>
    </row>
    <row r="288" hidden="1">
      <c r="A288" s="13">
        <v>2225156.0</v>
      </c>
      <c r="B288" s="14">
        <v>46186.525347222225</v>
      </c>
      <c r="C288" s="13" t="s">
        <v>101</v>
      </c>
      <c r="D288" s="13" t="s">
        <v>1359</v>
      </c>
      <c r="E288" s="15"/>
      <c r="F288" s="13" t="s">
        <v>282</v>
      </c>
      <c r="G288" s="16">
        <v>44.95</v>
      </c>
      <c r="I288" s="16" t="b">
        <v>0</v>
      </c>
      <c r="J288" s="16" t="s">
        <v>170</v>
      </c>
      <c r="M288" s="16" t="s">
        <v>1360</v>
      </c>
      <c r="N288" s="16" t="b">
        <v>1</v>
      </c>
      <c r="O288" s="16" t="s">
        <v>35</v>
      </c>
      <c r="R288" s="16" t="s">
        <v>1361</v>
      </c>
    </row>
    <row r="289" hidden="1">
      <c r="A289" s="13">
        <v>2225823.0</v>
      </c>
      <c r="B289" s="14">
        <v>46186.77758101852</v>
      </c>
      <c r="C289" s="13" t="s">
        <v>101</v>
      </c>
      <c r="D289" s="13" t="s">
        <v>1349</v>
      </c>
      <c r="E289" s="15"/>
      <c r="F289" s="13" t="s">
        <v>512</v>
      </c>
      <c r="G289" s="16">
        <v>64.0</v>
      </c>
      <c r="I289" s="16" t="b">
        <v>0</v>
      </c>
      <c r="J289" s="16" t="s">
        <v>134</v>
      </c>
      <c r="N289" s="16" t="b">
        <v>1</v>
      </c>
      <c r="O289" s="16" t="s">
        <v>35</v>
      </c>
      <c r="R289" s="16" t="s">
        <v>1364</v>
      </c>
    </row>
    <row r="290" hidden="1">
      <c r="A290" s="13">
        <v>2225824.0</v>
      </c>
      <c r="B290" s="14">
        <v>46186.77769675926</v>
      </c>
      <c r="C290" s="13" t="s">
        <v>101</v>
      </c>
      <c r="D290" s="13" t="s">
        <v>799</v>
      </c>
      <c r="E290" s="15"/>
      <c r="F290" s="13" t="s">
        <v>344</v>
      </c>
      <c r="G290" s="16">
        <v>75.0</v>
      </c>
      <c r="I290" s="16" t="b">
        <v>0</v>
      </c>
      <c r="J290" s="16" t="s">
        <v>126</v>
      </c>
      <c r="N290" s="16" t="b">
        <v>1</v>
      </c>
      <c r="O290" s="16" t="s">
        <v>35</v>
      </c>
      <c r="R290" s="16" t="s">
        <v>1366</v>
      </c>
    </row>
    <row r="291" hidden="1">
      <c r="A291" s="13">
        <v>2225825.0</v>
      </c>
      <c r="B291" s="14">
        <v>46186.77798611111</v>
      </c>
      <c r="C291" s="13" t="s">
        <v>101</v>
      </c>
      <c r="D291" s="13" t="s">
        <v>213</v>
      </c>
      <c r="E291" s="15"/>
      <c r="F291" s="13" t="s">
        <v>732</v>
      </c>
      <c r="G291" s="16">
        <v>200.0</v>
      </c>
      <c r="I291" s="16" t="b">
        <v>0</v>
      </c>
      <c r="J291" s="16" t="s">
        <v>205</v>
      </c>
      <c r="K291" s="16" t="s">
        <v>336</v>
      </c>
      <c r="N291" s="16" t="b">
        <v>1</v>
      </c>
      <c r="O291" s="16" t="s">
        <v>35</v>
      </c>
      <c r="R291" s="16" t="s">
        <v>1369</v>
      </c>
    </row>
    <row r="292" hidden="1">
      <c r="A292" s="13">
        <v>2226936.0</v>
      </c>
      <c r="B292" s="14">
        <v>46187.692928240744</v>
      </c>
      <c r="C292" s="13" t="s">
        <v>101</v>
      </c>
      <c r="D292" s="13" t="s">
        <v>1371</v>
      </c>
      <c r="E292" s="15"/>
      <c r="F292" s="13" t="s">
        <v>1372</v>
      </c>
      <c r="G292" s="16">
        <v>66.25</v>
      </c>
      <c r="I292" s="16" t="b">
        <v>0</v>
      </c>
      <c r="J292" s="16" t="s">
        <v>1373</v>
      </c>
      <c r="N292" s="16" t="b">
        <v>1</v>
      </c>
      <c r="O292" s="16" t="s">
        <v>35</v>
      </c>
      <c r="R292" s="16" t="s">
        <v>1374</v>
      </c>
    </row>
    <row r="293" hidden="1">
      <c r="A293" s="13">
        <v>2227534.0</v>
      </c>
      <c r="B293" s="14">
        <v>46187.86125</v>
      </c>
      <c r="C293" s="13" t="s">
        <v>101</v>
      </c>
      <c r="D293" s="13" t="s">
        <v>1376</v>
      </c>
      <c r="E293" s="15"/>
      <c r="F293" s="13" t="s">
        <v>629</v>
      </c>
      <c r="G293" s="16">
        <v>240.0</v>
      </c>
      <c r="I293" s="16" t="b">
        <v>0</v>
      </c>
      <c r="J293" s="16" t="s">
        <v>134</v>
      </c>
      <c r="N293" s="16" t="b">
        <v>1</v>
      </c>
      <c r="O293" s="16" t="s">
        <v>35</v>
      </c>
      <c r="R293" s="16" t="s">
        <v>1379</v>
      </c>
    </row>
    <row r="294" hidden="1">
      <c r="A294" s="13">
        <v>2227545.0</v>
      </c>
      <c r="B294" s="14">
        <v>46187.86456018518</v>
      </c>
      <c r="C294" s="13" t="s">
        <v>101</v>
      </c>
      <c r="D294" s="13" t="s">
        <v>586</v>
      </c>
      <c r="E294" s="15"/>
      <c r="F294" s="13" t="s">
        <v>1380</v>
      </c>
      <c r="G294" s="16">
        <v>120.0</v>
      </c>
      <c r="I294" s="16" t="b">
        <v>0</v>
      </c>
      <c r="J294" s="16" t="s">
        <v>126</v>
      </c>
      <c r="N294" s="16" t="b">
        <v>1</v>
      </c>
      <c r="O294" s="16" t="s">
        <v>35</v>
      </c>
      <c r="R294" s="16" t="s">
        <v>1381</v>
      </c>
    </row>
    <row r="295" hidden="1">
      <c r="A295" s="13">
        <v>2227547.0</v>
      </c>
      <c r="B295" s="14">
        <v>46187.86474537037</v>
      </c>
      <c r="C295" s="13" t="s">
        <v>101</v>
      </c>
      <c r="D295" s="13" t="s">
        <v>586</v>
      </c>
      <c r="E295" s="15"/>
      <c r="F295" s="13" t="s">
        <v>1385</v>
      </c>
      <c r="G295" s="16">
        <v>120.0</v>
      </c>
      <c r="I295" s="16" t="b">
        <v>0</v>
      </c>
      <c r="J295" s="16" t="s">
        <v>126</v>
      </c>
      <c r="N295" s="16" t="b">
        <v>1</v>
      </c>
      <c r="O295" s="16" t="s">
        <v>35</v>
      </c>
      <c r="R295" s="16" t="s">
        <v>1381</v>
      </c>
    </row>
    <row r="296" hidden="1">
      <c r="A296" s="13">
        <v>2227548.0</v>
      </c>
      <c r="B296" s="14">
        <v>46187.864907407406</v>
      </c>
      <c r="C296" s="13" t="s">
        <v>101</v>
      </c>
      <c r="D296" s="13" t="s">
        <v>586</v>
      </c>
      <c r="E296" s="15"/>
      <c r="F296" s="13" t="s">
        <v>124</v>
      </c>
      <c r="G296" s="16">
        <v>120.0</v>
      </c>
      <c r="I296" s="16" t="b">
        <v>0</v>
      </c>
      <c r="J296" s="16" t="s">
        <v>126</v>
      </c>
      <c r="N296" s="16" t="b">
        <v>1</v>
      </c>
      <c r="O296" s="16" t="s">
        <v>35</v>
      </c>
      <c r="R296" s="16" t="s">
        <v>1381</v>
      </c>
    </row>
    <row r="297" hidden="1">
      <c r="A297" s="13">
        <v>2228797.0</v>
      </c>
      <c r="B297" s="14">
        <v>46188.7058912037</v>
      </c>
      <c r="C297" s="13" t="s">
        <v>139</v>
      </c>
      <c r="D297" s="13" t="s">
        <v>1389</v>
      </c>
      <c r="E297" s="15"/>
      <c r="F297" s="13" t="s">
        <v>788</v>
      </c>
      <c r="G297" s="16">
        <v>34.0</v>
      </c>
      <c r="I297" s="16" t="b">
        <v>0</v>
      </c>
      <c r="J297" s="16" t="s">
        <v>144</v>
      </c>
      <c r="N297" s="16" t="b">
        <v>1</v>
      </c>
      <c r="O297" s="16" t="s">
        <v>35</v>
      </c>
      <c r="R297" s="16" t="s">
        <v>1391</v>
      </c>
    </row>
    <row r="298" hidden="1">
      <c r="A298" s="13">
        <v>2228804.0</v>
      </c>
      <c r="B298" s="14">
        <v>46188.70762731481</v>
      </c>
      <c r="C298" s="13" t="s">
        <v>139</v>
      </c>
      <c r="D298" s="13" t="s">
        <v>210</v>
      </c>
      <c r="E298" s="15"/>
      <c r="F298" s="13" t="s">
        <v>272</v>
      </c>
      <c r="G298" s="16">
        <v>40.0</v>
      </c>
      <c r="I298" s="16" t="b">
        <v>0</v>
      </c>
      <c r="J298" s="16" t="s">
        <v>144</v>
      </c>
      <c r="N298" s="16" t="b">
        <v>1</v>
      </c>
      <c r="O298" s="16" t="s">
        <v>35</v>
      </c>
      <c r="R298" s="16" t="s">
        <v>1393</v>
      </c>
    </row>
    <row r="299" hidden="1">
      <c r="A299" s="13">
        <v>2228815.0</v>
      </c>
      <c r="B299" s="14">
        <v>46188.71179398148</v>
      </c>
      <c r="C299" s="13" t="s">
        <v>101</v>
      </c>
      <c r="D299" s="13" t="s">
        <v>718</v>
      </c>
      <c r="E299" s="15"/>
      <c r="F299" s="13" t="s">
        <v>133</v>
      </c>
      <c r="G299" s="16">
        <v>32.0</v>
      </c>
      <c r="I299" s="16" t="b">
        <v>0</v>
      </c>
      <c r="J299" s="16" t="s">
        <v>134</v>
      </c>
      <c r="N299" s="16" t="b">
        <v>1</v>
      </c>
      <c r="O299" s="16" t="s">
        <v>35</v>
      </c>
      <c r="R299" s="16" t="s">
        <v>1396</v>
      </c>
    </row>
    <row r="300" hidden="1">
      <c r="A300" s="13">
        <v>2229175.0</v>
      </c>
      <c r="B300" s="14">
        <v>46188.87850694444</v>
      </c>
      <c r="C300" s="13" t="s">
        <v>101</v>
      </c>
      <c r="D300" s="13" t="s">
        <v>428</v>
      </c>
      <c r="E300" s="15"/>
      <c r="F300" s="13" t="s">
        <v>334</v>
      </c>
      <c r="G300" s="16">
        <v>28.0</v>
      </c>
      <c r="I300" s="16" t="b">
        <v>0</v>
      </c>
      <c r="J300" s="16" t="s">
        <v>116</v>
      </c>
      <c r="K300" s="16" t="s">
        <v>336</v>
      </c>
      <c r="N300" s="16" t="b">
        <v>1</v>
      </c>
      <c r="O300" s="16" t="s">
        <v>35</v>
      </c>
      <c r="R300" s="16" t="s">
        <v>1398</v>
      </c>
    </row>
    <row r="301" hidden="1">
      <c r="A301" s="13">
        <v>2229182.0</v>
      </c>
      <c r="B301" s="14">
        <v>46188.87923611111</v>
      </c>
      <c r="C301" s="13" t="s">
        <v>101</v>
      </c>
      <c r="D301" s="13" t="s">
        <v>1290</v>
      </c>
      <c r="E301" s="15"/>
      <c r="F301" s="13" t="s">
        <v>600</v>
      </c>
      <c r="G301" s="16">
        <v>56.0</v>
      </c>
      <c r="I301" s="16" t="b">
        <v>0</v>
      </c>
      <c r="J301" s="16" t="s">
        <v>134</v>
      </c>
      <c r="N301" s="16" t="b">
        <v>1</v>
      </c>
      <c r="O301" s="16" t="s">
        <v>35</v>
      </c>
      <c r="R301" s="16" t="s">
        <v>1400</v>
      </c>
    </row>
    <row r="302" hidden="1">
      <c r="A302" s="13">
        <v>2230058.0</v>
      </c>
      <c r="B302" s="14">
        <v>46189.71011574074</v>
      </c>
      <c r="C302" s="13" t="s">
        <v>101</v>
      </c>
      <c r="D302" s="13" t="s">
        <v>799</v>
      </c>
      <c r="E302" s="15"/>
      <c r="F302" s="13" t="s">
        <v>133</v>
      </c>
      <c r="G302" s="16">
        <v>75.0</v>
      </c>
      <c r="I302" s="16" t="b">
        <v>0</v>
      </c>
      <c r="J302" s="16" t="s">
        <v>134</v>
      </c>
      <c r="N302" s="16" t="b">
        <v>1</v>
      </c>
      <c r="O302" s="16" t="s">
        <v>35</v>
      </c>
      <c r="R302" s="16" t="s">
        <v>1403</v>
      </c>
    </row>
    <row r="303" hidden="1">
      <c r="A303" s="13">
        <v>2230121.0</v>
      </c>
      <c r="B303" s="14">
        <v>46189.73201388889</v>
      </c>
      <c r="C303" s="13" t="s">
        <v>101</v>
      </c>
      <c r="D303" s="13" t="s">
        <v>237</v>
      </c>
      <c r="E303" s="15"/>
      <c r="F303" s="13" t="s">
        <v>1405</v>
      </c>
      <c r="G303" s="16">
        <v>100.0</v>
      </c>
      <c r="I303" s="16" t="b">
        <v>0</v>
      </c>
      <c r="J303" s="16" t="s">
        <v>205</v>
      </c>
      <c r="K303" s="16" t="s">
        <v>117</v>
      </c>
      <c r="N303" s="16" t="b">
        <v>1</v>
      </c>
      <c r="O303" s="16" t="s">
        <v>35</v>
      </c>
      <c r="R303" s="16" t="s">
        <v>1407</v>
      </c>
    </row>
    <row r="304" hidden="1">
      <c r="A304" s="13">
        <v>2230367.0</v>
      </c>
      <c r="B304" s="14">
        <v>46189.85990740741</v>
      </c>
      <c r="C304" s="13" t="s">
        <v>101</v>
      </c>
      <c r="D304" s="13" t="s">
        <v>252</v>
      </c>
      <c r="E304" s="15"/>
      <c r="F304" s="13" t="s">
        <v>334</v>
      </c>
      <c r="G304" s="16">
        <v>4.0</v>
      </c>
      <c r="I304" s="16" t="b">
        <v>0</v>
      </c>
      <c r="J304" s="16" t="s">
        <v>116</v>
      </c>
      <c r="K304" s="16" t="s">
        <v>336</v>
      </c>
      <c r="N304" s="16" t="b">
        <v>1</v>
      </c>
      <c r="O304" s="16" t="s">
        <v>35</v>
      </c>
      <c r="R304" s="16" t="s">
        <v>1409</v>
      </c>
    </row>
    <row r="305" hidden="1">
      <c r="A305" s="13">
        <v>2230436.0</v>
      </c>
      <c r="B305" s="14">
        <v>46189.88570601852</v>
      </c>
      <c r="C305" s="13" t="s">
        <v>101</v>
      </c>
      <c r="D305" s="13" t="s">
        <v>179</v>
      </c>
      <c r="E305" s="15"/>
      <c r="F305" s="13" t="s">
        <v>600</v>
      </c>
      <c r="G305" s="16">
        <v>20.0</v>
      </c>
      <c r="I305" s="16" t="b">
        <v>0</v>
      </c>
      <c r="J305" s="16" t="s">
        <v>134</v>
      </c>
      <c r="N305" s="16" t="b">
        <v>1</v>
      </c>
      <c r="O305" s="16" t="s">
        <v>35</v>
      </c>
      <c r="R305" s="16" t="s">
        <v>1410</v>
      </c>
    </row>
    <row r="306" hidden="1">
      <c r="A306" s="13">
        <v>2231099.0</v>
      </c>
      <c r="B306" s="14">
        <v>46190.6484375</v>
      </c>
      <c r="C306" s="13" t="s">
        <v>139</v>
      </c>
      <c r="D306" s="13" t="s">
        <v>141</v>
      </c>
      <c r="E306" s="15"/>
      <c r="F306" s="13" t="s">
        <v>788</v>
      </c>
      <c r="G306" s="16">
        <v>50.0</v>
      </c>
      <c r="I306" s="16" t="b">
        <v>0</v>
      </c>
      <c r="J306" s="16" t="s">
        <v>144</v>
      </c>
      <c r="N306" s="16" t="b">
        <v>1</v>
      </c>
      <c r="O306" s="16" t="s">
        <v>35</v>
      </c>
      <c r="R306" s="16" t="s">
        <v>1412</v>
      </c>
    </row>
    <row r="307" hidden="1">
      <c r="A307" s="13">
        <v>2231273.0</v>
      </c>
      <c r="B307" s="14">
        <v>46190.71857638889</v>
      </c>
      <c r="C307" s="13" t="s">
        <v>101</v>
      </c>
      <c r="D307" s="13" t="s">
        <v>985</v>
      </c>
      <c r="E307" s="15"/>
      <c r="F307" s="13" t="s">
        <v>133</v>
      </c>
      <c r="G307" s="16">
        <v>47.0</v>
      </c>
      <c r="I307" s="16" t="b">
        <v>0</v>
      </c>
      <c r="J307" s="16" t="s">
        <v>134</v>
      </c>
      <c r="N307" s="16" t="b">
        <v>1</v>
      </c>
      <c r="O307" s="16" t="s">
        <v>35</v>
      </c>
      <c r="R307" s="16" t="s">
        <v>1416</v>
      </c>
    </row>
    <row r="308" hidden="1">
      <c r="A308" s="13">
        <v>2231340.0</v>
      </c>
      <c r="B308" s="14">
        <v>46190.73594907407</v>
      </c>
      <c r="C308" s="13" t="s">
        <v>101</v>
      </c>
      <c r="D308" s="13" t="s">
        <v>256</v>
      </c>
      <c r="E308" s="15"/>
      <c r="F308" s="13" t="s">
        <v>1419</v>
      </c>
      <c r="G308" s="16">
        <v>300.0</v>
      </c>
      <c r="I308" s="16" t="b">
        <v>0</v>
      </c>
      <c r="J308" s="16" t="s">
        <v>205</v>
      </c>
      <c r="K308" s="16" t="s">
        <v>117</v>
      </c>
      <c r="N308" s="16" t="b">
        <v>1</v>
      </c>
      <c r="O308" s="16" t="s">
        <v>35</v>
      </c>
      <c r="R308" s="16" t="s">
        <v>1420</v>
      </c>
    </row>
    <row r="309" hidden="1">
      <c r="A309" s="13">
        <v>2231580.0</v>
      </c>
      <c r="B309" s="14">
        <v>46190.868425925924</v>
      </c>
      <c r="C309" s="13" t="s">
        <v>101</v>
      </c>
      <c r="D309" s="13" t="s">
        <v>637</v>
      </c>
      <c r="E309" s="24"/>
      <c r="F309" s="13" t="s">
        <v>600</v>
      </c>
      <c r="G309" s="16">
        <v>41.0</v>
      </c>
      <c r="I309" s="16" t="b">
        <v>0</v>
      </c>
      <c r="J309" s="16" t="s">
        <v>134</v>
      </c>
      <c r="N309" s="16" t="b">
        <v>1</v>
      </c>
      <c r="O309" s="16" t="s">
        <v>35</v>
      </c>
      <c r="R309" s="16" t="s">
        <v>1422</v>
      </c>
    </row>
    <row r="310" hidden="1">
      <c r="A310" s="13">
        <v>2232600.0</v>
      </c>
      <c r="B310" s="14">
        <v>46191.735034722224</v>
      </c>
      <c r="C310" s="13" t="s">
        <v>139</v>
      </c>
      <c r="D310" s="13" t="s">
        <v>141</v>
      </c>
      <c r="E310" s="15"/>
      <c r="F310" s="13" t="s">
        <v>788</v>
      </c>
      <c r="G310" s="16">
        <v>50.0</v>
      </c>
      <c r="I310" s="16" t="b">
        <v>0</v>
      </c>
      <c r="J310" s="16" t="s">
        <v>144</v>
      </c>
      <c r="N310" s="16" t="b">
        <v>1</v>
      </c>
      <c r="O310" s="16" t="s">
        <v>35</v>
      </c>
      <c r="R310" s="16" t="s">
        <v>1428</v>
      </c>
    </row>
    <row r="311" hidden="1">
      <c r="A311" s="13">
        <v>2232601.0</v>
      </c>
      <c r="B311" s="14">
        <v>46191.735439814816</v>
      </c>
      <c r="C311" s="13" t="s">
        <v>101</v>
      </c>
      <c r="D311" s="13" t="s">
        <v>213</v>
      </c>
      <c r="E311" s="15"/>
      <c r="F311" s="13" t="s">
        <v>1430</v>
      </c>
      <c r="G311" s="16">
        <v>200.0</v>
      </c>
      <c r="I311" s="16" t="b">
        <v>0</v>
      </c>
      <c r="J311" s="16" t="s">
        <v>205</v>
      </c>
      <c r="K311" s="16" t="s">
        <v>117</v>
      </c>
      <c r="N311" s="16" t="b">
        <v>1</v>
      </c>
      <c r="O311" s="16" t="s">
        <v>35</v>
      </c>
      <c r="R311" s="16" t="s">
        <v>1431</v>
      </c>
    </row>
    <row r="312" hidden="1">
      <c r="A312" s="13">
        <v>2232839.0</v>
      </c>
      <c r="B312" s="14">
        <v>46191.84778935185</v>
      </c>
      <c r="C312" s="13" t="s">
        <v>101</v>
      </c>
      <c r="D312" s="13" t="s">
        <v>201</v>
      </c>
      <c r="E312" s="15"/>
      <c r="F312" s="13" t="s">
        <v>1433</v>
      </c>
      <c r="G312" s="16">
        <v>150.0</v>
      </c>
      <c r="I312" s="16" t="b">
        <v>0</v>
      </c>
      <c r="J312" s="16" t="s">
        <v>144</v>
      </c>
      <c r="N312" s="16" t="b">
        <v>1</v>
      </c>
      <c r="O312" s="16" t="s">
        <v>35</v>
      </c>
      <c r="R312" s="16" t="s">
        <v>1436</v>
      </c>
    </row>
    <row r="313" hidden="1">
      <c r="A313" s="13">
        <v>2232900.0</v>
      </c>
      <c r="B313" s="14">
        <v>46191.873240740744</v>
      </c>
      <c r="C313" s="13" t="s">
        <v>101</v>
      </c>
      <c r="D313" s="13" t="s">
        <v>501</v>
      </c>
      <c r="E313" s="15"/>
      <c r="F313" s="13" t="s">
        <v>574</v>
      </c>
      <c r="G313" s="16">
        <v>20.0</v>
      </c>
      <c r="I313" s="16" t="b">
        <v>0</v>
      </c>
      <c r="J313" s="16" t="s">
        <v>116</v>
      </c>
      <c r="K313" s="16" t="s">
        <v>218</v>
      </c>
      <c r="N313" s="16" t="b">
        <v>1</v>
      </c>
      <c r="O313" s="16" t="s">
        <v>35</v>
      </c>
      <c r="R313" s="16" t="s">
        <v>1439</v>
      </c>
    </row>
    <row r="314" hidden="1">
      <c r="A314" s="13">
        <v>2232913.0</v>
      </c>
      <c r="B314" s="14">
        <v>46191.87701388889</v>
      </c>
      <c r="C314" s="13" t="s">
        <v>101</v>
      </c>
      <c r="D314" s="13" t="s">
        <v>1440</v>
      </c>
      <c r="E314" s="15"/>
      <c r="F314" s="13" t="s">
        <v>512</v>
      </c>
      <c r="G314" s="16">
        <v>44.0</v>
      </c>
      <c r="I314" s="16" t="b">
        <v>0</v>
      </c>
      <c r="J314" s="16" t="s">
        <v>134</v>
      </c>
      <c r="N314" s="16" t="b">
        <v>1</v>
      </c>
      <c r="O314" s="16" t="s">
        <v>35</v>
      </c>
      <c r="R314" s="16" t="s">
        <v>1442</v>
      </c>
    </row>
    <row r="315" hidden="1">
      <c r="A315" s="13">
        <v>2232917.0</v>
      </c>
      <c r="B315" s="14">
        <v>46191.87788194444</v>
      </c>
      <c r="C315" s="13" t="s">
        <v>101</v>
      </c>
      <c r="D315" s="13" t="s">
        <v>210</v>
      </c>
      <c r="E315" s="15"/>
      <c r="F315" s="13" t="s">
        <v>600</v>
      </c>
      <c r="G315" s="16">
        <v>40.0</v>
      </c>
      <c r="I315" s="16" t="b">
        <v>0</v>
      </c>
      <c r="J315" s="16" t="s">
        <v>134</v>
      </c>
      <c r="N315" s="16" t="b">
        <v>1</v>
      </c>
      <c r="O315" s="16" t="s">
        <v>35</v>
      </c>
      <c r="R315" s="16" t="s">
        <v>1443</v>
      </c>
    </row>
    <row r="316" hidden="1">
      <c r="A316" s="13">
        <v>2233797.0</v>
      </c>
      <c r="B316" s="14">
        <v>46192.712685185186</v>
      </c>
      <c r="C316" s="13" t="s">
        <v>139</v>
      </c>
      <c r="D316" s="13" t="s">
        <v>179</v>
      </c>
      <c r="E316" s="15"/>
      <c r="F316" s="13" t="s">
        <v>788</v>
      </c>
      <c r="G316" s="16">
        <v>20.0</v>
      </c>
      <c r="I316" s="16" t="b">
        <v>0</v>
      </c>
      <c r="J316" s="16" t="s">
        <v>144</v>
      </c>
      <c r="N316" s="16" t="b">
        <v>1</v>
      </c>
      <c r="O316" s="16" t="s">
        <v>35</v>
      </c>
      <c r="R316" s="16" t="s">
        <v>1445</v>
      </c>
    </row>
    <row r="317" hidden="1">
      <c r="A317" s="13">
        <v>2233809.0</v>
      </c>
      <c r="B317" s="14">
        <v>46192.71729166667</v>
      </c>
      <c r="C317" s="13" t="s">
        <v>139</v>
      </c>
      <c r="D317" s="13" t="s">
        <v>213</v>
      </c>
      <c r="E317" s="15"/>
      <c r="F317" s="13" t="s">
        <v>1448</v>
      </c>
      <c r="G317" s="16">
        <v>200.0</v>
      </c>
      <c r="I317" s="16" t="b">
        <v>0</v>
      </c>
      <c r="J317" s="16" t="s">
        <v>205</v>
      </c>
      <c r="K317" s="16" t="s">
        <v>117</v>
      </c>
      <c r="N317" s="16" t="b">
        <v>1</v>
      </c>
      <c r="O317" s="16" t="s">
        <v>35</v>
      </c>
      <c r="R317" s="16" t="s">
        <v>1449</v>
      </c>
    </row>
    <row r="318" hidden="1">
      <c r="A318" s="13">
        <v>2233810.0</v>
      </c>
      <c r="B318" s="14">
        <v>46192.71763888889</v>
      </c>
      <c r="C318" s="13" t="s">
        <v>101</v>
      </c>
      <c r="D318" s="13" t="s">
        <v>1451</v>
      </c>
      <c r="E318" s="15"/>
      <c r="F318" s="13" t="s">
        <v>1452</v>
      </c>
      <c r="G318" s="16">
        <v>56.5</v>
      </c>
      <c r="I318" s="16" t="b">
        <v>0</v>
      </c>
      <c r="J318" s="16" t="s">
        <v>170</v>
      </c>
      <c r="M318" s="16" t="s">
        <v>1454</v>
      </c>
      <c r="N318" s="16" t="b">
        <v>1</v>
      </c>
      <c r="O318" s="16" t="s">
        <v>35</v>
      </c>
      <c r="R318" s="16" t="s">
        <v>1456</v>
      </c>
    </row>
    <row r="319" hidden="1">
      <c r="A319" s="13">
        <v>2233812.0</v>
      </c>
      <c r="B319" s="14">
        <v>46192.71784722222</v>
      </c>
      <c r="C319" s="13" t="s">
        <v>101</v>
      </c>
      <c r="D319" s="13" t="s">
        <v>1458</v>
      </c>
      <c r="E319" s="15"/>
      <c r="F319" s="13" t="s">
        <v>282</v>
      </c>
      <c r="G319" s="16">
        <v>7.4</v>
      </c>
      <c r="I319" s="16" t="b">
        <v>0</v>
      </c>
      <c r="J319" s="16" t="s">
        <v>170</v>
      </c>
      <c r="M319" s="16" t="s">
        <v>1459</v>
      </c>
      <c r="N319" s="16" t="b">
        <v>1</v>
      </c>
      <c r="O319" s="16" t="s">
        <v>35</v>
      </c>
      <c r="R319" s="16" t="s">
        <v>1461</v>
      </c>
    </row>
    <row r="320" hidden="1">
      <c r="A320" s="13">
        <v>2234173.0</v>
      </c>
      <c r="B320" s="14">
        <v>46192.84744212963</v>
      </c>
      <c r="C320" s="13" t="s">
        <v>101</v>
      </c>
      <c r="D320" s="13" t="s">
        <v>1462</v>
      </c>
      <c r="E320" s="15"/>
      <c r="F320" s="13" t="s">
        <v>600</v>
      </c>
      <c r="G320" s="16">
        <v>49.0</v>
      </c>
      <c r="I320" s="16" t="b">
        <v>0</v>
      </c>
      <c r="J320" s="16" t="s">
        <v>134</v>
      </c>
      <c r="N320" s="16" t="b">
        <v>1</v>
      </c>
      <c r="O320" s="16" t="s">
        <v>35</v>
      </c>
      <c r="R320" s="16" t="s">
        <v>1465</v>
      </c>
    </row>
    <row r="321" hidden="1">
      <c r="A321" s="13">
        <v>2234984.0</v>
      </c>
      <c r="B321" s="14">
        <v>46193.72767361111</v>
      </c>
      <c r="C321" s="13" t="s">
        <v>101</v>
      </c>
      <c r="D321" s="13" t="s">
        <v>270</v>
      </c>
      <c r="E321" s="15"/>
      <c r="F321" s="13" t="s">
        <v>133</v>
      </c>
      <c r="G321" s="16">
        <v>62.0</v>
      </c>
      <c r="I321" s="16" t="b">
        <v>0</v>
      </c>
      <c r="J321" s="16" t="s">
        <v>134</v>
      </c>
      <c r="N321" s="16" t="b">
        <v>1</v>
      </c>
      <c r="O321" s="16" t="s">
        <v>35</v>
      </c>
      <c r="R321" s="16" t="s">
        <v>1470</v>
      </c>
    </row>
    <row r="322" hidden="1">
      <c r="A322" s="13">
        <v>2235279.0</v>
      </c>
      <c r="B322" s="14">
        <v>46193.844039351854</v>
      </c>
      <c r="C322" s="13" t="s">
        <v>101</v>
      </c>
      <c r="D322" s="13" t="s">
        <v>586</v>
      </c>
      <c r="E322" s="15"/>
      <c r="F322" s="13" t="s">
        <v>1471</v>
      </c>
      <c r="G322" s="16">
        <v>120.0</v>
      </c>
      <c r="I322" s="16" t="b">
        <v>0</v>
      </c>
      <c r="J322" s="16" t="s">
        <v>126</v>
      </c>
      <c r="N322" s="16" t="b">
        <v>1</v>
      </c>
      <c r="O322" s="16" t="s">
        <v>35</v>
      </c>
      <c r="R322" s="16" t="s">
        <v>1472</v>
      </c>
    </row>
    <row r="323" hidden="1">
      <c r="A323" s="13">
        <v>2235280.0</v>
      </c>
      <c r="B323" s="14">
        <v>46193.84428240741</v>
      </c>
      <c r="C323" s="13" t="s">
        <v>101</v>
      </c>
      <c r="D323" s="13" t="s">
        <v>586</v>
      </c>
      <c r="E323" s="15"/>
      <c r="F323" s="13" t="s">
        <v>1475</v>
      </c>
      <c r="G323" s="16">
        <v>120.0</v>
      </c>
      <c r="I323" s="16" t="b">
        <v>0</v>
      </c>
      <c r="J323" s="16" t="s">
        <v>126</v>
      </c>
      <c r="N323" s="16" t="b">
        <v>1</v>
      </c>
      <c r="O323" s="16" t="s">
        <v>35</v>
      </c>
      <c r="R323" s="16" t="s">
        <v>1472</v>
      </c>
    </row>
    <row r="324" hidden="1">
      <c r="A324" s="13">
        <v>2235326.0</v>
      </c>
      <c r="B324" s="14">
        <v>46193.865011574075</v>
      </c>
      <c r="C324" s="13" t="s">
        <v>101</v>
      </c>
      <c r="D324" s="13" t="s">
        <v>179</v>
      </c>
      <c r="E324" s="15"/>
      <c r="F324" s="13" t="s">
        <v>133</v>
      </c>
      <c r="G324" s="16">
        <v>20.0</v>
      </c>
      <c r="I324" s="16" t="b">
        <v>0</v>
      </c>
      <c r="J324" s="16" t="s">
        <v>134</v>
      </c>
      <c r="N324" s="16" t="b">
        <v>1</v>
      </c>
      <c r="O324" s="16" t="s">
        <v>35</v>
      </c>
      <c r="R324" s="16" t="s">
        <v>1479</v>
      </c>
    </row>
    <row r="325" hidden="1">
      <c r="A325" s="13">
        <v>2235356.0</v>
      </c>
      <c r="B325" s="14">
        <v>46193.87770833333</v>
      </c>
      <c r="C325" s="13" t="s">
        <v>101</v>
      </c>
      <c r="D325" s="13" t="s">
        <v>473</v>
      </c>
      <c r="E325" s="15"/>
      <c r="F325" s="13" t="s">
        <v>1481</v>
      </c>
      <c r="G325" s="16">
        <v>15.0</v>
      </c>
      <c r="I325" s="16" t="b">
        <v>0</v>
      </c>
      <c r="J325" s="16" t="s">
        <v>134</v>
      </c>
      <c r="N325" s="16" t="b">
        <v>1</v>
      </c>
      <c r="O325" s="16" t="s">
        <v>35</v>
      </c>
      <c r="R325" s="16" t="s">
        <v>1484</v>
      </c>
    </row>
    <row r="326" hidden="1">
      <c r="A326" s="13">
        <v>2237127.0</v>
      </c>
      <c r="B326" s="14">
        <v>46194.87440972222</v>
      </c>
      <c r="C326" s="13" t="s">
        <v>101</v>
      </c>
      <c r="D326" s="13" t="s">
        <v>1485</v>
      </c>
      <c r="E326" s="15"/>
      <c r="F326" s="13" t="s">
        <v>512</v>
      </c>
      <c r="G326" s="16">
        <v>348.0</v>
      </c>
      <c r="I326" s="16" t="b">
        <v>0</v>
      </c>
      <c r="J326" s="16" t="s">
        <v>134</v>
      </c>
      <c r="N326" s="16" t="b">
        <v>1</v>
      </c>
      <c r="O326" s="16" t="s">
        <v>35</v>
      </c>
      <c r="R326" s="16" t="s">
        <v>1487</v>
      </c>
    </row>
    <row r="327" hidden="1">
      <c r="A327" s="13">
        <v>2237128.0</v>
      </c>
      <c r="B327" s="14">
        <v>46194.87467592592</v>
      </c>
      <c r="C327" s="13" t="s">
        <v>139</v>
      </c>
      <c r="D327" s="13" t="s">
        <v>1488</v>
      </c>
      <c r="E327" s="15"/>
      <c r="F327" s="13" t="s">
        <v>272</v>
      </c>
      <c r="G327" s="16">
        <v>90.0</v>
      </c>
      <c r="I327" s="16" t="b">
        <v>0</v>
      </c>
      <c r="J327" s="16" t="s">
        <v>144</v>
      </c>
      <c r="N327" s="16" t="b">
        <v>1</v>
      </c>
      <c r="O327" s="16" t="s">
        <v>35</v>
      </c>
      <c r="R327" s="16" t="s">
        <v>1490</v>
      </c>
    </row>
    <row r="328" hidden="1">
      <c r="A328" s="13">
        <v>2237136.0</v>
      </c>
      <c r="B328" s="14">
        <v>46194.87547453704</v>
      </c>
      <c r="C328" s="13" t="s">
        <v>101</v>
      </c>
      <c r="D328" s="13" t="s">
        <v>586</v>
      </c>
      <c r="E328" s="15"/>
      <c r="F328" s="13" t="s">
        <v>1492</v>
      </c>
      <c r="G328" s="16">
        <v>120.0</v>
      </c>
      <c r="I328" s="16" t="b">
        <v>0</v>
      </c>
      <c r="J328" s="16" t="s">
        <v>126</v>
      </c>
      <c r="N328" s="16" t="b">
        <v>1</v>
      </c>
      <c r="O328" s="16" t="s">
        <v>35</v>
      </c>
      <c r="R328" s="16" t="s">
        <v>1493</v>
      </c>
    </row>
    <row r="329" hidden="1">
      <c r="A329" s="13">
        <v>2237171.0</v>
      </c>
      <c r="B329" s="14">
        <v>46194.87954861111</v>
      </c>
      <c r="C329" s="13" t="s">
        <v>101</v>
      </c>
      <c r="D329" s="13" t="s">
        <v>1496</v>
      </c>
      <c r="E329" s="15"/>
      <c r="F329" s="13" t="s">
        <v>1497</v>
      </c>
      <c r="G329" s="16">
        <v>950.0</v>
      </c>
      <c r="I329" s="16" t="b">
        <v>0</v>
      </c>
      <c r="J329" s="16" t="s">
        <v>205</v>
      </c>
      <c r="K329" s="16" t="s">
        <v>336</v>
      </c>
      <c r="N329" s="16" t="b">
        <v>1</v>
      </c>
      <c r="O329" s="16" t="s">
        <v>35</v>
      </c>
      <c r="R329" s="16" t="s">
        <v>1498</v>
      </c>
    </row>
    <row r="330" hidden="1">
      <c r="A330" s="13">
        <v>2238249.0</v>
      </c>
      <c r="B330" s="14">
        <v>46195.652337962965</v>
      </c>
      <c r="C330" s="13" t="s">
        <v>139</v>
      </c>
      <c r="D330" s="13" t="s">
        <v>246</v>
      </c>
      <c r="E330" s="15"/>
      <c r="F330" s="13" t="s">
        <v>272</v>
      </c>
      <c r="G330" s="16">
        <v>30.0</v>
      </c>
      <c r="I330" s="16" t="b">
        <v>0</v>
      </c>
      <c r="J330" s="16" t="s">
        <v>144</v>
      </c>
      <c r="N330" s="16" t="b">
        <v>1</v>
      </c>
      <c r="O330" s="16" t="s">
        <v>35</v>
      </c>
      <c r="R330" s="16" t="s">
        <v>1501</v>
      </c>
    </row>
    <row r="331" hidden="1">
      <c r="A331" s="13">
        <v>2238251.0</v>
      </c>
      <c r="B331" s="14">
        <v>46195.65329861111</v>
      </c>
      <c r="C331" s="13" t="s">
        <v>139</v>
      </c>
      <c r="D331" s="13" t="s">
        <v>1496</v>
      </c>
      <c r="E331" s="15"/>
      <c r="F331" s="13" t="s">
        <v>1504</v>
      </c>
      <c r="G331" s="16">
        <v>950.0</v>
      </c>
      <c r="I331" s="16" t="b">
        <v>0</v>
      </c>
      <c r="J331" s="16" t="s">
        <v>205</v>
      </c>
      <c r="K331" s="16" t="s">
        <v>336</v>
      </c>
      <c r="N331" s="16" t="b">
        <v>1</v>
      </c>
      <c r="O331" s="16" t="s">
        <v>35</v>
      </c>
      <c r="R331" s="16" t="s">
        <v>1505</v>
      </c>
    </row>
    <row r="332" hidden="1">
      <c r="A332" s="13">
        <v>2238252.0</v>
      </c>
      <c r="B332" s="14">
        <v>46195.65341435185</v>
      </c>
      <c r="C332" s="13" t="s">
        <v>101</v>
      </c>
      <c r="D332" s="13" t="s">
        <v>1496</v>
      </c>
      <c r="E332" s="15"/>
      <c r="F332" s="13" t="s">
        <v>425</v>
      </c>
      <c r="G332" s="16">
        <v>950.0</v>
      </c>
      <c r="I332" s="16" t="b">
        <v>0</v>
      </c>
      <c r="J332" s="16" t="s">
        <v>144</v>
      </c>
      <c r="N332" s="16" t="b">
        <v>1</v>
      </c>
      <c r="O332" s="16" t="s">
        <v>35</v>
      </c>
      <c r="R332" s="16" t="s">
        <v>1508</v>
      </c>
    </row>
    <row r="333" hidden="1">
      <c r="A333" s="13">
        <v>2238420.0</v>
      </c>
      <c r="B333" s="14">
        <v>46195.72976851852</v>
      </c>
      <c r="C333" s="13" t="s">
        <v>101</v>
      </c>
      <c r="D333" s="13" t="s">
        <v>428</v>
      </c>
      <c r="E333" s="15"/>
      <c r="F333" s="13" t="s">
        <v>133</v>
      </c>
      <c r="G333" s="16">
        <v>35.0</v>
      </c>
      <c r="I333" s="16" t="b">
        <v>0</v>
      </c>
      <c r="J333" s="16" t="s">
        <v>134</v>
      </c>
      <c r="N333" s="16" t="b">
        <v>1</v>
      </c>
      <c r="O333" s="16" t="s">
        <v>35</v>
      </c>
      <c r="R333" s="16" t="s">
        <v>1512</v>
      </c>
    </row>
    <row r="334" hidden="1">
      <c r="A334" s="13">
        <v>2238701.0</v>
      </c>
      <c r="B334" s="14">
        <v>46195.86651620371</v>
      </c>
      <c r="C334" s="13" t="s">
        <v>101</v>
      </c>
      <c r="D334" s="13" t="s">
        <v>1514</v>
      </c>
      <c r="E334" s="15"/>
      <c r="F334" s="13" t="s">
        <v>512</v>
      </c>
      <c r="G334" s="16">
        <v>51.0</v>
      </c>
      <c r="I334" s="16" t="b">
        <v>0</v>
      </c>
      <c r="J334" s="16" t="s">
        <v>134</v>
      </c>
      <c r="N334" s="16" t="b">
        <v>1</v>
      </c>
      <c r="O334" s="16" t="s">
        <v>35</v>
      </c>
      <c r="R334" s="16" t="s">
        <v>1518</v>
      </c>
    </row>
    <row r="335" hidden="1">
      <c r="A335" s="13">
        <v>2238715.0</v>
      </c>
      <c r="B335" s="14">
        <v>46195.873344907406</v>
      </c>
      <c r="C335" s="13" t="s">
        <v>101</v>
      </c>
      <c r="D335" s="13" t="s">
        <v>237</v>
      </c>
      <c r="E335" s="15"/>
      <c r="F335" s="13" t="s">
        <v>1520</v>
      </c>
      <c r="G335" s="16">
        <v>100.0</v>
      </c>
      <c r="I335" s="16" t="b">
        <v>0</v>
      </c>
      <c r="J335" s="16" t="s">
        <v>205</v>
      </c>
      <c r="K335" s="16" t="s">
        <v>218</v>
      </c>
      <c r="N335" s="16" t="b">
        <v>1</v>
      </c>
      <c r="O335" s="16" t="s">
        <v>35</v>
      </c>
      <c r="R335" s="16" t="s">
        <v>1522</v>
      </c>
    </row>
    <row r="336" hidden="1">
      <c r="A336" s="13">
        <v>2239544.0</v>
      </c>
      <c r="B336" s="14">
        <v>46196.72640046296</v>
      </c>
      <c r="C336" s="13" t="s">
        <v>101</v>
      </c>
      <c r="D336" s="13" t="s">
        <v>526</v>
      </c>
      <c r="E336" s="15"/>
      <c r="F336" s="13" t="s">
        <v>1524</v>
      </c>
      <c r="G336" s="16">
        <v>21.0</v>
      </c>
      <c r="I336" s="16" t="b">
        <v>0</v>
      </c>
      <c r="J336" s="16" t="s">
        <v>134</v>
      </c>
      <c r="N336" s="16" t="b">
        <v>1</v>
      </c>
      <c r="O336" s="16" t="s">
        <v>35</v>
      </c>
      <c r="R336" s="16" t="s">
        <v>1525</v>
      </c>
    </row>
    <row r="337" hidden="1">
      <c r="A337" s="13">
        <v>2239789.0</v>
      </c>
      <c r="B337" s="14">
        <v>46196.85417824074</v>
      </c>
      <c r="C337" s="13" t="s">
        <v>139</v>
      </c>
      <c r="D337" s="13" t="s">
        <v>586</v>
      </c>
      <c r="E337" s="15"/>
      <c r="F337" s="13" t="s">
        <v>272</v>
      </c>
      <c r="G337" s="16">
        <v>120.0</v>
      </c>
      <c r="I337" s="16" t="b">
        <v>0</v>
      </c>
      <c r="J337" s="16" t="s">
        <v>144</v>
      </c>
      <c r="N337" s="16" t="b">
        <v>1</v>
      </c>
      <c r="O337" s="16" t="s">
        <v>35</v>
      </c>
      <c r="R337" s="16" t="s">
        <v>1528</v>
      </c>
    </row>
    <row r="338" hidden="1">
      <c r="A338" s="13">
        <v>2239798.0</v>
      </c>
      <c r="B338" s="14">
        <v>46196.85891203704</v>
      </c>
      <c r="C338" s="13" t="s">
        <v>101</v>
      </c>
      <c r="D338" s="13" t="s">
        <v>201</v>
      </c>
      <c r="E338" s="15"/>
      <c r="F338" s="13" t="s">
        <v>1531</v>
      </c>
      <c r="G338" s="16">
        <v>150.0</v>
      </c>
      <c r="I338" s="16" t="b">
        <v>0</v>
      </c>
      <c r="J338" s="16" t="s">
        <v>205</v>
      </c>
      <c r="K338" s="16" t="s">
        <v>218</v>
      </c>
      <c r="N338" s="16" t="b">
        <v>1</v>
      </c>
      <c r="O338" s="16" t="s">
        <v>35</v>
      </c>
      <c r="R338" s="16" t="s">
        <v>1533</v>
      </c>
    </row>
    <row r="339" hidden="1">
      <c r="A339" s="13">
        <v>2239817.0</v>
      </c>
      <c r="B339" s="14">
        <v>46196.868425925924</v>
      </c>
      <c r="C339" s="13" t="s">
        <v>101</v>
      </c>
      <c r="D339" s="13" t="s">
        <v>398</v>
      </c>
      <c r="E339" s="15"/>
      <c r="F339" s="13" t="s">
        <v>600</v>
      </c>
      <c r="G339" s="16">
        <v>12.0</v>
      </c>
      <c r="I339" s="16" t="b">
        <v>0</v>
      </c>
      <c r="J339" s="16" t="s">
        <v>134</v>
      </c>
      <c r="N339" s="16" t="b">
        <v>1</v>
      </c>
      <c r="O339" s="16" t="s">
        <v>35</v>
      </c>
      <c r="R339" s="16" t="s">
        <v>1534</v>
      </c>
    </row>
    <row r="340" hidden="1">
      <c r="A340" s="13">
        <v>2240320.0</v>
      </c>
      <c r="B340" s="14">
        <v>46197.55480324074</v>
      </c>
      <c r="C340" s="13" t="s">
        <v>101</v>
      </c>
      <c r="D340" s="13" t="s">
        <v>252</v>
      </c>
      <c r="E340" s="15"/>
      <c r="F340" s="13" t="s">
        <v>1537</v>
      </c>
      <c r="G340" s="16">
        <v>5.0</v>
      </c>
      <c r="I340" s="16" t="b">
        <v>0</v>
      </c>
      <c r="J340" s="16" t="s">
        <v>170</v>
      </c>
      <c r="M340" s="16" t="s">
        <v>1539</v>
      </c>
      <c r="N340" s="16" t="b">
        <v>1</v>
      </c>
      <c r="O340" s="16" t="s">
        <v>35</v>
      </c>
      <c r="R340" s="16" t="s">
        <v>1540</v>
      </c>
    </row>
    <row r="341" hidden="1">
      <c r="A341" s="13">
        <v>2240572.0</v>
      </c>
      <c r="B341" s="14">
        <v>46197.70979166667</v>
      </c>
      <c r="C341" s="13" t="s">
        <v>101</v>
      </c>
      <c r="D341" s="13" t="s">
        <v>246</v>
      </c>
      <c r="E341" s="15"/>
      <c r="F341" s="13" t="s">
        <v>133</v>
      </c>
      <c r="G341" s="16">
        <v>30.0</v>
      </c>
      <c r="I341" s="16" t="b">
        <v>0</v>
      </c>
      <c r="J341" s="16" t="s">
        <v>134</v>
      </c>
      <c r="N341" s="16" t="b">
        <v>1</v>
      </c>
      <c r="O341" s="16" t="s">
        <v>35</v>
      </c>
      <c r="R341" s="16" t="s">
        <v>1542</v>
      </c>
    </row>
    <row r="342" hidden="1">
      <c r="A342" s="13">
        <v>2241455.0</v>
      </c>
      <c r="B342" s="14">
        <v>46198.68763888889</v>
      </c>
      <c r="C342" s="13" t="s">
        <v>101</v>
      </c>
      <c r="D342" s="13" t="s">
        <v>1544</v>
      </c>
      <c r="E342" s="15"/>
      <c r="F342" s="13" t="s">
        <v>1545</v>
      </c>
      <c r="G342" s="16">
        <v>17.36</v>
      </c>
      <c r="I342" s="16" t="b">
        <v>0</v>
      </c>
      <c r="J342" s="16" t="s">
        <v>783</v>
      </c>
      <c r="N342" s="16" t="b">
        <v>1</v>
      </c>
      <c r="O342" s="16" t="s">
        <v>35</v>
      </c>
      <c r="R342" s="16" t="s">
        <v>1546</v>
      </c>
    </row>
    <row r="343" hidden="1">
      <c r="A343" s="13">
        <v>2241481.0</v>
      </c>
      <c r="B343" s="14">
        <v>46198.695543981485</v>
      </c>
      <c r="C343" s="13" t="s">
        <v>139</v>
      </c>
      <c r="D343" s="13" t="s">
        <v>246</v>
      </c>
      <c r="E343" s="15"/>
      <c r="F343" s="13" t="s">
        <v>788</v>
      </c>
      <c r="G343" s="16">
        <v>30.0</v>
      </c>
      <c r="I343" s="16" t="b">
        <v>0</v>
      </c>
      <c r="J343" s="16" t="s">
        <v>144</v>
      </c>
      <c r="N343" s="16" t="b">
        <v>1</v>
      </c>
      <c r="O343" s="16" t="s">
        <v>35</v>
      </c>
      <c r="R343" s="16" t="s">
        <v>1551</v>
      </c>
    </row>
    <row r="344" hidden="1">
      <c r="A344" s="13">
        <v>2241574.0</v>
      </c>
      <c r="B344" s="14">
        <v>46198.73425925926</v>
      </c>
      <c r="C344" s="13" t="s">
        <v>101</v>
      </c>
      <c r="D344" s="13" t="s">
        <v>306</v>
      </c>
      <c r="E344" s="15"/>
      <c r="F344" s="13" t="s">
        <v>1553</v>
      </c>
      <c r="G344" s="16">
        <v>22.0</v>
      </c>
      <c r="I344" s="16" t="b">
        <v>0</v>
      </c>
      <c r="J344" s="16" t="s">
        <v>134</v>
      </c>
      <c r="N344" s="16" t="b">
        <v>1</v>
      </c>
      <c r="O344" s="16" t="s">
        <v>35</v>
      </c>
      <c r="R344" s="16" t="s">
        <v>1554</v>
      </c>
    </row>
    <row r="345" hidden="1">
      <c r="A345" s="13">
        <v>2241639.0</v>
      </c>
      <c r="B345" s="14">
        <v>46198.760243055556</v>
      </c>
      <c r="C345" s="13" t="s">
        <v>101</v>
      </c>
      <c r="D345" s="13" t="s">
        <v>1555</v>
      </c>
      <c r="E345" s="24"/>
      <c r="F345" s="13" t="s">
        <v>494</v>
      </c>
      <c r="G345" s="16">
        <v>12.8</v>
      </c>
      <c r="I345" s="16" t="b">
        <v>0</v>
      </c>
      <c r="J345" s="16" t="s">
        <v>116</v>
      </c>
      <c r="K345" s="16" t="s">
        <v>336</v>
      </c>
      <c r="N345" s="16" t="b">
        <v>1</v>
      </c>
      <c r="O345" s="16" t="s">
        <v>35</v>
      </c>
      <c r="R345" s="16" t="s">
        <v>1558</v>
      </c>
    </row>
    <row r="346" hidden="1">
      <c r="A346" s="13">
        <v>2241893.0</v>
      </c>
      <c r="B346" s="14">
        <v>46198.87978009259</v>
      </c>
      <c r="C346" s="13" t="s">
        <v>101</v>
      </c>
      <c r="D346" s="13" t="s">
        <v>510</v>
      </c>
      <c r="E346" s="15"/>
      <c r="F346" s="13" t="s">
        <v>600</v>
      </c>
      <c r="G346" s="16">
        <v>24.0</v>
      </c>
      <c r="I346" s="16" t="b">
        <v>0</v>
      </c>
      <c r="J346" s="16" t="s">
        <v>134</v>
      </c>
      <c r="N346" s="16" t="b">
        <v>1</v>
      </c>
      <c r="O346" s="16" t="s">
        <v>35</v>
      </c>
      <c r="R346" s="16" t="s">
        <v>1562</v>
      </c>
    </row>
    <row r="347" hidden="1">
      <c r="A347" s="13">
        <v>2242826.0</v>
      </c>
      <c r="B347" s="14">
        <v>46199.78600694444</v>
      </c>
      <c r="C347" s="13" t="s">
        <v>139</v>
      </c>
      <c r="D347" s="13" t="s">
        <v>201</v>
      </c>
      <c r="E347" s="15"/>
      <c r="F347" s="13" t="s">
        <v>1563</v>
      </c>
      <c r="G347" s="16">
        <v>150.0</v>
      </c>
      <c r="I347" s="16" t="b">
        <v>0</v>
      </c>
      <c r="J347" s="16" t="s">
        <v>205</v>
      </c>
      <c r="K347" s="16" t="s">
        <v>218</v>
      </c>
      <c r="N347" s="16" t="b">
        <v>1</v>
      </c>
      <c r="O347" s="16" t="s">
        <v>35</v>
      </c>
      <c r="R347" s="16" t="s">
        <v>1565</v>
      </c>
    </row>
    <row r="348" hidden="1">
      <c r="A348" s="13">
        <v>2242827.0</v>
      </c>
      <c r="B348" s="14">
        <v>46199.786261574074</v>
      </c>
      <c r="C348" s="13" t="s">
        <v>139</v>
      </c>
      <c r="D348" s="13" t="s">
        <v>237</v>
      </c>
      <c r="E348" s="15"/>
      <c r="F348" s="13" t="s">
        <v>1568</v>
      </c>
      <c r="G348" s="16">
        <v>100.0</v>
      </c>
      <c r="I348" s="16" t="b">
        <v>0</v>
      </c>
      <c r="J348" s="16" t="s">
        <v>205</v>
      </c>
      <c r="K348" s="16" t="s">
        <v>218</v>
      </c>
      <c r="N348" s="16" t="b">
        <v>1</v>
      </c>
      <c r="O348" s="16" t="s">
        <v>35</v>
      </c>
      <c r="R348" s="16" t="s">
        <v>1570</v>
      </c>
    </row>
    <row r="349" hidden="1">
      <c r="A349" s="13">
        <v>2242896.0</v>
      </c>
      <c r="B349" s="14">
        <v>46199.8296412037</v>
      </c>
      <c r="C349" s="13" t="s">
        <v>101</v>
      </c>
      <c r="D349" s="13" t="s">
        <v>324</v>
      </c>
      <c r="E349" s="15"/>
      <c r="F349" s="13" t="s">
        <v>325</v>
      </c>
      <c r="G349" s="16">
        <v>36.0</v>
      </c>
      <c r="I349" s="16" t="b">
        <v>0</v>
      </c>
      <c r="J349" s="16" t="s">
        <v>116</v>
      </c>
      <c r="K349" s="16" t="s">
        <v>117</v>
      </c>
      <c r="N349" s="16" t="b">
        <v>1</v>
      </c>
      <c r="O349" s="16" t="s">
        <v>35</v>
      </c>
      <c r="R349" s="16" t="s">
        <v>1572</v>
      </c>
    </row>
    <row r="350" hidden="1">
      <c r="A350" s="13">
        <v>2242963.0</v>
      </c>
      <c r="B350" s="14">
        <v>46199.857939814814</v>
      </c>
      <c r="C350" s="13" t="s">
        <v>101</v>
      </c>
      <c r="D350" s="13" t="s">
        <v>1575</v>
      </c>
      <c r="E350" s="15"/>
      <c r="F350" s="13" t="s">
        <v>1576</v>
      </c>
      <c r="G350" s="16">
        <v>28.4</v>
      </c>
      <c r="I350" s="16" t="b">
        <v>0</v>
      </c>
      <c r="J350" s="16" t="s">
        <v>170</v>
      </c>
      <c r="M350" s="16" t="s">
        <v>1577</v>
      </c>
      <c r="N350" s="16" t="b">
        <v>1</v>
      </c>
      <c r="O350" s="16" t="s">
        <v>35</v>
      </c>
      <c r="R350" s="16" t="s">
        <v>1578</v>
      </c>
    </row>
    <row r="351" hidden="1">
      <c r="A351" s="13">
        <v>2242964.0</v>
      </c>
      <c r="B351" s="14">
        <v>46199.85827546296</v>
      </c>
      <c r="C351" s="13" t="s">
        <v>101</v>
      </c>
      <c r="D351" s="13" t="s">
        <v>1580</v>
      </c>
      <c r="E351" s="15"/>
      <c r="F351" s="13" t="s">
        <v>537</v>
      </c>
      <c r="G351" s="16">
        <v>94.6</v>
      </c>
      <c r="I351" s="16" t="b">
        <v>0</v>
      </c>
      <c r="J351" s="16" t="s">
        <v>170</v>
      </c>
      <c r="M351" s="16" t="s">
        <v>1582</v>
      </c>
      <c r="N351" s="16" t="b">
        <v>1</v>
      </c>
      <c r="O351" s="16" t="s">
        <v>35</v>
      </c>
      <c r="R351" s="16" t="s">
        <v>1584</v>
      </c>
    </row>
    <row r="352" hidden="1">
      <c r="A352" s="13">
        <v>2242999.0</v>
      </c>
      <c r="B352" s="14">
        <v>46199.87100694444</v>
      </c>
      <c r="C352" s="13" t="s">
        <v>101</v>
      </c>
      <c r="D352" s="13" t="s">
        <v>1555</v>
      </c>
      <c r="E352" s="15"/>
      <c r="F352" s="13" t="s">
        <v>574</v>
      </c>
      <c r="G352" s="16">
        <v>12.8</v>
      </c>
      <c r="I352" s="16" t="b">
        <v>0</v>
      </c>
      <c r="J352" s="16" t="s">
        <v>116</v>
      </c>
      <c r="K352" s="16" t="s">
        <v>218</v>
      </c>
      <c r="N352" s="16" t="b">
        <v>1</v>
      </c>
      <c r="O352" s="16" t="s">
        <v>35</v>
      </c>
      <c r="R352" s="16" t="s">
        <v>1586</v>
      </c>
    </row>
    <row r="353" hidden="1">
      <c r="A353" s="13">
        <v>2243004.0</v>
      </c>
      <c r="B353" s="14">
        <v>46199.87336805555</v>
      </c>
      <c r="C353" s="13" t="s">
        <v>101</v>
      </c>
      <c r="D353" s="13" t="s">
        <v>201</v>
      </c>
      <c r="E353" s="15"/>
      <c r="F353" s="13" t="s">
        <v>1588</v>
      </c>
      <c r="G353" s="16">
        <v>150.0</v>
      </c>
      <c r="I353" s="16" t="b">
        <v>0</v>
      </c>
      <c r="J353" s="16" t="s">
        <v>205</v>
      </c>
      <c r="K353" s="16" t="s">
        <v>218</v>
      </c>
      <c r="N353" s="16" t="b">
        <v>1</v>
      </c>
      <c r="O353" s="16" t="s">
        <v>35</v>
      </c>
      <c r="R353" s="16" t="s">
        <v>1565</v>
      </c>
    </row>
    <row r="354" hidden="1">
      <c r="A354" s="13">
        <v>2243011.0</v>
      </c>
      <c r="B354" s="14">
        <v>46199.8768287037</v>
      </c>
      <c r="C354" s="13" t="s">
        <v>101</v>
      </c>
      <c r="D354" s="13" t="s">
        <v>718</v>
      </c>
      <c r="E354" s="15"/>
      <c r="F354" s="13" t="s">
        <v>600</v>
      </c>
      <c r="G354" s="16">
        <v>32.0</v>
      </c>
      <c r="I354" s="16" t="b">
        <v>0</v>
      </c>
      <c r="J354" s="16" t="s">
        <v>134</v>
      </c>
      <c r="N354" s="16" t="b">
        <v>1</v>
      </c>
      <c r="O354" s="16" t="s">
        <v>35</v>
      </c>
      <c r="R354" s="16" t="s">
        <v>1590</v>
      </c>
    </row>
    <row r="355" hidden="1">
      <c r="A355" s="13">
        <v>2244249.0</v>
      </c>
      <c r="B355" s="14">
        <v>46200.79409722222</v>
      </c>
      <c r="C355" s="13" t="s">
        <v>101</v>
      </c>
      <c r="D355" s="13" t="s">
        <v>1290</v>
      </c>
      <c r="E355" s="15"/>
      <c r="F355" s="13" t="s">
        <v>1591</v>
      </c>
      <c r="G355" s="16">
        <v>56.0</v>
      </c>
      <c r="I355" s="16" t="b">
        <v>0</v>
      </c>
      <c r="J355" s="16" t="s">
        <v>134</v>
      </c>
      <c r="N355" s="16" t="b">
        <v>1</v>
      </c>
      <c r="O355" s="16" t="s">
        <v>35</v>
      </c>
      <c r="R355" s="16" t="s">
        <v>1593</v>
      </c>
    </row>
    <row r="356" hidden="1">
      <c r="A356" s="13">
        <v>2244292.0</v>
      </c>
      <c r="B356" s="14">
        <v>46200.81284722222</v>
      </c>
      <c r="C356" s="13" t="s">
        <v>139</v>
      </c>
      <c r="D356" s="13" t="s">
        <v>179</v>
      </c>
      <c r="E356" s="15"/>
      <c r="F356" s="13" t="s">
        <v>272</v>
      </c>
      <c r="G356" s="16">
        <v>20.0</v>
      </c>
      <c r="I356" s="16" t="b">
        <v>0</v>
      </c>
      <c r="J356" s="16" t="s">
        <v>144</v>
      </c>
      <c r="N356" s="16" t="b">
        <v>1</v>
      </c>
      <c r="O356" s="16" t="s">
        <v>35</v>
      </c>
      <c r="R356" s="16" t="s">
        <v>1597</v>
      </c>
    </row>
    <row r="357" hidden="1">
      <c r="A357" s="13">
        <v>2244443.0</v>
      </c>
      <c r="B357" s="14">
        <v>46200.8702662037</v>
      </c>
      <c r="C357" s="13" t="s">
        <v>101</v>
      </c>
      <c r="D357" s="13" t="s">
        <v>1598</v>
      </c>
      <c r="E357" s="15"/>
      <c r="F357" s="13" t="s">
        <v>512</v>
      </c>
      <c r="G357" s="16">
        <v>134.0</v>
      </c>
      <c r="I357" s="16" t="b">
        <v>0</v>
      </c>
      <c r="J357" s="16" t="s">
        <v>134</v>
      </c>
      <c r="N357" s="16" t="b">
        <v>1</v>
      </c>
      <c r="O357" s="16" t="s">
        <v>35</v>
      </c>
      <c r="R357" s="16" t="s">
        <v>1600</v>
      </c>
    </row>
    <row r="358" hidden="1">
      <c r="A358" s="13">
        <v>2244444.0</v>
      </c>
      <c r="B358" s="14">
        <v>46200.87061342593</v>
      </c>
      <c r="C358" s="13" t="s">
        <v>101</v>
      </c>
      <c r="D358" s="13" t="s">
        <v>586</v>
      </c>
      <c r="E358" s="15"/>
      <c r="F358" s="13" t="s">
        <v>1492</v>
      </c>
      <c r="G358" s="16">
        <v>120.0</v>
      </c>
      <c r="I358" s="16" t="b">
        <v>0</v>
      </c>
      <c r="J358" s="16" t="s">
        <v>126</v>
      </c>
      <c r="N358" s="16" t="b">
        <v>1</v>
      </c>
      <c r="O358" s="16" t="s">
        <v>35</v>
      </c>
      <c r="R358" s="16" t="s">
        <v>1604</v>
      </c>
    </row>
    <row r="359" hidden="1">
      <c r="A359" s="13">
        <v>2244445.0</v>
      </c>
      <c r="B359" s="14">
        <v>46200.87085648148</v>
      </c>
      <c r="C359" s="13" t="s">
        <v>101</v>
      </c>
      <c r="D359" s="13" t="s">
        <v>586</v>
      </c>
      <c r="E359" s="15"/>
      <c r="F359" s="13" t="s">
        <v>1263</v>
      </c>
      <c r="G359" s="16">
        <v>120.0</v>
      </c>
      <c r="I359" s="16" t="b">
        <v>0</v>
      </c>
      <c r="J359" s="16" t="s">
        <v>126</v>
      </c>
      <c r="N359" s="16" t="b">
        <v>1</v>
      </c>
      <c r="O359" s="16" t="s">
        <v>35</v>
      </c>
      <c r="R359" s="16" t="s">
        <v>1604</v>
      </c>
    </row>
    <row r="360" hidden="1">
      <c r="A360" s="13">
        <v>2245188.0</v>
      </c>
      <c r="B360" s="14">
        <v>46201.539351851854</v>
      </c>
      <c r="C360" s="13" t="s">
        <v>101</v>
      </c>
      <c r="D360" s="13" t="s">
        <v>141</v>
      </c>
      <c r="E360" s="15"/>
      <c r="F360" s="13" t="s">
        <v>523</v>
      </c>
      <c r="G360" s="16">
        <v>40.0</v>
      </c>
      <c r="I360" s="16" t="b">
        <v>0</v>
      </c>
      <c r="J360" s="16" t="s">
        <v>116</v>
      </c>
      <c r="K360" s="16" t="s">
        <v>336</v>
      </c>
      <c r="N360" s="16" t="b">
        <v>1</v>
      </c>
      <c r="O360" s="16" t="s">
        <v>35</v>
      </c>
      <c r="R360" s="16" t="s">
        <v>1609</v>
      </c>
    </row>
    <row r="361" hidden="1">
      <c r="A361" s="13">
        <v>2246266.0</v>
      </c>
      <c r="B361" s="14">
        <v>46201.86730324074</v>
      </c>
      <c r="C361" s="13" t="s">
        <v>101</v>
      </c>
      <c r="D361" s="13" t="s">
        <v>586</v>
      </c>
      <c r="E361" s="15"/>
      <c r="F361" s="13" t="s">
        <v>1240</v>
      </c>
      <c r="G361" s="16">
        <v>120.0</v>
      </c>
      <c r="I361" s="16" t="b">
        <v>0</v>
      </c>
      <c r="J361" s="16" t="s">
        <v>126</v>
      </c>
      <c r="N361" s="16" t="b">
        <v>1</v>
      </c>
      <c r="O361" s="16" t="s">
        <v>35</v>
      </c>
      <c r="R361" s="16" t="s">
        <v>1610</v>
      </c>
    </row>
    <row r="362" hidden="1">
      <c r="A362" s="13">
        <v>2246267.0</v>
      </c>
      <c r="B362" s="14">
        <v>46201.86748842592</v>
      </c>
      <c r="C362" s="13" t="s">
        <v>101</v>
      </c>
      <c r="D362" s="13" t="s">
        <v>586</v>
      </c>
      <c r="E362" s="15"/>
      <c r="F362" s="13" t="s">
        <v>1612</v>
      </c>
      <c r="G362" s="16">
        <v>120.0</v>
      </c>
      <c r="I362" s="16" t="b">
        <v>0</v>
      </c>
      <c r="J362" s="16" t="s">
        <v>126</v>
      </c>
      <c r="N362" s="16" t="b">
        <v>1</v>
      </c>
      <c r="O362" s="16" t="s">
        <v>35</v>
      </c>
      <c r="R362" s="16" t="s">
        <v>1610</v>
      </c>
    </row>
    <row r="363" hidden="1">
      <c r="A363" s="13">
        <v>2246272.0</v>
      </c>
      <c r="B363" s="14">
        <v>46201.86821759259</v>
      </c>
      <c r="C363" s="13" t="s">
        <v>101</v>
      </c>
      <c r="D363" s="13" t="s">
        <v>1614</v>
      </c>
      <c r="E363" s="15"/>
      <c r="F363" s="13" t="s">
        <v>1616</v>
      </c>
      <c r="G363" s="16">
        <v>342.0</v>
      </c>
      <c r="I363" s="16" t="b">
        <v>0</v>
      </c>
      <c r="J363" s="16" t="s">
        <v>134</v>
      </c>
      <c r="N363" s="16" t="b">
        <v>1</v>
      </c>
      <c r="O363" s="16" t="s">
        <v>35</v>
      </c>
      <c r="R363" s="16" t="s">
        <v>1618</v>
      </c>
    </row>
    <row r="364" hidden="1">
      <c r="A364" s="13">
        <v>2246293.0</v>
      </c>
      <c r="B364" s="14">
        <v>46201.87403935185</v>
      </c>
      <c r="C364" s="13" t="s">
        <v>101</v>
      </c>
      <c r="D364" s="13" t="s">
        <v>845</v>
      </c>
      <c r="E364" s="15"/>
      <c r="F364" s="13" t="s">
        <v>1619</v>
      </c>
      <c r="G364" s="16">
        <v>20.8</v>
      </c>
      <c r="I364" s="16" t="b">
        <v>0</v>
      </c>
      <c r="J364" s="16" t="s">
        <v>116</v>
      </c>
      <c r="K364" s="16" t="s">
        <v>227</v>
      </c>
      <c r="N364" s="16" t="b">
        <v>1</v>
      </c>
      <c r="O364" s="16" t="s">
        <v>35</v>
      </c>
      <c r="R364" s="16" t="s">
        <v>1621</v>
      </c>
    </row>
    <row r="365" hidden="1">
      <c r="A365" s="13">
        <v>2246300.0</v>
      </c>
      <c r="B365" s="14">
        <v>46201.87457175926</v>
      </c>
      <c r="C365" s="13" t="s">
        <v>101</v>
      </c>
      <c r="D365" s="13" t="s">
        <v>907</v>
      </c>
      <c r="E365" s="15"/>
      <c r="F365" s="13" t="s">
        <v>109</v>
      </c>
      <c r="G365" s="16">
        <v>43.2</v>
      </c>
      <c r="I365" s="16" t="b">
        <v>0</v>
      </c>
      <c r="J365" s="16" t="s">
        <v>116</v>
      </c>
      <c r="K365" s="16" t="s">
        <v>117</v>
      </c>
      <c r="N365" s="16" t="b">
        <v>1</v>
      </c>
      <c r="O365" s="16" t="s">
        <v>35</v>
      </c>
      <c r="R365" s="16" t="s">
        <v>1625</v>
      </c>
    </row>
    <row r="366" hidden="1">
      <c r="A366" s="13">
        <v>2247671.0</v>
      </c>
      <c r="B366" s="14">
        <v>46202.75366898148</v>
      </c>
      <c r="C366" s="13" t="s">
        <v>101</v>
      </c>
      <c r="D366" s="13" t="s">
        <v>324</v>
      </c>
      <c r="E366" s="15"/>
      <c r="F366" s="13" t="s">
        <v>325</v>
      </c>
      <c r="G366" s="16">
        <v>36.0</v>
      </c>
      <c r="I366" s="16" t="b">
        <v>0</v>
      </c>
      <c r="J366" s="16" t="s">
        <v>116</v>
      </c>
      <c r="K366" s="16" t="s">
        <v>117</v>
      </c>
      <c r="N366" s="16" t="b">
        <v>1</v>
      </c>
      <c r="O366" s="16" t="s">
        <v>35</v>
      </c>
      <c r="R366" s="16" t="s">
        <v>1626</v>
      </c>
    </row>
    <row r="367" hidden="1">
      <c r="A367" s="13">
        <v>2247896.0</v>
      </c>
      <c r="B367" s="14">
        <v>46202.843668981484</v>
      </c>
      <c r="C367" s="13" t="s">
        <v>101</v>
      </c>
      <c r="D367" s="13" t="s">
        <v>1627</v>
      </c>
      <c r="E367" s="15"/>
      <c r="F367" s="13" t="s">
        <v>1629</v>
      </c>
      <c r="G367" s="16">
        <v>8.75</v>
      </c>
      <c r="I367" s="16" t="b">
        <v>0</v>
      </c>
      <c r="J367" s="16" t="s">
        <v>170</v>
      </c>
      <c r="N367" s="16" t="b">
        <v>1</v>
      </c>
      <c r="O367" s="16" t="s">
        <v>35</v>
      </c>
      <c r="R367" s="16" t="s">
        <v>1630</v>
      </c>
    </row>
    <row r="368" hidden="1">
      <c r="A368" s="13">
        <v>2247897.0</v>
      </c>
      <c r="B368" s="14">
        <v>46202.84388888889</v>
      </c>
      <c r="C368" s="13" t="s">
        <v>101</v>
      </c>
      <c r="D368" s="13" t="s">
        <v>1633</v>
      </c>
      <c r="E368" s="15"/>
      <c r="F368" s="13" t="s">
        <v>1635</v>
      </c>
      <c r="G368" s="16">
        <v>8.0</v>
      </c>
      <c r="I368" s="16" t="b">
        <v>0</v>
      </c>
      <c r="J368" s="16" t="s">
        <v>170</v>
      </c>
      <c r="N368" s="16" t="b">
        <v>1</v>
      </c>
      <c r="O368" s="16" t="s">
        <v>35</v>
      </c>
      <c r="R368" s="16" t="s">
        <v>1636</v>
      </c>
    </row>
    <row r="369" hidden="1">
      <c r="A369" s="13">
        <v>2247976.0</v>
      </c>
      <c r="B369" s="14">
        <v>46202.874293981484</v>
      </c>
      <c r="C369" s="13" t="s">
        <v>139</v>
      </c>
      <c r="D369" s="13" t="s">
        <v>237</v>
      </c>
      <c r="E369" s="15"/>
      <c r="F369" s="13" t="s">
        <v>788</v>
      </c>
      <c r="G369" s="16">
        <v>100.0</v>
      </c>
      <c r="I369" s="16" t="b">
        <v>0</v>
      </c>
      <c r="J369" s="16" t="s">
        <v>144</v>
      </c>
      <c r="N369" s="16" t="b">
        <v>1</v>
      </c>
      <c r="O369" s="16" t="s">
        <v>35</v>
      </c>
      <c r="R369" s="16" t="s">
        <v>1637</v>
      </c>
    </row>
    <row r="370" hidden="1">
      <c r="A370" s="13">
        <v>2247986.0</v>
      </c>
      <c r="B370" s="14">
        <v>46202.876851851855</v>
      </c>
      <c r="C370" s="13" t="s">
        <v>101</v>
      </c>
      <c r="D370" s="13" t="s">
        <v>324</v>
      </c>
      <c r="E370" s="15"/>
      <c r="F370" s="13" t="s">
        <v>574</v>
      </c>
      <c r="G370" s="16">
        <v>36.0</v>
      </c>
      <c r="I370" s="16" t="b">
        <v>0</v>
      </c>
      <c r="J370" s="16" t="s">
        <v>116</v>
      </c>
      <c r="K370" s="16" t="s">
        <v>218</v>
      </c>
      <c r="N370" s="16" t="b">
        <v>1</v>
      </c>
      <c r="O370" s="16" t="s">
        <v>35</v>
      </c>
      <c r="R370" s="16" t="s">
        <v>1639</v>
      </c>
    </row>
    <row r="371" hidden="1">
      <c r="A371" s="13">
        <v>2247987.0</v>
      </c>
      <c r="B371" s="14">
        <v>46202.876979166664</v>
      </c>
      <c r="C371" s="13" t="s">
        <v>101</v>
      </c>
      <c r="D371" s="13" t="s">
        <v>582</v>
      </c>
      <c r="E371" s="15"/>
      <c r="F371" s="13" t="s">
        <v>512</v>
      </c>
      <c r="G371" s="16">
        <v>151.0</v>
      </c>
      <c r="I371" s="16" t="b">
        <v>0</v>
      </c>
      <c r="J371" s="16" t="s">
        <v>134</v>
      </c>
      <c r="N371" s="16" t="b">
        <v>1</v>
      </c>
      <c r="O371" s="16" t="s">
        <v>35</v>
      </c>
      <c r="R371" s="16" t="s">
        <v>1641</v>
      </c>
    </row>
    <row r="372" hidden="1">
      <c r="A372" s="13">
        <v>2247993.0</v>
      </c>
      <c r="B372" s="14">
        <v>46202.87836805556</v>
      </c>
      <c r="C372" s="13" t="s">
        <v>101</v>
      </c>
      <c r="D372" s="13" t="s">
        <v>201</v>
      </c>
      <c r="E372" s="15"/>
      <c r="F372" s="13" t="s">
        <v>1642</v>
      </c>
      <c r="G372" s="16">
        <v>150.0</v>
      </c>
      <c r="I372" s="16" t="b">
        <v>0</v>
      </c>
      <c r="J372" s="16" t="s">
        <v>205</v>
      </c>
      <c r="K372" s="16" t="s">
        <v>218</v>
      </c>
      <c r="N372" s="16" t="b">
        <v>1</v>
      </c>
      <c r="O372" s="16" t="s">
        <v>35</v>
      </c>
      <c r="R372" s="16" t="s">
        <v>1644</v>
      </c>
    </row>
    <row r="373" hidden="1">
      <c r="A373" s="13">
        <v>2248714.0</v>
      </c>
      <c r="B373" s="14">
        <v>46203.58394675926</v>
      </c>
      <c r="C373" s="13" t="s">
        <v>101</v>
      </c>
      <c r="D373" s="13" t="s">
        <v>179</v>
      </c>
      <c r="E373" s="15"/>
      <c r="F373" s="13" t="s">
        <v>629</v>
      </c>
      <c r="G373" s="16">
        <v>20.0</v>
      </c>
      <c r="I373" s="16" t="b">
        <v>0</v>
      </c>
      <c r="J373" s="16" t="s">
        <v>134</v>
      </c>
      <c r="N373" s="16" t="b">
        <v>1</v>
      </c>
      <c r="O373" s="16" t="s">
        <v>35</v>
      </c>
      <c r="R373" s="16" t="s">
        <v>1649</v>
      </c>
    </row>
    <row r="374" hidden="1">
      <c r="A374" s="13">
        <v>2249033.0</v>
      </c>
      <c r="B374" s="14">
        <v>46203.7052662037</v>
      </c>
      <c r="C374" s="13" t="s">
        <v>101</v>
      </c>
      <c r="D374" s="13" t="s">
        <v>526</v>
      </c>
      <c r="E374" s="15"/>
      <c r="F374" s="13" t="s">
        <v>399</v>
      </c>
      <c r="G374" s="16">
        <v>21.0</v>
      </c>
      <c r="I374" s="16" t="b">
        <v>0</v>
      </c>
      <c r="J374" s="16" t="s">
        <v>134</v>
      </c>
      <c r="N374" s="16" t="b">
        <v>1</v>
      </c>
      <c r="O374" s="16" t="s">
        <v>35</v>
      </c>
      <c r="R374" s="16" t="s">
        <v>1650</v>
      </c>
    </row>
    <row r="375" hidden="1">
      <c r="A375" s="13">
        <v>2249034.0</v>
      </c>
      <c r="B375" s="14">
        <v>46203.70547453704</v>
      </c>
      <c r="C375" s="13" t="s">
        <v>101</v>
      </c>
      <c r="D375" s="13" t="s">
        <v>231</v>
      </c>
      <c r="E375" s="15"/>
      <c r="F375" s="13" t="s">
        <v>133</v>
      </c>
      <c r="G375" s="16">
        <v>10.0</v>
      </c>
      <c r="I375" s="16" t="b">
        <v>0</v>
      </c>
      <c r="J375" s="16" t="s">
        <v>134</v>
      </c>
      <c r="N375" s="16" t="b">
        <v>1</v>
      </c>
      <c r="O375" s="16" t="s">
        <v>35</v>
      </c>
      <c r="R375" s="16" t="s">
        <v>1656</v>
      </c>
    </row>
    <row r="376" hidden="1">
      <c r="A376" s="13">
        <v>2249086.0</v>
      </c>
      <c r="B376" s="14">
        <v>46203.72435185185</v>
      </c>
      <c r="C376" s="13" t="s">
        <v>101</v>
      </c>
      <c r="D376" s="13" t="s">
        <v>237</v>
      </c>
      <c r="E376" s="15"/>
      <c r="F376" s="13" t="s">
        <v>1657</v>
      </c>
      <c r="G376" s="16">
        <v>100.0</v>
      </c>
      <c r="I376" s="16" t="b">
        <v>0</v>
      </c>
      <c r="J376" s="16" t="s">
        <v>205</v>
      </c>
      <c r="K376" s="16" t="s">
        <v>117</v>
      </c>
      <c r="N376" s="16" t="b">
        <v>1</v>
      </c>
      <c r="O376" s="16" t="s">
        <v>35</v>
      </c>
      <c r="R376" s="16" t="s">
        <v>1658</v>
      </c>
    </row>
    <row r="377" hidden="1">
      <c r="A377" s="13">
        <v>2249372.0</v>
      </c>
      <c r="B377" s="14">
        <v>46203.826319444444</v>
      </c>
      <c r="C377" s="13" t="s">
        <v>101</v>
      </c>
      <c r="D377" s="13" t="s">
        <v>1659</v>
      </c>
      <c r="E377" s="15"/>
      <c r="F377" s="13" t="s">
        <v>1545</v>
      </c>
      <c r="G377" s="16">
        <v>31.7</v>
      </c>
      <c r="I377" s="16" t="b">
        <v>0</v>
      </c>
      <c r="J377" s="16" t="s">
        <v>783</v>
      </c>
      <c r="N377" s="16" t="b">
        <v>1</v>
      </c>
      <c r="O377" s="16" t="s">
        <v>35</v>
      </c>
      <c r="R377" s="16" t="s">
        <v>1661</v>
      </c>
    </row>
    <row r="378" hidden="1">
      <c r="A378" s="13">
        <v>2249378.0</v>
      </c>
      <c r="B378" s="14">
        <v>46203.82895833333</v>
      </c>
      <c r="C378" s="13" t="s">
        <v>101</v>
      </c>
      <c r="D378" s="13" t="s">
        <v>1665</v>
      </c>
      <c r="E378" s="15"/>
      <c r="F378" s="13" t="s">
        <v>325</v>
      </c>
      <c r="G378" s="16">
        <v>29.52</v>
      </c>
      <c r="I378" s="16" t="b">
        <v>0</v>
      </c>
      <c r="J378" s="16" t="s">
        <v>116</v>
      </c>
      <c r="K378" s="16" t="s">
        <v>117</v>
      </c>
      <c r="N378" s="16" t="b">
        <v>1</v>
      </c>
      <c r="O378" s="16" t="s">
        <v>35</v>
      </c>
      <c r="R378" s="16" t="s">
        <v>1666</v>
      </c>
    </row>
    <row r="379" hidden="1">
      <c r="A379" s="13">
        <v>2249412.0</v>
      </c>
      <c r="B379" s="14">
        <v>46203.84653935185</v>
      </c>
      <c r="C379" s="13" t="s">
        <v>139</v>
      </c>
      <c r="D379" s="13" t="s">
        <v>141</v>
      </c>
      <c r="E379" s="15"/>
      <c r="F379" s="13" t="s">
        <v>788</v>
      </c>
      <c r="G379" s="16">
        <v>50.0</v>
      </c>
      <c r="I379" s="16" t="b">
        <v>0</v>
      </c>
      <c r="J379" s="16" t="s">
        <v>144</v>
      </c>
      <c r="N379" s="16" t="b">
        <v>1</v>
      </c>
      <c r="O379" s="16" t="s">
        <v>35</v>
      </c>
      <c r="R379" s="16" t="s">
        <v>1669</v>
      </c>
    </row>
    <row r="380" hidden="1">
      <c r="A380" s="13">
        <v>2249492.0</v>
      </c>
      <c r="B380" s="14">
        <v>46203.87604166667</v>
      </c>
      <c r="C380" s="13" t="s">
        <v>101</v>
      </c>
      <c r="D380" s="13" t="s">
        <v>291</v>
      </c>
      <c r="E380" s="15"/>
      <c r="F380" s="13" t="s">
        <v>1672</v>
      </c>
      <c r="G380" s="16">
        <v>250.0</v>
      </c>
      <c r="I380" s="16" t="b">
        <v>0</v>
      </c>
      <c r="J380" s="16" t="s">
        <v>205</v>
      </c>
      <c r="K380" s="16" t="s">
        <v>218</v>
      </c>
      <c r="N380" s="16" t="b">
        <v>1</v>
      </c>
      <c r="O380" s="16" t="s">
        <v>35</v>
      </c>
      <c r="R380" s="16" t="s">
        <v>1673</v>
      </c>
    </row>
    <row r="381" hidden="1">
      <c r="A381" s="13">
        <v>2249494.0</v>
      </c>
      <c r="B381" s="14">
        <v>46203.87648148148</v>
      </c>
      <c r="C381" s="13" t="s">
        <v>101</v>
      </c>
      <c r="D381" s="13" t="s">
        <v>1514</v>
      </c>
      <c r="E381" s="15"/>
      <c r="F381" s="13" t="s">
        <v>512</v>
      </c>
      <c r="G381" s="16">
        <v>51.0</v>
      </c>
      <c r="I381" s="16" t="b">
        <v>0</v>
      </c>
      <c r="J381" s="16" t="s">
        <v>134</v>
      </c>
      <c r="N381" s="16" t="b">
        <v>1</v>
      </c>
      <c r="O381" s="16" t="s">
        <v>35</v>
      </c>
      <c r="R381" s="16" t="s">
        <v>1675</v>
      </c>
    </row>
    <row r="382" hidden="1">
      <c r="A382" s="13">
        <v>2250551.0</v>
      </c>
      <c r="B382" s="14">
        <v>46204.70386574074</v>
      </c>
      <c r="C382" s="13" t="s">
        <v>139</v>
      </c>
      <c r="D382" s="13" t="s">
        <v>291</v>
      </c>
      <c r="E382" s="15"/>
      <c r="F382" s="13" t="s">
        <v>1678</v>
      </c>
      <c r="G382" s="16">
        <v>250.0</v>
      </c>
      <c r="I382" s="16" t="b">
        <v>0</v>
      </c>
      <c r="J382" s="16" t="s">
        <v>205</v>
      </c>
      <c r="K382" s="16" t="s">
        <v>218</v>
      </c>
      <c r="N382" s="16" t="b">
        <v>1</v>
      </c>
      <c r="O382" s="16" t="s">
        <v>35</v>
      </c>
      <c r="R382" s="16" t="s">
        <v>1679</v>
      </c>
    </row>
    <row r="383" hidden="1">
      <c r="A383" s="13">
        <v>2250557.0</v>
      </c>
      <c r="B383" s="14">
        <v>46204.705717592595</v>
      </c>
      <c r="C383" s="13" t="s">
        <v>101</v>
      </c>
      <c r="D383" s="13" t="s">
        <v>1680</v>
      </c>
      <c r="E383" s="15"/>
      <c r="F383" s="13" t="s">
        <v>1681</v>
      </c>
      <c r="G383" s="16">
        <v>321.0</v>
      </c>
      <c r="I383" s="16" t="b">
        <v>0</v>
      </c>
      <c r="J383" s="16" t="s">
        <v>170</v>
      </c>
      <c r="M383" s="16" t="s">
        <v>1682</v>
      </c>
      <c r="N383" s="16" t="b">
        <v>1</v>
      </c>
      <c r="O383" s="16" t="s">
        <v>35</v>
      </c>
      <c r="R383" s="16" t="s">
        <v>1684</v>
      </c>
    </row>
    <row r="384" hidden="1">
      <c r="A384" s="13">
        <v>2250616.0</v>
      </c>
      <c r="B384" s="14">
        <v>46204.72613425926</v>
      </c>
      <c r="C384" s="13" t="s">
        <v>101</v>
      </c>
      <c r="D384" s="13" t="s">
        <v>1687</v>
      </c>
      <c r="E384" s="15"/>
      <c r="F384" s="13" t="s">
        <v>109</v>
      </c>
      <c r="G384" s="16">
        <v>15.2</v>
      </c>
      <c r="I384" s="16" t="b">
        <v>0</v>
      </c>
      <c r="J384" s="16" t="s">
        <v>116</v>
      </c>
      <c r="K384" s="16" t="s">
        <v>117</v>
      </c>
      <c r="N384" s="16" t="b">
        <v>1</v>
      </c>
      <c r="O384" s="16" t="s">
        <v>35</v>
      </c>
      <c r="R384" s="16" t="s">
        <v>1689</v>
      </c>
    </row>
    <row r="385" hidden="1">
      <c r="A385" s="13">
        <v>2250631.0</v>
      </c>
      <c r="B385" s="14">
        <v>46204.73153935185</v>
      </c>
      <c r="C385" s="13" t="s">
        <v>101</v>
      </c>
      <c r="D385" s="13" t="s">
        <v>885</v>
      </c>
      <c r="E385" s="15"/>
      <c r="F385" s="13" t="s">
        <v>133</v>
      </c>
      <c r="G385" s="16">
        <v>81.0</v>
      </c>
      <c r="I385" s="16" t="b">
        <v>0</v>
      </c>
      <c r="J385" s="16" t="s">
        <v>134</v>
      </c>
      <c r="N385" s="16" t="b">
        <v>1</v>
      </c>
      <c r="O385" s="16" t="s">
        <v>35</v>
      </c>
      <c r="R385" s="16" t="s">
        <v>1692</v>
      </c>
    </row>
    <row r="386" hidden="1">
      <c r="A386" s="13">
        <v>2250633.0</v>
      </c>
      <c r="B386" s="14">
        <v>46204.732453703706</v>
      </c>
      <c r="C386" s="13" t="s">
        <v>101</v>
      </c>
      <c r="D386" s="13" t="s">
        <v>237</v>
      </c>
      <c r="E386" s="15"/>
      <c r="F386" s="13" t="s">
        <v>1693</v>
      </c>
      <c r="G386" s="16">
        <v>100.0</v>
      </c>
      <c r="I386" s="16" t="b">
        <v>0</v>
      </c>
      <c r="J386" s="16" t="s">
        <v>205</v>
      </c>
      <c r="K386" s="16" t="s">
        <v>117</v>
      </c>
      <c r="N386" s="16" t="b">
        <v>1</v>
      </c>
      <c r="O386" s="16" t="s">
        <v>35</v>
      </c>
      <c r="R386" s="16" t="s">
        <v>1694</v>
      </c>
    </row>
    <row r="387" hidden="1">
      <c r="A387" s="13">
        <v>2250872.0</v>
      </c>
      <c r="B387" s="14">
        <v>46204.827256944445</v>
      </c>
      <c r="C387" s="13" t="s">
        <v>101</v>
      </c>
      <c r="D387" s="13" t="s">
        <v>501</v>
      </c>
      <c r="E387" s="15"/>
      <c r="F387" s="13" t="s">
        <v>325</v>
      </c>
      <c r="G387" s="16">
        <v>20.0</v>
      </c>
      <c r="I387" s="16" t="b">
        <v>0</v>
      </c>
      <c r="J387" s="16" t="s">
        <v>116</v>
      </c>
      <c r="K387" s="16" t="s">
        <v>117</v>
      </c>
      <c r="N387" s="16" t="b">
        <v>1</v>
      </c>
      <c r="O387" s="16" t="s">
        <v>35</v>
      </c>
      <c r="R387" s="16" t="s">
        <v>1696</v>
      </c>
    </row>
    <row r="388" hidden="1">
      <c r="A388" s="13">
        <v>2250965.0</v>
      </c>
      <c r="B388" s="14">
        <v>46204.86486111111</v>
      </c>
      <c r="C388" s="13" t="s">
        <v>101</v>
      </c>
      <c r="D388" s="13" t="s">
        <v>1697</v>
      </c>
      <c r="E388" s="15"/>
      <c r="F388" s="13" t="s">
        <v>600</v>
      </c>
      <c r="G388" s="16">
        <v>63.0</v>
      </c>
      <c r="I388" s="16" t="b">
        <v>0</v>
      </c>
      <c r="J388" s="16" t="s">
        <v>134</v>
      </c>
      <c r="N388" s="16" t="b">
        <v>1</v>
      </c>
      <c r="O388" s="16" t="s">
        <v>35</v>
      </c>
      <c r="R388" s="16" t="s">
        <v>1699</v>
      </c>
    </row>
    <row r="389" hidden="1">
      <c r="A389" s="13">
        <v>2250966.0</v>
      </c>
      <c r="B389" s="14">
        <v>46204.86508101852</v>
      </c>
      <c r="C389" s="13" t="s">
        <v>101</v>
      </c>
      <c r="D389" s="13" t="s">
        <v>201</v>
      </c>
      <c r="E389" s="15"/>
      <c r="F389" s="13" t="s">
        <v>1700</v>
      </c>
      <c r="G389" s="16">
        <v>150.0</v>
      </c>
      <c r="I389" s="16" t="b">
        <v>0</v>
      </c>
      <c r="J389" s="16" t="s">
        <v>205</v>
      </c>
      <c r="K389" s="16" t="s">
        <v>218</v>
      </c>
      <c r="N389" s="16" t="b">
        <v>1</v>
      </c>
      <c r="O389" s="16" t="s">
        <v>35</v>
      </c>
      <c r="R389" s="16" t="s">
        <v>1702</v>
      </c>
    </row>
    <row r="390" hidden="1">
      <c r="A390" s="13">
        <v>2250971.0</v>
      </c>
      <c r="B390" s="14">
        <v>46204.86655092592</v>
      </c>
      <c r="C390" s="13" t="s">
        <v>101</v>
      </c>
      <c r="D390" s="13" t="s">
        <v>246</v>
      </c>
      <c r="E390" s="15"/>
      <c r="F390" s="13" t="s">
        <v>225</v>
      </c>
      <c r="G390" s="16">
        <v>24.0</v>
      </c>
      <c r="I390" s="16" t="b">
        <v>0</v>
      </c>
      <c r="J390" s="16" t="s">
        <v>116</v>
      </c>
      <c r="K390" s="16" t="s">
        <v>227</v>
      </c>
      <c r="N390" s="16" t="b">
        <v>1</v>
      </c>
      <c r="O390" s="16" t="s">
        <v>35</v>
      </c>
      <c r="R390" s="16" t="s">
        <v>1704</v>
      </c>
    </row>
    <row r="391" hidden="1">
      <c r="A391" s="13">
        <v>2252007.0</v>
      </c>
      <c r="B391" s="14">
        <v>46205.72084490741</v>
      </c>
      <c r="C391" s="13" t="s">
        <v>101</v>
      </c>
      <c r="D391" s="13" t="s">
        <v>1706</v>
      </c>
      <c r="E391" s="15"/>
      <c r="F391" s="13" t="s">
        <v>133</v>
      </c>
      <c r="G391" s="16">
        <v>136.0</v>
      </c>
      <c r="I391" s="16" t="b">
        <v>0</v>
      </c>
      <c r="J391" s="16" t="s">
        <v>134</v>
      </c>
      <c r="N391" s="16" t="b">
        <v>1</v>
      </c>
      <c r="O391" s="16" t="s">
        <v>35</v>
      </c>
      <c r="R391" s="16" t="s">
        <v>1708</v>
      </c>
    </row>
    <row r="392" hidden="1">
      <c r="A392" s="13">
        <v>2252008.0</v>
      </c>
      <c r="B392" s="14">
        <v>46205.72137731482</v>
      </c>
      <c r="C392" s="13" t="s">
        <v>101</v>
      </c>
      <c r="D392" s="13" t="s">
        <v>398</v>
      </c>
      <c r="E392" s="15"/>
      <c r="F392" s="13" t="s">
        <v>1710</v>
      </c>
      <c r="G392" s="16">
        <v>12.0</v>
      </c>
      <c r="I392" s="16" t="b">
        <v>0</v>
      </c>
      <c r="J392" s="16" t="s">
        <v>170</v>
      </c>
      <c r="M392" s="16" t="s">
        <v>1711</v>
      </c>
      <c r="N392" s="16" t="b">
        <v>1</v>
      </c>
      <c r="O392" s="16" t="s">
        <v>35</v>
      </c>
      <c r="R392" s="16" t="s">
        <v>1713</v>
      </c>
    </row>
    <row r="393" hidden="1">
      <c r="A393" s="13">
        <v>2252357.0</v>
      </c>
      <c r="B393" s="14">
        <v>46205.86902777778</v>
      </c>
      <c r="C393" s="13" t="s">
        <v>101</v>
      </c>
      <c r="D393" s="13" t="s">
        <v>210</v>
      </c>
      <c r="E393" s="24"/>
      <c r="F393" s="13" t="s">
        <v>574</v>
      </c>
      <c r="G393" s="16">
        <v>32.0</v>
      </c>
      <c r="I393" s="16" t="b">
        <v>0</v>
      </c>
      <c r="J393" s="16" t="s">
        <v>116</v>
      </c>
      <c r="K393" s="16" t="s">
        <v>218</v>
      </c>
      <c r="N393" s="16" t="b">
        <v>1</v>
      </c>
      <c r="O393" s="16" t="s">
        <v>35</v>
      </c>
      <c r="R393" s="16" t="s">
        <v>1714</v>
      </c>
    </row>
    <row r="394" hidden="1">
      <c r="A394" s="13">
        <v>2252358.0</v>
      </c>
      <c r="B394" s="14">
        <v>46205.86954861111</v>
      </c>
      <c r="C394" s="13" t="s">
        <v>101</v>
      </c>
      <c r="D394" s="13" t="s">
        <v>161</v>
      </c>
      <c r="E394" s="15"/>
      <c r="F394" s="13" t="s">
        <v>600</v>
      </c>
      <c r="G394" s="16">
        <v>60.0</v>
      </c>
      <c r="I394" s="16" t="b">
        <v>0</v>
      </c>
      <c r="J394" s="16" t="s">
        <v>134</v>
      </c>
      <c r="N394" s="16" t="b">
        <v>1</v>
      </c>
      <c r="O394" s="16" t="s">
        <v>35</v>
      </c>
      <c r="R394" s="16" t="s">
        <v>1716</v>
      </c>
    </row>
    <row r="395" hidden="1">
      <c r="A395" s="13">
        <v>2253391.0</v>
      </c>
      <c r="B395" s="14">
        <v>46206.673483796294</v>
      </c>
      <c r="C395" s="13" t="s">
        <v>101</v>
      </c>
      <c r="D395" s="13" t="s">
        <v>901</v>
      </c>
      <c r="E395" s="15"/>
      <c r="F395" s="13" t="s">
        <v>282</v>
      </c>
      <c r="G395" s="16">
        <v>108.0</v>
      </c>
      <c r="I395" s="16" t="b">
        <v>0</v>
      </c>
      <c r="J395" s="16" t="s">
        <v>170</v>
      </c>
      <c r="M395" s="21" t="s">
        <v>1717</v>
      </c>
      <c r="N395" s="16" t="b">
        <v>1</v>
      </c>
      <c r="O395" s="16" t="s">
        <v>35</v>
      </c>
      <c r="R395" s="16" t="s">
        <v>1719</v>
      </c>
    </row>
    <row r="396" hidden="1">
      <c r="A396" s="13">
        <v>2253642.0</v>
      </c>
      <c r="B396" s="14">
        <v>46206.74940972222</v>
      </c>
      <c r="C396" s="13" t="s">
        <v>139</v>
      </c>
      <c r="D396" s="13" t="s">
        <v>201</v>
      </c>
      <c r="E396" s="15"/>
      <c r="F396" s="13" t="s">
        <v>1720</v>
      </c>
      <c r="G396" s="16">
        <v>150.0</v>
      </c>
      <c r="I396" s="16" t="b">
        <v>0</v>
      </c>
      <c r="J396" s="16" t="s">
        <v>205</v>
      </c>
      <c r="K396" s="16" t="s">
        <v>218</v>
      </c>
      <c r="N396" s="16" t="b">
        <v>1</v>
      </c>
      <c r="O396" s="16" t="s">
        <v>35</v>
      </c>
      <c r="R396" s="16" t="s">
        <v>1722</v>
      </c>
    </row>
    <row r="397" hidden="1">
      <c r="A397" s="13">
        <v>2253645.0</v>
      </c>
      <c r="B397" s="14">
        <v>46206.75016203704</v>
      </c>
      <c r="C397" s="13" t="s">
        <v>139</v>
      </c>
      <c r="D397" s="13" t="s">
        <v>201</v>
      </c>
      <c r="E397" s="15"/>
      <c r="F397" s="13" t="s">
        <v>1723</v>
      </c>
      <c r="G397" s="16">
        <v>150.0</v>
      </c>
      <c r="I397" s="16" t="b">
        <v>0</v>
      </c>
      <c r="J397" s="16" t="s">
        <v>205</v>
      </c>
      <c r="K397" s="16" t="s">
        <v>218</v>
      </c>
      <c r="N397" s="16" t="b">
        <v>1</v>
      </c>
      <c r="O397" s="16" t="s">
        <v>35</v>
      </c>
      <c r="R397" s="16" t="s">
        <v>1722</v>
      </c>
    </row>
    <row r="398" hidden="1">
      <c r="A398" s="13">
        <v>2253652.0</v>
      </c>
      <c r="B398" s="14">
        <v>46206.75219907407</v>
      </c>
      <c r="C398" s="13" t="s">
        <v>101</v>
      </c>
      <c r="D398" s="13" t="s">
        <v>1724</v>
      </c>
      <c r="E398" s="15"/>
      <c r="F398" s="13" t="s">
        <v>877</v>
      </c>
      <c r="G398" s="16">
        <v>295.0</v>
      </c>
      <c r="I398" s="16" t="b">
        <v>0</v>
      </c>
      <c r="J398" s="16" t="s">
        <v>170</v>
      </c>
      <c r="M398" s="16" t="s">
        <v>1727</v>
      </c>
      <c r="N398" s="16" t="b">
        <v>1</v>
      </c>
      <c r="O398" s="16" t="s">
        <v>35</v>
      </c>
      <c r="R398" s="16" t="s">
        <v>1729</v>
      </c>
    </row>
    <row r="399" hidden="1">
      <c r="A399" s="13">
        <v>2253656.0</v>
      </c>
      <c r="B399" s="14">
        <v>46206.753796296296</v>
      </c>
      <c r="C399" s="13" t="s">
        <v>101</v>
      </c>
      <c r="D399" s="13" t="s">
        <v>1730</v>
      </c>
      <c r="E399" s="15"/>
      <c r="F399" s="13" t="s">
        <v>133</v>
      </c>
      <c r="G399" s="16">
        <v>96.0</v>
      </c>
      <c r="I399" s="16" t="b">
        <v>0</v>
      </c>
      <c r="J399" s="16" t="s">
        <v>134</v>
      </c>
      <c r="N399" s="16" t="b">
        <v>1</v>
      </c>
      <c r="O399" s="16" t="s">
        <v>35</v>
      </c>
      <c r="R399" s="16" t="s">
        <v>1731</v>
      </c>
    </row>
    <row r="400" hidden="1">
      <c r="A400" s="13">
        <v>2253856.0</v>
      </c>
      <c r="B400" s="14">
        <v>46206.837233796294</v>
      </c>
      <c r="C400" s="13" t="s">
        <v>101</v>
      </c>
      <c r="D400" s="13" t="s">
        <v>321</v>
      </c>
      <c r="E400" s="15"/>
      <c r="F400" s="13" t="s">
        <v>325</v>
      </c>
      <c r="G400" s="16">
        <v>66.4</v>
      </c>
      <c r="I400" s="16" t="b">
        <v>0</v>
      </c>
      <c r="J400" s="16" t="s">
        <v>116</v>
      </c>
      <c r="K400" s="16" t="s">
        <v>117</v>
      </c>
      <c r="N400" s="16" t="b">
        <v>1</v>
      </c>
      <c r="O400" s="16" t="s">
        <v>35</v>
      </c>
      <c r="R400" s="16" t="s">
        <v>1732</v>
      </c>
    </row>
    <row r="401" hidden="1">
      <c r="A401" s="13">
        <v>2253857.0</v>
      </c>
      <c r="B401" s="14">
        <v>46206.8378125</v>
      </c>
      <c r="C401" s="13" t="s">
        <v>101</v>
      </c>
      <c r="D401" s="13" t="s">
        <v>428</v>
      </c>
      <c r="E401" s="24"/>
      <c r="F401" s="13" t="s">
        <v>494</v>
      </c>
      <c r="G401" s="16">
        <v>28.0</v>
      </c>
      <c r="I401" s="16" t="b">
        <v>0</v>
      </c>
      <c r="J401" s="16" t="s">
        <v>116</v>
      </c>
      <c r="K401" s="16" t="s">
        <v>336</v>
      </c>
      <c r="N401" s="16" t="b">
        <v>1</v>
      </c>
      <c r="O401" s="16" t="s">
        <v>35</v>
      </c>
      <c r="R401" s="16" t="s">
        <v>1733</v>
      </c>
    </row>
    <row r="402" hidden="1">
      <c r="A402" s="13">
        <v>2253858.0</v>
      </c>
      <c r="B402" s="14">
        <v>46206.83820601852</v>
      </c>
      <c r="C402" s="13" t="s">
        <v>101</v>
      </c>
      <c r="D402" s="13" t="s">
        <v>398</v>
      </c>
      <c r="E402" s="15"/>
      <c r="F402" s="13" t="s">
        <v>1735</v>
      </c>
      <c r="G402" s="16">
        <v>9.6</v>
      </c>
      <c r="I402" s="16" t="b">
        <v>0</v>
      </c>
      <c r="J402" s="16" t="s">
        <v>116</v>
      </c>
      <c r="K402" s="16" t="s">
        <v>227</v>
      </c>
      <c r="N402" s="16" t="b">
        <v>1</v>
      </c>
      <c r="O402" s="16" t="s">
        <v>35</v>
      </c>
      <c r="R402" s="16" t="s">
        <v>1738</v>
      </c>
    </row>
    <row r="403" hidden="1">
      <c r="A403" s="13">
        <v>2253947.0</v>
      </c>
      <c r="B403" s="14">
        <v>46206.86886574074</v>
      </c>
      <c r="C403" s="13" t="s">
        <v>101</v>
      </c>
      <c r="D403" s="13" t="s">
        <v>473</v>
      </c>
      <c r="E403" s="15"/>
      <c r="F403" s="13" t="s">
        <v>600</v>
      </c>
      <c r="G403" s="16">
        <v>15.0</v>
      </c>
      <c r="I403" s="16" t="b">
        <v>0</v>
      </c>
      <c r="J403" s="16" t="s">
        <v>134</v>
      </c>
      <c r="N403" s="16" t="b">
        <v>1</v>
      </c>
      <c r="O403" s="16" t="s">
        <v>35</v>
      </c>
      <c r="R403" s="16" t="s">
        <v>1740</v>
      </c>
    </row>
    <row r="404" hidden="1">
      <c r="A404" s="13">
        <v>2255408.0</v>
      </c>
      <c r="B404" s="14">
        <v>46207.862442129626</v>
      </c>
      <c r="C404" s="13" t="s">
        <v>101</v>
      </c>
      <c r="D404" s="13" t="s">
        <v>1742</v>
      </c>
      <c r="E404" s="15"/>
      <c r="F404" s="13" t="s">
        <v>629</v>
      </c>
      <c r="G404" s="16">
        <v>158.0</v>
      </c>
      <c r="I404" s="16" t="b">
        <v>0</v>
      </c>
      <c r="J404" s="16" t="s">
        <v>134</v>
      </c>
      <c r="N404" s="16" t="b">
        <v>1</v>
      </c>
      <c r="O404" s="16" t="s">
        <v>35</v>
      </c>
      <c r="R404" s="16" t="s">
        <v>1744</v>
      </c>
    </row>
    <row r="405" hidden="1">
      <c r="A405" s="13">
        <v>2255411.0</v>
      </c>
      <c r="B405" s="14">
        <v>46207.86283564815</v>
      </c>
      <c r="C405" s="13" t="s">
        <v>101</v>
      </c>
      <c r="D405" s="13" t="s">
        <v>586</v>
      </c>
      <c r="E405" s="15"/>
      <c r="F405" s="13" t="s">
        <v>1240</v>
      </c>
      <c r="G405" s="16">
        <v>120.0</v>
      </c>
      <c r="I405" s="16" t="b">
        <v>0</v>
      </c>
      <c r="J405" s="16" t="s">
        <v>126</v>
      </c>
      <c r="N405" s="16" t="b">
        <v>1</v>
      </c>
      <c r="O405" s="16" t="s">
        <v>35</v>
      </c>
      <c r="R405" s="16" t="s">
        <v>1746</v>
      </c>
    </row>
    <row r="406" hidden="1">
      <c r="A406" s="13">
        <v>2255413.0</v>
      </c>
      <c r="B406" s="14">
        <v>46207.862974537034</v>
      </c>
      <c r="C406" s="13" t="s">
        <v>101</v>
      </c>
      <c r="D406" s="13" t="s">
        <v>586</v>
      </c>
      <c r="E406" s="15"/>
      <c r="F406" s="13" t="s">
        <v>124</v>
      </c>
      <c r="G406" s="16">
        <v>120.0</v>
      </c>
      <c r="I406" s="16" t="b">
        <v>0</v>
      </c>
      <c r="J406" s="16" t="s">
        <v>126</v>
      </c>
      <c r="N406" s="16" t="b">
        <v>1</v>
      </c>
      <c r="O406" s="16" t="s">
        <v>35</v>
      </c>
      <c r="R406" s="16" t="s">
        <v>1746</v>
      </c>
    </row>
    <row r="407" hidden="1">
      <c r="A407" s="13">
        <v>2255433.0</v>
      </c>
      <c r="B407" s="14">
        <v>46207.867939814816</v>
      </c>
      <c r="C407" s="13" t="s">
        <v>101</v>
      </c>
      <c r="D407" s="13" t="s">
        <v>213</v>
      </c>
      <c r="E407" s="15"/>
      <c r="F407" s="13" t="s">
        <v>1749</v>
      </c>
      <c r="G407" s="16">
        <v>200.0</v>
      </c>
      <c r="I407" s="16" t="b">
        <v>0</v>
      </c>
      <c r="J407" s="16" t="s">
        <v>205</v>
      </c>
      <c r="K407" s="16" t="s">
        <v>117</v>
      </c>
      <c r="N407" s="16" t="b">
        <v>1</v>
      </c>
      <c r="O407" s="16" t="s">
        <v>35</v>
      </c>
      <c r="R407" s="16" t="s">
        <v>1751</v>
      </c>
    </row>
    <row r="408" hidden="1">
      <c r="A408" s="13">
        <v>2256392.0</v>
      </c>
      <c r="B408" s="14">
        <v>46208.623715277776</v>
      </c>
      <c r="C408" s="13" t="s">
        <v>139</v>
      </c>
      <c r="D408" s="13" t="s">
        <v>201</v>
      </c>
      <c r="E408" s="15"/>
      <c r="F408" s="13" t="s">
        <v>142</v>
      </c>
      <c r="G408" s="16">
        <v>150.0</v>
      </c>
      <c r="I408" s="16" t="b">
        <v>0</v>
      </c>
      <c r="J408" s="16" t="s">
        <v>144</v>
      </c>
      <c r="N408" s="16" t="b">
        <v>1</v>
      </c>
      <c r="O408" s="16" t="s">
        <v>35</v>
      </c>
      <c r="R408" s="16" t="s">
        <v>1755</v>
      </c>
    </row>
    <row r="409" hidden="1">
      <c r="A409" s="13">
        <v>2256620.0</v>
      </c>
      <c r="B409" s="14">
        <v>46208.6880787037</v>
      </c>
      <c r="C409" s="13" t="s">
        <v>101</v>
      </c>
      <c r="D409" s="13" t="s">
        <v>324</v>
      </c>
      <c r="E409" s="15"/>
      <c r="F409" s="13" t="s">
        <v>344</v>
      </c>
      <c r="G409" s="16">
        <v>45.0</v>
      </c>
      <c r="I409" s="16" t="b">
        <v>0</v>
      </c>
      <c r="J409" s="16" t="s">
        <v>126</v>
      </c>
      <c r="N409" s="16" t="b">
        <v>1</v>
      </c>
      <c r="O409" s="16" t="s">
        <v>35</v>
      </c>
      <c r="R409" s="16" t="s">
        <v>1758</v>
      </c>
    </row>
    <row r="410" hidden="1">
      <c r="A410" s="13">
        <v>2257105.0</v>
      </c>
      <c r="B410" s="14">
        <v>46208.876284722224</v>
      </c>
      <c r="C410" s="13" t="s">
        <v>101</v>
      </c>
      <c r="D410" s="13" t="s">
        <v>1760</v>
      </c>
      <c r="E410" s="15"/>
      <c r="F410" s="13" t="s">
        <v>512</v>
      </c>
      <c r="G410" s="16">
        <v>115.0</v>
      </c>
      <c r="I410" s="16" t="b">
        <v>0</v>
      </c>
      <c r="J410" s="16" t="s">
        <v>134</v>
      </c>
      <c r="N410" s="16" t="b">
        <v>1</v>
      </c>
      <c r="O410" s="16" t="s">
        <v>35</v>
      </c>
      <c r="R410" s="16" t="s">
        <v>1761</v>
      </c>
    </row>
    <row r="411" hidden="1">
      <c r="A411" s="13">
        <v>2257108.0</v>
      </c>
      <c r="B411" s="14">
        <v>46208.87644675926</v>
      </c>
      <c r="C411" s="13" t="s">
        <v>101</v>
      </c>
      <c r="D411" s="13" t="s">
        <v>1488</v>
      </c>
      <c r="E411" s="15"/>
      <c r="F411" s="13" t="s">
        <v>1762</v>
      </c>
      <c r="G411" s="16">
        <v>90.0</v>
      </c>
      <c r="I411" s="16" t="b">
        <v>0</v>
      </c>
      <c r="J411" s="16" t="s">
        <v>126</v>
      </c>
      <c r="N411" s="16" t="b">
        <v>1</v>
      </c>
      <c r="O411" s="16" t="s">
        <v>35</v>
      </c>
      <c r="R411" s="16" t="s">
        <v>1765</v>
      </c>
    </row>
    <row r="412" hidden="1">
      <c r="A412" s="13">
        <v>2257110.0</v>
      </c>
      <c r="B412" s="14">
        <v>46208.87662037037</v>
      </c>
      <c r="C412" s="13" t="s">
        <v>101</v>
      </c>
      <c r="D412" s="13" t="s">
        <v>799</v>
      </c>
      <c r="E412" s="15"/>
      <c r="F412" s="13" t="s">
        <v>1263</v>
      </c>
      <c r="G412" s="16">
        <v>75.0</v>
      </c>
      <c r="I412" s="16" t="b">
        <v>0</v>
      </c>
      <c r="J412" s="16" t="s">
        <v>126</v>
      </c>
      <c r="N412" s="16" t="b">
        <v>1</v>
      </c>
      <c r="O412" s="16" t="s">
        <v>35</v>
      </c>
      <c r="R412" s="16" t="s">
        <v>1769</v>
      </c>
    </row>
    <row r="413" hidden="1">
      <c r="A413" s="13">
        <v>2257129.0</v>
      </c>
      <c r="B413" s="14">
        <v>46208.87837962963</v>
      </c>
      <c r="C413" s="13" t="s">
        <v>101</v>
      </c>
      <c r="D413" s="13" t="s">
        <v>281</v>
      </c>
      <c r="E413" s="15"/>
      <c r="F413" s="13" t="s">
        <v>494</v>
      </c>
      <c r="G413" s="16">
        <v>33.6</v>
      </c>
      <c r="I413" s="16" t="b">
        <v>0</v>
      </c>
      <c r="J413" s="16" t="s">
        <v>116</v>
      </c>
      <c r="K413" s="16" t="s">
        <v>336</v>
      </c>
      <c r="N413" s="16" t="b">
        <v>1</v>
      </c>
      <c r="O413" s="16" t="s">
        <v>35</v>
      </c>
      <c r="R413" s="16" t="s">
        <v>1772</v>
      </c>
    </row>
    <row r="414" hidden="1">
      <c r="A414" s="13">
        <v>2257161.0</v>
      </c>
      <c r="B414" s="14">
        <v>46208.88240740741</v>
      </c>
      <c r="C414" s="13" t="s">
        <v>101</v>
      </c>
      <c r="D414" s="13" t="s">
        <v>405</v>
      </c>
      <c r="E414" s="15"/>
      <c r="F414" s="13" t="s">
        <v>1497</v>
      </c>
      <c r="G414" s="16">
        <v>650.0</v>
      </c>
      <c r="I414" s="16" t="b">
        <v>0</v>
      </c>
      <c r="J414" s="16" t="s">
        <v>205</v>
      </c>
      <c r="K414" s="16" t="s">
        <v>336</v>
      </c>
      <c r="N414" s="16" t="b">
        <v>1</v>
      </c>
      <c r="O414" s="16" t="s">
        <v>35</v>
      </c>
      <c r="R414" s="16" t="s">
        <v>1775</v>
      </c>
    </row>
    <row r="415" hidden="1">
      <c r="A415" s="13">
        <v>2258474.0</v>
      </c>
      <c r="B415" s="14">
        <v>46209.72189814815</v>
      </c>
      <c r="C415" s="13" t="s">
        <v>101</v>
      </c>
      <c r="D415" s="13" t="s">
        <v>1006</v>
      </c>
      <c r="E415" s="24"/>
      <c r="F415" s="13" t="s">
        <v>133</v>
      </c>
      <c r="G415" s="16">
        <v>68.0</v>
      </c>
      <c r="I415" s="16" t="b">
        <v>0</v>
      </c>
      <c r="J415" s="16" t="s">
        <v>134</v>
      </c>
      <c r="N415" s="16" t="b">
        <v>1</v>
      </c>
      <c r="O415" s="16" t="s">
        <v>35</v>
      </c>
      <c r="R415" s="16" t="s">
        <v>1780</v>
      </c>
    </row>
    <row r="416" hidden="1">
      <c r="A416" s="13">
        <v>2258812.0</v>
      </c>
      <c r="B416" s="14">
        <v>46209.86618055555</v>
      </c>
      <c r="C416" s="13" t="s">
        <v>101</v>
      </c>
      <c r="D416" s="13" t="s">
        <v>231</v>
      </c>
      <c r="E416" s="15"/>
      <c r="F416" s="13" t="s">
        <v>334</v>
      </c>
      <c r="G416" s="16">
        <v>8.0</v>
      </c>
      <c r="I416" s="16" t="b">
        <v>0</v>
      </c>
      <c r="J416" s="16" t="s">
        <v>116</v>
      </c>
      <c r="K416" s="16" t="s">
        <v>336</v>
      </c>
      <c r="N416" s="16" t="b">
        <v>1</v>
      </c>
      <c r="O416" s="16" t="s">
        <v>35</v>
      </c>
      <c r="R416" s="16" t="s">
        <v>1781</v>
      </c>
    </row>
    <row r="417" hidden="1">
      <c r="A417" s="13">
        <v>2258815.0</v>
      </c>
      <c r="B417" s="14">
        <v>46209.8665625</v>
      </c>
      <c r="C417" s="13" t="s">
        <v>101</v>
      </c>
      <c r="D417" s="13" t="s">
        <v>1783</v>
      </c>
      <c r="E417" s="15"/>
      <c r="F417" s="13" t="s">
        <v>600</v>
      </c>
      <c r="G417" s="16">
        <v>38.0</v>
      </c>
      <c r="I417" s="16" t="b">
        <v>0</v>
      </c>
      <c r="J417" s="16" t="s">
        <v>134</v>
      </c>
      <c r="N417" s="16" t="b">
        <v>1</v>
      </c>
      <c r="O417" s="16" t="s">
        <v>35</v>
      </c>
      <c r="R417" s="16" t="s">
        <v>1788</v>
      </c>
    </row>
    <row r="418" hidden="1">
      <c r="A418" s="13">
        <v>2258849.0</v>
      </c>
      <c r="B418" s="14">
        <v>46209.87841435185</v>
      </c>
      <c r="C418" s="13" t="s">
        <v>101</v>
      </c>
      <c r="D418" s="13" t="s">
        <v>237</v>
      </c>
      <c r="E418" s="15"/>
      <c r="F418" s="13" t="s">
        <v>239</v>
      </c>
      <c r="G418" s="16">
        <v>100.0</v>
      </c>
      <c r="I418" s="16" t="b">
        <v>0</v>
      </c>
      <c r="J418" s="16" t="s">
        <v>205</v>
      </c>
      <c r="K418" s="16" t="s">
        <v>218</v>
      </c>
      <c r="N418" s="16" t="b">
        <v>1</v>
      </c>
      <c r="O418" s="16" t="s">
        <v>35</v>
      </c>
      <c r="R418" s="16" t="s">
        <v>1790</v>
      </c>
    </row>
    <row r="419" hidden="1">
      <c r="A419" s="13">
        <v>2259765.0</v>
      </c>
      <c r="B419" s="14">
        <v>46210.684525462966</v>
      </c>
      <c r="C419" s="13" t="s">
        <v>101</v>
      </c>
      <c r="D419" s="13" t="s">
        <v>1349</v>
      </c>
      <c r="E419" s="24"/>
      <c r="F419" s="13" t="s">
        <v>1793</v>
      </c>
      <c r="G419" s="16">
        <v>64.0</v>
      </c>
      <c r="I419" s="16" t="b">
        <v>0</v>
      </c>
      <c r="J419" s="16" t="s">
        <v>170</v>
      </c>
      <c r="N419" s="16" t="b">
        <v>1</v>
      </c>
      <c r="O419" s="16" t="s">
        <v>35</v>
      </c>
      <c r="R419" s="16" t="s">
        <v>1794</v>
      </c>
    </row>
    <row r="420" hidden="1">
      <c r="A420" s="13">
        <v>2259767.0</v>
      </c>
      <c r="B420" s="14">
        <v>46210.68482638889</v>
      </c>
      <c r="C420" s="13" t="s">
        <v>101</v>
      </c>
      <c r="D420" s="13" t="s">
        <v>1795</v>
      </c>
      <c r="E420" s="15"/>
      <c r="F420" s="13" t="s">
        <v>1797</v>
      </c>
      <c r="G420" s="16">
        <v>6.95</v>
      </c>
      <c r="I420" s="16" t="b">
        <v>0</v>
      </c>
      <c r="J420" s="16" t="s">
        <v>170</v>
      </c>
      <c r="N420" s="16" t="b">
        <v>1</v>
      </c>
      <c r="O420" s="16" t="s">
        <v>35</v>
      </c>
      <c r="R420" s="16" t="s">
        <v>1799</v>
      </c>
    </row>
    <row r="421" hidden="1">
      <c r="A421" s="13">
        <v>2259768.0</v>
      </c>
      <c r="B421" s="14">
        <v>46210.68503472222</v>
      </c>
      <c r="C421" s="13" t="s">
        <v>101</v>
      </c>
      <c r="D421" s="13" t="s">
        <v>1801</v>
      </c>
      <c r="E421" s="15"/>
      <c r="F421" s="13" t="s">
        <v>1802</v>
      </c>
      <c r="G421" s="16">
        <v>7.99</v>
      </c>
      <c r="I421" s="16" t="b">
        <v>0</v>
      </c>
      <c r="J421" s="16" t="s">
        <v>170</v>
      </c>
      <c r="N421" s="16" t="b">
        <v>1</v>
      </c>
      <c r="O421" s="16" t="s">
        <v>35</v>
      </c>
      <c r="R421" s="16" t="s">
        <v>1803</v>
      </c>
    </row>
    <row r="422" hidden="1">
      <c r="A422" s="13">
        <v>2259776.0</v>
      </c>
      <c r="B422" s="14">
        <v>46210.68788194445</v>
      </c>
      <c r="C422" s="13" t="s">
        <v>139</v>
      </c>
      <c r="D422" s="13" t="s">
        <v>1804</v>
      </c>
      <c r="E422" s="15"/>
      <c r="F422" s="13" t="s">
        <v>142</v>
      </c>
      <c r="G422" s="16">
        <v>30.05</v>
      </c>
      <c r="I422" s="16" t="b">
        <v>0</v>
      </c>
      <c r="J422" s="16" t="s">
        <v>144</v>
      </c>
      <c r="N422" s="16" t="b">
        <v>1</v>
      </c>
      <c r="O422" s="16" t="s">
        <v>35</v>
      </c>
      <c r="R422" s="16" t="s">
        <v>1806</v>
      </c>
    </row>
    <row r="423" hidden="1">
      <c r="A423" s="13">
        <v>2259795.0</v>
      </c>
      <c r="B423" s="14">
        <v>46210.6953125</v>
      </c>
      <c r="C423" s="13" t="s">
        <v>101</v>
      </c>
      <c r="D423" s="13" t="s">
        <v>1808</v>
      </c>
      <c r="E423" s="15"/>
      <c r="F423" s="13" t="s">
        <v>629</v>
      </c>
      <c r="G423" s="16">
        <v>72.0</v>
      </c>
      <c r="I423" s="16" t="b">
        <v>0</v>
      </c>
      <c r="J423" s="16" t="s">
        <v>134</v>
      </c>
      <c r="N423" s="16" t="b">
        <v>1</v>
      </c>
      <c r="O423" s="16" t="s">
        <v>35</v>
      </c>
      <c r="R423" s="16" t="s">
        <v>1811</v>
      </c>
    </row>
    <row r="424" hidden="1">
      <c r="A424" s="13">
        <v>2260190.0</v>
      </c>
      <c r="B424" s="14">
        <v>46210.857766203706</v>
      </c>
      <c r="C424" s="13" t="s">
        <v>101</v>
      </c>
      <c r="D424" s="13" t="s">
        <v>324</v>
      </c>
      <c r="E424" s="15"/>
      <c r="F424" s="13" t="s">
        <v>574</v>
      </c>
      <c r="G424" s="16">
        <v>36.0</v>
      </c>
      <c r="I424" s="16" t="b">
        <v>0</v>
      </c>
      <c r="J424" s="16" t="s">
        <v>116</v>
      </c>
      <c r="K424" s="16" t="s">
        <v>218</v>
      </c>
      <c r="N424" s="16" t="b">
        <v>1</v>
      </c>
      <c r="O424" s="16" t="s">
        <v>35</v>
      </c>
      <c r="R424" s="16" t="s">
        <v>1814</v>
      </c>
    </row>
    <row r="425" hidden="1">
      <c r="A425" s="13">
        <v>2260200.0</v>
      </c>
      <c r="B425" s="14">
        <v>46210.86510416667</v>
      </c>
      <c r="C425" s="13" t="s">
        <v>101</v>
      </c>
      <c r="D425" s="13" t="s">
        <v>1389</v>
      </c>
      <c r="E425" s="15"/>
      <c r="F425" s="13" t="s">
        <v>600</v>
      </c>
      <c r="G425" s="16">
        <v>34.0</v>
      </c>
      <c r="I425" s="16" t="b">
        <v>0</v>
      </c>
      <c r="J425" s="16" t="s">
        <v>134</v>
      </c>
      <c r="N425" s="16" t="b">
        <v>1</v>
      </c>
      <c r="O425" s="16" t="s">
        <v>35</v>
      </c>
      <c r="R425" s="16" t="s">
        <v>1819</v>
      </c>
    </row>
    <row r="426" hidden="1">
      <c r="A426" s="13">
        <v>2260203.0</v>
      </c>
      <c r="B426" s="14">
        <v>46210.86560185185</v>
      </c>
      <c r="C426" s="13" t="s">
        <v>101</v>
      </c>
      <c r="D426" s="13" t="s">
        <v>237</v>
      </c>
      <c r="E426" s="15"/>
      <c r="F426" s="13" t="s">
        <v>1822</v>
      </c>
      <c r="G426" s="16">
        <v>100.0</v>
      </c>
      <c r="I426" s="16" t="b">
        <v>0</v>
      </c>
      <c r="J426" s="16" t="s">
        <v>205</v>
      </c>
      <c r="K426" s="16" t="s">
        <v>218</v>
      </c>
      <c r="N426" s="16" t="b">
        <v>1</v>
      </c>
      <c r="O426" s="16" t="s">
        <v>35</v>
      </c>
      <c r="R426" s="16" t="s">
        <v>1825</v>
      </c>
    </row>
    <row r="427" hidden="1">
      <c r="A427" s="13">
        <v>2260963.0</v>
      </c>
      <c r="B427" s="14">
        <v>46211.62988425926</v>
      </c>
      <c r="C427" s="13" t="s">
        <v>101</v>
      </c>
      <c r="D427" s="13" t="s">
        <v>1828</v>
      </c>
      <c r="E427" s="15"/>
      <c r="F427" s="13" t="s">
        <v>1829</v>
      </c>
      <c r="G427" s="16">
        <v>6.57</v>
      </c>
      <c r="I427" s="16" t="b">
        <v>0</v>
      </c>
      <c r="J427" s="16" t="s">
        <v>170</v>
      </c>
      <c r="N427" s="16" t="b">
        <v>1</v>
      </c>
      <c r="O427" s="16" t="s">
        <v>35</v>
      </c>
      <c r="R427" s="16" t="s">
        <v>1830</v>
      </c>
    </row>
    <row r="428" hidden="1">
      <c r="A428" s="13">
        <v>2261240.0</v>
      </c>
      <c r="B428" s="14">
        <v>46211.722280092596</v>
      </c>
      <c r="C428" s="13" t="s">
        <v>101</v>
      </c>
      <c r="D428" s="13" t="s">
        <v>321</v>
      </c>
      <c r="E428" s="15"/>
      <c r="F428" s="13" t="s">
        <v>133</v>
      </c>
      <c r="G428" s="16">
        <v>83.0</v>
      </c>
      <c r="I428" s="16" t="b">
        <v>0</v>
      </c>
      <c r="J428" s="16" t="s">
        <v>134</v>
      </c>
      <c r="N428" s="16" t="b">
        <v>1</v>
      </c>
      <c r="O428" s="16" t="s">
        <v>35</v>
      </c>
      <c r="R428" s="16" t="s">
        <v>1833</v>
      </c>
    </row>
    <row r="429" hidden="1">
      <c r="A429" s="13">
        <v>2261603.0</v>
      </c>
      <c r="B429" s="14">
        <v>46211.87519675926</v>
      </c>
      <c r="C429" s="13" t="s">
        <v>101</v>
      </c>
      <c r="D429" s="13" t="s">
        <v>141</v>
      </c>
      <c r="E429" s="15"/>
      <c r="F429" s="13" t="s">
        <v>334</v>
      </c>
      <c r="G429" s="16">
        <v>40.0</v>
      </c>
      <c r="I429" s="16" t="b">
        <v>0</v>
      </c>
      <c r="J429" s="16" t="s">
        <v>116</v>
      </c>
      <c r="K429" s="16" t="s">
        <v>336</v>
      </c>
      <c r="N429" s="16" t="b">
        <v>1</v>
      </c>
      <c r="O429" s="16" t="s">
        <v>35</v>
      </c>
      <c r="R429" s="16" t="s">
        <v>1836</v>
      </c>
    </row>
    <row r="430" hidden="1">
      <c r="A430" s="13">
        <v>2261605.0</v>
      </c>
      <c r="B430" s="14">
        <v>46211.8753125</v>
      </c>
      <c r="C430" s="13" t="s">
        <v>101</v>
      </c>
      <c r="D430" s="13" t="s">
        <v>1839</v>
      </c>
      <c r="E430" s="15"/>
      <c r="F430" s="13" t="s">
        <v>600</v>
      </c>
      <c r="G430" s="16">
        <v>92.0</v>
      </c>
      <c r="I430" s="16" t="b">
        <v>0</v>
      </c>
      <c r="J430" s="16" t="s">
        <v>134</v>
      </c>
      <c r="N430" s="16" t="b">
        <v>1</v>
      </c>
      <c r="O430" s="16" t="s">
        <v>35</v>
      </c>
      <c r="R430" s="16" t="s">
        <v>1842</v>
      </c>
    </row>
    <row r="431" hidden="1">
      <c r="A431" s="13">
        <v>2261615.0</v>
      </c>
      <c r="B431" s="14">
        <v>46211.87975694444</v>
      </c>
      <c r="C431" s="13" t="s">
        <v>101</v>
      </c>
      <c r="D431" s="13" t="s">
        <v>256</v>
      </c>
      <c r="E431" s="15"/>
      <c r="F431" s="13" t="s">
        <v>1845</v>
      </c>
      <c r="G431" s="16">
        <v>300.0</v>
      </c>
      <c r="I431" s="16" t="b">
        <v>0</v>
      </c>
      <c r="J431" s="16" t="s">
        <v>205</v>
      </c>
      <c r="K431" s="16" t="s">
        <v>218</v>
      </c>
      <c r="N431" s="16" t="b">
        <v>1</v>
      </c>
      <c r="O431" s="16" t="s">
        <v>35</v>
      </c>
      <c r="R431" s="16" t="s">
        <v>1847</v>
      </c>
    </row>
    <row r="432" hidden="1">
      <c r="A432" s="13">
        <v>2262611.0</v>
      </c>
      <c r="B432" s="14">
        <v>46212.68554398148</v>
      </c>
      <c r="C432" s="13" t="s">
        <v>101</v>
      </c>
      <c r="D432" s="13" t="s">
        <v>1850</v>
      </c>
      <c r="E432" s="15"/>
      <c r="F432" s="13" t="s">
        <v>1852</v>
      </c>
      <c r="G432" s="16">
        <v>33.3</v>
      </c>
      <c r="I432" s="16" t="b">
        <v>0</v>
      </c>
      <c r="J432" s="16" t="s">
        <v>830</v>
      </c>
      <c r="N432" s="16" t="b">
        <v>1</v>
      </c>
      <c r="O432" s="16" t="s">
        <v>35</v>
      </c>
      <c r="R432" s="16" t="s">
        <v>1855</v>
      </c>
    </row>
    <row r="433" hidden="1">
      <c r="A433" s="13">
        <v>2262736.0</v>
      </c>
      <c r="B433" s="14">
        <v>46212.719988425924</v>
      </c>
      <c r="C433" s="13" t="s">
        <v>101</v>
      </c>
      <c r="D433" s="13" t="s">
        <v>1857</v>
      </c>
      <c r="E433" s="15"/>
      <c r="F433" s="13" t="s">
        <v>133</v>
      </c>
      <c r="G433" s="16">
        <v>59.0</v>
      </c>
      <c r="I433" s="16" t="b">
        <v>0</v>
      </c>
      <c r="J433" s="16" t="s">
        <v>134</v>
      </c>
      <c r="N433" s="16" t="b">
        <v>1</v>
      </c>
      <c r="O433" s="16" t="s">
        <v>35</v>
      </c>
      <c r="R433" s="16" t="s">
        <v>1861</v>
      </c>
    </row>
    <row r="434" hidden="1">
      <c r="A434" s="13">
        <v>2262765.0</v>
      </c>
      <c r="B434" s="14">
        <v>46212.729791666665</v>
      </c>
      <c r="C434" s="13" t="s">
        <v>101</v>
      </c>
      <c r="D434" s="13" t="s">
        <v>1863</v>
      </c>
      <c r="E434" s="15"/>
      <c r="F434" s="13" t="s">
        <v>1865</v>
      </c>
      <c r="G434" s="16">
        <v>340.0</v>
      </c>
      <c r="I434" s="16" t="b">
        <v>0</v>
      </c>
      <c r="J434" s="16" t="s">
        <v>205</v>
      </c>
      <c r="K434" s="16" t="s">
        <v>117</v>
      </c>
      <c r="N434" s="16" t="b">
        <v>1</v>
      </c>
      <c r="O434" s="16" t="s">
        <v>35</v>
      </c>
      <c r="R434" s="16" t="s">
        <v>1867</v>
      </c>
    </row>
    <row r="435" hidden="1">
      <c r="A435" s="13">
        <v>2263141.0</v>
      </c>
      <c r="B435" s="14">
        <v>46212.865798611114</v>
      </c>
      <c r="C435" s="13" t="s">
        <v>101</v>
      </c>
      <c r="D435" s="13" t="s">
        <v>599</v>
      </c>
      <c r="E435" s="24"/>
      <c r="F435" s="13" t="s">
        <v>600</v>
      </c>
      <c r="G435" s="16">
        <v>11.0</v>
      </c>
      <c r="I435" s="16" t="b">
        <v>0</v>
      </c>
      <c r="J435" s="16" t="s">
        <v>134</v>
      </c>
      <c r="N435" s="16" t="b">
        <v>1</v>
      </c>
      <c r="O435" s="16" t="s">
        <v>35</v>
      </c>
      <c r="R435" s="16" t="s">
        <v>1871</v>
      </c>
    </row>
    <row r="436" hidden="1">
      <c r="A436" s="13">
        <v>2264633.0</v>
      </c>
      <c r="B436" s="14">
        <v>46213.8075</v>
      </c>
      <c r="C436" s="13" t="s">
        <v>101</v>
      </c>
      <c r="D436" s="13" t="s">
        <v>165</v>
      </c>
      <c r="E436" s="15"/>
      <c r="F436" s="13" t="s">
        <v>537</v>
      </c>
      <c r="G436" s="16">
        <v>58.0</v>
      </c>
      <c r="I436" s="16" t="b">
        <v>0</v>
      </c>
      <c r="J436" s="16" t="s">
        <v>170</v>
      </c>
      <c r="N436" s="16" t="b">
        <v>1</v>
      </c>
      <c r="O436" s="16" t="s">
        <v>35</v>
      </c>
      <c r="R436" s="16" t="s">
        <v>1875</v>
      </c>
    </row>
    <row r="437" hidden="1">
      <c r="A437" s="13">
        <v>2264634.0</v>
      </c>
      <c r="B437" s="14">
        <v>46213.80763888889</v>
      </c>
      <c r="C437" s="13" t="s">
        <v>101</v>
      </c>
      <c r="D437" s="13" t="s">
        <v>401</v>
      </c>
      <c r="E437" s="15"/>
      <c r="F437" s="13" t="s">
        <v>1878</v>
      </c>
      <c r="G437" s="16">
        <v>65.0</v>
      </c>
      <c r="I437" s="16" t="b">
        <v>0</v>
      </c>
      <c r="J437" s="16" t="s">
        <v>170</v>
      </c>
      <c r="N437" s="16" t="b">
        <v>1</v>
      </c>
      <c r="O437" s="16" t="s">
        <v>35</v>
      </c>
      <c r="R437" s="16" t="s">
        <v>1881</v>
      </c>
    </row>
    <row r="438" hidden="1">
      <c r="A438" s="13">
        <v>2264637.0</v>
      </c>
      <c r="B438" s="14">
        <v>46213.809224537035</v>
      </c>
      <c r="C438" s="13" t="s">
        <v>101</v>
      </c>
      <c r="D438" s="13" t="s">
        <v>165</v>
      </c>
      <c r="E438" s="15"/>
      <c r="F438" s="13" t="s">
        <v>1882</v>
      </c>
      <c r="G438" s="16">
        <v>58.0</v>
      </c>
      <c r="I438" s="16" t="b">
        <v>0</v>
      </c>
      <c r="J438" s="16" t="s">
        <v>134</v>
      </c>
      <c r="N438" s="16" t="b">
        <v>1</v>
      </c>
      <c r="O438" s="16" t="s">
        <v>35</v>
      </c>
      <c r="R438" s="16" t="s">
        <v>1886</v>
      </c>
    </row>
    <row r="439" hidden="1">
      <c r="A439" s="13">
        <v>2264783.0</v>
      </c>
      <c r="B439" s="14">
        <v>46213.87262731481</v>
      </c>
      <c r="C439" s="13" t="s">
        <v>101</v>
      </c>
      <c r="D439" s="13" t="s">
        <v>1028</v>
      </c>
      <c r="E439" s="15"/>
      <c r="F439" s="13" t="s">
        <v>600</v>
      </c>
      <c r="G439" s="16">
        <v>53.0</v>
      </c>
      <c r="I439" s="16" t="b">
        <v>0</v>
      </c>
      <c r="J439" s="16" t="s">
        <v>134</v>
      </c>
      <c r="N439" s="16" t="b">
        <v>1</v>
      </c>
      <c r="O439" s="16" t="s">
        <v>35</v>
      </c>
      <c r="R439" s="16" t="s">
        <v>1891</v>
      </c>
    </row>
    <row r="440" hidden="1">
      <c r="A440" s="13">
        <v>2264793.0</v>
      </c>
      <c r="B440" s="14">
        <v>46213.874444444446</v>
      </c>
      <c r="C440" s="13" t="s">
        <v>101</v>
      </c>
      <c r="D440" s="13" t="s">
        <v>473</v>
      </c>
      <c r="E440" s="15"/>
      <c r="F440" s="13" t="s">
        <v>574</v>
      </c>
      <c r="G440" s="16">
        <v>12.0</v>
      </c>
      <c r="I440" s="16" t="b">
        <v>0</v>
      </c>
      <c r="J440" s="16" t="s">
        <v>116</v>
      </c>
      <c r="K440" s="16" t="s">
        <v>218</v>
      </c>
      <c r="N440" s="16" t="b">
        <v>1</v>
      </c>
      <c r="O440" s="16" t="s">
        <v>35</v>
      </c>
      <c r="R440" s="16" t="s">
        <v>1896</v>
      </c>
    </row>
    <row r="441" hidden="1">
      <c r="A441" s="13">
        <v>2266411.0</v>
      </c>
      <c r="B441" s="14">
        <v>46214.85605324074</v>
      </c>
      <c r="C441" s="13" t="s">
        <v>101</v>
      </c>
      <c r="D441" s="13" t="s">
        <v>246</v>
      </c>
      <c r="E441" s="15"/>
      <c r="F441" s="13" t="s">
        <v>600</v>
      </c>
      <c r="G441" s="16">
        <v>30.0</v>
      </c>
      <c r="I441" s="16" t="b">
        <v>0</v>
      </c>
      <c r="J441" s="16" t="s">
        <v>134</v>
      </c>
      <c r="N441" s="16" t="b">
        <v>1</v>
      </c>
      <c r="O441" s="16" t="s">
        <v>35</v>
      </c>
      <c r="R441" s="16" t="s">
        <v>1900</v>
      </c>
    </row>
    <row r="442" hidden="1">
      <c r="A442" s="13">
        <v>2266433.0</v>
      </c>
      <c r="B442" s="14">
        <v>46214.86351851852</v>
      </c>
      <c r="C442" s="13" t="s">
        <v>139</v>
      </c>
      <c r="D442" s="13" t="s">
        <v>237</v>
      </c>
      <c r="E442" s="24"/>
      <c r="F442" s="13" t="s">
        <v>272</v>
      </c>
      <c r="G442" s="16">
        <v>100.0</v>
      </c>
      <c r="I442" s="16" t="b">
        <v>0</v>
      </c>
      <c r="J442" s="16" t="s">
        <v>144</v>
      </c>
      <c r="N442" s="16" t="b">
        <v>1</v>
      </c>
      <c r="O442" s="16" t="s">
        <v>35</v>
      </c>
      <c r="R442" s="16" t="s">
        <v>1903</v>
      </c>
    </row>
    <row r="443" hidden="1">
      <c r="A443" s="13">
        <v>2266441.0</v>
      </c>
      <c r="B443" s="14">
        <v>46214.86696759259</v>
      </c>
      <c r="C443" s="13" t="s">
        <v>101</v>
      </c>
      <c r="D443" s="13" t="s">
        <v>586</v>
      </c>
      <c r="E443" s="15"/>
      <c r="F443" s="13" t="s">
        <v>1906</v>
      </c>
      <c r="G443" s="16">
        <v>120.0</v>
      </c>
      <c r="I443" s="16" t="b">
        <v>0</v>
      </c>
      <c r="J443" s="16" t="s">
        <v>126</v>
      </c>
      <c r="N443" s="16" t="b">
        <v>1</v>
      </c>
      <c r="O443" s="16" t="s">
        <v>35</v>
      </c>
      <c r="R443" s="16" t="s">
        <v>1908</v>
      </c>
    </row>
    <row r="444" hidden="1">
      <c r="A444" s="13">
        <v>2266442.0</v>
      </c>
      <c r="B444" s="14">
        <v>46214.86707175926</v>
      </c>
      <c r="C444" s="13" t="s">
        <v>101</v>
      </c>
      <c r="D444" s="13" t="s">
        <v>121</v>
      </c>
      <c r="E444" s="15"/>
      <c r="F444" s="13" t="s">
        <v>1910</v>
      </c>
      <c r="G444" s="16">
        <v>135.0</v>
      </c>
      <c r="I444" s="16" t="b">
        <v>0</v>
      </c>
      <c r="J444" s="16" t="s">
        <v>126</v>
      </c>
      <c r="N444" s="16" t="b">
        <v>1</v>
      </c>
      <c r="O444" s="16" t="s">
        <v>35</v>
      </c>
      <c r="R444" s="16" t="s">
        <v>1914</v>
      </c>
    </row>
    <row r="445" hidden="1">
      <c r="A445" s="13">
        <v>2266487.0</v>
      </c>
      <c r="B445" s="14">
        <v>46214.87708333333</v>
      </c>
      <c r="C445" s="13" t="s">
        <v>101</v>
      </c>
      <c r="D445" s="13" t="s">
        <v>165</v>
      </c>
      <c r="E445" s="15"/>
      <c r="F445" s="13" t="s">
        <v>512</v>
      </c>
      <c r="G445" s="16">
        <v>58.0</v>
      </c>
      <c r="I445" s="16" t="b">
        <v>0</v>
      </c>
      <c r="J445" s="16" t="s">
        <v>134</v>
      </c>
      <c r="N445" s="16" t="b">
        <v>1</v>
      </c>
      <c r="O445" s="16" t="s">
        <v>35</v>
      </c>
      <c r="R445" s="16" t="s">
        <v>1917</v>
      </c>
    </row>
    <row r="446" hidden="1">
      <c r="A446" s="13">
        <v>2268609.0</v>
      </c>
      <c r="B446" s="14">
        <v>46215.87042824074</v>
      </c>
      <c r="C446" s="13" t="s">
        <v>101</v>
      </c>
      <c r="D446" s="13" t="s">
        <v>1921</v>
      </c>
      <c r="E446" s="15"/>
      <c r="F446" s="13" t="s">
        <v>1923</v>
      </c>
      <c r="G446" s="16">
        <v>274.0</v>
      </c>
      <c r="I446" s="16" t="b">
        <v>0</v>
      </c>
      <c r="J446" s="16" t="s">
        <v>134</v>
      </c>
      <c r="N446" s="16" t="b">
        <v>1</v>
      </c>
      <c r="O446" s="16" t="s">
        <v>35</v>
      </c>
      <c r="R446" s="16" t="s">
        <v>1924</v>
      </c>
    </row>
    <row r="447" hidden="1">
      <c r="A447" s="13">
        <v>2268617.0</v>
      </c>
      <c r="B447" s="14">
        <v>46215.870983796296</v>
      </c>
      <c r="C447" s="13" t="s">
        <v>101</v>
      </c>
      <c r="D447" s="13" t="s">
        <v>586</v>
      </c>
      <c r="E447" s="15"/>
      <c r="F447" s="13" t="s">
        <v>1927</v>
      </c>
      <c r="G447" s="16">
        <v>120.0</v>
      </c>
      <c r="I447" s="16" t="b">
        <v>0</v>
      </c>
      <c r="J447" s="16" t="s">
        <v>126</v>
      </c>
      <c r="N447" s="16" t="b">
        <v>1</v>
      </c>
      <c r="O447" s="16" t="s">
        <v>35</v>
      </c>
      <c r="R447" s="16" t="s">
        <v>1930</v>
      </c>
    </row>
    <row r="448" hidden="1">
      <c r="A448" s="13">
        <v>2268620.0</v>
      </c>
      <c r="B448" s="14">
        <v>46215.87113425926</v>
      </c>
      <c r="C448" s="13" t="s">
        <v>101</v>
      </c>
      <c r="D448" s="13" t="s">
        <v>586</v>
      </c>
      <c r="E448" s="15"/>
      <c r="F448" s="13" t="s">
        <v>1927</v>
      </c>
      <c r="G448" s="16">
        <v>120.0</v>
      </c>
      <c r="I448" s="16" t="b">
        <v>0</v>
      </c>
      <c r="J448" s="16" t="s">
        <v>126</v>
      </c>
      <c r="N448" s="16" t="b">
        <v>1</v>
      </c>
      <c r="O448" s="16" t="s">
        <v>35</v>
      </c>
      <c r="R448" s="16" t="s">
        <v>1930</v>
      </c>
    </row>
    <row r="449" hidden="1">
      <c r="A449" s="13">
        <v>2268632.0</v>
      </c>
      <c r="B449" s="14">
        <v>46215.873564814814</v>
      </c>
      <c r="C449" s="13" t="s">
        <v>101</v>
      </c>
      <c r="D449" s="13" t="s">
        <v>786</v>
      </c>
      <c r="E449" s="15"/>
      <c r="F449" s="13" t="s">
        <v>1936</v>
      </c>
      <c r="G449" s="16">
        <v>130.0</v>
      </c>
      <c r="I449" s="16" t="b">
        <v>0</v>
      </c>
      <c r="J449" s="16" t="s">
        <v>205</v>
      </c>
      <c r="K449" s="16" t="s">
        <v>117</v>
      </c>
      <c r="N449" s="16" t="b">
        <v>1</v>
      </c>
      <c r="O449" s="16" t="s">
        <v>35</v>
      </c>
      <c r="R449" s="16" t="s">
        <v>1940</v>
      </c>
    </row>
    <row r="450" hidden="1">
      <c r="A450" s="13">
        <v>2270150.0</v>
      </c>
      <c r="B450" s="14">
        <v>46216.72193287037</v>
      </c>
      <c r="C450" s="13" t="s">
        <v>101</v>
      </c>
      <c r="D450" s="13" t="s">
        <v>1514</v>
      </c>
      <c r="E450" s="15"/>
      <c r="F450" s="13" t="s">
        <v>133</v>
      </c>
      <c r="G450" s="16">
        <v>51.0</v>
      </c>
      <c r="I450" s="16" t="b">
        <v>0</v>
      </c>
      <c r="J450" s="16" t="s">
        <v>134</v>
      </c>
      <c r="N450" s="16" t="b">
        <v>1</v>
      </c>
      <c r="O450" s="16" t="s">
        <v>35</v>
      </c>
      <c r="R450" s="16" t="s">
        <v>1943</v>
      </c>
    </row>
    <row r="451" hidden="1">
      <c r="A451" s="13">
        <v>2270161.0</v>
      </c>
      <c r="B451" s="14">
        <v>46216.72577546296</v>
      </c>
      <c r="C451" s="13" t="s">
        <v>101</v>
      </c>
      <c r="D451" s="13" t="s">
        <v>213</v>
      </c>
      <c r="E451" s="15"/>
      <c r="F451" s="13" t="s">
        <v>1944</v>
      </c>
      <c r="G451" s="16">
        <v>200.0</v>
      </c>
      <c r="I451" s="16" t="b">
        <v>0</v>
      </c>
      <c r="J451" s="16" t="s">
        <v>205</v>
      </c>
      <c r="K451" s="16" t="s">
        <v>117</v>
      </c>
      <c r="N451" s="16" t="b">
        <v>1</v>
      </c>
      <c r="O451" s="16" t="s">
        <v>35</v>
      </c>
      <c r="R451" s="16" t="s">
        <v>1948</v>
      </c>
    </row>
    <row r="452" hidden="1">
      <c r="A452" s="13">
        <v>2270176.0</v>
      </c>
      <c r="B452" s="14">
        <v>46216.73100694444</v>
      </c>
      <c r="C452" s="13" t="s">
        <v>101</v>
      </c>
      <c r="D452" s="13" t="s">
        <v>1951</v>
      </c>
      <c r="E452" s="15"/>
      <c r="F452" s="13" t="s">
        <v>781</v>
      </c>
      <c r="G452" s="16">
        <v>11.15</v>
      </c>
      <c r="I452" s="16" t="b">
        <v>0</v>
      </c>
      <c r="J452" s="16" t="s">
        <v>783</v>
      </c>
      <c r="N452" s="16" t="b">
        <v>1</v>
      </c>
      <c r="O452" s="16" t="s">
        <v>35</v>
      </c>
      <c r="R452" s="16" t="s">
        <v>1953</v>
      </c>
    </row>
    <row r="453" hidden="1">
      <c r="A453" s="13">
        <v>2270504.0</v>
      </c>
      <c r="B453" s="14">
        <v>46216.86766203704</v>
      </c>
      <c r="C453" s="13" t="s">
        <v>101</v>
      </c>
      <c r="D453" s="13" t="s">
        <v>718</v>
      </c>
      <c r="E453" s="15"/>
      <c r="F453" s="13" t="s">
        <v>600</v>
      </c>
      <c r="G453" s="16">
        <v>32.0</v>
      </c>
      <c r="I453" s="16" t="b">
        <v>0</v>
      </c>
      <c r="J453" s="16" t="s">
        <v>134</v>
      </c>
      <c r="N453" s="16" t="b">
        <v>1</v>
      </c>
      <c r="O453" s="16" t="s">
        <v>35</v>
      </c>
      <c r="R453" s="16" t="s">
        <v>1957</v>
      </c>
    </row>
    <row r="454" hidden="1">
      <c r="A454" s="13">
        <v>2270505.0</v>
      </c>
      <c r="B454" s="14">
        <v>46216.8678125</v>
      </c>
      <c r="C454" s="13" t="s">
        <v>101</v>
      </c>
      <c r="D454" s="13" t="s">
        <v>237</v>
      </c>
      <c r="E454" s="15"/>
      <c r="F454" s="13" t="s">
        <v>1961</v>
      </c>
      <c r="G454" s="16">
        <v>100.0</v>
      </c>
      <c r="I454" s="16" t="b">
        <v>0</v>
      </c>
      <c r="J454" s="16" t="s">
        <v>205</v>
      </c>
      <c r="K454" s="16" t="s">
        <v>218</v>
      </c>
      <c r="N454" s="16" t="b">
        <v>1</v>
      </c>
      <c r="O454" s="16" t="s">
        <v>35</v>
      </c>
      <c r="R454" s="16" t="s">
        <v>1962</v>
      </c>
    </row>
    <row r="455" hidden="1">
      <c r="A455" s="13">
        <v>2271538.0</v>
      </c>
      <c r="B455" s="14">
        <v>46217.71260416666</v>
      </c>
      <c r="C455" s="13" t="s">
        <v>101</v>
      </c>
      <c r="D455" s="13" t="s">
        <v>1964</v>
      </c>
      <c r="E455" s="15"/>
      <c r="F455" s="13" t="s">
        <v>1965</v>
      </c>
      <c r="G455" s="16">
        <v>28.39</v>
      </c>
      <c r="I455" s="16" t="b">
        <v>0</v>
      </c>
      <c r="J455" s="16" t="s">
        <v>170</v>
      </c>
      <c r="M455" s="16" t="s">
        <v>1967</v>
      </c>
      <c r="N455" s="16" t="b">
        <v>1</v>
      </c>
      <c r="O455" s="16" t="s">
        <v>35</v>
      </c>
      <c r="R455" s="16" t="s">
        <v>1969</v>
      </c>
    </row>
    <row r="456" hidden="1">
      <c r="A456" s="13">
        <v>2271540.0</v>
      </c>
      <c r="B456" s="14">
        <v>46217.712789351855</v>
      </c>
      <c r="C456" s="13" t="s">
        <v>101</v>
      </c>
      <c r="D456" s="13" t="s">
        <v>1970</v>
      </c>
      <c r="E456" s="15"/>
      <c r="F456" s="13" t="s">
        <v>574</v>
      </c>
      <c r="G456" s="16">
        <v>47.13</v>
      </c>
      <c r="I456" s="16" t="b">
        <v>0</v>
      </c>
      <c r="J456" s="16" t="s">
        <v>116</v>
      </c>
      <c r="K456" s="16" t="s">
        <v>218</v>
      </c>
      <c r="N456" s="16" t="b">
        <v>1</v>
      </c>
      <c r="O456" s="16" t="s">
        <v>35</v>
      </c>
      <c r="R456" s="16" t="s">
        <v>1972</v>
      </c>
    </row>
    <row r="457" hidden="1">
      <c r="A457" s="13">
        <v>2271563.0</v>
      </c>
      <c r="B457" s="14">
        <v>46217.71983796296</v>
      </c>
      <c r="C457" s="13" t="s">
        <v>101</v>
      </c>
      <c r="D457" s="13" t="s">
        <v>1440</v>
      </c>
      <c r="E457" s="24"/>
      <c r="F457" s="13" t="s">
        <v>133</v>
      </c>
      <c r="G457" s="16">
        <v>44.0</v>
      </c>
      <c r="I457" s="16" t="b">
        <v>0</v>
      </c>
      <c r="J457" s="16" t="s">
        <v>134</v>
      </c>
      <c r="N457" s="16" t="b">
        <v>1</v>
      </c>
      <c r="O457" s="16" t="s">
        <v>35</v>
      </c>
      <c r="R457" s="16" t="s">
        <v>1976</v>
      </c>
    </row>
    <row r="458" hidden="1">
      <c r="A458" s="13">
        <v>2271608.0</v>
      </c>
      <c r="B458" s="14">
        <v>46217.735868055555</v>
      </c>
      <c r="C458" s="13" t="s">
        <v>101</v>
      </c>
      <c r="D458" s="13" t="s">
        <v>213</v>
      </c>
      <c r="E458" s="15"/>
      <c r="F458" s="13" t="s">
        <v>1977</v>
      </c>
      <c r="G458" s="16">
        <v>200.0</v>
      </c>
      <c r="I458" s="16" t="b">
        <v>0</v>
      </c>
      <c r="J458" s="16" t="s">
        <v>205</v>
      </c>
      <c r="K458" s="16" t="s">
        <v>117</v>
      </c>
      <c r="N458" s="16" t="b">
        <v>1</v>
      </c>
      <c r="O458" s="16" t="s">
        <v>35</v>
      </c>
      <c r="R458" s="16" t="s">
        <v>1979</v>
      </c>
    </row>
    <row r="459" hidden="1">
      <c r="A459" s="13">
        <v>2271917.0</v>
      </c>
      <c r="B459" s="14">
        <v>46217.872881944444</v>
      </c>
      <c r="C459" s="13" t="s">
        <v>101</v>
      </c>
      <c r="D459" s="13" t="s">
        <v>306</v>
      </c>
      <c r="E459" s="15"/>
      <c r="F459" s="13" t="s">
        <v>600</v>
      </c>
      <c r="G459" s="16">
        <v>22.0</v>
      </c>
      <c r="I459" s="16" t="b">
        <v>0</v>
      </c>
      <c r="J459" s="16" t="s">
        <v>134</v>
      </c>
      <c r="N459" s="16" t="b">
        <v>1</v>
      </c>
      <c r="O459" s="16" t="s">
        <v>35</v>
      </c>
      <c r="R459" s="16" t="s">
        <v>1982</v>
      </c>
    </row>
    <row r="460" hidden="1">
      <c r="A460" s="13">
        <v>2273032.0</v>
      </c>
      <c r="B460" s="14">
        <v>46218.732627314814</v>
      </c>
      <c r="C460" s="13" t="s">
        <v>101</v>
      </c>
      <c r="D460" s="13" t="s">
        <v>1983</v>
      </c>
      <c r="E460" s="15"/>
      <c r="F460" s="13" t="s">
        <v>133</v>
      </c>
      <c r="G460" s="16">
        <v>78.0</v>
      </c>
      <c r="I460" s="16" t="b">
        <v>0</v>
      </c>
      <c r="J460" s="16" t="s">
        <v>134</v>
      </c>
      <c r="N460" s="16" t="b">
        <v>1</v>
      </c>
      <c r="O460" s="16" t="s">
        <v>35</v>
      </c>
      <c r="R460" s="16" t="s">
        <v>1985</v>
      </c>
    </row>
    <row r="461" hidden="1">
      <c r="A461" s="13">
        <v>2273050.0</v>
      </c>
      <c r="B461" s="14">
        <v>46218.738275462965</v>
      </c>
      <c r="C461" s="13" t="s">
        <v>101</v>
      </c>
      <c r="D461" s="13" t="s">
        <v>804</v>
      </c>
      <c r="E461" s="15"/>
      <c r="F461" s="13" t="s">
        <v>1989</v>
      </c>
      <c r="G461" s="16">
        <v>500.0</v>
      </c>
      <c r="I461" s="16" t="b">
        <v>0</v>
      </c>
      <c r="J461" s="16" t="s">
        <v>205</v>
      </c>
      <c r="K461" s="16" t="s">
        <v>117</v>
      </c>
      <c r="N461" s="16" t="b">
        <v>1</v>
      </c>
      <c r="O461" s="16" t="s">
        <v>35</v>
      </c>
      <c r="R461" s="16" t="s">
        <v>1990</v>
      </c>
    </row>
    <row r="462" hidden="1">
      <c r="A462" s="13">
        <v>2273056.0</v>
      </c>
      <c r="B462" s="14">
        <v>46218.74046296296</v>
      </c>
      <c r="C462" s="13" t="s">
        <v>139</v>
      </c>
      <c r="D462" s="13" t="s">
        <v>804</v>
      </c>
      <c r="E462" s="15"/>
      <c r="F462" s="13" t="s">
        <v>1992</v>
      </c>
      <c r="G462" s="16">
        <v>500.0</v>
      </c>
      <c r="I462" s="16" t="b">
        <v>0</v>
      </c>
      <c r="J462" s="16" t="s">
        <v>205</v>
      </c>
      <c r="K462" s="16" t="s">
        <v>117</v>
      </c>
      <c r="N462" s="16" t="b">
        <v>1</v>
      </c>
      <c r="O462" s="16" t="s">
        <v>35</v>
      </c>
      <c r="R462" s="16" t="s">
        <v>1990</v>
      </c>
    </row>
    <row r="463" hidden="1">
      <c r="A463" s="13">
        <v>2273057.0</v>
      </c>
      <c r="B463" s="14">
        <v>46218.74078703704</v>
      </c>
      <c r="C463" s="13" t="s">
        <v>101</v>
      </c>
      <c r="D463" s="13" t="s">
        <v>804</v>
      </c>
      <c r="E463" s="15"/>
      <c r="F463" s="13" t="s">
        <v>1433</v>
      </c>
      <c r="G463" s="16">
        <v>500.0</v>
      </c>
      <c r="I463" s="16" t="b">
        <v>0</v>
      </c>
      <c r="J463" s="16" t="s">
        <v>144</v>
      </c>
      <c r="N463" s="16" t="b">
        <v>1</v>
      </c>
      <c r="O463" s="16" t="s">
        <v>35</v>
      </c>
      <c r="R463" s="16" t="s">
        <v>1997</v>
      </c>
    </row>
    <row r="464" hidden="1">
      <c r="A464" s="13">
        <v>2273323.0</v>
      </c>
      <c r="B464" s="14">
        <v>46218.859814814816</v>
      </c>
      <c r="C464" s="13" t="s">
        <v>139</v>
      </c>
      <c r="D464" s="13" t="s">
        <v>141</v>
      </c>
      <c r="E464" s="15"/>
      <c r="F464" s="13" t="s">
        <v>272</v>
      </c>
      <c r="G464" s="16">
        <v>50.0</v>
      </c>
      <c r="I464" s="16" t="b">
        <v>0</v>
      </c>
      <c r="J464" s="16" t="s">
        <v>144</v>
      </c>
      <c r="N464" s="16" t="b">
        <v>1</v>
      </c>
      <c r="O464" s="16" t="s">
        <v>35</v>
      </c>
      <c r="R464" s="16" t="s">
        <v>2000</v>
      </c>
    </row>
    <row r="465" hidden="1">
      <c r="A465" s="13">
        <v>2273343.0</v>
      </c>
      <c r="B465" s="14">
        <v>46218.87116898148</v>
      </c>
      <c r="C465" s="13" t="s">
        <v>101</v>
      </c>
      <c r="D465" s="13" t="s">
        <v>526</v>
      </c>
      <c r="E465" s="15"/>
      <c r="F465" s="13" t="s">
        <v>600</v>
      </c>
      <c r="G465" s="16">
        <v>21.0</v>
      </c>
      <c r="I465" s="16" t="b">
        <v>0</v>
      </c>
      <c r="J465" s="16" t="s">
        <v>134</v>
      </c>
      <c r="N465" s="16" t="b">
        <v>1</v>
      </c>
      <c r="O465" s="16" t="s">
        <v>35</v>
      </c>
      <c r="R465" s="16" t="s">
        <v>2002</v>
      </c>
    </row>
    <row r="466" hidden="1">
      <c r="A466" s="13">
        <v>2273356.0</v>
      </c>
      <c r="B466" s="14">
        <v>46218.8737962963</v>
      </c>
      <c r="C466" s="13" t="s">
        <v>101</v>
      </c>
      <c r="D466" s="13" t="s">
        <v>201</v>
      </c>
      <c r="E466" s="15"/>
      <c r="F466" s="13" t="s">
        <v>2004</v>
      </c>
      <c r="G466" s="16">
        <v>150.0</v>
      </c>
      <c r="I466" s="16" t="b">
        <v>0</v>
      </c>
      <c r="J466" s="16" t="s">
        <v>205</v>
      </c>
      <c r="K466" s="16" t="s">
        <v>218</v>
      </c>
      <c r="N466" s="16" t="b">
        <v>1</v>
      </c>
      <c r="O466" s="16" t="s">
        <v>35</v>
      </c>
      <c r="R466" s="16" t="s">
        <v>2008</v>
      </c>
    </row>
    <row r="467" hidden="1">
      <c r="A467" s="13">
        <v>2274274.0</v>
      </c>
      <c r="B467" s="14">
        <v>46219.64263888889</v>
      </c>
      <c r="C467" s="13" t="s">
        <v>139</v>
      </c>
      <c r="D467" s="13" t="s">
        <v>2009</v>
      </c>
      <c r="E467" s="15"/>
      <c r="F467" s="13" t="s">
        <v>142</v>
      </c>
      <c r="G467" s="16">
        <v>107.5</v>
      </c>
      <c r="I467" s="16" t="b">
        <v>0</v>
      </c>
      <c r="J467" s="16" t="s">
        <v>144</v>
      </c>
      <c r="N467" s="16" t="b">
        <v>1</v>
      </c>
      <c r="O467" s="16" t="s">
        <v>35</v>
      </c>
      <c r="R467" s="16" t="s">
        <v>2011</v>
      </c>
    </row>
    <row r="468" hidden="1">
      <c r="A468" s="13">
        <v>2274404.0</v>
      </c>
      <c r="B468" s="14">
        <v>46219.681979166664</v>
      </c>
      <c r="C468" s="13" t="s">
        <v>139</v>
      </c>
      <c r="D468" s="13" t="s">
        <v>2014</v>
      </c>
      <c r="E468" s="15"/>
      <c r="F468" s="13" t="s">
        <v>788</v>
      </c>
      <c r="G468" s="16">
        <v>80.0</v>
      </c>
      <c r="I468" s="16" t="b">
        <v>0</v>
      </c>
      <c r="J468" s="16" t="s">
        <v>144</v>
      </c>
      <c r="N468" s="16" t="b">
        <v>1</v>
      </c>
      <c r="O468" s="16" t="s">
        <v>35</v>
      </c>
      <c r="R468" s="16" t="s">
        <v>2016</v>
      </c>
    </row>
    <row r="469" hidden="1">
      <c r="A469" s="13">
        <v>2274499.0</v>
      </c>
      <c r="B469" s="14">
        <v>46219.70648148148</v>
      </c>
      <c r="C469" s="13" t="s">
        <v>101</v>
      </c>
      <c r="D469" s="13" t="s">
        <v>149</v>
      </c>
      <c r="E469" s="15"/>
      <c r="F469" s="13" t="s">
        <v>2017</v>
      </c>
      <c r="G469" s="16">
        <v>69.0</v>
      </c>
      <c r="I469" s="16" t="b">
        <v>0</v>
      </c>
      <c r="J469" s="16" t="s">
        <v>134</v>
      </c>
      <c r="N469" s="16" t="b">
        <v>1</v>
      </c>
      <c r="O469" s="16" t="s">
        <v>35</v>
      </c>
      <c r="R469" s="16" t="s">
        <v>2019</v>
      </c>
    </row>
    <row r="470" hidden="1">
      <c r="A470" s="13">
        <v>2274563.0</v>
      </c>
      <c r="B470" s="14">
        <v>46219.72622685185</v>
      </c>
      <c r="C470" s="13" t="s">
        <v>101</v>
      </c>
      <c r="D470" s="13" t="s">
        <v>291</v>
      </c>
      <c r="E470" s="15"/>
      <c r="F470" s="13" t="s">
        <v>2021</v>
      </c>
      <c r="G470" s="16">
        <v>250.0</v>
      </c>
      <c r="I470" s="16" t="b">
        <v>0</v>
      </c>
      <c r="J470" s="16" t="s">
        <v>205</v>
      </c>
      <c r="K470" s="16" t="s">
        <v>117</v>
      </c>
      <c r="N470" s="16" t="b">
        <v>1</v>
      </c>
      <c r="O470" s="16" t="s">
        <v>35</v>
      </c>
      <c r="R470" s="16" t="s">
        <v>2022</v>
      </c>
    </row>
    <row r="471" hidden="1">
      <c r="A471" s="13">
        <v>2274970.0</v>
      </c>
      <c r="B471" s="14">
        <v>46219.86835648148</v>
      </c>
      <c r="C471" s="13" t="s">
        <v>101</v>
      </c>
      <c r="D471" s="13" t="s">
        <v>2025</v>
      </c>
      <c r="E471" s="15"/>
      <c r="F471" s="13" t="s">
        <v>600</v>
      </c>
      <c r="G471" s="16">
        <v>43.0</v>
      </c>
      <c r="I471" s="16" t="b">
        <v>0</v>
      </c>
      <c r="J471" s="16" t="s">
        <v>134</v>
      </c>
      <c r="N471" s="16" t="b">
        <v>1</v>
      </c>
      <c r="O471" s="16" t="s">
        <v>35</v>
      </c>
      <c r="R471" s="16" t="s">
        <v>2026</v>
      </c>
    </row>
    <row r="472" hidden="1">
      <c r="A472" s="13">
        <v>2276573.0</v>
      </c>
      <c r="B472" s="14">
        <v>46220.74597222222</v>
      </c>
      <c r="C472" s="13" t="s">
        <v>101</v>
      </c>
      <c r="D472" s="13" t="s">
        <v>1760</v>
      </c>
      <c r="E472" s="15"/>
      <c r="F472" s="13" t="s">
        <v>512</v>
      </c>
      <c r="G472" s="16">
        <v>115.0</v>
      </c>
      <c r="I472" s="16" t="b">
        <v>0</v>
      </c>
      <c r="J472" s="16" t="s">
        <v>134</v>
      </c>
      <c r="N472" s="16" t="b">
        <v>1</v>
      </c>
      <c r="O472" s="16" t="s">
        <v>35</v>
      </c>
      <c r="R472" s="16" t="s">
        <v>2028</v>
      </c>
    </row>
    <row r="473" hidden="1">
      <c r="A473" s="13">
        <v>2276574.0</v>
      </c>
      <c r="B473" s="14">
        <v>46220.74618055556</v>
      </c>
      <c r="C473" s="13" t="s">
        <v>139</v>
      </c>
      <c r="D473" s="13" t="s">
        <v>201</v>
      </c>
      <c r="E473" s="24"/>
      <c r="F473" s="13" t="s">
        <v>2031</v>
      </c>
      <c r="G473" s="16">
        <v>150.0</v>
      </c>
      <c r="I473" s="16" t="b">
        <v>0</v>
      </c>
      <c r="J473" s="16" t="s">
        <v>205</v>
      </c>
      <c r="K473" s="16" t="s">
        <v>117</v>
      </c>
      <c r="N473" s="16" t="b">
        <v>1</v>
      </c>
      <c r="O473" s="16" t="s">
        <v>35</v>
      </c>
      <c r="R473" s="16" t="s">
        <v>2035</v>
      </c>
    </row>
    <row r="474" hidden="1">
      <c r="A474" s="13">
        <v>2276590.0</v>
      </c>
      <c r="B474" s="14">
        <v>46220.749976851854</v>
      </c>
      <c r="C474" s="13" t="s">
        <v>139</v>
      </c>
      <c r="D474" s="13" t="s">
        <v>291</v>
      </c>
      <c r="E474" s="15"/>
      <c r="F474" s="13" t="s">
        <v>2036</v>
      </c>
      <c r="G474" s="16">
        <v>250.0</v>
      </c>
      <c r="I474" s="16" t="b">
        <v>0</v>
      </c>
      <c r="J474" s="16" t="s">
        <v>205</v>
      </c>
      <c r="K474" s="16" t="s">
        <v>117</v>
      </c>
      <c r="N474" s="16" t="b">
        <v>1</v>
      </c>
      <c r="O474" s="16" t="s">
        <v>35</v>
      </c>
      <c r="R474" s="16" t="s">
        <v>2038</v>
      </c>
    </row>
    <row r="475" hidden="1">
      <c r="A475" s="13">
        <v>2276591.0</v>
      </c>
      <c r="B475" s="14">
        <v>46220.75021990741</v>
      </c>
      <c r="C475" s="13" t="s">
        <v>101</v>
      </c>
      <c r="D475" s="13" t="s">
        <v>2040</v>
      </c>
      <c r="E475" s="15"/>
      <c r="F475" s="13" t="s">
        <v>1331</v>
      </c>
      <c r="G475" s="16">
        <v>403.0</v>
      </c>
      <c r="I475" s="16" t="b">
        <v>0</v>
      </c>
      <c r="J475" s="16" t="s">
        <v>170</v>
      </c>
      <c r="M475" s="16" t="s">
        <v>2044</v>
      </c>
      <c r="N475" s="16" t="b">
        <v>1</v>
      </c>
      <c r="O475" s="16" t="s">
        <v>35</v>
      </c>
      <c r="R475" s="16" t="s">
        <v>2045</v>
      </c>
    </row>
    <row r="476" hidden="1">
      <c r="A476" s="13">
        <v>2276596.0</v>
      </c>
      <c r="B476" s="14">
        <v>46220.751064814816</v>
      </c>
      <c r="C476" s="13" t="s">
        <v>101</v>
      </c>
      <c r="D476" s="13" t="s">
        <v>2046</v>
      </c>
      <c r="E476" s="15"/>
      <c r="F476" s="13" t="s">
        <v>282</v>
      </c>
      <c r="G476" s="16">
        <v>100.25</v>
      </c>
      <c r="I476" s="16" t="b">
        <v>0</v>
      </c>
      <c r="J476" s="16" t="s">
        <v>170</v>
      </c>
      <c r="M476" s="16" t="s">
        <v>2048</v>
      </c>
      <c r="N476" s="16" t="b">
        <v>1</v>
      </c>
      <c r="O476" s="16" t="s">
        <v>35</v>
      </c>
      <c r="R476" s="16" t="s">
        <v>2049</v>
      </c>
    </row>
    <row r="477" hidden="1">
      <c r="A477" s="13">
        <v>2277027.0</v>
      </c>
      <c r="B477" s="14">
        <v>46220.87913194444</v>
      </c>
      <c r="C477" s="13" t="s">
        <v>101</v>
      </c>
      <c r="D477" s="13" t="s">
        <v>526</v>
      </c>
      <c r="E477" s="15"/>
      <c r="F477" s="13" t="s">
        <v>600</v>
      </c>
      <c r="G477" s="16">
        <v>21.0</v>
      </c>
      <c r="I477" s="16" t="b">
        <v>0</v>
      </c>
      <c r="J477" s="16" t="s">
        <v>134</v>
      </c>
      <c r="N477" s="16" t="b">
        <v>1</v>
      </c>
      <c r="O477" s="16" t="s">
        <v>35</v>
      </c>
      <c r="R477" s="16" t="s">
        <v>2053</v>
      </c>
    </row>
    <row r="478" hidden="1">
      <c r="A478" s="13">
        <v>2277034.0</v>
      </c>
      <c r="B478" s="14">
        <v>46220.88046296296</v>
      </c>
      <c r="C478" s="13" t="s">
        <v>101</v>
      </c>
      <c r="D478" s="13" t="s">
        <v>213</v>
      </c>
      <c r="E478" s="15"/>
      <c r="F478" s="13" t="s">
        <v>2054</v>
      </c>
      <c r="G478" s="16">
        <v>200.0</v>
      </c>
      <c r="I478" s="16" t="b">
        <v>0</v>
      </c>
      <c r="J478" s="16" t="s">
        <v>205</v>
      </c>
      <c r="K478" s="16" t="s">
        <v>218</v>
      </c>
      <c r="N478" s="16" t="b">
        <v>1</v>
      </c>
      <c r="O478" s="16" t="s">
        <v>35</v>
      </c>
      <c r="R478" s="16" t="s">
        <v>2056</v>
      </c>
    </row>
    <row r="479" hidden="1">
      <c r="A479" s="13">
        <v>2278013.0</v>
      </c>
      <c r="B479" s="14">
        <v>46221.59128472222</v>
      </c>
      <c r="C479" s="13" t="s">
        <v>139</v>
      </c>
      <c r="D479" s="13" t="s">
        <v>2057</v>
      </c>
      <c r="E479" s="15"/>
      <c r="F479" s="13" t="s">
        <v>2058</v>
      </c>
      <c r="G479" s="16">
        <v>687.35</v>
      </c>
      <c r="I479" s="16" t="b">
        <v>0</v>
      </c>
      <c r="J479" s="16" t="s">
        <v>144</v>
      </c>
      <c r="N479" s="16" t="b">
        <v>1</v>
      </c>
      <c r="O479" s="16" t="s">
        <v>35</v>
      </c>
      <c r="R479" s="16" t="s">
        <v>2060</v>
      </c>
    </row>
    <row r="480" hidden="1">
      <c r="A480" s="13">
        <v>2278514.0</v>
      </c>
      <c r="B480" s="14">
        <v>46221.71474537037</v>
      </c>
      <c r="C480" s="13" t="s">
        <v>139</v>
      </c>
      <c r="D480" s="13" t="s">
        <v>246</v>
      </c>
      <c r="E480" s="15"/>
      <c r="F480" s="13" t="s">
        <v>142</v>
      </c>
      <c r="G480" s="16">
        <v>30.0</v>
      </c>
      <c r="I480" s="16" t="b">
        <v>0</v>
      </c>
      <c r="J480" s="16" t="s">
        <v>144</v>
      </c>
      <c r="N480" s="16" t="b">
        <v>1</v>
      </c>
      <c r="O480" s="16" t="s">
        <v>35</v>
      </c>
      <c r="R480" s="16" t="s">
        <v>2062</v>
      </c>
    </row>
    <row r="481" hidden="1">
      <c r="A481" s="13">
        <v>2279213.0</v>
      </c>
      <c r="B481" s="14">
        <v>46221.86748842592</v>
      </c>
      <c r="C481" s="13" t="s">
        <v>101</v>
      </c>
      <c r="D481" s="13" t="s">
        <v>586</v>
      </c>
      <c r="E481" s="15"/>
      <c r="F481" s="13" t="s">
        <v>1240</v>
      </c>
      <c r="G481" s="16">
        <v>120.0</v>
      </c>
      <c r="I481" s="16" t="b">
        <v>0</v>
      </c>
      <c r="J481" s="16" t="s">
        <v>126</v>
      </c>
      <c r="N481" s="16" t="b">
        <v>1</v>
      </c>
      <c r="O481" s="16" t="s">
        <v>35</v>
      </c>
      <c r="R481" s="16" t="s">
        <v>2066</v>
      </c>
    </row>
    <row r="482" hidden="1">
      <c r="A482" s="13">
        <v>2279215.0</v>
      </c>
      <c r="B482" s="14">
        <v>46221.86767361111</v>
      </c>
      <c r="C482" s="13" t="s">
        <v>101</v>
      </c>
      <c r="D482" s="13" t="s">
        <v>586</v>
      </c>
      <c r="E482" s="15"/>
      <c r="F482" s="13" t="s">
        <v>1385</v>
      </c>
      <c r="G482" s="16">
        <v>120.0</v>
      </c>
      <c r="I482" s="16" t="b">
        <v>0</v>
      </c>
      <c r="J482" s="16" t="s">
        <v>126</v>
      </c>
      <c r="N482" s="16" t="b">
        <v>1</v>
      </c>
      <c r="O482" s="16" t="s">
        <v>35</v>
      </c>
      <c r="R482" s="16" t="s">
        <v>2066</v>
      </c>
    </row>
    <row r="483" hidden="1">
      <c r="A483" s="13">
        <v>2279219.0</v>
      </c>
      <c r="B483" s="14">
        <v>46221.86798611111</v>
      </c>
      <c r="C483" s="13" t="s">
        <v>101</v>
      </c>
      <c r="D483" s="13" t="s">
        <v>586</v>
      </c>
      <c r="E483" s="15"/>
      <c r="F483" s="13" t="s">
        <v>1612</v>
      </c>
      <c r="G483" s="16">
        <v>120.0</v>
      </c>
      <c r="I483" s="16" t="b">
        <v>0</v>
      </c>
      <c r="J483" s="16" t="s">
        <v>126</v>
      </c>
      <c r="N483" s="16" t="b">
        <v>1</v>
      </c>
      <c r="O483" s="16" t="s">
        <v>35</v>
      </c>
      <c r="R483" s="16" t="s">
        <v>2066</v>
      </c>
    </row>
    <row r="484" hidden="1">
      <c r="A484" s="13">
        <v>2279280.0</v>
      </c>
      <c r="B484" s="14">
        <v>46221.87763888889</v>
      </c>
      <c r="C484" s="13" t="s">
        <v>101</v>
      </c>
      <c r="D484" s="13" t="s">
        <v>2075</v>
      </c>
      <c r="E484" s="15"/>
      <c r="F484" s="13" t="s">
        <v>2078</v>
      </c>
      <c r="G484" s="16">
        <v>900.0</v>
      </c>
      <c r="I484" s="16" t="b">
        <v>0</v>
      </c>
      <c r="J484" s="16" t="s">
        <v>205</v>
      </c>
      <c r="K484" s="16" t="s">
        <v>117</v>
      </c>
      <c r="N484" s="16" t="b">
        <v>1</v>
      </c>
      <c r="O484" s="16" t="s">
        <v>35</v>
      </c>
      <c r="R484" s="16" t="s">
        <v>2079</v>
      </c>
    </row>
    <row r="485" hidden="1">
      <c r="A485" s="13">
        <v>2279288.0</v>
      </c>
      <c r="B485" s="14">
        <v>46221.878541666665</v>
      </c>
      <c r="C485" s="13" t="s">
        <v>101</v>
      </c>
      <c r="D485" s="13" t="s">
        <v>2081</v>
      </c>
      <c r="E485" s="15"/>
      <c r="F485" s="13" t="s">
        <v>133</v>
      </c>
      <c r="G485" s="16">
        <v>208.0</v>
      </c>
      <c r="I485" s="16" t="b">
        <v>0</v>
      </c>
      <c r="J485" s="16" t="s">
        <v>134</v>
      </c>
      <c r="N485" s="16" t="b">
        <v>1</v>
      </c>
      <c r="O485" s="16" t="s">
        <v>35</v>
      </c>
      <c r="R485" s="16" t="s">
        <v>2085</v>
      </c>
    </row>
    <row r="486" hidden="1">
      <c r="A486" s="13">
        <v>2280315.0</v>
      </c>
      <c r="B486" s="14">
        <v>46222.556446759256</v>
      </c>
      <c r="C486" s="13" t="s">
        <v>139</v>
      </c>
      <c r="D486" s="13" t="s">
        <v>213</v>
      </c>
      <c r="E486" s="15"/>
      <c r="F486" s="13" t="s">
        <v>142</v>
      </c>
      <c r="G486" s="16">
        <v>200.0</v>
      </c>
      <c r="I486" s="16" t="b">
        <v>0</v>
      </c>
      <c r="J486" s="16" t="s">
        <v>655</v>
      </c>
      <c r="N486" s="16" t="b">
        <v>1</v>
      </c>
      <c r="O486" s="16" t="s">
        <v>35</v>
      </c>
      <c r="R486" s="16" t="s">
        <v>2089</v>
      </c>
    </row>
    <row r="487" hidden="1">
      <c r="A487" s="13">
        <v>2280326.0</v>
      </c>
      <c r="B487" s="14">
        <v>46222.564155092594</v>
      </c>
      <c r="C487" s="13" t="s">
        <v>139</v>
      </c>
      <c r="D487" s="13" t="s">
        <v>213</v>
      </c>
      <c r="E487" s="15"/>
      <c r="F487" s="13" t="s">
        <v>272</v>
      </c>
      <c r="G487" s="16">
        <v>200.0</v>
      </c>
      <c r="I487" s="16" t="b">
        <v>0</v>
      </c>
      <c r="J487" s="16" t="s">
        <v>144</v>
      </c>
      <c r="N487" s="16" t="b">
        <v>1</v>
      </c>
      <c r="O487" s="16" t="s">
        <v>35</v>
      </c>
      <c r="R487" s="16" t="s">
        <v>2093</v>
      </c>
    </row>
    <row r="488" hidden="1">
      <c r="A488" s="13">
        <v>2280332.0</v>
      </c>
      <c r="B488" s="14">
        <v>46222.56575231482</v>
      </c>
      <c r="C488" s="13" t="s">
        <v>101</v>
      </c>
      <c r="D488" s="13" t="s">
        <v>213</v>
      </c>
      <c r="E488" s="15"/>
      <c r="F488" s="13" t="s">
        <v>2094</v>
      </c>
      <c r="G488" s="16">
        <v>200.0</v>
      </c>
      <c r="I488" s="16" t="b">
        <v>0</v>
      </c>
      <c r="J488" s="16" t="s">
        <v>655</v>
      </c>
      <c r="N488" s="16" t="b">
        <v>1</v>
      </c>
      <c r="O488" s="16" t="s">
        <v>35</v>
      </c>
      <c r="R488" s="16" t="s">
        <v>2089</v>
      </c>
    </row>
    <row r="489" hidden="1">
      <c r="A489" s="13">
        <v>2281764.0</v>
      </c>
      <c r="B489" s="14">
        <v>46222.88128472222</v>
      </c>
      <c r="C489" s="13" t="s">
        <v>139</v>
      </c>
      <c r="D489" s="13" t="s">
        <v>799</v>
      </c>
      <c r="E489" s="15"/>
      <c r="F489" s="13" t="s">
        <v>272</v>
      </c>
      <c r="G489" s="16">
        <v>75.0</v>
      </c>
      <c r="I489" s="16" t="b">
        <v>0</v>
      </c>
      <c r="J489" s="16" t="s">
        <v>144</v>
      </c>
      <c r="N489" s="16" t="b">
        <v>1</v>
      </c>
      <c r="O489" s="16" t="s">
        <v>35</v>
      </c>
      <c r="R489" s="16" t="s">
        <v>2101</v>
      </c>
    </row>
    <row r="490" hidden="1">
      <c r="A490" s="13">
        <v>2281767.0</v>
      </c>
      <c r="B490" s="14">
        <v>46222.88143518518</v>
      </c>
      <c r="C490" s="13" t="s">
        <v>101</v>
      </c>
      <c r="D490" s="13" t="s">
        <v>586</v>
      </c>
      <c r="E490" s="15"/>
      <c r="F490" s="13" t="s">
        <v>1492</v>
      </c>
      <c r="G490" s="16">
        <v>120.0</v>
      </c>
      <c r="I490" s="16" t="b">
        <v>0</v>
      </c>
      <c r="J490" s="16" t="s">
        <v>126</v>
      </c>
      <c r="N490" s="16" t="b">
        <v>1</v>
      </c>
      <c r="O490" s="16" t="s">
        <v>35</v>
      </c>
      <c r="R490" s="16" t="s">
        <v>2104</v>
      </c>
    </row>
    <row r="491" hidden="1">
      <c r="A491" s="13">
        <v>2281768.0</v>
      </c>
      <c r="B491" s="14">
        <v>46222.881585648145</v>
      </c>
      <c r="C491" s="13" t="s">
        <v>101</v>
      </c>
      <c r="D491" s="13" t="s">
        <v>121</v>
      </c>
      <c r="E491" s="15"/>
      <c r="F491" s="13" t="s">
        <v>1762</v>
      </c>
      <c r="G491" s="16">
        <v>135.0</v>
      </c>
      <c r="I491" s="16" t="b">
        <v>0</v>
      </c>
      <c r="J491" s="16" t="s">
        <v>126</v>
      </c>
      <c r="N491" s="16" t="b">
        <v>1</v>
      </c>
      <c r="O491" s="16" t="s">
        <v>35</v>
      </c>
      <c r="R491" s="16" t="s">
        <v>2107</v>
      </c>
    </row>
    <row r="492" hidden="1">
      <c r="A492" s="13">
        <v>2281771.0</v>
      </c>
      <c r="B492" s="14">
        <v>46222.88177083333</v>
      </c>
      <c r="C492" s="13" t="s">
        <v>101</v>
      </c>
      <c r="D492" s="13" t="s">
        <v>1264</v>
      </c>
      <c r="E492" s="15"/>
      <c r="F492" s="13" t="s">
        <v>512</v>
      </c>
      <c r="G492" s="16">
        <v>349.0</v>
      </c>
      <c r="I492" s="16" t="b">
        <v>0</v>
      </c>
      <c r="J492" s="16" t="s">
        <v>134</v>
      </c>
      <c r="N492" s="16" t="b">
        <v>1</v>
      </c>
      <c r="O492" s="16" t="s">
        <v>35</v>
      </c>
      <c r="R492" s="16" t="s">
        <v>2110</v>
      </c>
    </row>
    <row r="493" hidden="1">
      <c r="A493" s="13">
        <v>2281773.0</v>
      </c>
      <c r="B493" s="14">
        <v>46222.88203703704</v>
      </c>
      <c r="C493" s="13" t="s">
        <v>101</v>
      </c>
      <c r="D493" s="13" t="s">
        <v>2112</v>
      </c>
      <c r="E493" s="15"/>
      <c r="F493" s="13" t="s">
        <v>1629</v>
      </c>
      <c r="G493" s="16">
        <v>7.9</v>
      </c>
      <c r="I493" s="16" t="b">
        <v>0</v>
      </c>
      <c r="J493" s="16" t="s">
        <v>170</v>
      </c>
      <c r="N493" s="16" t="b">
        <v>1</v>
      </c>
      <c r="O493" s="16" t="s">
        <v>35</v>
      </c>
      <c r="R493" s="16" t="s">
        <v>2114</v>
      </c>
    </row>
    <row r="494" hidden="1">
      <c r="A494" s="13">
        <v>2281784.0</v>
      </c>
      <c r="B494" s="14">
        <v>46222.88363425926</v>
      </c>
      <c r="C494" s="13" t="s">
        <v>101</v>
      </c>
      <c r="D494" s="13" t="s">
        <v>2116</v>
      </c>
      <c r="E494" s="15"/>
      <c r="F494" s="13" t="s">
        <v>2117</v>
      </c>
      <c r="G494" s="16">
        <v>1250.0</v>
      </c>
      <c r="I494" s="16" t="b">
        <v>0</v>
      </c>
      <c r="J494" s="16" t="s">
        <v>205</v>
      </c>
      <c r="K494" s="16" t="s">
        <v>336</v>
      </c>
      <c r="N494" s="16" t="b">
        <v>1</v>
      </c>
      <c r="O494" s="16" t="s">
        <v>35</v>
      </c>
      <c r="R494" s="16" t="s">
        <v>2119</v>
      </c>
    </row>
    <row r="495" hidden="1">
      <c r="A495" s="13">
        <v>2281798.0</v>
      </c>
      <c r="B495" s="14">
        <v>46222.88559027778</v>
      </c>
      <c r="C495" s="13" t="s">
        <v>101</v>
      </c>
      <c r="D495" s="13" t="s">
        <v>201</v>
      </c>
      <c r="E495" s="15"/>
      <c r="F495" s="13" t="s">
        <v>2121</v>
      </c>
      <c r="G495" s="16">
        <v>150.0</v>
      </c>
      <c r="I495" s="16" t="b">
        <v>0</v>
      </c>
      <c r="J495" s="16" t="s">
        <v>205</v>
      </c>
      <c r="K495" s="16" t="s">
        <v>336</v>
      </c>
      <c r="N495" s="16" t="b">
        <v>1</v>
      </c>
      <c r="O495" s="16" t="s">
        <v>35</v>
      </c>
      <c r="R495" s="16" t="s">
        <v>2124</v>
      </c>
    </row>
    <row r="496" hidden="1">
      <c r="A496" s="13">
        <v>2283613.0</v>
      </c>
      <c r="B496" s="14">
        <v>46223.745844907404</v>
      </c>
      <c r="C496" s="13" t="s">
        <v>101</v>
      </c>
      <c r="D496" s="13" t="s">
        <v>2126</v>
      </c>
      <c r="E496" s="15"/>
      <c r="F496" s="13" t="s">
        <v>133</v>
      </c>
      <c r="G496" s="16">
        <v>129.0</v>
      </c>
      <c r="I496" s="16" t="b">
        <v>0</v>
      </c>
      <c r="J496" s="16" t="s">
        <v>134</v>
      </c>
      <c r="N496" s="16" t="b">
        <v>1</v>
      </c>
      <c r="O496" s="16" t="s">
        <v>35</v>
      </c>
      <c r="R496" s="16" t="s">
        <v>2128</v>
      </c>
    </row>
    <row r="497" hidden="1">
      <c r="A497" s="13">
        <v>2283635.0</v>
      </c>
      <c r="B497" s="14">
        <v>46223.75146990741</v>
      </c>
      <c r="C497" s="13" t="s">
        <v>101</v>
      </c>
      <c r="D497" s="13" t="s">
        <v>2133</v>
      </c>
      <c r="E497" s="15"/>
      <c r="F497" s="13" t="s">
        <v>2134</v>
      </c>
      <c r="G497" s="16">
        <v>750.0</v>
      </c>
      <c r="I497" s="16" t="b">
        <v>0</v>
      </c>
      <c r="J497" s="16" t="s">
        <v>205</v>
      </c>
      <c r="K497" s="16" t="s">
        <v>117</v>
      </c>
      <c r="N497" s="16" t="b">
        <v>1</v>
      </c>
      <c r="O497" s="16" t="s">
        <v>35</v>
      </c>
      <c r="R497" s="16" t="s">
        <v>2136</v>
      </c>
    </row>
    <row r="498" hidden="1">
      <c r="A498" s="13">
        <v>2284042.0</v>
      </c>
      <c r="B498" s="14">
        <v>46223.87248842593</v>
      </c>
      <c r="C498" s="13" t="s">
        <v>101</v>
      </c>
      <c r="D498" s="13" t="s">
        <v>213</v>
      </c>
      <c r="E498" s="15"/>
      <c r="F498" s="13" t="s">
        <v>2139</v>
      </c>
      <c r="G498" s="16">
        <v>200.0</v>
      </c>
      <c r="I498" s="16" t="b">
        <v>0</v>
      </c>
      <c r="J498" s="16" t="s">
        <v>205</v>
      </c>
      <c r="K498" s="16" t="s">
        <v>218</v>
      </c>
      <c r="N498" s="16" t="b">
        <v>1</v>
      </c>
      <c r="O498" s="16" t="s">
        <v>35</v>
      </c>
      <c r="R498" s="16" t="s">
        <v>2141</v>
      </c>
    </row>
    <row r="499" hidden="1">
      <c r="A499" s="13">
        <v>2285387.0</v>
      </c>
      <c r="B499" s="14">
        <v>46224.733136574076</v>
      </c>
      <c r="C499" s="13" t="s">
        <v>101</v>
      </c>
      <c r="D499" s="13" t="s">
        <v>165</v>
      </c>
      <c r="E499" s="15"/>
      <c r="F499" s="13" t="s">
        <v>133</v>
      </c>
      <c r="G499" s="16">
        <v>58.0</v>
      </c>
      <c r="I499" s="16" t="b">
        <v>0</v>
      </c>
      <c r="J499" s="16" t="s">
        <v>134</v>
      </c>
      <c r="N499" s="16" t="b">
        <v>1</v>
      </c>
      <c r="O499" s="16" t="s">
        <v>35</v>
      </c>
      <c r="R499" s="16" t="s">
        <v>2145</v>
      </c>
    </row>
    <row r="500" hidden="1">
      <c r="A500" s="13">
        <v>2285389.0</v>
      </c>
      <c r="B500" s="14">
        <v>46224.73342592592</v>
      </c>
      <c r="C500" s="13" t="s">
        <v>101</v>
      </c>
      <c r="D500" s="13" t="s">
        <v>291</v>
      </c>
      <c r="E500" s="15"/>
      <c r="F500" s="13" t="s">
        <v>2148</v>
      </c>
      <c r="G500" s="16">
        <v>250.0</v>
      </c>
      <c r="I500" s="16" t="b">
        <v>0</v>
      </c>
      <c r="J500" s="16" t="s">
        <v>205</v>
      </c>
      <c r="K500" s="16" t="s">
        <v>117</v>
      </c>
      <c r="N500" s="16" t="b">
        <v>1</v>
      </c>
      <c r="O500" s="16" t="s">
        <v>35</v>
      </c>
      <c r="R500" s="16" t="s">
        <v>2149</v>
      </c>
    </row>
    <row r="501" hidden="1">
      <c r="A501" s="13">
        <v>2285658.0</v>
      </c>
      <c r="B501" s="14">
        <v>46224.82277777778</v>
      </c>
      <c r="C501" s="13" t="s">
        <v>101</v>
      </c>
      <c r="D501" s="13" t="s">
        <v>398</v>
      </c>
      <c r="E501" s="15"/>
      <c r="F501" s="13" t="s">
        <v>512</v>
      </c>
      <c r="G501" s="16">
        <v>12.0</v>
      </c>
      <c r="I501" s="16" t="b">
        <v>0</v>
      </c>
      <c r="J501" s="16" t="s">
        <v>134</v>
      </c>
      <c r="N501" s="16" t="b">
        <v>1</v>
      </c>
      <c r="O501" s="16" t="s">
        <v>35</v>
      </c>
      <c r="R501" s="16" t="s">
        <v>2152</v>
      </c>
    </row>
    <row r="502" hidden="1">
      <c r="A502" s="13">
        <v>2285768.0</v>
      </c>
      <c r="B502" s="14">
        <v>46224.86665509259</v>
      </c>
      <c r="C502" s="13" t="s">
        <v>101</v>
      </c>
      <c r="D502" s="13" t="s">
        <v>231</v>
      </c>
      <c r="E502" s="15"/>
      <c r="F502" s="13" t="s">
        <v>600</v>
      </c>
      <c r="G502" s="16">
        <v>10.0</v>
      </c>
      <c r="I502" s="16" t="b">
        <v>0</v>
      </c>
      <c r="J502" s="16" t="s">
        <v>134</v>
      </c>
      <c r="N502" s="16" t="b">
        <v>1</v>
      </c>
      <c r="O502" s="16" t="s">
        <v>35</v>
      </c>
      <c r="R502" s="16" t="s">
        <v>2154</v>
      </c>
    </row>
    <row r="503" hidden="1">
      <c r="A503" s="13">
        <v>2286917.0</v>
      </c>
      <c r="B503" s="14">
        <v>46225.708761574075</v>
      </c>
      <c r="C503" s="13" t="s">
        <v>101</v>
      </c>
      <c r="D503" s="13" t="s">
        <v>161</v>
      </c>
      <c r="E503" s="15"/>
      <c r="F503" s="13" t="s">
        <v>133</v>
      </c>
      <c r="G503" s="16">
        <v>60.0</v>
      </c>
      <c r="I503" s="16" t="b">
        <v>0</v>
      </c>
      <c r="J503" s="16" t="s">
        <v>134</v>
      </c>
      <c r="N503" s="16" t="b">
        <v>1</v>
      </c>
      <c r="O503" s="16" t="s">
        <v>35</v>
      </c>
      <c r="R503" s="16" t="s">
        <v>2156</v>
      </c>
    </row>
    <row r="504" hidden="1">
      <c r="A504" s="13">
        <v>2286980.0</v>
      </c>
      <c r="B504" s="14">
        <v>46225.73391203704</v>
      </c>
      <c r="C504" s="13" t="s">
        <v>101</v>
      </c>
      <c r="D504" s="13" t="s">
        <v>2159</v>
      </c>
      <c r="E504" s="15"/>
      <c r="F504" s="13" t="s">
        <v>2161</v>
      </c>
      <c r="G504" s="16">
        <v>16.4</v>
      </c>
      <c r="I504" s="16" t="b">
        <v>0</v>
      </c>
      <c r="J504" s="16" t="s">
        <v>170</v>
      </c>
      <c r="M504" s="16" t="s">
        <v>2162</v>
      </c>
      <c r="N504" s="16" t="b">
        <v>1</v>
      </c>
      <c r="O504" s="16" t="s">
        <v>35</v>
      </c>
      <c r="R504" s="16" t="s">
        <v>2163</v>
      </c>
    </row>
    <row r="505" hidden="1">
      <c r="A505" s="13">
        <v>2287289.0</v>
      </c>
      <c r="B505" s="14">
        <v>46225.87049768519</v>
      </c>
      <c r="C505" s="13" t="s">
        <v>101</v>
      </c>
      <c r="D505" s="13" t="s">
        <v>473</v>
      </c>
      <c r="E505" s="15"/>
      <c r="F505" s="13" t="s">
        <v>600</v>
      </c>
      <c r="G505" s="16">
        <v>15.0</v>
      </c>
      <c r="I505" s="16" t="b">
        <v>0</v>
      </c>
      <c r="J505" s="16" t="s">
        <v>134</v>
      </c>
      <c r="N505" s="16" t="b">
        <v>1</v>
      </c>
      <c r="O505" s="16" t="s">
        <v>35</v>
      </c>
      <c r="R505" s="16" t="s">
        <v>2169</v>
      </c>
    </row>
    <row r="506" hidden="1">
      <c r="A506" s="13">
        <v>2288142.0</v>
      </c>
      <c r="B506" s="14">
        <v>46226.6390625</v>
      </c>
      <c r="C506" s="13" t="s">
        <v>101</v>
      </c>
      <c r="D506" s="13" t="s">
        <v>718</v>
      </c>
      <c r="E506" s="15"/>
      <c r="F506" s="13" t="s">
        <v>133</v>
      </c>
      <c r="G506" s="16">
        <v>32.0</v>
      </c>
      <c r="I506" s="16" t="b">
        <v>0</v>
      </c>
      <c r="J506" s="16" t="s">
        <v>134</v>
      </c>
      <c r="N506" s="16" t="b">
        <v>1</v>
      </c>
      <c r="O506" s="16" t="s">
        <v>35</v>
      </c>
      <c r="R506" s="16" t="s">
        <v>2172</v>
      </c>
    </row>
    <row r="507" hidden="1">
      <c r="A507" s="13">
        <v>2288451.0</v>
      </c>
      <c r="B507" s="14">
        <v>46226.73469907408</v>
      </c>
      <c r="C507" s="13" t="s">
        <v>101</v>
      </c>
      <c r="D507" s="13" t="s">
        <v>2133</v>
      </c>
      <c r="E507" s="15"/>
      <c r="F507" s="13" t="s">
        <v>2173</v>
      </c>
      <c r="G507" s="16">
        <v>750.0</v>
      </c>
      <c r="I507" s="16" t="b">
        <v>0</v>
      </c>
      <c r="J507" s="16" t="s">
        <v>205</v>
      </c>
      <c r="K507" s="16" t="s">
        <v>117</v>
      </c>
      <c r="N507" s="16" t="b">
        <v>1</v>
      </c>
      <c r="O507" s="16" t="s">
        <v>35</v>
      </c>
      <c r="R507" s="16" t="s">
        <v>2179</v>
      </c>
    </row>
    <row r="508" hidden="1">
      <c r="A508" s="13">
        <v>2288647.0</v>
      </c>
      <c r="B508" s="14">
        <v>46226.80391203704</v>
      </c>
      <c r="C508" s="13" t="s">
        <v>101</v>
      </c>
      <c r="D508" s="13" t="s">
        <v>2180</v>
      </c>
      <c r="E508" s="15"/>
      <c r="F508" s="13" t="s">
        <v>1545</v>
      </c>
      <c r="G508" s="16">
        <v>9.44</v>
      </c>
      <c r="I508" s="16" t="b">
        <v>0</v>
      </c>
      <c r="J508" s="16" t="s">
        <v>783</v>
      </c>
      <c r="N508" s="16" t="b">
        <v>1</v>
      </c>
      <c r="O508" s="16" t="s">
        <v>35</v>
      </c>
      <c r="R508" s="16" t="s">
        <v>2184</v>
      </c>
    </row>
    <row r="509" hidden="1">
      <c r="A509" s="13">
        <v>2288648.0</v>
      </c>
      <c r="B509" s="14">
        <v>46226.8040625</v>
      </c>
      <c r="C509" s="13" t="s">
        <v>101</v>
      </c>
      <c r="D509" s="13" t="s">
        <v>2185</v>
      </c>
      <c r="E509" s="15"/>
      <c r="F509" s="13" t="s">
        <v>1545</v>
      </c>
      <c r="G509" s="16">
        <v>23.02</v>
      </c>
      <c r="I509" s="16" t="b">
        <v>0</v>
      </c>
      <c r="J509" s="16" t="s">
        <v>783</v>
      </c>
      <c r="N509" s="16" t="b">
        <v>1</v>
      </c>
      <c r="O509" s="16" t="s">
        <v>35</v>
      </c>
      <c r="R509" s="16" t="s">
        <v>2188</v>
      </c>
    </row>
    <row r="510" hidden="1">
      <c r="A510" s="13">
        <v>2288846.0</v>
      </c>
      <c r="B510" s="14">
        <v>46226.87888888889</v>
      </c>
      <c r="C510" s="13" t="s">
        <v>101</v>
      </c>
      <c r="D510" s="13" t="s">
        <v>2190</v>
      </c>
      <c r="E510" s="15"/>
      <c r="F510" s="13" t="s">
        <v>600</v>
      </c>
      <c r="G510" s="16">
        <v>152.0</v>
      </c>
      <c r="I510" s="16" t="b">
        <v>0</v>
      </c>
      <c r="J510" s="16" t="s">
        <v>134</v>
      </c>
      <c r="N510" s="16" t="b">
        <v>1</v>
      </c>
      <c r="O510" s="16" t="s">
        <v>35</v>
      </c>
      <c r="R510" s="16" t="s">
        <v>2193</v>
      </c>
    </row>
    <row r="511" hidden="1">
      <c r="A511" s="13">
        <v>2288847.0</v>
      </c>
      <c r="B511" s="14">
        <v>46226.879016203704</v>
      </c>
      <c r="C511" s="13" t="s">
        <v>101</v>
      </c>
      <c r="D511" s="13" t="s">
        <v>213</v>
      </c>
      <c r="E511" s="15"/>
      <c r="F511" s="13" t="s">
        <v>2195</v>
      </c>
      <c r="G511" s="16">
        <v>200.0</v>
      </c>
      <c r="I511" s="16" t="b">
        <v>0</v>
      </c>
      <c r="J511" s="16" t="s">
        <v>205</v>
      </c>
      <c r="K511" s="16" t="s">
        <v>218</v>
      </c>
      <c r="N511" s="16" t="b">
        <v>1</v>
      </c>
      <c r="O511" s="16" t="s">
        <v>35</v>
      </c>
      <c r="R511" s="16" t="s">
        <v>2198</v>
      </c>
    </row>
    <row r="512" hidden="1">
      <c r="A512" s="13">
        <v>2289927.0</v>
      </c>
      <c r="B512" s="14">
        <v>46227.7046412037</v>
      </c>
      <c r="C512" s="13" t="s">
        <v>139</v>
      </c>
      <c r="D512" s="13" t="s">
        <v>291</v>
      </c>
      <c r="E512" s="15"/>
      <c r="F512" s="13" t="s">
        <v>2202</v>
      </c>
      <c r="G512" s="16">
        <v>250.0</v>
      </c>
      <c r="I512" s="16" t="b">
        <v>0</v>
      </c>
      <c r="J512" s="16" t="s">
        <v>205</v>
      </c>
      <c r="K512" s="16" t="s">
        <v>117</v>
      </c>
      <c r="N512" s="16" t="b">
        <v>1</v>
      </c>
      <c r="O512" s="16" t="s">
        <v>35</v>
      </c>
      <c r="R512" s="16" t="s">
        <v>2204</v>
      </c>
    </row>
    <row r="513" hidden="1">
      <c r="A513" s="13">
        <v>2290160.0</v>
      </c>
      <c r="B513" s="14">
        <v>46227.7743287037</v>
      </c>
      <c r="C513" s="13" t="s">
        <v>101</v>
      </c>
      <c r="D513" s="13" t="s">
        <v>141</v>
      </c>
      <c r="E513" s="15"/>
      <c r="F513" s="13" t="s">
        <v>133</v>
      </c>
      <c r="G513" s="16">
        <v>50.0</v>
      </c>
      <c r="I513" s="16" t="b">
        <v>0</v>
      </c>
      <c r="J513" s="16" t="s">
        <v>134</v>
      </c>
      <c r="N513" s="16" t="b">
        <v>1</v>
      </c>
      <c r="O513" s="16" t="s">
        <v>35</v>
      </c>
      <c r="R513" s="16" t="s">
        <v>2210</v>
      </c>
    </row>
    <row r="514" hidden="1">
      <c r="A514" s="13">
        <v>2290243.0</v>
      </c>
      <c r="B514" s="14">
        <v>46227.80773148148</v>
      </c>
      <c r="C514" s="13" t="s">
        <v>101</v>
      </c>
      <c r="D514" s="13" t="s">
        <v>746</v>
      </c>
      <c r="E514" s="15"/>
      <c r="F514" s="13" t="s">
        <v>2213</v>
      </c>
      <c r="G514" s="16">
        <v>350.0</v>
      </c>
      <c r="I514" s="16" t="b">
        <v>0</v>
      </c>
      <c r="J514" s="16" t="s">
        <v>205</v>
      </c>
      <c r="K514" s="16" t="s">
        <v>117</v>
      </c>
      <c r="N514" s="16" t="b">
        <v>1</v>
      </c>
      <c r="O514" s="16" t="s">
        <v>35</v>
      </c>
      <c r="R514" s="16" t="s">
        <v>2215</v>
      </c>
    </row>
    <row r="515" hidden="1">
      <c r="A515" s="13">
        <v>2290351.0</v>
      </c>
      <c r="B515" s="14">
        <v>46227.86119212963</v>
      </c>
      <c r="C515" s="13" t="s">
        <v>101</v>
      </c>
      <c r="D515" s="13" t="s">
        <v>2217</v>
      </c>
      <c r="E515" s="15"/>
      <c r="F515" s="13" t="s">
        <v>2219</v>
      </c>
      <c r="G515" s="16">
        <v>37.85</v>
      </c>
      <c r="I515" s="16" t="b">
        <v>0</v>
      </c>
      <c r="J515" s="16" t="s">
        <v>170</v>
      </c>
      <c r="M515" s="16" t="s">
        <v>2220</v>
      </c>
      <c r="N515" s="16" t="b">
        <v>1</v>
      </c>
      <c r="O515" s="16" t="s">
        <v>35</v>
      </c>
      <c r="R515" s="16" t="s">
        <v>2221</v>
      </c>
    </row>
    <row r="516" hidden="1">
      <c r="A516" s="13">
        <v>2290352.0</v>
      </c>
      <c r="B516" s="14">
        <v>46227.861550925925</v>
      </c>
      <c r="C516" s="13" t="s">
        <v>101</v>
      </c>
      <c r="D516" s="13" t="s">
        <v>2223</v>
      </c>
      <c r="E516" s="15"/>
      <c r="F516" s="13" t="s">
        <v>282</v>
      </c>
      <c r="G516" s="16">
        <v>128.4</v>
      </c>
      <c r="I516" s="16" t="b">
        <v>0</v>
      </c>
      <c r="J516" s="16" t="s">
        <v>170</v>
      </c>
      <c r="M516" s="16" t="s">
        <v>2225</v>
      </c>
      <c r="N516" s="16" t="b">
        <v>1</v>
      </c>
      <c r="O516" s="16" t="s">
        <v>35</v>
      </c>
      <c r="R516" s="16" t="s">
        <v>2226</v>
      </c>
    </row>
    <row r="517" hidden="1">
      <c r="A517" s="13">
        <v>2290362.0</v>
      </c>
      <c r="B517" s="14">
        <v>46227.86724537037</v>
      </c>
      <c r="C517" s="13" t="s">
        <v>139</v>
      </c>
      <c r="D517" s="13" t="s">
        <v>141</v>
      </c>
      <c r="E517" s="15"/>
      <c r="F517" s="13" t="s">
        <v>788</v>
      </c>
      <c r="G517" s="16">
        <v>50.0</v>
      </c>
      <c r="I517" s="16" t="b">
        <v>0</v>
      </c>
      <c r="J517" s="16" t="s">
        <v>144</v>
      </c>
      <c r="N517" s="16" t="b">
        <v>1</v>
      </c>
      <c r="O517" s="16" t="s">
        <v>35</v>
      </c>
      <c r="R517" s="16" t="s">
        <v>2229</v>
      </c>
    </row>
    <row r="518" hidden="1">
      <c r="A518" s="13">
        <v>2290405.0</v>
      </c>
      <c r="B518" s="14">
        <v>46227.878703703704</v>
      </c>
      <c r="C518" s="13" t="s">
        <v>101</v>
      </c>
      <c r="D518" s="13" t="s">
        <v>2231</v>
      </c>
      <c r="E518" s="15"/>
      <c r="F518" s="13" t="s">
        <v>225</v>
      </c>
      <c r="G518" s="16">
        <v>15.92</v>
      </c>
      <c r="I518" s="16" t="b">
        <v>0</v>
      </c>
      <c r="J518" s="16" t="s">
        <v>116</v>
      </c>
      <c r="K518" s="16" t="s">
        <v>227</v>
      </c>
      <c r="N518" s="16" t="b">
        <v>1</v>
      </c>
      <c r="O518" s="16" t="s">
        <v>35</v>
      </c>
      <c r="R518" s="16" t="s">
        <v>2233</v>
      </c>
    </row>
    <row r="519" hidden="1">
      <c r="A519" s="13">
        <v>2290409.0</v>
      </c>
      <c r="B519" s="14">
        <v>46227.87946759259</v>
      </c>
      <c r="C519" s="13" t="s">
        <v>101</v>
      </c>
      <c r="D519" s="13" t="s">
        <v>237</v>
      </c>
      <c r="E519" s="15"/>
      <c r="F519" s="13" t="s">
        <v>2237</v>
      </c>
      <c r="G519" s="16">
        <v>100.0</v>
      </c>
      <c r="I519" s="16" t="b">
        <v>0</v>
      </c>
      <c r="J519" s="16" t="s">
        <v>205</v>
      </c>
      <c r="K519" s="16" t="s">
        <v>218</v>
      </c>
      <c r="N519" s="16" t="b">
        <v>1</v>
      </c>
      <c r="O519" s="16" t="s">
        <v>35</v>
      </c>
      <c r="R519" s="16" t="s">
        <v>2238</v>
      </c>
    </row>
    <row r="520" hidden="1">
      <c r="A520" s="13">
        <v>2290413.0</v>
      </c>
      <c r="B520" s="14">
        <v>46227.879837962966</v>
      </c>
      <c r="C520" s="13" t="s">
        <v>101</v>
      </c>
      <c r="D520" s="13" t="s">
        <v>306</v>
      </c>
      <c r="E520" s="15"/>
      <c r="F520" s="13" t="s">
        <v>1591</v>
      </c>
      <c r="G520" s="16">
        <v>22.0</v>
      </c>
      <c r="I520" s="16" t="b">
        <v>0</v>
      </c>
      <c r="J520" s="16" t="s">
        <v>134</v>
      </c>
      <c r="N520" s="16" t="b">
        <v>1</v>
      </c>
      <c r="O520" s="16" t="s">
        <v>35</v>
      </c>
      <c r="R520" s="16" t="s">
        <v>2242</v>
      </c>
    </row>
    <row r="521" hidden="1">
      <c r="A521" s="13">
        <v>2292039.0</v>
      </c>
      <c r="B521" s="14">
        <v>46228.85550925926</v>
      </c>
      <c r="C521" s="13" t="s">
        <v>139</v>
      </c>
      <c r="D521" s="13" t="s">
        <v>141</v>
      </c>
      <c r="E521" s="15"/>
      <c r="F521" s="13" t="s">
        <v>788</v>
      </c>
      <c r="G521" s="16">
        <v>50.0</v>
      </c>
      <c r="I521" s="16" t="b">
        <v>0</v>
      </c>
      <c r="J521" s="16" t="s">
        <v>144</v>
      </c>
      <c r="N521" s="16" t="b">
        <v>1</v>
      </c>
      <c r="O521" s="16" t="s">
        <v>35</v>
      </c>
      <c r="R521" s="16" t="s">
        <v>2246</v>
      </c>
    </row>
    <row r="522" hidden="1">
      <c r="A522" s="13">
        <v>2292170.0</v>
      </c>
      <c r="B522" s="14">
        <v>46228.886400462965</v>
      </c>
      <c r="C522" s="13" t="s">
        <v>101</v>
      </c>
      <c r="D522" s="13" t="s">
        <v>586</v>
      </c>
      <c r="E522" s="15"/>
      <c r="F522" s="13" t="s">
        <v>344</v>
      </c>
      <c r="G522" s="16">
        <v>120.0</v>
      </c>
      <c r="I522" s="16" t="b">
        <v>0</v>
      </c>
      <c r="J522" s="16" t="s">
        <v>126</v>
      </c>
      <c r="N522" s="16" t="b">
        <v>1</v>
      </c>
      <c r="O522" s="16" t="s">
        <v>35</v>
      </c>
      <c r="R522" s="16" t="s">
        <v>2249</v>
      </c>
    </row>
    <row r="523" hidden="1">
      <c r="A523" s="13">
        <v>2292173.0</v>
      </c>
      <c r="B523" s="14">
        <v>46228.8865625</v>
      </c>
      <c r="C523" s="13" t="s">
        <v>101</v>
      </c>
      <c r="D523" s="13" t="s">
        <v>586</v>
      </c>
      <c r="E523" s="15"/>
      <c r="F523" s="13" t="s">
        <v>1492</v>
      </c>
      <c r="G523" s="16">
        <v>120.0</v>
      </c>
      <c r="I523" s="16" t="b">
        <v>0</v>
      </c>
      <c r="J523" s="16" t="s">
        <v>126</v>
      </c>
      <c r="N523" s="16" t="b">
        <v>1</v>
      </c>
      <c r="O523" s="16" t="s">
        <v>35</v>
      </c>
      <c r="R523" s="16" t="s">
        <v>2249</v>
      </c>
    </row>
    <row r="524" hidden="1">
      <c r="A524" s="13">
        <v>2292175.0</v>
      </c>
      <c r="B524" s="14">
        <v>46228.88673611111</v>
      </c>
      <c r="C524" s="13" t="s">
        <v>101</v>
      </c>
      <c r="D524" s="13" t="s">
        <v>586</v>
      </c>
      <c r="E524" s="15"/>
      <c r="F524" s="13" t="s">
        <v>1263</v>
      </c>
      <c r="G524" s="16">
        <v>120.0</v>
      </c>
      <c r="I524" s="16" t="b">
        <v>0</v>
      </c>
      <c r="J524" s="16" t="s">
        <v>126</v>
      </c>
      <c r="N524" s="16" t="b">
        <v>1</v>
      </c>
      <c r="O524" s="16" t="s">
        <v>35</v>
      </c>
      <c r="R524" s="16" t="s">
        <v>2249</v>
      </c>
    </row>
    <row r="525" hidden="1">
      <c r="A525" s="13">
        <v>2292180.0</v>
      </c>
      <c r="B525" s="14">
        <v>46228.887094907404</v>
      </c>
      <c r="C525" s="13" t="s">
        <v>101</v>
      </c>
      <c r="D525" s="13" t="s">
        <v>2257</v>
      </c>
      <c r="E525" s="15"/>
      <c r="F525" s="13" t="s">
        <v>1591</v>
      </c>
      <c r="G525" s="16">
        <v>273.0</v>
      </c>
      <c r="I525" s="16" t="b">
        <v>0</v>
      </c>
      <c r="J525" s="16" t="s">
        <v>134</v>
      </c>
      <c r="N525" s="16" t="b">
        <v>1</v>
      </c>
      <c r="O525" s="16" t="s">
        <v>35</v>
      </c>
      <c r="R525" s="16" t="s">
        <v>2259</v>
      </c>
    </row>
    <row r="526" hidden="1">
      <c r="A526" s="13">
        <v>2292183.0</v>
      </c>
      <c r="B526" s="14">
        <v>46228.88746527778</v>
      </c>
      <c r="C526" s="13" t="s">
        <v>101</v>
      </c>
      <c r="D526" s="13" t="s">
        <v>2262</v>
      </c>
      <c r="E526" s="15"/>
      <c r="F526" s="13" t="s">
        <v>574</v>
      </c>
      <c r="G526" s="16">
        <v>37.2</v>
      </c>
      <c r="I526" s="16" t="b">
        <v>0</v>
      </c>
      <c r="J526" s="16" t="s">
        <v>116</v>
      </c>
      <c r="K526" s="16" t="s">
        <v>218</v>
      </c>
      <c r="N526" s="16" t="b">
        <v>1</v>
      </c>
      <c r="O526" s="16" t="s">
        <v>35</v>
      </c>
      <c r="R526" s="16" t="s">
        <v>2264</v>
      </c>
    </row>
    <row r="527" hidden="1">
      <c r="A527" s="13">
        <v>2292194.0</v>
      </c>
      <c r="B527" s="14">
        <v>46228.889398148145</v>
      </c>
      <c r="C527" s="13" t="s">
        <v>101</v>
      </c>
      <c r="D527" s="13" t="s">
        <v>364</v>
      </c>
      <c r="E527" s="15"/>
      <c r="F527" s="13" t="s">
        <v>2267</v>
      </c>
      <c r="G527" s="16">
        <v>600.0</v>
      </c>
      <c r="I527" s="16" t="b">
        <v>0</v>
      </c>
      <c r="J527" s="16" t="s">
        <v>205</v>
      </c>
      <c r="K527" s="16" t="s">
        <v>218</v>
      </c>
      <c r="N527" s="16" t="b">
        <v>1</v>
      </c>
      <c r="O527" s="16" t="s">
        <v>35</v>
      </c>
      <c r="R527" s="16" t="s">
        <v>2269</v>
      </c>
    </row>
    <row r="528" hidden="1">
      <c r="A528" s="13">
        <v>2293651.0</v>
      </c>
      <c r="B528" s="14">
        <v>46229.73137731481</v>
      </c>
      <c r="C528" s="13" t="s">
        <v>139</v>
      </c>
      <c r="D528" s="13" t="s">
        <v>141</v>
      </c>
      <c r="E528" s="15"/>
      <c r="F528" s="13" t="s">
        <v>142</v>
      </c>
      <c r="G528" s="16">
        <v>50.0</v>
      </c>
      <c r="I528" s="16" t="b">
        <v>0</v>
      </c>
      <c r="J528" s="16" t="s">
        <v>144</v>
      </c>
      <c r="N528" s="16" t="b">
        <v>1</v>
      </c>
      <c r="O528" s="16" t="s">
        <v>35</v>
      </c>
      <c r="R528" s="16" t="s">
        <v>2273</v>
      </c>
    </row>
    <row r="529" hidden="1">
      <c r="A529" s="13">
        <v>2294084.0</v>
      </c>
      <c r="B529" s="14">
        <v>46229.81238425926</v>
      </c>
      <c r="C529" s="13" t="s">
        <v>139</v>
      </c>
      <c r="D529" s="13" t="s">
        <v>2274</v>
      </c>
      <c r="E529" s="15"/>
      <c r="F529" s="13" t="s">
        <v>142</v>
      </c>
      <c r="G529" s="16">
        <v>154.5</v>
      </c>
      <c r="I529" s="16" t="b">
        <v>0</v>
      </c>
      <c r="J529" s="16" t="s">
        <v>144</v>
      </c>
      <c r="N529" s="16" t="b">
        <v>1</v>
      </c>
      <c r="O529" s="16" t="s">
        <v>35</v>
      </c>
      <c r="R529" s="16" t="s">
        <v>2277</v>
      </c>
    </row>
    <row r="530" hidden="1">
      <c r="A530" s="13">
        <v>2294367.0</v>
      </c>
      <c r="B530" s="14">
        <v>46229.86578703704</v>
      </c>
      <c r="C530" s="13" t="s">
        <v>101</v>
      </c>
      <c r="D530" s="13" t="s">
        <v>1724</v>
      </c>
      <c r="E530" s="15"/>
      <c r="F530" s="13" t="s">
        <v>742</v>
      </c>
      <c r="G530" s="16">
        <v>295.0</v>
      </c>
      <c r="I530" s="16" t="b">
        <v>0</v>
      </c>
      <c r="J530" s="16" t="s">
        <v>134</v>
      </c>
      <c r="N530" s="16" t="b">
        <v>1</v>
      </c>
      <c r="O530" s="16" t="s">
        <v>35</v>
      </c>
      <c r="R530" s="16" t="s">
        <v>2281</v>
      </c>
    </row>
    <row r="531" hidden="1">
      <c r="A531" s="13">
        <v>2294478.0</v>
      </c>
      <c r="B531" s="14">
        <v>46229.88146990741</v>
      </c>
      <c r="C531" s="13" t="s">
        <v>101</v>
      </c>
      <c r="D531" s="13" t="s">
        <v>2285</v>
      </c>
      <c r="E531" s="15"/>
      <c r="F531" s="13" t="s">
        <v>2286</v>
      </c>
      <c r="G531" s="16">
        <v>1900.0</v>
      </c>
      <c r="I531" s="16" t="b">
        <v>0</v>
      </c>
      <c r="J531" s="16" t="s">
        <v>205</v>
      </c>
      <c r="K531" s="16" t="s">
        <v>117</v>
      </c>
      <c r="N531" s="16" t="b">
        <v>1</v>
      </c>
      <c r="O531" s="16" t="s">
        <v>35</v>
      </c>
      <c r="R531" s="16" t="s">
        <v>2288</v>
      </c>
    </row>
    <row r="532" hidden="1">
      <c r="A532" s="13">
        <v>2294484.0</v>
      </c>
      <c r="B532" s="14">
        <v>46229.88238425926</v>
      </c>
      <c r="C532" s="13" t="s">
        <v>101</v>
      </c>
      <c r="D532" s="13" t="s">
        <v>586</v>
      </c>
      <c r="E532" s="15"/>
      <c r="F532" s="13" t="s">
        <v>2291</v>
      </c>
      <c r="G532" s="16">
        <v>120.0</v>
      </c>
      <c r="I532" s="16" t="b">
        <v>0</v>
      </c>
      <c r="J532" s="16" t="s">
        <v>126</v>
      </c>
      <c r="N532" s="16" t="b">
        <v>1</v>
      </c>
      <c r="O532" s="16" t="s">
        <v>35</v>
      </c>
      <c r="R532" s="16" t="s">
        <v>2292</v>
      </c>
    </row>
    <row r="533" hidden="1">
      <c r="A533" s="13">
        <v>2294489.0</v>
      </c>
      <c r="B533" s="14">
        <v>46229.8825462963</v>
      </c>
      <c r="C533" s="13" t="s">
        <v>101</v>
      </c>
      <c r="D533" s="13" t="s">
        <v>586</v>
      </c>
      <c r="E533" s="15"/>
      <c r="F533" s="13" t="s">
        <v>2295</v>
      </c>
      <c r="G533" s="16">
        <v>120.0</v>
      </c>
      <c r="I533" s="16" t="b">
        <v>0</v>
      </c>
      <c r="J533" s="16" t="s">
        <v>126</v>
      </c>
      <c r="N533" s="16" t="b">
        <v>1</v>
      </c>
      <c r="O533" s="16" t="s">
        <v>35</v>
      </c>
      <c r="R533" s="16" t="s">
        <v>2292</v>
      </c>
    </row>
    <row r="534" hidden="1">
      <c r="A534" s="13">
        <v>2294491.0</v>
      </c>
      <c r="B534" s="14">
        <v>46229.88265046296</v>
      </c>
      <c r="C534" s="13" t="s">
        <v>101</v>
      </c>
      <c r="D534" s="13" t="s">
        <v>586</v>
      </c>
      <c r="E534" s="15"/>
      <c r="F534" s="13" t="s">
        <v>2298</v>
      </c>
      <c r="G534" s="16">
        <v>120.0</v>
      </c>
      <c r="I534" s="16" t="b">
        <v>0</v>
      </c>
      <c r="J534" s="16" t="s">
        <v>126</v>
      </c>
      <c r="N534" s="16" t="b">
        <v>1</v>
      </c>
      <c r="O534" s="16" t="s">
        <v>35</v>
      </c>
      <c r="R534" s="16" t="s">
        <v>2292</v>
      </c>
    </row>
    <row r="535" hidden="1">
      <c r="A535" s="13">
        <v>2296155.0</v>
      </c>
      <c r="B535" s="14">
        <v>46230.70309027778</v>
      </c>
      <c r="C535" s="13" t="s">
        <v>101</v>
      </c>
      <c r="D535" s="13" t="s">
        <v>149</v>
      </c>
      <c r="E535" s="15"/>
      <c r="F535" s="13" t="s">
        <v>133</v>
      </c>
      <c r="G535" s="16">
        <v>69.0</v>
      </c>
      <c r="I535" s="16" t="b">
        <v>0</v>
      </c>
      <c r="J535" s="16" t="s">
        <v>134</v>
      </c>
      <c r="N535" s="16" t="b">
        <v>1</v>
      </c>
      <c r="O535" s="16" t="s">
        <v>35</v>
      </c>
      <c r="R535" s="16" t="s">
        <v>2303</v>
      </c>
    </row>
    <row r="536" hidden="1">
      <c r="A536" s="13">
        <v>2296172.0</v>
      </c>
      <c r="B536" s="14">
        <v>46230.70615740741</v>
      </c>
      <c r="C536" s="13" t="s">
        <v>139</v>
      </c>
      <c r="D536" s="13" t="s">
        <v>237</v>
      </c>
      <c r="E536" s="15"/>
      <c r="F536" s="13" t="s">
        <v>142</v>
      </c>
      <c r="G536" s="16">
        <v>100.0</v>
      </c>
      <c r="I536" s="16" t="b">
        <v>0</v>
      </c>
      <c r="J536" s="16" t="s">
        <v>144</v>
      </c>
      <c r="N536" s="16" t="b">
        <v>1</v>
      </c>
      <c r="O536" s="16" t="s">
        <v>35</v>
      </c>
      <c r="R536" s="16" t="s">
        <v>2308</v>
      </c>
    </row>
    <row r="537" hidden="1">
      <c r="A537" s="13">
        <v>2296259.0</v>
      </c>
      <c r="B537" s="14">
        <v>46230.72829861111</v>
      </c>
      <c r="C537" s="13" t="s">
        <v>101</v>
      </c>
      <c r="D537" s="13" t="s">
        <v>364</v>
      </c>
      <c r="E537" s="15"/>
      <c r="F537" s="13" t="s">
        <v>2310</v>
      </c>
      <c r="G537" s="16">
        <v>600.0</v>
      </c>
      <c r="I537" s="16" t="b">
        <v>0</v>
      </c>
      <c r="J537" s="16" t="s">
        <v>205</v>
      </c>
      <c r="K537" s="16" t="s">
        <v>117</v>
      </c>
      <c r="N537" s="16" t="b">
        <v>1</v>
      </c>
      <c r="O537" s="16" t="s">
        <v>35</v>
      </c>
      <c r="R537" s="16" t="s">
        <v>2312</v>
      </c>
    </row>
    <row r="538" hidden="1">
      <c r="A538" s="13">
        <v>2296263.0</v>
      </c>
      <c r="B538" s="14">
        <v>46230.72876157407</v>
      </c>
      <c r="C538" s="13" t="s">
        <v>101</v>
      </c>
      <c r="D538" s="13" t="s">
        <v>2315</v>
      </c>
      <c r="E538" s="15"/>
      <c r="F538" s="13" t="s">
        <v>1545</v>
      </c>
      <c r="G538" s="16">
        <v>14.47</v>
      </c>
      <c r="I538" s="16" t="b">
        <v>0</v>
      </c>
      <c r="J538" s="16" t="s">
        <v>783</v>
      </c>
      <c r="N538" s="16" t="b">
        <v>1</v>
      </c>
      <c r="O538" s="16" t="s">
        <v>35</v>
      </c>
      <c r="R538" s="16" t="s">
        <v>2317</v>
      </c>
    </row>
    <row r="539" hidden="1">
      <c r="A539" s="13">
        <v>2296639.0</v>
      </c>
      <c r="B539" s="14">
        <v>46230.83809027778</v>
      </c>
      <c r="C539" s="13" t="s">
        <v>101</v>
      </c>
      <c r="D539" s="13" t="s">
        <v>2014</v>
      </c>
      <c r="E539" s="15"/>
      <c r="F539" s="13" t="s">
        <v>2321</v>
      </c>
      <c r="G539" s="16">
        <v>80.0</v>
      </c>
      <c r="I539" s="16" t="b">
        <v>0</v>
      </c>
      <c r="J539" s="16" t="s">
        <v>170</v>
      </c>
      <c r="N539" s="16" t="b">
        <v>1</v>
      </c>
      <c r="O539" s="16" t="s">
        <v>35</v>
      </c>
      <c r="R539" s="16" t="s">
        <v>2323</v>
      </c>
    </row>
    <row r="540" hidden="1">
      <c r="A540" s="13">
        <v>2296725.0</v>
      </c>
      <c r="B540" s="14">
        <v>46230.86603009259</v>
      </c>
      <c r="C540" s="13" t="s">
        <v>101</v>
      </c>
      <c r="D540" s="13" t="s">
        <v>210</v>
      </c>
      <c r="E540" s="15"/>
      <c r="F540" s="13" t="s">
        <v>600</v>
      </c>
      <c r="G540" s="16">
        <v>40.0</v>
      </c>
      <c r="I540" s="16" t="b">
        <v>0</v>
      </c>
      <c r="J540" s="16" t="s">
        <v>134</v>
      </c>
      <c r="N540" s="16" t="b">
        <v>1</v>
      </c>
      <c r="O540" s="16" t="s">
        <v>35</v>
      </c>
      <c r="R540" s="16" t="s">
        <v>2329</v>
      </c>
    </row>
    <row r="541" hidden="1">
      <c r="A541" s="13">
        <v>2296726.0</v>
      </c>
      <c r="B541" s="14">
        <v>46230.866377314815</v>
      </c>
      <c r="C541" s="13" t="s">
        <v>101</v>
      </c>
      <c r="D541" s="13" t="s">
        <v>237</v>
      </c>
      <c r="E541" s="15"/>
      <c r="F541" s="13" t="s">
        <v>2331</v>
      </c>
      <c r="G541" s="16">
        <v>100.0</v>
      </c>
      <c r="I541" s="16" t="b">
        <v>0</v>
      </c>
      <c r="J541" s="16" t="s">
        <v>205</v>
      </c>
      <c r="K541" s="16" t="s">
        <v>218</v>
      </c>
      <c r="N541" s="16" t="b">
        <v>1</v>
      </c>
      <c r="O541" s="16" t="s">
        <v>35</v>
      </c>
      <c r="R541" s="16" t="s">
        <v>2334</v>
      </c>
    </row>
    <row r="542" hidden="1">
      <c r="A542" s="13">
        <v>2297972.0</v>
      </c>
      <c r="B542" s="14">
        <v>46231.70061342593</v>
      </c>
      <c r="C542" s="13" t="s">
        <v>101</v>
      </c>
      <c r="D542" s="13" t="s">
        <v>2335</v>
      </c>
      <c r="E542" s="15"/>
      <c r="F542" s="13" t="s">
        <v>1545</v>
      </c>
      <c r="G542" s="16">
        <v>19.88</v>
      </c>
      <c r="I542" s="16" t="b">
        <v>0</v>
      </c>
      <c r="J542" s="16" t="s">
        <v>783</v>
      </c>
      <c r="N542" s="16" t="b">
        <v>1</v>
      </c>
      <c r="O542" s="16" t="s">
        <v>35</v>
      </c>
      <c r="R542" s="16" t="s">
        <v>2339</v>
      </c>
    </row>
    <row r="543" hidden="1">
      <c r="A543" s="13">
        <v>2298095.0</v>
      </c>
      <c r="B543" s="14">
        <v>46231.728171296294</v>
      </c>
      <c r="C543" s="13" t="s">
        <v>101</v>
      </c>
      <c r="D543" s="13" t="s">
        <v>615</v>
      </c>
      <c r="E543" s="15"/>
      <c r="F543" s="13" t="s">
        <v>574</v>
      </c>
      <c r="G543" s="16">
        <v>14.4</v>
      </c>
      <c r="I543" s="16" t="b">
        <v>0</v>
      </c>
      <c r="J543" s="16" t="s">
        <v>116</v>
      </c>
      <c r="K543" s="16" t="s">
        <v>218</v>
      </c>
      <c r="N543" s="16" t="b">
        <v>1</v>
      </c>
      <c r="O543" s="16" t="s">
        <v>35</v>
      </c>
      <c r="R543" s="16" t="s">
        <v>2342</v>
      </c>
    </row>
    <row r="544" hidden="1">
      <c r="A544" s="13">
        <v>2298130.0</v>
      </c>
      <c r="B544" s="14">
        <v>46231.74023148148</v>
      </c>
      <c r="C544" s="13" t="s">
        <v>101</v>
      </c>
      <c r="D544" s="13" t="s">
        <v>2343</v>
      </c>
      <c r="E544" s="15"/>
      <c r="F544" s="13" t="s">
        <v>133</v>
      </c>
      <c r="G544" s="16">
        <v>159.0</v>
      </c>
      <c r="I544" s="16" t="b">
        <v>0</v>
      </c>
      <c r="J544" s="16" t="s">
        <v>134</v>
      </c>
      <c r="N544" s="16" t="b">
        <v>1</v>
      </c>
      <c r="O544" s="16" t="s">
        <v>35</v>
      </c>
      <c r="R544" s="16" t="s">
        <v>2346</v>
      </c>
    </row>
    <row r="545" hidden="1">
      <c r="A545" s="13">
        <v>2298131.0</v>
      </c>
      <c r="B545" s="14">
        <v>46231.74034722222</v>
      </c>
      <c r="C545" s="13" t="s">
        <v>139</v>
      </c>
      <c r="D545" s="13" t="s">
        <v>2350</v>
      </c>
      <c r="E545" s="15"/>
      <c r="F545" s="13" t="s">
        <v>142</v>
      </c>
      <c r="G545" s="16">
        <v>185.0</v>
      </c>
      <c r="I545" s="16" t="b">
        <v>0</v>
      </c>
      <c r="J545" s="16" t="s">
        <v>144</v>
      </c>
      <c r="N545" s="16" t="b">
        <v>1</v>
      </c>
      <c r="O545" s="16" t="s">
        <v>35</v>
      </c>
      <c r="R545" s="16" t="s">
        <v>2353</v>
      </c>
    </row>
    <row r="546" hidden="1">
      <c r="A546" s="13">
        <v>2298133.0</v>
      </c>
      <c r="B546" s="14">
        <v>46231.74082175926</v>
      </c>
      <c r="C546" s="13" t="s">
        <v>101</v>
      </c>
      <c r="D546" s="13" t="s">
        <v>2355</v>
      </c>
      <c r="E546" s="15"/>
      <c r="F546" s="13" t="s">
        <v>452</v>
      </c>
      <c r="G546" s="16">
        <v>603.0</v>
      </c>
      <c r="I546" s="16" t="b">
        <v>0</v>
      </c>
      <c r="J546" s="16" t="s">
        <v>170</v>
      </c>
      <c r="N546" s="16" t="b">
        <v>1</v>
      </c>
      <c r="O546" s="16" t="s">
        <v>35</v>
      </c>
      <c r="R546" s="16" t="s">
        <v>2357</v>
      </c>
    </row>
    <row r="547" hidden="1">
      <c r="A547" s="13">
        <v>2298147.0</v>
      </c>
      <c r="B547" s="14">
        <v>46231.7440162037</v>
      </c>
      <c r="C547" s="13" t="s">
        <v>101</v>
      </c>
      <c r="D547" s="13" t="s">
        <v>804</v>
      </c>
      <c r="E547" s="15"/>
      <c r="F547" s="13" t="s">
        <v>2359</v>
      </c>
      <c r="G547" s="16">
        <v>500.0</v>
      </c>
      <c r="I547" s="16" t="b">
        <v>0</v>
      </c>
      <c r="J547" s="16" t="s">
        <v>205</v>
      </c>
      <c r="K547" s="16" t="s">
        <v>117</v>
      </c>
      <c r="N547" s="16" t="b">
        <v>1</v>
      </c>
      <c r="O547" s="16" t="s">
        <v>35</v>
      </c>
      <c r="R547" s="16" t="s">
        <v>2361</v>
      </c>
    </row>
    <row r="548" hidden="1">
      <c r="A548" s="13">
        <v>2298534.0</v>
      </c>
      <c r="B548" s="14">
        <v>46231.87342592593</v>
      </c>
      <c r="C548" s="13" t="s">
        <v>101</v>
      </c>
      <c r="D548" s="13" t="s">
        <v>1808</v>
      </c>
      <c r="E548" s="15"/>
      <c r="F548" s="13" t="s">
        <v>325</v>
      </c>
      <c r="G548" s="16">
        <v>57.6</v>
      </c>
      <c r="I548" s="16" t="b">
        <v>0</v>
      </c>
      <c r="J548" s="16" t="s">
        <v>116</v>
      </c>
      <c r="K548" s="16" t="s">
        <v>117</v>
      </c>
      <c r="N548" s="16" t="b">
        <v>1</v>
      </c>
      <c r="O548" s="16" t="s">
        <v>35</v>
      </c>
      <c r="R548" s="16" t="s">
        <v>2363</v>
      </c>
    </row>
    <row r="549" hidden="1">
      <c r="A549" s="13">
        <v>2298536.0</v>
      </c>
      <c r="B549" s="14">
        <v>46231.87390046296</v>
      </c>
      <c r="C549" s="13" t="s">
        <v>101</v>
      </c>
      <c r="D549" s="13" t="s">
        <v>2367</v>
      </c>
      <c r="E549" s="15"/>
      <c r="F549" s="13" t="s">
        <v>2369</v>
      </c>
      <c r="G549" s="16">
        <v>106.0</v>
      </c>
      <c r="I549" s="16" t="b">
        <v>0</v>
      </c>
      <c r="J549" s="16" t="s">
        <v>170</v>
      </c>
      <c r="N549" s="16" t="b">
        <v>1</v>
      </c>
      <c r="O549" s="16" t="s">
        <v>35</v>
      </c>
      <c r="R549" s="16" t="s">
        <v>2371</v>
      </c>
    </row>
    <row r="550" hidden="1">
      <c r="A550" s="13">
        <v>2298537.0</v>
      </c>
      <c r="B550" s="14">
        <v>46231.8741087963</v>
      </c>
      <c r="C550" s="13" t="s">
        <v>101</v>
      </c>
      <c r="D550" s="13" t="s">
        <v>339</v>
      </c>
      <c r="E550" s="15"/>
      <c r="F550" s="13" t="s">
        <v>1591</v>
      </c>
      <c r="G550" s="16">
        <v>31.0</v>
      </c>
      <c r="I550" s="16" t="b">
        <v>0</v>
      </c>
      <c r="J550" s="16" t="s">
        <v>134</v>
      </c>
      <c r="N550" s="16" t="b">
        <v>1</v>
      </c>
      <c r="O550" s="16" t="s">
        <v>35</v>
      </c>
      <c r="R550" s="16" t="s">
        <v>2375</v>
      </c>
    </row>
    <row r="551" hidden="1">
      <c r="A551" s="13">
        <v>2298566.0</v>
      </c>
      <c r="B551" s="14">
        <v>46231.880011574074</v>
      </c>
      <c r="C551" s="13" t="s">
        <v>101</v>
      </c>
      <c r="D551" s="13" t="s">
        <v>746</v>
      </c>
      <c r="E551" s="24"/>
      <c r="F551" s="13" t="s">
        <v>2380</v>
      </c>
      <c r="G551" s="16">
        <v>350.0</v>
      </c>
      <c r="I551" s="16" t="b">
        <v>0</v>
      </c>
      <c r="J551" s="16" t="s">
        <v>205</v>
      </c>
      <c r="K551" s="16" t="s">
        <v>218</v>
      </c>
      <c r="N551" s="16" t="b">
        <v>1</v>
      </c>
      <c r="O551" s="16" t="s">
        <v>35</v>
      </c>
      <c r="R551" s="16" t="s">
        <v>2381</v>
      </c>
    </row>
    <row r="552" hidden="1">
      <c r="A552" s="13">
        <v>2299785.0</v>
      </c>
      <c r="B552" s="14">
        <v>46232.72074074074</v>
      </c>
      <c r="C552" s="13" t="s">
        <v>101</v>
      </c>
      <c r="D552" s="13" t="s">
        <v>246</v>
      </c>
      <c r="E552" s="15"/>
      <c r="F552" s="13" t="s">
        <v>133</v>
      </c>
      <c r="G552" s="16">
        <v>30.0</v>
      </c>
      <c r="I552" s="16" t="b">
        <v>0</v>
      </c>
      <c r="J552" s="16" t="s">
        <v>134</v>
      </c>
      <c r="N552" s="16" t="b">
        <v>1</v>
      </c>
      <c r="O552" s="16" t="s">
        <v>35</v>
      </c>
      <c r="R552" s="16" t="s">
        <v>2386</v>
      </c>
    </row>
    <row r="553" hidden="1">
      <c r="A553" s="13">
        <v>2299800.0</v>
      </c>
      <c r="B553" s="14">
        <v>46232.726689814815</v>
      </c>
      <c r="C553" s="13" t="s">
        <v>101</v>
      </c>
      <c r="D553" s="13" t="s">
        <v>274</v>
      </c>
      <c r="E553" s="15"/>
      <c r="F553" s="13" t="s">
        <v>109</v>
      </c>
      <c r="G553" s="16">
        <v>4.8</v>
      </c>
      <c r="I553" s="16" t="b">
        <v>0</v>
      </c>
      <c r="J553" s="16" t="s">
        <v>116</v>
      </c>
      <c r="K553" s="16" t="s">
        <v>117</v>
      </c>
      <c r="N553" s="16" t="b">
        <v>1</v>
      </c>
      <c r="O553" s="16" t="s">
        <v>35</v>
      </c>
      <c r="R553" s="16" t="s">
        <v>2390</v>
      </c>
    </row>
    <row r="554" hidden="1">
      <c r="A554" s="13">
        <v>2299815.0</v>
      </c>
      <c r="B554" s="14">
        <v>46232.72943287037</v>
      </c>
      <c r="C554" s="13" t="s">
        <v>101</v>
      </c>
      <c r="D554" s="13" t="s">
        <v>213</v>
      </c>
      <c r="E554" s="24"/>
      <c r="F554" s="13" t="s">
        <v>2392</v>
      </c>
      <c r="G554" s="16">
        <v>200.0</v>
      </c>
      <c r="I554" s="16" t="b">
        <v>0</v>
      </c>
      <c r="J554" s="16" t="s">
        <v>205</v>
      </c>
      <c r="K554" s="16" t="s">
        <v>117</v>
      </c>
      <c r="N554" s="16" t="b">
        <v>1</v>
      </c>
      <c r="O554" s="16" t="s">
        <v>35</v>
      </c>
      <c r="R554" s="16" t="s">
        <v>2394</v>
      </c>
    </row>
    <row r="555" hidden="1">
      <c r="A555" s="13">
        <v>2300167.0</v>
      </c>
      <c r="B555" s="14">
        <v>46232.86561342593</v>
      </c>
      <c r="C555" s="13" t="s">
        <v>101</v>
      </c>
      <c r="D555" s="13" t="s">
        <v>201</v>
      </c>
      <c r="E555" s="15"/>
      <c r="F555" s="13" t="s">
        <v>2396</v>
      </c>
      <c r="G555" s="16">
        <v>150.0</v>
      </c>
      <c r="I555" s="16" t="b">
        <v>0</v>
      </c>
      <c r="J555" s="16" t="s">
        <v>205</v>
      </c>
      <c r="K555" s="16" t="s">
        <v>218</v>
      </c>
      <c r="N555" s="16" t="b">
        <v>1</v>
      </c>
      <c r="O555" s="16" t="s">
        <v>35</v>
      </c>
      <c r="R555" s="16" t="s">
        <v>2397</v>
      </c>
    </row>
    <row r="556" hidden="1">
      <c r="A556" s="13">
        <v>2300168.0</v>
      </c>
      <c r="B556" s="14">
        <v>46232.865902777776</v>
      </c>
      <c r="C556" s="13" t="s">
        <v>101</v>
      </c>
      <c r="D556" s="13" t="s">
        <v>718</v>
      </c>
      <c r="E556" s="15"/>
      <c r="F556" s="13" t="s">
        <v>1591</v>
      </c>
      <c r="G556" s="16">
        <v>32.0</v>
      </c>
      <c r="I556" s="16" t="b">
        <v>0</v>
      </c>
      <c r="J556" s="16" t="s">
        <v>134</v>
      </c>
      <c r="N556" s="16" t="b">
        <v>1</v>
      </c>
      <c r="O556" s="16" t="s">
        <v>35</v>
      </c>
      <c r="R556" s="16" t="s">
        <v>2401</v>
      </c>
    </row>
    <row r="557" hidden="1">
      <c r="A557" s="13">
        <v>2301328.0</v>
      </c>
      <c r="B557" s="14">
        <v>46233.719305555554</v>
      </c>
      <c r="C557" s="13" t="s">
        <v>101</v>
      </c>
      <c r="D557" s="13" t="s">
        <v>288</v>
      </c>
      <c r="E557" s="15"/>
      <c r="F557" s="13" t="s">
        <v>133</v>
      </c>
      <c r="G557" s="16">
        <v>23.0</v>
      </c>
      <c r="I557" s="16" t="b">
        <v>0</v>
      </c>
      <c r="J557" s="16" t="s">
        <v>134</v>
      </c>
      <c r="N557" s="16" t="b">
        <v>1</v>
      </c>
      <c r="O557" s="16" t="s">
        <v>35</v>
      </c>
      <c r="R557" s="16" t="s">
        <v>2405</v>
      </c>
    </row>
    <row r="558" hidden="1">
      <c r="A558" s="13">
        <v>2301387.0</v>
      </c>
      <c r="B558" s="14">
        <v>46233.729525462964</v>
      </c>
      <c r="C558" s="13" t="s">
        <v>101</v>
      </c>
      <c r="D558" s="13" t="s">
        <v>364</v>
      </c>
      <c r="E558" s="15"/>
      <c r="F558" s="13" t="s">
        <v>2407</v>
      </c>
      <c r="G558" s="16">
        <v>600.0</v>
      </c>
      <c r="I558" s="16" t="b">
        <v>0</v>
      </c>
      <c r="J558" s="16" t="s">
        <v>205</v>
      </c>
      <c r="K558" s="16" t="s">
        <v>117</v>
      </c>
      <c r="N558" s="16" t="b">
        <v>1</v>
      </c>
      <c r="O558" s="16" t="s">
        <v>35</v>
      </c>
      <c r="R558" s="16" t="s">
        <v>2411</v>
      </c>
    </row>
    <row r="559" hidden="1">
      <c r="A559" s="13">
        <v>2301819.0</v>
      </c>
      <c r="B559" s="14">
        <v>46233.8683912037</v>
      </c>
      <c r="C559" s="13" t="s">
        <v>101</v>
      </c>
      <c r="D559" s="13" t="s">
        <v>1857</v>
      </c>
      <c r="E559" s="15"/>
      <c r="F559" s="13" t="s">
        <v>225</v>
      </c>
      <c r="G559" s="16">
        <v>47.2</v>
      </c>
      <c r="I559" s="16" t="b">
        <v>0</v>
      </c>
      <c r="J559" s="16" t="s">
        <v>116</v>
      </c>
      <c r="K559" s="16" t="s">
        <v>227</v>
      </c>
      <c r="N559" s="16" t="b">
        <v>1</v>
      </c>
      <c r="O559" s="16" t="s">
        <v>35</v>
      </c>
      <c r="R559" s="16" t="s">
        <v>2417</v>
      </c>
    </row>
    <row r="560" hidden="1">
      <c r="A560" s="13">
        <v>2301849.0</v>
      </c>
      <c r="B560" s="14">
        <v>46233.8778125</v>
      </c>
      <c r="C560" s="13" t="s">
        <v>101</v>
      </c>
      <c r="D560" s="13" t="s">
        <v>2421</v>
      </c>
      <c r="E560" s="15"/>
      <c r="F560" s="13" t="s">
        <v>494</v>
      </c>
      <c r="G560" s="16">
        <v>65.6</v>
      </c>
      <c r="I560" s="16" t="b">
        <v>0</v>
      </c>
      <c r="J560" s="16" t="s">
        <v>116</v>
      </c>
      <c r="K560" s="16" t="s">
        <v>336</v>
      </c>
      <c r="N560" s="16" t="b">
        <v>1</v>
      </c>
      <c r="O560" s="16" t="s">
        <v>35</v>
      </c>
      <c r="R560" s="16" t="s">
        <v>2424</v>
      </c>
    </row>
    <row r="561" hidden="1">
      <c r="A561" s="13">
        <v>2301852.0</v>
      </c>
      <c r="B561" s="14">
        <v>46233.87847222222</v>
      </c>
      <c r="C561" s="13" t="s">
        <v>101</v>
      </c>
      <c r="D561" s="13" t="s">
        <v>2425</v>
      </c>
      <c r="E561" s="15"/>
      <c r="F561" s="13" t="s">
        <v>325</v>
      </c>
      <c r="G561" s="16">
        <v>76.0</v>
      </c>
      <c r="I561" s="16" t="b">
        <v>0</v>
      </c>
      <c r="J561" s="16" t="s">
        <v>116</v>
      </c>
      <c r="K561" s="16" t="s">
        <v>117</v>
      </c>
      <c r="N561" s="16" t="b">
        <v>1</v>
      </c>
      <c r="O561" s="16" t="s">
        <v>35</v>
      </c>
      <c r="R561" s="16" t="s">
        <v>2429</v>
      </c>
    </row>
    <row r="562" hidden="1">
      <c r="A562" s="13">
        <v>2301854.0</v>
      </c>
      <c r="B562" s="14">
        <v>46233.87898148148</v>
      </c>
      <c r="C562" s="13" t="s">
        <v>101</v>
      </c>
      <c r="D562" s="13" t="s">
        <v>501</v>
      </c>
      <c r="E562" s="15"/>
      <c r="F562" s="13" t="s">
        <v>1591</v>
      </c>
      <c r="G562" s="16">
        <v>25.0</v>
      </c>
      <c r="I562" s="16" t="b">
        <v>0</v>
      </c>
      <c r="J562" s="16" t="s">
        <v>134</v>
      </c>
      <c r="N562" s="16" t="b">
        <v>1</v>
      </c>
      <c r="O562" s="16" t="s">
        <v>35</v>
      </c>
      <c r="R562" s="16" t="s">
        <v>2433</v>
      </c>
    </row>
    <row r="563" hidden="1">
      <c r="A563" s="13">
        <v>2302705.0</v>
      </c>
      <c r="B563" s="14">
        <v>46234.61162037037</v>
      </c>
      <c r="C563" s="13" t="s">
        <v>101</v>
      </c>
      <c r="D563" s="13" t="s">
        <v>2435</v>
      </c>
      <c r="E563" s="15"/>
      <c r="F563" s="13" t="s">
        <v>2437</v>
      </c>
      <c r="G563" s="16">
        <v>119.6</v>
      </c>
      <c r="I563" s="16" t="b">
        <v>0</v>
      </c>
      <c r="J563" s="16" t="s">
        <v>170</v>
      </c>
      <c r="M563" s="16" t="s">
        <v>2440</v>
      </c>
      <c r="N563" s="16" t="b">
        <v>1</v>
      </c>
      <c r="O563" s="16" t="s">
        <v>35</v>
      </c>
      <c r="R563" s="16" t="s">
        <v>2443</v>
      </c>
    </row>
    <row r="564" hidden="1">
      <c r="A564" s="13">
        <v>2303475.0</v>
      </c>
      <c r="B564" s="14">
        <v>46234.80517361111</v>
      </c>
      <c r="C564" s="13" t="s">
        <v>101</v>
      </c>
      <c r="D564" s="13" t="s">
        <v>1233</v>
      </c>
      <c r="E564" s="15"/>
      <c r="F564" s="13" t="s">
        <v>133</v>
      </c>
      <c r="G564" s="16">
        <v>112.0</v>
      </c>
      <c r="I564" s="16" t="b">
        <v>0</v>
      </c>
      <c r="J564" s="16" t="s">
        <v>134</v>
      </c>
      <c r="N564" s="16" t="b">
        <v>1</v>
      </c>
      <c r="O564" s="16" t="s">
        <v>35</v>
      </c>
      <c r="R564" s="16" t="s">
        <v>2446</v>
      </c>
    </row>
    <row r="565" hidden="1">
      <c r="A565" s="13">
        <v>2303484.0</v>
      </c>
      <c r="B565" s="14">
        <v>46234.807222222225</v>
      </c>
      <c r="C565" s="13" t="s">
        <v>101</v>
      </c>
      <c r="D565" s="13" t="s">
        <v>2449</v>
      </c>
      <c r="E565" s="15"/>
      <c r="F565" s="13" t="s">
        <v>393</v>
      </c>
      <c r="G565" s="16">
        <v>10.32</v>
      </c>
      <c r="I565" s="16" t="b">
        <v>0</v>
      </c>
      <c r="J565" s="16" t="s">
        <v>116</v>
      </c>
      <c r="K565" s="16" t="s">
        <v>218</v>
      </c>
      <c r="N565" s="16" t="b">
        <v>1</v>
      </c>
      <c r="O565" s="16" t="s">
        <v>35</v>
      </c>
      <c r="R565" s="16" t="s">
        <v>2451</v>
      </c>
    </row>
    <row r="566" hidden="1">
      <c r="A566" s="13">
        <v>2303494.0</v>
      </c>
      <c r="B566" s="14">
        <v>46234.81240740741</v>
      </c>
      <c r="C566" s="13" t="s">
        <v>101</v>
      </c>
      <c r="D566" s="13" t="s">
        <v>237</v>
      </c>
      <c r="E566" s="15"/>
      <c r="F566" s="13" t="s">
        <v>2452</v>
      </c>
      <c r="G566" s="16">
        <v>100.0</v>
      </c>
      <c r="I566" s="16" t="b">
        <v>0</v>
      </c>
      <c r="J566" s="16" t="s">
        <v>205</v>
      </c>
      <c r="K566" s="16" t="s">
        <v>117</v>
      </c>
      <c r="N566" s="16" t="b">
        <v>1</v>
      </c>
      <c r="O566" s="16" t="s">
        <v>35</v>
      </c>
      <c r="R566" s="16" t="s">
        <v>2454</v>
      </c>
    </row>
    <row r="567" hidden="1">
      <c r="A567" s="13">
        <v>2303508.0</v>
      </c>
      <c r="B567" s="14">
        <v>46234.81650462963</v>
      </c>
      <c r="C567" s="13" t="s">
        <v>101</v>
      </c>
      <c r="D567" s="13" t="s">
        <v>2455</v>
      </c>
      <c r="E567" s="15"/>
      <c r="F567" s="13" t="s">
        <v>2457</v>
      </c>
      <c r="G567" s="16">
        <v>228.0</v>
      </c>
      <c r="I567" s="16" t="b">
        <v>0</v>
      </c>
      <c r="J567" s="16" t="s">
        <v>170</v>
      </c>
      <c r="M567" s="16" t="s">
        <v>2458</v>
      </c>
      <c r="N567" s="16" t="b">
        <v>1</v>
      </c>
      <c r="O567" s="16" t="s">
        <v>35</v>
      </c>
      <c r="R567" s="16" t="s">
        <v>2459</v>
      </c>
    </row>
    <row r="568" hidden="1">
      <c r="A568" s="13">
        <v>2303748.0</v>
      </c>
      <c r="B568" s="14">
        <v>46234.88290509259</v>
      </c>
      <c r="C568" s="13" t="s">
        <v>101</v>
      </c>
      <c r="D568" s="13" t="s">
        <v>410</v>
      </c>
      <c r="E568" s="15"/>
      <c r="F568" s="13" t="s">
        <v>494</v>
      </c>
      <c r="G568" s="16">
        <v>23.2</v>
      </c>
      <c r="I568" s="16" t="b">
        <v>0</v>
      </c>
      <c r="J568" s="16" t="s">
        <v>116</v>
      </c>
      <c r="K568" s="16" t="s">
        <v>336</v>
      </c>
      <c r="N568" s="16" t="b">
        <v>1</v>
      </c>
      <c r="O568" s="16" t="s">
        <v>35</v>
      </c>
      <c r="R568" s="16" t="s">
        <v>2461</v>
      </c>
    </row>
    <row r="569" hidden="1">
      <c r="A569" s="13">
        <v>2303753.0</v>
      </c>
      <c r="B569" s="14">
        <v>46234.88383101852</v>
      </c>
      <c r="C569" s="13" t="s">
        <v>101</v>
      </c>
      <c r="D569" s="13" t="s">
        <v>2463</v>
      </c>
      <c r="E569" s="15"/>
      <c r="F569" s="13" t="s">
        <v>325</v>
      </c>
      <c r="G569" s="16">
        <v>67.2</v>
      </c>
      <c r="I569" s="16" t="b">
        <v>0</v>
      </c>
      <c r="J569" s="16" t="s">
        <v>116</v>
      </c>
      <c r="K569" s="16" t="s">
        <v>117</v>
      </c>
      <c r="N569" s="16" t="b">
        <v>1</v>
      </c>
      <c r="O569" s="16" t="s">
        <v>35</v>
      </c>
      <c r="R569" s="16" t="s">
        <v>2464</v>
      </c>
    </row>
    <row r="570" hidden="1">
      <c r="A570" s="13">
        <v>2305373.0</v>
      </c>
      <c r="B570" s="14">
        <v>46235.744988425926</v>
      </c>
      <c r="C570" s="13" t="s">
        <v>101</v>
      </c>
      <c r="D570" s="13" t="s">
        <v>161</v>
      </c>
      <c r="E570" s="15"/>
      <c r="F570" s="13" t="s">
        <v>2467</v>
      </c>
      <c r="G570" s="16">
        <v>60.0</v>
      </c>
      <c r="I570" s="16" t="b">
        <v>0</v>
      </c>
      <c r="J570" s="16" t="s">
        <v>126</v>
      </c>
      <c r="N570" s="16" t="b">
        <v>1</v>
      </c>
      <c r="O570" s="16" t="s">
        <v>35</v>
      </c>
      <c r="R570" s="16" t="s">
        <v>2469</v>
      </c>
    </row>
    <row r="571" ht="473.25" hidden="1" customHeight="1">
      <c r="A571" s="13">
        <v>2305549.0</v>
      </c>
      <c r="B571" s="14">
        <v>46235.78181712963</v>
      </c>
      <c r="C571" s="13" t="s">
        <v>139</v>
      </c>
      <c r="D571" s="13" t="s">
        <v>1376</v>
      </c>
      <c r="E571" s="24"/>
      <c r="F571" s="13" t="s">
        <v>142</v>
      </c>
      <c r="G571" s="16">
        <v>240.0</v>
      </c>
      <c r="I571" s="16" t="b">
        <v>0</v>
      </c>
      <c r="J571" s="16" t="s">
        <v>144</v>
      </c>
      <c r="N571" s="16" t="b">
        <v>1</v>
      </c>
      <c r="O571" s="16" t="s">
        <v>35</v>
      </c>
      <c r="R571" s="16" t="s">
        <v>2475</v>
      </c>
    </row>
    <row r="572" hidden="1">
      <c r="A572" s="13">
        <v>2305714.0</v>
      </c>
      <c r="B572" s="14">
        <v>46235.81125</v>
      </c>
      <c r="C572" s="13" t="s">
        <v>101</v>
      </c>
      <c r="D572" s="13" t="s">
        <v>586</v>
      </c>
      <c r="E572" s="15"/>
      <c r="F572" s="13" t="s">
        <v>2477</v>
      </c>
      <c r="G572" s="16">
        <v>120.0</v>
      </c>
      <c r="I572" s="16" t="b">
        <v>0</v>
      </c>
      <c r="J572" s="16" t="s">
        <v>126</v>
      </c>
      <c r="N572" s="16" t="b">
        <v>1</v>
      </c>
      <c r="O572" s="16" t="s">
        <v>35</v>
      </c>
      <c r="R572" s="16" t="s">
        <v>2480</v>
      </c>
    </row>
    <row r="573" hidden="1">
      <c r="A573" s="13">
        <v>2305845.0</v>
      </c>
      <c r="B573" s="14">
        <v>46235.83798611111</v>
      </c>
      <c r="C573" s="13" t="s">
        <v>101</v>
      </c>
      <c r="D573" s="13" t="s">
        <v>2481</v>
      </c>
      <c r="E573" s="15"/>
      <c r="F573" s="13" t="s">
        <v>2483</v>
      </c>
      <c r="G573" s="16">
        <v>163.0</v>
      </c>
      <c r="I573" s="16" t="b">
        <v>0</v>
      </c>
      <c r="J573" s="16" t="s">
        <v>134</v>
      </c>
      <c r="N573" s="16" t="b">
        <v>1</v>
      </c>
      <c r="O573" s="16" t="s">
        <v>35</v>
      </c>
      <c r="R573" s="16" t="s">
        <v>2486</v>
      </c>
    </row>
    <row r="574" hidden="1">
      <c r="A574" s="13">
        <v>2305997.0</v>
      </c>
      <c r="B574" s="14">
        <v>46235.871782407405</v>
      </c>
      <c r="C574" s="13" t="s">
        <v>101</v>
      </c>
      <c r="D574" s="13" t="s">
        <v>2488</v>
      </c>
      <c r="E574" s="15"/>
      <c r="F574" s="13" t="s">
        <v>2489</v>
      </c>
      <c r="G574" s="16">
        <v>1400.0</v>
      </c>
      <c r="I574" s="16" t="b">
        <v>0</v>
      </c>
      <c r="J574" s="16" t="s">
        <v>205</v>
      </c>
      <c r="K574" s="16" t="s">
        <v>117</v>
      </c>
      <c r="N574" s="16" t="b">
        <v>1</v>
      </c>
      <c r="O574" s="16" t="s">
        <v>35</v>
      </c>
      <c r="R574" s="16" t="s">
        <v>2493</v>
      </c>
    </row>
    <row r="575" hidden="1">
      <c r="A575" s="13">
        <v>2307126.0</v>
      </c>
      <c r="B575" s="14">
        <v>46236.56761574074</v>
      </c>
      <c r="C575" s="13" t="s">
        <v>101</v>
      </c>
      <c r="D575" s="13" t="s">
        <v>281</v>
      </c>
      <c r="E575" s="15"/>
      <c r="F575" s="13" t="s">
        <v>225</v>
      </c>
      <c r="G575" s="16">
        <v>33.6</v>
      </c>
      <c r="I575" s="16" t="b">
        <v>0</v>
      </c>
      <c r="J575" s="16" t="s">
        <v>116</v>
      </c>
      <c r="K575" s="16" t="s">
        <v>227</v>
      </c>
      <c r="N575" s="16" t="b">
        <v>1</v>
      </c>
      <c r="O575" s="16" t="s">
        <v>35</v>
      </c>
      <c r="R575" s="16" t="s">
        <v>2498</v>
      </c>
    </row>
    <row r="576" hidden="1">
      <c r="A576" s="13">
        <v>2308534.0</v>
      </c>
      <c r="B576" s="14">
        <v>46236.863125</v>
      </c>
      <c r="C576" s="13" t="s">
        <v>101</v>
      </c>
      <c r="D576" s="13" t="s">
        <v>2501</v>
      </c>
      <c r="E576" s="15"/>
      <c r="F576" s="13" t="s">
        <v>1545</v>
      </c>
      <c r="G576" s="16">
        <v>15.35</v>
      </c>
      <c r="I576" s="16" t="b">
        <v>0</v>
      </c>
      <c r="J576" s="16" t="s">
        <v>783</v>
      </c>
      <c r="N576" s="16" t="b">
        <v>1</v>
      </c>
      <c r="O576" s="16" t="s">
        <v>35</v>
      </c>
      <c r="R576" s="16" t="s">
        <v>2503</v>
      </c>
    </row>
    <row r="577" hidden="1">
      <c r="A577" s="13">
        <v>2308836.0</v>
      </c>
      <c r="B577" s="14">
        <v>46236.89855324074</v>
      </c>
      <c r="C577" s="13" t="s">
        <v>101</v>
      </c>
      <c r="D577" s="13" t="s">
        <v>2505</v>
      </c>
      <c r="E577" s="15"/>
      <c r="F577" s="13" t="s">
        <v>512</v>
      </c>
      <c r="G577" s="16">
        <v>388.0</v>
      </c>
      <c r="I577" s="16" t="b">
        <v>0</v>
      </c>
      <c r="J577" s="16" t="s">
        <v>134</v>
      </c>
      <c r="N577" s="16" t="b">
        <v>1</v>
      </c>
      <c r="O577" s="16" t="s">
        <v>35</v>
      </c>
      <c r="R577" s="16" t="s">
        <v>2506</v>
      </c>
    </row>
    <row r="578" hidden="1">
      <c r="A578" s="13">
        <v>2308839.0</v>
      </c>
      <c r="B578" s="14">
        <v>46236.89873842592</v>
      </c>
      <c r="C578" s="13" t="s">
        <v>101</v>
      </c>
      <c r="D578" s="13" t="s">
        <v>586</v>
      </c>
      <c r="E578" s="15"/>
      <c r="F578" s="13" t="s">
        <v>1492</v>
      </c>
      <c r="G578" s="16">
        <v>120.0</v>
      </c>
      <c r="I578" s="16" t="b">
        <v>0</v>
      </c>
      <c r="J578" s="16" t="s">
        <v>126</v>
      </c>
      <c r="N578" s="16" t="b">
        <v>1</v>
      </c>
      <c r="O578" s="16" t="s">
        <v>35</v>
      </c>
      <c r="R578" s="16" t="s">
        <v>2510</v>
      </c>
    </row>
    <row r="579" hidden="1">
      <c r="A579" s="13">
        <v>2308841.0</v>
      </c>
      <c r="B579" s="14">
        <v>46236.898935185185</v>
      </c>
      <c r="C579" s="13" t="s">
        <v>101</v>
      </c>
      <c r="D579" s="13" t="s">
        <v>121</v>
      </c>
      <c r="E579" s="15"/>
      <c r="F579" s="13" t="s">
        <v>1762</v>
      </c>
      <c r="G579" s="16">
        <v>135.0</v>
      </c>
      <c r="I579" s="16" t="b">
        <v>0</v>
      </c>
      <c r="J579" s="16" t="s">
        <v>126</v>
      </c>
      <c r="N579" s="16" t="b">
        <v>1</v>
      </c>
      <c r="O579" s="16" t="s">
        <v>35</v>
      </c>
      <c r="R579" s="16" t="s">
        <v>2514</v>
      </c>
    </row>
    <row r="580" hidden="1">
      <c r="A580" s="13">
        <v>2308846.0</v>
      </c>
      <c r="B580" s="14">
        <v>46236.89929398148</v>
      </c>
      <c r="C580" s="13" t="s">
        <v>101</v>
      </c>
      <c r="D580" s="13" t="s">
        <v>586</v>
      </c>
      <c r="E580" s="15"/>
      <c r="F580" s="13" t="s">
        <v>1263</v>
      </c>
      <c r="G580" s="16">
        <v>120.0</v>
      </c>
      <c r="I580" s="16" t="b">
        <v>0</v>
      </c>
      <c r="J580" s="16" t="s">
        <v>126</v>
      </c>
      <c r="N580" s="16" t="b">
        <v>1</v>
      </c>
      <c r="O580" s="16" t="s">
        <v>35</v>
      </c>
      <c r="R580" s="16" t="s">
        <v>2510</v>
      </c>
    </row>
    <row r="581" hidden="1">
      <c r="A581" s="13">
        <v>2308923.0</v>
      </c>
      <c r="B581" s="14">
        <v>46236.907905092594</v>
      </c>
      <c r="C581" s="13" t="s">
        <v>101</v>
      </c>
      <c r="D581" s="13" t="s">
        <v>2519</v>
      </c>
      <c r="E581" s="15"/>
      <c r="F581" s="13" t="s">
        <v>2520</v>
      </c>
      <c r="G581" s="16">
        <v>2300.0</v>
      </c>
      <c r="I581" s="16" t="b">
        <v>0</v>
      </c>
      <c r="J581" s="16" t="s">
        <v>205</v>
      </c>
      <c r="K581" s="16" t="s">
        <v>218</v>
      </c>
      <c r="N581" s="16" t="b">
        <v>1</v>
      </c>
      <c r="O581" s="16" t="s">
        <v>35</v>
      </c>
      <c r="R581" s="16" t="s">
        <v>2522</v>
      </c>
    </row>
    <row r="582" hidden="1">
      <c r="A582" s="13">
        <v>2308967.0</v>
      </c>
      <c r="B582" s="14">
        <v>46236.91144675926</v>
      </c>
      <c r="C582" s="13" t="s">
        <v>139</v>
      </c>
      <c r="D582" s="13" t="s">
        <v>2014</v>
      </c>
      <c r="E582" s="15"/>
      <c r="F582" s="13" t="s">
        <v>788</v>
      </c>
      <c r="G582" s="16">
        <v>80.0</v>
      </c>
      <c r="I582" s="16" t="b">
        <v>0</v>
      </c>
      <c r="J582" s="16" t="s">
        <v>144</v>
      </c>
      <c r="N582" s="16" t="b">
        <v>1</v>
      </c>
      <c r="O582" s="16" t="s">
        <v>35</v>
      </c>
      <c r="R582" s="16" t="s">
        <v>2526</v>
      </c>
    </row>
    <row r="583">
      <c r="A583" s="13">
        <v>2311008.0</v>
      </c>
      <c r="B583" s="14">
        <v>46237.88144675926</v>
      </c>
      <c r="C583" s="13" t="s">
        <v>101</v>
      </c>
      <c r="D583" s="13" t="s">
        <v>237</v>
      </c>
      <c r="E583" s="15"/>
      <c r="F583" s="13" t="s">
        <v>239</v>
      </c>
      <c r="G583" s="16">
        <v>100.0</v>
      </c>
      <c r="I583" s="16" t="b">
        <v>0</v>
      </c>
      <c r="J583" s="16" t="s">
        <v>205</v>
      </c>
      <c r="K583" s="16" t="s">
        <v>218</v>
      </c>
      <c r="N583" s="16" t="b">
        <v>1</v>
      </c>
      <c r="O583" s="16" t="s">
        <v>35</v>
      </c>
      <c r="R583" s="16" t="s">
        <v>2531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6.88"/>
    <col customWidth="1" min="6" max="6" width="18.75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</v>
      </c>
      <c r="G1" s="3" t="s">
        <v>20</v>
      </c>
      <c r="H1" s="3" t="s">
        <v>22</v>
      </c>
      <c r="I1" s="3" t="s">
        <v>24</v>
      </c>
      <c r="J1" s="3" t="s">
        <v>27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36</v>
      </c>
      <c r="Q1" s="3" t="s">
        <v>37</v>
      </c>
      <c r="R1" s="3" t="s">
        <v>39</v>
      </c>
      <c r="S1" s="3" t="s">
        <v>41</v>
      </c>
      <c r="T1" s="3" t="s">
        <v>42</v>
      </c>
      <c r="U1" s="3" t="s">
        <v>44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51</v>
      </c>
      <c r="AA1" s="3" t="s">
        <v>52</v>
      </c>
      <c r="AB1" s="3" t="s">
        <v>54</v>
      </c>
      <c r="AC1" s="3" t="s">
        <v>55</v>
      </c>
      <c r="AD1" s="3" t="s">
        <v>57</v>
      </c>
      <c r="AE1" s="3" t="s">
        <v>58</v>
      </c>
      <c r="AF1" s="3" t="s">
        <v>61</v>
      </c>
      <c r="AG1" s="3" t="s">
        <v>63</v>
      </c>
      <c r="AH1" s="3" t="s">
        <v>64</v>
      </c>
      <c r="AI1" s="3" t="s">
        <v>65</v>
      </c>
      <c r="AJ1" s="3" t="s">
        <v>67</v>
      </c>
      <c r="AK1" s="3" t="s">
        <v>69</v>
      </c>
      <c r="AL1" s="3" t="s">
        <v>71</v>
      </c>
      <c r="AM1" s="3" t="s">
        <v>73</v>
      </c>
      <c r="AN1" s="3" t="s">
        <v>75</v>
      </c>
      <c r="AO1" s="3" t="s">
        <v>76</v>
      </c>
      <c r="AP1" s="3" t="s">
        <v>77</v>
      </c>
      <c r="AQ1" s="3" t="s">
        <v>78</v>
      </c>
      <c r="AR1" s="3" t="s">
        <v>79</v>
      </c>
      <c r="AS1" s="3" t="s">
        <v>80</v>
      </c>
      <c r="AT1" s="3" t="s">
        <v>82</v>
      </c>
      <c r="AU1" s="3" t="s">
        <v>83</v>
      </c>
      <c r="AV1" s="3" t="s">
        <v>84</v>
      </c>
      <c r="AW1" s="3" t="s">
        <v>86</v>
      </c>
      <c r="AX1" s="3" t="s">
        <v>87</v>
      </c>
      <c r="AY1" s="3" t="s">
        <v>89</v>
      </c>
      <c r="AZ1" s="3" t="s">
        <v>90</v>
      </c>
      <c r="BA1" s="3" t="s">
        <v>91</v>
      </c>
      <c r="BB1" s="3" t="s">
        <v>92</v>
      </c>
      <c r="BC1" s="3" t="s">
        <v>94</v>
      </c>
      <c r="BD1" s="3" t="s">
        <v>95</v>
      </c>
      <c r="BE1" s="3" t="s">
        <v>97</v>
      </c>
      <c r="BF1" s="3" t="s">
        <v>98</v>
      </c>
      <c r="BG1" s="3" t="s">
        <v>99</v>
      </c>
      <c r="BH1" s="3" t="s">
        <v>102</v>
      </c>
      <c r="BI1" s="3" t="s">
        <v>103</v>
      </c>
      <c r="BJ1" s="3" t="s">
        <v>105</v>
      </c>
      <c r="BK1" s="3" t="s">
        <v>106</v>
      </c>
      <c r="BL1" s="3" t="s">
        <v>107</v>
      </c>
      <c r="BM1" s="3" t="s">
        <v>110</v>
      </c>
      <c r="BN1" s="3" t="s">
        <v>111</v>
      </c>
      <c r="BO1" s="3" t="s">
        <v>113</v>
      </c>
      <c r="BP1" s="3" t="s">
        <v>7</v>
      </c>
      <c r="BQ1" s="3" t="s">
        <v>21</v>
      </c>
      <c r="BR1" s="3" t="s">
        <v>115</v>
      </c>
      <c r="BS1" s="3" t="s">
        <v>1</v>
      </c>
      <c r="BT1" s="3" t="s">
        <v>9</v>
      </c>
      <c r="BU1" s="3" t="s">
        <v>11</v>
      </c>
      <c r="BV1" s="3" t="s">
        <v>12</v>
      </c>
      <c r="BW1" s="19" t="s">
        <v>13</v>
      </c>
      <c r="BX1" s="19" t="s">
        <v>14</v>
      </c>
      <c r="BY1" s="19" t="s">
        <v>15</v>
      </c>
    </row>
    <row r="1582">
      <c r="A1582" s="16"/>
      <c r="B1582" s="16"/>
      <c r="C1582" s="22"/>
      <c r="D1582" s="16"/>
      <c r="E1582" s="16"/>
      <c r="F1582" s="16"/>
      <c r="G1582" s="16"/>
      <c r="H1582" s="16"/>
      <c r="I1582" s="23"/>
      <c r="J1582" s="23"/>
      <c r="K1582" s="16"/>
      <c r="L1582" s="23"/>
      <c r="M1582" s="23"/>
      <c r="N1582" s="23"/>
      <c r="O1582" s="16"/>
      <c r="P1582" s="23"/>
      <c r="Q1582" s="23"/>
      <c r="R1582" s="23"/>
      <c r="S1582" s="16"/>
      <c r="T1582" s="23"/>
      <c r="U1582" s="23"/>
      <c r="V1582" s="23"/>
      <c r="W1582" s="16"/>
      <c r="X1582" s="23"/>
      <c r="Y1582" s="23"/>
      <c r="Z1582" s="23"/>
      <c r="AA1582" s="16"/>
      <c r="AB1582" s="23"/>
      <c r="AC1582" s="23"/>
      <c r="AD1582" s="23"/>
      <c r="AE1582" s="16"/>
      <c r="AF1582" s="23"/>
      <c r="AG1582" s="23"/>
      <c r="AH1582" s="23"/>
      <c r="AI1582" s="16"/>
      <c r="AJ1582" s="23"/>
      <c r="AK1582" s="23"/>
      <c r="AL1582" s="23"/>
      <c r="AM1582" s="16"/>
      <c r="AN1582" s="23"/>
      <c r="AO1582" s="23"/>
      <c r="AP1582" s="23"/>
      <c r="AQ1582" s="16"/>
      <c r="AR1582" s="23"/>
      <c r="AS1582" s="23"/>
      <c r="AT1582" s="23"/>
      <c r="AU1582" s="16"/>
      <c r="AV1582" s="23"/>
      <c r="AW1582" s="23"/>
      <c r="AX1582" s="23"/>
      <c r="AY1582" s="16"/>
      <c r="AZ1582" s="23"/>
      <c r="BA1582" s="23"/>
      <c r="BB1582" s="23"/>
      <c r="BC1582" s="16"/>
      <c r="BD1582" s="23"/>
      <c r="BE1582" s="23"/>
      <c r="BF1582" s="23"/>
      <c r="BG1582" s="16"/>
      <c r="BH1582" s="23"/>
      <c r="BI1582" s="23"/>
      <c r="BJ1582" s="23"/>
      <c r="BN1582" s="23"/>
      <c r="BO1582" s="23"/>
      <c r="BP1582" s="16"/>
      <c r="BQ1582" s="16"/>
      <c r="BR1582" s="23"/>
      <c r="BS1582" s="16"/>
      <c r="BT1582" s="16"/>
      <c r="BU1582" s="16"/>
      <c r="BV1582" s="16"/>
      <c r="BW1582" s="16"/>
      <c r="BX1582" s="16"/>
      <c r="BY1582" s="16"/>
    </row>
    <row r="1583">
      <c r="A1583" s="16"/>
      <c r="B1583" s="16"/>
      <c r="C1583" s="22"/>
      <c r="D1583" s="16"/>
      <c r="E1583" s="16"/>
      <c r="F1583" s="16"/>
      <c r="G1583" s="16"/>
      <c r="H1583" s="16"/>
      <c r="I1583" s="23"/>
      <c r="J1583" s="23"/>
      <c r="K1583" s="16"/>
      <c r="L1583" s="23"/>
      <c r="M1583" s="23"/>
      <c r="N1583" s="23"/>
      <c r="O1583" s="16"/>
      <c r="P1583" s="23"/>
      <c r="Q1583" s="23"/>
      <c r="R1583" s="23"/>
      <c r="S1583" s="16"/>
      <c r="T1583" s="23"/>
      <c r="U1583" s="23"/>
      <c r="V1583" s="23"/>
      <c r="W1583" s="16"/>
      <c r="X1583" s="23"/>
      <c r="Y1583" s="23"/>
      <c r="Z1583" s="23"/>
      <c r="AA1583" s="16"/>
      <c r="AB1583" s="23"/>
      <c r="AC1583" s="23"/>
      <c r="AD1583" s="23"/>
      <c r="AE1583" s="16"/>
      <c r="AF1583" s="23"/>
      <c r="AG1583" s="23"/>
      <c r="AH1583" s="23"/>
      <c r="AI1583" s="16"/>
      <c r="AJ1583" s="23"/>
      <c r="AK1583" s="23"/>
      <c r="AL1583" s="23"/>
      <c r="AM1583" s="16"/>
      <c r="AN1583" s="23"/>
      <c r="AO1583" s="23"/>
      <c r="AP1583" s="23"/>
      <c r="AQ1583" s="16"/>
      <c r="AR1583" s="23"/>
      <c r="AS1583" s="23"/>
      <c r="AT1583" s="23"/>
      <c r="AU1583" s="16"/>
      <c r="AV1583" s="23"/>
      <c r="AW1583" s="23"/>
      <c r="AX1583" s="23"/>
      <c r="AY1583" s="16"/>
      <c r="AZ1583" s="23"/>
      <c r="BA1583" s="23"/>
      <c r="BB1583" s="23"/>
      <c r="BC1583" s="16"/>
      <c r="BD1583" s="23"/>
      <c r="BE1583" s="23"/>
      <c r="BF1583" s="23"/>
      <c r="BG1583" s="16"/>
      <c r="BH1583" s="23"/>
      <c r="BI1583" s="23"/>
      <c r="BJ1583" s="23"/>
      <c r="BN1583" s="23"/>
      <c r="BO1583" s="23"/>
      <c r="BP1583" s="16"/>
      <c r="BQ1583" s="16"/>
      <c r="BR1583" s="23"/>
      <c r="BS1583" s="16"/>
      <c r="BT1583" s="16"/>
      <c r="BU1583" s="16"/>
      <c r="BV1583" s="16"/>
      <c r="BW1583" s="16"/>
      <c r="BX1583" s="16"/>
      <c r="BY1583" s="16"/>
    </row>
    <row r="1584">
      <c r="A1584" s="16"/>
      <c r="B1584" s="16"/>
      <c r="C1584" s="22"/>
      <c r="D1584" s="16"/>
      <c r="E1584" s="16"/>
      <c r="F1584" s="16"/>
      <c r="G1584" s="16"/>
      <c r="H1584" s="16"/>
      <c r="I1584" s="23"/>
      <c r="J1584" s="23"/>
      <c r="K1584" s="16"/>
      <c r="L1584" s="23"/>
      <c r="M1584" s="23"/>
      <c r="N1584" s="23"/>
      <c r="O1584" s="16"/>
      <c r="P1584" s="23"/>
      <c r="Q1584" s="23"/>
      <c r="R1584" s="23"/>
      <c r="S1584" s="16"/>
      <c r="T1584" s="23"/>
      <c r="U1584" s="23"/>
      <c r="V1584" s="23"/>
      <c r="W1584" s="16"/>
      <c r="X1584" s="23"/>
      <c r="Y1584" s="23"/>
      <c r="Z1584" s="23"/>
      <c r="AA1584" s="16"/>
      <c r="AB1584" s="23"/>
      <c r="AC1584" s="23"/>
      <c r="AD1584" s="23"/>
      <c r="AE1584" s="16"/>
      <c r="AF1584" s="23"/>
      <c r="AG1584" s="23"/>
      <c r="AH1584" s="23"/>
      <c r="AI1584" s="16"/>
      <c r="AJ1584" s="23"/>
      <c r="AK1584" s="23"/>
      <c r="AL1584" s="23"/>
      <c r="AM1584" s="16"/>
      <c r="AN1584" s="23"/>
      <c r="AO1584" s="23"/>
      <c r="AP1584" s="23"/>
      <c r="AQ1584" s="16"/>
      <c r="AR1584" s="23"/>
      <c r="AS1584" s="23"/>
      <c r="AT1584" s="23"/>
      <c r="AU1584" s="16"/>
      <c r="AV1584" s="23"/>
      <c r="AW1584" s="23"/>
      <c r="AX1584" s="23"/>
      <c r="AY1584" s="16"/>
      <c r="AZ1584" s="23"/>
      <c r="BA1584" s="23"/>
      <c r="BB1584" s="23"/>
      <c r="BC1584" s="16"/>
      <c r="BD1584" s="23"/>
      <c r="BE1584" s="23"/>
      <c r="BF1584" s="23"/>
      <c r="BG1584" s="16"/>
      <c r="BH1584" s="23"/>
      <c r="BI1584" s="23"/>
      <c r="BJ1584" s="23"/>
      <c r="BN1584" s="23"/>
      <c r="BO1584" s="23"/>
      <c r="BP1584" s="16"/>
      <c r="BQ1584" s="16"/>
      <c r="BR1584" s="23"/>
      <c r="BS1584" s="16"/>
      <c r="BT1584" s="16"/>
      <c r="BU1584" s="16"/>
      <c r="BV1584" s="16"/>
      <c r="BW1584" s="16"/>
      <c r="BX1584" s="16"/>
      <c r="BY1584" s="16"/>
    </row>
    <row r="1585">
      <c r="A1585" s="16"/>
      <c r="B1585" s="16"/>
      <c r="C1585" s="22"/>
      <c r="D1585" s="16"/>
      <c r="E1585" s="16"/>
      <c r="F1585" s="16"/>
      <c r="G1585" s="16"/>
      <c r="H1585" s="16"/>
      <c r="I1585" s="23"/>
      <c r="J1585" s="23"/>
      <c r="K1585" s="16"/>
      <c r="L1585" s="23"/>
      <c r="M1585" s="23"/>
      <c r="N1585" s="23"/>
      <c r="O1585" s="16"/>
      <c r="P1585" s="23"/>
      <c r="Q1585" s="23"/>
      <c r="R1585" s="23"/>
      <c r="S1585" s="16"/>
      <c r="T1585" s="23"/>
      <c r="U1585" s="23"/>
      <c r="V1585" s="23"/>
      <c r="W1585" s="16"/>
      <c r="X1585" s="23"/>
      <c r="Y1585" s="23"/>
      <c r="Z1585" s="23"/>
      <c r="AA1585" s="16"/>
      <c r="AB1585" s="23"/>
      <c r="AC1585" s="23"/>
      <c r="AD1585" s="23"/>
      <c r="AE1585" s="16"/>
      <c r="AF1585" s="23"/>
      <c r="AG1585" s="23"/>
      <c r="AH1585" s="23"/>
      <c r="AI1585" s="16"/>
      <c r="AJ1585" s="23"/>
      <c r="AK1585" s="23"/>
      <c r="AL1585" s="23"/>
      <c r="AM1585" s="16"/>
      <c r="AN1585" s="23"/>
      <c r="AO1585" s="23"/>
      <c r="AP1585" s="23"/>
      <c r="AQ1585" s="16"/>
      <c r="AR1585" s="23"/>
      <c r="AS1585" s="23"/>
      <c r="AT1585" s="23"/>
      <c r="AU1585" s="16"/>
      <c r="AV1585" s="23"/>
      <c r="AW1585" s="23"/>
      <c r="AX1585" s="23"/>
      <c r="AY1585" s="16"/>
      <c r="AZ1585" s="23"/>
      <c r="BA1585" s="23"/>
      <c r="BB1585" s="23"/>
      <c r="BC1585" s="16"/>
      <c r="BD1585" s="23"/>
      <c r="BE1585" s="23"/>
      <c r="BF1585" s="23"/>
      <c r="BG1585" s="16"/>
      <c r="BH1585" s="23"/>
      <c r="BI1585" s="23"/>
      <c r="BJ1585" s="23"/>
      <c r="BN1585" s="23"/>
      <c r="BO1585" s="23"/>
      <c r="BP1585" s="16"/>
      <c r="BQ1585" s="16"/>
      <c r="BR1585" s="23"/>
      <c r="BS1585" s="16"/>
      <c r="BT1585" s="16"/>
      <c r="BU1585" s="16"/>
      <c r="BV1585" s="16"/>
      <c r="BW1585" s="16"/>
      <c r="BX1585" s="16"/>
      <c r="BY1585" s="16"/>
    </row>
    <row r="1586">
      <c r="A1586" s="16"/>
      <c r="B1586" s="16"/>
      <c r="C1586" s="22"/>
      <c r="D1586" s="16"/>
      <c r="E1586" s="16"/>
      <c r="F1586" s="16"/>
      <c r="G1586" s="16"/>
      <c r="H1586" s="16"/>
      <c r="I1586" s="23"/>
      <c r="J1586" s="23"/>
      <c r="K1586" s="16"/>
      <c r="L1586" s="23"/>
      <c r="M1586" s="23"/>
      <c r="N1586" s="23"/>
      <c r="O1586" s="16"/>
      <c r="P1586" s="23"/>
      <c r="Q1586" s="23"/>
      <c r="R1586" s="23"/>
      <c r="S1586" s="16"/>
      <c r="T1586" s="23"/>
      <c r="U1586" s="23"/>
      <c r="V1586" s="23"/>
      <c r="W1586" s="16"/>
      <c r="X1586" s="23"/>
      <c r="Y1586" s="23"/>
      <c r="Z1586" s="23"/>
      <c r="AA1586" s="16"/>
      <c r="AB1586" s="23"/>
      <c r="AC1586" s="23"/>
      <c r="AD1586" s="23"/>
      <c r="AE1586" s="16"/>
      <c r="AF1586" s="23"/>
      <c r="AG1586" s="23"/>
      <c r="AH1586" s="23"/>
      <c r="AI1586" s="16"/>
      <c r="AJ1586" s="23"/>
      <c r="AK1586" s="23"/>
      <c r="AL1586" s="23"/>
      <c r="AM1586" s="16"/>
      <c r="AN1586" s="23"/>
      <c r="AO1586" s="23"/>
      <c r="AP1586" s="23"/>
      <c r="AQ1586" s="16"/>
      <c r="AR1586" s="23"/>
      <c r="AS1586" s="23"/>
      <c r="AT1586" s="23"/>
      <c r="AU1586" s="16"/>
      <c r="AV1586" s="23"/>
      <c r="AW1586" s="23"/>
      <c r="AX1586" s="23"/>
      <c r="AY1586" s="16"/>
      <c r="AZ1586" s="23"/>
      <c r="BA1586" s="23"/>
      <c r="BB1586" s="23"/>
      <c r="BC1586" s="16"/>
      <c r="BD1586" s="23"/>
      <c r="BE1586" s="23"/>
      <c r="BF1586" s="23"/>
      <c r="BG1586" s="16"/>
      <c r="BH1586" s="23"/>
      <c r="BI1586" s="23"/>
      <c r="BJ1586" s="23"/>
      <c r="BN1586" s="23"/>
      <c r="BO1586" s="23"/>
      <c r="BP1586" s="16"/>
      <c r="BQ1586" s="16"/>
      <c r="BR1586" s="23"/>
      <c r="BS1586" s="16"/>
      <c r="BT1586" s="16"/>
      <c r="BU1586" s="16"/>
      <c r="BV1586" s="16"/>
      <c r="BW1586" s="16"/>
      <c r="BX1586" s="16"/>
      <c r="BY1586" s="16"/>
    </row>
    <row r="1587">
      <c r="A1587" s="16"/>
      <c r="B1587" s="16"/>
      <c r="C1587" s="22"/>
      <c r="D1587" s="16"/>
      <c r="E1587" s="16"/>
      <c r="F1587" s="16"/>
      <c r="G1587" s="16"/>
      <c r="H1587" s="16"/>
      <c r="I1587" s="23"/>
      <c r="J1587" s="23"/>
      <c r="K1587" s="16"/>
      <c r="L1587" s="23"/>
      <c r="M1587" s="23"/>
      <c r="N1587" s="23"/>
      <c r="O1587" s="16"/>
      <c r="P1587" s="23"/>
      <c r="Q1587" s="23"/>
      <c r="R1587" s="23"/>
      <c r="S1587" s="16"/>
      <c r="T1587" s="23"/>
      <c r="U1587" s="23"/>
      <c r="V1587" s="23"/>
      <c r="W1587" s="16"/>
      <c r="X1587" s="23"/>
      <c r="Y1587" s="23"/>
      <c r="Z1587" s="23"/>
      <c r="AA1587" s="16"/>
      <c r="AB1587" s="23"/>
      <c r="AC1587" s="23"/>
      <c r="AD1587" s="23"/>
      <c r="AE1587" s="16"/>
      <c r="AF1587" s="23"/>
      <c r="AG1587" s="23"/>
      <c r="AH1587" s="23"/>
      <c r="AI1587" s="16"/>
      <c r="AJ1587" s="23"/>
      <c r="AK1587" s="23"/>
      <c r="AL1587" s="23"/>
      <c r="AM1587" s="16"/>
      <c r="AN1587" s="23"/>
      <c r="AO1587" s="23"/>
      <c r="AP1587" s="23"/>
      <c r="AQ1587" s="16"/>
      <c r="AR1587" s="23"/>
      <c r="AS1587" s="23"/>
      <c r="AT1587" s="23"/>
      <c r="AU1587" s="16"/>
      <c r="AV1587" s="23"/>
      <c r="AW1587" s="23"/>
      <c r="AX1587" s="23"/>
      <c r="AY1587" s="16"/>
      <c r="AZ1587" s="23"/>
      <c r="BA1587" s="23"/>
      <c r="BB1587" s="23"/>
      <c r="BC1587" s="16"/>
      <c r="BD1587" s="23"/>
      <c r="BE1587" s="23"/>
      <c r="BF1587" s="23"/>
      <c r="BG1587" s="16"/>
      <c r="BH1587" s="23"/>
      <c r="BI1587" s="23"/>
      <c r="BJ1587" s="23"/>
      <c r="BN1587" s="23"/>
      <c r="BO1587" s="23"/>
      <c r="BP1587" s="16"/>
      <c r="BQ1587" s="16"/>
      <c r="BR1587" s="23"/>
      <c r="BS1587" s="16"/>
      <c r="BT1587" s="16"/>
      <c r="BU1587" s="16"/>
      <c r="BV1587" s="16"/>
      <c r="BW1587" s="16"/>
      <c r="BX1587" s="16"/>
      <c r="BY1587" s="16"/>
    </row>
    <row r="1588">
      <c r="A1588" s="16"/>
      <c r="B1588" s="16"/>
      <c r="C1588" s="22"/>
      <c r="D1588" s="16"/>
      <c r="E1588" s="16"/>
      <c r="F1588" s="16"/>
      <c r="G1588" s="16"/>
      <c r="H1588" s="16"/>
      <c r="I1588" s="23"/>
      <c r="J1588" s="23"/>
      <c r="K1588" s="16"/>
      <c r="L1588" s="23"/>
      <c r="M1588" s="23"/>
      <c r="N1588" s="23"/>
      <c r="O1588" s="16"/>
      <c r="P1588" s="23"/>
      <c r="Q1588" s="23"/>
      <c r="R1588" s="23"/>
      <c r="S1588" s="16"/>
      <c r="T1588" s="23"/>
      <c r="U1588" s="23"/>
      <c r="V1588" s="23"/>
      <c r="W1588" s="16"/>
      <c r="X1588" s="23"/>
      <c r="Y1588" s="23"/>
      <c r="Z1588" s="23"/>
      <c r="AA1588" s="16"/>
      <c r="AB1588" s="23"/>
      <c r="AC1588" s="23"/>
      <c r="AD1588" s="23"/>
      <c r="AE1588" s="16"/>
      <c r="AF1588" s="23"/>
      <c r="AG1588" s="23"/>
      <c r="AH1588" s="23"/>
      <c r="AI1588" s="16"/>
      <c r="AJ1588" s="23"/>
      <c r="AK1588" s="23"/>
      <c r="AL1588" s="23"/>
      <c r="AM1588" s="16"/>
      <c r="AN1588" s="23"/>
      <c r="AO1588" s="23"/>
      <c r="AP1588" s="23"/>
      <c r="AQ1588" s="16"/>
      <c r="AR1588" s="23"/>
      <c r="AS1588" s="23"/>
      <c r="AT1588" s="23"/>
      <c r="AU1588" s="16"/>
      <c r="AV1588" s="23"/>
      <c r="AW1588" s="23"/>
      <c r="AX1588" s="23"/>
      <c r="AY1588" s="16"/>
      <c r="AZ1588" s="23"/>
      <c r="BA1588" s="23"/>
      <c r="BB1588" s="23"/>
      <c r="BC1588" s="16"/>
      <c r="BD1588" s="23"/>
      <c r="BE1588" s="23"/>
      <c r="BF1588" s="23"/>
      <c r="BG1588" s="16"/>
      <c r="BH1588" s="23"/>
      <c r="BI1588" s="23"/>
      <c r="BJ1588" s="23"/>
      <c r="BN1588" s="23"/>
      <c r="BO1588" s="23"/>
      <c r="BP1588" s="16"/>
      <c r="BQ1588" s="16"/>
      <c r="BR1588" s="23"/>
      <c r="BS1588" s="16"/>
      <c r="BT1588" s="16"/>
      <c r="BU1588" s="16"/>
      <c r="BV1588" s="16"/>
      <c r="BW1588" s="16"/>
      <c r="BX1588" s="16"/>
      <c r="BY1588" s="16"/>
    </row>
    <row r="1589">
      <c r="A1589" s="16"/>
      <c r="B1589" s="16"/>
      <c r="C1589" s="22"/>
      <c r="D1589" s="16"/>
      <c r="E1589" s="16"/>
      <c r="F1589" s="16"/>
      <c r="G1589" s="16"/>
      <c r="H1589" s="16"/>
      <c r="I1589" s="23"/>
      <c r="J1589" s="23"/>
      <c r="K1589" s="16"/>
      <c r="L1589" s="23"/>
      <c r="M1589" s="23"/>
      <c r="N1589" s="23"/>
      <c r="O1589" s="16"/>
      <c r="P1589" s="23"/>
      <c r="Q1589" s="23"/>
      <c r="R1589" s="23"/>
      <c r="S1589" s="16"/>
      <c r="T1589" s="23"/>
      <c r="U1589" s="23"/>
      <c r="V1589" s="23"/>
      <c r="W1589" s="16"/>
      <c r="X1589" s="23"/>
      <c r="Y1589" s="23"/>
      <c r="Z1589" s="23"/>
      <c r="AA1589" s="16"/>
      <c r="AB1589" s="23"/>
      <c r="AC1589" s="23"/>
      <c r="AD1589" s="23"/>
      <c r="AE1589" s="16"/>
      <c r="AF1589" s="23"/>
      <c r="AG1589" s="23"/>
      <c r="AH1589" s="23"/>
      <c r="AI1589" s="16"/>
      <c r="AJ1589" s="23"/>
      <c r="AK1589" s="23"/>
      <c r="AL1589" s="23"/>
      <c r="AM1589" s="16"/>
      <c r="AN1589" s="23"/>
      <c r="AO1589" s="23"/>
      <c r="AP1589" s="23"/>
      <c r="AQ1589" s="16"/>
      <c r="AR1589" s="23"/>
      <c r="AS1589" s="23"/>
      <c r="AT1589" s="23"/>
      <c r="AU1589" s="16"/>
      <c r="AV1589" s="23"/>
      <c r="AW1589" s="23"/>
      <c r="AX1589" s="23"/>
      <c r="AY1589" s="16"/>
      <c r="AZ1589" s="23"/>
      <c r="BA1589" s="23"/>
      <c r="BB1589" s="23"/>
      <c r="BC1589" s="16"/>
      <c r="BD1589" s="23"/>
      <c r="BE1589" s="23"/>
      <c r="BF1589" s="23"/>
      <c r="BG1589" s="16"/>
      <c r="BH1589" s="23"/>
      <c r="BI1589" s="23"/>
      <c r="BJ1589" s="23"/>
      <c r="BN1589" s="23"/>
      <c r="BO1589" s="23"/>
      <c r="BP1589" s="16"/>
      <c r="BQ1589" s="16"/>
      <c r="BR1589" s="23"/>
      <c r="BS1589" s="16"/>
      <c r="BT1589" s="16"/>
      <c r="BU1589" s="16"/>
      <c r="BV1589" s="16"/>
      <c r="BW1589" s="16"/>
      <c r="BX1589" s="16"/>
      <c r="BY1589" s="16"/>
    </row>
    <row r="1590">
      <c r="A1590" s="16"/>
      <c r="B1590" s="16"/>
      <c r="C1590" s="22"/>
      <c r="D1590" s="16"/>
      <c r="E1590" s="16"/>
      <c r="F1590" s="16"/>
      <c r="G1590" s="16"/>
      <c r="H1590" s="16"/>
      <c r="I1590" s="23"/>
      <c r="J1590" s="23"/>
      <c r="K1590" s="16"/>
      <c r="L1590" s="23"/>
      <c r="M1590" s="23"/>
      <c r="N1590" s="23"/>
      <c r="O1590" s="16"/>
      <c r="P1590" s="23"/>
      <c r="Q1590" s="23"/>
      <c r="R1590" s="23"/>
      <c r="S1590" s="16"/>
      <c r="T1590" s="23"/>
      <c r="U1590" s="23"/>
      <c r="V1590" s="23"/>
      <c r="W1590" s="16"/>
      <c r="X1590" s="23"/>
      <c r="Y1590" s="23"/>
      <c r="Z1590" s="23"/>
      <c r="AA1590" s="16"/>
      <c r="AB1590" s="23"/>
      <c r="AC1590" s="23"/>
      <c r="AD1590" s="23"/>
      <c r="AE1590" s="16"/>
      <c r="AF1590" s="23"/>
      <c r="AG1590" s="23"/>
      <c r="AH1590" s="23"/>
      <c r="AI1590" s="16"/>
      <c r="AJ1590" s="23"/>
      <c r="AK1590" s="23"/>
      <c r="AL1590" s="23"/>
      <c r="AM1590" s="16"/>
      <c r="AN1590" s="23"/>
      <c r="AO1590" s="23"/>
      <c r="AP1590" s="23"/>
      <c r="AQ1590" s="16"/>
      <c r="AR1590" s="23"/>
      <c r="AS1590" s="23"/>
      <c r="AT1590" s="23"/>
      <c r="AU1590" s="16"/>
      <c r="AV1590" s="23"/>
      <c r="AW1590" s="23"/>
      <c r="AX1590" s="23"/>
      <c r="AY1590" s="16"/>
      <c r="AZ1590" s="23"/>
      <c r="BA1590" s="23"/>
      <c r="BB1590" s="23"/>
      <c r="BC1590" s="16"/>
      <c r="BD1590" s="23"/>
      <c r="BE1590" s="23"/>
      <c r="BF1590" s="23"/>
      <c r="BG1590" s="16"/>
      <c r="BH1590" s="23"/>
      <c r="BI1590" s="23"/>
      <c r="BJ1590" s="23"/>
      <c r="BN1590" s="23"/>
      <c r="BO1590" s="23"/>
      <c r="BP1590" s="16"/>
      <c r="BQ1590" s="16"/>
      <c r="BR1590" s="23"/>
      <c r="BS1590" s="16"/>
      <c r="BT1590" s="16"/>
      <c r="BU1590" s="16"/>
      <c r="BV1590" s="16"/>
      <c r="BW1590" s="16"/>
      <c r="BX1590" s="16"/>
      <c r="BY1590" s="16"/>
    </row>
    <row r="1591">
      <c r="A1591" s="16"/>
      <c r="B1591" s="16"/>
      <c r="C1591" s="22"/>
      <c r="D1591" s="16"/>
      <c r="E1591" s="16"/>
      <c r="F1591" s="16"/>
      <c r="G1591" s="16"/>
      <c r="H1591" s="16"/>
      <c r="I1591" s="23"/>
      <c r="J1591" s="23"/>
      <c r="K1591" s="16"/>
      <c r="L1591" s="23"/>
      <c r="M1591" s="23"/>
      <c r="N1591" s="23"/>
      <c r="O1591" s="16"/>
      <c r="P1591" s="23"/>
      <c r="Q1591" s="23"/>
      <c r="R1591" s="23"/>
      <c r="S1591" s="16"/>
      <c r="T1591" s="23"/>
      <c r="U1591" s="23"/>
      <c r="V1591" s="23"/>
      <c r="W1591" s="16"/>
      <c r="X1591" s="23"/>
      <c r="Y1591" s="23"/>
      <c r="Z1591" s="23"/>
      <c r="AA1591" s="16"/>
      <c r="AB1591" s="23"/>
      <c r="AC1591" s="23"/>
      <c r="AD1591" s="23"/>
      <c r="AE1591" s="16"/>
      <c r="AF1591" s="23"/>
      <c r="AG1591" s="23"/>
      <c r="AH1591" s="23"/>
      <c r="AI1591" s="16"/>
      <c r="AJ1591" s="23"/>
      <c r="AK1591" s="23"/>
      <c r="AL1591" s="23"/>
      <c r="AM1591" s="16"/>
      <c r="AN1591" s="23"/>
      <c r="AO1591" s="23"/>
      <c r="AP1591" s="23"/>
      <c r="AQ1591" s="16"/>
      <c r="AR1591" s="23"/>
      <c r="AS1591" s="23"/>
      <c r="AT1591" s="23"/>
      <c r="AU1591" s="16"/>
      <c r="AV1591" s="23"/>
      <c r="AW1591" s="23"/>
      <c r="AX1591" s="23"/>
      <c r="AY1591" s="16"/>
      <c r="AZ1591" s="23"/>
      <c r="BA1591" s="23"/>
      <c r="BB1591" s="23"/>
      <c r="BC1591" s="16"/>
      <c r="BD1591" s="23"/>
      <c r="BE1591" s="23"/>
      <c r="BF1591" s="23"/>
      <c r="BG1591" s="16"/>
      <c r="BH1591" s="23"/>
      <c r="BI1591" s="23"/>
      <c r="BJ1591" s="23"/>
      <c r="BN1591" s="23"/>
      <c r="BO1591" s="23"/>
      <c r="BP1591" s="16"/>
      <c r="BQ1591" s="16"/>
      <c r="BR1591" s="23"/>
      <c r="BS1591" s="16"/>
      <c r="BT1591" s="16"/>
      <c r="BU1591" s="16"/>
      <c r="BV1591" s="16"/>
      <c r="BW1591" s="16"/>
      <c r="BX1591" s="16"/>
      <c r="BY1591" s="16"/>
    </row>
    <row r="1592">
      <c r="A1592" s="16"/>
      <c r="B1592" s="16"/>
      <c r="C1592" s="22"/>
      <c r="D1592" s="16"/>
      <c r="E1592" s="16"/>
      <c r="F1592" s="16"/>
      <c r="G1592" s="16"/>
      <c r="H1592" s="16"/>
      <c r="I1592" s="23"/>
      <c r="J1592" s="23"/>
      <c r="K1592" s="16"/>
      <c r="L1592" s="23"/>
      <c r="M1592" s="23"/>
      <c r="N1592" s="23"/>
      <c r="O1592" s="16"/>
      <c r="P1592" s="23"/>
      <c r="Q1592" s="23"/>
      <c r="R1592" s="23"/>
      <c r="S1592" s="16"/>
      <c r="T1592" s="23"/>
      <c r="U1592" s="23"/>
      <c r="V1592" s="23"/>
      <c r="W1592" s="16"/>
      <c r="X1592" s="23"/>
      <c r="Y1592" s="23"/>
      <c r="Z1592" s="23"/>
      <c r="AA1592" s="16"/>
      <c r="AB1592" s="23"/>
      <c r="AC1592" s="23"/>
      <c r="AD1592" s="23"/>
      <c r="AE1592" s="16"/>
      <c r="AF1592" s="23"/>
      <c r="AG1592" s="23"/>
      <c r="AH1592" s="23"/>
      <c r="AI1592" s="16"/>
      <c r="AJ1592" s="23"/>
      <c r="AK1592" s="23"/>
      <c r="AL1592" s="23"/>
      <c r="AM1592" s="16"/>
      <c r="AN1592" s="23"/>
      <c r="AO1592" s="23"/>
      <c r="AP1592" s="23"/>
      <c r="AQ1592" s="16"/>
      <c r="AR1592" s="23"/>
      <c r="AS1592" s="23"/>
      <c r="AT1592" s="23"/>
      <c r="AU1592" s="16"/>
      <c r="AV1592" s="23"/>
      <c r="AW1592" s="23"/>
      <c r="AX1592" s="23"/>
      <c r="AY1592" s="16"/>
      <c r="AZ1592" s="23"/>
      <c r="BA1592" s="23"/>
      <c r="BB1592" s="23"/>
      <c r="BC1592" s="16"/>
      <c r="BD1592" s="23"/>
      <c r="BE1592" s="23"/>
      <c r="BF1592" s="23"/>
      <c r="BG1592" s="16"/>
      <c r="BH1592" s="23"/>
      <c r="BI1592" s="23"/>
      <c r="BJ1592" s="23"/>
      <c r="BN1592" s="23"/>
      <c r="BO1592" s="23"/>
      <c r="BP1592" s="16"/>
      <c r="BQ1592" s="16"/>
      <c r="BR1592" s="23"/>
      <c r="BS1592" s="16"/>
      <c r="BT1592" s="16"/>
      <c r="BU1592" s="16"/>
      <c r="BV1592" s="16"/>
      <c r="BW1592" s="16"/>
      <c r="BX1592" s="16"/>
      <c r="BY1592" s="16"/>
    </row>
    <row r="1593">
      <c r="A1593" s="16"/>
      <c r="B1593" s="16"/>
      <c r="C1593" s="22"/>
      <c r="D1593" s="16"/>
      <c r="E1593" s="16"/>
      <c r="F1593" s="16"/>
      <c r="G1593" s="16"/>
      <c r="H1593" s="16"/>
      <c r="I1593" s="23"/>
      <c r="J1593" s="23"/>
      <c r="K1593" s="16"/>
      <c r="L1593" s="23"/>
      <c r="M1593" s="23"/>
      <c r="N1593" s="23"/>
      <c r="O1593" s="16"/>
      <c r="P1593" s="23"/>
      <c r="Q1593" s="23"/>
      <c r="R1593" s="23"/>
      <c r="S1593" s="16"/>
      <c r="T1593" s="23"/>
      <c r="U1593" s="23"/>
      <c r="V1593" s="23"/>
      <c r="W1593" s="16"/>
      <c r="X1593" s="23"/>
      <c r="Y1593" s="23"/>
      <c r="Z1593" s="23"/>
      <c r="AA1593" s="16"/>
      <c r="AB1593" s="23"/>
      <c r="AC1593" s="23"/>
      <c r="AD1593" s="23"/>
      <c r="AE1593" s="16"/>
      <c r="AF1593" s="23"/>
      <c r="AG1593" s="23"/>
      <c r="AH1593" s="23"/>
      <c r="AI1593" s="16"/>
      <c r="AJ1593" s="23"/>
      <c r="AK1593" s="23"/>
      <c r="AL1593" s="23"/>
      <c r="AM1593" s="16"/>
      <c r="AN1593" s="23"/>
      <c r="AO1593" s="23"/>
      <c r="AP1593" s="23"/>
      <c r="AQ1593" s="16"/>
      <c r="AR1593" s="23"/>
      <c r="AS1593" s="23"/>
      <c r="AT1593" s="23"/>
      <c r="AU1593" s="16"/>
      <c r="AV1593" s="23"/>
      <c r="AW1593" s="23"/>
      <c r="AX1593" s="23"/>
      <c r="AY1593" s="16"/>
      <c r="AZ1593" s="23"/>
      <c r="BA1593" s="23"/>
      <c r="BB1593" s="23"/>
      <c r="BC1593" s="16"/>
      <c r="BD1593" s="23"/>
      <c r="BE1593" s="23"/>
      <c r="BF1593" s="23"/>
      <c r="BG1593" s="16"/>
      <c r="BH1593" s="23"/>
      <c r="BI1593" s="23"/>
      <c r="BJ1593" s="23"/>
      <c r="BN1593" s="23"/>
      <c r="BO1593" s="23"/>
      <c r="BP1593" s="16"/>
      <c r="BQ1593" s="16"/>
      <c r="BR1593" s="23"/>
      <c r="BS1593" s="16"/>
      <c r="BT1593" s="16"/>
      <c r="BU1593" s="16"/>
      <c r="BV1593" s="16"/>
      <c r="BW1593" s="16"/>
      <c r="BX1593" s="16"/>
      <c r="BY1593" s="16"/>
    </row>
    <row r="1594">
      <c r="A1594" s="16"/>
      <c r="B1594" s="16"/>
      <c r="C1594" s="22"/>
      <c r="D1594" s="16"/>
      <c r="E1594" s="16"/>
      <c r="F1594" s="16"/>
      <c r="G1594" s="16"/>
      <c r="H1594" s="16"/>
      <c r="I1594" s="23"/>
      <c r="J1594" s="23"/>
      <c r="K1594" s="16"/>
      <c r="L1594" s="23"/>
      <c r="M1594" s="23"/>
      <c r="N1594" s="23"/>
      <c r="O1594" s="16"/>
      <c r="P1594" s="23"/>
      <c r="Q1594" s="23"/>
      <c r="R1594" s="23"/>
      <c r="S1594" s="16"/>
      <c r="T1594" s="23"/>
      <c r="U1594" s="23"/>
      <c r="V1594" s="23"/>
      <c r="W1594" s="16"/>
      <c r="X1594" s="23"/>
      <c r="Y1594" s="23"/>
      <c r="Z1594" s="23"/>
      <c r="AA1594" s="16"/>
      <c r="AB1594" s="23"/>
      <c r="AC1594" s="23"/>
      <c r="AD1594" s="23"/>
      <c r="AE1594" s="16"/>
      <c r="AF1594" s="23"/>
      <c r="AG1594" s="23"/>
      <c r="AH1594" s="23"/>
      <c r="AI1594" s="16"/>
      <c r="AJ1594" s="23"/>
      <c r="AK1594" s="23"/>
      <c r="AL1594" s="23"/>
      <c r="AM1594" s="16"/>
      <c r="AN1594" s="23"/>
      <c r="AO1594" s="23"/>
      <c r="AP1594" s="23"/>
      <c r="AQ1594" s="16"/>
      <c r="AR1594" s="23"/>
      <c r="AS1594" s="23"/>
      <c r="AT1594" s="23"/>
      <c r="AU1594" s="16"/>
      <c r="AV1594" s="23"/>
      <c r="AW1594" s="23"/>
      <c r="AX1594" s="23"/>
      <c r="AY1594" s="16"/>
      <c r="AZ1594" s="23"/>
      <c r="BA1594" s="23"/>
      <c r="BB1594" s="23"/>
      <c r="BC1594" s="16"/>
      <c r="BD1594" s="23"/>
      <c r="BE1594" s="23"/>
      <c r="BF1594" s="23"/>
      <c r="BG1594" s="16"/>
      <c r="BH1594" s="23"/>
      <c r="BI1594" s="23"/>
      <c r="BJ1594" s="23"/>
      <c r="BN1594" s="23"/>
      <c r="BO1594" s="23"/>
      <c r="BP1594" s="16"/>
      <c r="BQ1594" s="16"/>
      <c r="BR1594" s="23"/>
      <c r="BS1594" s="16"/>
      <c r="BT1594" s="16"/>
      <c r="BU1594" s="16"/>
      <c r="BV1594" s="16"/>
      <c r="BW1594" s="16"/>
      <c r="BX1594" s="16"/>
      <c r="BY1594" s="16"/>
    </row>
    <row r="1595">
      <c r="A1595" s="16"/>
      <c r="B1595" s="16"/>
      <c r="C1595" s="22"/>
      <c r="D1595" s="16"/>
      <c r="E1595" s="16"/>
      <c r="F1595" s="16"/>
      <c r="G1595" s="16"/>
      <c r="H1595" s="16"/>
      <c r="I1595" s="23"/>
      <c r="J1595" s="23"/>
      <c r="K1595" s="16"/>
      <c r="L1595" s="23"/>
      <c r="M1595" s="23"/>
      <c r="N1595" s="23"/>
      <c r="O1595" s="16"/>
      <c r="P1595" s="23"/>
      <c r="Q1595" s="23"/>
      <c r="R1595" s="23"/>
      <c r="S1595" s="16"/>
      <c r="T1595" s="23"/>
      <c r="U1595" s="23"/>
      <c r="V1595" s="23"/>
      <c r="W1595" s="16"/>
      <c r="X1595" s="23"/>
      <c r="Y1595" s="23"/>
      <c r="Z1595" s="23"/>
      <c r="AA1595" s="16"/>
      <c r="AB1595" s="23"/>
      <c r="AC1595" s="23"/>
      <c r="AD1595" s="23"/>
      <c r="AE1595" s="16"/>
      <c r="AF1595" s="23"/>
      <c r="AG1595" s="23"/>
      <c r="AH1595" s="23"/>
      <c r="AI1595" s="16"/>
      <c r="AJ1595" s="23"/>
      <c r="AK1595" s="23"/>
      <c r="AL1595" s="23"/>
      <c r="AM1595" s="16"/>
      <c r="AN1595" s="23"/>
      <c r="AO1595" s="23"/>
      <c r="AP1595" s="23"/>
      <c r="AQ1595" s="16"/>
      <c r="AR1595" s="23"/>
      <c r="AS1595" s="23"/>
      <c r="AT1595" s="23"/>
      <c r="AU1595" s="16"/>
      <c r="AV1595" s="23"/>
      <c r="AW1595" s="23"/>
      <c r="AX1595" s="23"/>
      <c r="AY1595" s="16"/>
      <c r="AZ1595" s="23"/>
      <c r="BA1595" s="23"/>
      <c r="BB1595" s="23"/>
      <c r="BC1595" s="16"/>
      <c r="BD1595" s="23"/>
      <c r="BE1595" s="23"/>
      <c r="BF1595" s="23"/>
      <c r="BG1595" s="16"/>
      <c r="BH1595" s="23"/>
      <c r="BI1595" s="23"/>
      <c r="BJ1595" s="23"/>
      <c r="BN1595" s="23"/>
      <c r="BO1595" s="23"/>
      <c r="BP1595" s="16"/>
      <c r="BQ1595" s="16"/>
      <c r="BR1595" s="23"/>
      <c r="BS1595" s="16"/>
      <c r="BT1595" s="16"/>
      <c r="BU1595" s="16"/>
      <c r="BV1595" s="16"/>
      <c r="BW1595" s="16"/>
      <c r="BX1595" s="16"/>
      <c r="BY1595" s="16"/>
    </row>
    <row r="1596">
      <c r="A1596" s="16"/>
      <c r="B1596" s="16"/>
      <c r="C1596" s="22"/>
      <c r="D1596" s="16"/>
      <c r="E1596" s="16"/>
      <c r="F1596" s="16"/>
      <c r="G1596" s="16"/>
      <c r="H1596" s="16"/>
      <c r="I1596" s="23"/>
      <c r="J1596" s="23"/>
      <c r="K1596" s="16"/>
      <c r="L1596" s="23"/>
      <c r="M1596" s="23"/>
      <c r="N1596" s="23"/>
      <c r="O1596" s="16"/>
      <c r="P1596" s="23"/>
      <c r="Q1596" s="23"/>
      <c r="R1596" s="23"/>
      <c r="S1596" s="16"/>
      <c r="T1596" s="23"/>
      <c r="U1596" s="23"/>
      <c r="V1596" s="23"/>
      <c r="W1596" s="16"/>
      <c r="X1596" s="23"/>
      <c r="Y1596" s="23"/>
      <c r="Z1596" s="23"/>
      <c r="AA1596" s="16"/>
      <c r="AB1596" s="23"/>
      <c r="AC1596" s="23"/>
      <c r="AD1596" s="23"/>
      <c r="AE1596" s="16"/>
      <c r="AF1596" s="23"/>
      <c r="AG1596" s="23"/>
      <c r="AH1596" s="23"/>
      <c r="AI1596" s="16"/>
      <c r="AJ1596" s="23"/>
      <c r="AK1596" s="23"/>
      <c r="AL1596" s="23"/>
      <c r="AM1596" s="16"/>
      <c r="AN1596" s="23"/>
      <c r="AO1596" s="23"/>
      <c r="AP1596" s="23"/>
      <c r="AQ1596" s="16"/>
      <c r="AR1596" s="23"/>
      <c r="AS1596" s="23"/>
      <c r="AT1596" s="23"/>
      <c r="AU1596" s="16"/>
      <c r="AV1596" s="23"/>
      <c r="AW1596" s="23"/>
      <c r="AX1596" s="23"/>
      <c r="AY1596" s="16"/>
      <c r="AZ1596" s="23"/>
      <c r="BA1596" s="23"/>
      <c r="BB1596" s="23"/>
      <c r="BC1596" s="16"/>
      <c r="BD1596" s="23"/>
      <c r="BE1596" s="23"/>
      <c r="BF1596" s="23"/>
      <c r="BG1596" s="16"/>
      <c r="BH1596" s="23"/>
      <c r="BI1596" s="23"/>
      <c r="BJ1596" s="23"/>
      <c r="BN1596" s="23"/>
      <c r="BO1596" s="23"/>
      <c r="BP1596" s="16"/>
      <c r="BQ1596" s="16"/>
      <c r="BR1596" s="23"/>
      <c r="BS1596" s="16"/>
      <c r="BT1596" s="16"/>
      <c r="BU1596" s="16"/>
      <c r="BV1596" s="16"/>
      <c r="BW1596" s="16"/>
      <c r="BX1596" s="16"/>
      <c r="BY1596" s="16"/>
    </row>
    <row r="1597">
      <c r="A1597" s="16"/>
      <c r="B1597" s="16"/>
      <c r="C1597" s="22"/>
      <c r="D1597" s="16"/>
      <c r="E1597" s="16"/>
      <c r="F1597" s="16"/>
      <c r="G1597" s="16"/>
      <c r="H1597" s="16"/>
      <c r="I1597" s="23"/>
      <c r="J1597" s="23"/>
      <c r="K1597" s="16"/>
      <c r="L1597" s="23"/>
      <c r="M1597" s="23"/>
      <c r="N1597" s="23"/>
      <c r="O1597" s="16"/>
      <c r="P1597" s="23"/>
      <c r="Q1597" s="23"/>
      <c r="R1597" s="23"/>
      <c r="S1597" s="16"/>
      <c r="T1597" s="23"/>
      <c r="U1597" s="23"/>
      <c r="V1597" s="23"/>
      <c r="W1597" s="16"/>
      <c r="X1597" s="23"/>
      <c r="Y1597" s="23"/>
      <c r="Z1597" s="23"/>
      <c r="AA1597" s="16"/>
      <c r="AB1597" s="23"/>
      <c r="AC1597" s="23"/>
      <c r="AD1597" s="23"/>
      <c r="AE1597" s="16"/>
      <c r="AF1597" s="23"/>
      <c r="AG1597" s="23"/>
      <c r="AH1597" s="23"/>
      <c r="AI1597" s="16"/>
      <c r="AJ1597" s="23"/>
      <c r="AK1597" s="23"/>
      <c r="AL1597" s="23"/>
      <c r="AM1597" s="16"/>
      <c r="AN1597" s="23"/>
      <c r="AO1597" s="23"/>
      <c r="AP1597" s="23"/>
      <c r="AQ1597" s="16"/>
      <c r="AR1597" s="23"/>
      <c r="AS1597" s="23"/>
      <c r="AT1597" s="23"/>
      <c r="AU1597" s="16"/>
      <c r="AV1597" s="23"/>
      <c r="AW1597" s="23"/>
      <c r="AX1597" s="23"/>
      <c r="AY1597" s="16"/>
      <c r="AZ1597" s="23"/>
      <c r="BA1597" s="23"/>
      <c r="BB1597" s="23"/>
      <c r="BC1597" s="16"/>
      <c r="BD1597" s="23"/>
      <c r="BE1597" s="23"/>
      <c r="BF1597" s="23"/>
      <c r="BG1597" s="16"/>
      <c r="BH1597" s="23"/>
      <c r="BI1597" s="23"/>
      <c r="BJ1597" s="23"/>
      <c r="BN1597" s="23"/>
      <c r="BO1597" s="23"/>
      <c r="BP1597" s="16"/>
      <c r="BQ1597" s="16"/>
      <c r="BR1597" s="23"/>
      <c r="BS1597" s="16"/>
      <c r="BT1597" s="16"/>
      <c r="BU1597" s="16"/>
      <c r="BV1597" s="16"/>
      <c r="BW1597" s="16"/>
      <c r="BX1597" s="16"/>
      <c r="BY1597" s="16"/>
    </row>
    <row r="1598">
      <c r="A1598" s="16"/>
      <c r="B1598" s="16"/>
      <c r="C1598" s="22"/>
      <c r="D1598" s="16"/>
      <c r="E1598" s="16"/>
      <c r="F1598" s="16"/>
      <c r="G1598" s="16"/>
      <c r="H1598" s="16"/>
      <c r="I1598" s="23"/>
      <c r="J1598" s="23"/>
      <c r="K1598" s="16"/>
      <c r="L1598" s="23"/>
      <c r="M1598" s="23"/>
      <c r="N1598" s="23"/>
      <c r="O1598" s="16"/>
      <c r="P1598" s="23"/>
      <c r="Q1598" s="23"/>
      <c r="R1598" s="23"/>
      <c r="S1598" s="16"/>
      <c r="T1598" s="23"/>
      <c r="U1598" s="23"/>
      <c r="V1598" s="23"/>
      <c r="W1598" s="16"/>
      <c r="X1598" s="23"/>
      <c r="Y1598" s="23"/>
      <c r="Z1598" s="23"/>
      <c r="AA1598" s="16"/>
      <c r="AB1598" s="23"/>
      <c r="AC1598" s="23"/>
      <c r="AD1598" s="23"/>
      <c r="AE1598" s="16"/>
      <c r="AF1598" s="23"/>
      <c r="AG1598" s="23"/>
      <c r="AH1598" s="23"/>
      <c r="AI1598" s="16"/>
      <c r="AJ1598" s="23"/>
      <c r="AK1598" s="23"/>
      <c r="AL1598" s="23"/>
      <c r="AM1598" s="16"/>
      <c r="AN1598" s="23"/>
      <c r="AO1598" s="23"/>
      <c r="AP1598" s="23"/>
      <c r="AQ1598" s="16"/>
      <c r="AR1598" s="23"/>
      <c r="AS1598" s="23"/>
      <c r="AT1598" s="23"/>
      <c r="AU1598" s="16"/>
      <c r="AV1598" s="23"/>
      <c r="AW1598" s="23"/>
      <c r="AX1598" s="23"/>
      <c r="AY1598" s="16"/>
      <c r="AZ1598" s="23"/>
      <c r="BA1598" s="23"/>
      <c r="BB1598" s="23"/>
      <c r="BC1598" s="16"/>
      <c r="BD1598" s="23"/>
      <c r="BE1598" s="23"/>
      <c r="BF1598" s="23"/>
      <c r="BG1598" s="16"/>
      <c r="BH1598" s="23"/>
      <c r="BI1598" s="23"/>
      <c r="BJ1598" s="23"/>
      <c r="BN1598" s="23"/>
      <c r="BO1598" s="23"/>
      <c r="BP1598" s="16"/>
      <c r="BQ1598" s="16"/>
      <c r="BR1598" s="23"/>
      <c r="BS1598" s="16"/>
      <c r="BT1598" s="16"/>
      <c r="BU1598" s="16"/>
      <c r="BV1598" s="16"/>
      <c r="BW1598" s="16"/>
      <c r="BX1598" s="16"/>
      <c r="BY1598" s="16"/>
    </row>
    <row r="1599">
      <c r="A1599" s="16"/>
      <c r="B1599" s="16"/>
      <c r="C1599" s="22"/>
      <c r="D1599" s="16"/>
      <c r="E1599" s="16"/>
      <c r="F1599" s="16"/>
      <c r="G1599" s="16"/>
      <c r="H1599" s="16"/>
      <c r="I1599" s="23"/>
      <c r="J1599" s="23"/>
      <c r="K1599" s="16"/>
      <c r="L1599" s="23"/>
      <c r="M1599" s="23"/>
      <c r="N1599" s="23"/>
      <c r="O1599" s="16"/>
      <c r="P1599" s="23"/>
      <c r="Q1599" s="23"/>
      <c r="R1599" s="23"/>
      <c r="S1599" s="16"/>
      <c r="T1599" s="23"/>
      <c r="U1599" s="23"/>
      <c r="V1599" s="23"/>
      <c r="W1599" s="16"/>
      <c r="X1599" s="23"/>
      <c r="Y1599" s="23"/>
      <c r="Z1599" s="23"/>
      <c r="AA1599" s="16"/>
      <c r="AB1599" s="23"/>
      <c r="AC1599" s="23"/>
      <c r="AD1599" s="23"/>
      <c r="AE1599" s="16"/>
      <c r="AF1599" s="23"/>
      <c r="AG1599" s="23"/>
      <c r="AH1599" s="23"/>
      <c r="AI1599" s="16"/>
      <c r="AJ1599" s="23"/>
      <c r="AK1599" s="23"/>
      <c r="AL1599" s="23"/>
      <c r="AM1599" s="16"/>
      <c r="AN1599" s="23"/>
      <c r="AO1599" s="23"/>
      <c r="AP1599" s="23"/>
      <c r="AQ1599" s="16"/>
      <c r="AR1599" s="23"/>
      <c r="AS1599" s="23"/>
      <c r="AT1599" s="23"/>
      <c r="AU1599" s="16"/>
      <c r="AV1599" s="23"/>
      <c r="AW1599" s="23"/>
      <c r="AX1599" s="23"/>
      <c r="AY1599" s="16"/>
      <c r="AZ1599" s="23"/>
      <c r="BA1599" s="23"/>
      <c r="BB1599" s="23"/>
      <c r="BC1599" s="16"/>
      <c r="BD1599" s="23"/>
      <c r="BE1599" s="23"/>
      <c r="BF1599" s="23"/>
      <c r="BG1599" s="16"/>
      <c r="BH1599" s="23"/>
      <c r="BI1599" s="23"/>
      <c r="BJ1599" s="23"/>
      <c r="BN1599" s="23"/>
      <c r="BO1599" s="23"/>
      <c r="BP1599" s="16"/>
      <c r="BQ1599" s="16"/>
      <c r="BR1599" s="23"/>
      <c r="BS1599" s="16"/>
      <c r="BT1599" s="16"/>
      <c r="BU1599" s="16"/>
      <c r="BV1599" s="16"/>
      <c r="BW1599" s="16"/>
      <c r="BX1599" s="16"/>
      <c r="BY1599" s="16"/>
    </row>
    <row r="1600">
      <c r="A1600" s="16"/>
      <c r="B1600" s="16"/>
      <c r="C1600" s="22"/>
      <c r="D1600" s="16"/>
      <c r="E1600" s="16"/>
      <c r="F1600" s="16"/>
      <c r="G1600" s="16"/>
      <c r="H1600" s="16"/>
      <c r="I1600" s="23"/>
      <c r="J1600" s="23"/>
      <c r="K1600" s="16"/>
      <c r="L1600" s="23"/>
      <c r="M1600" s="23"/>
      <c r="N1600" s="23"/>
      <c r="O1600" s="16"/>
      <c r="P1600" s="23"/>
      <c r="Q1600" s="23"/>
      <c r="R1600" s="23"/>
      <c r="S1600" s="16"/>
      <c r="T1600" s="23"/>
      <c r="U1600" s="23"/>
      <c r="V1600" s="23"/>
      <c r="W1600" s="16"/>
      <c r="X1600" s="23"/>
      <c r="Y1600" s="23"/>
      <c r="Z1600" s="23"/>
      <c r="AA1600" s="16"/>
      <c r="AB1600" s="23"/>
      <c r="AC1600" s="23"/>
      <c r="AD1600" s="23"/>
      <c r="AE1600" s="16"/>
      <c r="AF1600" s="23"/>
      <c r="AG1600" s="23"/>
      <c r="AH1600" s="23"/>
      <c r="AI1600" s="16"/>
      <c r="AJ1600" s="23"/>
      <c r="AK1600" s="23"/>
      <c r="AL1600" s="23"/>
      <c r="AM1600" s="16"/>
      <c r="AN1600" s="23"/>
      <c r="AO1600" s="23"/>
      <c r="AP1600" s="23"/>
      <c r="AQ1600" s="16"/>
      <c r="AR1600" s="23"/>
      <c r="AS1600" s="23"/>
      <c r="AT1600" s="23"/>
      <c r="AU1600" s="16"/>
      <c r="AV1600" s="23"/>
      <c r="AW1600" s="23"/>
      <c r="AX1600" s="23"/>
      <c r="AY1600" s="16"/>
      <c r="AZ1600" s="23"/>
      <c r="BA1600" s="23"/>
      <c r="BB1600" s="23"/>
      <c r="BC1600" s="16"/>
      <c r="BD1600" s="23"/>
      <c r="BE1600" s="23"/>
      <c r="BF1600" s="23"/>
      <c r="BG1600" s="16"/>
      <c r="BH1600" s="23"/>
      <c r="BI1600" s="23"/>
      <c r="BJ1600" s="23"/>
      <c r="BN1600" s="23"/>
      <c r="BO1600" s="23"/>
      <c r="BP1600" s="16"/>
      <c r="BQ1600" s="16"/>
      <c r="BR1600" s="23"/>
      <c r="BS1600" s="16"/>
      <c r="BT1600" s="16"/>
      <c r="BU1600" s="16"/>
      <c r="BV1600" s="16"/>
      <c r="BW1600" s="16"/>
      <c r="BX1600" s="16"/>
      <c r="BY1600" s="16"/>
    </row>
    <row r="1601">
      <c r="A1601" s="16"/>
      <c r="B1601" s="16"/>
      <c r="C1601" s="22"/>
      <c r="D1601" s="16"/>
      <c r="E1601" s="16"/>
      <c r="F1601" s="16"/>
      <c r="G1601" s="16"/>
      <c r="H1601" s="16"/>
      <c r="I1601" s="23"/>
      <c r="J1601" s="23"/>
      <c r="K1601" s="16"/>
      <c r="L1601" s="23"/>
      <c r="M1601" s="23"/>
      <c r="N1601" s="23"/>
      <c r="O1601" s="16"/>
      <c r="P1601" s="23"/>
      <c r="Q1601" s="23"/>
      <c r="R1601" s="23"/>
      <c r="S1601" s="16"/>
      <c r="T1601" s="23"/>
      <c r="U1601" s="23"/>
      <c r="V1601" s="23"/>
      <c r="W1601" s="16"/>
      <c r="X1601" s="23"/>
      <c r="Y1601" s="23"/>
      <c r="Z1601" s="23"/>
      <c r="AA1601" s="16"/>
      <c r="AB1601" s="23"/>
      <c r="AC1601" s="23"/>
      <c r="AD1601" s="23"/>
      <c r="AE1601" s="16"/>
      <c r="AF1601" s="23"/>
      <c r="AG1601" s="23"/>
      <c r="AH1601" s="23"/>
      <c r="AI1601" s="16"/>
      <c r="AJ1601" s="23"/>
      <c r="AK1601" s="23"/>
      <c r="AL1601" s="23"/>
      <c r="AM1601" s="16"/>
      <c r="AN1601" s="23"/>
      <c r="AO1601" s="23"/>
      <c r="AP1601" s="23"/>
      <c r="AQ1601" s="16"/>
      <c r="AR1601" s="23"/>
      <c r="AS1601" s="23"/>
      <c r="AT1601" s="23"/>
      <c r="AU1601" s="16"/>
      <c r="AV1601" s="23"/>
      <c r="AW1601" s="23"/>
      <c r="AX1601" s="23"/>
      <c r="AY1601" s="16"/>
      <c r="AZ1601" s="23"/>
      <c r="BA1601" s="23"/>
      <c r="BB1601" s="23"/>
      <c r="BC1601" s="16"/>
      <c r="BD1601" s="23"/>
      <c r="BE1601" s="23"/>
      <c r="BF1601" s="23"/>
      <c r="BG1601" s="16"/>
      <c r="BH1601" s="23"/>
      <c r="BI1601" s="23"/>
      <c r="BJ1601" s="23"/>
      <c r="BN1601" s="23"/>
      <c r="BO1601" s="23"/>
      <c r="BP1601" s="16"/>
      <c r="BQ1601" s="16"/>
      <c r="BR1601" s="23"/>
      <c r="BS1601" s="16"/>
      <c r="BT1601" s="16"/>
      <c r="BU1601" s="16"/>
      <c r="BV1601" s="16"/>
      <c r="BW1601" s="16"/>
      <c r="BX1601" s="16"/>
      <c r="BY1601" s="16"/>
    </row>
    <row r="1602">
      <c r="A1602" s="16"/>
      <c r="B1602" s="16"/>
      <c r="C1602" s="22"/>
      <c r="D1602" s="16"/>
      <c r="E1602" s="16"/>
      <c r="F1602" s="16"/>
      <c r="G1602" s="16"/>
      <c r="H1602" s="16"/>
      <c r="I1602" s="23"/>
      <c r="J1602" s="23"/>
      <c r="K1602" s="16"/>
      <c r="L1602" s="23"/>
      <c r="M1602" s="23"/>
      <c r="N1602" s="23"/>
      <c r="O1602" s="16"/>
      <c r="P1602" s="23"/>
      <c r="Q1602" s="23"/>
      <c r="R1602" s="23"/>
      <c r="S1602" s="16"/>
      <c r="T1602" s="23"/>
      <c r="U1602" s="23"/>
      <c r="V1602" s="23"/>
      <c r="W1602" s="16"/>
      <c r="X1602" s="23"/>
      <c r="Y1602" s="23"/>
      <c r="Z1602" s="23"/>
      <c r="AA1602" s="16"/>
      <c r="AB1602" s="23"/>
      <c r="AC1602" s="23"/>
      <c r="AD1602" s="23"/>
      <c r="AE1602" s="16"/>
      <c r="AF1602" s="23"/>
      <c r="AG1602" s="23"/>
      <c r="AH1602" s="23"/>
      <c r="AI1602" s="16"/>
      <c r="AJ1602" s="23"/>
      <c r="AK1602" s="23"/>
      <c r="AL1602" s="23"/>
      <c r="AM1602" s="16"/>
      <c r="AN1602" s="23"/>
      <c r="AO1602" s="23"/>
      <c r="AP1602" s="23"/>
      <c r="AQ1602" s="16"/>
      <c r="AR1602" s="23"/>
      <c r="AS1602" s="23"/>
      <c r="AT1602" s="23"/>
      <c r="AU1602" s="16"/>
      <c r="AV1602" s="23"/>
      <c r="AW1602" s="23"/>
      <c r="AX1602" s="23"/>
      <c r="AY1602" s="16"/>
      <c r="AZ1602" s="23"/>
      <c r="BA1602" s="23"/>
      <c r="BB1602" s="23"/>
      <c r="BC1602" s="16"/>
      <c r="BD1602" s="23"/>
      <c r="BE1602" s="23"/>
      <c r="BF1602" s="23"/>
      <c r="BG1602" s="16"/>
      <c r="BH1602" s="23"/>
      <c r="BI1602" s="23"/>
      <c r="BJ1602" s="23"/>
      <c r="BN1602" s="23"/>
      <c r="BO1602" s="23"/>
      <c r="BP1602" s="16"/>
      <c r="BQ1602" s="16"/>
      <c r="BR1602" s="23"/>
      <c r="BS1602" s="16"/>
      <c r="BT1602" s="16"/>
      <c r="BU1602" s="16"/>
      <c r="BV1602" s="16"/>
      <c r="BW1602" s="16"/>
      <c r="BX1602" s="16"/>
      <c r="BY1602" s="16"/>
    </row>
    <row r="1603">
      <c r="A1603" s="16"/>
      <c r="B1603" s="16"/>
      <c r="C1603" s="22"/>
      <c r="D1603" s="16"/>
      <c r="E1603" s="16"/>
      <c r="F1603" s="16"/>
      <c r="G1603" s="16"/>
      <c r="H1603" s="16"/>
      <c r="I1603" s="23"/>
      <c r="J1603" s="23"/>
      <c r="K1603" s="16"/>
      <c r="L1603" s="23"/>
      <c r="M1603" s="23"/>
      <c r="N1603" s="23"/>
      <c r="O1603" s="16"/>
      <c r="P1603" s="23"/>
      <c r="Q1603" s="23"/>
      <c r="R1603" s="23"/>
      <c r="S1603" s="16"/>
      <c r="T1603" s="23"/>
      <c r="U1603" s="23"/>
      <c r="V1603" s="23"/>
      <c r="W1603" s="16"/>
      <c r="X1603" s="23"/>
      <c r="Y1603" s="23"/>
      <c r="Z1603" s="23"/>
      <c r="AA1603" s="16"/>
      <c r="AB1603" s="23"/>
      <c r="AC1603" s="23"/>
      <c r="AD1603" s="23"/>
      <c r="AE1603" s="16"/>
      <c r="AF1603" s="23"/>
      <c r="AG1603" s="23"/>
      <c r="AH1603" s="23"/>
      <c r="AI1603" s="16"/>
      <c r="AJ1603" s="23"/>
      <c r="AK1603" s="23"/>
      <c r="AL1603" s="23"/>
      <c r="AM1603" s="16"/>
      <c r="AN1603" s="23"/>
      <c r="AO1603" s="23"/>
      <c r="AP1603" s="23"/>
      <c r="AQ1603" s="16"/>
      <c r="AR1603" s="23"/>
      <c r="AS1603" s="23"/>
      <c r="AT1603" s="23"/>
      <c r="AU1603" s="16"/>
      <c r="AV1603" s="23"/>
      <c r="AW1603" s="23"/>
      <c r="AX1603" s="23"/>
      <c r="AY1603" s="16"/>
      <c r="AZ1603" s="23"/>
      <c r="BA1603" s="23"/>
      <c r="BB1603" s="23"/>
      <c r="BC1603" s="16"/>
      <c r="BD1603" s="23"/>
      <c r="BE1603" s="23"/>
      <c r="BF1603" s="23"/>
      <c r="BG1603" s="16"/>
      <c r="BH1603" s="23"/>
      <c r="BI1603" s="23"/>
      <c r="BJ1603" s="23"/>
      <c r="BN1603" s="23"/>
      <c r="BO1603" s="23"/>
      <c r="BP1603" s="16"/>
      <c r="BQ1603" s="16"/>
      <c r="BR1603" s="23"/>
      <c r="BS1603" s="16"/>
      <c r="BT1603" s="16"/>
      <c r="BU1603" s="16"/>
      <c r="BV1603" s="16"/>
      <c r="BW1603" s="16"/>
      <c r="BX1603" s="16"/>
      <c r="BY1603" s="16"/>
    </row>
    <row r="1604">
      <c r="A1604" s="16"/>
      <c r="B1604" s="16"/>
      <c r="C1604" s="22"/>
      <c r="D1604" s="16"/>
      <c r="E1604" s="16"/>
      <c r="F1604" s="16"/>
      <c r="G1604" s="16"/>
      <c r="H1604" s="16"/>
      <c r="I1604" s="23"/>
      <c r="J1604" s="23"/>
      <c r="K1604" s="16"/>
      <c r="L1604" s="23"/>
      <c r="M1604" s="23"/>
      <c r="N1604" s="23"/>
      <c r="O1604" s="16"/>
      <c r="P1604" s="23"/>
      <c r="Q1604" s="23"/>
      <c r="R1604" s="23"/>
      <c r="S1604" s="16"/>
      <c r="T1604" s="23"/>
      <c r="U1604" s="23"/>
      <c r="V1604" s="23"/>
      <c r="W1604" s="16"/>
      <c r="X1604" s="23"/>
      <c r="Y1604" s="23"/>
      <c r="Z1604" s="23"/>
      <c r="AA1604" s="16"/>
      <c r="AB1604" s="23"/>
      <c r="AC1604" s="23"/>
      <c r="AD1604" s="23"/>
      <c r="AE1604" s="16"/>
      <c r="AF1604" s="23"/>
      <c r="AG1604" s="23"/>
      <c r="AH1604" s="23"/>
      <c r="AI1604" s="16"/>
      <c r="AJ1604" s="23"/>
      <c r="AK1604" s="23"/>
      <c r="AL1604" s="23"/>
      <c r="AM1604" s="16"/>
      <c r="AN1604" s="23"/>
      <c r="AO1604" s="23"/>
      <c r="AP1604" s="23"/>
      <c r="AQ1604" s="16"/>
      <c r="AR1604" s="23"/>
      <c r="AS1604" s="23"/>
      <c r="AT1604" s="23"/>
      <c r="AU1604" s="16"/>
      <c r="AV1604" s="23"/>
      <c r="AW1604" s="23"/>
      <c r="AX1604" s="23"/>
      <c r="AY1604" s="16"/>
      <c r="AZ1604" s="23"/>
      <c r="BA1604" s="23"/>
      <c r="BB1604" s="23"/>
      <c r="BC1604" s="16"/>
      <c r="BD1604" s="23"/>
      <c r="BE1604" s="23"/>
      <c r="BF1604" s="23"/>
      <c r="BG1604" s="16"/>
      <c r="BH1604" s="23"/>
      <c r="BI1604" s="23"/>
      <c r="BJ1604" s="23"/>
      <c r="BN1604" s="23"/>
      <c r="BO1604" s="23"/>
      <c r="BP1604" s="16"/>
      <c r="BQ1604" s="16"/>
      <c r="BR1604" s="23"/>
      <c r="BS1604" s="16"/>
      <c r="BT1604" s="16"/>
      <c r="BU1604" s="16"/>
      <c r="BV1604" s="16"/>
      <c r="BW1604" s="16"/>
      <c r="BX1604" s="16"/>
      <c r="BY1604" s="16"/>
    </row>
    <row r="1605">
      <c r="A1605" s="16"/>
      <c r="B1605" s="16"/>
      <c r="C1605" s="22"/>
      <c r="D1605" s="16"/>
      <c r="E1605" s="16"/>
      <c r="F1605" s="16"/>
      <c r="G1605" s="16"/>
      <c r="H1605" s="16"/>
      <c r="I1605" s="23"/>
      <c r="J1605" s="23"/>
      <c r="K1605" s="16"/>
      <c r="L1605" s="23"/>
      <c r="M1605" s="23"/>
      <c r="N1605" s="23"/>
      <c r="O1605" s="16"/>
      <c r="P1605" s="23"/>
      <c r="Q1605" s="23"/>
      <c r="R1605" s="23"/>
      <c r="S1605" s="16"/>
      <c r="T1605" s="23"/>
      <c r="U1605" s="23"/>
      <c r="V1605" s="23"/>
      <c r="W1605" s="16"/>
      <c r="X1605" s="23"/>
      <c r="Y1605" s="23"/>
      <c r="Z1605" s="23"/>
      <c r="AA1605" s="16"/>
      <c r="AB1605" s="23"/>
      <c r="AC1605" s="23"/>
      <c r="AD1605" s="23"/>
      <c r="AE1605" s="16"/>
      <c r="AF1605" s="23"/>
      <c r="AG1605" s="23"/>
      <c r="AH1605" s="23"/>
      <c r="AI1605" s="16"/>
      <c r="AJ1605" s="23"/>
      <c r="AK1605" s="23"/>
      <c r="AL1605" s="23"/>
      <c r="AM1605" s="16"/>
      <c r="AN1605" s="23"/>
      <c r="AO1605" s="23"/>
      <c r="AP1605" s="23"/>
      <c r="AQ1605" s="16"/>
      <c r="AR1605" s="23"/>
      <c r="AS1605" s="23"/>
      <c r="AT1605" s="23"/>
      <c r="AU1605" s="16"/>
      <c r="AV1605" s="23"/>
      <c r="AW1605" s="23"/>
      <c r="AX1605" s="23"/>
      <c r="AY1605" s="16"/>
      <c r="AZ1605" s="23"/>
      <c r="BA1605" s="23"/>
      <c r="BB1605" s="23"/>
      <c r="BC1605" s="16"/>
      <c r="BD1605" s="23"/>
      <c r="BE1605" s="23"/>
      <c r="BF1605" s="23"/>
      <c r="BG1605" s="16"/>
      <c r="BH1605" s="23"/>
      <c r="BI1605" s="23"/>
      <c r="BJ1605" s="23"/>
      <c r="BN1605" s="23"/>
      <c r="BO1605" s="23"/>
      <c r="BP1605" s="16"/>
      <c r="BQ1605" s="16"/>
      <c r="BR1605" s="23"/>
      <c r="BS1605" s="16"/>
      <c r="BT1605" s="16"/>
      <c r="BU1605" s="16"/>
      <c r="BV1605" s="16"/>
      <c r="BW1605" s="16"/>
      <c r="BX1605" s="16"/>
      <c r="BY1605" s="16"/>
    </row>
    <row r="1606">
      <c r="A1606" s="16"/>
      <c r="B1606" s="16"/>
      <c r="C1606" s="22"/>
      <c r="D1606" s="16"/>
      <c r="E1606" s="16"/>
      <c r="F1606" s="16"/>
      <c r="G1606" s="16"/>
      <c r="H1606" s="16"/>
      <c r="I1606" s="23"/>
      <c r="J1606" s="23"/>
      <c r="K1606" s="16"/>
      <c r="L1606" s="23"/>
      <c r="M1606" s="23"/>
      <c r="N1606" s="23"/>
      <c r="O1606" s="16"/>
      <c r="P1606" s="23"/>
      <c r="Q1606" s="23"/>
      <c r="R1606" s="23"/>
      <c r="S1606" s="16"/>
      <c r="T1606" s="23"/>
      <c r="U1606" s="23"/>
      <c r="V1606" s="23"/>
      <c r="W1606" s="16"/>
      <c r="X1606" s="23"/>
      <c r="Y1606" s="23"/>
      <c r="Z1606" s="23"/>
      <c r="AA1606" s="16"/>
      <c r="AB1606" s="23"/>
      <c r="AC1606" s="23"/>
      <c r="AD1606" s="23"/>
      <c r="AE1606" s="16"/>
      <c r="AF1606" s="23"/>
      <c r="AG1606" s="23"/>
      <c r="AH1606" s="23"/>
      <c r="AI1606" s="16"/>
      <c r="AJ1606" s="23"/>
      <c r="AK1606" s="23"/>
      <c r="AL1606" s="23"/>
      <c r="AM1606" s="16"/>
      <c r="AN1606" s="23"/>
      <c r="AO1606" s="23"/>
      <c r="AP1606" s="23"/>
      <c r="AQ1606" s="16"/>
      <c r="AR1606" s="23"/>
      <c r="AS1606" s="23"/>
      <c r="AT1606" s="23"/>
      <c r="AU1606" s="16"/>
      <c r="AV1606" s="23"/>
      <c r="AW1606" s="23"/>
      <c r="AX1606" s="23"/>
      <c r="AY1606" s="16"/>
      <c r="AZ1606" s="23"/>
      <c r="BA1606" s="23"/>
      <c r="BB1606" s="23"/>
      <c r="BC1606" s="16"/>
      <c r="BD1606" s="23"/>
      <c r="BE1606" s="23"/>
      <c r="BF1606" s="23"/>
      <c r="BG1606" s="16"/>
      <c r="BH1606" s="23"/>
      <c r="BI1606" s="23"/>
      <c r="BJ1606" s="23"/>
      <c r="BN1606" s="23"/>
      <c r="BO1606" s="23"/>
      <c r="BP1606" s="16"/>
      <c r="BQ1606" s="16"/>
      <c r="BR1606" s="23"/>
      <c r="BS1606" s="16"/>
      <c r="BT1606" s="16"/>
      <c r="BU1606" s="16"/>
      <c r="BV1606" s="16"/>
      <c r="BW1606" s="16"/>
      <c r="BX1606" s="16"/>
      <c r="BY1606" s="16"/>
    </row>
    <row r="1607">
      <c r="A1607" s="16"/>
      <c r="B1607" s="16"/>
      <c r="C1607" s="22"/>
      <c r="D1607" s="16"/>
      <c r="E1607" s="16"/>
      <c r="F1607" s="16"/>
      <c r="G1607" s="16"/>
      <c r="H1607" s="16"/>
      <c r="I1607" s="23"/>
      <c r="J1607" s="23"/>
      <c r="K1607" s="16"/>
      <c r="L1607" s="23"/>
      <c r="M1607" s="23"/>
      <c r="N1607" s="23"/>
      <c r="O1607" s="16"/>
      <c r="P1607" s="23"/>
      <c r="Q1607" s="23"/>
      <c r="R1607" s="23"/>
      <c r="S1607" s="16"/>
      <c r="T1607" s="23"/>
      <c r="U1607" s="23"/>
      <c r="V1607" s="23"/>
      <c r="W1607" s="16"/>
      <c r="X1607" s="23"/>
      <c r="Y1607" s="23"/>
      <c r="Z1607" s="23"/>
      <c r="AA1607" s="16"/>
      <c r="AB1607" s="23"/>
      <c r="AC1607" s="23"/>
      <c r="AD1607" s="23"/>
      <c r="AE1607" s="16"/>
      <c r="AF1607" s="23"/>
      <c r="AG1607" s="23"/>
      <c r="AH1607" s="23"/>
      <c r="AI1607" s="16"/>
      <c r="AJ1607" s="23"/>
      <c r="AK1607" s="23"/>
      <c r="AL1607" s="23"/>
      <c r="AM1607" s="16"/>
      <c r="AN1607" s="23"/>
      <c r="AO1607" s="23"/>
      <c r="AP1607" s="23"/>
      <c r="AQ1607" s="16"/>
      <c r="AR1607" s="23"/>
      <c r="AS1607" s="23"/>
      <c r="AT1607" s="23"/>
      <c r="AU1607" s="16"/>
      <c r="AV1607" s="23"/>
      <c r="AW1607" s="23"/>
      <c r="AX1607" s="23"/>
      <c r="AY1607" s="16"/>
      <c r="AZ1607" s="23"/>
      <c r="BA1607" s="23"/>
      <c r="BB1607" s="23"/>
      <c r="BC1607" s="16"/>
      <c r="BD1607" s="23"/>
      <c r="BE1607" s="23"/>
      <c r="BF1607" s="23"/>
      <c r="BG1607" s="16"/>
      <c r="BH1607" s="23"/>
      <c r="BI1607" s="23"/>
      <c r="BJ1607" s="23"/>
      <c r="BN1607" s="23"/>
      <c r="BO1607" s="23"/>
      <c r="BP1607" s="16"/>
      <c r="BQ1607" s="16"/>
      <c r="BR1607" s="23"/>
      <c r="BS1607" s="16"/>
      <c r="BT1607" s="16"/>
      <c r="BU1607" s="16"/>
      <c r="BV1607" s="16"/>
      <c r="BW1607" s="16"/>
      <c r="BX1607" s="16"/>
      <c r="BY1607" s="16"/>
    </row>
    <row r="1608">
      <c r="A1608" s="16"/>
      <c r="B1608" s="16"/>
      <c r="C1608" s="22"/>
      <c r="D1608" s="16"/>
      <c r="E1608" s="16"/>
      <c r="F1608" s="16"/>
      <c r="G1608" s="16"/>
      <c r="H1608" s="16"/>
      <c r="I1608" s="23"/>
      <c r="J1608" s="23"/>
      <c r="K1608" s="16"/>
      <c r="L1608" s="23"/>
      <c r="M1608" s="23"/>
      <c r="N1608" s="23"/>
      <c r="O1608" s="16"/>
      <c r="P1608" s="23"/>
      <c r="Q1608" s="23"/>
      <c r="R1608" s="23"/>
      <c r="S1608" s="16"/>
      <c r="T1608" s="23"/>
      <c r="U1608" s="23"/>
      <c r="V1608" s="23"/>
      <c r="W1608" s="16"/>
      <c r="X1608" s="23"/>
      <c r="Y1608" s="23"/>
      <c r="Z1608" s="23"/>
      <c r="AA1608" s="16"/>
      <c r="AB1608" s="23"/>
      <c r="AC1608" s="23"/>
      <c r="AD1608" s="23"/>
      <c r="AE1608" s="16"/>
      <c r="AF1608" s="23"/>
      <c r="AG1608" s="23"/>
      <c r="AH1608" s="23"/>
      <c r="AI1608" s="16"/>
      <c r="AJ1608" s="23"/>
      <c r="AK1608" s="23"/>
      <c r="AL1608" s="23"/>
      <c r="AM1608" s="16"/>
      <c r="AN1608" s="23"/>
      <c r="AO1608" s="23"/>
      <c r="AP1608" s="23"/>
      <c r="AQ1608" s="16"/>
      <c r="AR1608" s="23"/>
      <c r="AS1608" s="23"/>
      <c r="AT1608" s="23"/>
      <c r="AU1608" s="16"/>
      <c r="AV1608" s="23"/>
      <c r="AW1608" s="23"/>
      <c r="AX1608" s="23"/>
      <c r="AY1608" s="16"/>
      <c r="AZ1608" s="23"/>
      <c r="BA1608" s="23"/>
      <c r="BB1608" s="23"/>
      <c r="BC1608" s="16"/>
      <c r="BD1608" s="23"/>
      <c r="BE1608" s="23"/>
      <c r="BF1608" s="23"/>
      <c r="BG1608" s="16"/>
      <c r="BH1608" s="23"/>
      <c r="BI1608" s="23"/>
      <c r="BJ1608" s="23"/>
      <c r="BN1608" s="23"/>
      <c r="BO1608" s="23"/>
      <c r="BP1608" s="16"/>
      <c r="BQ1608" s="16"/>
      <c r="BR1608" s="23"/>
      <c r="BS1608" s="16"/>
      <c r="BT1608" s="16"/>
      <c r="BU1608" s="16"/>
      <c r="BV1608" s="16"/>
      <c r="BW1608" s="16"/>
      <c r="BX1608" s="16"/>
      <c r="BY1608" s="16"/>
    </row>
    <row r="1609">
      <c r="A1609" s="16"/>
      <c r="B1609" s="16"/>
      <c r="C1609" s="22"/>
      <c r="D1609" s="16"/>
      <c r="E1609" s="16"/>
      <c r="F1609" s="16"/>
      <c r="G1609" s="16"/>
      <c r="H1609" s="16"/>
      <c r="I1609" s="23"/>
      <c r="J1609" s="23"/>
      <c r="K1609" s="16"/>
      <c r="L1609" s="23"/>
      <c r="M1609" s="23"/>
      <c r="N1609" s="23"/>
      <c r="O1609" s="16"/>
      <c r="P1609" s="23"/>
      <c r="Q1609" s="23"/>
      <c r="R1609" s="23"/>
      <c r="S1609" s="16"/>
      <c r="T1609" s="23"/>
      <c r="U1609" s="23"/>
      <c r="V1609" s="23"/>
      <c r="W1609" s="16"/>
      <c r="X1609" s="23"/>
      <c r="Y1609" s="23"/>
      <c r="Z1609" s="23"/>
      <c r="AA1609" s="16"/>
      <c r="AB1609" s="23"/>
      <c r="AC1609" s="23"/>
      <c r="AD1609" s="23"/>
      <c r="AE1609" s="16"/>
      <c r="AF1609" s="23"/>
      <c r="AG1609" s="23"/>
      <c r="AH1609" s="23"/>
      <c r="AI1609" s="16"/>
      <c r="AJ1609" s="23"/>
      <c r="AK1609" s="23"/>
      <c r="AL1609" s="23"/>
      <c r="AM1609" s="16"/>
      <c r="AN1609" s="23"/>
      <c r="AO1609" s="23"/>
      <c r="AP1609" s="23"/>
      <c r="AQ1609" s="16"/>
      <c r="AR1609" s="23"/>
      <c r="AS1609" s="23"/>
      <c r="AT1609" s="23"/>
      <c r="AU1609" s="16"/>
      <c r="AV1609" s="23"/>
      <c r="AW1609" s="23"/>
      <c r="AX1609" s="23"/>
      <c r="AY1609" s="16"/>
      <c r="AZ1609" s="23"/>
      <c r="BA1609" s="23"/>
      <c r="BB1609" s="23"/>
      <c r="BC1609" s="16"/>
      <c r="BD1609" s="23"/>
      <c r="BE1609" s="23"/>
      <c r="BF1609" s="23"/>
      <c r="BG1609" s="16"/>
      <c r="BH1609" s="23"/>
      <c r="BI1609" s="23"/>
      <c r="BJ1609" s="23"/>
      <c r="BN1609" s="23"/>
      <c r="BO1609" s="23"/>
      <c r="BP1609" s="16"/>
      <c r="BQ1609" s="16"/>
      <c r="BR1609" s="23"/>
      <c r="BS1609" s="16"/>
      <c r="BT1609" s="16"/>
      <c r="BU1609" s="16"/>
      <c r="BV1609" s="16"/>
      <c r="BW1609" s="16"/>
      <c r="BX1609" s="16"/>
      <c r="BY1609" s="16"/>
    </row>
    <row r="1610">
      <c r="A1610" s="16"/>
      <c r="B1610" s="16"/>
      <c r="C1610" s="22"/>
      <c r="D1610" s="16"/>
      <c r="E1610" s="16"/>
      <c r="F1610" s="16"/>
      <c r="G1610" s="16"/>
      <c r="H1610" s="16"/>
      <c r="I1610" s="23"/>
      <c r="J1610" s="23"/>
      <c r="K1610" s="16"/>
      <c r="L1610" s="23"/>
      <c r="M1610" s="23"/>
      <c r="N1610" s="23"/>
      <c r="O1610" s="16"/>
      <c r="P1610" s="23"/>
      <c r="Q1610" s="23"/>
      <c r="R1610" s="23"/>
      <c r="S1610" s="16"/>
      <c r="T1610" s="23"/>
      <c r="U1610" s="23"/>
      <c r="V1610" s="23"/>
      <c r="W1610" s="16"/>
      <c r="X1610" s="23"/>
      <c r="Y1610" s="23"/>
      <c r="Z1610" s="23"/>
      <c r="AA1610" s="16"/>
      <c r="AB1610" s="23"/>
      <c r="AC1610" s="23"/>
      <c r="AD1610" s="23"/>
      <c r="AE1610" s="16"/>
      <c r="AF1610" s="23"/>
      <c r="AG1610" s="23"/>
      <c r="AH1610" s="23"/>
      <c r="AI1610" s="16"/>
      <c r="AJ1610" s="23"/>
      <c r="AK1610" s="23"/>
      <c r="AL1610" s="23"/>
      <c r="AM1610" s="16"/>
      <c r="AN1610" s="23"/>
      <c r="AO1610" s="23"/>
      <c r="AP1610" s="23"/>
      <c r="AQ1610" s="16"/>
      <c r="AR1610" s="23"/>
      <c r="AS1610" s="23"/>
      <c r="AT1610" s="23"/>
      <c r="AU1610" s="16"/>
      <c r="AV1610" s="23"/>
      <c r="AW1610" s="23"/>
      <c r="AX1610" s="23"/>
      <c r="AY1610" s="16"/>
      <c r="AZ1610" s="23"/>
      <c r="BA1610" s="23"/>
      <c r="BB1610" s="23"/>
      <c r="BC1610" s="16"/>
      <c r="BD1610" s="23"/>
      <c r="BE1610" s="23"/>
      <c r="BF1610" s="23"/>
      <c r="BG1610" s="16"/>
      <c r="BH1610" s="23"/>
      <c r="BI1610" s="23"/>
      <c r="BJ1610" s="23"/>
      <c r="BN1610" s="23"/>
      <c r="BO1610" s="23"/>
      <c r="BP1610" s="16"/>
      <c r="BQ1610" s="16"/>
      <c r="BR1610" s="23"/>
      <c r="BS1610" s="16"/>
      <c r="BT1610" s="16"/>
      <c r="BU1610" s="16"/>
      <c r="BV1610" s="16"/>
      <c r="BW1610" s="16"/>
      <c r="BX1610" s="16"/>
      <c r="BY1610" s="16"/>
    </row>
    <row r="1611">
      <c r="A1611" s="16"/>
      <c r="B1611" s="16"/>
      <c r="C1611" s="22"/>
      <c r="D1611" s="16"/>
      <c r="E1611" s="16"/>
      <c r="F1611" s="16"/>
      <c r="G1611" s="16"/>
      <c r="H1611" s="16"/>
      <c r="I1611" s="23"/>
      <c r="J1611" s="23"/>
      <c r="K1611" s="16"/>
      <c r="L1611" s="23"/>
      <c r="M1611" s="23"/>
      <c r="N1611" s="23"/>
      <c r="O1611" s="16"/>
      <c r="P1611" s="23"/>
      <c r="Q1611" s="23"/>
      <c r="R1611" s="23"/>
      <c r="S1611" s="16"/>
      <c r="T1611" s="23"/>
      <c r="U1611" s="23"/>
      <c r="V1611" s="23"/>
      <c r="W1611" s="16"/>
      <c r="X1611" s="23"/>
      <c r="Y1611" s="23"/>
      <c r="Z1611" s="23"/>
      <c r="AA1611" s="16"/>
      <c r="AB1611" s="23"/>
      <c r="AC1611" s="23"/>
      <c r="AD1611" s="23"/>
      <c r="AE1611" s="16"/>
      <c r="AF1611" s="23"/>
      <c r="AG1611" s="23"/>
      <c r="AH1611" s="23"/>
      <c r="AI1611" s="16"/>
      <c r="AJ1611" s="23"/>
      <c r="AK1611" s="23"/>
      <c r="AL1611" s="23"/>
      <c r="AM1611" s="16"/>
      <c r="AN1611" s="23"/>
      <c r="AO1611" s="23"/>
      <c r="AP1611" s="23"/>
      <c r="AQ1611" s="16"/>
      <c r="AR1611" s="23"/>
      <c r="AS1611" s="23"/>
      <c r="AT1611" s="23"/>
      <c r="AU1611" s="16"/>
      <c r="AV1611" s="23"/>
      <c r="AW1611" s="23"/>
      <c r="AX1611" s="23"/>
      <c r="AY1611" s="16"/>
      <c r="AZ1611" s="23"/>
      <c r="BA1611" s="23"/>
      <c r="BB1611" s="23"/>
      <c r="BC1611" s="16"/>
      <c r="BD1611" s="23"/>
      <c r="BE1611" s="23"/>
      <c r="BF1611" s="23"/>
      <c r="BG1611" s="16"/>
      <c r="BH1611" s="23"/>
      <c r="BI1611" s="23"/>
      <c r="BJ1611" s="23"/>
      <c r="BN1611" s="23"/>
      <c r="BO1611" s="23"/>
      <c r="BP1611" s="16"/>
      <c r="BQ1611" s="16"/>
      <c r="BR1611" s="23"/>
      <c r="BS1611" s="16"/>
      <c r="BT1611" s="16"/>
      <c r="BU1611" s="16"/>
      <c r="BV1611" s="16"/>
      <c r="BW1611" s="16"/>
      <c r="BX1611" s="16"/>
      <c r="BY1611" s="16"/>
    </row>
    <row r="1612">
      <c r="A1612" s="16"/>
      <c r="B1612" s="16"/>
      <c r="C1612" s="22"/>
      <c r="D1612" s="16"/>
      <c r="E1612" s="16"/>
      <c r="F1612" s="16"/>
      <c r="G1612" s="16"/>
      <c r="H1612" s="16"/>
      <c r="I1612" s="23"/>
      <c r="J1612" s="23"/>
      <c r="K1612" s="16"/>
      <c r="L1612" s="23"/>
      <c r="M1612" s="23"/>
      <c r="N1612" s="23"/>
      <c r="O1612" s="16"/>
      <c r="P1612" s="23"/>
      <c r="Q1612" s="23"/>
      <c r="R1612" s="23"/>
      <c r="S1612" s="16"/>
      <c r="T1612" s="23"/>
      <c r="U1612" s="23"/>
      <c r="V1612" s="23"/>
      <c r="W1612" s="16"/>
      <c r="X1612" s="23"/>
      <c r="Y1612" s="23"/>
      <c r="Z1612" s="23"/>
      <c r="AA1612" s="16"/>
      <c r="AB1612" s="23"/>
      <c r="AC1612" s="23"/>
      <c r="AD1612" s="23"/>
      <c r="AE1612" s="16"/>
      <c r="AF1612" s="23"/>
      <c r="AG1612" s="23"/>
      <c r="AH1612" s="23"/>
      <c r="AI1612" s="16"/>
      <c r="AJ1612" s="23"/>
      <c r="AK1612" s="23"/>
      <c r="AL1612" s="23"/>
      <c r="AM1612" s="16"/>
      <c r="AN1612" s="23"/>
      <c r="AO1612" s="23"/>
      <c r="AP1612" s="23"/>
      <c r="AQ1612" s="16"/>
      <c r="AR1612" s="23"/>
      <c r="AS1612" s="23"/>
      <c r="AT1612" s="23"/>
      <c r="AU1612" s="16"/>
      <c r="AV1612" s="23"/>
      <c r="AW1612" s="23"/>
      <c r="AX1612" s="23"/>
      <c r="AY1612" s="16"/>
      <c r="AZ1612" s="23"/>
      <c r="BA1612" s="23"/>
      <c r="BB1612" s="23"/>
      <c r="BC1612" s="16"/>
      <c r="BD1612" s="23"/>
      <c r="BE1612" s="23"/>
      <c r="BF1612" s="23"/>
      <c r="BG1612" s="16"/>
      <c r="BH1612" s="23"/>
      <c r="BI1612" s="23"/>
      <c r="BJ1612" s="23"/>
      <c r="BN1612" s="23"/>
      <c r="BO1612" s="23"/>
      <c r="BP1612" s="16"/>
      <c r="BQ1612" s="16"/>
      <c r="BR1612" s="23"/>
      <c r="BS1612" s="16"/>
      <c r="BT1612" s="16"/>
      <c r="BU1612" s="16"/>
      <c r="BV1612" s="16"/>
      <c r="BW1612" s="16"/>
      <c r="BX1612" s="16"/>
      <c r="BY1612" s="16"/>
    </row>
    <row r="1613">
      <c r="A1613" s="16"/>
      <c r="B1613" s="16"/>
      <c r="C1613" s="22"/>
      <c r="D1613" s="16"/>
      <c r="E1613" s="16"/>
      <c r="F1613" s="16"/>
      <c r="G1613" s="16"/>
      <c r="H1613" s="16"/>
      <c r="I1613" s="23"/>
      <c r="J1613" s="23"/>
      <c r="K1613" s="16"/>
      <c r="L1613" s="23"/>
      <c r="M1613" s="23"/>
      <c r="N1613" s="23"/>
      <c r="O1613" s="16"/>
      <c r="P1613" s="23"/>
      <c r="Q1613" s="23"/>
      <c r="R1613" s="23"/>
      <c r="S1613" s="16"/>
      <c r="T1613" s="23"/>
      <c r="U1613" s="23"/>
      <c r="V1613" s="23"/>
      <c r="W1613" s="16"/>
      <c r="X1613" s="23"/>
      <c r="Y1613" s="23"/>
      <c r="Z1613" s="23"/>
      <c r="AA1613" s="16"/>
      <c r="AB1613" s="23"/>
      <c r="AC1613" s="23"/>
      <c r="AD1613" s="23"/>
      <c r="AE1613" s="16"/>
      <c r="AF1613" s="23"/>
      <c r="AG1613" s="23"/>
      <c r="AH1613" s="23"/>
      <c r="AI1613" s="16"/>
      <c r="AJ1613" s="23"/>
      <c r="AK1613" s="23"/>
      <c r="AL1613" s="23"/>
      <c r="AM1613" s="16"/>
      <c r="AN1613" s="23"/>
      <c r="AO1613" s="23"/>
      <c r="AP1613" s="23"/>
      <c r="AQ1613" s="16"/>
      <c r="AR1613" s="23"/>
      <c r="AS1613" s="23"/>
      <c r="AT1613" s="23"/>
      <c r="AU1613" s="16"/>
      <c r="AV1613" s="23"/>
      <c r="AW1613" s="23"/>
      <c r="AX1613" s="23"/>
      <c r="AY1613" s="16"/>
      <c r="AZ1613" s="23"/>
      <c r="BA1613" s="23"/>
      <c r="BB1613" s="23"/>
      <c r="BC1613" s="16"/>
      <c r="BD1613" s="23"/>
      <c r="BE1613" s="23"/>
      <c r="BF1613" s="23"/>
      <c r="BG1613" s="16"/>
      <c r="BH1613" s="23"/>
      <c r="BI1613" s="23"/>
      <c r="BJ1613" s="23"/>
      <c r="BN1613" s="23"/>
      <c r="BO1613" s="23"/>
      <c r="BP1613" s="16"/>
      <c r="BQ1613" s="16"/>
      <c r="BR1613" s="23"/>
      <c r="BS1613" s="16"/>
      <c r="BT1613" s="16"/>
      <c r="BU1613" s="16"/>
      <c r="BV1613" s="16"/>
      <c r="BW1613" s="16"/>
      <c r="BX1613" s="16"/>
      <c r="BY1613" s="16"/>
    </row>
    <row r="1614">
      <c r="A1614" s="16"/>
      <c r="B1614" s="16"/>
      <c r="C1614" s="22"/>
      <c r="D1614" s="16"/>
      <c r="E1614" s="16"/>
      <c r="F1614" s="16"/>
      <c r="G1614" s="16"/>
      <c r="H1614" s="16"/>
      <c r="I1614" s="23"/>
      <c r="J1614" s="23"/>
      <c r="K1614" s="16"/>
      <c r="L1614" s="23"/>
      <c r="M1614" s="23"/>
      <c r="N1614" s="23"/>
      <c r="O1614" s="16"/>
      <c r="P1614" s="23"/>
      <c r="Q1614" s="23"/>
      <c r="R1614" s="23"/>
      <c r="S1614" s="16"/>
      <c r="T1614" s="23"/>
      <c r="U1614" s="23"/>
      <c r="V1614" s="23"/>
      <c r="W1614" s="16"/>
      <c r="X1614" s="23"/>
      <c r="Y1614" s="23"/>
      <c r="Z1614" s="23"/>
      <c r="AA1614" s="16"/>
      <c r="AB1614" s="23"/>
      <c r="AC1614" s="23"/>
      <c r="AD1614" s="23"/>
      <c r="AE1614" s="16"/>
      <c r="AF1614" s="23"/>
      <c r="AG1614" s="23"/>
      <c r="AH1614" s="23"/>
      <c r="AI1614" s="16"/>
      <c r="AJ1614" s="23"/>
      <c r="AK1614" s="23"/>
      <c r="AL1614" s="23"/>
      <c r="AM1614" s="16"/>
      <c r="AN1614" s="23"/>
      <c r="AO1614" s="23"/>
      <c r="AP1614" s="23"/>
      <c r="AQ1614" s="16"/>
      <c r="AR1614" s="23"/>
      <c r="AS1614" s="23"/>
      <c r="AT1614" s="23"/>
      <c r="AU1614" s="16"/>
      <c r="AV1614" s="23"/>
      <c r="AW1614" s="23"/>
      <c r="AX1614" s="23"/>
      <c r="AY1614" s="16"/>
      <c r="AZ1614" s="23"/>
      <c r="BA1614" s="23"/>
      <c r="BB1614" s="23"/>
      <c r="BC1614" s="16"/>
      <c r="BD1614" s="23"/>
      <c r="BE1614" s="23"/>
      <c r="BF1614" s="23"/>
      <c r="BG1614" s="16"/>
      <c r="BH1614" s="23"/>
      <c r="BI1614" s="23"/>
      <c r="BJ1614" s="23"/>
      <c r="BN1614" s="23"/>
      <c r="BO1614" s="23"/>
      <c r="BP1614" s="16"/>
      <c r="BQ1614" s="16"/>
      <c r="BR1614" s="23"/>
      <c r="BS1614" s="16"/>
      <c r="BT1614" s="16"/>
      <c r="BU1614" s="16"/>
      <c r="BV1614" s="16"/>
      <c r="BW1614" s="16"/>
      <c r="BX1614" s="16"/>
      <c r="BY1614" s="16"/>
    </row>
    <row r="1615">
      <c r="A1615" s="16"/>
      <c r="B1615" s="16"/>
      <c r="C1615" s="22"/>
      <c r="D1615" s="16"/>
      <c r="E1615" s="16"/>
      <c r="F1615" s="16"/>
      <c r="G1615" s="16"/>
      <c r="H1615" s="16"/>
      <c r="I1615" s="23"/>
      <c r="J1615" s="23"/>
      <c r="K1615" s="16"/>
      <c r="L1615" s="23"/>
      <c r="M1615" s="23"/>
      <c r="N1615" s="23"/>
      <c r="O1615" s="16"/>
      <c r="P1615" s="23"/>
      <c r="Q1615" s="23"/>
      <c r="R1615" s="23"/>
      <c r="S1615" s="16"/>
      <c r="T1615" s="23"/>
      <c r="U1615" s="23"/>
      <c r="V1615" s="23"/>
      <c r="W1615" s="16"/>
      <c r="X1615" s="23"/>
      <c r="Y1615" s="23"/>
      <c r="Z1615" s="23"/>
      <c r="AA1615" s="16"/>
      <c r="AB1615" s="23"/>
      <c r="AC1615" s="23"/>
      <c r="AD1615" s="23"/>
      <c r="AE1615" s="16"/>
      <c r="AF1615" s="23"/>
      <c r="AG1615" s="23"/>
      <c r="AH1615" s="23"/>
      <c r="AI1615" s="16"/>
      <c r="AJ1615" s="23"/>
      <c r="AK1615" s="23"/>
      <c r="AL1615" s="23"/>
      <c r="AM1615" s="16"/>
      <c r="AN1615" s="23"/>
      <c r="AO1615" s="23"/>
      <c r="AP1615" s="23"/>
      <c r="AQ1615" s="16"/>
      <c r="AR1615" s="23"/>
      <c r="AS1615" s="23"/>
      <c r="AT1615" s="23"/>
      <c r="AU1615" s="16"/>
      <c r="AV1615" s="23"/>
      <c r="AW1615" s="23"/>
      <c r="AX1615" s="23"/>
      <c r="AY1615" s="16"/>
      <c r="AZ1615" s="23"/>
      <c r="BA1615" s="23"/>
      <c r="BB1615" s="23"/>
      <c r="BC1615" s="16"/>
      <c r="BD1615" s="23"/>
      <c r="BE1615" s="23"/>
      <c r="BF1615" s="23"/>
      <c r="BG1615" s="16"/>
      <c r="BH1615" s="23"/>
      <c r="BI1615" s="23"/>
      <c r="BJ1615" s="23"/>
      <c r="BN1615" s="23"/>
      <c r="BO1615" s="23"/>
      <c r="BP1615" s="16"/>
      <c r="BQ1615" s="16"/>
      <c r="BR1615" s="23"/>
      <c r="BS1615" s="16"/>
      <c r="BT1615" s="16"/>
      <c r="BU1615" s="16"/>
      <c r="BV1615" s="16"/>
      <c r="BW1615" s="16"/>
      <c r="BX1615" s="16"/>
      <c r="BY1615" s="16"/>
    </row>
    <row r="1616">
      <c r="A1616" s="16"/>
      <c r="B1616" s="16"/>
      <c r="C1616" s="22"/>
      <c r="D1616" s="16"/>
      <c r="E1616" s="16"/>
      <c r="F1616" s="16"/>
      <c r="G1616" s="16"/>
      <c r="H1616" s="16"/>
      <c r="I1616" s="23"/>
      <c r="J1616" s="23"/>
      <c r="K1616" s="16"/>
      <c r="L1616" s="23"/>
      <c r="M1616" s="23"/>
      <c r="N1616" s="23"/>
      <c r="O1616" s="16"/>
      <c r="P1616" s="23"/>
      <c r="Q1616" s="23"/>
      <c r="R1616" s="23"/>
      <c r="S1616" s="16"/>
      <c r="T1616" s="23"/>
      <c r="U1616" s="23"/>
      <c r="V1616" s="23"/>
      <c r="W1616" s="16"/>
      <c r="X1616" s="23"/>
      <c r="Y1616" s="23"/>
      <c r="Z1616" s="23"/>
      <c r="AA1616" s="16"/>
      <c r="AB1616" s="23"/>
      <c r="AC1616" s="23"/>
      <c r="AD1616" s="23"/>
      <c r="AE1616" s="16"/>
      <c r="AF1616" s="23"/>
      <c r="AG1616" s="23"/>
      <c r="AH1616" s="23"/>
      <c r="AI1616" s="16"/>
      <c r="AJ1616" s="23"/>
      <c r="AK1616" s="23"/>
      <c r="AL1616" s="23"/>
      <c r="AM1616" s="16"/>
      <c r="AN1616" s="23"/>
      <c r="AO1616" s="23"/>
      <c r="AP1616" s="23"/>
      <c r="AQ1616" s="16"/>
      <c r="AR1616" s="23"/>
      <c r="AS1616" s="23"/>
      <c r="AT1616" s="23"/>
      <c r="AU1616" s="16"/>
      <c r="AV1616" s="23"/>
      <c r="AW1616" s="23"/>
      <c r="AX1616" s="23"/>
      <c r="AY1616" s="16"/>
      <c r="AZ1616" s="23"/>
      <c r="BA1616" s="23"/>
      <c r="BB1616" s="23"/>
      <c r="BC1616" s="16"/>
      <c r="BD1616" s="23"/>
      <c r="BE1616" s="23"/>
      <c r="BF1616" s="23"/>
      <c r="BG1616" s="16"/>
      <c r="BH1616" s="23"/>
      <c r="BI1616" s="23"/>
      <c r="BJ1616" s="23"/>
      <c r="BN1616" s="23"/>
      <c r="BO1616" s="23"/>
      <c r="BP1616" s="16"/>
      <c r="BQ1616" s="16"/>
      <c r="BR1616" s="23"/>
      <c r="BS1616" s="16"/>
      <c r="BT1616" s="16"/>
      <c r="BU1616" s="16"/>
      <c r="BV1616" s="16"/>
      <c r="BW1616" s="16"/>
      <c r="BX1616" s="16"/>
      <c r="BY1616" s="16"/>
    </row>
    <row r="1617">
      <c r="A1617" s="16"/>
      <c r="B1617" s="16"/>
      <c r="C1617" s="22"/>
      <c r="D1617" s="16"/>
      <c r="E1617" s="16"/>
      <c r="F1617" s="16"/>
      <c r="G1617" s="16"/>
      <c r="H1617" s="16"/>
      <c r="I1617" s="23"/>
      <c r="J1617" s="23"/>
      <c r="K1617" s="16"/>
      <c r="L1617" s="23"/>
      <c r="M1617" s="23"/>
      <c r="N1617" s="23"/>
      <c r="O1617" s="16"/>
      <c r="P1617" s="23"/>
      <c r="Q1617" s="23"/>
      <c r="R1617" s="23"/>
      <c r="S1617" s="16"/>
      <c r="T1617" s="23"/>
      <c r="U1617" s="23"/>
      <c r="V1617" s="23"/>
      <c r="W1617" s="16"/>
      <c r="X1617" s="23"/>
      <c r="Y1617" s="23"/>
      <c r="Z1617" s="23"/>
      <c r="AA1617" s="16"/>
      <c r="AB1617" s="23"/>
      <c r="AC1617" s="23"/>
      <c r="AD1617" s="23"/>
      <c r="AE1617" s="16"/>
      <c r="AF1617" s="23"/>
      <c r="AG1617" s="23"/>
      <c r="AH1617" s="23"/>
      <c r="AI1617" s="16"/>
      <c r="AJ1617" s="23"/>
      <c r="AK1617" s="23"/>
      <c r="AL1617" s="23"/>
      <c r="AM1617" s="16"/>
      <c r="AN1617" s="23"/>
      <c r="AO1617" s="23"/>
      <c r="AP1617" s="23"/>
      <c r="AQ1617" s="16"/>
      <c r="AR1617" s="23"/>
      <c r="AS1617" s="23"/>
      <c r="AT1617" s="23"/>
      <c r="AU1617" s="16"/>
      <c r="AV1617" s="23"/>
      <c r="AW1617" s="23"/>
      <c r="AX1617" s="23"/>
      <c r="AY1617" s="16"/>
      <c r="AZ1617" s="23"/>
      <c r="BA1617" s="23"/>
      <c r="BB1617" s="23"/>
      <c r="BC1617" s="16"/>
      <c r="BD1617" s="23"/>
      <c r="BE1617" s="23"/>
      <c r="BF1617" s="23"/>
      <c r="BG1617" s="16"/>
      <c r="BH1617" s="23"/>
      <c r="BI1617" s="23"/>
      <c r="BJ1617" s="23"/>
      <c r="BN1617" s="23"/>
      <c r="BO1617" s="23"/>
      <c r="BP1617" s="16"/>
      <c r="BQ1617" s="16"/>
      <c r="BR1617" s="23"/>
      <c r="BS1617" s="16"/>
      <c r="BT1617" s="16"/>
      <c r="BU1617" s="16"/>
      <c r="BV1617" s="16"/>
      <c r="BW1617" s="16"/>
      <c r="BX1617" s="16"/>
      <c r="BY1617" s="16"/>
    </row>
    <row r="1618">
      <c r="A1618" s="16"/>
      <c r="B1618" s="16"/>
      <c r="C1618" s="22"/>
      <c r="D1618" s="16"/>
      <c r="E1618" s="16"/>
      <c r="F1618" s="16"/>
      <c r="G1618" s="16"/>
      <c r="H1618" s="16"/>
      <c r="I1618" s="23"/>
      <c r="J1618" s="23"/>
      <c r="K1618" s="16"/>
      <c r="L1618" s="23"/>
      <c r="M1618" s="23"/>
      <c r="N1618" s="23"/>
      <c r="O1618" s="16"/>
      <c r="P1618" s="23"/>
      <c r="Q1618" s="23"/>
      <c r="R1618" s="23"/>
      <c r="S1618" s="16"/>
      <c r="T1618" s="23"/>
      <c r="U1618" s="23"/>
      <c r="V1618" s="23"/>
      <c r="W1618" s="16"/>
      <c r="X1618" s="23"/>
      <c r="Y1618" s="23"/>
      <c r="Z1618" s="23"/>
      <c r="AA1618" s="16"/>
      <c r="AB1618" s="23"/>
      <c r="AC1618" s="23"/>
      <c r="AD1618" s="23"/>
      <c r="AE1618" s="16"/>
      <c r="AF1618" s="23"/>
      <c r="AG1618" s="23"/>
      <c r="AH1618" s="23"/>
      <c r="AI1618" s="16"/>
      <c r="AJ1618" s="23"/>
      <c r="AK1618" s="23"/>
      <c r="AL1618" s="23"/>
      <c r="AM1618" s="16"/>
      <c r="AN1618" s="23"/>
      <c r="AO1618" s="23"/>
      <c r="AP1618" s="23"/>
      <c r="AQ1618" s="16"/>
      <c r="AR1618" s="23"/>
      <c r="AS1618" s="23"/>
      <c r="AT1618" s="23"/>
      <c r="AU1618" s="16"/>
      <c r="AV1618" s="23"/>
      <c r="AW1618" s="23"/>
      <c r="AX1618" s="23"/>
      <c r="AY1618" s="16"/>
      <c r="AZ1618" s="23"/>
      <c r="BA1618" s="23"/>
      <c r="BB1618" s="23"/>
      <c r="BC1618" s="16"/>
      <c r="BD1618" s="23"/>
      <c r="BE1618" s="23"/>
      <c r="BF1618" s="23"/>
      <c r="BG1618" s="16"/>
      <c r="BH1618" s="23"/>
      <c r="BI1618" s="23"/>
      <c r="BJ1618" s="23"/>
      <c r="BN1618" s="23"/>
      <c r="BO1618" s="23"/>
      <c r="BP1618" s="16"/>
      <c r="BQ1618" s="16"/>
      <c r="BR1618" s="23"/>
      <c r="BS1618" s="16"/>
      <c r="BT1618" s="16"/>
      <c r="BU1618" s="16"/>
      <c r="BV1618" s="16"/>
      <c r="BW1618" s="16"/>
      <c r="BX1618" s="16"/>
      <c r="BY1618" s="16"/>
    </row>
    <row r="1619">
      <c r="A1619" s="16"/>
      <c r="B1619" s="16"/>
      <c r="C1619" s="22"/>
      <c r="D1619" s="16"/>
      <c r="E1619" s="16"/>
      <c r="F1619" s="16"/>
      <c r="G1619" s="16"/>
      <c r="H1619" s="16"/>
      <c r="I1619" s="23"/>
      <c r="J1619" s="23"/>
      <c r="K1619" s="16"/>
      <c r="L1619" s="23"/>
      <c r="M1619" s="23"/>
      <c r="N1619" s="23"/>
      <c r="O1619" s="16"/>
      <c r="P1619" s="23"/>
      <c r="Q1619" s="23"/>
      <c r="R1619" s="23"/>
      <c r="S1619" s="16"/>
      <c r="T1619" s="23"/>
      <c r="U1619" s="23"/>
      <c r="V1619" s="23"/>
      <c r="W1619" s="16"/>
      <c r="X1619" s="23"/>
      <c r="Y1619" s="23"/>
      <c r="Z1619" s="23"/>
      <c r="AA1619" s="16"/>
      <c r="AB1619" s="23"/>
      <c r="AC1619" s="23"/>
      <c r="AD1619" s="23"/>
      <c r="AE1619" s="16"/>
      <c r="AF1619" s="23"/>
      <c r="AG1619" s="23"/>
      <c r="AH1619" s="23"/>
      <c r="AI1619" s="16"/>
      <c r="AJ1619" s="23"/>
      <c r="AK1619" s="23"/>
      <c r="AL1619" s="23"/>
      <c r="AM1619" s="16"/>
      <c r="AN1619" s="23"/>
      <c r="AO1619" s="23"/>
      <c r="AP1619" s="23"/>
      <c r="AQ1619" s="16"/>
      <c r="AR1619" s="23"/>
      <c r="AS1619" s="23"/>
      <c r="AT1619" s="23"/>
      <c r="AU1619" s="16"/>
      <c r="AV1619" s="23"/>
      <c r="AW1619" s="23"/>
      <c r="AX1619" s="23"/>
      <c r="AY1619" s="16"/>
      <c r="AZ1619" s="23"/>
      <c r="BA1619" s="23"/>
      <c r="BB1619" s="23"/>
      <c r="BC1619" s="16"/>
      <c r="BD1619" s="23"/>
      <c r="BE1619" s="23"/>
      <c r="BF1619" s="23"/>
      <c r="BG1619" s="16"/>
      <c r="BH1619" s="23"/>
      <c r="BI1619" s="23"/>
      <c r="BJ1619" s="23"/>
      <c r="BN1619" s="23"/>
      <c r="BO1619" s="23"/>
      <c r="BP1619" s="16"/>
      <c r="BQ1619" s="16"/>
      <c r="BR1619" s="23"/>
      <c r="BS1619" s="16"/>
      <c r="BT1619" s="16"/>
      <c r="BU1619" s="16"/>
      <c r="BV1619" s="16"/>
      <c r="BW1619" s="16"/>
      <c r="BX1619" s="16"/>
      <c r="BY1619" s="16"/>
    </row>
    <row r="1620">
      <c r="A1620" s="16"/>
      <c r="B1620" s="16"/>
      <c r="C1620" s="22"/>
      <c r="D1620" s="16"/>
      <c r="E1620" s="16"/>
      <c r="F1620" s="16"/>
      <c r="G1620" s="16"/>
      <c r="H1620" s="16"/>
      <c r="I1620" s="23"/>
      <c r="J1620" s="23"/>
      <c r="K1620" s="16"/>
      <c r="L1620" s="23"/>
      <c r="M1620" s="23"/>
      <c r="N1620" s="23"/>
      <c r="O1620" s="16"/>
      <c r="P1620" s="23"/>
      <c r="Q1620" s="23"/>
      <c r="R1620" s="23"/>
      <c r="S1620" s="16"/>
      <c r="T1620" s="23"/>
      <c r="U1620" s="23"/>
      <c r="V1620" s="23"/>
      <c r="W1620" s="16"/>
      <c r="X1620" s="23"/>
      <c r="Y1620" s="23"/>
      <c r="Z1620" s="23"/>
      <c r="AA1620" s="16"/>
      <c r="AB1620" s="23"/>
      <c r="AC1620" s="23"/>
      <c r="AD1620" s="23"/>
      <c r="AE1620" s="16"/>
      <c r="AF1620" s="23"/>
      <c r="AG1620" s="23"/>
      <c r="AH1620" s="23"/>
      <c r="AI1620" s="16"/>
      <c r="AJ1620" s="23"/>
      <c r="AK1620" s="23"/>
      <c r="AL1620" s="23"/>
      <c r="AM1620" s="16"/>
      <c r="AN1620" s="23"/>
      <c r="AO1620" s="23"/>
      <c r="AP1620" s="23"/>
      <c r="AQ1620" s="16"/>
      <c r="AR1620" s="23"/>
      <c r="AS1620" s="23"/>
      <c r="AT1620" s="23"/>
      <c r="AU1620" s="16"/>
      <c r="AV1620" s="23"/>
      <c r="AW1620" s="23"/>
      <c r="AX1620" s="23"/>
      <c r="AY1620" s="16"/>
      <c r="AZ1620" s="23"/>
      <c r="BA1620" s="23"/>
      <c r="BB1620" s="23"/>
      <c r="BC1620" s="16"/>
      <c r="BD1620" s="23"/>
      <c r="BE1620" s="23"/>
      <c r="BF1620" s="23"/>
      <c r="BG1620" s="16"/>
      <c r="BH1620" s="23"/>
      <c r="BI1620" s="23"/>
      <c r="BJ1620" s="23"/>
      <c r="BN1620" s="23"/>
      <c r="BO1620" s="23"/>
      <c r="BP1620" s="16"/>
      <c r="BQ1620" s="16"/>
      <c r="BR1620" s="23"/>
      <c r="BS1620" s="16"/>
      <c r="BT1620" s="16"/>
      <c r="BU1620" s="16"/>
      <c r="BV1620" s="16"/>
      <c r="BW1620" s="16"/>
      <c r="BX1620" s="16"/>
      <c r="BY1620" s="16"/>
    </row>
    <row r="1621">
      <c r="A1621" s="16"/>
      <c r="B1621" s="16"/>
      <c r="C1621" s="22"/>
      <c r="D1621" s="16"/>
      <c r="E1621" s="16"/>
      <c r="F1621" s="16"/>
      <c r="G1621" s="16"/>
      <c r="H1621" s="16"/>
      <c r="I1621" s="23"/>
      <c r="J1621" s="23"/>
      <c r="K1621" s="16"/>
      <c r="L1621" s="23"/>
      <c r="M1621" s="23"/>
      <c r="N1621" s="23"/>
      <c r="O1621" s="16"/>
      <c r="P1621" s="23"/>
      <c r="Q1621" s="23"/>
      <c r="R1621" s="23"/>
      <c r="S1621" s="16"/>
      <c r="T1621" s="23"/>
      <c r="U1621" s="23"/>
      <c r="V1621" s="23"/>
      <c r="W1621" s="16"/>
      <c r="X1621" s="23"/>
      <c r="Y1621" s="23"/>
      <c r="Z1621" s="23"/>
      <c r="AA1621" s="16"/>
      <c r="AB1621" s="23"/>
      <c r="AC1621" s="23"/>
      <c r="AD1621" s="23"/>
      <c r="AE1621" s="16"/>
      <c r="AF1621" s="23"/>
      <c r="AG1621" s="23"/>
      <c r="AH1621" s="23"/>
      <c r="AI1621" s="16"/>
      <c r="AJ1621" s="23"/>
      <c r="AK1621" s="23"/>
      <c r="AL1621" s="23"/>
      <c r="AM1621" s="16"/>
      <c r="AN1621" s="23"/>
      <c r="AO1621" s="23"/>
      <c r="AP1621" s="23"/>
      <c r="AQ1621" s="16"/>
      <c r="AR1621" s="23"/>
      <c r="AS1621" s="23"/>
      <c r="AT1621" s="23"/>
      <c r="AU1621" s="16"/>
      <c r="AV1621" s="23"/>
      <c r="AW1621" s="23"/>
      <c r="AX1621" s="23"/>
      <c r="AY1621" s="16"/>
      <c r="AZ1621" s="23"/>
      <c r="BA1621" s="23"/>
      <c r="BB1621" s="23"/>
      <c r="BC1621" s="16"/>
      <c r="BD1621" s="23"/>
      <c r="BE1621" s="23"/>
      <c r="BF1621" s="23"/>
      <c r="BG1621" s="16"/>
      <c r="BH1621" s="23"/>
      <c r="BI1621" s="23"/>
      <c r="BJ1621" s="23"/>
      <c r="BN1621" s="23"/>
      <c r="BO1621" s="23"/>
      <c r="BP1621" s="16"/>
      <c r="BQ1621" s="16"/>
      <c r="BR1621" s="23"/>
      <c r="BS1621" s="16"/>
      <c r="BT1621" s="16"/>
      <c r="BU1621" s="16"/>
      <c r="BV1621" s="16"/>
      <c r="BW1621" s="16"/>
      <c r="BX1621" s="16"/>
      <c r="BY1621" s="16"/>
    </row>
    <row r="1622">
      <c r="A1622" s="16"/>
      <c r="B1622" s="16"/>
      <c r="C1622" s="22"/>
      <c r="D1622" s="16"/>
      <c r="E1622" s="16"/>
      <c r="F1622" s="16"/>
      <c r="G1622" s="16"/>
      <c r="H1622" s="16"/>
      <c r="I1622" s="23"/>
      <c r="J1622" s="23"/>
      <c r="K1622" s="16"/>
      <c r="L1622" s="23"/>
      <c r="M1622" s="23"/>
      <c r="N1622" s="23"/>
      <c r="O1622" s="16"/>
      <c r="P1622" s="23"/>
      <c r="Q1622" s="23"/>
      <c r="R1622" s="23"/>
      <c r="S1622" s="16"/>
      <c r="T1622" s="23"/>
      <c r="U1622" s="23"/>
      <c r="V1622" s="23"/>
      <c r="W1622" s="16"/>
      <c r="X1622" s="23"/>
      <c r="Y1622" s="23"/>
      <c r="Z1622" s="23"/>
      <c r="AA1622" s="16"/>
      <c r="AB1622" s="23"/>
      <c r="AC1622" s="23"/>
      <c r="AD1622" s="23"/>
      <c r="AE1622" s="16"/>
      <c r="AF1622" s="23"/>
      <c r="AG1622" s="23"/>
      <c r="AH1622" s="23"/>
      <c r="AI1622" s="16"/>
      <c r="AJ1622" s="23"/>
      <c r="AK1622" s="23"/>
      <c r="AL1622" s="23"/>
      <c r="AM1622" s="16"/>
      <c r="AN1622" s="23"/>
      <c r="AO1622" s="23"/>
      <c r="AP1622" s="23"/>
      <c r="AQ1622" s="16"/>
      <c r="AR1622" s="23"/>
      <c r="AS1622" s="23"/>
      <c r="AT1622" s="23"/>
      <c r="AU1622" s="16"/>
      <c r="AV1622" s="23"/>
      <c r="AW1622" s="23"/>
      <c r="AX1622" s="23"/>
      <c r="AY1622" s="16"/>
      <c r="AZ1622" s="23"/>
      <c r="BA1622" s="23"/>
      <c r="BB1622" s="23"/>
      <c r="BC1622" s="16"/>
      <c r="BD1622" s="23"/>
      <c r="BE1622" s="23"/>
      <c r="BF1622" s="23"/>
      <c r="BG1622" s="16"/>
      <c r="BH1622" s="23"/>
      <c r="BI1622" s="23"/>
      <c r="BJ1622" s="23"/>
      <c r="BN1622" s="23"/>
      <c r="BO1622" s="23"/>
      <c r="BP1622" s="16"/>
      <c r="BQ1622" s="16"/>
      <c r="BR1622" s="23"/>
      <c r="BS1622" s="16"/>
      <c r="BT1622" s="16"/>
      <c r="BU1622" s="16"/>
      <c r="BV1622" s="16"/>
      <c r="BW1622" s="16"/>
      <c r="BX1622" s="16"/>
      <c r="BY1622" s="16"/>
    </row>
    <row r="1623">
      <c r="A1623" s="16"/>
      <c r="B1623" s="16"/>
      <c r="C1623" s="22"/>
      <c r="D1623" s="16"/>
      <c r="E1623" s="16"/>
      <c r="F1623" s="16"/>
      <c r="G1623" s="16"/>
      <c r="H1623" s="16"/>
      <c r="I1623" s="23"/>
      <c r="J1623" s="23"/>
      <c r="K1623" s="16"/>
      <c r="L1623" s="23"/>
      <c r="M1623" s="23"/>
      <c r="N1623" s="23"/>
      <c r="O1623" s="16"/>
      <c r="P1623" s="23"/>
      <c r="Q1623" s="23"/>
      <c r="R1623" s="23"/>
      <c r="S1623" s="16"/>
      <c r="T1623" s="23"/>
      <c r="U1623" s="23"/>
      <c r="V1623" s="23"/>
      <c r="W1623" s="16"/>
      <c r="X1623" s="23"/>
      <c r="Y1623" s="23"/>
      <c r="Z1623" s="23"/>
      <c r="AA1623" s="16"/>
      <c r="AB1623" s="23"/>
      <c r="AC1623" s="23"/>
      <c r="AD1623" s="23"/>
      <c r="AE1623" s="16"/>
      <c r="AF1623" s="23"/>
      <c r="AG1623" s="23"/>
      <c r="AH1623" s="23"/>
      <c r="AI1623" s="16"/>
      <c r="AJ1623" s="23"/>
      <c r="AK1623" s="23"/>
      <c r="AL1623" s="23"/>
      <c r="AM1623" s="16"/>
      <c r="AN1623" s="23"/>
      <c r="AO1623" s="23"/>
      <c r="AP1623" s="23"/>
      <c r="AQ1623" s="16"/>
      <c r="AR1623" s="23"/>
      <c r="AS1623" s="23"/>
      <c r="AT1623" s="23"/>
      <c r="AU1623" s="16"/>
      <c r="AV1623" s="23"/>
      <c r="AW1623" s="23"/>
      <c r="AX1623" s="23"/>
      <c r="AY1623" s="16"/>
      <c r="AZ1623" s="23"/>
      <c r="BA1623" s="23"/>
      <c r="BB1623" s="23"/>
      <c r="BC1623" s="16"/>
      <c r="BD1623" s="23"/>
      <c r="BE1623" s="23"/>
      <c r="BF1623" s="23"/>
      <c r="BG1623" s="16"/>
      <c r="BH1623" s="23"/>
      <c r="BI1623" s="23"/>
      <c r="BJ1623" s="23"/>
      <c r="BN1623" s="23"/>
      <c r="BO1623" s="23"/>
      <c r="BP1623" s="16"/>
      <c r="BQ1623" s="16"/>
      <c r="BR1623" s="23"/>
      <c r="BS1623" s="16"/>
      <c r="BT1623" s="16"/>
      <c r="BU1623" s="16"/>
      <c r="BV1623" s="16"/>
      <c r="BW1623" s="16"/>
      <c r="BX1623" s="16"/>
      <c r="BY1623" s="16"/>
    </row>
    <row r="1624">
      <c r="A1624" s="16"/>
      <c r="B1624" s="16"/>
      <c r="C1624" s="22"/>
      <c r="D1624" s="16"/>
      <c r="E1624" s="16"/>
      <c r="F1624" s="16"/>
      <c r="G1624" s="16"/>
      <c r="H1624" s="16"/>
      <c r="I1624" s="23"/>
      <c r="J1624" s="23"/>
      <c r="K1624" s="16"/>
      <c r="L1624" s="23"/>
      <c r="M1624" s="23"/>
      <c r="N1624" s="23"/>
      <c r="O1624" s="16"/>
      <c r="P1624" s="23"/>
      <c r="Q1624" s="23"/>
      <c r="R1624" s="23"/>
      <c r="S1624" s="16"/>
      <c r="T1624" s="23"/>
      <c r="U1624" s="23"/>
      <c r="V1624" s="23"/>
      <c r="W1624" s="16"/>
      <c r="X1624" s="23"/>
      <c r="Y1624" s="23"/>
      <c r="Z1624" s="23"/>
      <c r="AA1624" s="16"/>
      <c r="AB1624" s="23"/>
      <c r="AC1624" s="23"/>
      <c r="AD1624" s="23"/>
      <c r="AE1624" s="16"/>
      <c r="AF1624" s="23"/>
      <c r="AG1624" s="23"/>
      <c r="AH1624" s="23"/>
      <c r="AI1624" s="16"/>
      <c r="AJ1624" s="23"/>
      <c r="AK1624" s="23"/>
      <c r="AL1624" s="23"/>
      <c r="AM1624" s="16"/>
      <c r="AN1624" s="23"/>
      <c r="AO1624" s="23"/>
      <c r="AP1624" s="23"/>
      <c r="AQ1624" s="16"/>
      <c r="AR1624" s="23"/>
      <c r="AS1624" s="23"/>
      <c r="AT1624" s="23"/>
      <c r="AU1624" s="16"/>
      <c r="AV1624" s="23"/>
      <c r="AW1624" s="23"/>
      <c r="AX1624" s="23"/>
      <c r="AY1624" s="16"/>
      <c r="AZ1624" s="23"/>
      <c r="BA1624" s="23"/>
      <c r="BB1624" s="23"/>
      <c r="BC1624" s="16"/>
      <c r="BD1624" s="23"/>
      <c r="BE1624" s="23"/>
      <c r="BF1624" s="23"/>
      <c r="BG1624" s="16"/>
      <c r="BH1624" s="23"/>
      <c r="BI1624" s="23"/>
      <c r="BJ1624" s="23"/>
      <c r="BN1624" s="23"/>
      <c r="BO1624" s="23"/>
      <c r="BP1624" s="16"/>
      <c r="BQ1624" s="16"/>
      <c r="BR1624" s="23"/>
      <c r="BS1624" s="16"/>
      <c r="BT1624" s="16"/>
      <c r="BU1624" s="16"/>
      <c r="BV1624" s="16"/>
      <c r="BW1624" s="16"/>
      <c r="BX1624" s="16"/>
      <c r="BY1624" s="16"/>
    </row>
    <row r="1625">
      <c r="A1625" s="16"/>
      <c r="B1625" s="16"/>
      <c r="C1625" s="22"/>
      <c r="D1625" s="16"/>
      <c r="E1625" s="16"/>
      <c r="F1625" s="16"/>
      <c r="G1625" s="16"/>
      <c r="H1625" s="16"/>
      <c r="I1625" s="23"/>
      <c r="J1625" s="23"/>
      <c r="K1625" s="16"/>
      <c r="L1625" s="23"/>
      <c r="M1625" s="23"/>
      <c r="N1625" s="23"/>
      <c r="O1625" s="16"/>
      <c r="P1625" s="23"/>
      <c r="Q1625" s="23"/>
      <c r="R1625" s="23"/>
      <c r="S1625" s="16"/>
      <c r="T1625" s="23"/>
      <c r="U1625" s="23"/>
      <c r="V1625" s="23"/>
      <c r="W1625" s="16"/>
      <c r="X1625" s="23"/>
      <c r="Y1625" s="23"/>
      <c r="Z1625" s="23"/>
      <c r="AA1625" s="16"/>
      <c r="AB1625" s="23"/>
      <c r="AC1625" s="23"/>
      <c r="AD1625" s="23"/>
      <c r="AE1625" s="16"/>
      <c r="AF1625" s="23"/>
      <c r="AG1625" s="23"/>
      <c r="AH1625" s="23"/>
      <c r="AI1625" s="16"/>
      <c r="AJ1625" s="23"/>
      <c r="AK1625" s="23"/>
      <c r="AL1625" s="23"/>
      <c r="AM1625" s="16"/>
      <c r="AN1625" s="23"/>
      <c r="AO1625" s="23"/>
      <c r="AP1625" s="23"/>
      <c r="AQ1625" s="16"/>
      <c r="AR1625" s="23"/>
      <c r="AS1625" s="23"/>
      <c r="AT1625" s="23"/>
      <c r="AU1625" s="16"/>
      <c r="AV1625" s="23"/>
      <c r="AW1625" s="23"/>
      <c r="AX1625" s="23"/>
      <c r="AY1625" s="16"/>
      <c r="AZ1625" s="23"/>
      <c r="BA1625" s="23"/>
      <c r="BB1625" s="23"/>
      <c r="BC1625" s="16"/>
      <c r="BD1625" s="23"/>
      <c r="BE1625" s="23"/>
      <c r="BF1625" s="23"/>
      <c r="BG1625" s="16"/>
      <c r="BH1625" s="23"/>
      <c r="BI1625" s="23"/>
      <c r="BJ1625" s="23"/>
      <c r="BN1625" s="23"/>
      <c r="BO1625" s="23"/>
      <c r="BP1625" s="16"/>
      <c r="BQ1625" s="16"/>
      <c r="BR1625" s="23"/>
      <c r="BS1625" s="16"/>
      <c r="BT1625" s="16"/>
      <c r="BU1625" s="16"/>
      <c r="BV1625" s="16"/>
      <c r="BW1625" s="16"/>
      <c r="BX1625" s="16"/>
      <c r="BY1625" s="16"/>
    </row>
    <row r="1626">
      <c r="A1626" s="16"/>
      <c r="B1626" s="16"/>
      <c r="C1626" s="22"/>
      <c r="D1626" s="16"/>
      <c r="E1626" s="16"/>
      <c r="F1626" s="16"/>
      <c r="G1626" s="16"/>
      <c r="H1626" s="16"/>
      <c r="I1626" s="23"/>
      <c r="J1626" s="23"/>
      <c r="K1626" s="16"/>
      <c r="L1626" s="23"/>
      <c r="M1626" s="23"/>
      <c r="N1626" s="23"/>
      <c r="O1626" s="16"/>
      <c r="P1626" s="23"/>
      <c r="Q1626" s="23"/>
      <c r="R1626" s="23"/>
      <c r="S1626" s="16"/>
      <c r="T1626" s="23"/>
      <c r="U1626" s="23"/>
      <c r="V1626" s="23"/>
      <c r="W1626" s="16"/>
      <c r="X1626" s="23"/>
      <c r="Y1626" s="23"/>
      <c r="Z1626" s="23"/>
      <c r="AA1626" s="16"/>
      <c r="AB1626" s="23"/>
      <c r="AC1626" s="23"/>
      <c r="AD1626" s="23"/>
      <c r="AE1626" s="16"/>
      <c r="AF1626" s="23"/>
      <c r="AG1626" s="23"/>
      <c r="AH1626" s="23"/>
      <c r="AI1626" s="16"/>
      <c r="AJ1626" s="23"/>
      <c r="AK1626" s="23"/>
      <c r="AL1626" s="23"/>
      <c r="AM1626" s="16"/>
      <c r="AN1626" s="23"/>
      <c r="AO1626" s="23"/>
      <c r="AP1626" s="23"/>
      <c r="AQ1626" s="16"/>
      <c r="AR1626" s="23"/>
      <c r="AS1626" s="23"/>
      <c r="AT1626" s="23"/>
      <c r="AU1626" s="16"/>
      <c r="AV1626" s="23"/>
      <c r="AW1626" s="23"/>
      <c r="AX1626" s="23"/>
      <c r="AY1626" s="16"/>
      <c r="AZ1626" s="23"/>
      <c r="BA1626" s="23"/>
      <c r="BB1626" s="23"/>
      <c r="BC1626" s="16"/>
      <c r="BD1626" s="23"/>
      <c r="BE1626" s="23"/>
      <c r="BF1626" s="23"/>
      <c r="BG1626" s="16"/>
      <c r="BH1626" s="23"/>
      <c r="BI1626" s="23"/>
      <c r="BJ1626" s="23"/>
      <c r="BN1626" s="23"/>
      <c r="BO1626" s="23"/>
      <c r="BP1626" s="16"/>
      <c r="BQ1626" s="16"/>
      <c r="BR1626" s="23"/>
      <c r="BS1626" s="16"/>
      <c r="BT1626" s="16"/>
      <c r="BU1626" s="16"/>
      <c r="BV1626" s="16"/>
      <c r="BW1626" s="16"/>
      <c r="BX1626" s="16"/>
      <c r="BY1626" s="16"/>
    </row>
    <row r="1627">
      <c r="A1627" s="16"/>
      <c r="B1627" s="16"/>
      <c r="C1627" s="22"/>
      <c r="D1627" s="16"/>
      <c r="E1627" s="16"/>
      <c r="F1627" s="16"/>
      <c r="G1627" s="16"/>
      <c r="H1627" s="16"/>
      <c r="I1627" s="23"/>
      <c r="J1627" s="23"/>
      <c r="K1627" s="16"/>
      <c r="L1627" s="23"/>
      <c r="M1627" s="23"/>
      <c r="N1627" s="23"/>
      <c r="O1627" s="16"/>
      <c r="P1627" s="23"/>
      <c r="Q1627" s="23"/>
      <c r="R1627" s="23"/>
      <c r="S1627" s="16"/>
      <c r="T1627" s="23"/>
      <c r="U1627" s="23"/>
      <c r="V1627" s="23"/>
      <c r="W1627" s="16"/>
      <c r="X1627" s="23"/>
      <c r="Y1627" s="23"/>
      <c r="Z1627" s="23"/>
      <c r="AA1627" s="16"/>
      <c r="AB1627" s="23"/>
      <c r="AC1627" s="23"/>
      <c r="AD1627" s="23"/>
      <c r="AE1627" s="16"/>
      <c r="AF1627" s="23"/>
      <c r="AG1627" s="23"/>
      <c r="AH1627" s="23"/>
      <c r="AI1627" s="16"/>
      <c r="AJ1627" s="23"/>
      <c r="AK1627" s="23"/>
      <c r="AL1627" s="23"/>
      <c r="AM1627" s="16"/>
      <c r="AN1627" s="23"/>
      <c r="AO1627" s="23"/>
      <c r="AP1627" s="23"/>
      <c r="AQ1627" s="16"/>
      <c r="AR1627" s="23"/>
      <c r="AS1627" s="23"/>
      <c r="AT1627" s="23"/>
      <c r="AU1627" s="16"/>
      <c r="AV1627" s="23"/>
      <c r="AW1627" s="23"/>
      <c r="AX1627" s="23"/>
      <c r="AY1627" s="16"/>
      <c r="AZ1627" s="23"/>
      <c r="BA1627" s="23"/>
      <c r="BB1627" s="23"/>
      <c r="BC1627" s="16"/>
      <c r="BD1627" s="23"/>
      <c r="BE1627" s="23"/>
      <c r="BF1627" s="23"/>
      <c r="BG1627" s="16"/>
      <c r="BH1627" s="23"/>
      <c r="BI1627" s="23"/>
      <c r="BJ1627" s="23"/>
      <c r="BN1627" s="23"/>
      <c r="BO1627" s="23"/>
      <c r="BP1627" s="16"/>
      <c r="BQ1627" s="16"/>
      <c r="BR1627" s="23"/>
      <c r="BS1627" s="16"/>
      <c r="BT1627" s="16"/>
      <c r="BU1627" s="16"/>
      <c r="BV1627" s="16"/>
      <c r="BW1627" s="16"/>
      <c r="BX1627" s="16"/>
      <c r="BY1627" s="16"/>
    </row>
    <row r="1628">
      <c r="A1628" s="16"/>
      <c r="B1628" s="16"/>
      <c r="C1628" s="22"/>
      <c r="D1628" s="16"/>
      <c r="E1628" s="16"/>
      <c r="F1628" s="16"/>
      <c r="G1628" s="16"/>
      <c r="H1628" s="16"/>
      <c r="I1628" s="23"/>
      <c r="J1628" s="23"/>
      <c r="K1628" s="16"/>
      <c r="L1628" s="23"/>
      <c r="M1628" s="23"/>
      <c r="N1628" s="23"/>
      <c r="O1628" s="16"/>
      <c r="P1628" s="23"/>
      <c r="Q1628" s="23"/>
      <c r="R1628" s="23"/>
      <c r="S1628" s="16"/>
      <c r="T1628" s="23"/>
      <c r="U1628" s="23"/>
      <c r="V1628" s="23"/>
      <c r="W1628" s="16"/>
      <c r="X1628" s="23"/>
      <c r="Y1628" s="23"/>
      <c r="Z1628" s="23"/>
      <c r="AA1628" s="16"/>
      <c r="AB1628" s="23"/>
      <c r="AC1628" s="23"/>
      <c r="AD1628" s="23"/>
      <c r="AE1628" s="16"/>
      <c r="AF1628" s="23"/>
      <c r="AG1628" s="23"/>
      <c r="AH1628" s="23"/>
      <c r="AI1628" s="16"/>
      <c r="AJ1628" s="23"/>
      <c r="AK1628" s="23"/>
      <c r="AL1628" s="23"/>
      <c r="AM1628" s="16"/>
      <c r="AN1628" s="23"/>
      <c r="AO1628" s="23"/>
      <c r="AP1628" s="23"/>
      <c r="AQ1628" s="16"/>
      <c r="AR1628" s="23"/>
      <c r="AS1628" s="23"/>
      <c r="AT1628" s="23"/>
      <c r="AU1628" s="16"/>
      <c r="AV1628" s="23"/>
      <c r="AW1628" s="23"/>
      <c r="AX1628" s="23"/>
      <c r="AY1628" s="16"/>
      <c r="AZ1628" s="23"/>
      <c r="BA1628" s="23"/>
      <c r="BB1628" s="23"/>
      <c r="BC1628" s="16"/>
      <c r="BD1628" s="23"/>
      <c r="BE1628" s="23"/>
      <c r="BF1628" s="23"/>
      <c r="BG1628" s="16"/>
      <c r="BH1628" s="23"/>
      <c r="BI1628" s="23"/>
      <c r="BJ1628" s="23"/>
      <c r="BN1628" s="23"/>
      <c r="BO1628" s="23"/>
      <c r="BP1628" s="16"/>
      <c r="BQ1628" s="16"/>
      <c r="BR1628" s="23"/>
      <c r="BS1628" s="16"/>
      <c r="BT1628" s="16"/>
      <c r="BU1628" s="16"/>
      <c r="BV1628" s="16"/>
      <c r="BW1628" s="16"/>
      <c r="BX1628" s="16"/>
      <c r="BY1628" s="16"/>
    </row>
    <row r="1629">
      <c r="A1629" s="16"/>
      <c r="B1629" s="16"/>
      <c r="C1629" s="22"/>
      <c r="D1629" s="16"/>
      <c r="E1629" s="16"/>
      <c r="F1629" s="16"/>
      <c r="G1629" s="16"/>
      <c r="H1629" s="16"/>
      <c r="I1629" s="23"/>
      <c r="J1629" s="23"/>
      <c r="K1629" s="16"/>
      <c r="L1629" s="23"/>
      <c r="M1629" s="23"/>
      <c r="N1629" s="23"/>
      <c r="O1629" s="16"/>
      <c r="P1629" s="23"/>
      <c r="Q1629" s="23"/>
      <c r="R1629" s="23"/>
      <c r="S1629" s="16"/>
      <c r="T1629" s="23"/>
      <c r="U1629" s="23"/>
      <c r="V1629" s="23"/>
      <c r="W1629" s="16"/>
      <c r="X1629" s="23"/>
      <c r="Y1629" s="23"/>
      <c r="Z1629" s="23"/>
      <c r="AA1629" s="16"/>
      <c r="AB1629" s="23"/>
      <c r="AC1629" s="23"/>
      <c r="AD1629" s="23"/>
      <c r="AE1629" s="16"/>
      <c r="AF1629" s="23"/>
      <c r="AG1629" s="23"/>
      <c r="AH1629" s="23"/>
      <c r="AI1629" s="16"/>
      <c r="AJ1629" s="23"/>
      <c r="AK1629" s="23"/>
      <c r="AL1629" s="23"/>
      <c r="AM1629" s="16"/>
      <c r="AN1629" s="23"/>
      <c r="AO1629" s="23"/>
      <c r="AP1629" s="23"/>
      <c r="AQ1629" s="16"/>
      <c r="AR1629" s="23"/>
      <c r="AS1629" s="23"/>
      <c r="AT1629" s="23"/>
      <c r="AU1629" s="16"/>
      <c r="AV1629" s="23"/>
      <c r="AW1629" s="23"/>
      <c r="AX1629" s="23"/>
      <c r="AY1629" s="16"/>
      <c r="AZ1629" s="23"/>
      <c r="BA1629" s="23"/>
      <c r="BB1629" s="23"/>
      <c r="BC1629" s="16"/>
      <c r="BD1629" s="23"/>
      <c r="BE1629" s="23"/>
      <c r="BF1629" s="23"/>
      <c r="BG1629" s="16"/>
      <c r="BH1629" s="23"/>
      <c r="BI1629" s="23"/>
      <c r="BJ1629" s="23"/>
      <c r="BN1629" s="23"/>
      <c r="BO1629" s="23"/>
      <c r="BP1629" s="16"/>
      <c r="BQ1629" s="16"/>
      <c r="BR1629" s="23"/>
      <c r="BS1629" s="16"/>
      <c r="BT1629" s="16"/>
      <c r="BU1629" s="16"/>
      <c r="BV1629" s="16"/>
      <c r="BW1629" s="16"/>
      <c r="BX1629" s="16"/>
      <c r="BY1629" s="16"/>
    </row>
    <row r="1630">
      <c r="A1630" s="16"/>
      <c r="B1630" s="16"/>
      <c r="C1630" s="22"/>
      <c r="D1630" s="16"/>
      <c r="E1630" s="16"/>
      <c r="F1630" s="16"/>
      <c r="G1630" s="16"/>
      <c r="H1630" s="16"/>
      <c r="I1630" s="23"/>
      <c r="J1630" s="23"/>
      <c r="K1630" s="16"/>
      <c r="L1630" s="23"/>
      <c r="M1630" s="23"/>
      <c r="N1630" s="23"/>
      <c r="O1630" s="16"/>
      <c r="P1630" s="23"/>
      <c r="Q1630" s="23"/>
      <c r="R1630" s="23"/>
      <c r="S1630" s="16"/>
      <c r="T1630" s="23"/>
      <c r="U1630" s="23"/>
      <c r="V1630" s="23"/>
      <c r="W1630" s="16"/>
      <c r="X1630" s="23"/>
      <c r="Y1630" s="23"/>
      <c r="Z1630" s="23"/>
      <c r="AA1630" s="16"/>
      <c r="AB1630" s="23"/>
      <c r="AC1630" s="23"/>
      <c r="AD1630" s="23"/>
      <c r="AE1630" s="16"/>
      <c r="AF1630" s="23"/>
      <c r="AG1630" s="23"/>
      <c r="AH1630" s="23"/>
      <c r="AI1630" s="16"/>
      <c r="AJ1630" s="23"/>
      <c r="AK1630" s="23"/>
      <c r="AL1630" s="23"/>
      <c r="AM1630" s="16"/>
      <c r="AN1630" s="23"/>
      <c r="AO1630" s="23"/>
      <c r="AP1630" s="23"/>
      <c r="AQ1630" s="16"/>
      <c r="AR1630" s="23"/>
      <c r="AS1630" s="23"/>
      <c r="AT1630" s="23"/>
      <c r="AU1630" s="16"/>
      <c r="AV1630" s="23"/>
      <c r="AW1630" s="23"/>
      <c r="AX1630" s="23"/>
      <c r="AY1630" s="16"/>
      <c r="AZ1630" s="23"/>
      <c r="BA1630" s="23"/>
      <c r="BB1630" s="23"/>
      <c r="BC1630" s="16"/>
      <c r="BD1630" s="23"/>
      <c r="BE1630" s="23"/>
      <c r="BF1630" s="23"/>
      <c r="BG1630" s="16"/>
      <c r="BH1630" s="23"/>
      <c r="BI1630" s="23"/>
      <c r="BJ1630" s="23"/>
      <c r="BN1630" s="23"/>
      <c r="BO1630" s="23"/>
      <c r="BP1630" s="16"/>
      <c r="BQ1630" s="16"/>
      <c r="BR1630" s="23"/>
      <c r="BS1630" s="16"/>
      <c r="BT1630" s="16"/>
      <c r="BU1630" s="16"/>
      <c r="BV1630" s="16"/>
      <c r="BW1630" s="16"/>
      <c r="BX1630" s="16"/>
      <c r="BY1630" s="16"/>
    </row>
    <row r="1631">
      <c r="A1631" s="16"/>
      <c r="B1631" s="16"/>
      <c r="C1631" s="22"/>
      <c r="D1631" s="16"/>
      <c r="E1631" s="16"/>
      <c r="F1631" s="16"/>
      <c r="G1631" s="16"/>
      <c r="H1631" s="16"/>
      <c r="I1631" s="23"/>
      <c r="J1631" s="23"/>
      <c r="K1631" s="16"/>
      <c r="L1631" s="23"/>
      <c r="M1631" s="23"/>
      <c r="N1631" s="23"/>
      <c r="O1631" s="16"/>
      <c r="P1631" s="23"/>
      <c r="Q1631" s="23"/>
      <c r="R1631" s="23"/>
      <c r="S1631" s="16"/>
      <c r="T1631" s="23"/>
      <c r="U1631" s="23"/>
      <c r="V1631" s="23"/>
      <c r="W1631" s="16"/>
      <c r="X1631" s="23"/>
      <c r="Y1631" s="23"/>
      <c r="Z1631" s="23"/>
      <c r="AA1631" s="16"/>
      <c r="AB1631" s="23"/>
      <c r="AC1631" s="23"/>
      <c r="AD1631" s="23"/>
      <c r="AE1631" s="16"/>
      <c r="AF1631" s="23"/>
      <c r="AG1631" s="23"/>
      <c r="AH1631" s="23"/>
      <c r="AI1631" s="16"/>
      <c r="AJ1631" s="23"/>
      <c r="AK1631" s="23"/>
      <c r="AL1631" s="23"/>
      <c r="AM1631" s="16"/>
      <c r="AN1631" s="23"/>
      <c r="AO1631" s="23"/>
      <c r="AP1631" s="23"/>
      <c r="AQ1631" s="16"/>
      <c r="AR1631" s="23"/>
      <c r="AS1631" s="23"/>
      <c r="AT1631" s="23"/>
      <c r="AU1631" s="16"/>
      <c r="AV1631" s="23"/>
      <c r="AW1631" s="23"/>
      <c r="AX1631" s="23"/>
      <c r="AY1631" s="16"/>
      <c r="AZ1631" s="23"/>
      <c r="BA1631" s="23"/>
      <c r="BB1631" s="23"/>
      <c r="BC1631" s="16"/>
      <c r="BD1631" s="23"/>
      <c r="BE1631" s="23"/>
      <c r="BF1631" s="23"/>
      <c r="BG1631" s="16"/>
      <c r="BH1631" s="23"/>
      <c r="BI1631" s="23"/>
      <c r="BJ1631" s="23"/>
      <c r="BN1631" s="23"/>
      <c r="BO1631" s="23"/>
      <c r="BP1631" s="16"/>
      <c r="BQ1631" s="16"/>
      <c r="BR1631" s="23"/>
      <c r="BS1631" s="16"/>
      <c r="BT1631" s="16"/>
      <c r="BU1631" s="16"/>
      <c r="BV1631" s="16"/>
      <c r="BW1631" s="16"/>
      <c r="BX1631" s="16"/>
      <c r="BY1631" s="16"/>
    </row>
    <row r="1632">
      <c r="A1632" s="16"/>
      <c r="B1632" s="16"/>
      <c r="C1632" s="22"/>
      <c r="D1632" s="16"/>
      <c r="E1632" s="16"/>
      <c r="F1632" s="16"/>
      <c r="G1632" s="16"/>
      <c r="H1632" s="16"/>
      <c r="I1632" s="23"/>
      <c r="J1632" s="23"/>
      <c r="K1632" s="16"/>
      <c r="L1632" s="23"/>
      <c r="M1632" s="23"/>
      <c r="N1632" s="23"/>
      <c r="O1632" s="16"/>
      <c r="P1632" s="23"/>
      <c r="Q1632" s="23"/>
      <c r="R1632" s="23"/>
      <c r="S1632" s="16"/>
      <c r="T1632" s="23"/>
      <c r="U1632" s="23"/>
      <c r="V1632" s="23"/>
      <c r="W1632" s="16"/>
      <c r="X1632" s="23"/>
      <c r="Y1632" s="23"/>
      <c r="Z1632" s="23"/>
      <c r="AA1632" s="16"/>
      <c r="AB1632" s="23"/>
      <c r="AC1632" s="23"/>
      <c r="AD1632" s="23"/>
      <c r="AE1632" s="16"/>
      <c r="AF1632" s="23"/>
      <c r="AG1632" s="23"/>
      <c r="AH1632" s="23"/>
      <c r="AI1632" s="16"/>
      <c r="AJ1632" s="23"/>
      <c r="AK1632" s="23"/>
      <c r="AL1632" s="23"/>
      <c r="AM1632" s="16"/>
      <c r="AN1632" s="23"/>
      <c r="AO1632" s="23"/>
      <c r="AP1632" s="23"/>
      <c r="AQ1632" s="16"/>
      <c r="AR1632" s="23"/>
      <c r="AS1632" s="23"/>
      <c r="AT1632" s="23"/>
      <c r="AU1632" s="16"/>
      <c r="AV1632" s="23"/>
      <c r="AW1632" s="23"/>
      <c r="AX1632" s="23"/>
      <c r="AY1632" s="16"/>
      <c r="AZ1632" s="23"/>
      <c r="BA1632" s="23"/>
      <c r="BB1632" s="23"/>
      <c r="BC1632" s="16"/>
      <c r="BD1632" s="23"/>
      <c r="BE1632" s="23"/>
      <c r="BF1632" s="23"/>
      <c r="BG1632" s="16"/>
      <c r="BH1632" s="23"/>
      <c r="BI1632" s="23"/>
      <c r="BJ1632" s="23"/>
      <c r="BN1632" s="23"/>
      <c r="BO1632" s="23"/>
      <c r="BP1632" s="16"/>
      <c r="BQ1632" s="16"/>
      <c r="BR1632" s="23"/>
      <c r="BS1632" s="16"/>
      <c r="BT1632" s="16"/>
      <c r="BU1632" s="16"/>
      <c r="BV1632" s="16"/>
      <c r="BW1632" s="16"/>
      <c r="BX1632" s="16"/>
      <c r="BY1632" s="16"/>
    </row>
    <row r="1633">
      <c r="A1633" s="16"/>
      <c r="B1633" s="16"/>
      <c r="C1633" s="22"/>
      <c r="D1633" s="16"/>
      <c r="E1633" s="16"/>
      <c r="F1633" s="16"/>
      <c r="G1633" s="16"/>
      <c r="H1633" s="16"/>
      <c r="I1633" s="23"/>
      <c r="J1633" s="23"/>
      <c r="K1633" s="16"/>
      <c r="L1633" s="23"/>
      <c r="M1633" s="23"/>
      <c r="N1633" s="23"/>
      <c r="O1633" s="16"/>
      <c r="P1633" s="23"/>
      <c r="Q1633" s="23"/>
      <c r="R1633" s="23"/>
      <c r="S1633" s="16"/>
      <c r="T1633" s="23"/>
      <c r="U1633" s="23"/>
      <c r="V1633" s="23"/>
      <c r="W1633" s="16"/>
      <c r="X1633" s="23"/>
      <c r="Y1633" s="23"/>
      <c r="Z1633" s="23"/>
      <c r="AA1633" s="16"/>
      <c r="AB1633" s="23"/>
      <c r="AC1633" s="23"/>
      <c r="AD1633" s="23"/>
      <c r="AE1633" s="16"/>
      <c r="AF1633" s="23"/>
      <c r="AG1633" s="23"/>
      <c r="AH1633" s="23"/>
      <c r="AI1633" s="16"/>
      <c r="AJ1633" s="23"/>
      <c r="AK1633" s="23"/>
      <c r="AL1633" s="23"/>
      <c r="AM1633" s="16"/>
      <c r="AN1633" s="23"/>
      <c r="AO1633" s="23"/>
      <c r="AP1633" s="23"/>
      <c r="AQ1633" s="16"/>
      <c r="AR1633" s="23"/>
      <c r="AS1633" s="23"/>
      <c r="AT1633" s="23"/>
      <c r="AU1633" s="16"/>
      <c r="AV1633" s="23"/>
      <c r="AW1633" s="23"/>
      <c r="AX1633" s="23"/>
      <c r="AY1633" s="16"/>
      <c r="AZ1633" s="23"/>
      <c r="BA1633" s="23"/>
      <c r="BB1633" s="23"/>
      <c r="BC1633" s="16"/>
      <c r="BD1633" s="23"/>
      <c r="BE1633" s="23"/>
      <c r="BF1633" s="23"/>
      <c r="BG1633" s="16"/>
      <c r="BH1633" s="23"/>
      <c r="BI1633" s="23"/>
      <c r="BJ1633" s="23"/>
      <c r="BN1633" s="23"/>
      <c r="BO1633" s="23"/>
      <c r="BP1633" s="16"/>
      <c r="BQ1633" s="16"/>
      <c r="BR1633" s="23"/>
      <c r="BS1633" s="16"/>
      <c r="BT1633" s="16"/>
      <c r="BU1633" s="16"/>
      <c r="BV1633" s="16"/>
      <c r="BW1633" s="16"/>
      <c r="BX1633" s="16"/>
      <c r="BY1633" s="16"/>
    </row>
    <row r="1634">
      <c r="A1634" s="16"/>
      <c r="B1634" s="16"/>
      <c r="C1634" s="22"/>
      <c r="D1634" s="16"/>
      <c r="E1634" s="16"/>
      <c r="F1634" s="16"/>
      <c r="G1634" s="16"/>
      <c r="H1634" s="16"/>
      <c r="I1634" s="23"/>
      <c r="J1634" s="23"/>
      <c r="K1634" s="16"/>
      <c r="L1634" s="23"/>
      <c r="M1634" s="23"/>
      <c r="N1634" s="23"/>
      <c r="O1634" s="16"/>
      <c r="P1634" s="23"/>
      <c r="Q1634" s="23"/>
      <c r="R1634" s="23"/>
      <c r="S1634" s="16"/>
      <c r="T1634" s="23"/>
      <c r="U1634" s="23"/>
      <c r="V1634" s="23"/>
      <c r="W1634" s="16"/>
      <c r="X1634" s="23"/>
      <c r="Y1634" s="23"/>
      <c r="Z1634" s="23"/>
      <c r="AA1634" s="16"/>
      <c r="AB1634" s="23"/>
      <c r="AC1634" s="23"/>
      <c r="AD1634" s="23"/>
      <c r="AE1634" s="16"/>
      <c r="AF1634" s="23"/>
      <c r="AG1634" s="23"/>
      <c r="AH1634" s="23"/>
      <c r="AI1634" s="16"/>
      <c r="AJ1634" s="23"/>
      <c r="AK1634" s="23"/>
      <c r="AL1634" s="23"/>
      <c r="AM1634" s="16"/>
      <c r="AN1634" s="23"/>
      <c r="AO1634" s="23"/>
      <c r="AP1634" s="23"/>
      <c r="AQ1634" s="16"/>
      <c r="AR1634" s="23"/>
      <c r="AS1634" s="23"/>
      <c r="AT1634" s="23"/>
      <c r="AU1634" s="16"/>
      <c r="AV1634" s="23"/>
      <c r="AW1634" s="23"/>
      <c r="AX1634" s="23"/>
      <c r="AY1634" s="16"/>
      <c r="AZ1634" s="23"/>
      <c r="BA1634" s="23"/>
      <c r="BB1634" s="23"/>
      <c r="BC1634" s="16"/>
      <c r="BD1634" s="23"/>
      <c r="BE1634" s="23"/>
      <c r="BF1634" s="23"/>
      <c r="BG1634" s="16"/>
      <c r="BH1634" s="23"/>
      <c r="BI1634" s="23"/>
      <c r="BJ1634" s="23"/>
      <c r="BN1634" s="23"/>
      <c r="BO1634" s="23"/>
      <c r="BP1634" s="16"/>
      <c r="BQ1634" s="16"/>
      <c r="BR1634" s="23"/>
      <c r="BS1634" s="16"/>
      <c r="BT1634" s="16"/>
      <c r="BU1634" s="16"/>
      <c r="BV1634" s="16"/>
      <c r="BW1634" s="16"/>
      <c r="BX1634" s="16"/>
      <c r="BY1634" s="16"/>
    </row>
    <row r="1635">
      <c r="A1635" s="16"/>
      <c r="B1635" s="16"/>
      <c r="C1635" s="22"/>
      <c r="D1635" s="16"/>
      <c r="E1635" s="16"/>
      <c r="F1635" s="16"/>
      <c r="G1635" s="16"/>
      <c r="H1635" s="16"/>
      <c r="I1635" s="23"/>
      <c r="J1635" s="23"/>
      <c r="K1635" s="16"/>
      <c r="L1635" s="23"/>
      <c r="M1635" s="23"/>
      <c r="N1635" s="23"/>
      <c r="O1635" s="16"/>
      <c r="P1635" s="23"/>
      <c r="Q1635" s="23"/>
      <c r="R1635" s="23"/>
      <c r="S1635" s="16"/>
      <c r="T1635" s="23"/>
      <c r="U1635" s="23"/>
      <c r="V1635" s="23"/>
      <c r="W1635" s="16"/>
      <c r="X1635" s="23"/>
      <c r="Y1635" s="23"/>
      <c r="Z1635" s="23"/>
      <c r="AA1635" s="16"/>
      <c r="AB1635" s="23"/>
      <c r="AC1635" s="23"/>
      <c r="AD1635" s="23"/>
      <c r="AE1635" s="16"/>
      <c r="AF1635" s="23"/>
      <c r="AG1635" s="23"/>
      <c r="AH1635" s="23"/>
      <c r="AI1635" s="16"/>
      <c r="AJ1635" s="23"/>
      <c r="AK1635" s="23"/>
      <c r="AL1635" s="23"/>
      <c r="AM1635" s="16"/>
      <c r="AN1635" s="23"/>
      <c r="AO1635" s="23"/>
      <c r="AP1635" s="23"/>
      <c r="AQ1635" s="16"/>
      <c r="AR1635" s="23"/>
      <c r="AS1635" s="23"/>
      <c r="AT1635" s="23"/>
      <c r="AU1635" s="16"/>
      <c r="AV1635" s="23"/>
      <c r="AW1635" s="23"/>
      <c r="AX1635" s="23"/>
      <c r="AY1635" s="16"/>
      <c r="AZ1635" s="23"/>
      <c r="BA1635" s="23"/>
      <c r="BB1635" s="23"/>
      <c r="BC1635" s="16"/>
      <c r="BD1635" s="23"/>
      <c r="BE1635" s="23"/>
      <c r="BF1635" s="23"/>
      <c r="BG1635" s="16"/>
      <c r="BH1635" s="23"/>
      <c r="BI1635" s="23"/>
      <c r="BJ1635" s="23"/>
      <c r="BN1635" s="23"/>
      <c r="BO1635" s="23"/>
      <c r="BP1635" s="16"/>
      <c r="BQ1635" s="16"/>
      <c r="BR1635" s="23"/>
      <c r="BS1635" s="16"/>
      <c r="BT1635" s="16"/>
      <c r="BU1635" s="16"/>
      <c r="BV1635" s="16"/>
      <c r="BW1635" s="16"/>
      <c r="BX1635" s="16"/>
      <c r="BY1635" s="16"/>
    </row>
    <row r="1636">
      <c r="A1636" s="16"/>
      <c r="B1636" s="16"/>
      <c r="C1636" s="22"/>
      <c r="D1636" s="16"/>
      <c r="E1636" s="16"/>
      <c r="F1636" s="16"/>
      <c r="G1636" s="16"/>
      <c r="H1636" s="16"/>
      <c r="I1636" s="23"/>
      <c r="J1636" s="23"/>
      <c r="K1636" s="16"/>
      <c r="L1636" s="23"/>
      <c r="M1636" s="23"/>
      <c r="N1636" s="23"/>
      <c r="O1636" s="16"/>
      <c r="P1636" s="23"/>
      <c r="Q1636" s="23"/>
      <c r="R1636" s="23"/>
      <c r="S1636" s="16"/>
      <c r="T1636" s="23"/>
      <c r="U1636" s="23"/>
      <c r="V1636" s="23"/>
      <c r="W1636" s="16"/>
      <c r="X1636" s="23"/>
      <c r="Y1636" s="23"/>
      <c r="Z1636" s="23"/>
      <c r="AA1636" s="16"/>
      <c r="AB1636" s="23"/>
      <c r="AC1636" s="23"/>
      <c r="AD1636" s="23"/>
      <c r="AE1636" s="16"/>
      <c r="AF1636" s="23"/>
      <c r="AG1636" s="23"/>
      <c r="AH1636" s="23"/>
      <c r="AI1636" s="16"/>
      <c r="AJ1636" s="23"/>
      <c r="AK1636" s="23"/>
      <c r="AL1636" s="23"/>
      <c r="AM1636" s="16"/>
      <c r="AN1636" s="23"/>
      <c r="AO1636" s="23"/>
      <c r="AP1636" s="23"/>
      <c r="AQ1636" s="16"/>
      <c r="AR1636" s="23"/>
      <c r="AS1636" s="23"/>
      <c r="AT1636" s="23"/>
      <c r="AU1636" s="16"/>
      <c r="AV1636" s="23"/>
      <c r="AW1636" s="23"/>
      <c r="AX1636" s="23"/>
      <c r="AY1636" s="16"/>
      <c r="AZ1636" s="23"/>
      <c r="BA1636" s="23"/>
      <c r="BB1636" s="23"/>
      <c r="BC1636" s="16"/>
      <c r="BD1636" s="23"/>
      <c r="BE1636" s="23"/>
      <c r="BF1636" s="23"/>
      <c r="BG1636" s="16"/>
      <c r="BH1636" s="23"/>
      <c r="BI1636" s="23"/>
      <c r="BJ1636" s="23"/>
      <c r="BN1636" s="23"/>
      <c r="BO1636" s="23"/>
      <c r="BP1636" s="16"/>
      <c r="BQ1636" s="16"/>
      <c r="BR1636" s="23"/>
      <c r="BS1636" s="16"/>
      <c r="BT1636" s="16"/>
      <c r="BU1636" s="16"/>
      <c r="BV1636" s="16"/>
      <c r="BW1636" s="16"/>
      <c r="BX1636" s="16"/>
      <c r="BY1636" s="16"/>
    </row>
    <row r="1637">
      <c r="A1637" s="16"/>
      <c r="B1637" s="16"/>
      <c r="C1637" s="22"/>
      <c r="D1637" s="16"/>
      <c r="E1637" s="16"/>
      <c r="F1637" s="16"/>
      <c r="G1637" s="16"/>
      <c r="H1637" s="16"/>
      <c r="I1637" s="23"/>
      <c r="J1637" s="23"/>
      <c r="K1637" s="16"/>
      <c r="L1637" s="23"/>
      <c r="M1637" s="23"/>
      <c r="N1637" s="23"/>
      <c r="O1637" s="16"/>
      <c r="P1637" s="23"/>
      <c r="Q1637" s="23"/>
      <c r="R1637" s="23"/>
      <c r="S1637" s="16"/>
      <c r="T1637" s="23"/>
      <c r="U1637" s="23"/>
      <c r="V1637" s="23"/>
      <c r="W1637" s="16"/>
      <c r="X1637" s="23"/>
      <c r="Y1637" s="23"/>
      <c r="Z1637" s="23"/>
      <c r="AA1637" s="16"/>
      <c r="AB1637" s="23"/>
      <c r="AC1637" s="23"/>
      <c r="AD1637" s="23"/>
      <c r="AE1637" s="16"/>
      <c r="AF1637" s="23"/>
      <c r="AG1637" s="23"/>
      <c r="AH1637" s="23"/>
      <c r="AI1637" s="16"/>
      <c r="AJ1637" s="23"/>
      <c r="AK1637" s="23"/>
      <c r="AL1637" s="23"/>
      <c r="AM1637" s="16"/>
      <c r="AN1637" s="23"/>
      <c r="AO1637" s="23"/>
      <c r="AP1637" s="23"/>
      <c r="AQ1637" s="16"/>
      <c r="AR1637" s="23"/>
      <c r="AS1637" s="23"/>
      <c r="AT1637" s="23"/>
      <c r="AU1637" s="16"/>
      <c r="AV1637" s="23"/>
      <c r="AW1637" s="23"/>
      <c r="AX1637" s="23"/>
      <c r="AY1637" s="16"/>
      <c r="AZ1637" s="23"/>
      <c r="BA1637" s="23"/>
      <c r="BB1637" s="23"/>
      <c r="BC1637" s="16"/>
      <c r="BD1637" s="23"/>
      <c r="BE1637" s="23"/>
      <c r="BF1637" s="23"/>
      <c r="BG1637" s="16"/>
      <c r="BH1637" s="23"/>
      <c r="BI1637" s="23"/>
      <c r="BJ1637" s="23"/>
      <c r="BN1637" s="23"/>
      <c r="BO1637" s="23"/>
      <c r="BP1637" s="16"/>
      <c r="BQ1637" s="16"/>
      <c r="BR1637" s="23"/>
      <c r="BS1637" s="16"/>
      <c r="BT1637" s="16"/>
      <c r="BU1637" s="16"/>
      <c r="BV1637" s="16"/>
      <c r="BW1637" s="16"/>
      <c r="BX1637" s="16"/>
      <c r="BY1637" s="16"/>
    </row>
    <row r="1638">
      <c r="A1638" s="16"/>
      <c r="B1638" s="16"/>
      <c r="C1638" s="22"/>
      <c r="D1638" s="16"/>
      <c r="E1638" s="16"/>
      <c r="F1638" s="16"/>
      <c r="G1638" s="16"/>
      <c r="H1638" s="16"/>
      <c r="I1638" s="23"/>
      <c r="J1638" s="23"/>
      <c r="K1638" s="16"/>
      <c r="L1638" s="23"/>
      <c r="M1638" s="23"/>
      <c r="N1638" s="23"/>
      <c r="O1638" s="16"/>
      <c r="P1638" s="23"/>
      <c r="Q1638" s="23"/>
      <c r="R1638" s="23"/>
      <c r="S1638" s="16"/>
      <c r="T1638" s="23"/>
      <c r="U1638" s="23"/>
      <c r="V1638" s="23"/>
      <c r="W1638" s="16"/>
      <c r="X1638" s="23"/>
      <c r="Y1638" s="23"/>
      <c r="Z1638" s="23"/>
      <c r="AA1638" s="16"/>
      <c r="AB1638" s="23"/>
      <c r="AC1638" s="23"/>
      <c r="AD1638" s="23"/>
      <c r="AE1638" s="16"/>
      <c r="AF1638" s="23"/>
      <c r="AG1638" s="23"/>
      <c r="AH1638" s="23"/>
      <c r="AI1638" s="16"/>
      <c r="AJ1638" s="23"/>
      <c r="AK1638" s="23"/>
      <c r="AL1638" s="23"/>
      <c r="AM1638" s="16"/>
      <c r="AN1638" s="23"/>
      <c r="AO1638" s="23"/>
      <c r="AP1638" s="23"/>
      <c r="AQ1638" s="16"/>
      <c r="AR1638" s="23"/>
      <c r="AS1638" s="23"/>
      <c r="AT1638" s="23"/>
      <c r="AU1638" s="16"/>
      <c r="AV1638" s="23"/>
      <c r="AW1638" s="23"/>
      <c r="AX1638" s="23"/>
      <c r="AY1638" s="16"/>
      <c r="AZ1638" s="23"/>
      <c r="BA1638" s="23"/>
      <c r="BB1638" s="23"/>
      <c r="BC1638" s="16"/>
      <c r="BD1638" s="23"/>
      <c r="BE1638" s="23"/>
      <c r="BF1638" s="23"/>
      <c r="BG1638" s="16"/>
      <c r="BH1638" s="23"/>
      <c r="BI1638" s="23"/>
      <c r="BJ1638" s="23"/>
      <c r="BN1638" s="23"/>
      <c r="BO1638" s="23"/>
      <c r="BP1638" s="16"/>
      <c r="BQ1638" s="16"/>
      <c r="BR1638" s="23"/>
      <c r="BS1638" s="16"/>
      <c r="BT1638" s="16"/>
      <c r="BU1638" s="16"/>
      <c r="BV1638" s="16"/>
      <c r="BW1638" s="16"/>
      <c r="BX1638" s="16"/>
      <c r="BY1638" s="16"/>
    </row>
    <row r="1639">
      <c r="A1639" s="16"/>
      <c r="B1639" s="16"/>
      <c r="C1639" s="22"/>
      <c r="D1639" s="16"/>
      <c r="E1639" s="16"/>
      <c r="F1639" s="16"/>
      <c r="G1639" s="16"/>
      <c r="H1639" s="16"/>
      <c r="I1639" s="23"/>
      <c r="J1639" s="23"/>
      <c r="K1639" s="16"/>
      <c r="L1639" s="23"/>
      <c r="M1639" s="23"/>
      <c r="N1639" s="23"/>
      <c r="O1639" s="16"/>
      <c r="P1639" s="23"/>
      <c r="Q1639" s="23"/>
      <c r="R1639" s="23"/>
      <c r="S1639" s="16"/>
      <c r="T1639" s="23"/>
      <c r="U1639" s="23"/>
      <c r="V1639" s="23"/>
      <c r="W1639" s="16"/>
      <c r="X1639" s="23"/>
      <c r="Y1639" s="23"/>
      <c r="Z1639" s="23"/>
      <c r="AA1639" s="16"/>
      <c r="AB1639" s="23"/>
      <c r="AC1639" s="23"/>
      <c r="AD1639" s="23"/>
      <c r="AE1639" s="16"/>
      <c r="AF1639" s="23"/>
      <c r="AG1639" s="23"/>
      <c r="AH1639" s="23"/>
      <c r="AI1639" s="16"/>
      <c r="AJ1639" s="23"/>
      <c r="AK1639" s="23"/>
      <c r="AL1639" s="23"/>
      <c r="AM1639" s="16"/>
      <c r="AN1639" s="23"/>
      <c r="AO1639" s="23"/>
      <c r="AP1639" s="23"/>
      <c r="AQ1639" s="16"/>
      <c r="AR1639" s="23"/>
      <c r="AS1639" s="23"/>
      <c r="AT1639" s="23"/>
      <c r="AU1639" s="16"/>
      <c r="AV1639" s="23"/>
      <c r="AW1639" s="23"/>
      <c r="AX1639" s="23"/>
      <c r="AY1639" s="16"/>
      <c r="AZ1639" s="23"/>
      <c r="BA1639" s="23"/>
      <c r="BB1639" s="23"/>
      <c r="BC1639" s="16"/>
      <c r="BD1639" s="23"/>
      <c r="BE1639" s="23"/>
      <c r="BF1639" s="23"/>
      <c r="BG1639" s="16"/>
      <c r="BH1639" s="23"/>
      <c r="BI1639" s="23"/>
      <c r="BJ1639" s="23"/>
      <c r="BN1639" s="23"/>
      <c r="BO1639" s="23"/>
      <c r="BP1639" s="16"/>
      <c r="BQ1639" s="16"/>
      <c r="BR1639" s="23"/>
      <c r="BS1639" s="16"/>
      <c r="BT1639" s="16"/>
      <c r="BU1639" s="16"/>
      <c r="BV1639" s="16"/>
      <c r="BW1639" s="16"/>
      <c r="BX1639" s="16"/>
      <c r="BY1639" s="16"/>
    </row>
    <row r="1640">
      <c r="A1640" s="16"/>
      <c r="B1640" s="16"/>
      <c r="C1640" s="22"/>
      <c r="D1640" s="16"/>
      <c r="E1640" s="16"/>
      <c r="F1640" s="16"/>
      <c r="G1640" s="16"/>
      <c r="H1640" s="16"/>
      <c r="I1640" s="23"/>
      <c r="J1640" s="23"/>
      <c r="K1640" s="16"/>
      <c r="L1640" s="23"/>
      <c r="M1640" s="23"/>
      <c r="N1640" s="23"/>
      <c r="O1640" s="16"/>
      <c r="P1640" s="23"/>
      <c r="Q1640" s="23"/>
      <c r="R1640" s="23"/>
      <c r="S1640" s="16"/>
      <c r="T1640" s="23"/>
      <c r="U1640" s="23"/>
      <c r="V1640" s="23"/>
      <c r="W1640" s="16"/>
      <c r="X1640" s="23"/>
      <c r="Y1640" s="23"/>
      <c r="Z1640" s="23"/>
      <c r="AA1640" s="16"/>
      <c r="AB1640" s="23"/>
      <c r="AC1640" s="23"/>
      <c r="AD1640" s="23"/>
      <c r="AE1640" s="16"/>
      <c r="AF1640" s="23"/>
      <c r="AG1640" s="23"/>
      <c r="AH1640" s="23"/>
      <c r="AI1640" s="16"/>
      <c r="AJ1640" s="23"/>
      <c r="AK1640" s="23"/>
      <c r="AL1640" s="23"/>
      <c r="AM1640" s="16"/>
      <c r="AN1640" s="23"/>
      <c r="AO1640" s="23"/>
      <c r="AP1640" s="23"/>
      <c r="AQ1640" s="16"/>
      <c r="AR1640" s="23"/>
      <c r="AS1640" s="23"/>
      <c r="AT1640" s="23"/>
      <c r="AU1640" s="16"/>
      <c r="AV1640" s="23"/>
      <c r="AW1640" s="23"/>
      <c r="AX1640" s="23"/>
      <c r="AY1640" s="16"/>
      <c r="AZ1640" s="23"/>
      <c r="BA1640" s="23"/>
      <c r="BB1640" s="23"/>
      <c r="BC1640" s="16"/>
      <c r="BD1640" s="23"/>
      <c r="BE1640" s="23"/>
      <c r="BF1640" s="23"/>
      <c r="BG1640" s="16"/>
      <c r="BH1640" s="23"/>
      <c r="BI1640" s="23"/>
      <c r="BJ1640" s="23"/>
      <c r="BN1640" s="23"/>
      <c r="BO1640" s="23"/>
      <c r="BP1640" s="16"/>
      <c r="BQ1640" s="16"/>
      <c r="BR1640" s="23"/>
      <c r="BS1640" s="16"/>
      <c r="BT1640" s="16"/>
      <c r="BU1640" s="16"/>
      <c r="BV1640" s="16"/>
      <c r="BW1640" s="16"/>
      <c r="BX1640" s="16"/>
      <c r="BY1640" s="16"/>
    </row>
    <row r="1641">
      <c r="A1641" s="16"/>
      <c r="B1641" s="16"/>
      <c r="C1641" s="22"/>
      <c r="D1641" s="16"/>
      <c r="E1641" s="16"/>
      <c r="F1641" s="16"/>
      <c r="G1641" s="16"/>
      <c r="H1641" s="16"/>
      <c r="I1641" s="23"/>
      <c r="J1641" s="23"/>
      <c r="K1641" s="16"/>
      <c r="L1641" s="23"/>
      <c r="M1641" s="23"/>
      <c r="N1641" s="23"/>
      <c r="O1641" s="16"/>
      <c r="P1641" s="23"/>
      <c r="Q1641" s="23"/>
      <c r="R1641" s="23"/>
      <c r="S1641" s="16"/>
      <c r="T1641" s="23"/>
      <c r="U1641" s="23"/>
      <c r="V1641" s="23"/>
      <c r="W1641" s="16"/>
      <c r="X1641" s="23"/>
      <c r="Y1641" s="23"/>
      <c r="Z1641" s="23"/>
      <c r="AA1641" s="16"/>
      <c r="AB1641" s="23"/>
      <c r="AC1641" s="23"/>
      <c r="AD1641" s="23"/>
      <c r="AE1641" s="16"/>
      <c r="AF1641" s="23"/>
      <c r="AG1641" s="23"/>
      <c r="AH1641" s="23"/>
      <c r="AI1641" s="16"/>
      <c r="AJ1641" s="23"/>
      <c r="AK1641" s="23"/>
      <c r="AL1641" s="23"/>
      <c r="AM1641" s="16"/>
      <c r="AN1641" s="23"/>
      <c r="AO1641" s="23"/>
      <c r="AP1641" s="23"/>
      <c r="AQ1641" s="16"/>
      <c r="AR1641" s="23"/>
      <c r="AS1641" s="23"/>
      <c r="AT1641" s="23"/>
      <c r="AU1641" s="16"/>
      <c r="AV1641" s="23"/>
      <c r="AW1641" s="23"/>
      <c r="AX1641" s="23"/>
      <c r="AY1641" s="16"/>
      <c r="AZ1641" s="23"/>
      <c r="BA1641" s="23"/>
      <c r="BB1641" s="23"/>
      <c r="BC1641" s="16"/>
      <c r="BD1641" s="23"/>
      <c r="BE1641" s="23"/>
      <c r="BF1641" s="23"/>
      <c r="BG1641" s="16"/>
      <c r="BH1641" s="23"/>
      <c r="BI1641" s="23"/>
      <c r="BJ1641" s="23"/>
      <c r="BN1641" s="23"/>
      <c r="BO1641" s="23"/>
      <c r="BP1641" s="16"/>
      <c r="BQ1641" s="16"/>
      <c r="BR1641" s="23"/>
      <c r="BS1641" s="16"/>
      <c r="BT1641" s="16"/>
      <c r="BU1641" s="16"/>
      <c r="BV1641" s="16"/>
      <c r="BW1641" s="16"/>
      <c r="BX1641" s="16"/>
      <c r="BY1641" s="16"/>
    </row>
    <row r="1642">
      <c r="A1642" s="16"/>
      <c r="B1642" s="16"/>
      <c r="C1642" s="22"/>
      <c r="D1642" s="16"/>
      <c r="E1642" s="16"/>
      <c r="F1642" s="16"/>
      <c r="G1642" s="16"/>
      <c r="H1642" s="16"/>
      <c r="I1642" s="23"/>
      <c r="J1642" s="23"/>
      <c r="K1642" s="16"/>
      <c r="L1642" s="23"/>
      <c r="M1642" s="23"/>
      <c r="N1642" s="23"/>
      <c r="O1642" s="16"/>
      <c r="P1642" s="23"/>
      <c r="Q1642" s="23"/>
      <c r="R1642" s="23"/>
      <c r="S1642" s="16"/>
      <c r="T1642" s="23"/>
      <c r="U1642" s="23"/>
      <c r="V1642" s="23"/>
      <c r="W1642" s="16"/>
      <c r="X1642" s="23"/>
      <c r="Y1642" s="23"/>
      <c r="Z1642" s="23"/>
      <c r="AA1642" s="16"/>
      <c r="AB1642" s="23"/>
      <c r="AC1642" s="23"/>
      <c r="AD1642" s="23"/>
      <c r="AE1642" s="16"/>
      <c r="AF1642" s="23"/>
      <c r="AG1642" s="23"/>
      <c r="AH1642" s="23"/>
      <c r="AI1642" s="16"/>
      <c r="AJ1642" s="23"/>
      <c r="AK1642" s="23"/>
      <c r="AL1642" s="23"/>
      <c r="AM1642" s="16"/>
      <c r="AN1642" s="23"/>
      <c r="AO1642" s="23"/>
      <c r="AP1642" s="23"/>
      <c r="AQ1642" s="16"/>
      <c r="AR1642" s="23"/>
      <c r="AS1642" s="23"/>
      <c r="AT1642" s="23"/>
      <c r="AU1642" s="16"/>
      <c r="AV1642" s="23"/>
      <c r="AW1642" s="23"/>
      <c r="AX1642" s="23"/>
      <c r="AY1642" s="16"/>
      <c r="AZ1642" s="23"/>
      <c r="BA1642" s="23"/>
      <c r="BB1642" s="23"/>
      <c r="BC1642" s="16"/>
      <c r="BD1642" s="23"/>
      <c r="BE1642" s="23"/>
      <c r="BF1642" s="23"/>
      <c r="BG1642" s="16"/>
      <c r="BH1642" s="23"/>
      <c r="BI1642" s="23"/>
      <c r="BJ1642" s="23"/>
      <c r="BN1642" s="23"/>
      <c r="BO1642" s="23"/>
      <c r="BP1642" s="16"/>
      <c r="BQ1642" s="16"/>
      <c r="BR1642" s="23"/>
      <c r="BS1642" s="16"/>
      <c r="BT1642" s="16"/>
      <c r="BU1642" s="16"/>
      <c r="BV1642" s="16"/>
      <c r="BW1642" s="16"/>
      <c r="BX1642" s="16"/>
      <c r="BY1642" s="16"/>
    </row>
    <row r="1643">
      <c r="A1643" s="16"/>
      <c r="B1643" s="16"/>
      <c r="C1643" s="22"/>
      <c r="D1643" s="16"/>
      <c r="E1643" s="16"/>
      <c r="F1643" s="16"/>
      <c r="G1643" s="16"/>
      <c r="H1643" s="16"/>
      <c r="I1643" s="23"/>
      <c r="J1643" s="23"/>
      <c r="K1643" s="16"/>
      <c r="L1643" s="23"/>
      <c r="M1643" s="23"/>
      <c r="N1643" s="23"/>
      <c r="O1643" s="16"/>
      <c r="P1643" s="23"/>
      <c r="Q1643" s="23"/>
      <c r="R1643" s="23"/>
      <c r="S1643" s="16"/>
      <c r="T1643" s="23"/>
      <c r="U1643" s="23"/>
      <c r="V1643" s="23"/>
      <c r="W1643" s="16"/>
      <c r="X1643" s="23"/>
      <c r="Y1643" s="23"/>
      <c r="Z1643" s="23"/>
      <c r="AA1643" s="16"/>
      <c r="AB1643" s="23"/>
      <c r="AC1643" s="23"/>
      <c r="AD1643" s="23"/>
      <c r="AE1643" s="16"/>
      <c r="AF1643" s="23"/>
      <c r="AG1643" s="23"/>
      <c r="AH1643" s="23"/>
      <c r="AI1643" s="16"/>
      <c r="AJ1643" s="23"/>
      <c r="AK1643" s="23"/>
      <c r="AL1643" s="23"/>
      <c r="AM1643" s="16"/>
      <c r="AN1643" s="23"/>
      <c r="AO1643" s="23"/>
      <c r="AP1643" s="23"/>
      <c r="AQ1643" s="16"/>
      <c r="AR1643" s="23"/>
      <c r="AS1643" s="23"/>
      <c r="AT1643" s="23"/>
      <c r="AU1643" s="16"/>
      <c r="AV1643" s="23"/>
      <c r="AW1643" s="23"/>
      <c r="AX1643" s="23"/>
      <c r="AY1643" s="16"/>
      <c r="AZ1643" s="23"/>
      <c r="BA1643" s="23"/>
      <c r="BB1643" s="23"/>
      <c r="BC1643" s="16"/>
      <c r="BD1643" s="23"/>
      <c r="BE1643" s="23"/>
      <c r="BF1643" s="23"/>
      <c r="BG1643" s="16"/>
      <c r="BH1643" s="23"/>
      <c r="BI1643" s="23"/>
      <c r="BJ1643" s="23"/>
      <c r="BN1643" s="23"/>
      <c r="BO1643" s="23"/>
      <c r="BP1643" s="16"/>
      <c r="BQ1643" s="16"/>
      <c r="BR1643" s="23"/>
      <c r="BS1643" s="16"/>
      <c r="BT1643" s="16"/>
      <c r="BU1643" s="16"/>
      <c r="BV1643" s="16"/>
      <c r="BW1643" s="16"/>
      <c r="BX1643" s="16"/>
      <c r="BY1643" s="16"/>
    </row>
    <row r="1644">
      <c r="A1644" s="16"/>
      <c r="B1644" s="16"/>
      <c r="C1644" s="22"/>
      <c r="D1644" s="16"/>
      <c r="E1644" s="16"/>
      <c r="F1644" s="16"/>
      <c r="G1644" s="16"/>
      <c r="H1644" s="16"/>
      <c r="I1644" s="23"/>
      <c r="J1644" s="23"/>
      <c r="K1644" s="16"/>
      <c r="L1644" s="23"/>
      <c r="M1644" s="23"/>
      <c r="N1644" s="23"/>
      <c r="O1644" s="16"/>
      <c r="P1644" s="23"/>
      <c r="Q1644" s="23"/>
      <c r="R1644" s="23"/>
      <c r="S1644" s="16"/>
      <c r="T1644" s="23"/>
      <c r="U1644" s="23"/>
      <c r="V1644" s="23"/>
      <c r="W1644" s="16"/>
      <c r="X1644" s="23"/>
      <c r="Y1644" s="23"/>
      <c r="Z1644" s="23"/>
      <c r="AA1644" s="16"/>
      <c r="AB1644" s="23"/>
      <c r="AC1644" s="23"/>
      <c r="AD1644" s="23"/>
      <c r="AE1644" s="16"/>
      <c r="AF1644" s="23"/>
      <c r="AG1644" s="23"/>
      <c r="AH1644" s="23"/>
      <c r="AI1644" s="16"/>
      <c r="AJ1644" s="23"/>
      <c r="AK1644" s="23"/>
      <c r="AL1644" s="23"/>
      <c r="AM1644" s="16"/>
      <c r="AN1644" s="23"/>
      <c r="AO1644" s="23"/>
      <c r="AP1644" s="23"/>
      <c r="AQ1644" s="16"/>
      <c r="AR1644" s="23"/>
      <c r="AS1644" s="23"/>
      <c r="AT1644" s="23"/>
      <c r="AU1644" s="16"/>
      <c r="AV1644" s="23"/>
      <c r="AW1644" s="23"/>
      <c r="AX1644" s="23"/>
      <c r="AY1644" s="16"/>
      <c r="AZ1644" s="23"/>
      <c r="BA1644" s="23"/>
      <c r="BB1644" s="23"/>
      <c r="BC1644" s="16"/>
      <c r="BD1644" s="23"/>
      <c r="BE1644" s="23"/>
      <c r="BF1644" s="23"/>
      <c r="BG1644" s="16"/>
      <c r="BH1644" s="23"/>
      <c r="BI1644" s="23"/>
      <c r="BJ1644" s="23"/>
      <c r="BN1644" s="23"/>
      <c r="BO1644" s="23"/>
      <c r="BP1644" s="16"/>
      <c r="BQ1644" s="16"/>
      <c r="BR1644" s="23"/>
      <c r="BS1644" s="16"/>
      <c r="BT1644" s="16"/>
      <c r="BU1644" s="16"/>
      <c r="BV1644" s="16"/>
      <c r="BW1644" s="16"/>
      <c r="BX1644" s="16"/>
      <c r="BY1644" s="16"/>
    </row>
    <row r="1645">
      <c r="A1645" s="16"/>
      <c r="B1645" s="16"/>
      <c r="C1645" s="22"/>
      <c r="D1645" s="16"/>
      <c r="E1645" s="16"/>
      <c r="F1645" s="16"/>
      <c r="G1645" s="16"/>
      <c r="H1645" s="16"/>
      <c r="I1645" s="23"/>
      <c r="J1645" s="23"/>
      <c r="K1645" s="16"/>
      <c r="L1645" s="23"/>
      <c r="M1645" s="23"/>
      <c r="N1645" s="23"/>
      <c r="O1645" s="16"/>
      <c r="P1645" s="23"/>
      <c r="Q1645" s="23"/>
      <c r="R1645" s="23"/>
      <c r="S1645" s="16"/>
      <c r="T1645" s="23"/>
      <c r="U1645" s="23"/>
      <c r="V1645" s="23"/>
      <c r="W1645" s="16"/>
      <c r="X1645" s="23"/>
      <c r="Y1645" s="23"/>
      <c r="Z1645" s="23"/>
      <c r="AA1645" s="16"/>
      <c r="AB1645" s="23"/>
      <c r="AC1645" s="23"/>
      <c r="AD1645" s="23"/>
      <c r="AE1645" s="16"/>
      <c r="AF1645" s="23"/>
      <c r="AG1645" s="23"/>
      <c r="AH1645" s="23"/>
      <c r="AI1645" s="16"/>
      <c r="AJ1645" s="23"/>
      <c r="AK1645" s="23"/>
      <c r="AL1645" s="23"/>
      <c r="AM1645" s="16"/>
      <c r="AN1645" s="23"/>
      <c r="AO1645" s="23"/>
      <c r="AP1645" s="23"/>
      <c r="AQ1645" s="16"/>
      <c r="AR1645" s="23"/>
      <c r="AS1645" s="23"/>
      <c r="AT1645" s="23"/>
      <c r="AU1645" s="16"/>
      <c r="AV1645" s="23"/>
      <c r="AW1645" s="23"/>
      <c r="AX1645" s="23"/>
      <c r="AY1645" s="16"/>
      <c r="AZ1645" s="23"/>
      <c r="BA1645" s="23"/>
      <c r="BB1645" s="23"/>
      <c r="BC1645" s="16"/>
      <c r="BD1645" s="23"/>
      <c r="BE1645" s="23"/>
      <c r="BF1645" s="23"/>
      <c r="BG1645" s="16"/>
      <c r="BH1645" s="23"/>
      <c r="BI1645" s="23"/>
      <c r="BJ1645" s="23"/>
      <c r="BN1645" s="23"/>
      <c r="BO1645" s="23"/>
      <c r="BP1645" s="16"/>
      <c r="BQ1645" s="16"/>
      <c r="BR1645" s="23"/>
      <c r="BS1645" s="16"/>
      <c r="BT1645" s="16"/>
      <c r="BU1645" s="16"/>
      <c r="BV1645" s="16"/>
      <c r="BW1645" s="16"/>
      <c r="BX1645" s="16"/>
      <c r="BY1645" s="16"/>
    </row>
    <row r="1646">
      <c r="A1646" s="16"/>
      <c r="B1646" s="16"/>
      <c r="C1646" s="22"/>
      <c r="D1646" s="16"/>
      <c r="E1646" s="16"/>
      <c r="F1646" s="16"/>
      <c r="G1646" s="16"/>
      <c r="H1646" s="16"/>
      <c r="I1646" s="23"/>
      <c r="J1646" s="23"/>
      <c r="K1646" s="16"/>
      <c r="L1646" s="23"/>
      <c r="M1646" s="23"/>
      <c r="N1646" s="23"/>
      <c r="O1646" s="16"/>
      <c r="P1646" s="23"/>
      <c r="Q1646" s="23"/>
      <c r="R1646" s="23"/>
      <c r="S1646" s="16"/>
      <c r="T1646" s="23"/>
      <c r="U1646" s="23"/>
      <c r="V1646" s="23"/>
      <c r="W1646" s="16"/>
      <c r="X1646" s="23"/>
      <c r="Y1646" s="23"/>
      <c r="Z1646" s="23"/>
      <c r="AA1646" s="16"/>
      <c r="AB1646" s="23"/>
      <c r="AC1646" s="23"/>
      <c r="AD1646" s="23"/>
      <c r="AE1646" s="16"/>
      <c r="AF1646" s="23"/>
      <c r="AG1646" s="23"/>
      <c r="AH1646" s="23"/>
      <c r="AI1646" s="16"/>
      <c r="AJ1646" s="23"/>
      <c r="AK1646" s="23"/>
      <c r="AL1646" s="23"/>
      <c r="AM1646" s="16"/>
      <c r="AN1646" s="23"/>
      <c r="AO1646" s="23"/>
      <c r="AP1646" s="23"/>
      <c r="AQ1646" s="16"/>
      <c r="AR1646" s="23"/>
      <c r="AS1646" s="23"/>
      <c r="AT1646" s="23"/>
      <c r="AU1646" s="16"/>
      <c r="AV1646" s="23"/>
      <c r="AW1646" s="23"/>
      <c r="AX1646" s="23"/>
      <c r="AY1646" s="16"/>
      <c r="AZ1646" s="23"/>
      <c r="BA1646" s="23"/>
      <c r="BB1646" s="23"/>
      <c r="BC1646" s="16"/>
      <c r="BD1646" s="23"/>
      <c r="BE1646" s="23"/>
      <c r="BF1646" s="23"/>
      <c r="BG1646" s="16"/>
      <c r="BH1646" s="23"/>
      <c r="BI1646" s="23"/>
      <c r="BJ1646" s="23"/>
      <c r="BN1646" s="23"/>
      <c r="BO1646" s="23"/>
      <c r="BP1646" s="16"/>
      <c r="BQ1646" s="16"/>
      <c r="BR1646" s="23"/>
      <c r="BS1646" s="16"/>
      <c r="BT1646" s="16"/>
      <c r="BU1646" s="16"/>
      <c r="BV1646" s="16"/>
      <c r="BW1646" s="16"/>
      <c r="BX1646" s="16"/>
      <c r="BY1646" s="16"/>
    </row>
    <row r="1647">
      <c r="A1647" s="16"/>
      <c r="B1647" s="16"/>
      <c r="C1647" s="22"/>
      <c r="D1647" s="16"/>
      <c r="E1647" s="16"/>
      <c r="F1647" s="16"/>
      <c r="G1647" s="16"/>
      <c r="H1647" s="16"/>
      <c r="I1647" s="23"/>
      <c r="J1647" s="23"/>
      <c r="K1647" s="16"/>
      <c r="L1647" s="23"/>
      <c r="M1647" s="23"/>
      <c r="N1647" s="23"/>
      <c r="O1647" s="16"/>
      <c r="P1647" s="23"/>
      <c r="Q1647" s="23"/>
      <c r="R1647" s="23"/>
      <c r="S1647" s="16"/>
      <c r="T1647" s="23"/>
      <c r="U1647" s="23"/>
      <c r="V1647" s="23"/>
      <c r="W1647" s="16"/>
      <c r="X1647" s="23"/>
      <c r="Y1647" s="23"/>
      <c r="Z1647" s="23"/>
      <c r="AA1647" s="16"/>
      <c r="AB1647" s="23"/>
      <c r="AC1647" s="23"/>
      <c r="AD1647" s="23"/>
      <c r="AE1647" s="16"/>
      <c r="AF1647" s="23"/>
      <c r="AG1647" s="23"/>
      <c r="AH1647" s="23"/>
      <c r="AI1647" s="16"/>
      <c r="AJ1647" s="23"/>
      <c r="AK1647" s="23"/>
      <c r="AL1647" s="23"/>
      <c r="AM1647" s="16"/>
      <c r="AN1647" s="23"/>
      <c r="AO1647" s="23"/>
      <c r="AP1647" s="23"/>
      <c r="AQ1647" s="16"/>
      <c r="AR1647" s="23"/>
      <c r="AS1647" s="23"/>
      <c r="AT1647" s="23"/>
      <c r="AU1647" s="16"/>
      <c r="AV1647" s="23"/>
      <c r="AW1647" s="23"/>
      <c r="AX1647" s="23"/>
      <c r="AY1647" s="16"/>
      <c r="AZ1647" s="23"/>
      <c r="BA1647" s="23"/>
      <c r="BB1647" s="23"/>
      <c r="BC1647" s="16"/>
      <c r="BD1647" s="23"/>
      <c r="BE1647" s="23"/>
      <c r="BF1647" s="23"/>
      <c r="BG1647" s="16"/>
      <c r="BH1647" s="23"/>
      <c r="BI1647" s="23"/>
      <c r="BJ1647" s="23"/>
      <c r="BN1647" s="23"/>
      <c r="BO1647" s="23"/>
      <c r="BP1647" s="16"/>
      <c r="BQ1647" s="16"/>
      <c r="BR1647" s="23"/>
      <c r="BS1647" s="16"/>
      <c r="BT1647" s="16"/>
      <c r="BU1647" s="16"/>
      <c r="BV1647" s="16"/>
      <c r="BW1647" s="16"/>
      <c r="BX1647" s="16"/>
      <c r="BY1647" s="16"/>
    </row>
    <row r="1648">
      <c r="A1648" s="16"/>
      <c r="B1648" s="16"/>
      <c r="C1648" s="22"/>
      <c r="D1648" s="16"/>
      <c r="E1648" s="16"/>
      <c r="F1648" s="16"/>
      <c r="G1648" s="16"/>
      <c r="H1648" s="16"/>
      <c r="I1648" s="23"/>
      <c r="J1648" s="23"/>
      <c r="K1648" s="16"/>
      <c r="L1648" s="23"/>
      <c r="M1648" s="23"/>
      <c r="N1648" s="23"/>
      <c r="O1648" s="16"/>
      <c r="P1648" s="23"/>
      <c r="Q1648" s="23"/>
      <c r="R1648" s="23"/>
      <c r="S1648" s="16"/>
      <c r="T1648" s="23"/>
      <c r="U1648" s="23"/>
      <c r="V1648" s="23"/>
      <c r="W1648" s="16"/>
      <c r="X1648" s="23"/>
      <c r="Y1648" s="23"/>
      <c r="Z1648" s="23"/>
      <c r="AA1648" s="16"/>
      <c r="AB1648" s="23"/>
      <c r="AC1648" s="23"/>
      <c r="AD1648" s="23"/>
      <c r="AE1648" s="16"/>
      <c r="AF1648" s="23"/>
      <c r="AG1648" s="23"/>
      <c r="AH1648" s="23"/>
      <c r="AI1648" s="16"/>
      <c r="AJ1648" s="23"/>
      <c r="AK1648" s="23"/>
      <c r="AL1648" s="23"/>
      <c r="AM1648" s="16"/>
      <c r="AN1648" s="23"/>
      <c r="AO1648" s="23"/>
      <c r="AP1648" s="23"/>
      <c r="AQ1648" s="16"/>
      <c r="AR1648" s="23"/>
      <c r="AS1648" s="23"/>
      <c r="AT1648" s="23"/>
      <c r="AU1648" s="16"/>
      <c r="AV1648" s="23"/>
      <c r="AW1648" s="23"/>
      <c r="AX1648" s="23"/>
      <c r="AY1648" s="16"/>
      <c r="AZ1648" s="23"/>
      <c r="BA1648" s="23"/>
      <c r="BB1648" s="23"/>
      <c r="BC1648" s="16"/>
      <c r="BD1648" s="23"/>
      <c r="BE1648" s="23"/>
      <c r="BF1648" s="23"/>
      <c r="BG1648" s="16"/>
      <c r="BH1648" s="23"/>
      <c r="BI1648" s="23"/>
      <c r="BJ1648" s="23"/>
      <c r="BN1648" s="23"/>
      <c r="BO1648" s="23"/>
      <c r="BP1648" s="16"/>
      <c r="BQ1648" s="16"/>
      <c r="BR1648" s="23"/>
      <c r="BS1648" s="16"/>
      <c r="BT1648" s="16"/>
      <c r="BU1648" s="16"/>
      <c r="BV1648" s="16"/>
      <c r="BW1648" s="16"/>
      <c r="BX1648" s="16"/>
      <c r="BY1648" s="16"/>
    </row>
    <row r="1649">
      <c r="A1649" s="16"/>
      <c r="B1649" s="16"/>
      <c r="C1649" s="22"/>
      <c r="D1649" s="16"/>
      <c r="E1649" s="16"/>
      <c r="F1649" s="16"/>
      <c r="G1649" s="16"/>
      <c r="H1649" s="16"/>
      <c r="I1649" s="23"/>
      <c r="J1649" s="23"/>
      <c r="K1649" s="16"/>
      <c r="L1649" s="23"/>
      <c r="M1649" s="23"/>
      <c r="N1649" s="23"/>
      <c r="O1649" s="16"/>
      <c r="P1649" s="23"/>
      <c r="Q1649" s="23"/>
      <c r="R1649" s="23"/>
      <c r="S1649" s="16"/>
      <c r="T1649" s="23"/>
      <c r="U1649" s="23"/>
      <c r="V1649" s="23"/>
      <c r="W1649" s="16"/>
      <c r="X1649" s="23"/>
      <c r="Y1649" s="23"/>
      <c r="Z1649" s="23"/>
      <c r="AA1649" s="16"/>
      <c r="AB1649" s="23"/>
      <c r="AC1649" s="23"/>
      <c r="AD1649" s="23"/>
      <c r="AE1649" s="16"/>
      <c r="AF1649" s="23"/>
      <c r="AG1649" s="23"/>
      <c r="AH1649" s="23"/>
      <c r="AI1649" s="16"/>
      <c r="AJ1649" s="23"/>
      <c r="AK1649" s="23"/>
      <c r="AL1649" s="23"/>
      <c r="AM1649" s="16"/>
      <c r="AN1649" s="23"/>
      <c r="AO1649" s="23"/>
      <c r="AP1649" s="23"/>
      <c r="AQ1649" s="16"/>
      <c r="AR1649" s="23"/>
      <c r="AS1649" s="23"/>
      <c r="AT1649" s="23"/>
      <c r="AU1649" s="16"/>
      <c r="AV1649" s="23"/>
      <c r="AW1649" s="23"/>
      <c r="AX1649" s="23"/>
      <c r="AY1649" s="16"/>
      <c r="AZ1649" s="23"/>
      <c r="BA1649" s="23"/>
      <c r="BB1649" s="23"/>
      <c r="BC1649" s="16"/>
      <c r="BD1649" s="23"/>
      <c r="BE1649" s="23"/>
      <c r="BF1649" s="23"/>
      <c r="BG1649" s="16"/>
      <c r="BH1649" s="23"/>
      <c r="BI1649" s="23"/>
      <c r="BJ1649" s="23"/>
      <c r="BN1649" s="23"/>
      <c r="BO1649" s="23"/>
      <c r="BP1649" s="16"/>
      <c r="BQ1649" s="16"/>
      <c r="BR1649" s="23"/>
      <c r="BS1649" s="16"/>
      <c r="BT1649" s="16"/>
      <c r="BU1649" s="16"/>
      <c r="BV1649" s="16"/>
      <c r="BW1649" s="16"/>
      <c r="BX1649" s="16"/>
      <c r="BY1649" s="16"/>
    </row>
    <row r="1650">
      <c r="A1650" s="16"/>
      <c r="B1650" s="16"/>
      <c r="C1650" s="22"/>
      <c r="D1650" s="16"/>
      <c r="E1650" s="16"/>
      <c r="F1650" s="16"/>
      <c r="G1650" s="16"/>
      <c r="H1650" s="16"/>
      <c r="I1650" s="23"/>
      <c r="J1650" s="23"/>
      <c r="K1650" s="16"/>
      <c r="L1650" s="23"/>
      <c r="M1650" s="23"/>
      <c r="N1650" s="23"/>
      <c r="O1650" s="16"/>
      <c r="P1650" s="23"/>
      <c r="Q1650" s="23"/>
      <c r="R1650" s="23"/>
      <c r="S1650" s="16"/>
      <c r="T1650" s="23"/>
      <c r="U1650" s="23"/>
      <c r="V1650" s="23"/>
      <c r="W1650" s="16"/>
      <c r="X1650" s="23"/>
      <c r="Y1650" s="23"/>
      <c r="Z1650" s="23"/>
      <c r="AA1650" s="16"/>
      <c r="AB1650" s="23"/>
      <c r="AC1650" s="23"/>
      <c r="AD1650" s="23"/>
      <c r="AE1650" s="16"/>
      <c r="AF1650" s="23"/>
      <c r="AG1650" s="23"/>
      <c r="AH1650" s="23"/>
      <c r="AI1650" s="16"/>
      <c r="AJ1650" s="23"/>
      <c r="AK1650" s="23"/>
      <c r="AL1650" s="23"/>
      <c r="AM1650" s="16"/>
      <c r="AN1650" s="23"/>
      <c r="AO1650" s="23"/>
      <c r="AP1650" s="23"/>
      <c r="AQ1650" s="16"/>
      <c r="AR1650" s="23"/>
      <c r="AS1650" s="23"/>
      <c r="AT1650" s="23"/>
      <c r="AU1650" s="16"/>
      <c r="AV1650" s="23"/>
      <c r="AW1650" s="23"/>
      <c r="AX1650" s="23"/>
      <c r="AY1650" s="16"/>
      <c r="AZ1650" s="23"/>
      <c r="BA1650" s="23"/>
      <c r="BB1650" s="23"/>
      <c r="BC1650" s="16"/>
      <c r="BD1650" s="23"/>
      <c r="BE1650" s="23"/>
      <c r="BF1650" s="23"/>
      <c r="BG1650" s="16"/>
      <c r="BH1650" s="23"/>
      <c r="BI1650" s="23"/>
      <c r="BJ1650" s="23"/>
      <c r="BN1650" s="23"/>
      <c r="BO1650" s="23"/>
      <c r="BP1650" s="16"/>
      <c r="BQ1650" s="16"/>
      <c r="BR1650" s="23"/>
      <c r="BS1650" s="16"/>
      <c r="BT1650" s="16"/>
      <c r="BU1650" s="16"/>
      <c r="BV1650" s="16"/>
      <c r="BW1650" s="16"/>
      <c r="BX1650" s="16"/>
      <c r="BY1650" s="16"/>
    </row>
    <row r="1651">
      <c r="A1651" s="16"/>
      <c r="B1651" s="16"/>
      <c r="C1651" s="22"/>
      <c r="D1651" s="16"/>
      <c r="E1651" s="16"/>
      <c r="F1651" s="16"/>
      <c r="G1651" s="16"/>
      <c r="H1651" s="16"/>
      <c r="I1651" s="23"/>
      <c r="J1651" s="23"/>
      <c r="K1651" s="16"/>
      <c r="L1651" s="23"/>
      <c r="M1651" s="23"/>
      <c r="N1651" s="23"/>
      <c r="O1651" s="16"/>
      <c r="P1651" s="23"/>
      <c r="Q1651" s="23"/>
      <c r="R1651" s="23"/>
      <c r="S1651" s="16"/>
      <c r="T1651" s="23"/>
      <c r="U1651" s="23"/>
      <c r="V1651" s="23"/>
      <c r="W1651" s="16"/>
      <c r="X1651" s="23"/>
      <c r="Y1651" s="23"/>
      <c r="Z1651" s="23"/>
      <c r="AA1651" s="16"/>
      <c r="AB1651" s="23"/>
      <c r="AC1651" s="23"/>
      <c r="AD1651" s="23"/>
      <c r="AE1651" s="16"/>
      <c r="AF1651" s="23"/>
      <c r="AG1651" s="23"/>
      <c r="AH1651" s="23"/>
      <c r="AI1651" s="16"/>
      <c r="AJ1651" s="23"/>
      <c r="AK1651" s="23"/>
      <c r="AL1651" s="23"/>
      <c r="AM1651" s="16"/>
      <c r="AN1651" s="23"/>
      <c r="AO1651" s="23"/>
      <c r="AP1651" s="23"/>
      <c r="AQ1651" s="16"/>
      <c r="AR1651" s="23"/>
      <c r="AS1651" s="23"/>
      <c r="AT1651" s="23"/>
      <c r="AU1651" s="16"/>
      <c r="AV1651" s="23"/>
      <c r="AW1651" s="23"/>
      <c r="AX1651" s="23"/>
      <c r="AY1651" s="16"/>
      <c r="AZ1651" s="23"/>
      <c r="BA1651" s="23"/>
      <c r="BB1651" s="23"/>
      <c r="BC1651" s="16"/>
      <c r="BD1651" s="23"/>
      <c r="BE1651" s="23"/>
      <c r="BF1651" s="23"/>
      <c r="BG1651" s="16"/>
      <c r="BH1651" s="23"/>
      <c r="BI1651" s="23"/>
      <c r="BJ1651" s="23"/>
      <c r="BN1651" s="23"/>
      <c r="BO1651" s="23"/>
      <c r="BP1651" s="16"/>
      <c r="BQ1651" s="16"/>
      <c r="BR1651" s="23"/>
      <c r="BS1651" s="16"/>
      <c r="BT1651" s="16"/>
      <c r="BU1651" s="16"/>
      <c r="BV1651" s="16"/>
      <c r="BW1651" s="16"/>
      <c r="BX1651" s="16"/>
      <c r="BY1651" s="16"/>
    </row>
    <row r="1652">
      <c r="A1652" s="16"/>
      <c r="B1652" s="16"/>
      <c r="C1652" s="22"/>
      <c r="D1652" s="16"/>
      <c r="E1652" s="16"/>
      <c r="F1652" s="16"/>
      <c r="G1652" s="16"/>
      <c r="H1652" s="16"/>
      <c r="I1652" s="23"/>
      <c r="J1652" s="23"/>
      <c r="K1652" s="16"/>
      <c r="L1652" s="23"/>
      <c r="M1652" s="23"/>
      <c r="N1652" s="23"/>
      <c r="O1652" s="16"/>
      <c r="P1652" s="23"/>
      <c r="Q1652" s="23"/>
      <c r="R1652" s="23"/>
      <c r="S1652" s="16"/>
      <c r="T1652" s="23"/>
      <c r="U1652" s="23"/>
      <c r="V1652" s="23"/>
      <c r="W1652" s="16"/>
      <c r="X1652" s="23"/>
      <c r="Y1652" s="23"/>
      <c r="Z1652" s="23"/>
      <c r="AA1652" s="16"/>
      <c r="AB1652" s="23"/>
      <c r="AC1652" s="23"/>
      <c r="AD1652" s="23"/>
      <c r="AE1652" s="16"/>
      <c r="AF1652" s="23"/>
      <c r="AG1652" s="23"/>
      <c r="AH1652" s="23"/>
      <c r="AI1652" s="16"/>
      <c r="AJ1652" s="23"/>
      <c r="AK1652" s="23"/>
      <c r="AL1652" s="23"/>
      <c r="AM1652" s="16"/>
      <c r="AN1652" s="23"/>
      <c r="AO1652" s="23"/>
      <c r="AP1652" s="23"/>
      <c r="AQ1652" s="16"/>
      <c r="AR1652" s="23"/>
      <c r="AS1652" s="23"/>
      <c r="AT1652" s="23"/>
      <c r="AU1652" s="16"/>
      <c r="AV1652" s="23"/>
      <c r="AW1652" s="23"/>
      <c r="AX1652" s="23"/>
      <c r="AY1652" s="16"/>
      <c r="AZ1652" s="23"/>
      <c r="BA1652" s="23"/>
      <c r="BB1652" s="23"/>
      <c r="BC1652" s="16"/>
      <c r="BD1652" s="23"/>
      <c r="BE1652" s="23"/>
      <c r="BF1652" s="23"/>
      <c r="BG1652" s="16"/>
      <c r="BH1652" s="23"/>
      <c r="BI1652" s="23"/>
      <c r="BJ1652" s="23"/>
      <c r="BN1652" s="23"/>
      <c r="BO1652" s="23"/>
      <c r="BP1652" s="16"/>
      <c r="BQ1652" s="16"/>
      <c r="BR1652" s="23"/>
      <c r="BS1652" s="16"/>
      <c r="BT1652" s="16"/>
      <c r="BU1652" s="16"/>
      <c r="BV1652" s="16"/>
      <c r="BW1652" s="16"/>
      <c r="BX1652" s="16"/>
      <c r="BY1652" s="16"/>
    </row>
    <row r="1653">
      <c r="A1653" s="16"/>
      <c r="B1653" s="16"/>
      <c r="C1653" s="22"/>
      <c r="D1653" s="16"/>
      <c r="E1653" s="16"/>
      <c r="F1653" s="16"/>
      <c r="G1653" s="16"/>
      <c r="H1653" s="16"/>
      <c r="I1653" s="23"/>
      <c r="J1653" s="23"/>
      <c r="K1653" s="16"/>
      <c r="L1653" s="23"/>
      <c r="M1653" s="23"/>
      <c r="N1653" s="23"/>
      <c r="O1653" s="16"/>
      <c r="P1653" s="23"/>
      <c r="Q1653" s="23"/>
      <c r="R1653" s="23"/>
      <c r="S1653" s="16"/>
      <c r="T1653" s="23"/>
      <c r="U1653" s="23"/>
      <c r="V1653" s="23"/>
      <c r="W1653" s="16"/>
      <c r="X1653" s="23"/>
      <c r="Y1653" s="23"/>
      <c r="Z1653" s="23"/>
      <c r="AA1653" s="16"/>
      <c r="AB1653" s="23"/>
      <c r="AC1653" s="23"/>
      <c r="AD1653" s="23"/>
      <c r="AE1653" s="16"/>
      <c r="AF1653" s="23"/>
      <c r="AG1653" s="23"/>
      <c r="AH1653" s="23"/>
      <c r="AI1653" s="16"/>
      <c r="AJ1653" s="23"/>
      <c r="AK1653" s="23"/>
      <c r="AL1653" s="23"/>
      <c r="AM1653" s="16"/>
      <c r="AN1653" s="23"/>
      <c r="AO1653" s="23"/>
      <c r="AP1653" s="23"/>
      <c r="AQ1653" s="16"/>
      <c r="AR1653" s="23"/>
      <c r="AS1653" s="23"/>
      <c r="AT1653" s="23"/>
      <c r="AU1653" s="16"/>
      <c r="AV1653" s="23"/>
      <c r="AW1653" s="23"/>
      <c r="AX1653" s="23"/>
      <c r="AY1653" s="16"/>
      <c r="AZ1653" s="23"/>
      <c r="BA1653" s="23"/>
      <c r="BB1653" s="23"/>
      <c r="BC1653" s="16"/>
      <c r="BD1653" s="23"/>
      <c r="BE1653" s="23"/>
      <c r="BF1653" s="23"/>
      <c r="BG1653" s="16"/>
      <c r="BH1653" s="23"/>
      <c r="BI1653" s="23"/>
      <c r="BJ1653" s="23"/>
      <c r="BN1653" s="23"/>
      <c r="BO1653" s="23"/>
      <c r="BP1653" s="16"/>
      <c r="BQ1653" s="16"/>
      <c r="BR1653" s="23"/>
      <c r="BS1653" s="16"/>
      <c r="BT1653" s="16"/>
      <c r="BU1653" s="16"/>
      <c r="BV1653" s="16"/>
      <c r="BW1653" s="16"/>
      <c r="BX1653" s="16"/>
      <c r="BY1653" s="16"/>
    </row>
    <row r="1654">
      <c r="A1654" s="16"/>
      <c r="B1654" s="16"/>
      <c r="C1654" s="22"/>
      <c r="D1654" s="16"/>
      <c r="E1654" s="16"/>
      <c r="F1654" s="16"/>
      <c r="G1654" s="16"/>
      <c r="H1654" s="16"/>
      <c r="I1654" s="23"/>
      <c r="J1654" s="23"/>
      <c r="K1654" s="16"/>
      <c r="L1654" s="23"/>
      <c r="M1654" s="23"/>
      <c r="N1654" s="23"/>
      <c r="O1654" s="16"/>
      <c r="P1654" s="23"/>
      <c r="Q1654" s="23"/>
      <c r="R1654" s="23"/>
      <c r="S1654" s="16"/>
      <c r="T1654" s="23"/>
      <c r="U1654" s="23"/>
      <c r="V1654" s="23"/>
      <c r="W1654" s="16"/>
      <c r="X1654" s="23"/>
      <c r="Y1654" s="23"/>
      <c r="Z1654" s="23"/>
      <c r="AA1654" s="16"/>
      <c r="AB1654" s="23"/>
      <c r="AC1654" s="23"/>
      <c r="AD1654" s="23"/>
      <c r="AE1654" s="16"/>
      <c r="AF1654" s="23"/>
      <c r="AG1654" s="23"/>
      <c r="AH1654" s="23"/>
      <c r="AI1654" s="16"/>
      <c r="AJ1654" s="23"/>
      <c r="AK1654" s="23"/>
      <c r="AL1654" s="23"/>
      <c r="AM1654" s="16"/>
      <c r="AN1654" s="23"/>
      <c r="AO1654" s="23"/>
      <c r="AP1654" s="23"/>
      <c r="AQ1654" s="16"/>
      <c r="AR1654" s="23"/>
      <c r="AS1654" s="23"/>
      <c r="AT1654" s="23"/>
      <c r="AU1654" s="16"/>
      <c r="AV1654" s="23"/>
      <c r="AW1654" s="23"/>
      <c r="AX1654" s="23"/>
      <c r="AY1654" s="16"/>
      <c r="AZ1654" s="23"/>
      <c r="BA1654" s="23"/>
      <c r="BB1654" s="23"/>
      <c r="BC1654" s="16"/>
      <c r="BD1654" s="23"/>
      <c r="BE1654" s="23"/>
      <c r="BF1654" s="23"/>
      <c r="BG1654" s="16"/>
      <c r="BH1654" s="23"/>
      <c r="BI1654" s="23"/>
      <c r="BJ1654" s="23"/>
      <c r="BN1654" s="23"/>
      <c r="BO1654" s="23"/>
      <c r="BP1654" s="16"/>
      <c r="BQ1654" s="16"/>
      <c r="BR1654" s="23"/>
      <c r="BS1654" s="16"/>
      <c r="BT1654" s="16"/>
      <c r="BU1654" s="16"/>
      <c r="BV1654" s="16"/>
      <c r="BW1654" s="16"/>
      <c r="BX1654" s="16"/>
      <c r="BY1654" s="16"/>
    </row>
    <row r="1655">
      <c r="A1655" s="16"/>
      <c r="B1655" s="16"/>
      <c r="C1655" s="22"/>
      <c r="D1655" s="16"/>
      <c r="E1655" s="16"/>
      <c r="F1655" s="16"/>
      <c r="G1655" s="16"/>
      <c r="H1655" s="16"/>
      <c r="I1655" s="23"/>
      <c r="J1655" s="23"/>
      <c r="K1655" s="16"/>
      <c r="L1655" s="23"/>
      <c r="M1655" s="23"/>
      <c r="N1655" s="23"/>
      <c r="O1655" s="16"/>
      <c r="P1655" s="23"/>
      <c r="Q1655" s="23"/>
      <c r="R1655" s="23"/>
      <c r="S1655" s="16"/>
      <c r="T1655" s="23"/>
      <c r="U1655" s="23"/>
      <c r="V1655" s="23"/>
      <c r="W1655" s="16"/>
      <c r="X1655" s="23"/>
      <c r="Y1655" s="23"/>
      <c r="Z1655" s="23"/>
      <c r="AA1655" s="16"/>
      <c r="AB1655" s="23"/>
      <c r="AC1655" s="23"/>
      <c r="AD1655" s="23"/>
      <c r="AE1655" s="16"/>
      <c r="AF1655" s="23"/>
      <c r="AG1655" s="23"/>
      <c r="AH1655" s="23"/>
      <c r="AI1655" s="16"/>
      <c r="AJ1655" s="23"/>
      <c r="AK1655" s="23"/>
      <c r="AL1655" s="23"/>
      <c r="AM1655" s="16"/>
      <c r="AN1655" s="23"/>
      <c r="AO1655" s="23"/>
      <c r="AP1655" s="23"/>
      <c r="AQ1655" s="16"/>
      <c r="AR1655" s="23"/>
      <c r="AS1655" s="23"/>
      <c r="AT1655" s="23"/>
      <c r="AU1655" s="16"/>
      <c r="AV1655" s="23"/>
      <c r="AW1655" s="23"/>
      <c r="AX1655" s="23"/>
      <c r="AY1655" s="16"/>
      <c r="AZ1655" s="23"/>
      <c r="BA1655" s="23"/>
      <c r="BB1655" s="23"/>
      <c r="BC1655" s="16"/>
      <c r="BD1655" s="23"/>
      <c r="BE1655" s="23"/>
      <c r="BF1655" s="23"/>
      <c r="BG1655" s="16"/>
      <c r="BH1655" s="23"/>
      <c r="BI1655" s="23"/>
      <c r="BJ1655" s="23"/>
      <c r="BN1655" s="23"/>
      <c r="BO1655" s="23"/>
      <c r="BP1655" s="16"/>
      <c r="BQ1655" s="16"/>
      <c r="BR1655" s="23"/>
      <c r="BS1655" s="16"/>
      <c r="BT1655" s="16"/>
      <c r="BU1655" s="16"/>
      <c r="BV1655" s="16"/>
      <c r="BW1655" s="16"/>
      <c r="BX1655" s="16"/>
      <c r="BY1655" s="16"/>
    </row>
    <row r="1656">
      <c r="A1656" s="16"/>
      <c r="B1656" s="16"/>
      <c r="C1656" s="22"/>
      <c r="D1656" s="16"/>
      <c r="E1656" s="16"/>
      <c r="F1656" s="16"/>
      <c r="G1656" s="16"/>
      <c r="H1656" s="16"/>
      <c r="I1656" s="23"/>
      <c r="J1656" s="23"/>
      <c r="K1656" s="16"/>
      <c r="L1656" s="23"/>
      <c r="M1656" s="23"/>
      <c r="N1656" s="23"/>
      <c r="O1656" s="16"/>
      <c r="P1656" s="23"/>
      <c r="Q1656" s="23"/>
      <c r="R1656" s="23"/>
      <c r="S1656" s="16"/>
      <c r="T1656" s="23"/>
      <c r="U1656" s="23"/>
      <c r="V1656" s="23"/>
      <c r="W1656" s="16"/>
      <c r="X1656" s="23"/>
      <c r="Y1656" s="23"/>
      <c r="Z1656" s="23"/>
      <c r="AA1656" s="16"/>
      <c r="AB1656" s="23"/>
      <c r="AC1656" s="23"/>
      <c r="AD1656" s="23"/>
      <c r="AE1656" s="16"/>
      <c r="AF1656" s="23"/>
      <c r="AG1656" s="23"/>
      <c r="AH1656" s="23"/>
      <c r="AI1656" s="16"/>
      <c r="AJ1656" s="23"/>
      <c r="AK1656" s="23"/>
      <c r="AL1656" s="23"/>
      <c r="AM1656" s="16"/>
      <c r="AN1656" s="23"/>
      <c r="AO1656" s="23"/>
      <c r="AP1656" s="23"/>
      <c r="AQ1656" s="16"/>
      <c r="AR1656" s="23"/>
      <c r="AS1656" s="23"/>
      <c r="AT1656" s="23"/>
      <c r="AU1656" s="16"/>
      <c r="AV1656" s="23"/>
      <c r="AW1656" s="23"/>
      <c r="AX1656" s="23"/>
      <c r="AY1656" s="16"/>
      <c r="AZ1656" s="23"/>
      <c r="BA1656" s="23"/>
      <c r="BB1656" s="23"/>
      <c r="BC1656" s="16"/>
      <c r="BD1656" s="23"/>
      <c r="BE1656" s="23"/>
      <c r="BF1656" s="23"/>
      <c r="BG1656" s="16"/>
      <c r="BH1656" s="23"/>
      <c r="BI1656" s="23"/>
      <c r="BJ1656" s="23"/>
      <c r="BN1656" s="23"/>
      <c r="BO1656" s="23"/>
      <c r="BP1656" s="16"/>
      <c r="BQ1656" s="16"/>
      <c r="BR1656" s="23"/>
      <c r="BS1656" s="16"/>
      <c r="BT1656" s="16"/>
      <c r="BU1656" s="16"/>
      <c r="BV1656" s="16"/>
      <c r="BW1656" s="16"/>
      <c r="BX1656" s="16"/>
      <c r="BY1656" s="16"/>
    </row>
    <row r="1657">
      <c r="A1657" s="16"/>
      <c r="B1657" s="16"/>
      <c r="C1657" s="22"/>
      <c r="D1657" s="16"/>
      <c r="E1657" s="16"/>
      <c r="F1657" s="16"/>
      <c r="G1657" s="16"/>
      <c r="H1657" s="16"/>
      <c r="I1657" s="23"/>
      <c r="J1657" s="23"/>
      <c r="K1657" s="16"/>
      <c r="L1657" s="23"/>
      <c r="M1657" s="23"/>
      <c r="N1657" s="23"/>
      <c r="O1657" s="16"/>
      <c r="P1657" s="23"/>
      <c r="Q1657" s="23"/>
      <c r="R1657" s="23"/>
      <c r="S1657" s="16"/>
      <c r="T1657" s="23"/>
      <c r="U1657" s="23"/>
      <c r="V1657" s="23"/>
      <c r="W1657" s="16"/>
      <c r="X1657" s="23"/>
      <c r="Y1657" s="23"/>
      <c r="Z1657" s="23"/>
      <c r="AA1657" s="16"/>
      <c r="AB1657" s="23"/>
      <c r="AC1657" s="23"/>
      <c r="AD1657" s="23"/>
      <c r="AE1657" s="16"/>
      <c r="AF1657" s="23"/>
      <c r="AG1657" s="23"/>
      <c r="AH1657" s="23"/>
      <c r="AI1657" s="16"/>
      <c r="AJ1657" s="23"/>
      <c r="AK1657" s="23"/>
      <c r="AL1657" s="23"/>
      <c r="AM1657" s="16"/>
      <c r="AN1657" s="23"/>
      <c r="AO1657" s="23"/>
      <c r="AP1657" s="23"/>
      <c r="AQ1657" s="16"/>
      <c r="AR1657" s="23"/>
      <c r="AS1657" s="23"/>
      <c r="AT1657" s="23"/>
      <c r="AU1657" s="16"/>
      <c r="AV1657" s="23"/>
      <c r="AW1657" s="23"/>
      <c r="AX1657" s="23"/>
      <c r="AY1657" s="16"/>
      <c r="AZ1657" s="23"/>
      <c r="BA1657" s="23"/>
      <c r="BB1657" s="23"/>
      <c r="BC1657" s="16"/>
      <c r="BD1657" s="23"/>
      <c r="BE1657" s="23"/>
      <c r="BF1657" s="23"/>
      <c r="BG1657" s="16"/>
      <c r="BH1657" s="23"/>
      <c r="BI1657" s="23"/>
      <c r="BJ1657" s="23"/>
      <c r="BN1657" s="23"/>
      <c r="BO1657" s="23"/>
      <c r="BP1657" s="16"/>
      <c r="BQ1657" s="16"/>
      <c r="BR1657" s="23"/>
      <c r="BS1657" s="16"/>
      <c r="BT1657" s="16"/>
      <c r="BU1657" s="16"/>
      <c r="BV1657" s="16"/>
      <c r="BW1657" s="16"/>
      <c r="BX1657" s="16"/>
      <c r="BY1657" s="16"/>
    </row>
    <row r="1658">
      <c r="A1658" s="16"/>
      <c r="B1658" s="16"/>
      <c r="C1658" s="22"/>
      <c r="D1658" s="16"/>
      <c r="E1658" s="16"/>
      <c r="F1658" s="16"/>
      <c r="G1658" s="16"/>
      <c r="H1658" s="16"/>
      <c r="I1658" s="23"/>
      <c r="J1658" s="23"/>
      <c r="K1658" s="16"/>
      <c r="L1658" s="23"/>
      <c r="M1658" s="23"/>
      <c r="N1658" s="23"/>
      <c r="O1658" s="16"/>
      <c r="P1658" s="23"/>
      <c r="Q1658" s="23"/>
      <c r="R1658" s="23"/>
      <c r="S1658" s="16"/>
      <c r="T1658" s="23"/>
      <c r="U1658" s="23"/>
      <c r="V1658" s="23"/>
      <c r="W1658" s="16"/>
      <c r="X1658" s="23"/>
      <c r="Y1658" s="23"/>
      <c r="Z1658" s="23"/>
      <c r="AA1658" s="16"/>
      <c r="AB1658" s="23"/>
      <c r="AC1658" s="23"/>
      <c r="AD1658" s="23"/>
      <c r="AE1658" s="16"/>
      <c r="AF1658" s="23"/>
      <c r="AG1658" s="23"/>
      <c r="AH1658" s="23"/>
      <c r="AI1658" s="16"/>
      <c r="AJ1658" s="23"/>
      <c r="AK1658" s="23"/>
      <c r="AL1658" s="23"/>
      <c r="AM1658" s="16"/>
      <c r="AN1658" s="23"/>
      <c r="AO1658" s="23"/>
      <c r="AP1658" s="23"/>
      <c r="AQ1658" s="16"/>
      <c r="AR1658" s="23"/>
      <c r="AS1658" s="23"/>
      <c r="AT1658" s="23"/>
      <c r="AU1658" s="16"/>
      <c r="AV1658" s="23"/>
      <c r="AW1658" s="23"/>
      <c r="AX1658" s="23"/>
      <c r="AY1658" s="16"/>
      <c r="AZ1658" s="23"/>
      <c r="BA1658" s="23"/>
      <c r="BB1658" s="23"/>
      <c r="BC1658" s="16"/>
      <c r="BD1658" s="23"/>
      <c r="BE1658" s="23"/>
      <c r="BF1658" s="23"/>
      <c r="BG1658" s="16"/>
      <c r="BH1658" s="23"/>
      <c r="BI1658" s="23"/>
      <c r="BJ1658" s="23"/>
      <c r="BN1658" s="23"/>
      <c r="BO1658" s="23"/>
      <c r="BP1658" s="16"/>
      <c r="BQ1658" s="16"/>
      <c r="BR1658" s="23"/>
      <c r="BS1658" s="16"/>
      <c r="BT1658" s="16"/>
      <c r="BU1658" s="16"/>
      <c r="BV1658" s="16"/>
      <c r="BW1658" s="16"/>
      <c r="BX1658" s="16"/>
      <c r="BY1658" s="16"/>
    </row>
    <row r="1659">
      <c r="A1659" s="16"/>
      <c r="B1659" s="16"/>
      <c r="C1659" s="22"/>
      <c r="D1659" s="16"/>
      <c r="E1659" s="16"/>
      <c r="F1659" s="16"/>
      <c r="G1659" s="16"/>
      <c r="H1659" s="16"/>
      <c r="I1659" s="23"/>
      <c r="J1659" s="23"/>
      <c r="K1659" s="16"/>
      <c r="L1659" s="23"/>
      <c r="M1659" s="23"/>
      <c r="N1659" s="23"/>
      <c r="O1659" s="16"/>
      <c r="P1659" s="23"/>
      <c r="Q1659" s="23"/>
      <c r="R1659" s="23"/>
      <c r="S1659" s="16"/>
      <c r="T1659" s="23"/>
      <c r="U1659" s="23"/>
      <c r="V1659" s="23"/>
      <c r="W1659" s="16"/>
      <c r="X1659" s="23"/>
      <c r="Y1659" s="23"/>
      <c r="Z1659" s="23"/>
      <c r="AA1659" s="16"/>
      <c r="AB1659" s="23"/>
      <c r="AC1659" s="23"/>
      <c r="AD1659" s="23"/>
      <c r="AE1659" s="16"/>
      <c r="AF1659" s="23"/>
      <c r="AG1659" s="23"/>
      <c r="AH1659" s="23"/>
      <c r="AI1659" s="16"/>
      <c r="AJ1659" s="23"/>
      <c r="AK1659" s="23"/>
      <c r="AL1659" s="23"/>
      <c r="AM1659" s="16"/>
      <c r="AN1659" s="23"/>
      <c r="AO1659" s="23"/>
      <c r="AP1659" s="23"/>
      <c r="AQ1659" s="16"/>
      <c r="AR1659" s="23"/>
      <c r="AS1659" s="23"/>
      <c r="AT1659" s="23"/>
      <c r="AU1659" s="16"/>
      <c r="AV1659" s="23"/>
      <c r="AW1659" s="23"/>
      <c r="AX1659" s="23"/>
      <c r="AY1659" s="16"/>
      <c r="AZ1659" s="23"/>
      <c r="BA1659" s="23"/>
      <c r="BB1659" s="23"/>
      <c r="BC1659" s="16"/>
      <c r="BD1659" s="23"/>
      <c r="BE1659" s="23"/>
      <c r="BF1659" s="23"/>
      <c r="BG1659" s="16"/>
      <c r="BH1659" s="23"/>
      <c r="BI1659" s="23"/>
      <c r="BJ1659" s="23"/>
      <c r="BN1659" s="23"/>
      <c r="BO1659" s="23"/>
      <c r="BP1659" s="16"/>
      <c r="BQ1659" s="16"/>
      <c r="BR1659" s="23"/>
      <c r="BS1659" s="16"/>
      <c r="BT1659" s="16"/>
      <c r="BU1659" s="16"/>
      <c r="BV1659" s="16"/>
      <c r="BW1659" s="16"/>
      <c r="BX1659" s="16"/>
      <c r="BY1659" s="16"/>
    </row>
    <row r="1660">
      <c r="A1660" s="16"/>
      <c r="B1660" s="16"/>
      <c r="C1660" s="22"/>
      <c r="D1660" s="16"/>
      <c r="E1660" s="16"/>
      <c r="F1660" s="16"/>
      <c r="G1660" s="16"/>
      <c r="H1660" s="16"/>
      <c r="I1660" s="23"/>
      <c r="J1660" s="23"/>
      <c r="K1660" s="16"/>
      <c r="L1660" s="23"/>
      <c r="M1660" s="23"/>
      <c r="N1660" s="23"/>
      <c r="O1660" s="16"/>
      <c r="P1660" s="23"/>
      <c r="Q1660" s="23"/>
      <c r="R1660" s="23"/>
      <c r="S1660" s="16"/>
      <c r="T1660" s="23"/>
      <c r="U1660" s="23"/>
      <c r="V1660" s="23"/>
      <c r="W1660" s="16"/>
      <c r="X1660" s="23"/>
      <c r="Y1660" s="23"/>
      <c r="Z1660" s="23"/>
      <c r="AA1660" s="16"/>
      <c r="AB1660" s="23"/>
      <c r="AC1660" s="23"/>
      <c r="AD1660" s="23"/>
      <c r="AE1660" s="16"/>
      <c r="AF1660" s="23"/>
      <c r="AG1660" s="23"/>
      <c r="AH1660" s="23"/>
      <c r="AI1660" s="16"/>
      <c r="AJ1660" s="23"/>
      <c r="AK1660" s="23"/>
      <c r="AL1660" s="23"/>
      <c r="AM1660" s="16"/>
      <c r="AN1660" s="23"/>
      <c r="AO1660" s="23"/>
      <c r="AP1660" s="23"/>
      <c r="AQ1660" s="16"/>
      <c r="AR1660" s="23"/>
      <c r="AS1660" s="23"/>
      <c r="AT1660" s="23"/>
      <c r="AU1660" s="16"/>
      <c r="AV1660" s="23"/>
      <c r="AW1660" s="23"/>
      <c r="AX1660" s="23"/>
      <c r="AY1660" s="16"/>
      <c r="AZ1660" s="23"/>
      <c r="BA1660" s="23"/>
      <c r="BB1660" s="23"/>
      <c r="BC1660" s="16"/>
      <c r="BD1660" s="23"/>
      <c r="BE1660" s="23"/>
      <c r="BF1660" s="23"/>
      <c r="BG1660" s="16"/>
      <c r="BH1660" s="23"/>
      <c r="BI1660" s="23"/>
      <c r="BJ1660" s="23"/>
      <c r="BN1660" s="23"/>
      <c r="BO1660" s="23"/>
      <c r="BP1660" s="16"/>
      <c r="BQ1660" s="16"/>
      <c r="BR1660" s="23"/>
      <c r="BS1660" s="16"/>
      <c r="BT1660" s="16"/>
      <c r="BU1660" s="16"/>
      <c r="BV1660" s="16"/>
      <c r="BW1660" s="16"/>
      <c r="BX1660" s="16"/>
      <c r="BY1660" s="16"/>
    </row>
    <row r="1661">
      <c r="A1661" s="16"/>
      <c r="B1661" s="16"/>
      <c r="C1661" s="22"/>
      <c r="D1661" s="16"/>
      <c r="E1661" s="16"/>
      <c r="F1661" s="16"/>
      <c r="G1661" s="16"/>
      <c r="H1661" s="16"/>
      <c r="I1661" s="23"/>
      <c r="J1661" s="23"/>
      <c r="K1661" s="16"/>
      <c r="L1661" s="23"/>
      <c r="M1661" s="23"/>
      <c r="N1661" s="23"/>
      <c r="O1661" s="16"/>
      <c r="P1661" s="23"/>
      <c r="Q1661" s="23"/>
      <c r="R1661" s="23"/>
      <c r="S1661" s="16"/>
      <c r="T1661" s="23"/>
      <c r="U1661" s="23"/>
      <c r="V1661" s="23"/>
      <c r="W1661" s="16"/>
      <c r="X1661" s="23"/>
      <c r="Y1661" s="23"/>
      <c r="Z1661" s="23"/>
      <c r="AA1661" s="16"/>
      <c r="AB1661" s="23"/>
      <c r="AC1661" s="23"/>
      <c r="AD1661" s="23"/>
      <c r="AE1661" s="16"/>
      <c r="AF1661" s="23"/>
      <c r="AG1661" s="23"/>
      <c r="AH1661" s="23"/>
      <c r="AI1661" s="16"/>
      <c r="AJ1661" s="23"/>
      <c r="AK1661" s="23"/>
      <c r="AL1661" s="23"/>
      <c r="AM1661" s="16"/>
      <c r="AN1661" s="23"/>
      <c r="AO1661" s="23"/>
      <c r="AP1661" s="23"/>
      <c r="AQ1661" s="16"/>
      <c r="AR1661" s="23"/>
      <c r="AS1661" s="23"/>
      <c r="AT1661" s="23"/>
      <c r="AU1661" s="16"/>
      <c r="AV1661" s="23"/>
      <c r="AW1661" s="23"/>
      <c r="AX1661" s="23"/>
      <c r="AY1661" s="16"/>
      <c r="AZ1661" s="23"/>
      <c r="BA1661" s="23"/>
      <c r="BB1661" s="23"/>
      <c r="BC1661" s="16"/>
      <c r="BD1661" s="23"/>
      <c r="BE1661" s="23"/>
      <c r="BF1661" s="23"/>
      <c r="BG1661" s="16"/>
      <c r="BH1661" s="23"/>
      <c r="BI1661" s="23"/>
      <c r="BJ1661" s="23"/>
      <c r="BN1661" s="23"/>
      <c r="BO1661" s="23"/>
      <c r="BP1661" s="16"/>
      <c r="BQ1661" s="16"/>
      <c r="BR1661" s="23"/>
      <c r="BS1661" s="16"/>
      <c r="BT1661" s="16"/>
      <c r="BU1661" s="16"/>
      <c r="BV1661" s="16"/>
      <c r="BW1661" s="16"/>
      <c r="BX1661" s="16"/>
      <c r="BY1661" s="16"/>
    </row>
    <row r="1662">
      <c r="A1662" s="16"/>
      <c r="B1662" s="16"/>
      <c r="C1662" s="22"/>
      <c r="D1662" s="16"/>
      <c r="E1662" s="16"/>
      <c r="F1662" s="16"/>
      <c r="G1662" s="16"/>
      <c r="H1662" s="16"/>
      <c r="I1662" s="23"/>
      <c r="J1662" s="23"/>
      <c r="K1662" s="16"/>
      <c r="L1662" s="23"/>
      <c r="M1662" s="23"/>
      <c r="N1662" s="23"/>
      <c r="O1662" s="16"/>
      <c r="P1662" s="23"/>
      <c r="Q1662" s="23"/>
      <c r="R1662" s="23"/>
      <c r="S1662" s="16"/>
      <c r="T1662" s="23"/>
      <c r="U1662" s="23"/>
      <c r="V1662" s="23"/>
      <c r="W1662" s="16"/>
      <c r="X1662" s="23"/>
      <c r="Y1662" s="23"/>
      <c r="Z1662" s="23"/>
      <c r="AA1662" s="16"/>
      <c r="AB1662" s="23"/>
      <c r="AC1662" s="23"/>
      <c r="AD1662" s="23"/>
      <c r="AE1662" s="16"/>
      <c r="AF1662" s="23"/>
      <c r="AG1662" s="23"/>
      <c r="AH1662" s="23"/>
      <c r="AI1662" s="16"/>
      <c r="AJ1662" s="23"/>
      <c r="AK1662" s="23"/>
      <c r="AL1662" s="23"/>
      <c r="AM1662" s="16"/>
      <c r="AN1662" s="23"/>
      <c r="AO1662" s="23"/>
      <c r="AP1662" s="23"/>
      <c r="AQ1662" s="16"/>
      <c r="AR1662" s="23"/>
      <c r="AS1662" s="23"/>
      <c r="AT1662" s="23"/>
      <c r="AU1662" s="16"/>
      <c r="AV1662" s="23"/>
      <c r="AW1662" s="23"/>
      <c r="AX1662" s="23"/>
      <c r="AY1662" s="16"/>
      <c r="AZ1662" s="23"/>
      <c r="BA1662" s="23"/>
      <c r="BB1662" s="23"/>
      <c r="BC1662" s="16"/>
      <c r="BD1662" s="23"/>
      <c r="BE1662" s="23"/>
      <c r="BF1662" s="23"/>
      <c r="BG1662" s="16"/>
      <c r="BH1662" s="23"/>
      <c r="BI1662" s="23"/>
      <c r="BJ1662" s="23"/>
      <c r="BN1662" s="23"/>
      <c r="BO1662" s="23"/>
      <c r="BP1662" s="16"/>
      <c r="BQ1662" s="16"/>
      <c r="BR1662" s="23"/>
      <c r="BS1662" s="16"/>
      <c r="BT1662" s="16"/>
      <c r="BU1662" s="16"/>
      <c r="BV1662" s="16"/>
      <c r="BW1662" s="16"/>
      <c r="BX1662" s="16"/>
      <c r="BY1662" s="16"/>
    </row>
    <row r="1663">
      <c r="A1663" s="16"/>
      <c r="B1663" s="16"/>
      <c r="C1663" s="22"/>
      <c r="D1663" s="16"/>
      <c r="E1663" s="16"/>
      <c r="F1663" s="16"/>
      <c r="G1663" s="16"/>
      <c r="H1663" s="16"/>
      <c r="I1663" s="23"/>
      <c r="J1663" s="23"/>
      <c r="K1663" s="16"/>
      <c r="L1663" s="23"/>
      <c r="M1663" s="23"/>
      <c r="N1663" s="23"/>
      <c r="O1663" s="16"/>
      <c r="P1663" s="23"/>
      <c r="Q1663" s="23"/>
      <c r="R1663" s="23"/>
      <c r="S1663" s="16"/>
      <c r="T1663" s="23"/>
      <c r="U1663" s="23"/>
      <c r="V1663" s="23"/>
      <c r="W1663" s="16"/>
      <c r="X1663" s="23"/>
      <c r="Y1663" s="23"/>
      <c r="Z1663" s="23"/>
      <c r="AA1663" s="16"/>
      <c r="AB1663" s="23"/>
      <c r="AC1663" s="23"/>
      <c r="AD1663" s="23"/>
      <c r="AE1663" s="16"/>
      <c r="AF1663" s="23"/>
      <c r="AG1663" s="23"/>
      <c r="AH1663" s="23"/>
      <c r="AI1663" s="16"/>
      <c r="AJ1663" s="23"/>
      <c r="AK1663" s="23"/>
      <c r="AL1663" s="23"/>
      <c r="AM1663" s="16"/>
      <c r="AN1663" s="23"/>
      <c r="AO1663" s="23"/>
      <c r="AP1663" s="23"/>
      <c r="AQ1663" s="16"/>
      <c r="AR1663" s="23"/>
      <c r="AS1663" s="23"/>
      <c r="AT1663" s="23"/>
      <c r="AU1663" s="16"/>
      <c r="AV1663" s="23"/>
      <c r="AW1663" s="23"/>
      <c r="AX1663" s="23"/>
      <c r="AY1663" s="16"/>
      <c r="AZ1663" s="23"/>
      <c r="BA1663" s="23"/>
      <c r="BB1663" s="23"/>
      <c r="BC1663" s="16"/>
      <c r="BD1663" s="23"/>
      <c r="BE1663" s="23"/>
      <c r="BF1663" s="23"/>
      <c r="BG1663" s="16"/>
      <c r="BH1663" s="23"/>
      <c r="BI1663" s="23"/>
      <c r="BJ1663" s="23"/>
      <c r="BN1663" s="23"/>
      <c r="BO1663" s="23"/>
      <c r="BP1663" s="16"/>
      <c r="BQ1663" s="16"/>
      <c r="BR1663" s="23"/>
      <c r="BS1663" s="16"/>
      <c r="BT1663" s="16"/>
      <c r="BU1663" s="16"/>
      <c r="BV1663" s="16"/>
      <c r="BW1663" s="16"/>
      <c r="BX1663" s="16"/>
      <c r="BY1663" s="16"/>
    </row>
    <row r="1664">
      <c r="A1664" s="16"/>
      <c r="B1664" s="16"/>
      <c r="C1664" s="22"/>
      <c r="D1664" s="16"/>
      <c r="E1664" s="16"/>
      <c r="F1664" s="16"/>
      <c r="G1664" s="16"/>
      <c r="H1664" s="16"/>
      <c r="I1664" s="23"/>
      <c r="J1664" s="23"/>
      <c r="K1664" s="16"/>
      <c r="L1664" s="23"/>
      <c r="M1664" s="23"/>
      <c r="N1664" s="23"/>
      <c r="O1664" s="16"/>
      <c r="P1664" s="23"/>
      <c r="Q1664" s="23"/>
      <c r="R1664" s="23"/>
      <c r="S1664" s="16"/>
      <c r="T1664" s="23"/>
      <c r="U1664" s="23"/>
      <c r="V1664" s="23"/>
      <c r="W1664" s="16"/>
      <c r="X1664" s="23"/>
      <c r="Y1664" s="23"/>
      <c r="Z1664" s="23"/>
      <c r="AA1664" s="16"/>
      <c r="AB1664" s="23"/>
      <c r="AC1664" s="23"/>
      <c r="AD1664" s="23"/>
      <c r="AE1664" s="16"/>
      <c r="AF1664" s="23"/>
      <c r="AG1664" s="23"/>
      <c r="AH1664" s="23"/>
      <c r="AI1664" s="16"/>
      <c r="AJ1664" s="23"/>
      <c r="AK1664" s="23"/>
      <c r="AL1664" s="23"/>
      <c r="AM1664" s="16"/>
      <c r="AN1664" s="23"/>
      <c r="AO1664" s="23"/>
      <c r="AP1664" s="23"/>
      <c r="AQ1664" s="16"/>
      <c r="AR1664" s="23"/>
      <c r="AS1664" s="23"/>
      <c r="AT1664" s="23"/>
      <c r="AU1664" s="16"/>
      <c r="AV1664" s="23"/>
      <c r="AW1664" s="23"/>
      <c r="AX1664" s="23"/>
      <c r="AY1664" s="16"/>
      <c r="AZ1664" s="23"/>
      <c r="BA1664" s="23"/>
      <c r="BB1664" s="23"/>
      <c r="BC1664" s="16"/>
      <c r="BD1664" s="23"/>
      <c r="BE1664" s="23"/>
      <c r="BF1664" s="23"/>
      <c r="BG1664" s="16"/>
      <c r="BH1664" s="23"/>
      <c r="BI1664" s="23"/>
      <c r="BJ1664" s="23"/>
      <c r="BN1664" s="23"/>
      <c r="BO1664" s="23"/>
      <c r="BP1664" s="16"/>
      <c r="BQ1664" s="16"/>
      <c r="BR1664" s="23"/>
      <c r="BS1664" s="16"/>
      <c r="BT1664" s="16"/>
      <c r="BU1664" s="16"/>
      <c r="BV1664" s="16"/>
      <c r="BW1664" s="16"/>
      <c r="BX1664" s="16"/>
      <c r="BY1664" s="16"/>
    </row>
    <row r="1665">
      <c r="A1665" s="16"/>
      <c r="B1665" s="16"/>
      <c r="C1665" s="22"/>
      <c r="D1665" s="16"/>
      <c r="E1665" s="16"/>
      <c r="F1665" s="16"/>
      <c r="G1665" s="16"/>
      <c r="H1665" s="16"/>
      <c r="I1665" s="23"/>
      <c r="J1665" s="23"/>
      <c r="K1665" s="16"/>
      <c r="L1665" s="23"/>
      <c r="M1665" s="23"/>
      <c r="N1665" s="23"/>
      <c r="O1665" s="16"/>
      <c r="P1665" s="23"/>
      <c r="Q1665" s="23"/>
      <c r="R1665" s="23"/>
      <c r="S1665" s="16"/>
      <c r="T1665" s="23"/>
      <c r="U1665" s="23"/>
      <c r="V1665" s="23"/>
      <c r="W1665" s="16"/>
      <c r="X1665" s="23"/>
      <c r="Y1665" s="23"/>
      <c r="Z1665" s="23"/>
      <c r="AA1665" s="16"/>
      <c r="AB1665" s="23"/>
      <c r="AC1665" s="23"/>
      <c r="AD1665" s="23"/>
      <c r="AE1665" s="16"/>
      <c r="AF1665" s="23"/>
      <c r="AG1665" s="23"/>
      <c r="AH1665" s="23"/>
      <c r="AI1665" s="16"/>
      <c r="AJ1665" s="23"/>
      <c r="AK1665" s="23"/>
      <c r="AL1665" s="23"/>
      <c r="AM1665" s="16"/>
      <c r="AN1665" s="23"/>
      <c r="AO1665" s="23"/>
      <c r="AP1665" s="23"/>
      <c r="AQ1665" s="16"/>
      <c r="AR1665" s="23"/>
      <c r="AS1665" s="23"/>
      <c r="AT1665" s="23"/>
      <c r="AU1665" s="16"/>
      <c r="AV1665" s="23"/>
      <c r="AW1665" s="23"/>
      <c r="AX1665" s="23"/>
      <c r="AY1665" s="16"/>
      <c r="AZ1665" s="23"/>
      <c r="BA1665" s="23"/>
      <c r="BB1665" s="23"/>
      <c r="BC1665" s="16"/>
      <c r="BD1665" s="23"/>
      <c r="BE1665" s="23"/>
      <c r="BF1665" s="23"/>
      <c r="BG1665" s="16"/>
      <c r="BH1665" s="23"/>
      <c r="BI1665" s="23"/>
      <c r="BJ1665" s="23"/>
      <c r="BN1665" s="23"/>
      <c r="BO1665" s="23"/>
      <c r="BP1665" s="16"/>
      <c r="BQ1665" s="16"/>
      <c r="BR1665" s="23"/>
      <c r="BS1665" s="16"/>
      <c r="BT1665" s="16"/>
      <c r="BU1665" s="16"/>
      <c r="BV1665" s="16"/>
      <c r="BW1665" s="16"/>
      <c r="BX1665" s="16"/>
      <c r="BY1665" s="16"/>
    </row>
    <row r="1666">
      <c r="A1666" s="16"/>
      <c r="B1666" s="16"/>
      <c r="C1666" s="22"/>
      <c r="D1666" s="16"/>
      <c r="E1666" s="16"/>
      <c r="F1666" s="16"/>
      <c r="G1666" s="16"/>
      <c r="H1666" s="16"/>
      <c r="I1666" s="23"/>
      <c r="J1666" s="23"/>
      <c r="K1666" s="16"/>
      <c r="L1666" s="23"/>
      <c r="M1666" s="23"/>
      <c r="N1666" s="23"/>
      <c r="O1666" s="16"/>
      <c r="P1666" s="23"/>
      <c r="Q1666" s="23"/>
      <c r="R1666" s="23"/>
      <c r="S1666" s="16"/>
      <c r="T1666" s="23"/>
      <c r="U1666" s="23"/>
      <c r="V1666" s="23"/>
      <c r="W1666" s="16"/>
      <c r="X1666" s="23"/>
      <c r="Y1666" s="23"/>
      <c r="Z1666" s="23"/>
      <c r="AA1666" s="16"/>
      <c r="AB1666" s="23"/>
      <c r="AC1666" s="23"/>
      <c r="AD1666" s="23"/>
      <c r="AE1666" s="16"/>
      <c r="AF1666" s="23"/>
      <c r="AG1666" s="23"/>
      <c r="AH1666" s="23"/>
      <c r="AI1666" s="16"/>
      <c r="AJ1666" s="23"/>
      <c r="AK1666" s="23"/>
      <c r="AL1666" s="23"/>
      <c r="AM1666" s="16"/>
      <c r="AN1666" s="23"/>
      <c r="AO1666" s="23"/>
      <c r="AP1666" s="23"/>
      <c r="AQ1666" s="16"/>
      <c r="AR1666" s="23"/>
      <c r="AS1666" s="23"/>
      <c r="AT1666" s="23"/>
      <c r="AU1666" s="16"/>
      <c r="AV1666" s="23"/>
      <c r="AW1666" s="23"/>
      <c r="AX1666" s="23"/>
      <c r="AY1666" s="16"/>
      <c r="AZ1666" s="23"/>
      <c r="BA1666" s="23"/>
      <c r="BB1666" s="23"/>
      <c r="BC1666" s="16"/>
      <c r="BD1666" s="23"/>
      <c r="BE1666" s="23"/>
      <c r="BF1666" s="23"/>
      <c r="BG1666" s="16"/>
      <c r="BH1666" s="23"/>
      <c r="BI1666" s="23"/>
      <c r="BJ1666" s="23"/>
      <c r="BN1666" s="23"/>
      <c r="BO1666" s="23"/>
      <c r="BP1666" s="16"/>
      <c r="BQ1666" s="16"/>
      <c r="BR1666" s="23"/>
      <c r="BS1666" s="16"/>
      <c r="BT1666" s="16"/>
      <c r="BU1666" s="16"/>
      <c r="BV1666" s="16"/>
      <c r="BW1666" s="16"/>
      <c r="BX1666" s="16"/>
      <c r="BY1666" s="16"/>
    </row>
    <row r="1667">
      <c r="A1667" s="16"/>
      <c r="B1667" s="16"/>
      <c r="C1667" s="22"/>
      <c r="D1667" s="16"/>
      <c r="E1667" s="16"/>
      <c r="F1667" s="16"/>
      <c r="G1667" s="16"/>
      <c r="H1667" s="16"/>
      <c r="I1667" s="23"/>
      <c r="J1667" s="23"/>
      <c r="K1667" s="16"/>
      <c r="L1667" s="23"/>
      <c r="M1667" s="23"/>
      <c r="N1667" s="23"/>
      <c r="O1667" s="16"/>
      <c r="P1667" s="23"/>
      <c r="Q1667" s="23"/>
      <c r="R1667" s="23"/>
      <c r="S1667" s="16"/>
      <c r="T1667" s="23"/>
      <c r="U1667" s="23"/>
      <c r="V1667" s="23"/>
      <c r="W1667" s="16"/>
      <c r="X1667" s="23"/>
      <c r="Y1667" s="23"/>
      <c r="Z1667" s="23"/>
      <c r="AA1667" s="16"/>
      <c r="AB1667" s="23"/>
      <c r="AC1667" s="23"/>
      <c r="AD1667" s="23"/>
      <c r="AE1667" s="16"/>
      <c r="AF1667" s="23"/>
      <c r="AG1667" s="23"/>
      <c r="AH1667" s="23"/>
      <c r="AI1667" s="16"/>
      <c r="AJ1667" s="23"/>
      <c r="AK1667" s="23"/>
      <c r="AL1667" s="23"/>
      <c r="AM1667" s="16"/>
      <c r="AN1667" s="23"/>
      <c r="AO1667" s="23"/>
      <c r="AP1667" s="23"/>
      <c r="AQ1667" s="16"/>
      <c r="AR1667" s="23"/>
      <c r="AS1667" s="23"/>
      <c r="AT1667" s="23"/>
      <c r="AU1667" s="16"/>
      <c r="AV1667" s="23"/>
      <c r="AW1667" s="23"/>
      <c r="AX1667" s="23"/>
      <c r="AY1667" s="16"/>
      <c r="AZ1667" s="23"/>
      <c r="BA1667" s="23"/>
      <c r="BB1667" s="23"/>
      <c r="BC1667" s="16"/>
      <c r="BD1667" s="23"/>
      <c r="BE1667" s="23"/>
      <c r="BF1667" s="23"/>
      <c r="BG1667" s="16"/>
      <c r="BH1667" s="23"/>
      <c r="BI1667" s="23"/>
      <c r="BJ1667" s="23"/>
      <c r="BN1667" s="23"/>
      <c r="BO1667" s="23"/>
      <c r="BP1667" s="16"/>
      <c r="BQ1667" s="16"/>
      <c r="BR1667" s="23"/>
      <c r="BS1667" s="16"/>
      <c r="BT1667" s="16"/>
      <c r="BU1667" s="16"/>
      <c r="BV1667" s="16"/>
      <c r="BW1667" s="16"/>
      <c r="BX1667" s="16"/>
      <c r="BY1667" s="16"/>
    </row>
    <row r="1668">
      <c r="A1668" s="16"/>
      <c r="B1668" s="16"/>
      <c r="C1668" s="22"/>
      <c r="D1668" s="16"/>
      <c r="E1668" s="16"/>
      <c r="F1668" s="16"/>
      <c r="G1668" s="16"/>
      <c r="H1668" s="16"/>
      <c r="I1668" s="23"/>
      <c r="J1668" s="23"/>
      <c r="K1668" s="16"/>
      <c r="L1668" s="23"/>
      <c r="M1668" s="23"/>
      <c r="N1668" s="23"/>
      <c r="O1668" s="16"/>
      <c r="P1668" s="23"/>
      <c r="Q1668" s="23"/>
      <c r="R1668" s="23"/>
      <c r="S1668" s="16"/>
      <c r="T1668" s="23"/>
      <c r="U1668" s="23"/>
      <c r="V1668" s="23"/>
      <c r="W1668" s="16"/>
      <c r="X1668" s="23"/>
      <c r="Y1668" s="23"/>
      <c r="Z1668" s="23"/>
      <c r="AA1668" s="16"/>
      <c r="AB1668" s="23"/>
      <c r="AC1668" s="23"/>
      <c r="AD1668" s="23"/>
      <c r="AE1668" s="16"/>
      <c r="AF1668" s="23"/>
      <c r="AG1668" s="23"/>
      <c r="AH1668" s="23"/>
      <c r="AI1668" s="16"/>
      <c r="AJ1668" s="23"/>
      <c r="AK1668" s="23"/>
      <c r="AL1668" s="23"/>
      <c r="AM1668" s="16"/>
      <c r="AN1668" s="23"/>
      <c r="AO1668" s="23"/>
      <c r="AP1668" s="23"/>
      <c r="AQ1668" s="16"/>
      <c r="AR1668" s="23"/>
      <c r="AS1668" s="23"/>
      <c r="AT1668" s="23"/>
      <c r="AU1668" s="16"/>
      <c r="AV1668" s="23"/>
      <c r="AW1668" s="23"/>
      <c r="AX1668" s="23"/>
      <c r="AY1668" s="16"/>
      <c r="AZ1668" s="23"/>
      <c r="BA1668" s="23"/>
      <c r="BB1668" s="23"/>
      <c r="BC1668" s="16"/>
      <c r="BD1668" s="23"/>
      <c r="BE1668" s="23"/>
      <c r="BF1668" s="23"/>
      <c r="BG1668" s="16"/>
      <c r="BH1668" s="23"/>
      <c r="BI1668" s="23"/>
      <c r="BJ1668" s="23"/>
      <c r="BN1668" s="23"/>
      <c r="BO1668" s="23"/>
      <c r="BP1668" s="16"/>
      <c r="BQ1668" s="16"/>
      <c r="BR1668" s="23"/>
      <c r="BS1668" s="16"/>
      <c r="BT1668" s="16"/>
      <c r="BU1668" s="16"/>
      <c r="BV1668" s="16"/>
      <c r="BW1668" s="16"/>
      <c r="BX1668" s="16"/>
      <c r="BY1668" s="16"/>
    </row>
    <row r="1669">
      <c r="A1669" s="16"/>
      <c r="B1669" s="16"/>
      <c r="C1669" s="22"/>
      <c r="D1669" s="16"/>
      <c r="E1669" s="16"/>
      <c r="F1669" s="16"/>
      <c r="G1669" s="16"/>
      <c r="H1669" s="16"/>
      <c r="I1669" s="23"/>
      <c r="J1669" s="23"/>
      <c r="K1669" s="16"/>
      <c r="L1669" s="23"/>
      <c r="M1669" s="23"/>
      <c r="N1669" s="23"/>
      <c r="O1669" s="16"/>
      <c r="P1669" s="23"/>
      <c r="Q1669" s="23"/>
      <c r="R1669" s="23"/>
      <c r="S1669" s="16"/>
      <c r="T1669" s="23"/>
      <c r="U1669" s="23"/>
      <c r="V1669" s="23"/>
      <c r="W1669" s="16"/>
      <c r="X1669" s="23"/>
      <c r="Y1669" s="23"/>
      <c r="Z1669" s="23"/>
      <c r="AA1669" s="16"/>
      <c r="AB1669" s="23"/>
      <c r="AC1669" s="23"/>
      <c r="AD1669" s="23"/>
      <c r="AE1669" s="16"/>
      <c r="AF1669" s="23"/>
      <c r="AG1669" s="23"/>
      <c r="AH1669" s="23"/>
      <c r="AI1669" s="16"/>
      <c r="AJ1669" s="23"/>
      <c r="AK1669" s="23"/>
      <c r="AL1669" s="23"/>
      <c r="AM1669" s="16"/>
      <c r="AN1669" s="23"/>
      <c r="AO1669" s="23"/>
      <c r="AP1669" s="23"/>
      <c r="AQ1669" s="16"/>
      <c r="AR1669" s="23"/>
      <c r="AS1669" s="23"/>
      <c r="AT1669" s="23"/>
      <c r="AU1669" s="16"/>
      <c r="AV1669" s="23"/>
      <c r="AW1669" s="23"/>
      <c r="AX1669" s="23"/>
      <c r="AY1669" s="16"/>
      <c r="AZ1669" s="23"/>
      <c r="BA1669" s="23"/>
      <c r="BB1669" s="23"/>
      <c r="BC1669" s="16"/>
      <c r="BD1669" s="23"/>
      <c r="BE1669" s="23"/>
      <c r="BF1669" s="23"/>
      <c r="BG1669" s="16"/>
      <c r="BH1669" s="23"/>
      <c r="BI1669" s="23"/>
      <c r="BJ1669" s="23"/>
      <c r="BN1669" s="23"/>
      <c r="BO1669" s="23"/>
      <c r="BP1669" s="16"/>
      <c r="BQ1669" s="16"/>
      <c r="BR1669" s="23"/>
      <c r="BS1669" s="16"/>
      <c r="BT1669" s="16"/>
      <c r="BU1669" s="16"/>
      <c r="BV1669" s="16"/>
      <c r="BW1669" s="16"/>
      <c r="BX1669" s="16"/>
      <c r="BY1669" s="16"/>
    </row>
    <row r="1670">
      <c r="A1670" s="16"/>
      <c r="B1670" s="16"/>
      <c r="C1670" s="22"/>
      <c r="D1670" s="16"/>
      <c r="E1670" s="16"/>
      <c r="F1670" s="16"/>
      <c r="G1670" s="16"/>
      <c r="H1670" s="16"/>
      <c r="I1670" s="23"/>
      <c r="J1670" s="23"/>
      <c r="K1670" s="16"/>
      <c r="L1670" s="23"/>
      <c r="M1670" s="23"/>
      <c r="N1670" s="23"/>
      <c r="O1670" s="16"/>
      <c r="P1670" s="23"/>
      <c r="Q1670" s="23"/>
      <c r="R1670" s="23"/>
      <c r="S1670" s="16"/>
      <c r="T1670" s="23"/>
      <c r="U1670" s="23"/>
      <c r="V1670" s="23"/>
      <c r="W1670" s="16"/>
      <c r="X1670" s="23"/>
      <c r="Y1670" s="23"/>
      <c r="Z1670" s="23"/>
      <c r="AA1670" s="16"/>
      <c r="AB1670" s="23"/>
      <c r="AC1670" s="23"/>
      <c r="AD1670" s="23"/>
      <c r="AE1670" s="16"/>
      <c r="AF1670" s="23"/>
      <c r="AG1670" s="23"/>
      <c r="AH1670" s="23"/>
      <c r="AI1670" s="16"/>
      <c r="AJ1670" s="23"/>
      <c r="AK1670" s="23"/>
      <c r="AL1670" s="23"/>
      <c r="AM1670" s="16"/>
      <c r="AN1670" s="23"/>
      <c r="AO1670" s="23"/>
      <c r="AP1670" s="23"/>
      <c r="AQ1670" s="16"/>
      <c r="AR1670" s="23"/>
      <c r="AS1670" s="23"/>
      <c r="AT1670" s="23"/>
      <c r="AU1670" s="16"/>
      <c r="AV1670" s="23"/>
      <c r="AW1670" s="23"/>
      <c r="AX1670" s="23"/>
      <c r="AY1670" s="16"/>
      <c r="AZ1670" s="23"/>
      <c r="BA1670" s="23"/>
      <c r="BB1670" s="23"/>
      <c r="BC1670" s="16"/>
      <c r="BD1670" s="23"/>
      <c r="BE1670" s="23"/>
      <c r="BF1670" s="23"/>
      <c r="BG1670" s="16"/>
      <c r="BH1670" s="23"/>
      <c r="BI1670" s="23"/>
      <c r="BJ1670" s="23"/>
      <c r="BN1670" s="23"/>
      <c r="BO1670" s="23"/>
      <c r="BP1670" s="16"/>
      <c r="BQ1670" s="16"/>
      <c r="BR1670" s="23"/>
      <c r="BS1670" s="16"/>
      <c r="BT1670" s="16"/>
      <c r="BU1670" s="16"/>
      <c r="BV1670" s="16"/>
      <c r="BW1670" s="16"/>
      <c r="BX1670" s="16"/>
      <c r="BY1670" s="16"/>
    </row>
    <row r="1671">
      <c r="A1671" s="16"/>
      <c r="B1671" s="16"/>
      <c r="C1671" s="22"/>
      <c r="D1671" s="16"/>
      <c r="E1671" s="16"/>
      <c r="F1671" s="16"/>
      <c r="G1671" s="16"/>
      <c r="H1671" s="16"/>
      <c r="I1671" s="23"/>
      <c r="J1671" s="23"/>
      <c r="K1671" s="16"/>
      <c r="L1671" s="23"/>
      <c r="M1671" s="23"/>
      <c r="N1671" s="23"/>
      <c r="O1671" s="16"/>
      <c r="P1671" s="23"/>
      <c r="Q1671" s="23"/>
      <c r="R1671" s="23"/>
      <c r="S1671" s="16"/>
      <c r="T1671" s="23"/>
      <c r="U1671" s="23"/>
      <c r="V1671" s="23"/>
      <c r="W1671" s="16"/>
      <c r="X1671" s="23"/>
      <c r="Y1671" s="23"/>
      <c r="Z1671" s="23"/>
      <c r="AA1671" s="16"/>
      <c r="AB1671" s="23"/>
      <c r="AC1671" s="23"/>
      <c r="AD1671" s="23"/>
      <c r="AE1671" s="16"/>
      <c r="AF1671" s="23"/>
      <c r="AG1671" s="23"/>
      <c r="AH1671" s="23"/>
      <c r="AI1671" s="16"/>
      <c r="AJ1671" s="23"/>
      <c r="AK1671" s="23"/>
      <c r="AL1671" s="23"/>
      <c r="AM1671" s="16"/>
      <c r="AN1671" s="23"/>
      <c r="AO1671" s="23"/>
      <c r="AP1671" s="23"/>
      <c r="AQ1671" s="16"/>
      <c r="AR1671" s="23"/>
      <c r="AS1671" s="23"/>
      <c r="AT1671" s="23"/>
      <c r="AU1671" s="16"/>
      <c r="AV1671" s="23"/>
      <c r="AW1671" s="23"/>
      <c r="AX1671" s="23"/>
      <c r="AY1671" s="16"/>
      <c r="AZ1671" s="23"/>
      <c r="BA1671" s="23"/>
      <c r="BB1671" s="23"/>
      <c r="BC1671" s="16"/>
      <c r="BD1671" s="23"/>
      <c r="BE1671" s="23"/>
      <c r="BF1671" s="23"/>
      <c r="BG1671" s="16"/>
      <c r="BH1671" s="23"/>
      <c r="BI1671" s="23"/>
      <c r="BJ1671" s="23"/>
      <c r="BN1671" s="23"/>
      <c r="BO1671" s="23"/>
      <c r="BP1671" s="16"/>
      <c r="BQ1671" s="16"/>
      <c r="BR1671" s="23"/>
      <c r="BS1671" s="16"/>
      <c r="BT1671" s="16"/>
      <c r="BU1671" s="16"/>
      <c r="BV1671" s="16"/>
      <c r="BW1671" s="16"/>
      <c r="BX1671" s="16"/>
      <c r="BY1671" s="16"/>
    </row>
    <row r="1672">
      <c r="A1672" s="16"/>
      <c r="B1672" s="16"/>
      <c r="C1672" s="22"/>
      <c r="D1672" s="16"/>
      <c r="E1672" s="16"/>
      <c r="F1672" s="16"/>
      <c r="G1672" s="16"/>
      <c r="H1672" s="16"/>
      <c r="I1672" s="23"/>
      <c r="J1672" s="23"/>
      <c r="K1672" s="16"/>
      <c r="L1672" s="23"/>
      <c r="M1672" s="23"/>
      <c r="N1672" s="23"/>
      <c r="O1672" s="16"/>
      <c r="P1672" s="23"/>
      <c r="Q1672" s="23"/>
      <c r="R1672" s="23"/>
      <c r="S1672" s="16"/>
      <c r="T1672" s="23"/>
      <c r="U1672" s="23"/>
      <c r="V1672" s="23"/>
      <c r="W1672" s="16"/>
      <c r="X1672" s="23"/>
      <c r="Y1672" s="23"/>
      <c r="Z1672" s="23"/>
      <c r="AA1672" s="16"/>
      <c r="AB1672" s="23"/>
      <c r="AC1672" s="23"/>
      <c r="AD1672" s="23"/>
      <c r="AE1672" s="16"/>
      <c r="AF1672" s="23"/>
      <c r="AG1672" s="23"/>
      <c r="AH1672" s="23"/>
      <c r="AI1672" s="16"/>
      <c r="AJ1672" s="23"/>
      <c r="AK1672" s="23"/>
      <c r="AL1672" s="23"/>
      <c r="AM1672" s="16"/>
      <c r="AN1672" s="23"/>
      <c r="AO1672" s="23"/>
      <c r="AP1672" s="23"/>
      <c r="AQ1672" s="16"/>
      <c r="AR1672" s="23"/>
      <c r="AS1672" s="23"/>
      <c r="AT1672" s="23"/>
      <c r="AU1672" s="16"/>
      <c r="AV1672" s="23"/>
      <c r="AW1672" s="23"/>
      <c r="AX1672" s="23"/>
      <c r="AY1672" s="16"/>
      <c r="AZ1672" s="23"/>
      <c r="BA1672" s="23"/>
      <c r="BB1672" s="23"/>
      <c r="BC1672" s="16"/>
      <c r="BD1672" s="23"/>
      <c r="BE1672" s="23"/>
      <c r="BF1672" s="23"/>
      <c r="BG1672" s="16"/>
      <c r="BH1672" s="23"/>
      <c r="BI1672" s="23"/>
      <c r="BJ1672" s="23"/>
      <c r="BN1672" s="23"/>
      <c r="BO1672" s="23"/>
      <c r="BP1672" s="16"/>
      <c r="BQ1672" s="16"/>
      <c r="BR1672" s="23"/>
      <c r="BS1672" s="16"/>
      <c r="BT1672" s="16"/>
      <c r="BU1672" s="16"/>
      <c r="BV1672" s="16"/>
      <c r="BW1672" s="16"/>
      <c r="BX1672" s="16"/>
      <c r="BY1672" s="16"/>
    </row>
    <row r="1673">
      <c r="A1673" s="16"/>
      <c r="B1673" s="16"/>
      <c r="C1673" s="22"/>
      <c r="D1673" s="16"/>
      <c r="E1673" s="16"/>
      <c r="F1673" s="16"/>
      <c r="G1673" s="16"/>
      <c r="H1673" s="16"/>
      <c r="I1673" s="23"/>
      <c r="J1673" s="23"/>
      <c r="K1673" s="16"/>
      <c r="L1673" s="23"/>
      <c r="M1673" s="23"/>
      <c r="N1673" s="23"/>
      <c r="O1673" s="16"/>
      <c r="P1673" s="23"/>
      <c r="Q1673" s="23"/>
      <c r="R1673" s="23"/>
      <c r="S1673" s="16"/>
      <c r="T1673" s="23"/>
      <c r="U1673" s="23"/>
      <c r="V1673" s="23"/>
      <c r="W1673" s="16"/>
      <c r="X1673" s="23"/>
      <c r="Y1673" s="23"/>
      <c r="Z1673" s="23"/>
      <c r="AA1673" s="16"/>
      <c r="AB1673" s="23"/>
      <c r="AC1673" s="23"/>
      <c r="AD1673" s="23"/>
      <c r="AE1673" s="16"/>
      <c r="AF1673" s="23"/>
      <c r="AG1673" s="23"/>
      <c r="AH1673" s="23"/>
      <c r="AI1673" s="16"/>
      <c r="AJ1673" s="23"/>
      <c r="AK1673" s="23"/>
      <c r="AL1673" s="23"/>
      <c r="AM1673" s="16"/>
      <c r="AN1673" s="23"/>
      <c r="AO1673" s="23"/>
      <c r="AP1673" s="23"/>
      <c r="AQ1673" s="16"/>
      <c r="AR1673" s="23"/>
      <c r="AS1673" s="23"/>
      <c r="AT1673" s="23"/>
      <c r="AU1673" s="16"/>
      <c r="AV1673" s="23"/>
      <c r="AW1673" s="23"/>
      <c r="AX1673" s="23"/>
      <c r="AY1673" s="16"/>
      <c r="AZ1673" s="23"/>
      <c r="BA1673" s="23"/>
      <c r="BB1673" s="23"/>
      <c r="BC1673" s="16"/>
      <c r="BD1673" s="23"/>
      <c r="BE1673" s="23"/>
      <c r="BF1673" s="23"/>
      <c r="BG1673" s="16"/>
      <c r="BH1673" s="23"/>
      <c r="BI1673" s="23"/>
      <c r="BJ1673" s="23"/>
      <c r="BN1673" s="23"/>
      <c r="BO1673" s="23"/>
      <c r="BP1673" s="16"/>
      <c r="BQ1673" s="16"/>
      <c r="BR1673" s="23"/>
      <c r="BS1673" s="16"/>
      <c r="BT1673" s="16"/>
      <c r="BU1673" s="16"/>
      <c r="BV1673" s="16"/>
      <c r="BW1673" s="16"/>
      <c r="BX1673" s="16"/>
      <c r="BY1673" s="16"/>
    </row>
    <row r="1674">
      <c r="A1674" s="16"/>
      <c r="B1674" s="16"/>
      <c r="C1674" s="22"/>
      <c r="D1674" s="16"/>
      <c r="E1674" s="16"/>
      <c r="F1674" s="16"/>
      <c r="G1674" s="16"/>
      <c r="H1674" s="16"/>
      <c r="I1674" s="23"/>
      <c r="J1674" s="23"/>
      <c r="K1674" s="16"/>
      <c r="L1674" s="23"/>
      <c r="M1674" s="23"/>
      <c r="N1674" s="23"/>
      <c r="O1674" s="16"/>
      <c r="P1674" s="23"/>
      <c r="Q1674" s="23"/>
      <c r="R1674" s="23"/>
      <c r="S1674" s="16"/>
      <c r="T1674" s="23"/>
      <c r="U1674" s="23"/>
      <c r="V1674" s="23"/>
      <c r="W1674" s="16"/>
      <c r="X1674" s="23"/>
      <c r="Y1674" s="23"/>
      <c r="Z1674" s="23"/>
      <c r="AA1674" s="16"/>
      <c r="AB1674" s="23"/>
      <c r="AC1674" s="23"/>
      <c r="AD1674" s="23"/>
      <c r="AE1674" s="16"/>
      <c r="AF1674" s="23"/>
      <c r="AG1674" s="23"/>
      <c r="AH1674" s="23"/>
      <c r="AI1674" s="16"/>
      <c r="AJ1674" s="23"/>
      <c r="AK1674" s="23"/>
      <c r="AL1674" s="23"/>
      <c r="AM1674" s="16"/>
      <c r="AN1674" s="23"/>
      <c r="AO1674" s="23"/>
      <c r="AP1674" s="23"/>
      <c r="AQ1674" s="16"/>
      <c r="AR1674" s="23"/>
      <c r="AS1674" s="23"/>
      <c r="AT1674" s="23"/>
      <c r="AU1674" s="16"/>
      <c r="AV1674" s="23"/>
      <c r="AW1674" s="23"/>
      <c r="AX1674" s="23"/>
      <c r="AY1674" s="16"/>
      <c r="AZ1674" s="23"/>
      <c r="BA1674" s="23"/>
      <c r="BB1674" s="23"/>
      <c r="BC1674" s="16"/>
      <c r="BD1674" s="23"/>
      <c r="BE1674" s="23"/>
      <c r="BF1674" s="23"/>
      <c r="BG1674" s="16"/>
      <c r="BH1674" s="23"/>
      <c r="BI1674" s="23"/>
      <c r="BJ1674" s="23"/>
      <c r="BN1674" s="23"/>
      <c r="BO1674" s="23"/>
      <c r="BP1674" s="16"/>
      <c r="BQ1674" s="16"/>
      <c r="BR1674" s="23"/>
      <c r="BS1674" s="16"/>
      <c r="BT1674" s="16"/>
      <c r="BU1674" s="16"/>
      <c r="BV1674" s="16"/>
      <c r="BW1674" s="16"/>
      <c r="BX1674" s="16"/>
      <c r="BY1674" s="16"/>
    </row>
    <row r="1675">
      <c r="A1675" s="16"/>
      <c r="B1675" s="16"/>
      <c r="C1675" s="22"/>
      <c r="D1675" s="16"/>
      <c r="E1675" s="16"/>
      <c r="F1675" s="16"/>
      <c r="G1675" s="16"/>
      <c r="H1675" s="16"/>
      <c r="I1675" s="23"/>
      <c r="J1675" s="23"/>
      <c r="K1675" s="16"/>
      <c r="L1675" s="23"/>
      <c r="M1675" s="23"/>
      <c r="N1675" s="23"/>
      <c r="O1675" s="16"/>
      <c r="P1675" s="23"/>
      <c r="Q1675" s="23"/>
      <c r="R1675" s="23"/>
      <c r="S1675" s="16"/>
      <c r="T1675" s="23"/>
      <c r="U1675" s="23"/>
      <c r="V1675" s="23"/>
      <c r="W1675" s="16"/>
      <c r="X1675" s="23"/>
      <c r="Y1675" s="23"/>
      <c r="Z1675" s="23"/>
      <c r="AA1675" s="16"/>
      <c r="AB1675" s="23"/>
      <c r="AC1675" s="23"/>
      <c r="AD1675" s="23"/>
      <c r="AE1675" s="16"/>
      <c r="AF1675" s="23"/>
      <c r="AG1675" s="23"/>
      <c r="AH1675" s="23"/>
      <c r="AI1675" s="16"/>
      <c r="AJ1675" s="23"/>
      <c r="AK1675" s="23"/>
      <c r="AL1675" s="23"/>
      <c r="AM1675" s="16"/>
      <c r="AN1675" s="23"/>
      <c r="AO1675" s="23"/>
      <c r="AP1675" s="23"/>
      <c r="AQ1675" s="16"/>
      <c r="AR1675" s="23"/>
      <c r="AS1675" s="23"/>
      <c r="AT1675" s="23"/>
      <c r="AU1675" s="16"/>
      <c r="AV1675" s="23"/>
      <c r="AW1675" s="23"/>
      <c r="AX1675" s="23"/>
      <c r="AY1675" s="16"/>
      <c r="AZ1675" s="23"/>
      <c r="BA1675" s="23"/>
      <c r="BB1675" s="23"/>
      <c r="BC1675" s="16"/>
      <c r="BD1675" s="23"/>
      <c r="BE1675" s="23"/>
      <c r="BF1675" s="23"/>
      <c r="BG1675" s="16"/>
      <c r="BH1675" s="23"/>
      <c r="BI1675" s="23"/>
      <c r="BJ1675" s="23"/>
      <c r="BN1675" s="23"/>
      <c r="BO1675" s="23"/>
      <c r="BP1675" s="16"/>
      <c r="BQ1675" s="16"/>
      <c r="BR1675" s="23"/>
      <c r="BS1675" s="16"/>
      <c r="BT1675" s="16"/>
      <c r="BU1675" s="16"/>
      <c r="BV1675" s="16"/>
      <c r="BW1675" s="16"/>
      <c r="BX1675" s="16"/>
      <c r="BY1675" s="16"/>
    </row>
    <row r="1676">
      <c r="A1676" s="16"/>
      <c r="B1676" s="16"/>
      <c r="C1676" s="22"/>
      <c r="D1676" s="16"/>
      <c r="E1676" s="16"/>
      <c r="F1676" s="16"/>
      <c r="G1676" s="16"/>
      <c r="H1676" s="16"/>
      <c r="I1676" s="23"/>
      <c r="J1676" s="23"/>
      <c r="K1676" s="16"/>
      <c r="L1676" s="23"/>
      <c r="M1676" s="23"/>
      <c r="N1676" s="23"/>
      <c r="O1676" s="16"/>
      <c r="P1676" s="23"/>
      <c r="Q1676" s="23"/>
      <c r="R1676" s="23"/>
      <c r="S1676" s="16"/>
      <c r="T1676" s="23"/>
      <c r="U1676" s="23"/>
      <c r="V1676" s="23"/>
      <c r="W1676" s="16"/>
      <c r="X1676" s="23"/>
      <c r="Y1676" s="23"/>
      <c r="Z1676" s="23"/>
      <c r="AA1676" s="16"/>
      <c r="AB1676" s="23"/>
      <c r="AC1676" s="23"/>
      <c r="AD1676" s="23"/>
      <c r="AE1676" s="16"/>
      <c r="AF1676" s="23"/>
      <c r="AG1676" s="23"/>
      <c r="AH1676" s="23"/>
      <c r="AI1676" s="16"/>
      <c r="AJ1676" s="23"/>
      <c r="AK1676" s="23"/>
      <c r="AL1676" s="23"/>
      <c r="AM1676" s="16"/>
      <c r="AN1676" s="23"/>
      <c r="AO1676" s="23"/>
      <c r="AP1676" s="23"/>
      <c r="AQ1676" s="16"/>
      <c r="AR1676" s="23"/>
      <c r="AS1676" s="23"/>
      <c r="AT1676" s="23"/>
      <c r="AU1676" s="16"/>
      <c r="AV1676" s="23"/>
      <c r="AW1676" s="23"/>
      <c r="AX1676" s="23"/>
      <c r="AY1676" s="16"/>
      <c r="AZ1676" s="23"/>
      <c r="BA1676" s="23"/>
      <c r="BB1676" s="23"/>
      <c r="BC1676" s="16"/>
      <c r="BD1676" s="23"/>
      <c r="BE1676" s="23"/>
      <c r="BF1676" s="23"/>
      <c r="BG1676" s="16"/>
      <c r="BH1676" s="23"/>
      <c r="BI1676" s="23"/>
      <c r="BJ1676" s="23"/>
      <c r="BN1676" s="23"/>
      <c r="BO1676" s="23"/>
      <c r="BP1676" s="16"/>
      <c r="BQ1676" s="16"/>
      <c r="BR1676" s="23"/>
      <c r="BS1676" s="16"/>
      <c r="BT1676" s="16"/>
      <c r="BU1676" s="16"/>
      <c r="BV1676" s="16"/>
      <c r="BW1676" s="16"/>
      <c r="BX1676" s="16"/>
      <c r="BY1676" s="16"/>
    </row>
    <row r="1677">
      <c r="A1677" s="16"/>
      <c r="B1677" s="16"/>
      <c r="C1677" s="22"/>
      <c r="D1677" s="16"/>
      <c r="E1677" s="16"/>
      <c r="F1677" s="16"/>
      <c r="G1677" s="16"/>
      <c r="H1677" s="16"/>
      <c r="I1677" s="23"/>
      <c r="J1677" s="23"/>
      <c r="K1677" s="16"/>
      <c r="L1677" s="23"/>
      <c r="M1677" s="23"/>
      <c r="N1677" s="23"/>
      <c r="O1677" s="16"/>
      <c r="P1677" s="23"/>
      <c r="Q1677" s="23"/>
      <c r="R1677" s="23"/>
      <c r="S1677" s="16"/>
      <c r="T1677" s="23"/>
      <c r="U1677" s="23"/>
      <c r="V1677" s="23"/>
      <c r="W1677" s="16"/>
      <c r="X1677" s="23"/>
      <c r="Y1677" s="23"/>
      <c r="Z1677" s="23"/>
      <c r="AA1677" s="16"/>
      <c r="AB1677" s="23"/>
      <c r="AC1677" s="23"/>
      <c r="AD1677" s="23"/>
      <c r="AE1677" s="16"/>
      <c r="AF1677" s="23"/>
      <c r="AG1677" s="23"/>
      <c r="AH1677" s="23"/>
      <c r="AI1677" s="16"/>
      <c r="AJ1677" s="23"/>
      <c r="AK1677" s="23"/>
      <c r="AL1677" s="23"/>
      <c r="AM1677" s="16"/>
      <c r="AN1677" s="23"/>
      <c r="AO1677" s="23"/>
      <c r="AP1677" s="23"/>
      <c r="AQ1677" s="16"/>
      <c r="AR1677" s="23"/>
      <c r="AS1677" s="23"/>
      <c r="AT1677" s="23"/>
      <c r="AU1677" s="16"/>
      <c r="AV1677" s="23"/>
      <c r="AW1677" s="23"/>
      <c r="AX1677" s="23"/>
      <c r="AY1677" s="16"/>
      <c r="AZ1677" s="23"/>
      <c r="BA1677" s="23"/>
      <c r="BB1677" s="23"/>
      <c r="BC1677" s="16"/>
      <c r="BD1677" s="23"/>
      <c r="BE1677" s="23"/>
      <c r="BF1677" s="23"/>
      <c r="BG1677" s="16"/>
      <c r="BH1677" s="23"/>
      <c r="BI1677" s="23"/>
      <c r="BJ1677" s="23"/>
      <c r="BN1677" s="23"/>
      <c r="BO1677" s="23"/>
      <c r="BP1677" s="16"/>
      <c r="BQ1677" s="16"/>
      <c r="BR1677" s="23"/>
      <c r="BS1677" s="16"/>
      <c r="BT1677" s="16"/>
      <c r="BU1677" s="16"/>
      <c r="BV1677" s="16"/>
      <c r="BW1677" s="16"/>
      <c r="BX1677" s="16"/>
      <c r="BY1677" s="16"/>
    </row>
    <row r="1678">
      <c r="A1678" s="16"/>
      <c r="B1678" s="16"/>
      <c r="C1678" s="22"/>
      <c r="D1678" s="16"/>
      <c r="E1678" s="16"/>
      <c r="F1678" s="16"/>
      <c r="G1678" s="16"/>
      <c r="H1678" s="16"/>
      <c r="I1678" s="23"/>
      <c r="J1678" s="23"/>
      <c r="K1678" s="16"/>
      <c r="L1678" s="23"/>
      <c r="M1678" s="23"/>
      <c r="N1678" s="23"/>
      <c r="O1678" s="16"/>
      <c r="P1678" s="23"/>
      <c r="Q1678" s="23"/>
      <c r="R1678" s="23"/>
      <c r="S1678" s="16"/>
      <c r="T1678" s="23"/>
      <c r="U1678" s="23"/>
      <c r="V1678" s="23"/>
      <c r="W1678" s="16"/>
      <c r="X1678" s="23"/>
      <c r="Y1678" s="23"/>
      <c r="Z1678" s="23"/>
      <c r="AA1678" s="16"/>
      <c r="AB1678" s="23"/>
      <c r="AC1678" s="23"/>
      <c r="AD1678" s="23"/>
      <c r="AE1678" s="16"/>
      <c r="AF1678" s="23"/>
      <c r="AG1678" s="23"/>
      <c r="AH1678" s="23"/>
      <c r="AI1678" s="16"/>
      <c r="AJ1678" s="23"/>
      <c r="AK1678" s="23"/>
      <c r="AL1678" s="23"/>
      <c r="AM1678" s="16"/>
      <c r="AN1678" s="23"/>
      <c r="AO1678" s="23"/>
      <c r="AP1678" s="23"/>
      <c r="AQ1678" s="16"/>
      <c r="AR1678" s="23"/>
      <c r="AS1678" s="23"/>
      <c r="AT1678" s="23"/>
      <c r="AU1678" s="16"/>
      <c r="AV1678" s="23"/>
      <c r="AW1678" s="23"/>
      <c r="AX1678" s="23"/>
      <c r="AY1678" s="16"/>
      <c r="AZ1678" s="23"/>
      <c r="BA1678" s="23"/>
      <c r="BB1678" s="23"/>
      <c r="BC1678" s="16"/>
      <c r="BD1678" s="23"/>
      <c r="BE1678" s="23"/>
      <c r="BF1678" s="23"/>
      <c r="BG1678" s="16"/>
      <c r="BH1678" s="23"/>
      <c r="BI1678" s="23"/>
      <c r="BJ1678" s="23"/>
      <c r="BN1678" s="23"/>
      <c r="BO1678" s="23"/>
      <c r="BP1678" s="16"/>
      <c r="BQ1678" s="16"/>
      <c r="BR1678" s="23"/>
      <c r="BS1678" s="16"/>
      <c r="BT1678" s="16"/>
      <c r="BU1678" s="16"/>
      <c r="BV1678" s="16"/>
      <c r="BW1678" s="16"/>
      <c r="BX1678" s="16"/>
      <c r="BY1678" s="16"/>
    </row>
    <row r="1679">
      <c r="A1679" s="16"/>
      <c r="B1679" s="16"/>
      <c r="C1679" s="22"/>
      <c r="D1679" s="16"/>
      <c r="E1679" s="16"/>
      <c r="F1679" s="16"/>
      <c r="G1679" s="16"/>
      <c r="H1679" s="16"/>
      <c r="I1679" s="23"/>
      <c r="J1679" s="23"/>
      <c r="K1679" s="16"/>
      <c r="L1679" s="23"/>
      <c r="M1679" s="23"/>
      <c r="N1679" s="23"/>
      <c r="O1679" s="16"/>
      <c r="P1679" s="23"/>
      <c r="Q1679" s="23"/>
      <c r="R1679" s="23"/>
      <c r="S1679" s="16"/>
      <c r="T1679" s="23"/>
      <c r="U1679" s="23"/>
      <c r="V1679" s="23"/>
      <c r="W1679" s="16"/>
      <c r="X1679" s="23"/>
      <c r="Y1679" s="23"/>
      <c r="Z1679" s="23"/>
      <c r="AA1679" s="16"/>
      <c r="AB1679" s="23"/>
      <c r="AC1679" s="23"/>
      <c r="AD1679" s="23"/>
      <c r="AE1679" s="16"/>
      <c r="AF1679" s="23"/>
      <c r="AG1679" s="23"/>
      <c r="AH1679" s="23"/>
      <c r="AI1679" s="16"/>
      <c r="AJ1679" s="23"/>
      <c r="AK1679" s="23"/>
      <c r="AL1679" s="23"/>
      <c r="AM1679" s="16"/>
      <c r="AN1679" s="23"/>
      <c r="AO1679" s="23"/>
      <c r="AP1679" s="23"/>
      <c r="AQ1679" s="16"/>
      <c r="AR1679" s="23"/>
      <c r="AS1679" s="23"/>
      <c r="AT1679" s="23"/>
      <c r="AU1679" s="16"/>
      <c r="AV1679" s="23"/>
      <c r="AW1679" s="23"/>
      <c r="AX1679" s="23"/>
      <c r="AY1679" s="16"/>
      <c r="AZ1679" s="23"/>
      <c r="BA1679" s="23"/>
      <c r="BB1679" s="23"/>
      <c r="BC1679" s="16"/>
      <c r="BD1679" s="23"/>
      <c r="BE1679" s="23"/>
      <c r="BF1679" s="23"/>
      <c r="BG1679" s="16"/>
      <c r="BH1679" s="23"/>
      <c r="BI1679" s="23"/>
      <c r="BJ1679" s="23"/>
      <c r="BN1679" s="23"/>
      <c r="BO1679" s="23"/>
      <c r="BP1679" s="16"/>
      <c r="BQ1679" s="16"/>
      <c r="BR1679" s="23"/>
      <c r="BS1679" s="16"/>
      <c r="BT1679" s="16"/>
      <c r="BU1679" s="16"/>
      <c r="BV1679" s="16"/>
      <c r="BW1679" s="16"/>
      <c r="BX1679" s="16"/>
      <c r="BY1679" s="16"/>
    </row>
    <row r="1680">
      <c r="A1680" s="16"/>
      <c r="B1680" s="16"/>
      <c r="C1680" s="22"/>
      <c r="D1680" s="16"/>
      <c r="E1680" s="16"/>
      <c r="F1680" s="16"/>
      <c r="G1680" s="16"/>
      <c r="H1680" s="16"/>
      <c r="I1680" s="23"/>
      <c r="J1680" s="23"/>
      <c r="K1680" s="16"/>
      <c r="L1680" s="23"/>
      <c r="M1680" s="23"/>
      <c r="N1680" s="23"/>
      <c r="O1680" s="16"/>
      <c r="P1680" s="23"/>
      <c r="Q1680" s="23"/>
      <c r="R1680" s="23"/>
      <c r="S1680" s="16"/>
      <c r="T1680" s="23"/>
      <c r="U1680" s="23"/>
      <c r="V1680" s="23"/>
      <c r="W1680" s="16"/>
      <c r="X1680" s="23"/>
      <c r="Y1680" s="23"/>
      <c r="Z1680" s="23"/>
      <c r="AA1680" s="16"/>
      <c r="AB1680" s="23"/>
      <c r="AC1680" s="23"/>
      <c r="AD1680" s="23"/>
      <c r="AE1680" s="16"/>
      <c r="AF1680" s="23"/>
      <c r="AG1680" s="23"/>
      <c r="AH1680" s="23"/>
      <c r="AI1680" s="16"/>
      <c r="AJ1680" s="23"/>
      <c r="AK1680" s="23"/>
      <c r="AL1680" s="23"/>
      <c r="AM1680" s="16"/>
      <c r="AN1680" s="23"/>
      <c r="AO1680" s="23"/>
      <c r="AP1680" s="23"/>
      <c r="AQ1680" s="16"/>
      <c r="AR1680" s="23"/>
      <c r="AS1680" s="23"/>
      <c r="AT1680" s="23"/>
      <c r="AU1680" s="16"/>
      <c r="AV1680" s="23"/>
      <c r="AW1680" s="23"/>
      <c r="AX1680" s="23"/>
      <c r="AY1680" s="16"/>
      <c r="AZ1680" s="23"/>
      <c r="BA1680" s="23"/>
      <c r="BB1680" s="23"/>
      <c r="BC1680" s="16"/>
      <c r="BD1680" s="23"/>
      <c r="BE1680" s="23"/>
      <c r="BF1680" s="23"/>
      <c r="BG1680" s="16"/>
      <c r="BH1680" s="23"/>
      <c r="BI1680" s="23"/>
      <c r="BJ1680" s="23"/>
      <c r="BN1680" s="23"/>
      <c r="BO1680" s="23"/>
      <c r="BP1680" s="16"/>
      <c r="BQ1680" s="16"/>
      <c r="BR1680" s="23"/>
      <c r="BS1680" s="16"/>
      <c r="BT1680" s="16"/>
      <c r="BU1680" s="16"/>
      <c r="BV1680" s="16"/>
      <c r="BW1680" s="16"/>
      <c r="BX1680" s="16"/>
      <c r="BY1680" s="16"/>
    </row>
    <row r="1681">
      <c r="A1681" s="16"/>
      <c r="B1681" s="16"/>
      <c r="C1681" s="22"/>
      <c r="D1681" s="16"/>
      <c r="E1681" s="16"/>
      <c r="F1681" s="16"/>
      <c r="G1681" s="16"/>
      <c r="H1681" s="16"/>
      <c r="I1681" s="23"/>
      <c r="J1681" s="23"/>
      <c r="K1681" s="16"/>
      <c r="L1681" s="23"/>
      <c r="M1681" s="23"/>
      <c r="N1681" s="23"/>
      <c r="O1681" s="16"/>
      <c r="P1681" s="23"/>
      <c r="Q1681" s="23"/>
      <c r="R1681" s="23"/>
      <c r="S1681" s="16"/>
      <c r="T1681" s="23"/>
      <c r="U1681" s="23"/>
      <c r="V1681" s="23"/>
      <c r="W1681" s="16"/>
      <c r="X1681" s="23"/>
      <c r="Y1681" s="23"/>
      <c r="Z1681" s="23"/>
      <c r="AA1681" s="16"/>
      <c r="AB1681" s="23"/>
      <c r="AC1681" s="23"/>
      <c r="AD1681" s="23"/>
      <c r="AE1681" s="16"/>
      <c r="AF1681" s="23"/>
      <c r="AG1681" s="23"/>
      <c r="AH1681" s="23"/>
      <c r="AI1681" s="16"/>
      <c r="AJ1681" s="23"/>
      <c r="AK1681" s="23"/>
      <c r="AL1681" s="23"/>
      <c r="AM1681" s="16"/>
      <c r="AN1681" s="23"/>
      <c r="AO1681" s="23"/>
      <c r="AP1681" s="23"/>
      <c r="AQ1681" s="16"/>
      <c r="AR1681" s="23"/>
      <c r="AS1681" s="23"/>
      <c r="AT1681" s="23"/>
      <c r="AU1681" s="16"/>
      <c r="AV1681" s="23"/>
      <c r="AW1681" s="23"/>
      <c r="AX1681" s="23"/>
      <c r="AY1681" s="16"/>
      <c r="AZ1681" s="23"/>
      <c r="BA1681" s="23"/>
      <c r="BB1681" s="23"/>
      <c r="BC1681" s="16"/>
      <c r="BD1681" s="23"/>
      <c r="BE1681" s="23"/>
      <c r="BF1681" s="23"/>
      <c r="BG1681" s="16"/>
      <c r="BH1681" s="23"/>
      <c r="BI1681" s="23"/>
      <c r="BJ1681" s="23"/>
      <c r="BN1681" s="23"/>
      <c r="BO1681" s="23"/>
      <c r="BP1681" s="16"/>
      <c r="BQ1681" s="16"/>
      <c r="BR1681" s="23"/>
      <c r="BS1681" s="16"/>
      <c r="BT1681" s="16"/>
      <c r="BU1681" s="16"/>
      <c r="BV1681" s="16"/>
      <c r="BW1681" s="16"/>
      <c r="BX1681" s="16"/>
      <c r="BY1681" s="16"/>
    </row>
    <row r="1682">
      <c r="A1682" s="16"/>
      <c r="B1682" s="16"/>
      <c r="C1682" s="22"/>
      <c r="D1682" s="16"/>
      <c r="E1682" s="16"/>
      <c r="F1682" s="16"/>
      <c r="G1682" s="16"/>
      <c r="H1682" s="16"/>
      <c r="I1682" s="23"/>
      <c r="J1682" s="23"/>
      <c r="K1682" s="16"/>
      <c r="L1682" s="23"/>
      <c r="M1682" s="23"/>
      <c r="N1682" s="23"/>
      <c r="O1682" s="16"/>
      <c r="P1682" s="23"/>
      <c r="Q1682" s="23"/>
      <c r="R1682" s="23"/>
      <c r="S1682" s="16"/>
      <c r="T1682" s="23"/>
      <c r="U1682" s="23"/>
      <c r="V1682" s="23"/>
      <c r="W1682" s="16"/>
      <c r="X1682" s="23"/>
      <c r="Y1682" s="23"/>
      <c r="Z1682" s="23"/>
      <c r="AA1682" s="16"/>
      <c r="AB1682" s="23"/>
      <c r="AC1682" s="23"/>
      <c r="AD1682" s="23"/>
      <c r="AE1682" s="16"/>
      <c r="AF1682" s="23"/>
      <c r="AG1682" s="23"/>
      <c r="AH1682" s="23"/>
      <c r="AI1682" s="16"/>
      <c r="AJ1682" s="23"/>
      <c r="AK1682" s="23"/>
      <c r="AL1682" s="23"/>
      <c r="AM1682" s="16"/>
      <c r="AN1682" s="23"/>
      <c r="AO1682" s="23"/>
      <c r="AP1682" s="23"/>
      <c r="AQ1682" s="16"/>
      <c r="AR1682" s="23"/>
      <c r="AS1682" s="23"/>
      <c r="AT1682" s="23"/>
      <c r="AU1682" s="16"/>
      <c r="AV1682" s="23"/>
      <c r="AW1682" s="23"/>
      <c r="AX1682" s="23"/>
      <c r="AY1682" s="16"/>
      <c r="AZ1682" s="23"/>
      <c r="BA1682" s="23"/>
      <c r="BB1682" s="23"/>
      <c r="BC1682" s="16"/>
      <c r="BD1682" s="23"/>
      <c r="BE1682" s="23"/>
      <c r="BF1682" s="23"/>
      <c r="BG1682" s="16"/>
      <c r="BH1682" s="23"/>
      <c r="BI1682" s="23"/>
      <c r="BJ1682" s="23"/>
      <c r="BN1682" s="23"/>
      <c r="BO1682" s="23"/>
      <c r="BP1682" s="16"/>
      <c r="BQ1682" s="16"/>
      <c r="BR1682" s="23"/>
      <c r="BS1682" s="16"/>
      <c r="BT1682" s="16"/>
      <c r="BU1682" s="16"/>
      <c r="BV1682" s="16"/>
      <c r="BW1682" s="16"/>
      <c r="BX1682" s="16"/>
      <c r="BY1682" s="16"/>
    </row>
    <row r="1683">
      <c r="A1683" s="16"/>
      <c r="B1683" s="16"/>
      <c r="C1683" s="22"/>
      <c r="D1683" s="16"/>
      <c r="E1683" s="16"/>
      <c r="F1683" s="16"/>
      <c r="G1683" s="16"/>
      <c r="H1683" s="16"/>
      <c r="I1683" s="23"/>
      <c r="J1683" s="23"/>
      <c r="K1683" s="16"/>
      <c r="L1683" s="23"/>
      <c r="M1683" s="23"/>
      <c r="N1683" s="23"/>
      <c r="O1683" s="16"/>
      <c r="P1683" s="23"/>
      <c r="Q1683" s="23"/>
      <c r="R1683" s="23"/>
      <c r="S1683" s="16"/>
      <c r="T1683" s="23"/>
      <c r="U1683" s="23"/>
      <c r="V1683" s="23"/>
      <c r="W1683" s="16"/>
      <c r="X1683" s="23"/>
      <c r="Y1683" s="23"/>
      <c r="Z1683" s="23"/>
      <c r="AA1683" s="16"/>
      <c r="AB1683" s="23"/>
      <c r="AC1683" s="23"/>
      <c r="AD1683" s="23"/>
      <c r="AE1683" s="16"/>
      <c r="AF1683" s="23"/>
      <c r="AG1683" s="23"/>
      <c r="AH1683" s="23"/>
      <c r="AI1683" s="16"/>
      <c r="AJ1683" s="23"/>
      <c r="AK1683" s="23"/>
      <c r="AL1683" s="23"/>
      <c r="AM1683" s="16"/>
      <c r="AN1683" s="23"/>
      <c r="AO1683" s="23"/>
      <c r="AP1683" s="23"/>
      <c r="AQ1683" s="16"/>
      <c r="AR1683" s="23"/>
      <c r="AS1683" s="23"/>
      <c r="AT1683" s="23"/>
      <c r="AU1683" s="16"/>
      <c r="AV1683" s="23"/>
      <c r="AW1683" s="23"/>
      <c r="AX1683" s="23"/>
      <c r="AY1683" s="16"/>
      <c r="AZ1683" s="23"/>
      <c r="BA1683" s="23"/>
      <c r="BB1683" s="23"/>
      <c r="BC1683" s="16"/>
      <c r="BD1683" s="23"/>
      <c r="BE1683" s="23"/>
      <c r="BF1683" s="23"/>
      <c r="BG1683" s="16"/>
      <c r="BH1683" s="23"/>
      <c r="BI1683" s="23"/>
      <c r="BJ1683" s="23"/>
      <c r="BN1683" s="23"/>
      <c r="BO1683" s="23"/>
      <c r="BP1683" s="16"/>
      <c r="BQ1683" s="16"/>
      <c r="BR1683" s="23"/>
      <c r="BS1683" s="16"/>
      <c r="BT1683" s="16"/>
      <c r="BU1683" s="16"/>
      <c r="BV1683" s="16"/>
      <c r="BW1683" s="16"/>
      <c r="BX1683" s="16"/>
      <c r="BY1683" s="16"/>
    </row>
    <row r="1684">
      <c r="A1684" s="16"/>
      <c r="B1684" s="16"/>
      <c r="C1684" s="22"/>
      <c r="D1684" s="16"/>
      <c r="E1684" s="16"/>
      <c r="F1684" s="16"/>
      <c r="G1684" s="16"/>
      <c r="H1684" s="16"/>
      <c r="I1684" s="23"/>
      <c r="J1684" s="23"/>
      <c r="K1684" s="16"/>
      <c r="L1684" s="23"/>
      <c r="M1684" s="23"/>
      <c r="N1684" s="23"/>
      <c r="O1684" s="16"/>
      <c r="P1684" s="23"/>
      <c r="Q1684" s="23"/>
      <c r="R1684" s="23"/>
      <c r="S1684" s="16"/>
      <c r="T1684" s="23"/>
      <c r="U1684" s="23"/>
      <c r="V1684" s="23"/>
      <c r="W1684" s="16"/>
      <c r="X1684" s="23"/>
      <c r="Y1684" s="23"/>
      <c r="Z1684" s="23"/>
      <c r="AA1684" s="16"/>
      <c r="AB1684" s="23"/>
      <c r="AC1684" s="23"/>
      <c r="AD1684" s="23"/>
      <c r="AE1684" s="16"/>
      <c r="AF1684" s="23"/>
      <c r="AG1684" s="23"/>
      <c r="AH1684" s="23"/>
      <c r="AI1684" s="16"/>
      <c r="AJ1684" s="23"/>
      <c r="AK1684" s="23"/>
      <c r="AL1684" s="23"/>
      <c r="AM1684" s="16"/>
      <c r="AN1684" s="23"/>
      <c r="AO1684" s="23"/>
      <c r="AP1684" s="23"/>
      <c r="AQ1684" s="16"/>
      <c r="AR1684" s="23"/>
      <c r="AS1684" s="23"/>
      <c r="AT1684" s="23"/>
      <c r="AU1684" s="16"/>
      <c r="AV1684" s="23"/>
      <c r="AW1684" s="23"/>
      <c r="AX1684" s="23"/>
      <c r="AY1684" s="16"/>
      <c r="AZ1684" s="23"/>
      <c r="BA1684" s="23"/>
      <c r="BB1684" s="23"/>
      <c r="BC1684" s="16"/>
      <c r="BD1684" s="23"/>
      <c r="BE1684" s="23"/>
      <c r="BF1684" s="23"/>
      <c r="BG1684" s="16"/>
      <c r="BH1684" s="23"/>
      <c r="BI1684" s="23"/>
      <c r="BJ1684" s="23"/>
      <c r="BN1684" s="23"/>
      <c r="BO1684" s="23"/>
      <c r="BP1684" s="16"/>
      <c r="BQ1684" s="16"/>
      <c r="BR1684" s="23"/>
      <c r="BS1684" s="16"/>
      <c r="BT1684" s="16"/>
      <c r="BU1684" s="16"/>
      <c r="BV1684" s="16"/>
      <c r="BW1684" s="16"/>
      <c r="BX1684" s="16"/>
      <c r="BY1684" s="16"/>
    </row>
    <row r="1685">
      <c r="A1685" s="16"/>
      <c r="B1685" s="16"/>
      <c r="C1685" s="22"/>
      <c r="D1685" s="16"/>
      <c r="E1685" s="16"/>
      <c r="F1685" s="16"/>
      <c r="G1685" s="16"/>
      <c r="H1685" s="16"/>
      <c r="I1685" s="23"/>
      <c r="J1685" s="23"/>
      <c r="K1685" s="16"/>
      <c r="L1685" s="23"/>
      <c r="M1685" s="23"/>
      <c r="N1685" s="23"/>
      <c r="O1685" s="16"/>
      <c r="P1685" s="23"/>
      <c r="Q1685" s="23"/>
      <c r="R1685" s="23"/>
      <c r="S1685" s="16"/>
      <c r="T1685" s="23"/>
      <c r="U1685" s="23"/>
      <c r="V1685" s="23"/>
      <c r="W1685" s="16"/>
      <c r="X1685" s="23"/>
      <c r="Y1685" s="23"/>
      <c r="Z1685" s="23"/>
      <c r="AA1685" s="16"/>
      <c r="AB1685" s="23"/>
      <c r="AC1685" s="23"/>
      <c r="AD1685" s="23"/>
      <c r="AE1685" s="16"/>
      <c r="AF1685" s="23"/>
      <c r="AG1685" s="23"/>
      <c r="AH1685" s="23"/>
      <c r="AI1685" s="16"/>
      <c r="AJ1685" s="23"/>
      <c r="AK1685" s="23"/>
      <c r="AL1685" s="23"/>
      <c r="AM1685" s="16"/>
      <c r="AN1685" s="23"/>
      <c r="AO1685" s="23"/>
      <c r="AP1685" s="23"/>
      <c r="AQ1685" s="16"/>
      <c r="AR1685" s="23"/>
      <c r="AS1685" s="23"/>
      <c r="AT1685" s="23"/>
      <c r="AU1685" s="16"/>
      <c r="AV1685" s="23"/>
      <c r="AW1685" s="23"/>
      <c r="AX1685" s="23"/>
      <c r="AY1685" s="16"/>
      <c r="AZ1685" s="23"/>
      <c r="BA1685" s="23"/>
      <c r="BB1685" s="23"/>
      <c r="BC1685" s="16"/>
      <c r="BD1685" s="23"/>
      <c r="BE1685" s="23"/>
      <c r="BF1685" s="23"/>
      <c r="BG1685" s="16"/>
      <c r="BH1685" s="23"/>
      <c r="BI1685" s="23"/>
      <c r="BJ1685" s="23"/>
      <c r="BN1685" s="23"/>
      <c r="BO1685" s="23"/>
      <c r="BP1685" s="16"/>
      <c r="BQ1685" s="16"/>
      <c r="BR1685" s="23"/>
      <c r="BS1685" s="16"/>
      <c r="BT1685" s="16"/>
      <c r="BU1685" s="16"/>
      <c r="BV1685" s="16"/>
      <c r="BW1685" s="16"/>
      <c r="BX1685" s="16"/>
      <c r="BY1685" s="16"/>
    </row>
    <row r="1686">
      <c r="A1686" s="16"/>
      <c r="B1686" s="16"/>
      <c r="C1686" s="22"/>
      <c r="D1686" s="16"/>
      <c r="E1686" s="16"/>
      <c r="F1686" s="16"/>
      <c r="G1686" s="16"/>
      <c r="H1686" s="16"/>
      <c r="I1686" s="23"/>
      <c r="J1686" s="23"/>
      <c r="K1686" s="16"/>
      <c r="L1686" s="23"/>
      <c r="M1686" s="23"/>
      <c r="N1686" s="23"/>
      <c r="O1686" s="16"/>
      <c r="P1686" s="23"/>
      <c r="Q1686" s="23"/>
      <c r="R1686" s="23"/>
      <c r="S1686" s="16"/>
      <c r="T1686" s="23"/>
      <c r="U1686" s="23"/>
      <c r="V1686" s="23"/>
      <c r="W1686" s="16"/>
      <c r="X1686" s="23"/>
      <c r="Y1686" s="23"/>
      <c r="Z1686" s="23"/>
      <c r="AA1686" s="16"/>
      <c r="AB1686" s="23"/>
      <c r="AC1686" s="23"/>
      <c r="AD1686" s="23"/>
      <c r="AE1686" s="16"/>
      <c r="AF1686" s="23"/>
      <c r="AG1686" s="23"/>
      <c r="AH1686" s="23"/>
      <c r="AI1686" s="16"/>
      <c r="AJ1686" s="23"/>
      <c r="AK1686" s="23"/>
      <c r="AL1686" s="23"/>
      <c r="AM1686" s="16"/>
      <c r="AN1686" s="23"/>
      <c r="AO1686" s="23"/>
      <c r="AP1686" s="23"/>
      <c r="AQ1686" s="16"/>
      <c r="AR1686" s="23"/>
      <c r="AS1686" s="23"/>
      <c r="AT1686" s="23"/>
      <c r="AU1686" s="16"/>
      <c r="AV1686" s="23"/>
      <c r="AW1686" s="23"/>
      <c r="AX1686" s="23"/>
      <c r="AY1686" s="16"/>
      <c r="AZ1686" s="23"/>
      <c r="BA1686" s="23"/>
      <c r="BB1686" s="23"/>
      <c r="BC1686" s="16"/>
      <c r="BD1686" s="23"/>
      <c r="BE1686" s="23"/>
      <c r="BF1686" s="23"/>
      <c r="BG1686" s="16"/>
      <c r="BH1686" s="23"/>
      <c r="BI1686" s="23"/>
      <c r="BJ1686" s="23"/>
      <c r="BN1686" s="23"/>
      <c r="BO1686" s="23"/>
      <c r="BP1686" s="16"/>
      <c r="BQ1686" s="16"/>
      <c r="BR1686" s="23"/>
      <c r="BS1686" s="16"/>
      <c r="BT1686" s="16"/>
      <c r="BU1686" s="16"/>
      <c r="BV1686" s="16"/>
      <c r="BW1686" s="16"/>
      <c r="BX1686" s="16"/>
      <c r="BY1686" s="16"/>
    </row>
    <row r="1687">
      <c r="A1687" s="16"/>
      <c r="B1687" s="16"/>
      <c r="C1687" s="22"/>
      <c r="D1687" s="16"/>
      <c r="E1687" s="16"/>
      <c r="F1687" s="16"/>
      <c r="G1687" s="16"/>
      <c r="H1687" s="16"/>
      <c r="I1687" s="23"/>
      <c r="J1687" s="23"/>
      <c r="K1687" s="16"/>
      <c r="L1687" s="23"/>
      <c r="M1687" s="23"/>
      <c r="N1687" s="23"/>
      <c r="O1687" s="16"/>
      <c r="P1687" s="23"/>
      <c r="Q1687" s="23"/>
      <c r="R1687" s="23"/>
      <c r="S1687" s="16"/>
      <c r="T1687" s="23"/>
      <c r="U1687" s="23"/>
      <c r="V1687" s="23"/>
      <c r="W1687" s="16"/>
      <c r="X1687" s="23"/>
      <c r="Y1687" s="23"/>
      <c r="Z1687" s="23"/>
      <c r="AA1687" s="16"/>
      <c r="AB1687" s="23"/>
      <c r="AC1687" s="23"/>
      <c r="AD1687" s="23"/>
      <c r="AE1687" s="16"/>
      <c r="AF1687" s="23"/>
      <c r="AG1687" s="23"/>
      <c r="AH1687" s="23"/>
      <c r="AI1687" s="16"/>
      <c r="AJ1687" s="23"/>
      <c r="AK1687" s="23"/>
      <c r="AL1687" s="23"/>
      <c r="AM1687" s="16"/>
      <c r="AN1687" s="23"/>
      <c r="AO1687" s="23"/>
      <c r="AP1687" s="23"/>
      <c r="AQ1687" s="16"/>
      <c r="AR1687" s="23"/>
      <c r="AS1687" s="23"/>
      <c r="AT1687" s="23"/>
      <c r="AU1687" s="16"/>
      <c r="AV1687" s="23"/>
      <c r="AW1687" s="23"/>
      <c r="AX1687" s="23"/>
      <c r="AY1687" s="16"/>
      <c r="AZ1687" s="23"/>
      <c r="BA1687" s="23"/>
      <c r="BB1687" s="23"/>
      <c r="BC1687" s="16"/>
      <c r="BD1687" s="23"/>
      <c r="BE1687" s="23"/>
      <c r="BF1687" s="23"/>
      <c r="BG1687" s="16"/>
      <c r="BH1687" s="23"/>
      <c r="BI1687" s="23"/>
      <c r="BJ1687" s="23"/>
      <c r="BN1687" s="23"/>
      <c r="BO1687" s="23"/>
      <c r="BP1687" s="16"/>
      <c r="BQ1687" s="16"/>
      <c r="BR1687" s="23"/>
      <c r="BS1687" s="16"/>
      <c r="BT1687" s="16"/>
      <c r="BU1687" s="16"/>
      <c r="BV1687" s="16"/>
      <c r="BW1687" s="16"/>
      <c r="BX1687" s="16"/>
      <c r="BY1687" s="16"/>
    </row>
    <row r="1688">
      <c r="A1688" s="16"/>
      <c r="B1688" s="16"/>
      <c r="C1688" s="22"/>
      <c r="D1688" s="16"/>
      <c r="E1688" s="16"/>
      <c r="F1688" s="16"/>
      <c r="G1688" s="16"/>
      <c r="H1688" s="16"/>
      <c r="I1688" s="23"/>
      <c r="J1688" s="23"/>
      <c r="K1688" s="16"/>
      <c r="L1688" s="23"/>
      <c r="M1688" s="23"/>
      <c r="N1688" s="23"/>
      <c r="O1688" s="16"/>
      <c r="P1688" s="23"/>
      <c r="Q1688" s="23"/>
      <c r="R1688" s="23"/>
      <c r="S1688" s="16"/>
      <c r="T1688" s="23"/>
      <c r="U1688" s="23"/>
      <c r="V1688" s="23"/>
      <c r="W1688" s="16"/>
      <c r="X1688" s="23"/>
      <c r="Y1688" s="23"/>
      <c r="Z1688" s="23"/>
      <c r="AA1688" s="16"/>
      <c r="AB1688" s="23"/>
      <c r="AC1688" s="23"/>
      <c r="AD1688" s="23"/>
      <c r="AE1688" s="16"/>
      <c r="AF1688" s="23"/>
      <c r="AG1688" s="23"/>
      <c r="AH1688" s="23"/>
      <c r="AI1688" s="16"/>
      <c r="AJ1688" s="23"/>
      <c r="AK1688" s="23"/>
      <c r="AL1688" s="23"/>
      <c r="AM1688" s="16"/>
      <c r="AN1688" s="23"/>
      <c r="AO1688" s="23"/>
      <c r="AP1688" s="23"/>
      <c r="AQ1688" s="16"/>
      <c r="AR1688" s="23"/>
      <c r="AS1688" s="23"/>
      <c r="AT1688" s="23"/>
      <c r="AU1688" s="16"/>
      <c r="AV1688" s="23"/>
      <c r="AW1688" s="23"/>
      <c r="AX1688" s="23"/>
      <c r="AY1688" s="16"/>
      <c r="AZ1688" s="23"/>
      <c r="BA1688" s="23"/>
      <c r="BB1688" s="23"/>
      <c r="BC1688" s="16"/>
      <c r="BD1688" s="23"/>
      <c r="BE1688" s="23"/>
      <c r="BF1688" s="23"/>
      <c r="BG1688" s="16"/>
      <c r="BH1688" s="23"/>
      <c r="BI1688" s="23"/>
      <c r="BJ1688" s="23"/>
      <c r="BN1688" s="23"/>
      <c r="BO1688" s="23"/>
      <c r="BP1688" s="16"/>
      <c r="BQ1688" s="16"/>
      <c r="BR1688" s="23"/>
      <c r="BS1688" s="16"/>
      <c r="BT1688" s="16"/>
      <c r="BU1688" s="16"/>
      <c r="BV1688" s="16"/>
      <c r="BW1688" s="16"/>
      <c r="BX1688" s="16"/>
      <c r="BY1688" s="16"/>
    </row>
    <row r="1689">
      <c r="A1689" s="16"/>
      <c r="B1689" s="16"/>
      <c r="C1689" s="22"/>
      <c r="D1689" s="16"/>
      <c r="E1689" s="16"/>
      <c r="F1689" s="16"/>
      <c r="G1689" s="16"/>
      <c r="H1689" s="16"/>
      <c r="I1689" s="23"/>
      <c r="J1689" s="23"/>
      <c r="K1689" s="16"/>
      <c r="L1689" s="23"/>
      <c r="M1689" s="23"/>
      <c r="N1689" s="23"/>
      <c r="O1689" s="16"/>
      <c r="P1689" s="23"/>
      <c r="Q1689" s="23"/>
      <c r="R1689" s="23"/>
      <c r="S1689" s="16"/>
      <c r="T1689" s="23"/>
      <c r="U1689" s="23"/>
      <c r="V1689" s="23"/>
      <c r="W1689" s="16"/>
      <c r="X1689" s="23"/>
      <c r="Y1689" s="23"/>
      <c r="Z1689" s="23"/>
      <c r="AA1689" s="16"/>
      <c r="AB1689" s="23"/>
      <c r="AC1689" s="23"/>
      <c r="AD1689" s="23"/>
      <c r="AE1689" s="16"/>
      <c r="AF1689" s="23"/>
      <c r="AG1689" s="23"/>
      <c r="AH1689" s="23"/>
      <c r="AI1689" s="16"/>
      <c r="AJ1689" s="23"/>
      <c r="AK1689" s="23"/>
      <c r="AL1689" s="23"/>
      <c r="AM1689" s="16"/>
      <c r="AN1689" s="23"/>
      <c r="AO1689" s="23"/>
      <c r="AP1689" s="23"/>
      <c r="AQ1689" s="16"/>
      <c r="AR1689" s="23"/>
      <c r="AS1689" s="23"/>
      <c r="AT1689" s="23"/>
      <c r="AU1689" s="16"/>
      <c r="AV1689" s="23"/>
      <c r="AW1689" s="23"/>
      <c r="AX1689" s="23"/>
      <c r="AY1689" s="16"/>
      <c r="AZ1689" s="23"/>
      <c r="BA1689" s="23"/>
      <c r="BB1689" s="23"/>
      <c r="BC1689" s="16"/>
      <c r="BD1689" s="23"/>
      <c r="BE1689" s="23"/>
      <c r="BF1689" s="23"/>
      <c r="BG1689" s="16"/>
      <c r="BH1689" s="23"/>
      <c r="BI1689" s="23"/>
      <c r="BJ1689" s="23"/>
      <c r="BN1689" s="23"/>
      <c r="BO1689" s="23"/>
      <c r="BP1689" s="16"/>
      <c r="BQ1689" s="16"/>
      <c r="BR1689" s="23"/>
      <c r="BS1689" s="16"/>
      <c r="BT1689" s="16"/>
      <c r="BU1689" s="16"/>
      <c r="BV1689" s="16"/>
      <c r="BW1689" s="16"/>
      <c r="BX1689" s="16"/>
      <c r="BY1689" s="16"/>
    </row>
    <row r="1690">
      <c r="A1690" s="16"/>
      <c r="B1690" s="16"/>
      <c r="C1690" s="22"/>
      <c r="D1690" s="16"/>
      <c r="E1690" s="16"/>
      <c r="F1690" s="16"/>
      <c r="G1690" s="16"/>
      <c r="H1690" s="16"/>
      <c r="I1690" s="23"/>
      <c r="J1690" s="23"/>
      <c r="K1690" s="16"/>
      <c r="L1690" s="23"/>
      <c r="M1690" s="23"/>
      <c r="N1690" s="23"/>
      <c r="O1690" s="16"/>
      <c r="P1690" s="23"/>
      <c r="Q1690" s="23"/>
      <c r="R1690" s="23"/>
      <c r="S1690" s="16"/>
      <c r="T1690" s="23"/>
      <c r="U1690" s="23"/>
      <c r="V1690" s="23"/>
      <c r="W1690" s="16"/>
      <c r="X1690" s="23"/>
      <c r="Y1690" s="23"/>
      <c r="Z1690" s="23"/>
      <c r="AA1690" s="16"/>
      <c r="AB1690" s="23"/>
      <c r="AC1690" s="23"/>
      <c r="AD1690" s="23"/>
      <c r="AE1690" s="16"/>
      <c r="AF1690" s="23"/>
      <c r="AG1690" s="23"/>
      <c r="AH1690" s="23"/>
      <c r="AI1690" s="16"/>
      <c r="AJ1690" s="23"/>
      <c r="AK1690" s="23"/>
      <c r="AL1690" s="23"/>
      <c r="AM1690" s="16"/>
      <c r="AN1690" s="23"/>
      <c r="AO1690" s="23"/>
      <c r="AP1690" s="23"/>
      <c r="AQ1690" s="16"/>
      <c r="AR1690" s="23"/>
      <c r="AS1690" s="23"/>
      <c r="AT1690" s="23"/>
      <c r="AU1690" s="16"/>
      <c r="AV1690" s="23"/>
      <c r="AW1690" s="23"/>
      <c r="AX1690" s="23"/>
      <c r="AY1690" s="16"/>
      <c r="AZ1690" s="23"/>
      <c r="BA1690" s="23"/>
      <c r="BB1690" s="23"/>
      <c r="BC1690" s="16"/>
      <c r="BD1690" s="23"/>
      <c r="BE1690" s="23"/>
      <c r="BF1690" s="23"/>
      <c r="BG1690" s="16"/>
      <c r="BH1690" s="23"/>
      <c r="BI1690" s="23"/>
      <c r="BJ1690" s="23"/>
      <c r="BN1690" s="23"/>
      <c r="BO1690" s="23"/>
      <c r="BP1690" s="16"/>
      <c r="BQ1690" s="16"/>
      <c r="BR1690" s="23"/>
      <c r="BS1690" s="16"/>
      <c r="BT1690" s="16"/>
      <c r="BU1690" s="16"/>
      <c r="BV1690" s="16"/>
      <c r="BW1690" s="16"/>
      <c r="BX1690" s="16"/>
      <c r="BY1690" s="16"/>
    </row>
    <row r="1691">
      <c r="A1691" s="16"/>
      <c r="B1691" s="16"/>
      <c r="C1691" s="22"/>
      <c r="D1691" s="16"/>
      <c r="E1691" s="16"/>
      <c r="F1691" s="16"/>
      <c r="G1691" s="16"/>
      <c r="H1691" s="16"/>
      <c r="I1691" s="23"/>
      <c r="J1691" s="23"/>
      <c r="K1691" s="16"/>
      <c r="L1691" s="23"/>
      <c r="M1691" s="23"/>
      <c r="N1691" s="23"/>
      <c r="O1691" s="16"/>
      <c r="P1691" s="23"/>
      <c r="Q1691" s="23"/>
      <c r="R1691" s="23"/>
      <c r="S1691" s="16"/>
      <c r="T1691" s="23"/>
      <c r="U1691" s="23"/>
      <c r="V1691" s="23"/>
      <c r="W1691" s="16"/>
      <c r="X1691" s="23"/>
      <c r="Y1691" s="23"/>
      <c r="Z1691" s="23"/>
      <c r="AA1691" s="16"/>
      <c r="AB1691" s="23"/>
      <c r="AC1691" s="23"/>
      <c r="AD1691" s="23"/>
      <c r="AE1691" s="16"/>
      <c r="AF1691" s="23"/>
      <c r="AG1691" s="23"/>
      <c r="AH1691" s="23"/>
      <c r="AI1691" s="16"/>
      <c r="AJ1691" s="23"/>
      <c r="AK1691" s="23"/>
      <c r="AL1691" s="23"/>
      <c r="AM1691" s="16"/>
      <c r="AN1691" s="23"/>
      <c r="AO1691" s="23"/>
      <c r="AP1691" s="23"/>
      <c r="AQ1691" s="16"/>
      <c r="AR1691" s="23"/>
      <c r="AS1691" s="23"/>
      <c r="AT1691" s="23"/>
      <c r="AU1691" s="16"/>
      <c r="AV1691" s="23"/>
      <c r="AW1691" s="23"/>
      <c r="AX1691" s="23"/>
      <c r="AY1691" s="16"/>
      <c r="AZ1691" s="23"/>
      <c r="BA1691" s="23"/>
      <c r="BB1691" s="23"/>
      <c r="BC1691" s="16"/>
      <c r="BD1691" s="23"/>
      <c r="BE1691" s="23"/>
      <c r="BF1691" s="23"/>
      <c r="BG1691" s="16"/>
      <c r="BH1691" s="23"/>
      <c r="BI1691" s="23"/>
      <c r="BJ1691" s="23"/>
      <c r="BN1691" s="23"/>
      <c r="BO1691" s="23"/>
      <c r="BP1691" s="16"/>
      <c r="BQ1691" s="16"/>
      <c r="BR1691" s="23"/>
      <c r="BS1691" s="16"/>
      <c r="BT1691" s="16"/>
      <c r="BU1691" s="16"/>
      <c r="BV1691" s="16"/>
      <c r="BW1691" s="16"/>
      <c r="BX1691" s="16"/>
      <c r="BY1691" s="16"/>
    </row>
    <row r="1692">
      <c r="A1692" s="16"/>
      <c r="B1692" s="16"/>
      <c r="C1692" s="22"/>
      <c r="D1692" s="16"/>
      <c r="E1692" s="16"/>
      <c r="F1692" s="16"/>
      <c r="G1692" s="16"/>
      <c r="H1692" s="16"/>
      <c r="I1692" s="23"/>
      <c r="J1692" s="23"/>
      <c r="K1692" s="16"/>
      <c r="L1692" s="23"/>
      <c r="M1692" s="23"/>
      <c r="N1692" s="23"/>
      <c r="O1692" s="16"/>
      <c r="P1692" s="23"/>
      <c r="Q1692" s="23"/>
      <c r="R1692" s="23"/>
      <c r="S1692" s="16"/>
      <c r="T1692" s="23"/>
      <c r="U1692" s="23"/>
      <c r="V1692" s="23"/>
      <c r="W1692" s="16"/>
      <c r="X1692" s="23"/>
      <c r="Y1692" s="23"/>
      <c r="Z1692" s="23"/>
      <c r="AA1692" s="16"/>
      <c r="AB1692" s="23"/>
      <c r="AC1692" s="23"/>
      <c r="AD1692" s="23"/>
      <c r="AE1692" s="16"/>
      <c r="AF1692" s="23"/>
      <c r="AG1692" s="23"/>
      <c r="AH1692" s="23"/>
      <c r="AI1692" s="16"/>
      <c r="AJ1692" s="23"/>
      <c r="AK1692" s="23"/>
      <c r="AL1692" s="23"/>
      <c r="AM1692" s="16"/>
      <c r="AN1692" s="23"/>
      <c r="AO1692" s="23"/>
      <c r="AP1692" s="23"/>
      <c r="AQ1692" s="16"/>
      <c r="AR1692" s="23"/>
      <c r="AS1692" s="23"/>
      <c r="AT1692" s="23"/>
      <c r="AU1692" s="16"/>
      <c r="AV1692" s="23"/>
      <c r="AW1692" s="23"/>
      <c r="AX1692" s="23"/>
      <c r="AY1692" s="16"/>
      <c r="AZ1692" s="23"/>
      <c r="BA1692" s="23"/>
      <c r="BB1692" s="23"/>
      <c r="BC1692" s="16"/>
      <c r="BD1692" s="23"/>
      <c r="BE1692" s="23"/>
      <c r="BF1692" s="23"/>
      <c r="BG1692" s="16"/>
      <c r="BH1692" s="23"/>
      <c r="BI1692" s="23"/>
      <c r="BJ1692" s="23"/>
      <c r="BN1692" s="23"/>
      <c r="BO1692" s="23"/>
      <c r="BP1692" s="16"/>
      <c r="BQ1692" s="16"/>
      <c r="BR1692" s="23"/>
      <c r="BS1692" s="16"/>
      <c r="BT1692" s="16"/>
      <c r="BU1692" s="16"/>
      <c r="BV1692" s="16"/>
      <c r="BW1692" s="16"/>
      <c r="BX1692" s="16"/>
      <c r="BY1692" s="16"/>
    </row>
    <row r="1693">
      <c r="A1693" s="16"/>
      <c r="B1693" s="16"/>
      <c r="C1693" s="22"/>
      <c r="D1693" s="16"/>
      <c r="E1693" s="16"/>
      <c r="F1693" s="16"/>
      <c r="G1693" s="16"/>
      <c r="H1693" s="16"/>
      <c r="I1693" s="23"/>
      <c r="J1693" s="23"/>
      <c r="K1693" s="16"/>
      <c r="L1693" s="23"/>
      <c r="M1693" s="23"/>
      <c r="N1693" s="23"/>
      <c r="O1693" s="16"/>
      <c r="P1693" s="23"/>
      <c r="Q1693" s="23"/>
      <c r="R1693" s="23"/>
      <c r="S1693" s="16"/>
      <c r="T1693" s="23"/>
      <c r="U1693" s="23"/>
      <c r="V1693" s="23"/>
      <c r="W1693" s="16"/>
      <c r="X1693" s="23"/>
      <c r="Y1693" s="23"/>
      <c r="Z1693" s="23"/>
      <c r="AA1693" s="16"/>
      <c r="AB1693" s="23"/>
      <c r="AC1693" s="23"/>
      <c r="AD1693" s="23"/>
      <c r="AE1693" s="16"/>
      <c r="AF1693" s="23"/>
      <c r="AG1693" s="23"/>
      <c r="AH1693" s="23"/>
      <c r="AI1693" s="16"/>
      <c r="AJ1693" s="23"/>
      <c r="AK1693" s="23"/>
      <c r="AL1693" s="23"/>
      <c r="AM1693" s="16"/>
      <c r="AN1693" s="23"/>
      <c r="AO1693" s="23"/>
      <c r="AP1693" s="23"/>
      <c r="AQ1693" s="16"/>
      <c r="AR1693" s="23"/>
      <c r="AS1693" s="23"/>
      <c r="AT1693" s="23"/>
      <c r="AU1693" s="16"/>
      <c r="AV1693" s="23"/>
      <c r="AW1693" s="23"/>
      <c r="AX1693" s="23"/>
      <c r="AY1693" s="16"/>
      <c r="AZ1693" s="23"/>
      <c r="BA1693" s="23"/>
      <c r="BB1693" s="23"/>
      <c r="BC1693" s="16"/>
      <c r="BD1693" s="23"/>
      <c r="BE1693" s="23"/>
      <c r="BF1693" s="23"/>
      <c r="BG1693" s="16"/>
      <c r="BH1693" s="23"/>
      <c r="BI1693" s="23"/>
      <c r="BJ1693" s="23"/>
      <c r="BN1693" s="23"/>
      <c r="BO1693" s="23"/>
      <c r="BP1693" s="16"/>
      <c r="BQ1693" s="16"/>
      <c r="BR1693" s="23"/>
      <c r="BS1693" s="16"/>
      <c r="BT1693" s="16"/>
      <c r="BU1693" s="16"/>
      <c r="BV1693" s="16"/>
      <c r="BW1693" s="16"/>
      <c r="BX1693" s="16"/>
      <c r="BY1693" s="16"/>
    </row>
    <row r="1694">
      <c r="A1694" s="16"/>
      <c r="B1694" s="16"/>
      <c r="C1694" s="22"/>
      <c r="D1694" s="16"/>
      <c r="E1694" s="16"/>
      <c r="F1694" s="16"/>
      <c r="G1694" s="16"/>
      <c r="H1694" s="16"/>
      <c r="I1694" s="23"/>
      <c r="J1694" s="23"/>
      <c r="K1694" s="16"/>
      <c r="L1694" s="23"/>
      <c r="M1694" s="23"/>
      <c r="N1694" s="23"/>
      <c r="O1694" s="16"/>
      <c r="P1694" s="23"/>
      <c r="Q1694" s="23"/>
      <c r="R1694" s="23"/>
      <c r="S1694" s="16"/>
      <c r="T1694" s="23"/>
      <c r="U1694" s="23"/>
      <c r="V1694" s="23"/>
      <c r="W1694" s="16"/>
      <c r="X1694" s="23"/>
      <c r="Y1694" s="23"/>
      <c r="Z1694" s="23"/>
      <c r="AA1694" s="16"/>
      <c r="AB1694" s="23"/>
      <c r="AC1694" s="23"/>
      <c r="AD1694" s="23"/>
      <c r="AE1694" s="16"/>
      <c r="AF1694" s="23"/>
      <c r="AG1694" s="23"/>
      <c r="AH1694" s="23"/>
      <c r="AI1694" s="16"/>
      <c r="AJ1694" s="23"/>
      <c r="AK1694" s="23"/>
      <c r="AL1694" s="23"/>
      <c r="AM1694" s="16"/>
      <c r="AN1694" s="23"/>
      <c r="AO1694" s="23"/>
      <c r="AP1694" s="23"/>
      <c r="AQ1694" s="16"/>
      <c r="AR1694" s="23"/>
      <c r="AS1694" s="23"/>
      <c r="AT1694" s="23"/>
      <c r="AU1694" s="16"/>
      <c r="AV1694" s="23"/>
      <c r="AW1694" s="23"/>
      <c r="AX1694" s="23"/>
      <c r="AY1694" s="16"/>
      <c r="AZ1694" s="23"/>
      <c r="BA1694" s="23"/>
      <c r="BB1694" s="23"/>
      <c r="BC1694" s="16"/>
      <c r="BD1694" s="23"/>
      <c r="BE1694" s="23"/>
      <c r="BF1694" s="23"/>
      <c r="BG1694" s="16"/>
      <c r="BH1694" s="23"/>
      <c r="BI1694" s="23"/>
      <c r="BJ1694" s="23"/>
      <c r="BN1694" s="23"/>
      <c r="BO1694" s="23"/>
      <c r="BP1694" s="16"/>
      <c r="BQ1694" s="16"/>
      <c r="BR1694" s="23"/>
      <c r="BS1694" s="16"/>
      <c r="BT1694" s="16"/>
      <c r="BU1694" s="16"/>
      <c r="BV1694" s="16"/>
      <c r="BW1694" s="16"/>
      <c r="BX1694" s="16"/>
      <c r="BY1694" s="16"/>
    </row>
    <row r="1695">
      <c r="A1695" s="16"/>
      <c r="B1695" s="16"/>
      <c r="C1695" s="22"/>
      <c r="D1695" s="16"/>
      <c r="E1695" s="16"/>
      <c r="F1695" s="16"/>
      <c r="G1695" s="16"/>
      <c r="H1695" s="16"/>
      <c r="I1695" s="23"/>
      <c r="J1695" s="23"/>
      <c r="K1695" s="16"/>
      <c r="L1695" s="23"/>
      <c r="M1695" s="23"/>
      <c r="N1695" s="23"/>
      <c r="O1695" s="16"/>
      <c r="P1695" s="23"/>
      <c r="Q1695" s="23"/>
      <c r="R1695" s="23"/>
      <c r="S1695" s="16"/>
      <c r="T1695" s="23"/>
      <c r="U1695" s="23"/>
      <c r="V1695" s="23"/>
      <c r="W1695" s="16"/>
      <c r="X1695" s="23"/>
      <c r="Y1695" s="23"/>
      <c r="Z1695" s="23"/>
      <c r="AA1695" s="16"/>
      <c r="AB1695" s="23"/>
      <c r="AC1695" s="23"/>
      <c r="AD1695" s="23"/>
      <c r="AE1695" s="16"/>
      <c r="AF1695" s="23"/>
      <c r="AG1695" s="23"/>
      <c r="AH1695" s="23"/>
      <c r="AI1695" s="16"/>
      <c r="AJ1695" s="23"/>
      <c r="AK1695" s="23"/>
      <c r="AL1695" s="23"/>
      <c r="AM1695" s="16"/>
      <c r="AN1695" s="23"/>
      <c r="AO1695" s="23"/>
      <c r="AP1695" s="23"/>
      <c r="AQ1695" s="16"/>
      <c r="AR1695" s="23"/>
      <c r="AS1695" s="23"/>
      <c r="AT1695" s="23"/>
      <c r="AU1695" s="16"/>
      <c r="AV1695" s="23"/>
      <c r="AW1695" s="23"/>
      <c r="AX1695" s="23"/>
      <c r="AY1695" s="16"/>
      <c r="AZ1695" s="23"/>
      <c r="BA1695" s="23"/>
      <c r="BB1695" s="23"/>
      <c r="BC1695" s="16"/>
      <c r="BD1695" s="23"/>
      <c r="BE1695" s="23"/>
      <c r="BF1695" s="23"/>
      <c r="BG1695" s="16"/>
      <c r="BH1695" s="23"/>
      <c r="BI1695" s="23"/>
      <c r="BJ1695" s="23"/>
      <c r="BN1695" s="23"/>
      <c r="BO1695" s="23"/>
      <c r="BP1695" s="16"/>
      <c r="BQ1695" s="16"/>
      <c r="BR1695" s="23"/>
      <c r="BS1695" s="16"/>
      <c r="BT1695" s="16"/>
      <c r="BU1695" s="16"/>
      <c r="BV1695" s="16"/>
      <c r="BW1695" s="16"/>
      <c r="BX1695" s="16"/>
      <c r="BY1695" s="16"/>
    </row>
    <row r="1696">
      <c r="A1696" s="16"/>
      <c r="B1696" s="16"/>
      <c r="C1696" s="22"/>
      <c r="D1696" s="16"/>
      <c r="E1696" s="16"/>
      <c r="F1696" s="16"/>
      <c r="G1696" s="16"/>
      <c r="H1696" s="16"/>
      <c r="I1696" s="23"/>
      <c r="J1696" s="23"/>
      <c r="K1696" s="16"/>
      <c r="L1696" s="23"/>
      <c r="M1696" s="23"/>
      <c r="N1696" s="23"/>
      <c r="O1696" s="16"/>
      <c r="P1696" s="23"/>
      <c r="Q1696" s="23"/>
      <c r="R1696" s="23"/>
      <c r="S1696" s="16"/>
      <c r="T1696" s="23"/>
      <c r="U1696" s="23"/>
      <c r="V1696" s="23"/>
      <c r="W1696" s="16"/>
      <c r="X1696" s="23"/>
      <c r="Y1696" s="23"/>
      <c r="Z1696" s="23"/>
      <c r="AA1696" s="16"/>
      <c r="AB1696" s="23"/>
      <c r="AC1696" s="23"/>
      <c r="AD1696" s="23"/>
      <c r="AE1696" s="16"/>
      <c r="AF1696" s="23"/>
      <c r="AG1696" s="23"/>
      <c r="AH1696" s="23"/>
      <c r="AI1696" s="16"/>
      <c r="AJ1696" s="23"/>
      <c r="AK1696" s="23"/>
      <c r="AL1696" s="23"/>
      <c r="AM1696" s="16"/>
      <c r="AN1696" s="23"/>
      <c r="AO1696" s="23"/>
      <c r="AP1696" s="23"/>
      <c r="AQ1696" s="16"/>
      <c r="AR1696" s="23"/>
      <c r="AS1696" s="23"/>
      <c r="AT1696" s="23"/>
      <c r="AU1696" s="16"/>
      <c r="AV1696" s="23"/>
      <c r="AW1696" s="23"/>
      <c r="AX1696" s="23"/>
      <c r="AY1696" s="16"/>
      <c r="AZ1696" s="23"/>
      <c r="BA1696" s="23"/>
      <c r="BB1696" s="23"/>
      <c r="BC1696" s="16"/>
      <c r="BD1696" s="23"/>
      <c r="BE1696" s="23"/>
      <c r="BF1696" s="23"/>
      <c r="BG1696" s="16"/>
      <c r="BH1696" s="23"/>
      <c r="BI1696" s="23"/>
      <c r="BJ1696" s="23"/>
      <c r="BN1696" s="23"/>
      <c r="BO1696" s="23"/>
      <c r="BP1696" s="16"/>
      <c r="BQ1696" s="16"/>
      <c r="BR1696" s="23"/>
      <c r="BS1696" s="16"/>
      <c r="BT1696" s="16"/>
      <c r="BU1696" s="16"/>
      <c r="BV1696" s="16"/>
      <c r="BW1696" s="16"/>
      <c r="BX1696" s="16"/>
      <c r="BY1696" s="16"/>
    </row>
    <row r="1697">
      <c r="A1697" s="16"/>
      <c r="B1697" s="16"/>
      <c r="C1697" s="22"/>
      <c r="D1697" s="16"/>
      <c r="E1697" s="16"/>
      <c r="F1697" s="16"/>
      <c r="G1697" s="16"/>
      <c r="H1697" s="16"/>
      <c r="I1697" s="23"/>
      <c r="J1697" s="23"/>
      <c r="K1697" s="16"/>
      <c r="L1697" s="23"/>
      <c r="M1697" s="23"/>
      <c r="N1697" s="23"/>
      <c r="O1697" s="16"/>
      <c r="P1697" s="23"/>
      <c r="Q1697" s="23"/>
      <c r="R1697" s="23"/>
      <c r="S1697" s="16"/>
      <c r="T1697" s="23"/>
      <c r="U1697" s="23"/>
      <c r="V1697" s="23"/>
      <c r="W1697" s="16"/>
      <c r="X1697" s="23"/>
      <c r="Y1697" s="23"/>
      <c r="Z1697" s="23"/>
      <c r="AA1697" s="16"/>
      <c r="AB1697" s="23"/>
      <c r="AC1697" s="23"/>
      <c r="AD1697" s="23"/>
      <c r="AE1697" s="16"/>
      <c r="AF1697" s="23"/>
      <c r="AG1697" s="23"/>
      <c r="AH1697" s="23"/>
      <c r="AI1697" s="16"/>
      <c r="AJ1697" s="23"/>
      <c r="AK1697" s="23"/>
      <c r="AL1697" s="23"/>
      <c r="AM1697" s="16"/>
      <c r="AN1697" s="23"/>
      <c r="AO1697" s="23"/>
      <c r="AP1697" s="23"/>
      <c r="AQ1697" s="16"/>
      <c r="AR1697" s="23"/>
      <c r="AS1697" s="23"/>
      <c r="AT1697" s="23"/>
      <c r="AU1697" s="16"/>
      <c r="AV1697" s="23"/>
      <c r="AW1697" s="23"/>
      <c r="AX1697" s="23"/>
      <c r="AY1697" s="16"/>
      <c r="AZ1697" s="23"/>
      <c r="BA1697" s="23"/>
      <c r="BB1697" s="23"/>
      <c r="BC1697" s="16"/>
      <c r="BD1697" s="23"/>
      <c r="BE1697" s="23"/>
      <c r="BF1697" s="23"/>
      <c r="BG1697" s="16"/>
      <c r="BH1697" s="23"/>
      <c r="BI1697" s="23"/>
      <c r="BJ1697" s="23"/>
      <c r="BN1697" s="23"/>
      <c r="BO1697" s="23"/>
      <c r="BP1697" s="16"/>
      <c r="BQ1697" s="16"/>
      <c r="BR1697" s="23"/>
      <c r="BS1697" s="16"/>
      <c r="BT1697" s="16"/>
      <c r="BU1697" s="16"/>
      <c r="BV1697" s="16"/>
      <c r="BW1697" s="16"/>
      <c r="BX1697" s="16"/>
      <c r="BY1697" s="16"/>
    </row>
    <row r="1698">
      <c r="A1698" s="16"/>
      <c r="B1698" s="16"/>
      <c r="C1698" s="22"/>
      <c r="D1698" s="16"/>
      <c r="E1698" s="16"/>
      <c r="F1698" s="16"/>
      <c r="G1698" s="16"/>
      <c r="H1698" s="16"/>
      <c r="I1698" s="23"/>
      <c r="J1698" s="23"/>
      <c r="K1698" s="16"/>
      <c r="L1698" s="23"/>
      <c r="M1698" s="23"/>
      <c r="N1698" s="23"/>
      <c r="O1698" s="16"/>
      <c r="P1698" s="23"/>
      <c r="Q1698" s="23"/>
      <c r="R1698" s="23"/>
      <c r="S1698" s="16"/>
      <c r="T1698" s="23"/>
      <c r="U1698" s="23"/>
      <c r="V1698" s="23"/>
      <c r="W1698" s="16"/>
      <c r="X1698" s="23"/>
      <c r="Y1698" s="23"/>
      <c r="Z1698" s="23"/>
      <c r="AA1698" s="16"/>
      <c r="AB1698" s="23"/>
      <c r="AC1698" s="23"/>
      <c r="AD1698" s="23"/>
      <c r="AE1698" s="16"/>
      <c r="AF1698" s="23"/>
      <c r="AG1698" s="23"/>
      <c r="AH1698" s="23"/>
      <c r="AI1698" s="16"/>
      <c r="AJ1698" s="23"/>
      <c r="AK1698" s="23"/>
      <c r="AL1698" s="23"/>
      <c r="AM1698" s="16"/>
      <c r="AN1698" s="23"/>
      <c r="AO1698" s="23"/>
      <c r="AP1698" s="23"/>
      <c r="AQ1698" s="16"/>
      <c r="AR1698" s="23"/>
      <c r="AS1698" s="23"/>
      <c r="AT1698" s="23"/>
      <c r="AU1698" s="16"/>
      <c r="AV1698" s="23"/>
      <c r="AW1698" s="23"/>
      <c r="AX1698" s="23"/>
      <c r="AY1698" s="16"/>
      <c r="AZ1698" s="23"/>
      <c r="BA1698" s="23"/>
      <c r="BB1698" s="23"/>
      <c r="BC1698" s="16"/>
      <c r="BD1698" s="23"/>
      <c r="BE1698" s="23"/>
      <c r="BF1698" s="23"/>
      <c r="BG1698" s="16"/>
      <c r="BH1698" s="23"/>
      <c r="BI1698" s="23"/>
      <c r="BJ1698" s="23"/>
      <c r="BN1698" s="23"/>
      <c r="BO1698" s="23"/>
      <c r="BP1698" s="16"/>
      <c r="BQ1698" s="16"/>
      <c r="BR1698" s="23"/>
      <c r="BS1698" s="16"/>
      <c r="BT1698" s="16"/>
      <c r="BU1698" s="16"/>
      <c r="BV1698" s="16"/>
      <c r="BW1698" s="16"/>
      <c r="BX1698" s="16"/>
      <c r="BY1698" s="16"/>
    </row>
    <row r="1699">
      <c r="A1699" s="16"/>
      <c r="B1699" s="16"/>
      <c r="C1699" s="22"/>
      <c r="D1699" s="16"/>
      <c r="E1699" s="16"/>
      <c r="F1699" s="16"/>
      <c r="G1699" s="16"/>
      <c r="H1699" s="16"/>
      <c r="I1699" s="23"/>
      <c r="J1699" s="23"/>
      <c r="K1699" s="16"/>
      <c r="L1699" s="23"/>
      <c r="M1699" s="23"/>
      <c r="N1699" s="23"/>
      <c r="O1699" s="16"/>
      <c r="P1699" s="23"/>
      <c r="Q1699" s="23"/>
      <c r="R1699" s="23"/>
      <c r="S1699" s="16"/>
      <c r="T1699" s="23"/>
      <c r="U1699" s="23"/>
      <c r="V1699" s="23"/>
      <c r="W1699" s="16"/>
      <c r="X1699" s="23"/>
      <c r="Y1699" s="23"/>
      <c r="Z1699" s="23"/>
      <c r="AA1699" s="16"/>
      <c r="AB1699" s="23"/>
      <c r="AC1699" s="23"/>
      <c r="AD1699" s="23"/>
      <c r="AE1699" s="16"/>
      <c r="AF1699" s="23"/>
      <c r="AG1699" s="23"/>
      <c r="AH1699" s="23"/>
      <c r="AI1699" s="16"/>
      <c r="AJ1699" s="23"/>
      <c r="AK1699" s="23"/>
      <c r="AL1699" s="23"/>
      <c r="AM1699" s="16"/>
      <c r="AN1699" s="23"/>
      <c r="AO1699" s="23"/>
      <c r="AP1699" s="23"/>
      <c r="AQ1699" s="16"/>
      <c r="AR1699" s="23"/>
      <c r="AS1699" s="23"/>
      <c r="AT1699" s="23"/>
      <c r="AU1699" s="16"/>
      <c r="AV1699" s="23"/>
      <c r="AW1699" s="23"/>
      <c r="AX1699" s="23"/>
      <c r="AY1699" s="16"/>
      <c r="AZ1699" s="23"/>
      <c r="BA1699" s="23"/>
      <c r="BB1699" s="23"/>
      <c r="BC1699" s="16"/>
      <c r="BD1699" s="23"/>
      <c r="BE1699" s="23"/>
      <c r="BF1699" s="23"/>
      <c r="BG1699" s="16"/>
      <c r="BH1699" s="23"/>
      <c r="BI1699" s="23"/>
      <c r="BJ1699" s="23"/>
      <c r="BN1699" s="23"/>
      <c r="BO1699" s="23"/>
      <c r="BP1699" s="16"/>
      <c r="BQ1699" s="16"/>
      <c r="BR1699" s="23"/>
      <c r="BS1699" s="16"/>
      <c r="BT1699" s="16"/>
      <c r="BU1699" s="16"/>
      <c r="BV1699" s="16"/>
      <c r="BW1699" s="16"/>
      <c r="BX1699" s="16"/>
      <c r="BY1699" s="16"/>
    </row>
    <row r="1700">
      <c r="A1700" s="16"/>
      <c r="B1700" s="16"/>
      <c r="C1700" s="22"/>
      <c r="D1700" s="16"/>
      <c r="E1700" s="16"/>
      <c r="F1700" s="16"/>
      <c r="G1700" s="16"/>
      <c r="H1700" s="16"/>
      <c r="I1700" s="23"/>
      <c r="J1700" s="23"/>
      <c r="K1700" s="16"/>
      <c r="L1700" s="23"/>
      <c r="M1700" s="23"/>
      <c r="N1700" s="23"/>
      <c r="O1700" s="16"/>
      <c r="P1700" s="23"/>
      <c r="Q1700" s="23"/>
      <c r="R1700" s="23"/>
      <c r="S1700" s="16"/>
      <c r="T1700" s="23"/>
      <c r="U1700" s="23"/>
      <c r="V1700" s="23"/>
      <c r="W1700" s="16"/>
      <c r="X1700" s="23"/>
      <c r="Y1700" s="23"/>
      <c r="Z1700" s="23"/>
      <c r="AA1700" s="16"/>
      <c r="AB1700" s="23"/>
      <c r="AC1700" s="23"/>
      <c r="AD1700" s="23"/>
      <c r="AE1700" s="16"/>
      <c r="AF1700" s="23"/>
      <c r="AG1700" s="23"/>
      <c r="AH1700" s="23"/>
      <c r="AI1700" s="16"/>
      <c r="AJ1700" s="23"/>
      <c r="AK1700" s="23"/>
      <c r="AL1700" s="23"/>
      <c r="AM1700" s="16"/>
      <c r="AN1700" s="23"/>
      <c r="AO1700" s="23"/>
      <c r="AP1700" s="23"/>
      <c r="AQ1700" s="16"/>
      <c r="AR1700" s="23"/>
      <c r="AS1700" s="23"/>
      <c r="AT1700" s="23"/>
      <c r="AU1700" s="16"/>
      <c r="AV1700" s="23"/>
      <c r="AW1700" s="23"/>
      <c r="AX1700" s="23"/>
      <c r="AY1700" s="16"/>
      <c r="AZ1700" s="23"/>
      <c r="BA1700" s="23"/>
      <c r="BB1700" s="23"/>
      <c r="BC1700" s="16"/>
      <c r="BD1700" s="23"/>
      <c r="BE1700" s="23"/>
      <c r="BF1700" s="23"/>
      <c r="BG1700" s="16"/>
      <c r="BH1700" s="23"/>
      <c r="BI1700" s="23"/>
      <c r="BJ1700" s="23"/>
      <c r="BN1700" s="23"/>
      <c r="BO1700" s="23"/>
      <c r="BP1700" s="16"/>
      <c r="BQ1700" s="16"/>
      <c r="BR1700" s="23"/>
      <c r="BS1700" s="16"/>
      <c r="BT1700" s="16"/>
      <c r="BU1700" s="16"/>
      <c r="BV1700" s="16"/>
      <c r="BW1700" s="16"/>
      <c r="BX1700" s="16"/>
      <c r="BY1700" s="16"/>
    </row>
    <row r="1701">
      <c r="A1701" s="16"/>
      <c r="B1701" s="16"/>
      <c r="C1701" s="22"/>
      <c r="D1701" s="16"/>
      <c r="E1701" s="16"/>
      <c r="F1701" s="16"/>
      <c r="G1701" s="16"/>
      <c r="H1701" s="16"/>
      <c r="I1701" s="23"/>
      <c r="J1701" s="23"/>
      <c r="K1701" s="16"/>
      <c r="L1701" s="23"/>
      <c r="M1701" s="23"/>
      <c r="N1701" s="23"/>
      <c r="O1701" s="16"/>
      <c r="P1701" s="23"/>
      <c r="Q1701" s="23"/>
      <c r="R1701" s="23"/>
      <c r="S1701" s="16"/>
      <c r="T1701" s="23"/>
      <c r="U1701" s="23"/>
      <c r="V1701" s="23"/>
      <c r="W1701" s="16"/>
      <c r="X1701" s="23"/>
      <c r="Y1701" s="23"/>
      <c r="Z1701" s="23"/>
      <c r="AA1701" s="16"/>
      <c r="AB1701" s="23"/>
      <c r="AC1701" s="23"/>
      <c r="AD1701" s="23"/>
      <c r="AE1701" s="16"/>
      <c r="AF1701" s="23"/>
      <c r="AG1701" s="23"/>
      <c r="AH1701" s="23"/>
      <c r="AI1701" s="16"/>
      <c r="AJ1701" s="23"/>
      <c r="AK1701" s="23"/>
      <c r="AL1701" s="23"/>
      <c r="AM1701" s="16"/>
      <c r="AN1701" s="23"/>
      <c r="AO1701" s="23"/>
      <c r="AP1701" s="23"/>
      <c r="AQ1701" s="16"/>
      <c r="AR1701" s="23"/>
      <c r="AS1701" s="23"/>
      <c r="AT1701" s="23"/>
      <c r="AU1701" s="16"/>
      <c r="AV1701" s="23"/>
      <c r="AW1701" s="23"/>
      <c r="AX1701" s="23"/>
      <c r="AY1701" s="16"/>
      <c r="AZ1701" s="23"/>
      <c r="BA1701" s="23"/>
      <c r="BB1701" s="23"/>
      <c r="BC1701" s="16"/>
      <c r="BD1701" s="23"/>
      <c r="BE1701" s="23"/>
      <c r="BF1701" s="23"/>
      <c r="BG1701" s="16"/>
      <c r="BH1701" s="23"/>
      <c r="BI1701" s="23"/>
      <c r="BJ1701" s="23"/>
      <c r="BN1701" s="23"/>
      <c r="BO1701" s="23"/>
      <c r="BP1701" s="16"/>
      <c r="BQ1701" s="16"/>
      <c r="BR1701" s="23"/>
      <c r="BS1701" s="16"/>
      <c r="BT1701" s="16"/>
      <c r="BU1701" s="16"/>
      <c r="BV1701" s="16"/>
      <c r="BW1701" s="16"/>
      <c r="BX1701" s="16"/>
      <c r="BY1701" s="16"/>
    </row>
    <row r="1702">
      <c r="A1702" s="16"/>
      <c r="B1702" s="16"/>
      <c r="C1702" s="22"/>
      <c r="D1702" s="16"/>
      <c r="E1702" s="16"/>
      <c r="F1702" s="16"/>
      <c r="G1702" s="16"/>
      <c r="H1702" s="16"/>
      <c r="I1702" s="23"/>
      <c r="J1702" s="23"/>
      <c r="K1702" s="16"/>
      <c r="L1702" s="23"/>
      <c r="M1702" s="23"/>
      <c r="N1702" s="23"/>
      <c r="O1702" s="16"/>
      <c r="P1702" s="23"/>
      <c r="Q1702" s="23"/>
      <c r="R1702" s="23"/>
      <c r="S1702" s="16"/>
      <c r="T1702" s="23"/>
      <c r="U1702" s="23"/>
      <c r="V1702" s="23"/>
      <c r="W1702" s="16"/>
      <c r="X1702" s="23"/>
      <c r="Y1702" s="23"/>
      <c r="Z1702" s="23"/>
      <c r="AA1702" s="16"/>
      <c r="AB1702" s="23"/>
      <c r="AC1702" s="23"/>
      <c r="AD1702" s="23"/>
      <c r="AE1702" s="16"/>
      <c r="AF1702" s="23"/>
      <c r="AG1702" s="23"/>
      <c r="AH1702" s="23"/>
      <c r="AI1702" s="16"/>
      <c r="AJ1702" s="23"/>
      <c r="AK1702" s="23"/>
      <c r="AL1702" s="23"/>
      <c r="AM1702" s="16"/>
      <c r="AN1702" s="23"/>
      <c r="AO1702" s="23"/>
      <c r="AP1702" s="23"/>
      <c r="AQ1702" s="16"/>
      <c r="AR1702" s="23"/>
      <c r="AS1702" s="23"/>
      <c r="AT1702" s="23"/>
      <c r="AU1702" s="16"/>
      <c r="AV1702" s="23"/>
      <c r="AW1702" s="23"/>
      <c r="AX1702" s="23"/>
      <c r="AY1702" s="16"/>
      <c r="AZ1702" s="23"/>
      <c r="BA1702" s="23"/>
      <c r="BB1702" s="23"/>
      <c r="BC1702" s="16"/>
      <c r="BD1702" s="23"/>
      <c r="BE1702" s="23"/>
      <c r="BF1702" s="23"/>
      <c r="BG1702" s="16"/>
      <c r="BH1702" s="23"/>
      <c r="BI1702" s="23"/>
      <c r="BJ1702" s="23"/>
      <c r="BN1702" s="23"/>
      <c r="BO1702" s="23"/>
      <c r="BP1702" s="16"/>
      <c r="BQ1702" s="16"/>
      <c r="BR1702" s="23"/>
      <c r="BS1702" s="16"/>
      <c r="BT1702" s="16"/>
      <c r="BU1702" s="16"/>
      <c r="BV1702" s="16"/>
      <c r="BW1702" s="16"/>
      <c r="BX1702" s="16"/>
      <c r="BY1702" s="16"/>
    </row>
    <row r="1703">
      <c r="A1703" s="16"/>
      <c r="B1703" s="16"/>
      <c r="C1703" s="22"/>
      <c r="D1703" s="16"/>
      <c r="E1703" s="16"/>
      <c r="F1703" s="16"/>
      <c r="G1703" s="16"/>
      <c r="H1703" s="16"/>
      <c r="I1703" s="23"/>
      <c r="J1703" s="23"/>
      <c r="K1703" s="16"/>
      <c r="L1703" s="23"/>
      <c r="M1703" s="23"/>
      <c r="N1703" s="23"/>
      <c r="O1703" s="16"/>
      <c r="P1703" s="23"/>
      <c r="Q1703" s="23"/>
      <c r="R1703" s="23"/>
      <c r="S1703" s="16"/>
      <c r="T1703" s="23"/>
      <c r="U1703" s="23"/>
      <c r="V1703" s="23"/>
      <c r="W1703" s="16"/>
      <c r="X1703" s="23"/>
      <c r="Y1703" s="23"/>
      <c r="Z1703" s="23"/>
      <c r="AA1703" s="16"/>
      <c r="AB1703" s="23"/>
      <c r="AC1703" s="23"/>
      <c r="AD1703" s="23"/>
      <c r="AE1703" s="16"/>
      <c r="AF1703" s="23"/>
      <c r="AG1703" s="23"/>
      <c r="AH1703" s="23"/>
      <c r="AI1703" s="16"/>
      <c r="AJ1703" s="23"/>
      <c r="AK1703" s="23"/>
      <c r="AL1703" s="23"/>
      <c r="AM1703" s="16"/>
      <c r="AN1703" s="23"/>
      <c r="AO1703" s="23"/>
      <c r="AP1703" s="23"/>
      <c r="AQ1703" s="16"/>
      <c r="AR1703" s="23"/>
      <c r="AS1703" s="23"/>
      <c r="AT1703" s="23"/>
      <c r="AU1703" s="16"/>
      <c r="AV1703" s="23"/>
      <c r="AW1703" s="23"/>
      <c r="AX1703" s="23"/>
      <c r="AY1703" s="16"/>
      <c r="AZ1703" s="23"/>
      <c r="BA1703" s="23"/>
      <c r="BB1703" s="23"/>
      <c r="BC1703" s="16"/>
      <c r="BD1703" s="23"/>
      <c r="BE1703" s="23"/>
      <c r="BF1703" s="23"/>
      <c r="BG1703" s="16"/>
      <c r="BH1703" s="23"/>
      <c r="BI1703" s="23"/>
      <c r="BJ1703" s="23"/>
      <c r="BN1703" s="23"/>
      <c r="BO1703" s="23"/>
      <c r="BP1703" s="16"/>
      <c r="BQ1703" s="16"/>
      <c r="BR1703" s="23"/>
      <c r="BS1703" s="16"/>
      <c r="BT1703" s="16"/>
      <c r="BU1703" s="16"/>
      <c r="BV1703" s="16"/>
      <c r="BW1703" s="16"/>
      <c r="BX1703" s="16"/>
      <c r="BY1703" s="16"/>
    </row>
    <row r="1704">
      <c r="A1704" s="16"/>
      <c r="B1704" s="16"/>
      <c r="C1704" s="22"/>
      <c r="D1704" s="16"/>
      <c r="E1704" s="16"/>
      <c r="F1704" s="16"/>
      <c r="G1704" s="16"/>
      <c r="H1704" s="16"/>
      <c r="I1704" s="23"/>
      <c r="J1704" s="23"/>
      <c r="K1704" s="16"/>
      <c r="L1704" s="23"/>
      <c r="M1704" s="23"/>
      <c r="N1704" s="23"/>
      <c r="O1704" s="16"/>
      <c r="P1704" s="23"/>
      <c r="Q1704" s="23"/>
      <c r="R1704" s="23"/>
      <c r="S1704" s="16"/>
      <c r="T1704" s="23"/>
      <c r="U1704" s="23"/>
      <c r="V1704" s="23"/>
      <c r="W1704" s="16"/>
      <c r="X1704" s="23"/>
      <c r="Y1704" s="23"/>
      <c r="Z1704" s="23"/>
      <c r="AA1704" s="16"/>
      <c r="AB1704" s="23"/>
      <c r="AC1704" s="23"/>
      <c r="AD1704" s="23"/>
      <c r="AE1704" s="16"/>
      <c r="AF1704" s="23"/>
      <c r="AG1704" s="23"/>
      <c r="AH1704" s="23"/>
      <c r="AI1704" s="16"/>
      <c r="AJ1704" s="23"/>
      <c r="AK1704" s="23"/>
      <c r="AL1704" s="23"/>
      <c r="AM1704" s="16"/>
      <c r="AN1704" s="23"/>
      <c r="AO1704" s="23"/>
      <c r="AP1704" s="23"/>
      <c r="AQ1704" s="16"/>
      <c r="AR1704" s="23"/>
      <c r="AS1704" s="23"/>
      <c r="AT1704" s="23"/>
      <c r="AU1704" s="16"/>
      <c r="AV1704" s="23"/>
      <c r="AW1704" s="23"/>
      <c r="AX1704" s="23"/>
      <c r="AY1704" s="16"/>
      <c r="AZ1704" s="23"/>
      <c r="BA1704" s="23"/>
      <c r="BB1704" s="23"/>
      <c r="BC1704" s="16"/>
      <c r="BD1704" s="23"/>
      <c r="BE1704" s="23"/>
      <c r="BF1704" s="23"/>
      <c r="BG1704" s="16"/>
      <c r="BH1704" s="23"/>
      <c r="BI1704" s="23"/>
      <c r="BJ1704" s="23"/>
      <c r="BN1704" s="23"/>
      <c r="BO1704" s="23"/>
      <c r="BP1704" s="16"/>
      <c r="BQ1704" s="16"/>
      <c r="BR1704" s="23"/>
      <c r="BS1704" s="16"/>
      <c r="BT1704" s="16"/>
      <c r="BU1704" s="16"/>
      <c r="BV1704" s="16"/>
      <c r="BW1704" s="16"/>
      <c r="BX1704" s="16"/>
      <c r="BY1704" s="16"/>
    </row>
    <row r="1705">
      <c r="A1705" s="16"/>
      <c r="B1705" s="16"/>
      <c r="C1705" s="22"/>
      <c r="D1705" s="16"/>
      <c r="E1705" s="16"/>
      <c r="F1705" s="16"/>
      <c r="G1705" s="16"/>
      <c r="H1705" s="16"/>
      <c r="I1705" s="23"/>
      <c r="J1705" s="23"/>
      <c r="K1705" s="16"/>
      <c r="L1705" s="23"/>
      <c r="M1705" s="23"/>
      <c r="N1705" s="23"/>
      <c r="O1705" s="16"/>
      <c r="P1705" s="23"/>
      <c r="Q1705" s="23"/>
      <c r="R1705" s="23"/>
      <c r="S1705" s="16"/>
      <c r="T1705" s="23"/>
      <c r="U1705" s="23"/>
      <c r="V1705" s="23"/>
      <c r="W1705" s="16"/>
      <c r="X1705" s="23"/>
      <c r="Y1705" s="23"/>
      <c r="Z1705" s="23"/>
      <c r="AA1705" s="16"/>
      <c r="AB1705" s="23"/>
      <c r="AC1705" s="23"/>
      <c r="AD1705" s="23"/>
      <c r="AE1705" s="16"/>
      <c r="AF1705" s="23"/>
      <c r="AG1705" s="23"/>
      <c r="AH1705" s="23"/>
      <c r="AI1705" s="16"/>
      <c r="AJ1705" s="23"/>
      <c r="AK1705" s="23"/>
      <c r="AL1705" s="23"/>
      <c r="AM1705" s="16"/>
      <c r="AN1705" s="23"/>
      <c r="AO1705" s="23"/>
      <c r="AP1705" s="23"/>
      <c r="AQ1705" s="16"/>
      <c r="AR1705" s="23"/>
      <c r="AS1705" s="23"/>
      <c r="AT1705" s="23"/>
      <c r="AU1705" s="16"/>
      <c r="AV1705" s="23"/>
      <c r="AW1705" s="23"/>
      <c r="AX1705" s="23"/>
      <c r="AY1705" s="16"/>
      <c r="AZ1705" s="23"/>
      <c r="BA1705" s="23"/>
      <c r="BB1705" s="23"/>
      <c r="BC1705" s="16"/>
      <c r="BD1705" s="23"/>
      <c r="BE1705" s="23"/>
      <c r="BF1705" s="23"/>
      <c r="BG1705" s="16"/>
      <c r="BH1705" s="23"/>
      <c r="BI1705" s="23"/>
      <c r="BJ1705" s="23"/>
      <c r="BN1705" s="23"/>
      <c r="BO1705" s="23"/>
      <c r="BP1705" s="16"/>
      <c r="BQ1705" s="16"/>
      <c r="BR1705" s="23"/>
      <c r="BS1705" s="16"/>
      <c r="BT1705" s="16"/>
      <c r="BU1705" s="16"/>
      <c r="BV1705" s="16"/>
      <c r="BW1705" s="16"/>
      <c r="BX1705" s="16"/>
      <c r="BY1705" s="16"/>
    </row>
    <row r="1706">
      <c r="A1706" s="16"/>
      <c r="B1706" s="16"/>
      <c r="C1706" s="22"/>
      <c r="D1706" s="16"/>
      <c r="E1706" s="16"/>
      <c r="F1706" s="16"/>
      <c r="G1706" s="16"/>
      <c r="H1706" s="16"/>
      <c r="I1706" s="23"/>
      <c r="J1706" s="23"/>
      <c r="K1706" s="16"/>
      <c r="L1706" s="23"/>
      <c r="M1706" s="23"/>
      <c r="N1706" s="23"/>
      <c r="O1706" s="16"/>
      <c r="P1706" s="23"/>
      <c r="Q1706" s="23"/>
      <c r="R1706" s="23"/>
      <c r="S1706" s="16"/>
      <c r="T1706" s="23"/>
      <c r="U1706" s="23"/>
      <c r="V1706" s="23"/>
      <c r="W1706" s="16"/>
      <c r="X1706" s="23"/>
      <c r="Y1706" s="23"/>
      <c r="Z1706" s="23"/>
      <c r="AA1706" s="16"/>
      <c r="AB1706" s="23"/>
      <c r="AC1706" s="23"/>
      <c r="AD1706" s="23"/>
      <c r="AE1706" s="16"/>
      <c r="AF1706" s="23"/>
      <c r="AG1706" s="23"/>
      <c r="AH1706" s="23"/>
      <c r="AI1706" s="16"/>
      <c r="AJ1706" s="23"/>
      <c r="AK1706" s="23"/>
      <c r="AL1706" s="23"/>
      <c r="AM1706" s="16"/>
      <c r="AN1706" s="23"/>
      <c r="AO1706" s="23"/>
      <c r="AP1706" s="23"/>
      <c r="AQ1706" s="16"/>
      <c r="AR1706" s="23"/>
      <c r="AS1706" s="23"/>
      <c r="AT1706" s="23"/>
      <c r="AU1706" s="16"/>
      <c r="AV1706" s="23"/>
      <c r="AW1706" s="23"/>
      <c r="AX1706" s="23"/>
      <c r="AY1706" s="16"/>
      <c r="AZ1706" s="23"/>
      <c r="BA1706" s="23"/>
      <c r="BB1706" s="23"/>
      <c r="BC1706" s="16"/>
      <c r="BD1706" s="23"/>
      <c r="BE1706" s="23"/>
      <c r="BF1706" s="23"/>
      <c r="BG1706" s="16"/>
      <c r="BH1706" s="23"/>
      <c r="BI1706" s="23"/>
      <c r="BJ1706" s="23"/>
      <c r="BN1706" s="23"/>
      <c r="BO1706" s="23"/>
      <c r="BP1706" s="16"/>
      <c r="BQ1706" s="16"/>
      <c r="BR1706" s="23"/>
      <c r="BS1706" s="16"/>
      <c r="BT1706" s="16"/>
      <c r="BU1706" s="16"/>
      <c r="BV1706" s="16"/>
      <c r="BW1706" s="16"/>
      <c r="BX1706" s="16"/>
      <c r="BY1706" s="16"/>
    </row>
    <row r="1707">
      <c r="A1707" s="16"/>
      <c r="B1707" s="16"/>
      <c r="C1707" s="22"/>
      <c r="D1707" s="16"/>
      <c r="E1707" s="16"/>
      <c r="F1707" s="16"/>
      <c r="G1707" s="16"/>
      <c r="H1707" s="16"/>
      <c r="I1707" s="23"/>
      <c r="J1707" s="23"/>
      <c r="K1707" s="16"/>
      <c r="L1707" s="23"/>
      <c r="M1707" s="23"/>
      <c r="N1707" s="23"/>
      <c r="O1707" s="16"/>
      <c r="P1707" s="23"/>
      <c r="Q1707" s="23"/>
      <c r="R1707" s="23"/>
      <c r="S1707" s="16"/>
      <c r="T1707" s="23"/>
      <c r="U1707" s="23"/>
      <c r="V1707" s="23"/>
      <c r="W1707" s="16"/>
      <c r="X1707" s="23"/>
      <c r="Y1707" s="23"/>
      <c r="Z1707" s="23"/>
      <c r="AA1707" s="16"/>
      <c r="AB1707" s="23"/>
      <c r="AC1707" s="23"/>
      <c r="AD1707" s="23"/>
      <c r="AE1707" s="16"/>
      <c r="AF1707" s="23"/>
      <c r="AG1707" s="23"/>
      <c r="AH1707" s="23"/>
      <c r="AI1707" s="16"/>
      <c r="AJ1707" s="23"/>
      <c r="AK1707" s="23"/>
      <c r="AL1707" s="23"/>
      <c r="AM1707" s="16"/>
      <c r="AN1707" s="23"/>
      <c r="AO1707" s="23"/>
      <c r="AP1707" s="23"/>
      <c r="AQ1707" s="16"/>
      <c r="AR1707" s="23"/>
      <c r="AS1707" s="23"/>
      <c r="AT1707" s="23"/>
      <c r="AU1707" s="16"/>
      <c r="AV1707" s="23"/>
      <c r="AW1707" s="23"/>
      <c r="AX1707" s="23"/>
      <c r="AY1707" s="16"/>
      <c r="AZ1707" s="23"/>
      <c r="BA1707" s="23"/>
      <c r="BB1707" s="23"/>
      <c r="BC1707" s="16"/>
      <c r="BD1707" s="23"/>
      <c r="BE1707" s="23"/>
      <c r="BF1707" s="23"/>
      <c r="BG1707" s="16"/>
      <c r="BH1707" s="23"/>
      <c r="BI1707" s="23"/>
      <c r="BJ1707" s="23"/>
      <c r="BN1707" s="23"/>
      <c r="BO1707" s="23"/>
      <c r="BP1707" s="16"/>
      <c r="BQ1707" s="16"/>
      <c r="BR1707" s="23"/>
      <c r="BS1707" s="16"/>
      <c r="BT1707" s="16"/>
      <c r="BU1707" s="16"/>
      <c r="BV1707" s="16"/>
      <c r="BW1707" s="16"/>
      <c r="BX1707" s="16"/>
      <c r="BY1707" s="16"/>
    </row>
    <row r="1708">
      <c r="A1708" s="16"/>
      <c r="B1708" s="16"/>
      <c r="C1708" s="22"/>
      <c r="D1708" s="16"/>
      <c r="E1708" s="16"/>
      <c r="F1708" s="16"/>
      <c r="G1708" s="16"/>
      <c r="H1708" s="16"/>
      <c r="I1708" s="23"/>
      <c r="J1708" s="23"/>
      <c r="K1708" s="16"/>
      <c r="L1708" s="23"/>
      <c r="M1708" s="23"/>
      <c r="N1708" s="23"/>
      <c r="O1708" s="16"/>
      <c r="P1708" s="23"/>
      <c r="Q1708" s="23"/>
      <c r="R1708" s="23"/>
      <c r="S1708" s="16"/>
      <c r="T1708" s="23"/>
      <c r="U1708" s="23"/>
      <c r="V1708" s="23"/>
      <c r="W1708" s="16"/>
      <c r="X1708" s="23"/>
      <c r="Y1708" s="23"/>
      <c r="Z1708" s="23"/>
      <c r="AA1708" s="16"/>
      <c r="AB1708" s="23"/>
      <c r="AC1708" s="23"/>
      <c r="AD1708" s="23"/>
      <c r="AE1708" s="16"/>
      <c r="AF1708" s="23"/>
      <c r="AG1708" s="23"/>
      <c r="AH1708" s="23"/>
      <c r="AI1708" s="16"/>
      <c r="AJ1708" s="23"/>
      <c r="AK1708" s="23"/>
      <c r="AL1708" s="23"/>
      <c r="AM1708" s="16"/>
      <c r="AN1708" s="23"/>
      <c r="AO1708" s="23"/>
      <c r="AP1708" s="23"/>
      <c r="AQ1708" s="16"/>
      <c r="AR1708" s="23"/>
      <c r="AS1708" s="23"/>
      <c r="AT1708" s="23"/>
      <c r="AU1708" s="16"/>
      <c r="AV1708" s="23"/>
      <c r="AW1708" s="23"/>
      <c r="AX1708" s="23"/>
      <c r="AY1708" s="16"/>
      <c r="AZ1708" s="23"/>
      <c r="BA1708" s="23"/>
      <c r="BB1708" s="23"/>
      <c r="BC1708" s="16"/>
      <c r="BD1708" s="23"/>
      <c r="BE1708" s="23"/>
      <c r="BF1708" s="23"/>
      <c r="BG1708" s="16"/>
      <c r="BH1708" s="23"/>
      <c r="BI1708" s="23"/>
      <c r="BJ1708" s="23"/>
      <c r="BN1708" s="23"/>
      <c r="BO1708" s="23"/>
      <c r="BP1708" s="16"/>
      <c r="BQ1708" s="16"/>
      <c r="BR1708" s="23"/>
      <c r="BS1708" s="16"/>
      <c r="BT1708" s="16"/>
      <c r="BU1708" s="16"/>
      <c r="BV1708" s="16"/>
      <c r="BW1708" s="16"/>
      <c r="BX1708" s="16"/>
      <c r="BY1708" s="16"/>
    </row>
    <row r="1709">
      <c r="A1709" s="16"/>
      <c r="B1709" s="16"/>
      <c r="C1709" s="22"/>
      <c r="D1709" s="16"/>
      <c r="E1709" s="16"/>
      <c r="F1709" s="16"/>
      <c r="G1709" s="16"/>
      <c r="H1709" s="16"/>
      <c r="I1709" s="23"/>
      <c r="J1709" s="23"/>
      <c r="K1709" s="16"/>
      <c r="L1709" s="23"/>
      <c r="M1709" s="23"/>
      <c r="N1709" s="23"/>
      <c r="O1709" s="16"/>
      <c r="P1709" s="23"/>
      <c r="Q1709" s="23"/>
      <c r="R1709" s="23"/>
      <c r="S1709" s="16"/>
      <c r="T1709" s="23"/>
      <c r="U1709" s="23"/>
      <c r="V1709" s="23"/>
      <c r="W1709" s="16"/>
      <c r="X1709" s="23"/>
      <c r="Y1709" s="23"/>
      <c r="Z1709" s="23"/>
      <c r="AA1709" s="16"/>
      <c r="AB1709" s="23"/>
      <c r="AC1709" s="23"/>
      <c r="AD1709" s="23"/>
      <c r="AE1709" s="16"/>
      <c r="AF1709" s="23"/>
      <c r="AG1709" s="23"/>
      <c r="AH1709" s="23"/>
      <c r="AI1709" s="16"/>
      <c r="AJ1709" s="23"/>
      <c r="AK1709" s="23"/>
      <c r="AL1709" s="23"/>
      <c r="AM1709" s="16"/>
      <c r="AN1709" s="23"/>
      <c r="AO1709" s="23"/>
      <c r="AP1709" s="23"/>
      <c r="AQ1709" s="16"/>
      <c r="AR1709" s="23"/>
      <c r="AS1709" s="23"/>
      <c r="AT1709" s="23"/>
      <c r="AU1709" s="16"/>
      <c r="AV1709" s="23"/>
      <c r="AW1709" s="23"/>
      <c r="AX1709" s="23"/>
      <c r="AY1709" s="16"/>
      <c r="AZ1709" s="23"/>
      <c r="BA1709" s="23"/>
      <c r="BB1709" s="23"/>
      <c r="BC1709" s="16"/>
      <c r="BD1709" s="23"/>
      <c r="BE1709" s="23"/>
      <c r="BF1709" s="23"/>
      <c r="BG1709" s="16"/>
      <c r="BH1709" s="23"/>
      <c r="BI1709" s="23"/>
      <c r="BJ1709" s="23"/>
      <c r="BN1709" s="23"/>
      <c r="BO1709" s="23"/>
      <c r="BP1709" s="16"/>
      <c r="BQ1709" s="16"/>
      <c r="BR1709" s="23"/>
      <c r="BS1709" s="16"/>
      <c r="BT1709" s="16"/>
      <c r="BU1709" s="16"/>
      <c r="BV1709" s="16"/>
      <c r="BW1709" s="16"/>
      <c r="BX1709" s="16"/>
      <c r="BY1709" s="16"/>
    </row>
    <row r="1710">
      <c r="A1710" s="16"/>
      <c r="B1710" s="16"/>
      <c r="C1710" s="22"/>
      <c r="D1710" s="16"/>
      <c r="E1710" s="16"/>
      <c r="F1710" s="16"/>
      <c r="G1710" s="16"/>
      <c r="H1710" s="16"/>
      <c r="I1710" s="23"/>
      <c r="J1710" s="23"/>
      <c r="K1710" s="16"/>
      <c r="L1710" s="23"/>
      <c r="M1710" s="23"/>
      <c r="N1710" s="23"/>
      <c r="O1710" s="16"/>
      <c r="P1710" s="23"/>
      <c r="Q1710" s="23"/>
      <c r="R1710" s="23"/>
      <c r="S1710" s="16"/>
      <c r="T1710" s="23"/>
      <c r="U1710" s="23"/>
      <c r="V1710" s="23"/>
      <c r="W1710" s="16"/>
      <c r="X1710" s="23"/>
      <c r="Y1710" s="23"/>
      <c r="Z1710" s="23"/>
      <c r="AA1710" s="16"/>
      <c r="AB1710" s="23"/>
      <c r="AC1710" s="23"/>
      <c r="AD1710" s="23"/>
      <c r="AE1710" s="16"/>
      <c r="AF1710" s="23"/>
      <c r="AG1710" s="23"/>
      <c r="AH1710" s="23"/>
      <c r="AI1710" s="16"/>
      <c r="AJ1710" s="23"/>
      <c r="AK1710" s="23"/>
      <c r="AL1710" s="23"/>
      <c r="AM1710" s="16"/>
      <c r="AN1710" s="23"/>
      <c r="AO1710" s="23"/>
      <c r="AP1710" s="23"/>
      <c r="AQ1710" s="16"/>
      <c r="AR1710" s="23"/>
      <c r="AS1710" s="23"/>
      <c r="AT1710" s="23"/>
      <c r="AU1710" s="16"/>
      <c r="AV1710" s="23"/>
      <c r="AW1710" s="23"/>
      <c r="AX1710" s="23"/>
      <c r="AY1710" s="16"/>
      <c r="AZ1710" s="23"/>
      <c r="BA1710" s="23"/>
      <c r="BB1710" s="23"/>
      <c r="BC1710" s="16"/>
      <c r="BD1710" s="23"/>
      <c r="BE1710" s="23"/>
      <c r="BF1710" s="23"/>
      <c r="BG1710" s="16"/>
      <c r="BH1710" s="23"/>
      <c r="BI1710" s="23"/>
      <c r="BJ1710" s="23"/>
      <c r="BN1710" s="23"/>
      <c r="BO1710" s="23"/>
      <c r="BP1710" s="16"/>
      <c r="BQ1710" s="16"/>
      <c r="BR1710" s="23"/>
      <c r="BS1710" s="16"/>
      <c r="BT1710" s="16"/>
      <c r="BU1710" s="16"/>
      <c r="BV1710" s="16"/>
      <c r="BW1710" s="16"/>
      <c r="BX1710" s="16"/>
      <c r="BY1710" s="16"/>
    </row>
    <row r="1711">
      <c r="A1711" s="16"/>
      <c r="B1711" s="16"/>
      <c r="C1711" s="22"/>
      <c r="D1711" s="16"/>
      <c r="E1711" s="16"/>
      <c r="F1711" s="16"/>
      <c r="G1711" s="16"/>
      <c r="H1711" s="16"/>
      <c r="I1711" s="23"/>
      <c r="J1711" s="23"/>
      <c r="K1711" s="16"/>
      <c r="L1711" s="23"/>
      <c r="M1711" s="23"/>
      <c r="N1711" s="23"/>
      <c r="O1711" s="16"/>
      <c r="P1711" s="23"/>
      <c r="Q1711" s="23"/>
      <c r="R1711" s="23"/>
      <c r="S1711" s="16"/>
      <c r="T1711" s="23"/>
      <c r="U1711" s="23"/>
      <c r="V1711" s="23"/>
      <c r="W1711" s="16"/>
      <c r="X1711" s="23"/>
      <c r="Y1711" s="23"/>
      <c r="Z1711" s="23"/>
      <c r="AA1711" s="16"/>
      <c r="AB1711" s="23"/>
      <c r="AC1711" s="23"/>
      <c r="AD1711" s="23"/>
      <c r="AE1711" s="16"/>
      <c r="AF1711" s="23"/>
      <c r="AG1711" s="23"/>
      <c r="AH1711" s="23"/>
      <c r="AI1711" s="16"/>
      <c r="AJ1711" s="23"/>
      <c r="AK1711" s="23"/>
      <c r="AL1711" s="23"/>
      <c r="AM1711" s="16"/>
      <c r="AN1711" s="23"/>
      <c r="AO1711" s="23"/>
      <c r="AP1711" s="23"/>
      <c r="AQ1711" s="16"/>
      <c r="AR1711" s="23"/>
      <c r="AS1711" s="23"/>
      <c r="AT1711" s="23"/>
      <c r="AU1711" s="16"/>
      <c r="AV1711" s="23"/>
      <c r="AW1711" s="23"/>
      <c r="AX1711" s="23"/>
      <c r="AY1711" s="16"/>
      <c r="AZ1711" s="23"/>
      <c r="BA1711" s="23"/>
      <c r="BB1711" s="23"/>
      <c r="BC1711" s="16"/>
      <c r="BD1711" s="23"/>
      <c r="BE1711" s="23"/>
      <c r="BF1711" s="23"/>
      <c r="BG1711" s="16"/>
      <c r="BH1711" s="23"/>
      <c r="BI1711" s="23"/>
      <c r="BJ1711" s="23"/>
      <c r="BN1711" s="23"/>
      <c r="BO1711" s="23"/>
      <c r="BP1711" s="16"/>
      <c r="BQ1711" s="16"/>
      <c r="BR1711" s="23"/>
      <c r="BS1711" s="16"/>
      <c r="BT1711" s="16"/>
      <c r="BU1711" s="16"/>
      <c r="BV1711" s="16"/>
      <c r="BW1711" s="16"/>
      <c r="BX1711" s="16"/>
      <c r="BY1711" s="16"/>
    </row>
    <row r="1712">
      <c r="A1712" s="16"/>
      <c r="B1712" s="16"/>
      <c r="C1712" s="22"/>
      <c r="D1712" s="16"/>
      <c r="E1712" s="16"/>
      <c r="F1712" s="16"/>
      <c r="G1712" s="16"/>
      <c r="H1712" s="16"/>
      <c r="I1712" s="23"/>
      <c r="J1712" s="23"/>
      <c r="K1712" s="16"/>
      <c r="L1712" s="23"/>
      <c r="M1712" s="23"/>
      <c r="N1712" s="23"/>
      <c r="O1712" s="16"/>
      <c r="P1712" s="23"/>
      <c r="Q1712" s="23"/>
      <c r="R1712" s="23"/>
      <c r="S1712" s="16"/>
      <c r="T1712" s="23"/>
      <c r="U1712" s="23"/>
      <c r="V1712" s="23"/>
      <c r="W1712" s="16"/>
      <c r="X1712" s="23"/>
      <c r="Y1712" s="23"/>
      <c r="Z1712" s="23"/>
      <c r="AA1712" s="16"/>
      <c r="AB1712" s="23"/>
      <c r="AC1712" s="23"/>
      <c r="AD1712" s="23"/>
      <c r="AE1712" s="16"/>
      <c r="AF1712" s="23"/>
      <c r="AG1712" s="23"/>
      <c r="AH1712" s="23"/>
      <c r="AI1712" s="16"/>
      <c r="AJ1712" s="23"/>
      <c r="AK1712" s="23"/>
      <c r="AL1712" s="23"/>
      <c r="AM1712" s="16"/>
      <c r="AN1712" s="23"/>
      <c r="AO1712" s="23"/>
      <c r="AP1712" s="23"/>
      <c r="AQ1712" s="16"/>
      <c r="AR1712" s="23"/>
      <c r="AS1712" s="23"/>
      <c r="AT1712" s="23"/>
      <c r="AU1712" s="16"/>
      <c r="AV1712" s="23"/>
      <c r="AW1712" s="23"/>
      <c r="AX1712" s="23"/>
      <c r="AY1712" s="16"/>
      <c r="AZ1712" s="23"/>
      <c r="BA1712" s="23"/>
      <c r="BB1712" s="23"/>
      <c r="BC1712" s="16"/>
      <c r="BD1712" s="23"/>
      <c r="BE1712" s="23"/>
      <c r="BF1712" s="23"/>
      <c r="BG1712" s="16"/>
      <c r="BH1712" s="23"/>
      <c r="BI1712" s="23"/>
      <c r="BJ1712" s="23"/>
      <c r="BN1712" s="23"/>
      <c r="BO1712" s="23"/>
      <c r="BP1712" s="16"/>
      <c r="BQ1712" s="16"/>
      <c r="BR1712" s="23"/>
      <c r="BS1712" s="16"/>
      <c r="BT1712" s="16"/>
      <c r="BU1712" s="16"/>
      <c r="BV1712" s="16"/>
      <c r="BW1712" s="16"/>
      <c r="BX1712" s="16"/>
      <c r="BY1712" s="16"/>
    </row>
    <row r="1713">
      <c r="A1713" s="16"/>
      <c r="B1713" s="16"/>
      <c r="C1713" s="22"/>
      <c r="D1713" s="16"/>
      <c r="E1713" s="16"/>
      <c r="F1713" s="16"/>
      <c r="G1713" s="16"/>
      <c r="H1713" s="16"/>
      <c r="I1713" s="23"/>
      <c r="J1713" s="23"/>
      <c r="K1713" s="16"/>
      <c r="L1713" s="23"/>
      <c r="M1713" s="23"/>
      <c r="N1713" s="23"/>
      <c r="O1713" s="16"/>
      <c r="P1713" s="23"/>
      <c r="Q1713" s="23"/>
      <c r="R1713" s="23"/>
      <c r="S1713" s="16"/>
      <c r="T1713" s="23"/>
      <c r="U1713" s="23"/>
      <c r="V1713" s="23"/>
      <c r="W1713" s="16"/>
      <c r="X1713" s="23"/>
      <c r="Y1713" s="23"/>
      <c r="Z1713" s="23"/>
      <c r="AA1713" s="16"/>
      <c r="AB1713" s="23"/>
      <c r="AC1713" s="23"/>
      <c r="AD1713" s="23"/>
      <c r="AE1713" s="16"/>
      <c r="AF1713" s="23"/>
      <c r="AG1713" s="23"/>
      <c r="AH1713" s="23"/>
      <c r="AI1713" s="16"/>
      <c r="AJ1713" s="23"/>
      <c r="AK1713" s="23"/>
      <c r="AL1713" s="23"/>
      <c r="AM1713" s="16"/>
      <c r="AN1713" s="23"/>
      <c r="AO1713" s="23"/>
      <c r="AP1713" s="23"/>
      <c r="AQ1713" s="16"/>
      <c r="AR1713" s="23"/>
      <c r="AS1713" s="23"/>
      <c r="AT1713" s="23"/>
      <c r="AU1713" s="16"/>
      <c r="AV1713" s="23"/>
      <c r="AW1713" s="23"/>
      <c r="AX1713" s="23"/>
      <c r="AY1713" s="16"/>
      <c r="AZ1713" s="23"/>
      <c r="BA1713" s="23"/>
      <c r="BB1713" s="23"/>
      <c r="BC1713" s="16"/>
      <c r="BD1713" s="23"/>
      <c r="BE1713" s="23"/>
      <c r="BF1713" s="23"/>
      <c r="BG1713" s="16"/>
      <c r="BH1713" s="23"/>
      <c r="BI1713" s="23"/>
      <c r="BJ1713" s="23"/>
      <c r="BN1713" s="23"/>
      <c r="BO1713" s="23"/>
      <c r="BP1713" s="16"/>
      <c r="BQ1713" s="16"/>
      <c r="BR1713" s="23"/>
      <c r="BS1713" s="16"/>
      <c r="BT1713" s="16"/>
      <c r="BU1713" s="16"/>
      <c r="BV1713" s="16"/>
      <c r="BW1713" s="16"/>
      <c r="BX1713" s="16"/>
      <c r="BY1713" s="16"/>
    </row>
    <row r="1714">
      <c r="A1714" s="16"/>
      <c r="B1714" s="16"/>
      <c r="C1714" s="22"/>
      <c r="D1714" s="16"/>
      <c r="E1714" s="16"/>
      <c r="F1714" s="16"/>
      <c r="G1714" s="16"/>
      <c r="H1714" s="16"/>
      <c r="I1714" s="23"/>
      <c r="J1714" s="23"/>
      <c r="K1714" s="16"/>
      <c r="L1714" s="23"/>
      <c r="M1714" s="23"/>
      <c r="N1714" s="23"/>
      <c r="O1714" s="16"/>
      <c r="P1714" s="23"/>
      <c r="Q1714" s="23"/>
      <c r="R1714" s="23"/>
      <c r="S1714" s="16"/>
      <c r="T1714" s="23"/>
      <c r="U1714" s="23"/>
      <c r="V1714" s="23"/>
      <c r="W1714" s="16"/>
      <c r="X1714" s="23"/>
      <c r="Y1714" s="23"/>
      <c r="Z1714" s="23"/>
      <c r="AA1714" s="16"/>
      <c r="AB1714" s="23"/>
      <c r="AC1714" s="23"/>
      <c r="AD1714" s="23"/>
      <c r="AE1714" s="16"/>
      <c r="AF1714" s="23"/>
      <c r="AG1714" s="23"/>
      <c r="AH1714" s="23"/>
      <c r="AI1714" s="16"/>
      <c r="AJ1714" s="23"/>
      <c r="AK1714" s="23"/>
      <c r="AL1714" s="23"/>
      <c r="AM1714" s="16"/>
      <c r="AN1714" s="23"/>
      <c r="AO1714" s="23"/>
      <c r="AP1714" s="23"/>
      <c r="AQ1714" s="16"/>
      <c r="AR1714" s="23"/>
      <c r="AS1714" s="23"/>
      <c r="AT1714" s="23"/>
      <c r="AU1714" s="16"/>
      <c r="AV1714" s="23"/>
      <c r="AW1714" s="23"/>
      <c r="AX1714" s="23"/>
      <c r="AY1714" s="16"/>
      <c r="AZ1714" s="23"/>
      <c r="BA1714" s="23"/>
      <c r="BB1714" s="23"/>
      <c r="BC1714" s="16"/>
      <c r="BD1714" s="23"/>
      <c r="BE1714" s="23"/>
      <c r="BF1714" s="23"/>
      <c r="BG1714" s="16"/>
      <c r="BH1714" s="23"/>
      <c r="BI1714" s="23"/>
      <c r="BJ1714" s="23"/>
      <c r="BN1714" s="23"/>
      <c r="BO1714" s="23"/>
      <c r="BP1714" s="16"/>
      <c r="BQ1714" s="16"/>
      <c r="BR1714" s="23"/>
      <c r="BS1714" s="16"/>
      <c r="BT1714" s="16"/>
      <c r="BU1714" s="16"/>
      <c r="BV1714" s="16"/>
      <c r="BW1714" s="16"/>
      <c r="BX1714" s="16"/>
      <c r="BY1714" s="16"/>
    </row>
    <row r="1715">
      <c r="A1715" s="16"/>
      <c r="B1715" s="16"/>
      <c r="C1715" s="22"/>
      <c r="D1715" s="16"/>
      <c r="E1715" s="16"/>
      <c r="F1715" s="16"/>
      <c r="G1715" s="16"/>
      <c r="H1715" s="16"/>
      <c r="I1715" s="23"/>
      <c r="J1715" s="23"/>
      <c r="K1715" s="16"/>
      <c r="L1715" s="23"/>
      <c r="M1715" s="23"/>
      <c r="N1715" s="23"/>
      <c r="O1715" s="16"/>
      <c r="P1715" s="23"/>
      <c r="Q1715" s="23"/>
      <c r="R1715" s="23"/>
      <c r="S1715" s="16"/>
      <c r="T1715" s="23"/>
      <c r="U1715" s="23"/>
      <c r="V1715" s="23"/>
      <c r="W1715" s="16"/>
      <c r="X1715" s="23"/>
      <c r="Y1715" s="23"/>
      <c r="Z1715" s="23"/>
      <c r="AA1715" s="16"/>
      <c r="AB1715" s="23"/>
      <c r="AC1715" s="23"/>
      <c r="AD1715" s="23"/>
      <c r="AE1715" s="16"/>
      <c r="AF1715" s="23"/>
      <c r="AG1715" s="23"/>
      <c r="AH1715" s="23"/>
      <c r="AI1715" s="16"/>
      <c r="AJ1715" s="23"/>
      <c r="AK1715" s="23"/>
      <c r="AL1715" s="23"/>
      <c r="AM1715" s="16"/>
      <c r="AN1715" s="23"/>
      <c r="AO1715" s="23"/>
      <c r="AP1715" s="23"/>
      <c r="AQ1715" s="16"/>
      <c r="AR1715" s="23"/>
      <c r="AS1715" s="23"/>
      <c r="AT1715" s="23"/>
      <c r="AU1715" s="16"/>
      <c r="AV1715" s="23"/>
      <c r="AW1715" s="23"/>
      <c r="AX1715" s="23"/>
      <c r="AY1715" s="16"/>
      <c r="AZ1715" s="23"/>
      <c r="BA1715" s="23"/>
      <c r="BB1715" s="23"/>
      <c r="BC1715" s="16"/>
      <c r="BD1715" s="23"/>
      <c r="BE1715" s="23"/>
      <c r="BF1715" s="23"/>
      <c r="BG1715" s="16"/>
      <c r="BH1715" s="23"/>
      <c r="BI1715" s="23"/>
      <c r="BJ1715" s="23"/>
      <c r="BN1715" s="23"/>
      <c r="BO1715" s="23"/>
      <c r="BP1715" s="16"/>
      <c r="BQ1715" s="16"/>
      <c r="BR1715" s="23"/>
      <c r="BS1715" s="16"/>
      <c r="BT1715" s="16"/>
      <c r="BU1715" s="16"/>
      <c r="BV1715" s="16"/>
      <c r="BW1715" s="16"/>
      <c r="BX1715" s="16"/>
      <c r="BY1715" s="16"/>
    </row>
    <row r="1716">
      <c r="A1716" s="16"/>
      <c r="B1716" s="16"/>
      <c r="C1716" s="22"/>
      <c r="D1716" s="16"/>
      <c r="E1716" s="16"/>
      <c r="F1716" s="16"/>
      <c r="G1716" s="16"/>
      <c r="H1716" s="16"/>
      <c r="I1716" s="23"/>
      <c r="J1716" s="23"/>
      <c r="K1716" s="16"/>
      <c r="L1716" s="23"/>
      <c r="M1716" s="23"/>
      <c r="N1716" s="23"/>
      <c r="O1716" s="16"/>
      <c r="P1716" s="23"/>
      <c r="Q1716" s="23"/>
      <c r="R1716" s="23"/>
      <c r="S1716" s="16"/>
      <c r="T1716" s="23"/>
      <c r="U1716" s="23"/>
      <c r="V1716" s="23"/>
      <c r="W1716" s="16"/>
      <c r="X1716" s="23"/>
      <c r="Y1716" s="23"/>
      <c r="Z1716" s="23"/>
      <c r="AA1716" s="16"/>
      <c r="AB1716" s="23"/>
      <c r="AC1716" s="23"/>
      <c r="AD1716" s="23"/>
      <c r="AE1716" s="16"/>
      <c r="AF1716" s="23"/>
      <c r="AG1716" s="23"/>
      <c r="AH1716" s="23"/>
      <c r="AI1716" s="16"/>
      <c r="AJ1716" s="23"/>
      <c r="AK1716" s="23"/>
      <c r="AL1716" s="23"/>
      <c r="AM1716" s="16"/>
      <c r="AN1716" s="23"/>
      <c r="AO1716" s="23"/>
      <c r="AP1716" s="23"/>
      <c r="AQ1716" s="16"/>
      <c r="AR1716" s="23"/>
      <c r="AS1716" s="23"/>
      <c r="AT1716" s="23"/>
      <c r="AU1716" s="16"/>
      <c r="AV1716" s="23"/>
      <c r="AW1716" s="23"/>
      <c r="AX1716" s="23"/>
      <c r="AY1716" s="16"/>
      <c r="AZ1716" s="23"/>
      <c r="BA1716" s="23"/>
      <c r="BB1716" s="23"/>
      <c r="BC1716" s="16"/>
      <c r="BD1716" s="23"/>
      <c r="BE1716" s="23"/>
      <c r="BF1716" s="23"/>
      <c r="BG1716" s="16"/>
      <c r="BH1716" s="23"/>
      <c r="BI1716" s="23"/>
      <c r="BJ1716" s="23"/>
      <c r="BN1716" s="23"/>
      <c r="BO1716" s="23"/>
      <c r="BP1716" s="16"/>
      <c r="BQ1716" s="16"/>
      <c r="BR1716" s="23"/>
      <c r="BS1716" s="16"/>
      <c r="BT1716" s="16"/>
      <c r="BU1716" s="16"/>
      <c r="BV1716" s="16"/>
      <c r="BW1716" s="16"/>
      <c r="BX1716" s="16"/>
      <c r="BY1716" s="16"/>
    </row>
    <row r="1717">
      <c r="A1717" s="16"/>
      <c r="B1717" s="16"/>
      <c r="C1717" s="22"/>
      <c r="D1717" s="16"/>
      <c r="E1717" s="16"/>
      <c r="F1717" s="16"/>
      <c r="G1717" s="16"/>
      <c r="H1717" s="16"/>
      <c r="I1717" s="23"/>
      <c r="J1717" s="23"/>
      <c r="K1717" s="16"/>
      <c r="L1717" s="23"/>
      <c r="M1717" s="23"/>
      <c r="N1717" s="23"/>
      <c r="O1717" s="16"/>
      <c r="P1717" s="23"/>
      <c r="Q1717" s="23"/>
      <c r="R1717" s="23"/>
      <c r="S1717" s="16"/>
      <c r="T1717" s="23"/>
      <c r="U1717" s="23"/>
      <c r="V1717" s="23"/>
      <c r="W1717" s="16"/>
      <c r="X1717" s="23"/>
      <c r="Y1717" s="23"/>
      <c r="Z1717" s="23"/>
      <c r="AA1717" s="16"/>
      <c r="AB1717" s="23"/>
      <c r="AC1717" s="23"/>
      <c r="AD1717" s="23"/>
      <c r="AE1717" s="16"/>
      <c r="AF1717" s="23"/>
      <c r="AG1717" s="23"/>
      <c r="AH1717" s="23"/>
      <c r="AI1717" s="16"/>
      <c r="AJ1717" s="23"/>
      <c r="AK1717" s="23"/>
      <c r="AL1717" s="23"/>
      <c r="AM1717" s="16"/>
      <c r="AN1717" s="23"/>
      <c r="AO1717" s="23"/>
      <c r="AP1717" s="23"/>
      <c r="AQ1717" s="16"/>
      <c r="AR1717" s="23"/>
      <c r="AS1717" s="23"/>
      <c r="AT1717" s="23"/>
      <c r="AU1717" s="16"/>
      <c r="AV1717" s="23"/>
      <c r="AW1717" s="23"/>
      <c r="AX1717" s="23"/>
      <c r="AY1717" s="16"/>
      <c r="AZ1717" s="23"/>
      <c r="BA1717" s="23"/>
      <c r="BB1717" s="23"/>
      <c r="BC1717" s="16"/>
      <c r="BD1717" s="23"/>
      <c r="BE1717" s="23"/>
      <c r="BF1717" s="23"/>
      <c r="BG1717" s="16"/>
      <c r="BH1717" s="23"/>
      <c r="BI1717" s="23"/>
      <c r="BJ1717" s="23"/>
      <c r="BN1717" s="23"/>
      <c r="BO1717" s="23"/>
      <c r="BP1717" s="16"/>
      <c r="BQ1717" s="16"/>
      <c r="BR1717" s="23"/>
      <c r="BS1717" s="16"/>
      <c r="BT1717" s="16"/>
      <c r="BU1717" s="16"/>
      <c r="BV1717" s="16"/>
      <c r="BW1717" s="16"/>
      <c r="BX1717" s="16"/>
      <c r="BY1717" s="16"/>
    </row>
    <row r="1718">
      <c r="A1718" s="16"/>
      <c r="B1718" s="16"/>
      <c r="C1718" s="22"/>
      <c r="D1718" s="16"/>
      <c r="E1718" s="16"/>
      <c r="F1718" s="16"/>
      <c r="G1718" s="16"/>
      <c r="H1718" s="16"/>
      <c r="I1718" s="23"/>
      <c r="J1718" s="23"/>
      <c r="K1718" s="16"/>
      <c r="L1718" s="23"/>
      <c r="M1718" s="23"/>
      <c r="N1718" s="23"/>
      <c r="O1718" s="16"/>
      <c r="P1718" s="23"/>
      <c r="Q1718" s="23"/>
      <c r="R1718" s="23"/>
      <c r="S1718" s="16"/>
      <c r="T1718" s="23"/>
      <c r="U1718" s="23"/>
      <c r="V1718" s="23"/>
      <c r="W1718" s="16"/>
      <c r="X1718" s="23"/>
      <c r="Y1718" s="23"/>
      <c r="Z1718" s="23"/>
      <c r="AA1718" s="16"/>
      <c r="AB1718" s="23"/>
      <c r="AC1718" s="23"/>
      <c r="AD1718" s="23"/>
      <c r="AE1718" s="16"/>
      <c r="AF1718" s="23"/>
      <c r="AG1718" s="23"/>
      <c r="AH1718" s="23"/>
      <c r="AI1718" s="16"/>
      <c r="AJ1718" s="23"/>
      <c r="AK1718" s="23"/>
      <c r="AL1718" s="23"/>
      <c r="AM1718" s="16"/>
      <c r="AN1718" s="23"/>
      <c r="AO1718" s="23"/>
      <c r="AP1718" s="23"/>
      <c r="AQ1718" s="16"/>
      <c r="AR1718" s="23"/>
      <c r="AS1718" s="23"/>
      <c r="AT1718" s="23"/>
      <c r="AU1718" s="16"/>
      <c r="AV1718" s="23"/>
      <c r="AW1718" s="23"/>
      <c r="AX1718" s="23"/>
      <c r="AY1718" s="16"/>
      <c r="AZ1718" s="23"/>
      <c r="BA1718" s="23"/>
      <c r="BB1718" s="23"/>
      <c r="BC1718" s="16"/>
      <c r="BD1718" s="23"/>
      <c r="BE1718" s="23"/>
      <c r="BF1718" s="23"/>
      <c r="BG1718" s="16"/>
      <c r="BH1718" s="23"/>
      <c r="BI1718" s="23"/>
      <c r="BJ1718" s="23"/>
      <c r="BN1718" s="23"/>
      <c r="BO1718" s="23"/>
      <c r="BP1718" s="16"/>
      <c r="BQ1718" s="16"/>
      <c r="BR1718" s="23"/>
      <c r="BS1718" s="16"/>
      <c r="BT1718" s="16"/>
      <c r="BU1718" s="16"/>
      <c r="BV1718" s="16"/>
      <c r="BW1718" s="16"/>
      <c r="BX1718" s="16"/>
      <c r="BY1718" s="16"/>
    </row>
    <row r="1719">
      <c r="A1719" s="16"/>
      <c r="B1719" s="16"/>
      <c r="C1719" s="22"/>
      <c r="D1719" s="16"/>
      <c r="E1719" s="16"/>
      <c r="F1719" s="16"/>
      <c r="G1719" s="16"/>
      <c r="H1719" s="16"/>
      <c r="I1719" s="23"/>
      <c r="J1719" s="23"/>
      <c r="K1719" s="16"/>
      <c r="L1719" s="23"/>
      <c r="M1719" s="23"/>
      <c r="N1719" s="23"/>
      <c r="O1719" s="16"/>
      <c r="P1719" s="23"/>
      <c r="Q1719" s="23"/>
      <c r="R1719" s="23"/>
      <c r="S1719" s="16"/>
      <c r="T1719" s="23"/>
      <c r="U1719" s="23"/>
      <c r="V1719" s="23"/>
      <c r="W1719" s="16"/>
      <c r="X1719" s="23"/>
      <c r="Y1719" s="23"/>
      <c r="Z1719" s="23"/>
      <c r="AA1719" s="16"/>
      <c r="AB1719" s="23"/>
      <c r="AC1719" s="23"/>
      <c r="AD1719" s="23"/>
      <c r="AE1719" s="16"/>
      <c r="AF1719" s="23"/>
      <c r="AG1719" s="23"/>
      <c r="AH1719" s="23"/>
      <c r="AI1719" s="16"/>
      <c r="AJ1719" s="23"/>
      <c r="AK1719" s="23"/>
      <c r="AL1719" s="23"/>
      <c r="AM1719" s="16"/>
      <c r="AN1719" s="23"/>
      <c r="AO1719" s="23"/>
      <c r="AP1719" s="23"/>
      <c r="AQ1719" s="16"/>
      <c r="AR1719" s="23"/>
      <c r="AS1719" s="23"/>
      <c r="AT1719" s="23"/>
      <c r="AU1719" s="16"/>
      <c r="AV1719" s="23"/>
      <c r="AW1719" s="23"/>
      <c r="AX1719" s="23"/>
      <c r="AY1719" s="16"/>
      <c r="AZ1719" s="23"/>
      <c r="BA1719" s="23"/>
      <c r="BB1719" s="23"/>
      <c r="BC1719" s="16"/>
      <c r="BD1719" s="23"/>
      <c r="BE1719" s="23"/>
      <c r="BF1719" s="23"/>
      <c r="BG1719" s="16"/>
      <c r="BH1719" s="23"/>
      <c r="BI1719" s="23"/>
      <c r="BJ1719" s="23"/>
      <c r="BN1719" s="23"/>
      <c r="BO1719" s="23"/>
      <c r="BP1719" s="16"/>
      <c r="BQ1719" s="16"/>
      <c r="BR1719" s="23"/>
      <c r="BS1719" s="16"/>
      <c r="BT1719" s="16"/>
      <c r="BU1719" s="16"/>
      <c r="BV1719" s="16"/>
      <c r="BW1719" s="16"/>
      <c r="BX1719" s="16"/>
      <c r="BY1719" s="16"/>
    </row>
    <row r="1720">
      <c r="A1720" s="16"/>
      <c r="B1720" s="16"/>
      <c r="C1720" s="22"/>
      <c r="D1720" s="16"/>
      <c r="E1720" s="16"/>
      <c r="F1720" s="16"/>
      <c r="G1720" s="16"/>
      <c r="H1720" s="16"/>
      <c r="I1720" s="23"/>
      <c r="J1720" s="23"/>
      <c r="K1720" s="16"/>
      <c r="L1720" s="23"/>
      <c r="M1720" s="23"/>
      <c r="N1720" s="23"/>
      <c r="O1720" s="16"/>
      <c r="P1720" s="23"/>
      <c r="Q1720" s="23"/>
      <c r="R1720" s="23"/>
      <c r="S1720" s="16"/>
      <c r="T1720" s="23"/>
      <c r="U1720" s="23"/>
      <c r="V1720" s="23"/>
      <c r="W1720" s="16"/>
      <c r="X1720" s="23"/>
      <c r="Y1720" s="23"/>
      <c r="Z1720" s="23"/>
      <c r="AA1720" s="16"/>
      <c r="AB1720" s="23"/>
      <c r="AC1720" s="23"/>
      <c r="AD1720" s="23"/>
      <c r="AE1720" s="16"/>
      <c r="AF1720" s="23"/>
      <c r="AG1720" s="23"/>
      <c r="AH1720" s="23"/>
      <c r="AI1720" s="16"/>
      <c r="AJ1720" s="23"/>
      <c r="AK1720" s="23"/>
      <c r="AL1720" s="23"/>
      <c r="AM1720" s="16"/>
      <c r="AN1720" s="23"/>
      <c r="AO1720" s="23"/>
      <c r="AP1720" s="23"/>
      <c r="AQ1720" s="16"/>
      <c r="AR1720" s="23"/>
      <c r="AS1720" s="23"/>
      <c r="AT1720" s="23"/>
      <c r="AU1720" s="16"/>
      <c r="AV1720" s="23"/>
      <c r="AW1720" s="23"/>
      <c r="AX1720" s="23"/>
      <c r="AY1720" s="16"/>
      <c r="AZ1720" s="23"/>
      <c r="BA1720" s="23"/>
      <c r="BB1720" s="23"/>
      <c r="BC1720" s="16"/>
      <c r="BD1720" s="23"/>
      <c r="BE1720" s="23"/>
      <c r="BF1720" s="23"/>
      <c r="BG1720" s="16"/>
      <c r="BH1720" s="23"/>
      <c r="BI1720" s="23"/>
      <c r="BJ1720" s="23"/>
      <c r="BN1720" s="23"/>
      <c r="BO1720" s="23"/>
      <c r="BP1720" s="16"/>
      <c r="BQ1720" s="16"/>
      <c r="BR1720" s="23"/>
      <c r="BS1720" s="16"/>
      <c r="BT1720" s="16"/>
      <c r="BU1720" s="16"/>
      <c r="BV1720" s="16"/>
      <c r="BW1720" s="16"/>
      <c r="BX1720" s="16"/>
      <c r="BY1720" s="16"/>
    </row>
    <row r="1721">
      <c r="A1721" s="16"/>
      <c r="B1721" s="16"/>
      <c r="C1721" s="22"/>
      <c r="D1721" s="16"/>
      <c r="E1721" s="16"/>
      <c r="F1721" s="16"/>
      <c r="G1721" s="16"/>
      <c r="H1721" s="16"/>
      <c r="I1721" s="23"/>
      <c r="J1721" s="23"/>
      <c r="K1721" s="16"/>
      <c r="L1721" s="23"/>
      <c r="M1721" s="23"/>
      <c r="N1721" s="23"/>
      <c r="O1721" s="16"/>
      <c r="P1721" s="23"/>
      <c r="Q1721" s="23"/>
      <c r="R1721" s="23"/>
      <c r="S1721" s="16"/>
      <c r="T1721" s="23"/>
      <c r="U1721" s="23"/>
      <c r="V1721" s="23"/>
      <c r="W1721" s="16"/>
      <c r="X1721" s="23"/>
      <c r="Y1721" s="23"/>
      <c r="Z1721" s="23"/>
      <c r="AA1721" s="16"/>
      <c r="AB1721" s="23"/>
      <c r="AC1721" s="23"/>
      <c r="AD1721" s="23"/>
      <c r="AE1721" s="16"/>
      <c r="AF1721" s="23"/>
      <c r="AG1721" s="23"/>
      <c r="AH1721" s="23"/>
      <c r="AI1721" s="16"/>
      <c r="AJ1721" s="23"/>
      <c r="AK1721" s="23"/>
      <c r="AL1721" s="23"/>
      <c r="AM1721" s="16"/>
      <c r="AN1721" s="23"/>
      <c r="AO1721" s="23"/>
      <c r="AP1721" s="23"/>
      <c r="AQ1721" s="16"/>
      <c r="AR1721" s="23"/>
      <c r="AS1721" s="23"/>
      <c r="AT1721" s="23"/>
      <c r="AU1721" s="16"/>
      <c r="AV1721" s="23"/>
      <c r="AW1721" s="23"/>
      <c r="AX1721" s="23"/>
      <c r="AY1721" s="16"/>
      <c r="AZ1721" s="23"/>
      <c r="BA1721" s="23"/>
      <c r="BB1721" s="23"/>
      <c r="BC1721" s="16"/>
      <c r="BD1721" s="23"/>
      <c r="BE1721" s="23"/>
      <c r="BF1721" s="23"/>
      <c r="BG1721" s="16"/>
      <c r="BH1721" s="23"/>
      <c r="BI1721" s="23"/>
      <c r="BJ1721" s="23"/>
      <c r="BN1721" s="23"/>
      <c r="BO1721" s="23"/>
      <c r="BP1721" s="16"/>
      <c r="BQ1721" s="16"/>
      <c r="BR1721" s="23"/>
      <c r="BS1721" s="16"/>
      <c r="BT1721" s="16"/>
      <c r="BU1721" s="16"/>
      <c r="BV1721" s="16"/>
      <c r="BW1721" s="16"/>
      <c r="BX1721" s="16"/>
      <c r="BY1721" s="16"/>
    </row>
    <row r="1722">
      <c r="A1722" s="16"/>
      <c r="B1722" s="16"/>
      <c r="C1722" s="22"/>
      <c r="D1722" s="16"/>
      <c r="E1722" s="16"/>
      <c r="F1722" s="16"/>
      <c r="G1722" s="16"/>
      <c r="H1722" s="16"/>
      <c r="I1722" s="23"/>
      <c r="J1722" s="23"/>
      <c r="K1722" s="16"/>
      <c r="L1722" s="23"/>
      <c r="M1722" s="23"/>
      <c r="N1722" s="23"/>
      <c r="O1722" s="16"/>
      <c r="P1722" s="23"/>
      <c r="Q1722" s="23"/>
      <c r="R1722" s="23"/>
      <c r="S1722" s="16"/>
      <c r="T1722" s="23"/>
      <c r="U1722" s="23"/>
      <c r="V1722" s="23"/>
      <c r="W1722" s="16"/>
      <c r="X1722" s="23"/>
      <c r="Y1722" s="23"/>
      <c r="Z1722" s="23"/>
      <c r="AA1722" s="16"/>
      <c r="AB1722" s="23"/>
      <c r="AC1722" s="23"/>
      <c r="AD1722" s="23"/>
      <c r="AE1722" s="16"/>
      <c r="AF1722" s="23"/>
      <c r="AG1722" s="23"/>
      <c r="AH1722" s="23"/>
      <c r="AI1722" s="16"/>
      <c r="AJ1722" s="23"/>
      <c r="AK1722" s="23"/>
      <c r="AL1722" s="23"/>
      <c r="AM1722" s="16"/>
      <c r="AN1722" s="23"/>
      <c r="AO1722" s="23"/>
      <c r="AP1722" s="23"/>
      <c r="AQ1722" s="16"/>
      <c r="AR1722" s="23"/>
      <c r="AS1722" s="23"/>
      <c r="AT1722" s="23"/>
      <c r="AU1722" s="16"/>
      <c r="AV1722" s="23"/>
      <c r="AW1722" s="23"/>
      <c r="AX1722" s="23"/>
      <c r="AY1722" s="16"/>
      <c r="AZ1722" s="23"/>
      <c r="BA1722" s="23"/>
      <c r="BB1722" s="23"/>
      <c r="BC1722" s="16"/>
      <c r="BD1722" s="23"/>
      <c r="BE1722" s="23"/>
      <c r="BF1722" s="23"/>
      <c r="BG1722" s="16"/>
      <c r="BH1722" s="23"/>
      <c r="BI1722" s="23"/>
      <c r="BJ1722" s="23"/>
      <c r="BN1722" s="23"/>
      <c r="BO1722" s="23"/>
      <c r="BP1722" s="16"/>
      <c r="BQ1722" s="16"/>
      <c r="BR1722" s="23"/>
      <c r="BS1722" s="16"/>
      <c r="BT1722" s="16"/>
      <c r="BU1722" s="16"/>
      <c r="BV1722" s="16"/>
      <c r="BW1722" s="16"/>
      <c r="BX1722" s="16"/>
      <c r="BY1722" s="16"/>
    </row>
    <row r="1723">
      <c r="A1723" s="16"/>
      <c r="B1723" s="16"/>
      <c r="C1723" s="22"/>
      <c r="D1723" s="16"/>
      <c r="E1723" s="16"/>
      <c r="F1723" s="16"/>
      <c r="G1723" s="16"/>
      <c r="H1723" s="16"/>
      <c r="I1723" s="23"/>
      <c r="J1723" s="23"/>
      <c r="K1723" s="16"/>
      <c r="L1723" s="23"/>
      <c r="M1723" s="23"/>
      <c r="N1723" s="23"/>
      <c r="O1723" s="16"/>
      <c r="P1723" s="23"/>
      <c r="Q1723" s="23"/>
      <c r="R1723" s="23"/>
      <c r="S1723" s="16"/>
      <c r="T1723" s="23"/>
      <c r="U1723" s="23"/>
      <c r="V1723" s="23"/>
      <c r="W1723" s="16"/>
      <c r="X1723" s="23"/>
      <c r="Y1723" s="23"/>
      <c r="Z1723" s="23"/>
      <c r="AA1723" s="16"/>
      <c r="AB1723" s="23"/>
      <c r="AC1723" s="23"/>
      <c r="AD1723" s="23"/>
      <c r="AE1723" s="16"/>
      <c r="AF1723" s="23"/>
      <c r="AG1723" s="23"/>
      <c r="AH1723" s="23"/>
      <c r="AI1723" s="16"/>
      <c r="AJ1723" s="23"/>
      <c r="AK1723" s="23"/>
      <c r="AL1723" s="23"/>
      <c r="AM1723" s="16"/>
      <c r="AN1723" s="23"/>
      <c r="AO1723" s="23"/>
      <c r="AP1723" s="23"/>
      <c r="AQ1723" s="16"/>
      <c r="AR1723" s="23"/>
      <c r="AS1723" s="23"/>
      <c r="AT1723" s="23"/>
      <c r="AU1723" s="16"/>
      <c r="AV1723" s="23"/>
      <c r="AW1723" s="23"/>
      <c r="AX1723" s="23"/>
      <c r="AY1723" s="16"/>
      <c r="AZ1723" s="23"/>
      <c r="BA1723" s="23"/>
      <c r="BB1723" s="23"/>
      <c r="BC1723" s="16"/>
      <c r="BD1723" s="23"/>
      <c r="BE1723" s="23"/>
      <c r="BF1723" s="23"/>
      <c r="BG1723" s="16"/>
      <c r="BH1723" s="23"/>
      <c r="BI1723" s="23"/>
      <c r="BJ1723" s="23"/>
      <c r="BN1723" s="23"/>
      <c r="BO1723" s="23"/>
      <c r="BP1723" s="16"/>
      <c r="BQ1723" s="16"/>
      <c r="BR1723" s="23"/>
      <c r="BS1723" s="16"/>
      <c r="BT1723" s="16"/>
      <c r="BU1723" s="16"/>
      <c r="BV1723" s="16"/>
      <c r="BW1723" s="16"/>
      <c r="BX1723" s="16"/>
      <c r="BY1723" s="16"/>
    </row>
    <row r="1724">
      <c r="A1724" s="16"/>
      <c r="B1724" s="16"/>
      <c r="C1724" s="22"/>
      <c r="D1724" s="16"/>
      <c r="E1724" s="16"/>
      <c r="F1724" s="16"/>
      <c r="G1724" s="16"/>
      <c r="H1724" s="16"/>
      <c r="I1724" s="23"/>
      <c r="J1724" s="23"/>
      <c r="K1724" s="16"/>
      <c r="L1724" s="23"/>
      <c r="M1724" s="23"/>
      <c r="N1724" s="23"/>
      <c r="O1724" s="16"/>
      <c r="P1724" s="23"/>
      <c r="Q1724" s="23"/>
      <c r="R1724" s="23"/>
      <c r="S1724" s="16"/>
      <c r="T1724" s="23"/>
      <c r="U1724" s="23"/>
      <c r="V1724" s="23"/>
      <c r="W1724" s="16"/>
      <c r="X1724" s="23"/>
      <c r="Y1724" s="23"/>
      <c r="Z1724" s="23"/>
      <c r="AA1724" s="16"/>
      <c r="AB1724" s="23"/>
      <c r="AC1724" s="23"/>
      <c r="AD1724" s="23"/>
      <c r="AE1724" s="16"/>
      <c r="AF1724" s="23"/>
      <c r="AG1724" s="23"/>
      <c r="AH1724" s="23"/>
      <c r="AI1724" s="16"/>
      <c r="AJ1724" s="23"/>
      <c r="AK1724" s="23"/>
      <c r="AL1724" s="23"/>
      <c r="AM1724" s="16"/>
      <c r="AN1724" s="23"/>
      <c r="AO1724" s="23"/>
      <c r="AP1724" s="23"/>
      <c r="AQ1724" s="16"/>
      <c r="AR1724" s="23"/>
      <c r="AS1724" s="23"/>
      <c r="AT1724" s="23"/>
      <c r="AU1724" s="16"/>
      <c r="AV1724" s="23"/>
      <c r="AW1724" s="23"/>
      <c r="AX1724" s="23"/>
      <c r="AY1724" s="16"/>
      <c r="AZ1724" s="23"/>
      <c r="BA1724" s="23"/>
      <c r="BB1724" s="23"/>
      <c r="BC1724" s="16"/>
      <c r="BD1724" s="23"/>
      <c r="BE1724" s="23"/>
      <c r="BF1724" s="23"/>
      <c r="BG1724" s="16"/>
      <c r="BH1724" s="23"/>
      <c r="BI1724" s="23"/>
      <c r="BJ1724" s="23"/>
      <c r="BN1724" s="23"/>
      <c r="BO1724" s="23"/>
      <c r="BP1724" s="16"/>
      <c r="BQ1724" s="16"/>
      <c r="BR1724" s="23"/>
      <c r="BS1724" s="16"/>
      <c r="BT1724" s="16"/>
      <c r="BU1724" s="16"/>
      <c r="BV1724" s="16"/>
      <c r="BW1724" s="16"/>
      <c r="BX1724" s="16"/>
      <c r="BY1724" s="16"/>
    </row>
    <row r="1725">
      <c r="A1725" s="16"/>
      <c r="B1725" s="16"/>
      <c r="C1725" s="22"/>
      <c r="D1725" s="16"/>
      <c r="E1725" s="16"/>
      <c r="F1725" s="16"/>
      <c r="G1725" s="16"/>
      <c r="H1725" s="16"/>
      <c r="I1725" s="23"/>
      <c r="J1725" s="23"/>
      <c r="K1725" s="16"/>
      <c r="L1725" s="23"/>
      <c r="M1725" s="23"/>
      <c r="N1725" s="23"/>
      <c r="O1725" s="16"/>
      <c r="P1725" s="23"/>
      <c r="Q1725" s="23"/>
      <c r="R1725" s="23"/>
      <c r="S1725" s="16"/>
      <c r="T1725" s="23"/>
      <c r="U1725" s="23"/>
      <c r="V1725" s="23"/>
      <c r="W1725" s="16"/>
      <c r="X1725" s="23"/>
      <c r="Y1725" s="23"/>
      <c r="Z1725" s="23"/>
      <c r="AA1725" s="16"/>
      <c r="AB1725" s="23"/>
      <c r="AC1725" s="23"/>
      <c r="AD1725" s="23"/>
      <c r="AE1725" s="16"/>
      <c r="AF1725" s="23"/>
      <c r="AG1725" s="23"/>
      <c r="AH1725" s="23"/>
      <c r="AI1725" s="16"/>
      <c r="AJ1725" s="23"/>
      <c r="AK1725" s="23"/>
      <c r="AL1725" s="23"/>
      <c r="AM1725" s="16"/>
      <c r="AN1725" s="23"/>
      <c r="AO1725" s="23"/>
      <c r="AP1725" s="23"/>
      <c r="AQ1725" s="16"/>
      <c r="AR1725" s="23"/>
      <c r="AS1725" s="23"/>
      <c r="AT1725" s="23"/>
      <c r="AU1725" s="16"/>
      <c r="AV1725" s="23"/>
      <c r="AW1725" s="23"/>
      <c r="AX1725" s="23"/>
      <c r="AY1725" s="16"/>
      <c r="AZ1725" s="23"/>
      <c r="BA1725" s="23"/>
      <c r="BB1725" s="23"/>
      <c r="BC1725" s="16"/>
      <c r="BD1725" s="23"/>
      <c r="BE1725" s="23"/>
      <c r="BF1725" s="23"/>
      <c r="BG1725" s="16"/>
      <c r="BH1725" s="23"/>
      <c r="BI1725" s="23"/>
      <c r="BJ1725" s="23"/>
      <c r="BN1725" s="23"/>
      <c r="BO1725" s="23"/>
      <c r="BP1725" s="16"/>
      <c r="BQ1725" s="16"/>
      <c r="BR1725" s="23"/>
      <c r="BS1725" s="16"/>
      <c r="BT1725" s="16"/>
      <c r="BU1725" s="16"/>
      <c r="BV1725" s="16"/>
      <c r="BW1725" s="16"/>
      <c r="BX1725" s="16"/>
      <c r="BY1725" s="16"/>
    </row>
    <row r="1726">
      <c r="A1726" s="16"/>
      <c r="B1726" s="16"/>
      <c r="C1726" s="22"/>
      <c r="D1726" s="16"/>
      <c r="E1726" s="16"/>
      <c r="F1726" s="16"/>
      <c r="G1726" s="16"/>
      <c r="H1726" s="16"/>
      <c r="I1726" s="23"/>
      <c r="J1726" s="23"/>
      <c r="K1726" s="16"/>
      <c r="L1726" s="23"/>
      <c r="M1726" s="23"/>
      <c r="N1726" s="23"/>
      <c r="O1726" s="16"/>
      <c r="P1726" s="23"/>
      <c r="Q1726" s="23"/>
      <c r="R1726" s="23"/>
      <c r="S1726" s="16"/>
      <c r="T1726" s="23"/>
      <c r="U1726" s="23"/>
      <c r="V1726" s="23"/>
      <c r="W1726" s="16"/>
      <c r="X1726" s="23"/>
      <c r="Y1726" s="23"/>
      <c r="Z1726" s="23"/>
      <c r="AA1726" s="16"/>
      <c r="AB1726" s="23"/>
      <c r="AC1726" s="23"/>
      <c r="AD1726" s="23"/>
      <c r="AE1726" s="16"/>
      <c r="AF1726" s="23"/>
      <c r="AG1726" s="23"/>
      <c r="AH1726" s="23"/>
      <c r="AI1726" s="16"/>
      <c r="AJ1726" s="23"/>
      <c r="AK1726" s="23"/>
      <c r="AL1726" s="23"/>
      <c r="AM1726" s="16"/>
      <c r="AN1726" s="23"/>
      <c r="AO1726" s="23"/>
      <c r="AP1726" s="23"/>
      <c r="AQ1726" s="16"/>
      <c r="AR1726" s="23"/>
      <c r="AS1726" s="23"/>
      <c r="AT1726" s="23"/>
      <c r="AU1726" s="16"/>
      <c r="AV1726" s="23"/>
      <c r="AW1726" s="23"/>
      <c r="AX1726" s="23"/>
      <c r="AY1726" s="16"/>
      <c r="AZ1726" s="23"/>
      <c r="BA1726" s="23"/>
      <c r="BB1726" s="23"/>
      <c r="BC1726" s="16"/>
      <c r="BD1726" s="23"/>
      <c r="BE1726" s="23"/>
      <c r="BF1726" s="23"/>
      <c r="BG1726" s="16"/>
      <c r="BH1726" s="23"/>
      <c r="BI1726" s="23"/>
      <c r="BJ1726" s="23"/>
      <c r="BN1726" s="23"/>
      <c r="BO1726" s="23"/>
      <c r="BP1726" s="16"/>
      <c r="BQ1726" s="16"/>
      <c r="BR1726" s="23"/>
      <c r="BS1726" s="16"/>
      <c r="BT1726" s="16"/>
      <c r="BU1726" s="16"/>
      <c r="BV1726" s="16"/>
      <c r="BW1726" s="16"/>
      <c r="BX1726" s="16"/>
      <c r="BY1726" s="16"/>
    </row>
    <row r="1727">
      <c r="A1727" s="16"/>
      <c r="B1727" s="16"/>
      <c r="C1727" s="22"/>
      <c r="D1727" s="16"/>
      <c r="E1727" s="16"/>
      <c r="F1727" s="16"/>
      <c r="G1727" s="16"/>
      <c r="H1727" s="16"/>
      <c r="I1727" s="23"/>
      <c r="J1727" s="23"/>
      <c r="K1727" s="16"/>
      <c r="L1727" s="23"/>
      <c r="M1727" s="23"/>
      <c r="N1727" s="23"/>
      <c r="O1727" s="16"/>
      <c r="P1727" s="23"/>
      <c r="Q1727" s="23"/>
      <c r="R1727" s="23"/>
      <c r="S1727" s="16"/>
      <c r="T1727" s="23"/>
      <c r="U1727" s="23"/>
      <c r="V1727" s="23"/>
      <c r="W1727" s="16"/>
      <c r="X1727" s="23"/>
      <c r="Y1727" s="23"/>
      <c r="Z1727" s="23"/>
      <c r="AA1727" s="16"/>
      <c r="AB1727" s="23"/>
      <c r="AC1727" s="23"/>
      <c r="AD1727" s="23"/>
      <c r="AE1727" s="16"/>
      <c r="AF1727" s="23"/>
      <c r="AG1727" s="23"/>
      <c r="AH1727" s="23"/>
      <c r="AI1727" s="16"/>
      <c r="AJ1727" s="23"/>
      <c r="AK1727" s="23"/>
      <c r="AL1727" s="23"/>
      <c r="AM1727" s="16"/>
      <c r="AN1727" s="23"/>
      <c r="AO1727" s="23"/>
      <c r="AP1727" s="23"/>
      <c r="AQ1727" s="16"/>
      <c r="AR1727" s="23"/>
      <c r="AS1727" s="23"/>
      <c r="AT1727" s="23"/>
      <c r="AU1727" s="16"/>
      <c r="AV1727" s="23"/>
      <c r="AW1727" s="23"/>
      <c r="AX1727" s="23"/>
      <c r="AY1727" s="16"/>
      <c r="AZ1727" s="23"/>
      <c r="BA1727" s="23"/>
      <c r="BB1727" s="23"/>
      <c r="BC1727" s="16"/>
      <c r="BD1727" s="23"/>
      <c r="BE1727" s="23"/>
      <c r="BF1727" s="23"/>
      <c r="BG1727" s="16"/>
      <c r="BH1727" s="23"/>
      <c r="BI1727" s="23"/>
      <c r="BJ1727" s="23"/>
      <c r="BN1727" s="23"/>
      <c r="BO1727" s="23"/>
      <c r="BP1727" s="16"/>
      <c r="BQ1727" s="16"/>
      <c r="BR1727" s="23"/>
      <c r="BS1727" s="16"/>
      <c r="BT1727" s="16"/>
      <c r="BU1727" s="16"/>
      <c r="BV1727" s="16"/>
      <c r="BW1727" s="16"/>
      <c r="BX1727" s="16"/>
      <c r="BY1727" s="16"/>
    </row>
    <row r="1728">
      <c r="A1728" s="16"/>
      <c r="B1728" s="16"/>
      <c r="C1728" s="22"/>
      <c r="D1728" s="16"/>
      <c r="E1728" s="16"/>
      <c r="F1728" s="16"/>
      <c r="G1728" s="16"/>
      <c r="H1728" s="16"/>
      <c r="I1728" s="23"/>
      <c r="J1728" s="23"/>
      <c r="K1728" s="16"/>
      <c r="L1728" s="23"/>
      <c r="M1728" s="23"/>
      <c r="N1728" s="23"/>
      <c r="O1728" s="16"/>
      <c r="P1728" s="23"/>
      <c r="Q1728" s="23"/>
      <c r="R1728" s="23"/>
      <c r="S1728" s="16"/>
      <c r="T1728" s="23"/>
      <c r="U1728" s="23"/>
      <c r="V1728" s="23"/>
      <c r="W1728" s="16"/>
      <c r="X1728" s="23"/>
      <c r="Y1728" s="23"/>
      <c r="Z1728" s="23"/>
      <c r="AA1728" s="16"/>
      <c r="AB1728" s="23"/>
      <c r="AC1728" s="23"/>
      <c r="AD1728" s="23"/>
      <c r="AE1728" s="16"/>
      <c r="AF1728" s="23"/>
      <c r="AG1728" s="23"/>
      <c r="AH1728" s="23"/>
      <c r="AI1728" s="16"/>
      <c r="AJ1728" s="23"/>
      <c r="AK1728" s="23"/>
      <c r="AL1728" s="23"/>
      <c r="AM1728" s="16"/>
      <c r="AN1728" s="23"/>
      <c r="AO1728" s="23"/>
      <c r="AP1728" s="23"/>
      <c r="AQ1728" s="16"/>
      <c r="AR1728" s="23"/>
      <c r="AS1728" s="23"/>
      <c r="AT1728" s="23"/>
      <c r="AU1728" s="16"/>
      <c r="AV1728" s="23"/>
      <c r="AW1728" s="23"/>
      <c r="AX1728" s="23"/>
      <c r="AY1728" s="16"/>
      <c r="AZ1728" s="23"/>
      <c r="BA1728" s="23"/>
      <c r="BB1728" s="23"/>
      <c r="BC1728" s="16"/>
      <c r="BD1728" s="23"/>
      <c r="BE1728" s="23"/>
      <c r="BF1728" s="23"/>
      <c r="BG1728" s="16"/>
      <c r="BH1728" s="23"/>
      <c r="BI1728" s="23"/>
      <c r="BJ1728" s="23"/>
      <c r="BN1728" s="23"/>
      <c r="BO1728" s="23"/>
      <c r="BP1728" s="16"/>
      <c r="BQ1728" s="16"/>
      <c r="BR1728" s="23"/>
      <c r="BS1728" s="16"/>
      <c r="BT1728" s="16"/>
      <c r="BU1728" s="16"/>
      <c r="BV1728" s="16"/>
      <c r="BW1728" s="16"/>
      <c r="BX1728" s="16"/>
      <c r="BY1728" s="16"/>
    </row>
    <row r="1729">
      <c r="A1729" s="16"/>
      <c r="B1729" s="16"/>
      <c r="C1729" s="22"/>
      <c r="D1729" s="16"/>
      <c r="E1729" s="16"/>
      <c r="F1729" s="16"/>
      <c r="G1729" s="16"/>
      <c r="H1729" s="16"/>
      <c r="I1729" s="23"/>
      <c r="J1729" s="23"/>
      <c r="K1729" s="16"/>
      <c r="L1729" s="23"/>
      <c r="M1729" s="23"/>
      <c r="N1729" s="23"/>
      <c r="O1729" s="16"/>
      <c r="P1729" s="23"/>
      <c r="Q1729" s="23"/>
      <c r="R1729" s="23"/>
      <c r="S1729" s="16"/>
      <c r="T1729" s="23"/>
      <c r="U1729" s="23"/>
      <c r="V1729" s="23"/>
      <c r="W1729" s="16"/>
      <c r="X1729" s="23"/>
      <c r="Y1729" s="23"/>
      <c r="Z1729" s="23"/>
      <c r="AA1729" s="16"/>
      <c r="AB1729" s="23"/>
      <c r="AC1729" s="23"/>
      <c r="AD1729" s="23"/>
      <c r="AE1729" s="16"/>
      <c r="AF1729" s="23"/>
      <c r="AG1729" s="23"/>
      <c r="AH1729" s="23"/>
      <c r="AI1729" s="16"/>
      <c r="AJ1729" s="23"/>
      <c r="AK1729" s="23"/>
      <c r="AL1729" s="23"/>
      <c r="AM1729" s="16"/>
      <c r="AN1729" s="23"/>
      <c r="AO1729" s="23"/>
      <c r="AP1729" s="23"/>
      <c r="AQ1729" s="16"/>
      <c r="AR1729" s="23"/>
      <c r="AS1729" s="23"/>
      <c r="AT1729" s="23"/>
      <c r="AU1729" s="16"/>
      <c r="AV1729" s="23"/>
      <c r="AW1729" s="23"/>
      <c r="AX1729" s="23"/>
      <c r="AY1729" s="16"/>
      <c r="AZ1729" s="23"/>
      <c r="BA1729" s="23"/>
      <c r="BB1729" s="23"/>
      <c r="BC1729" s="16"/>
      <c r="BD1729" s="23"/>
      <c r="BE1729" s="23"/>
      <c r="BF1729" s="23"/>
      <c r="BG1729" s="16"/>
      <c r="BH1729" s="23"/>
      <c r="BI1729" s="23"/>
      <c r="BJ1729" s="23"/>
      <c r="BN1729" s="23"/>
      <c r="BO1729" s="23"/>
      <c r="BP1729" s="16"/>
      <c r="BQ1729" s="16"/>
      <c r="BR1729" s="23"/>
      <c r="BS1729" s="16"/>
      <c r="BT1729" s="16"/>
      <c r="BU1729" s="16"/>
      <c r="BV1729" s="16"/>
      <c r="BW1729" s="16"/>
      <c r="BX1729" s="16"/>
      <c r="BY1729" s="16"/>
    </row>
    <row r="1730">
      <c r="A1730" s="16"/>
      <c r="B1730" s="16"/>
      <c r="C1730" s="22"/>
      <c r="D1730" s="16"/>
      <c r="E1730" s="16"/>
      <c r="F1730" s="16"/>
      <c r="G1730" s="16"/>
      <c r="H1730" s="16"/>
      <c r="I1730" s="23"/>
      <c r="J1730" s="23"/>
      <c r="K1730" s="16"/>
      <c r="L1730" s="23"/>
      <c r="M1730" s="23"/>
      <c r="N1730" s="23"/>
      <c r="O1730" s="16"/>
      <c r="P1730" s="23"/>
      <c r="Q1730" s="23"/>
      <c r="R1730" s="23"/>
      <c r="S1730" s="16"/>
      <c r="T1730" s="23"/>
      <c r="U1730" s="23"/>
      <c r="V1730" s="23"/>
      <c r="W1730" s="16"/>
      <c r="X1730" s="23"/>
      <c r="Y1730" s="23"/>
      <c r="Z1730" s="23"/>
      <c r="AA1730" s="16"/>
      <c r="AB1730" s="23"/>
      <c r="AC1730" s="23"/>
      <c r="AD1730" s="23"/>
      <c r="AE1730" s="16"/>
      <c r="AF1730" s="23"/>
      <c r="AG1730" s="23"/>
      <c r="AH1730" s="23"/>
      <c r="AI1730" s="16"/>
      <c r="AJ1730" s="23"/>
      <c r="AK1730" s="23"/>
      <c r="AL1730" s="23"/>
      <c r="AM1730" s="16"/>
      <c r="AN1730" s="23"/>
      <c r="AO1730" s="23"/>
      <c r="AP1730" s="23"/>
      <c r="AQ1730" s="16"/>
      <c r="AR1730" s="23"/>
      <c r="AS1730" s="23"/>
      <c r="AT1730" s="23"/>
      <c r="AU1730" s="16"/>
      <c r="AV1730" s="23"/>
      <c r="AW1730" s="23"/>
      <c r="AX1730" s="23"/>
      <c r="AY1730" s="16"/>
      <c r="AZ1730" s="23"/>
      <c r="BA1730" s="23"/>
      <c r="BB1730" s="23"/>
      <c r="BC1730" s="16"/>
      <c r="BD1730" s="23"/>
      <c r="BE1730" s="23"/>
      <c r="BF1730" s="23"/>
      <c r="BG1730" s="16"/>
      <c r="BH1730" s="23"/>
      <c r="BI1730" s="23"/>
      <c r="BJ1730" s="23"/>
      <c r="BN1730" s="23"/>
      <c r="BO1730" s="23"/>
      <c r="BP1730" s="16"/>
      <c r="BQ1730" s="16"/>
      <c r="BR1730" s="23"/>
      <c r="BS1730" s="16"/>
      <c r="BT1730" s="16"/>
      <c r="BU1730" s="16"/>
      <c r="BV1730" s="16"/>
      <c r="BW1730" s="16"/>
      <c r="BX1730" s="16"/>
      <c r="BY1730" s="16"/>
    </row>
    <row r="1731">
      <c r="A1731" s="16"/>
      <c r="B1731" s="16"/>
      <c r="C1731" s="22"/>
      <c r="D1731" s="16"/>
      <c r="E1731" s="16"/>
      <c r="F1731" s="16"/>
      <c r="G1731" s="16"/>
      <c r="H1731" s="16"/>
      <c r="I1731" s="23"/>
      <c r="J1731" s="23"/>
      <c r="K1731" s="16"/>
      <c r="L1731" s="23"/>
      <c r="M1731" s="23"/>
      <c r="N1731" s="23"/>
      <c r="O1731" s="16"/>
      <c r="P1731" s="23"/>
      <c r="Q1731" s="23"/>
      <c r="R1731" s="23"/>
      <c r="S1731" s="16"/>
      <c r="T1731" s="23"/>
      <c r="U1731" s="23"/>
      <c r="V1731" s="23"/>
      <c r="W1731" s="16"/>
      <c r="X1731" s="23"/>
      <c r="Y1731" s="23"/>
      <c r="Z1731" s="23"/>
      <c r="AA1731" s="16"/>
      <c r="AB1731" s="23"/>
      <c r="AC1731" s="23"/>
      <c r="AD1731" s="23"/>
      <c r="AE1731" s="16"/>
      <c r="AF1731" s="23"/>
      <c r="AG1731" s="23"/>
      <c r="AH1731" s="23"/>
      <c r="AI1731" s="16"/>
      <c r="AJ1731" s="23"/>
      <c r="AK1731" s="23"/>
      <c r="AL1731" s="23"/>
      <c r="AM1731" s="16"/>
      <c r="AN1731" s="23"/>
      <c r="AO1731" s="23"/>
      <c r="AP1731" s="23"/>
      <c r="AQ1731" s="16"/>
      <c r="AR1731" s="23"/>
      <c r="AS1731" s="23"/>
      <c r="AT1731" s="23"/>
      <c r="AU1731" s="16"/>
      <c r="AV1731" s="23"/>
      <c r="AW1731" s="23"/>
      <c r="AX1731" s="23"/>
      <c r="AY1731" s="16"/>
      <c r="AZ1731" s="23"/>
      <c r="BA1731" s="23"/>
      <c r="BB1731" s="23"/>
      <c r="BC1731" s="16"/>
      <c r="BD1731" s="23"/>
      <c r="BE1731" s="23"/>
      <c r="BF1731" s="23"/>
      <c r="BG1731" s="16"/>
      <c r="BH1731" s="23"/>
      <c r="BI1731" s="23"/>
      <c r="BJ1731" s="23"/>
      <c r="BN1731" s="23"/>
      <c r="BO1731" s="23"/>
      <c r="BP1731" s="16"/>
      <c r="BQ1731" s="16"/>
      <c r="BR1731" s="23"/>
      <c r="BS1731" s="16"/>
      <c r="BT1731" s="16"/>
      <c r="BU1731" s="16"/>
      <c r="BV1731" s="16"/>
      <c r="BW1731" s="16"/>
      <c r="BX1731" s="16"/>
      <c r="BY1731" s="16"/>
    </row>
    <row r="1732">
      <c r="A1732" s="16"/>
      <c r="B1732" s="16"/>
      <c r="C1732" s="22"/>
      <c r="D1732" s="16"/>
      <c r="E1732" s="16"/>
      <c r="F1732" s="16"/>
      <c r="G1732" s="16"/>
      <c r="H1732" s="16"/>
      <c r="I1732" s="23"/>
      <c r="J1732" s="23"/>
      <c r="K1732" s="16"/>
      <c r="L1732" s="23"/>
      <c r="M1732" s="23"/>
      <c r="N1732" s="23"/>
      <c r="O1732" s="16"/>
      <c r="P1732" s="23"/>
      <c r="Q1732" s="23"/>
      <c r="R1732" s="23"/>
      <c r="S1732" s="16"/>
      <c r="T1732" s="23"/>
      <c r="U1732" s="23"/>
      <c r="V1732" s="23"/>
      <c r="W1732" s="16"/>
      <c r="X1732" s="23"/>
      <c r="Y1732" s="23"/>
      <c r="Z1732" s="23"/>
      <c r="AA1732" s="16"/>
      <c r="AB1732" s="23"/>
      <c r="AC1732" s="23"/>
      <c r="AD1732" s="23"/>
      <c r="AE1732" s="16"/>
      <c r="AF1732" s="23"/>
      <c r="AG1732" s="23"/>
      <c r="AH1732" s="23"/>
      <c r="AI1732" s="16"/>
      <c r="AJ1732" s="23"/>
      <c r="AK1732" s="23"/>
      <c r="AL1732" s="23"/>
      <c r="AM1732" s="16"/>
      <c r="AN1732" s="23"/>
      <c r="AO1732" s="23"/>
      <c r="AP1732" s="23"/>
      <c r="AQ1732" s="16"/>
      <c r="AR1732" s="23"/>
      <c r="AS1732" s="23"/>
      <c r="AT1732" s="23"/>
      <c r="AU1732" s="16"/>
      <c r="AV1732" s="23"/>
      <c r="AW1732" s="23"/>
      <c r="AX1732" s="23"/>
      <c r="AY1732" s="16"/>
      <c r="AZ1732" s="23"/>
      <c r="BA1732" s="23"/>
      <c r="BB1732" s="23"/>
      <c r="BC1732" s="16"/>
      <c r="BD1732" s="23"/>
      <c r="BE1732" s="23"/>
      <c r="BF1732" s="23"/>
      <c r="BG1732" s="16"/>
      <c r="BH1732" s="23"/>
      <c r="BI1732" s="23"/>
      <c r="BJ1732" s="23"/>
      <c r="BN1732" s="23"/>
      <c r="BO1732" s="23"/>
      <c r="BP1732" s="16"/>
      <c r="BQ1732" s="16"/>
      <c r="BR1732" s="23"/>
      <c r="BS1732" s="16"/>
      <c r="BT1732" s="16"/>
      <c r="BU1732" s="16"/>
      <c r="BV1732" s="16"/>
      <c r="BW1732" s="16"/>
      <c r="BX1732" s="16"/>
      <c r="BY1732" s="16"/>
    </row>
    <row r="1733">
      <c r="A1733" s="16"/>
      <c r="B1733" s="16"/>
      <c r="C1733" s="22"/>
      <c r="D1733" s="16"/>
      <c r="E1733" s="16"/>
      <c r="F1733" s="16"/>
      <c r="G1733" s="16"/>
      <c r="H1733" s="16"/>
      <c r="I1733" s="23"/>
      <c r="J1733" s="23"/>
      <c r="K1733" s="16"/>
      <c r="L1733" s="23"/>
      <c r="M1733" s="23"/>
      <c r="N1733" s="23"/>
      <c r="O1733" s="16"/>
      <c r="P1733" s="23"/>
      <c r="Q1733" s="23"/>
      <c r="R1733" s="23"/>
      <c r="S1733" s="16"/>
      <c r="T1733" s="23"/>
      <c r="U1733" s="23"/>
      <c r="V1733" s="23"/>
      <c r="W1733" s="16"/>
      <c r="X1733" s="23"/>
      <c r="Y1733" s="23"/>
      <c r="Z1733" s="23"/>
      <c r="AA1733" s="16"/>
      <c r="AB1733" s="23"/>
      <c r="AC1733" s="23"/>
      <c r="AD1733" s="23"/>
      <c r="AE1733" s="16"/>
      <c r="AF1733" s="23"/>
      <c r="AG1733" s="23"/>
      <c r="AH1733" s="23"/>
      <c r="AI1733" s="16"/>
      <c r="AJ1733" s="23"/>
      <c r="AK1733" s="23"/>
      <c r="AL1733" s="23"/>
      <c r="AM1733" s="16"/>
      <c r="AN1733" s="23"/>
      <c r="AO1733" s="23"/>
      <c r="AP1733" s="23"/>
      <c r="AQ1733" s="16"/>
      <c r="AR1733" s="23"/>
      <c r="AS1733" s="23"/>
      <c r="AT1733" s="23"/>
      <c r="AU1733" s="16"/>
      <c r="AV1733" s="23"/>
      <c r="AW1733" s="23"/>
      <c r="AX1733" s="23"/>
      <c r="AY1733" s="16"/>
      <c r="AZ1733" s="23"/>
      <c r="BA1733" s="23"/>
      <c r="BB1733" s="23"/>
      <c r="BC1733" s="16"/>
      <c r="BD1733" s="23"/>
      <c r="BE1733" s="23"/>
      <c r="BF1733" s="23"/>
      <c r="BG1733" s="16"/>
      <c r="BH1733" s="23"/>
      <c r="BI1733" s="23"/>
      <c r="BJ1733" s="23"/>
      <c r="BN1733" s="23"/>
      <c r="BO1733" s="23"/>
      <c r="BP1733" s="16"/>
      <c r="BQ1733" s="16"/>
      <c r="BR1733" s="23"/>
      <c r="BS1733" s="16"/>
      <c r="BT1733" s="16"/>
      <c r="BU1733" s="16"/>
      <c r="BV1733" s="16"/>
      <c r="BW1733" s="16"/>
      <c r="BX1733" s="16"/>
      <c r="BY1733" s="16"/>
    </row>
    <row r="1734">
      <c r="A1734" s="16"/>
      <c r="B1734" s="16"/>
      <c r="C1734" s="22"/>
      <c r="D1734" s="16"/>
      <c r="E1734" s="16"/>
      <c r="F1734" s="16"/>
      <c r="G1734" s="16"/>
      <c r="H1734" s="16"/>
      <c r="I1734" s="23"/>
      <c r="J1734" s="23"/>
      <c r="K1734" s="16"/>
      <c r="L1734" s="23"/>
      <c r="M1734" s="23"/>
      <c r="N1734" s="23"/>
      <c r="O1734" s="16"/>
      <c r="P1734" s="23"/>
      <c r="Q1734" s="23"/>
      <c r="R1734" s="23"/>
      <c r="S1734" s="16"/>
      <c r="T1734" s="23"/>
      <c r="U1734" s="23"/>
      <c r="V1734" s="23"/>
      <c r="W1734" s="16"/>
      <c r="X1734" s="23"/>
      <c r="Y1734" s="23"/>
      <c r="Z1734" s="23"/>
      <c r="AA1734" s="16"/>
      <c r="AB1734" s="23"/>
      <c r="AC1734" s="23"/>
      <c r="AD1734" s="23"/>
      <c r="AE1734" s="16"/>
      <c r="AF1734" s="23"/>
      <c r="AG1734" s="23"/>
      <c r="AH1734" s="23"/>
      <c r="AI1734" s="16"/>
      <c r="AJ1734" s="23"/>
      <c r="AK1734" s="23"/>
      <c r="AL1734" s="23"/>
      <c r="AM1734" s="16"/>
      <c r="AN1734" s="23"/>
      <c r="AO1734" s="23"/>
      <c r="AP1734" s="23"/>
      <c r="AQ1734" s="16"/>
      <c r="AR1734" s="23"/>
      <c r="AS1734" s="23"/>
      <c r="AT1734" s="23"/>
      <c r="AU1734" s="16"/>
      <c r="AV1734" s="23"/>
      <c r="AW1734" s="23"/>
      <c r="AX1734" s="23"/>
      <c r="AY1734" s="16"/>
      <c r="AZ1734" s="23"/>
      <c r="BA1734" s="23"/>
      <c r="BB1734" s="23"/>
      <c r="BC1734" s="16"/>
      <c r="BD1734" s="23"/>
      <c r="BE1734" s="23"/>
      <c r="BF1734" s="23"/>
      <c r="BG1734" s="16"/>
      <c r="BH1734" s="23"/>
      <c r="BI1734" s="23"/>
      <c r="BJ1734" s="23"/>
      <c r="BN1734" s="23"/>
      <c r="BO1734" s="23"/>
      <c r="BP1734" s="16"/>
      <c r="BQ1734" s="16"/>
      <c r="BR1734" s="23"/>
      <c r="BS1734" s="16"/>
      <c r="BT1734" s="16"/>
      <c r="BU1734" s="16"/>
      <c r="BV1734" s="16"/>
      <c r="BW1734" s="16"/>
      <c r="BX1734" s="16"/>
      <c r="BY1734" s="16"/>
    </row>
    <row r="1735">
      <c r="A1735" s="16"/>
      <c r="B1735" s="16"/>
      <c r="C1735" s="22"/>
      <c r="D1735" s="16"/>
      <c r="E1735" s="16"/>
      <c r="F1735" s="16"/>
      <c r="G1735" s="16"/>
      <c r="H1735" s="16"/>
      <c r="I1735" s="23"/>
      <c r="J1735" s="23"/>
      <c r="K1735" s="16"/>
      <c r="L1735" s="23"/>
      <c r="M1735" s="23"/>
      <c r="N1735" s="23"/>
      <c r="O1735" s="16"/>
      <c r="P1735" s="23"/>
      <c r="Q1735" s="23"/>
      <c r="R1735" s="23"/>
      <c r="S1735" s="16"/>
      <c r="T1735" s="23"/>
      <c r="U1735" s="23"/>
      <c r="V1735" s="23"/>
      <c r="W1735" s="16"/>
      <c r="X1735" s="23"/>
      <c r="Y1735" s="23"/>
      <c r="Z1735" s="23"/>
      <c r="AA1735" s="16"/>
      <c r="AB1735" s="23"/>
      <c r="AC1735" s="23"/>
      <c r="AD1735" s="23"/>
      <c r="AE1735" s="16"/>
      <c r="AF1735" s="23"/>
      <c r="AG1735" s="23"/>
      <c r="AH1735" s="23"/>
      <c r="AI1735" s="16"/>
      <c r="AJ1735" s="23"/>
      <c r="AK1735" s="23"/>
      <c r="AL1735" s="23"/>
      <c r="AM1735" s="16"/>
      <c r="AN1735" s="23"/>
      <c r="AO1735" s="23"/>
      <c r="AP1735" s="23"/>
      <c r="AQ1735" s="16"/>
      <c r="AR1735" s="23"/>
      <c r="AS1735" s="23"/>
      <c r="AT1735" s="23"/>
      <c r="AU1735" s="16"/>
      <c r="AV1735" s="23"/>
      <c r="AW1735" s="23"/>
      <c r="AX1735" s="23"/>
      <c r="AY1735" s="16"/>
      <c r="AZ1735" s="23"/>
      <c r="BA1735" s="23"/>
      <c r="BB1735" s="23"/>
      <c r="BC1735" s="16"/>
      <c r="BD1735" s="23"/>
      <c r="BE1735" s="23"/>
      <c r="BF1735" s="23"/>
      <c r="BG1735" s="16"/>
      <c r="BH1735" s="23"/>
      <c r="BI1735" s="23"/>
      <c r="BJ1735" s="23"/>
      <c r="BN1735" s="23"/>
      <c r="BO1735" s="23"/>
      <c r="BP1735" s="16"/>
      <c r="BQ1735" s="16"/>
      <c r="BR1735" s="23"/>
      <c r="BS1735" s="16"/>
      <c r="BT1735" s="16"/>
      <c r="BU1735" s="16"/>
      <c r="BV1735" s="16"/>
      <c r="BW1735" s="16"/>
      <c r="BX1735" s="16"/>
      <c r="BY1735" s="16"/>
    </row>
    <row r="1736">
      <c r="A1736" s="16"/>
      <c r="B1736" s="16"/>
      <c r="C1736" s="22"/>
      <c r="D1736" s="16"/>
      <c r="E1736" s="16"/>
      <c r="F1736" s="16"/>
      <c r="G1736" s="16"/>
      <c r="H1736" s="16"/>
      <c r="I1736" s="23"/>
      <c r="J1736" s="23"/>
      <c r="K1736" s="16"/>
      <c r="L1736" s="23"/>
      <c r="M1736" s="23"/>
      <c r="N1736" s="23"/>
      <c r="O1736" s="16"/>
      <c r="P1736" s="23"/>
      <c r="Q1736" s="23"/>
      <c r="R1736" s="23"/>
      <c r="S1736" s="16"/>
      <c r="T1736" s="23"/>
      <c r="U1736" s="23"/>
      <c r="V1736" s="23"/>
      <c r="W1736" s="16"/>
      <c r="X1736" s="23"/>
      <c r="Y1736" s="23"/>
      <c r="Z1736" s="23"/>
      <c r="AA1736" s="16"/>
      <c r="AB1736" s="23"/>
      <c r="AC1736" s="23"/>
      <c r="AD1736" s="23"/>
      <c r="AE1736" s="16"/>
      <c r="AF1736" s="23"/>
      <c r="AG1736" s="23"/>
      <c r="AH1736" s="23"/>
      <c r="AI1736" s="16"/>
      <c r="AJ1736" s="23"/>
      <c r="AK1736" s="23"/>
      <c r="AL1736" s="23"/>
      <c r="AM1736" s="16"/>
      <c r="AN1736" s="23"/>
      <c r="AO1736" s="23"/>
      <c r="AP1736" s="23"/>
      <c r="AQ1736" s="16"/>
      <c r="AR1736" s="23"/>
      <c r="AS1736" s="23"/>
      <c r="AT1736" s="23"/>
      <c r="AU1736" s="16"/>
      <c r="AV1736" s="23"/>
      <c r="AW1736" s="23"/>
      <c r="AX1736" s="23"/>
      <c r="AY1736" s="16"/>
      <c r="AZ1736" s="23"/>
      <c r="BA1736" s="23"/>
      <c r="BB1736" s="23"/>
      <c r="BC1736" s="16"/>
      <c r="BD1736" s="23"/>
      <c r="BE1736" s="23"/>
      <c r="BF1736" s="23"/>
      <c r="BG1736" s="16"/>
      <c r="BH1736" s="23"/>
      <c r="BI1736" s="23"/>
      <c r="BJ1736" s="23"/>
      <c r="BN1736" s="23"/>
      <c r="BO1736" s="23"/>
      <c r="BP1736" s="16"/>
      <c r="BQ1736" s="16"/>
      <c r="BR1736" s="23"/>
      <c r="BS1736" s="16"/>
      <c r="BT1736" s="16"/>
      <c r="BU1736" s="16"/>
      <c r="BV1736" s="16"/>
      <c r="BW1736" s="16"/>
      <c r="BX1736" s="16"/>
      <c r="BY1736" s="16"/>
    </row>
    <row r="1737">
      <c r="A1737" s="16"/>
      <c r="B1737" s="16"/>
      <c r="C1737" s="22"/>
      <c r="D1737" s="16"/>
      <c r="E1737" s="16"/>
      <c r="F1737" s="16"/>
      <c r="G1737" s="16"/>
      <c r="H1737" s="16"/>
      <c r="I1737" s="23"/>
      <c r="J1737" s="23"/>
      <c r="K1737" s="16"/>
      <c r="L1737" s="23"/>
      <c r="M1737" s="23"/>
      <c r="N1737" s="23"/>
      <c r="O1737" s="16"/>
      <c r="P1737" s="23"/>
      <c r="Q1737" s="23"/>
      <c r="R1737" s="23"/>
      <c r="S1737" s="16"/>
      <c r="T1737" s="23"/>
      <c r="U1737" s="23"/>
      <c r="V1737" s="23"/>
      <c r="W1737" s="16"/>
      <c r="X1737" s="23"/>
      <c r="Y1737" s="23"/>
      <c r="Z1737" s="23"/>
      <c r="AA1737" s="16"/>
      <c r="AB1737" s="23"/>
      <c r="AC1737" s="23"/>
      <c r="AD1737" s="23"/>
      <c r="AE1737" s="16"/>
      <c r="AF1737" s="23"/>
      <c r="AG1737" s="23"/>
      <c r="AH1737" s="23"/>
      <c r="AI1737" s="16"/>
      <c r="AJ1737" s="23"/>
      <c r="AK1737" s="23"/>
      <c r="AL1737" s="23"/>
      <c r="AM1737" s="16"/>
      <c r="AN1737" s="23"/>
      <c r="AO1737" s="23"/>
      <c r="AP1737" s="23"/>
      <c r="AQ1737" s="16"/>
      <c r="AR1737" s="23"/>
      <c r="AS1737" s="23"/>
      <c r="AT1737" s="23"/>
      <c r="AU1737" s="16"/>
      <c r="AV1737" s="23"/>
      <c r="AW1737" s="23"/>
      <c r="AX1737" s="23"/>
      <c r="AY1737" s="16"/>
      <c r="AZ1737" s="23"/>
      <c r="BA1737" s="23"/>
      <c r="BB1737" s="23"/>
      <c r="BC1737" s="16"/>
      <c r="BD1737" s="23"/>
      <c r="BE1737" s="23"/>
      <c r="BF1737" s="23"/>
      <c r="BG1737" s="16"/>
      <c r="BH1737" s="23"/>
      <c r="BI1737" s="23"/>
      <c r="BJ1737" s="23"/>
      <c r="BN1737" s="23"/>
      <c r="BO1737" s="23"/>
      <c r="BP1737" s="16"/>
      <c r="BQ1737" s="16"/>
      <c r="BR1737" s="23"/>
      <c r="BS1737" s="16"/>
      <c r="BT1737" s="16"/>
      <c r="BU1737" s="16"/>
      <c r="BV1737" s="16"/>
      <c r="BW1737" s="16"/>
      <c r="BX1737" s="16"/>
      <c r="BY1737" s="16"/>
    </row>
    <row r="1738">
      <c r="A1738" s="16"/>
      <c r="B1738" s="16"/>
      <c r="C1738" s="22"/>
      <c r="D1738" s="16"/>
      <c r="E1738" s="16"/>
      <c r="F1738" s="16"/>
      <c r="G1738" s="16"/>
      <c r="H1738" s="16"/>
      <c r="I1738" s="23"/>
      <c r="J1738" s="23"/>
      <c r="K1738" s="16"/>
      <c r="L1738" s="23"/>
      <c r="M1738" s="23"/>
      <c r="N1738" s="23"/>
      <c r="O1738" s="16"/>
      <c r="P1738" s="23"/>
      <c r="Q1738" s="23"/>
      <c r="R1738" s="23"/>
      <c r="S1738" s="16"/>
      <c r="T1738" s="23"/>
      <c r="U1738" s="23"/>
      <c r="V1738" s="23"/>
      <c r="W1738" s="16"/>
      <c r="X1738" s="23"/>
      <c r="Y1738" s="23"/>
      <c r="Z1738" s="23"/>
      <c r="AA1738" s="16"/>
      <c r="AB1738" s="23"/>
      <c r="AC1738" s="23"/>
      <c r="AD1738" s="23"/>
      <c r="AE1738" s="16"/>
      <c r="AF1738" s="23"/>
      <c r="AG1738" s="23"/>
      <c r="AH1738" s="23"/>
      <c r="AI1738" s="16"/>
      <c r="AJ1738" s="23"/>
      <c r="AK1738" s="23"/>
      <c r="AL1738" s="23"/>
      <c r="AM1738" s="16"/>
      <c r="AN1738" s="23"/>
      <c r="AO1738" s="23"/>
      <c r="AP1738" s="23"/>
      <c r="AQ1738" s="16"/>
      <c r="AR1738" s="23"/>
      <c r="AS1738" s="23"/>
      <c r="AT1738" s="23"/>
      <c r="AU1738" s="16"/>
      <c r="AV1738" s="23"/>
      <c r="AW1738" s="23"/>
      <c r="AX1738" s="23"/>
      <c r="AY1738" s="16"/>
      <c r="AZ1738" s="23"/>
      <c r="BA1738" s="23"/>
      <c r="BB1738" s="23"/>
      <c r="BC1738" s="16"/>
      <c r="BD1738" s="23"/>
      <c r="BE1738" s="23"/>
      <c r="BF1738" s="23"/>
      <c r="BG1738" s="16"/>
      <c r="BH1738" s="23"/>
      <c r="BI1738" s="23"/>
      <c r="BJ1738" s="23"/>
      <c r="BN1738" s="23"/>
      <c r="BO1738" s="23"/>
      <c r="BP1738" s="16"/>
      <c r="BQ1738" s="16"/>
      <c r="BR1738" s="23"/>
      <c r="BS1738" s="16"/>
      <c r="BT1738" s="16"/>
      <c r="BU1738" s="16"/>
      <c r="BV1738" s="16"/>
      <c r="BW1738" s="16"/>
      <c r="BX1738" s="16"/>
      <c r="BY1738" s="16"/>
    </row>
    <row r="1739">
      <c r="A1739" s="16"/>
      <c r="B1739" s="16"/>
      <c r="C1739" s="22"/>
      <c r="D1739" s="16"/>
      <c r="E1739" s="16"/>
      <c r="F1739" s="16"/>
      <c r="G1739" s="16"/>
      <c r="H1739" s="16"/>
      <c r="I1739" s="23"/>
      <c r="J1739" s="23"/>
      <c r="K1739" s="16"/>
      <c r="L1739" s="23"/>
      <c r="M1739" s="23"/>
      <c r="N1739" s="23"/>
      <c r="O1739" s="16"/>
      <c r="P1739" s="23"/>
      <c r="Q1739" s="23"/>
      <c r="R1739" s="23"/>
      <c r="S1739" s="16"/>
      <c r="T1739" s="23"/>
      <c r="U1739" s="23"/>
      <c r="V1739" s="23"/>
      <c r="W1739" s="16"/>
      <c r="X1739" s="23"/>
      <c r="Y1739" s="23"/>
      <c r="Z1739" s="23"/>
      <c r="AA1739" s="16"/>
      <c r="AB1739" s="23"/>
      <c r="AC1739" s="23"/>
      <c r="AD1739" s="23"/>
      <c r="AE1739" s="16"/>
      <c r="AF1739" s="23"/>
      <c r="AG1739" s="23"/>
      <c r="AH1739" s="23"/>
      <c r="AI1739" s="16"/>
      <c r="AJ1739" s="23"/>
      <c r="AK1739" s="23"/>
      <c r="AL1739" s="23"/>
      <c r="AM1739" s="16"/>
      <c r="AN1739" s="23"/>
      <c r="AO1739" s="23"/>
      <c r="AP1739" s="23"/>
      <c r="AQ1739" s="16"/>
      <c r="AR1739" s="23"/>
      <c r="AS1739" s="23"/>
      <c r="AT1739" s="23"/>
      <c r="AU1739" s="16"/>
      <c r="AV1739" s="23"/>
      <c r="AW1739" s="23"/>
      <c r="AX1739" s="23"/>
      <c r="AY1739" s="16"/>
      <c r="AZ1739" s="23"/>
      <c r="BA1739" s="23"/>
      <c r="BB1739" s="23"/>
      <c r="BC1739" s="16"/>
      <c r="BD1739" s="23"/>
      <c r="BE1739" s="23"/>
      <c r="BF1739" s="23"/>
      <c r="BG1739" s="16"/>
      <c r="BH1739" s="23"/>
      <c r="BI1739" s="23"/>
      <c r="BJ1739" s="23"/>
      <c r="BN1739" s="23"/>
      <c r="BO1739" s="23"/>
      <c r="BP1739" s="16"/>
      <c r="BQ1739" s="16"/>
      <c r="BR1739" s="23"/>
      <c r="BS1739" s="16"/>
      <c r="BT1739" s="16"/>
      <c r="BU1739" s="16"/>
      <c r="BV1739" s="16"/>
      <c r="BW1739" s="16"/>
      <c r="BX1739" s="16"/>
      <c r="BY1739" s="16"/>
    </row>
    <row r="1740">
      <c r="A1740" s="16"/>
      <c r="B1740" s="16"/>
      <c r="C1740" s="22"/>
      <c r="D1740" s="16"/>
      <c r="E1740" s="16"/>
      <c r="F1740" s="16"/>
      <c r="G1740" s="16"/>
      <c r="H1740" s="16"/>
      <c r="I1740" s="23"/>
      <c r="J1740" s="23"/>
      <c r="K1740" s="16"/>
      <c r="L1740" s="23"/>
      <c r="M1740" s="23"/>
      <c r="N1740" s="23"/>
      <c r="O1740" s="16"/>
      <c r="P1740" s="23"/>
      <c r="Q1740" s="23"/>
      <c r="R1740" s="23"/>
      <c r="S1740" s="16"/>
      <c r="T1740" s="23"/>
      <c r="U1740" s="23"/>
      <c r="V1740" s="23"/>
      <c r="W1740" s="16"/>
      <c r="X1740" s="23"/>
      <c r="Y1740" s="23"/>
      <c r="Z1740" s="23"/>
      <c r="AA1740" s="16"/>
      <c r="AB1740" s="23"/>
      <c r="AC1740" s="23"/>
      <c r="AD1740" s="23"/>
      <c r="AE1740" s="16"/>
      <c r="AF1740" s="23"/>
      <c r="AG1740" s="23"/>
      <c r="AH1740" s="23"/>
      <c r="AI1740" s="16"/>
      <c r="AJ1740" s="23"/>
      <c r="AK1740" s="23"/>
      <c r="AL1740" s="23"/>
      <c r="AM1740" s="16"/>
      <c r="AN1740" s="23"/>
      <c r="AO1740" s="23"/>
      <c r="AP1740" s="23"/>
      <c r="AQ1740" s="16"/>
      <c r="AR1740" s="23"/>
      <c r="AS1740" s="23"/>
      <c r="AT1740" s="23"/>
      <c r="AU1740" s="16"/>
      <c r="AV1740" s="23"/>
      <c r="AW1740" s="23"/>
      <c r="AX1740" s="23"/>
      <c r="AY1740" s="16"/>
      <c r="AZ1740" s="23"/>
      <c r="BA1740" s="23"/>
      <c r="BB1740" s="23"/>
      <c r="BC1740" s="16"/>
      <c r="BD1740" s="23"/>
      <c r="BE1740" s="23"/>
      <c r="BF1740" s="23"/>
      <c r="BG1740" s="16"/>
      <c r="BH1740" s="23"/>
      <c r="BI1740" s="23"/>
      <c r="BJ1740" s="23"/>
      <c r="BN1740" s="23"/>
      <c r="BO1740" s="23"/>
      <c r="BP1740" s="16"/>
      <c r="BQ1740" s="16"/>
      <c r="BR1740" s="23"/>
      <c r="BS1740" s="16"/>
      <c r="BT1740" s="16"/>
      <c r="BU1740" s="16"/>
      <c r="BV1740" s="16"/>
      <c r="BW1740" s="16"/>
      <c r="BX1740" s="16"/>
      <c r="BY1740" s="16"/>
    </row>
    <row r="1741">
      <c r="A1741" s="16"/>
      <c r="B1741" s="16"/>
      <c r="C1741" s="22"/>
      <c r="D1741" s="16"/>
      <c r="E1741" s="16"/>
      <c r="F1741" s="16"/>
      <c r="G1741" s="16"/>
      <c r="H1741" s="16"/>
      <c r="I1741" s="23"/>
      <c r="J1741" s="23"/>
      <c r="K1741" s="16"/>
      <c r="L1741" s="23"/>
      <c r="M1741" s="23"/>
      <c r="N1741" s="23"/>
      <c r="O1741" s="16"/>
      <c r="P1741" s="23"/>
      <c r="Q1741" s="23"/>
      <c r="R1741" s="23"/>
      <c r="S1741" s="16"/>
      <c r="T1741" s="23"/>
      <c r="U1741" s="23"/>
      <c r="V1741" s="23"/>
      <c r="W1741" s="16"/>
      <c r="X1741" s="23"/>
      <c r="Y1741" s="23"/>
      <c r="Z1741" s="23"/>
      <c r="AA1741" s="16"/>
      <c r="AB1741" s="23"/>
      <c r="AC1741" s="23"/>
      <c r="AD1741" s="23"/>
      <c r="AE1741" s="16"/>
      <c r="AF1741" s="23"/>
      <c r="AG1741" s="23"/>
      <c r="AH1741" s="23"/>
      <c r="AI1741" s="16"/>
      <c r="AJ1741" s="23"/>
      <c r="AK1741" s="23"/>
      <c r="AL1741" s="23"/>
      <c r="AM1741" s="16"/>
      <c r="AN1741" s="23"/>
      <c r="AO1741" s="23"/>
      <c r="AP1741" s="23"/>
      <c r="AQ1741" s="16"/>
      <c r="AR1741" s="23"/>
      <c r="AS1741" s="23"/>
      <c r="AT1741" s="23"/>
      <c r="AU1741" s="16"/>
      <c r="AV1741" s="23"/>
      <c r="AW1741" s="23"/>
      <c r="AX1741" s="23"/>
      <c r="AY1741" s="16"/>
      <c r="AZ1741" s="23"/>
      <c r="BA1741" s="23"/>
      <c r="BB1741" s="23"/>
      <c r="BC1741" s="16"/>
      <c r="BD1741" s="23"/>
      <c r="BE1741" s="23"/>
      <c r="BF1741" s="23"/>
      <c r="BG1741" s="16"/>
      <c r="BH1741" s="23"/>
      <c r="BI1741" s="23"/>
      <c r="BJ1741" s="23"/>
      <c r="BN1741" s="23"/>
      <c r="BO1741" s="23"/>
      <c r="BP1741" s="16"/>
      <c r="BQ1741" s="16"/>
      <c r="BR1741" s="23"/>
      <c r="BS1741" s="16"/>
      <c r="BT1741" s="16"/>
      <c r="BU1741" s="16"/>
      <c r="BV1741" s="16"/>
      <c r="BW1741" s="16"/>
      <c r="BX1741" s="16"/>
      <c r="BY1741" s="16"/>
    </row>
    <row r="1742">
      <c r="A1742" s="16"/>
      <c r="B1742" s="16"/>
      <c r="C1742" s="22"/>
      <c r="D1742" s="16"/>
      <c r="E1742" s="16"/>
      <c r="F1742" s="16"/>
      <c r="G1742" s="16"/>
      <c r="H1742" s="16"/>
      <c r="I1742" s="23"/>
      <c r="J1742" s="23"/>
      <c r="K1742" s="16"/>
      <c r="L1742" s="23"/>
      <c r="M1742" s="23"/>
      <c r="N1742" s="23"/>
      <c r="O1742" s="16"/>
      <c r="P1742" s="23"/>
      <c r="Q1742" s="23"/>
      <c r="R1742" s="23"/>
      <c r="S1742" s="16"/>
      <c r="T1742" s="23"/>
      <c r="U1742" s="23"/>
      <c r="V1742" s="23"/>
      <c r="W1742" s="16"/>
      <c r="X1742" s="23"/>
      <c r="Y1742" s="23"/>
      <c r="Z1742" s="23"/>
      <c r="AA1742" s="16"/>
      <c r="AB1742" s="23"/>
      <c r="AC1742" s="23"/>
      <c r="AD1742" s="23"/>
      <c r="AE1742" s="16"/>
      <c r="AF1742" s="23"/>
      <c r="AG1742" s="23"/>
      <c r="AH1742" s="23"/>
      <c r="AI1742" s="16"/>
      <c r="AJ1742" s="23"/>
      <c r="AK1742" s="23"/>
      <c r="AL1742" s="23"/>
      <c r="AM1742" s="16"/>
      <c r="AN1742" s="23"/>
      <c r="AO1742" s="23"/>
      <c r="AP1742" s="23"/>
      <c r="AQ1742" s="16"/>
      <c r="AR1742" s="23"/>
      <c r="AS1742" s="23"/>
      <c r="AT1742" s="23"/>
      <c r="AU1742" s="16"/>
      <c r="AV1742" s="23"/>
      <c r="AW1742" s="23"/>
      <c r="AX1742" s="23"/>
      <c r="AY1742" s="16"/>
      <c r="AZ1742" s="23"/>
      <c r="BA1742" s="23"/>
      <c r="BB1742" s="23"/>
      <c r="BC1742" s="16"/>
      <c r="BD1742" s="23"/>
      <c r="BE1742" s="23"/>
      <c r="BF1742" s="23"/>
      <c r="BG1742" s="16"/>
      <c r="BH1742" s="23"/>
      <c r="BI1742" s="23"/>
      <c r="BJ1742" s="23"/>
      <c r="BN1742" s="23"/>
      <c r="BO1742" s="23"/>
      <c r="BP1742" s="16"/>
      <c r="BQ1742" s="16"/>
      <c r="BR1742" s="23"/>
      <c r="BS1742" s="16"/>
      <c r="BT1742" s="16"/>
      <c r="BU1742" s="16"/>
      <c r="BV1742" s="16"/>
      <c r="BW1742" s="16"/>
      <c r="BX1742" s="16"/>
      <c r="BY1742" s="16"/>
    </row>
    <row r="1743">
      <c r="A1743" s="16"/>
      <c r="B1743" s="16"/>
      <c r="C1743" s="22"/>
      <c r="D1743" s="16"/>
      <c r="E1743" s="16"/>
      <c r="F1743" s="16"/>
      <c r="G1743" s="16"/>
      <c r="H1743" s="16"/>
      <c r="I1743" s="23"/>
      <c r="J1743" s="23"/>
      <c r="K1743" s="16"/>
      <c r="L1743" s="23"/>
      <c r="M1743" s="23"/>
      <c r="N1743" s="23"/>
      <c r="O1743" s="16"/>
      <c r="P1743" s="23"/>
      <c r="Q1743" s="23"/>
      <c r="R1743" s="23"/>
      <c r="S1743" s="16"/>
      <c r="T1743" s="23"/>
      <c r="U1743" s="23"/>
      <c r="V1743" s="23"/>
      <c r="W1743" s="16"/>
      <c r="X1743" s="23"/>
      <c r="Y1743" s="23"/>
      <c r="Z1743" s="23"/>
      <c r="AA1743" s="16"/>
      <c r="AB1743" s="23"/>
      <c r="AC1743" s="23"/>
      <c r="AD1743" s="23"/>
      <c r="AE1743" s="16"/>
      <c r="AF1743" s="23"/>
      <c r="AG1743" s="23"/>
      <c r="AH1743" s="23"/>
      <c r="AI1743" s="16"/>
      <c r="AJ1743" s="23"/>
      <c r="AK1743" s="23"/>
      <c r="AL1743" s="23"/>
      <c r="AM1743" s="16"/>
      <c r="AN1743" s="23"/>
      <c r="AO1743" s="23"/>
      <c r="AP1743" s="23"/>
      <c r="AQ1743" s="16"/>
      <c r="AR1743" s="23"/>
      <c r="AS1743" s="23"/>
      <c r="AT1743" s="23"/>
      <c r="AU1743" s="16"/>
      <c r="AV1743" s="23"/>
      <c r="AW1743" s="23"/>
      <c r="AX1743" s="23"/>
      <c r="AY1743" s="16"/>
      <c r="AZ1743" s="23"/>
      <c r="BA1743" s="23"/>
      <c r="BB1743" s="23"/>
      <c r="BC1743" s="16"/>
      <c r="BD1743" s="23"/>
      <c r="BE1743" s="23"/>
      <c r="BF1743" s="23"/>
      <c r="BG1743" s="16"/>
      <c r="BH1743" s="23"/>
      <c r="BI1743" s="23"/>
      <c r="BJ1743" s="23"/>
      <c r="BN1743" s="23"/>
      <c r="BO1743" s="23"/>
      <c r="BP1743" s="16"/>
      <c r="BQ1743" s="16"/>
      <c r="BR1743" s="23"/>
      <c r="BS1743" s="16"/>
      <c r="BT1743" s="16"/>
      <c r="BU1743" s="16"/>
      <c r="BV1743" s="16"/>
      <c r="BW1743" s="16"/>
      <c r="BX1743" s="16"/>
      <c r="BY1743" s="16"/>
    </row>
    <row r="1744">
      <c r="A1744" s="16"/>
      <c r="B1744" s="16"/>
      <c r="C1744" s="22"/>
      <c r="D1744" s="16"/>
      <c r="E1744" s="16"/>
      <c r="F1744" s="16"/>
      <c r="G1744" s="16"/>
      <c r="H1744" s="16"/>
      <c r="I1744" s="23"/>
      <c r="J1744" s="23"/>
      <c r="K1744" s="16"/>
      <c r="L1744" s="23"/>
      <c r="M1744" s="23"/>
      <c r="N1744" s="23"/>
      <c r="O1744" s="16"/>
      <c r="P1744" s="23"/>
      <c r="Q1744" s="23"/>
      <c r="R1744" s="23"/>
      <c r="S1744" s="16"/>
      <c r="T1744" s="23"/>
      <c r="U1744" s="23"/>
      <c r="V1744" s="23"/>
      <c r="W1744" s="16"/>
      <c r="X1744" s="23"/>
      <c r="Y1744" s="23"/>
      <c r="Z1744" s="23"/>
      <c r="AA1744" s="16"/>
      <c r="AB1744" s="23"/>
      <c r="AC1744" s="23"/>
      <c r="AD1744" s="23"/>
      <c r="AE1744" s="16"/>
      <c r="AF1744" s="23"/>
      <c r="AG1744" s="23"/>
      <c r="AH1744" s="23"/>
      <c r="AI1744" s="16"/>
      <c r="AJ1744" s="23"/>
      <c r="AK1744" s="23"/>
      <c r="AL1744" s="23"/>
      <c r="AM1744" s="16"/>
      <c r="AN1744" s="23"/>
      <c r="AO1744" s="23"/>
      <c r="AP1744" s="23"/>
      <c r="AQ1744" s="16"/>
      <c r="AR1744" s="23"/>
      <c r="AS1744" s="23"/>
      <c r="AT1744" s="23"/>
      <c r="AU1744" s="16"/>
      <c r="AV1744" s="23"/>
      <c r="AW1744" s="23"/>
      <c r="AX1744" s="23"/>
      <c r="AY1744" s="16"/>
      <c r="AZ1744" s="23"/>
      <c r="BA1744" s="23"/>
      <c r="BB1744" s="23"/>
      <c r="BC1744" s="16"/>
      <c r="BD1744" s="23"/>
      <c r="BE1744" s="23"/>
      <c r="BF1744" s="23"/>
      <c r="BG1744" s="16"/>
      <c r="BH1744" s="23"/>
      <c r="BI1744" s="23"/>
      <c r="BJ1744" s="23"/>
      <c r="BN1744" s="23"/>
      <c r="BO1744" s="23"/>
      <c r="BP1744" s="16"/>
      <c r="BQ1744" s="16"/>
      <c r="BR1744" s="23"/>
      <c r="BS1744" s="16"/>
      <c r="BT1744" s="16"/>
      <c r="BU1744" s="16"/>
      <c r="BV1744" s="16"/>
      <c r="BW1744" s="16"/>
      <c r="BX1744" s="16"/>
      <c r="BY1744" s="16"/>
    </row>
    <row r="1745">
      <c r="A1745" s="16"/>
      <c r="B1745" s="16"/>
      <c r="C1745" s="22"/>
      <c r="D1745" s="16"/>
      <c r="E1745" s="16"/>
      <c r="F1745" s="16"/>
      <c r="G1745" s="16"/>
      <c r="H1745" s="16"/>
      <c r="I1745" s="23"/>
      <c r="J1745" s="23"/>
      <c r="K1745" s="16"/>
      <c r="L1745" s="23"/>
      <c r="M1745" s="23"/>
      <c r="N1745" s="23"/>
      <c r="O1745" s="16"/>
      <c r="P1745" s="23"/>
      <c r="Q1745" s="23"/>
      <c r="R1745" s="23"/>
      <c r="S1745" s="16"/>
      <c r="T1745" s="23"/>
      <c r="U1745" s="23"/>
      <c r="V1745" s="23"/>
      <c r="W1745" s="16"/>
      <c r="X1745" s="23"/>
      <c r="Y1745" s="23"/>
      <c r="Z1745" s="23"/>
      <c r="AA1745" s="16"/>
      <c r="AB1745" s="23"/>
      <c r="AC1745" s="23"/>
      <c r="AD1745" s="23"/>
      <c r="AE1745" s="16"/>
      <c r="AF1745" s="23"/>
      <c r="AG1745" s="23"/>
      <c r="AH1745" s="23"/>
      <c r="AI1745" s="16"/>
      <c r="AJ1745" s="23"/>
      <c r="AK1745" s="23"/>
      <c r="AL1745" s="23"/>
      <c r="AM1745" s="16"/>
      <c r="AN1745" s="23"/>
      <c r="AO1745" s="23"/>
      <c r="AP1745" s="23"/>
      <c r="AQ1745" s="16"/>
      <c r="AR1745" s="23"/>
      <c r="AS1745" s="23"/>
      <c r="AT1745" s="23"/>
      <c r="AU1745" s="16"/>
      <c r="AV1745" s="23"/>
      <c r="AW1745" s="23"/>
      <c r="AX1745" s="23"/>
      <c r="AY1745" s="16"/>
      <c r="AZ1745" s="23"/>
      <c r="BA1745" s="23"/>
      <c r="BB1745" s="23"/>
      <c r="BC1745" s="16"/>
      <c r="BD1745" s="23"/>
      <c r="BE1745" s="23"/>
      <c r="BF1745" s="23"/>
      <c r="BG1745" s="16"/>
      <c r="BH1745" s="23"/>
      <c r="BI1745" s="23"/>
      <c r="BJ1745" s="23"/>
      <c r="BN1745" s="23"/>
      <c r="BO1745" s="23"/>
      <c r="BP1745" s="16"/>
      <c r="BQ1745" s="16"/>
      <c r="BR1745" s="23"/>
      <c r="BS1745" s="16"/>
      <c r="BT1745" s="16"/>
      <c r="BU1745" s="16"/>
      <c r="BV1745" s="16"/>
      <c r="BW1745" s="16"/>
      <c r="BX1745" s="16"/>
      <c r="BY1745" s="16"/>
    </row>
    <row r="1746">
      <c r="A1746" s="16"/>
      <c r="B1746" s="16"/>
      <c r="C1746" s="22"/>
      <c r="D1746" s="16"/>
      <c r="E1746" s="16"/>
      <c r="F1746" s="16"/>
      <c r="G1746" s="16"/>
      <c r="H1746" s="16"/>
      <c r="I1746" s="23"/>
      <c r="J1746" s="23"/>
      <c r="K1746" s="16"/>
      <c r="L1746" s="23"/>
      <c r="M1746" s="23"/>
      <c r="N1746" s="23"/>
      <c r="O1746" s="16"/>
      <c r="P1746" s="23"/>
      <c r="Q1746" s="23"/>
      <c r="R1746" s="23"/>
      <c r="S1746" s="16"/>
      <c r="T1746" s="23"/>
      <c r="U1746" s="23"/>
      <c r="V1746" s="23"/>
      <c r="W1746" s="16"/>
      <c r="X1746" s="23"/>
      <c r="Y1746" s="23"/>
      <c r="Z1746" s="23"/>
      <c r="AA1746" s="16"/>
      <c r="AB1746" s="23"/>
      <c r="AC1746" s="23"/>
      <c r="AD1746" s="23"/>
      <c r="AE1746" s="16"/>
      <c r="AF1746" s="23"/>
      <c r="AG1746" s="23"/>
      <c r="AH1746" s="23"/>
      <c r="AI1746" s="16"/>
      <c r="AJ1746" s="23"/>
      <c r="AK1746" s="23"/>
      <c r="AL1746" s="23"/>
      <c r="AM1746" s="16"/>
      <c r="AN1746" s="23"/>
      <c r="AO1746" s="23"/>
      <c r="AP1746" s="23"/>
      <c r="AQ1746" s="16"/>
      <c r="AR1746" s="23"/>
      <c r="AS1746" s="23"/>
      <c r="AT1746" s="23"/>
      <c r="AU1746" s="16"/>
      <c r="AV1746" s="23"/>
      <c r="AW1746" s="23"/>
      <c r="AX1746" s="23"/>
      <c r="AY1746" s="16"/>
      <c r="AZ1746" s="23"/>
      <c r="BA1746" s="23"/>
      <c r="BB1746" s="23"/>
      <c r="BC1746" s="16"/>
      <c r="BD1746" s="23"/>
      <c r="BE1746" s="23"/>
      <c r="BF1746" s="23"/>
      <c r="BG1746" s="16"/>
      <c r="BH1746" s="23"/>
      <c r="BI1746" s="23"/>
      <c r="BJ1746" s="23"/>
      <c r="BN1746" s="23"/>
      <c r="BO1746" s="23"/>
      <c r="BP1746" s="16"/>
      <c r="BQ1746" s="16"/>
      <c r="BR1746" s="23"/>
      <c r="BS1746" s="16"/>
      <c r="BT1746" s="16"/>
      <c r="BU1746" s="16"/>
      <c r="BV1746" s="16"/>
      <c r="BW1746" s="16"/>
      <c r="BX1746" s="16"/>
      <c r="BY1746" s="16"/>
    </row>
    <row r="1747">
      <c r="A1747" s="16"/>
      <c r="B1747" s="16"/>
      <c r="C1747" s="22"/>
      <c r="D1747" s="16"/>
      <c r="E1747" s="16"/>
      <c r="F1747" s="16"/>
      <c r="G1747" s="16"/>
      <c r="H1747" s="16"/>
      <c r="I1747" s="23"/>
      <c r="J1747" s="23"/>
      <c r="K1747" s="16"/>
      <c r="L1747" s="23"/>
      <c r="M1747" s="23"/>
      <c r="N1747" s="23"/>
      <c r="O1747" s="16"/>
      <c r="P1747" s="23"/>
      <c r="Q1747" s="23"/>
      <c r="R1747" s="23"/>
      <c r="S1747" s="16"/>
      <c r="T1747" s="23"/>
      <c r="U1747" s="23"/>
      <c r="V1747" s="23"/>
      <c r="W1747" s="16"/>
      <c r="X1747" s="23"/>
      <c r="Y1747" s="23"/>
      <c r="Z1747" s="23"/>
      <c r="AA1747" s="16"/>
      <c r="AB1747" s="23"/>
      <c r="AC1747" s="23"/>
      <c r="AD1747" s="23"/>
      <c r="AE1747" s="16"/>
      <c r="AF1747" s="23"/>
      <c r="AG1747" s="23"/>
      <c r="AH1747" s="23"/>
      <c r="AI1747" s="16"/>
      <c r="AJ1747" s="23"/>
      <c r="AK1747" s="23"/>
      <c r="AL1747" s="23"/>
      <c r="AM1747" s="16"/>
      <c r="AN1747" s="23"/>
      <c r="AO1747" s="23"/>
      <c r="AP1747" s="23"/>
      <c r="AQ1747" s="16"/>
      <c r="AR1747" s="23"/>
      <c r="AS1747" s="23"/>
      <c r="AT1747" s="23"/>
      <c r="AU1747" s="16"/>
      <c r="AV1747" s="23"/>
      <c r="AW1747" s="23"/>
      <c r="AX1747" s="23"/>
      <c r="AY1747" s="16"/>
      <c r="AZ1747" s="23"/>
      <c r="BA1747" s="23"/>
      <c r="BB1747" s="23"/>
      <c r="BC1747" s="16"/>
      <c r="BD1747" s="23"/>
      <c r="BE1747" s="23"/>
      <c r="BF1747" s="23"/>
      <c r="BG1747" s="16"/>
      <c r="BH1747" s="23"/>
      <c r="BI1747" s="23"/>
      <c r="BJ1747" s="23"/>
      <c r="BN1747" s="23"/>
      <c r="BO1747" s="23"/>
      <c r="BP1747" s="16"/>
      <c r="BQ1747" s="16"/>
      <c r="BR1747" s="23"/>
      <c r="BS1747" s="16"/>
      <c r="BT1747" s="16"/>
      <c r="BU1747" s="16"/>
      <c r="BV1747" s="16"/>
      <c r="BW1747" s="16"/>
      <c r="BX1747" s="16"/>
      <c r="BY1747" s="16"/>
    </row>
    <row r="1748">
      <c r="A1748" s="16"/>
      <c r="B1748" s="16"/>
      <c r="C1748" s="22"/>
      <c r="D1748" s="16"/>
      <c r="E1748" s="16"/>
      <c r="F1748" s="16"/>
      <c r="G1748" s="16"/>
      <c r="H1748" s="16"/>
      <c r="I1748" s="23"/>
      <c r="J1748" s="23"/>
      <c r="K1748" s="16"/>
      <c r="L1748" s="23"/>
      <c r="M1748" s="23"/>
      <c r="N1748" s="23"/>
      <c r="O1748" s="16"/>
      <c r="P1748" s="23"/>
      <c r="Q1748" s="23"/>
      <c r="R1748" s="23"/>
      <c r="S1748" s="16"/>
      <c r="T1748" s="23"/>
      <c r="U1748" s="23"/>
      <c r="V1748" s="23"/>
      <c r="W1748" s="16"/>
      <c r="X1748" s="23"/>
      <c r="Y1748" s="23"/>
      <c r="Z1748" s="23"/>
      <c r="AA1748" s="16"/>
      <c r="AB1748" s="23"/>
      <c r="AC1748" s="23"/>
      <c r="AD1748" s="23"/>
      <c r="AE1748" s="16"/>
      <c r="AF1748" s="23"/>
      <c r="AG1748" s="23"/>
      <c r="AH1748" s="23"/>
      <c r="AI1748" s="16"/>
      <c r="AJ1748" s="23"/>
      <c r="AK1748" s="23"/>
      <c r="AL1748" s="23"/>
      <c r="AM1748" s="16"/>
      <c r="AN1748" s="23"/>
      <c r="AO1748" s="23"/>
      <c r="AP1748" s="23"/>
      <c r="AQ1748" s="16"/>
      <c r="AR1748" s="23"/>
      <c r="AS1748" s="23"/>
      <c r="AT1748" s="23"/>
      <c r="AU1748" s="16"/>
      <c r="AV1748" s="23"/>
      <c r="AW1748" s="23"/>
      <c r="AX1748" s="23"/>
      <c r="AY1748" s="16"/>
      <c r="AZ1748" s="23"/>
      <c r="BA1748" s="23"/>
      <c r="BB1748" s="23"/>
      <c r="BC1748" s="16"/>
      <c r="BD1748" s="23"/>
      <c r="BE1748" s="23"/>
      <c r="BF1748" s="23"/>
      <c r="BG1748" s="16"/>
      <c r="BH1748" s="23"/>
      <c r="BI1748" s="23"/>
      <c r="BJ1748" s="23"/>
      <c r="BN1748" s="23"/>
      <c r="BO1748" s="23"/>
      <c r="BP1748" s="16"/>
      <c r="BQ1748" s="16"/>
      <c r="BR1748" s="23"/>
      <c r="BS1748" s="16"/>
      <c r="BT1748" s="16"/>
      <c r="BU1748" s="16"/>
      <c r="BV1748" s="16"/>
      <c r="BW1748" s="16"/>
      <c r="BX1748" s="16"/>
      <c r="BY1748" s="16"/>
    </row>
    <row r="1749">
      <c r="A1749" s="16"/>
      <c r="B1749" s="16"/>
      <c r="C1749" s="22"/>
      <c r="D1749" s="16"/>
      <c r="E1749" s="16"/>
      <c r="F1749" s="16"/>
      <c r="G1749" s="16"/>
      <c r="H1749" s="16"/>
      <c r="I1749" s="23"/>
      <c r="J1749" s="23"/>
      <c r="K1749" s="16"/>
      <c r="L1749" s="23"/>
      <c r="M1749" s="23"/>
      <c r="N1749" s="23"/>
      <c r="O1749" s="16"/>
      <c r="P1749" s="23"/>
      <c r="Q1749" s="23"/>
      <c r="R1749" s="23"/>
      <c r="S1749" s="16"/>
      <c r="T1749" s="23"/>
      <c r="U1749" s="23"/>
      <c r="V1749" s="23"/>
      <c r="W1749" s="16"/>
      <c r="X1749" s="23"/>
      <c r="Y1749" s="23"/>
      <c r="Z1749" s="23"/>
      <c r="AA1749" s="16"/>
      <c r="AB1749" s="23"/>
      <c r="AC1749" s="23"/>
      <c r="AD1749" s="23"/>
      <c r="AE1749" s="16"/>
      <c r="AF1749" s="23"/>
      <c r="AG1749" s="23"/>
      <c r="AH1749" s="23"/>
      <c r="AI1749" s="16"/>
      <c r="AJ1749" s="23"/>
      <c r="AK1749" s="23"/>
      <c r="AL1749" s="23"/>
      <c r="AM1749" s="16"/>
      <c r="AN1749" s="23"/>
      <c r="AO1749" s="23"/>
      <c r="AP1749" s="23"/>
      <c r="AQ1749" s="16"/>
      <c r="AR1749" s="23"/>
      <c r="AS1749" s="23"/>
      <c r="AT1749" s="23"/>
      <c r="AU1749" s="16"/>
      <c r="AV1749" s="23"/>
      <c r="AW1749" s="23"/>
      <c r="AX1749" s="23"/>
      <c r="AY1749" s="16"/>
      <c r="AZ1749" s="23"/>
      <c r="BA1749" s="23"/>
      <c r="BB1749" s="23"/>
      <c r="BC1749" s="16"/>
      <c r="BD1749" s="23"/>
      <c r="BE1749" s="23"/>
      <c r="BF1749" s="23"/>
      <c r="BG1749" s="16"/>
      <c r="BH1749" s="23"/>
      <c r="BI1749" s="23"/>
      <c r="BJ1749" s="23"/>
      <c r="BN1749" s="23"/>
      <c r="BO1749" s="23"/>
      <c r="BP1749" s="16"/>
      <c r="BQ1749" s="16"/>
      <c r="BR1749" s="23"/>
      <c r="BS1749" s="16"/>
      <c r="BT1749" s="16"/>
      <c r="BU1749" s="16"/>
      <c r="BV1749" s="16"/>
      <c r="BW1749" s="16"/>
      <c r="BX1749" s="16"/>
      <c r="BY1749" s="16"/>
    </row>
    <row r="1750">
      <c r="A1750" s="16"/>
      <c r="B1750" s="16"/>
      <c r="C1750" s="22"/>
      <c r="D1750" s="16"/>
      <c r="E1750" s="16"/>
      <c r="F1750" s="16"/>
      <c r="G1750" s="16"/>
      <c r="H1750" s="16"/>
      <c r="I1750" s="23"/>
      <c r="J1750" s="23"/>
      <c r="K1750" s="16"/>
      <c r="L1750" s="23"/>
      <c r="M1750" s="23"/>
      <c r="N1750" s="23"/>
      <c r="O1750" s="16"/>
      <c r="P1750" s="23"/>
      <c r="Q1750" s="23"/>
      <c r="R1750" s="23"/>
      <c r="S1750" s="16"/>
      <c r="T1750" s="23"/>
      <c r="U1750" s="23"/>
      <c r="V1750" s="23"/>
      <c r="W1750" s="16"/>
      <c r="X1750" s="23"/>
      <c r="Y1750" s="23"/>
      <c r="Z1750" s="23"/>
      <c r="AA1750" s="16"/>
      <c r="AB1750" s="23"/>
      <c r="AC1750" s="23"/>
      <c r="AD1750" s="23"/>
      <c r="AE1750" s="16"/>
      <c r="AF1750" s="23"/>
      <c r="AG1750" s="23"/>
      <c r="AH1750" s="23"/>
      <c r="AI1750" s="16"/>
      <c r="AJ1750" s="23"/>
      <c r="AK1750" s="23"/>
      <c r="AL1750" s="23"/>
      <c r="AM1750" s="16"/>
      <c r="AN1750" s="23"/>
      <c r="AO1750" s="23"/>
      <c r="AP1750" s="23"/>
      <c r="AQ1750" s="16"/>
      <c r="AR1750" s="23"/>
      <c r="AS1750" s="23"/>
      <c r="AT1750" s="23"/>
      <c r="AU1750" s="16"/>
      <c r="AV1750" s="23"/>
      <c r="AW1750" s="23"/>
      <c r="AX1750" s="23"/>
      <c r="AY1750" s="16"/>
      <c r="AZ1750" s="23"/>
      <c r="BA1750" s="23"/>
      <c r="BB1750" s="23"/>
      <c r="BC1750" s="16"/>
      <c r="BD1750" s="23"/>
      <c r="BE1750" s="23"/>
      <c r="BF1750" s="23"/>
      <c r="BG1750" s="16"/>
      <c r="BH1750" s="23"/>
      <c r="BI1750" s="23"/>
      <c r="BJ1750" s="23"/>
      <c r="BN1750" s="23"/>
      <c r="BO1750" s="23"/>
      <c r="BP1750" s="16"/>
      <c r="BQ1750" s="16"/>
      <c r="BR1750" s="23"/>
      <c r="BS1750" s="16"/>
      <c r="BT1750" s="16"/>
      <c r="BU1750" s="16"/>
      <c r="BV1750" s="16"/>
      <c r="BW1750" s="16"/>
      <c r="BX1750" s="16"/>
      <c r="BY1750" s="16"/>
    </row>
    <row r="1751">
      <c r="A1751" s="16"/>
      <c r="B1751" s="16"/>
      <c r="C1751" s="22"/>
      <c r="D1751" s="16"/>
      <c r="E1751" s="16"/>
      <c r="F1751" s="16"/>
      <c r="G1751" s="16"/>
      <c r="H1751" s="16"/>
      <c r="I1751" s="23"/>
      <c r="J1751" s="23"/>
      <c r="K1751" s="16"/>
      <c r="L1751" s="23"/>
      <c r="M1751" s="23"/>
      <c r="N1751" s="23"/>
      <c r="O1751" s="16"/>
      <c r="P1751" s="23"/>
      <c r="Q1751" s="23"/>
      <c r="R1751" s="23"/>
      <c r="S1751" s="16"/>
      <c r="T1751" s="23"/>
      <c r="U1751" s="23"/>
      <c r="V1751" s="23"/>
      <c r="W1751" s="16"/>
      <c r="X1751" s="23"/>
      <c r="Y1751" s="23"/>
      <c r="Z1751" s="23"/>
      <c r="AA1751" s="16"/>
      <c r="AB1751" s="23"/>
      <c r="AC1751" s="23"/>
      <c r="AD1751" s="23"/>
      <c r="AE1751" s="16"/>
      <c r="AF1751" s="23"/>
      <c r="AG1751" s="23"/>
      <c r="AH1751" s="23"/>
      <c r="AI1751" s="16"/>
      <c r="AJ1751" s="23"/>
      <c r="AK1751" s="23"/>
      <c r="AL1751" s="23"/>
      <c r="AM1751" s="16"/>
      <c r="AN1751" s="23"/>
      <c r="AO1751" s="23"/>
      <c r="AP1751" s="23"/>
      <c r="AQ1751" s="16"/>
      <c r="AR1751" s="23"/>
      <c r="AS1751" s="23"/>
      <c r="AT1751" s="23"/>
      <c r="AU1751" s="16"/>
      <c r="AV1751" s="23"/>
      <c r="AW1751" s="23"/>
      <c r="AX1751" s="23"/>
      <c r="AY1751" s="16"/>
      <c r="AZ1751" s="23"/>
      <c r="BA1751" s="23"/>
      <c r="BB1751" s="23"/>
      <c r="BC1751" s="16"/>
      <c r="BD1751" s="23"/>
      <c r="BE1751" s="23"/>
      <c r="BF1751" s="23"/>
      <c r="BG1751" s="16"/>
      <c r="BH1751" s="23"/>
      <c r="BI1751" s="23"/>
      <c r="BJ1751" s="23"/>
      <c r="BN1751" s="23"/>
      <c r="BO1751" s="23"/>
      <c r="BP1751" s="16"/>
      <c r="BQ1751" s="16"/>
      <c r="BR1751" s="23"/>
      <c r="BS1751" s="16"/>
      <c r="BT1751" s="16"/>
      <c r="BU1751" s="16"/>
      <c r="BV1751" s="16"/>
      <c r="BW1751" s="16"/>
      <c r="BX1751" s="16"/>
      <c r="BY1751" s="16"/>
    </row>
    <row r="1752">
      <c r="A1752" s="16"/>
      <c r="B1752" s="16"/>
      <c r="C1752" s="22"/>
      <c r="D1752" s="16"/>
      <c r="E1752" s="16"/>
      <c r="F1752" s="16"/>
      <c r="G1752" s="16"/>
      <c r="H1752" s="16"/>
      <c r="I1752" s="23"/>
      <c r="J1752" s="23"/>
      <c r="K1752" s="16"/>
      <c r="L1752" s="23"/>
      <c r="M1752" s="23"/>
      <c r="N1752" s="23"/>
      <c r="O1752" s="16"/>
      <c r="P1752" s="23"/>
      <c r="Q1752" s="23"/>
      <c r="R1752" s="23"/>
      <c r="S1752" s="16"/>
      <c r="T1752" s="23"/>
      <c r="U1752" s="23"/>
      <c r="V1752" s="23"/>
      <c r="W1752" s="16"/>
      <c r="X1752" s="23"/>
      <c r="Y1752" s="23"/>
      <c r="Z1752" s="23"/>
      <c r="AA1752" s="16"/>
      <c r="AB1752" s="23"/>
      <c r="AC1752" s="23"/>
      <c r="AD1752" s="23"/>
      <c r="AE1752" s="16"/>
      <c r="AF1752" s="23"/>
      <c r="AG1752" s="23"/>
      <c r="AH1752" s="23"/>
      <c r="AI1752" s="16"/>
      <c r="AJ1752" s="23"/>
      <c r="AK1752" s="23"/>
      <c r="AL1752" s="23"/>
      <c r="AM1752" s="16"/>
      <c r="AN1752" s="23"/>
      <c r="AO1752" s="23"/>
      <c r="AP1752" s="23"/>
      <c r="AQ1752" s="16"/>
      <c r="AR1752" s="23"/>
      <c r="AS1752" s="23"/>
      <c r="AT1752" s="23"/>
      <c r="AU1752" s="16"/>
      <c r="AV1752" s="23"/>
      <c r="AW1752" s="23"/>
      <c r="AX1752" s="23"/>
      <c r="AY1752" s="16"/>
      <c r="AZ1752" s="23"/>
      <c r="BA1752" s="23"/>
      <c r="BB1752" s="23"/>
      <c r="BC1752" s="16"/>
      <c r="BD1752" s="23"/>
      <c r="BE1752" s="23"/>
      <c r="BF1752" s="23"/>
      <c r="BG1752" s="16"/>
      <c r="BH1752" s="23"/>
      <c r="BI1752" s="23"/>
      <c r="BJ1752" s="23"/>
      <c r="BN1752" s="23"/>
      <c r="BO1752" s="23"/>
      <c r="BP1752" s="16"/>
      <c r="BQ1752" s="16"/>
      <c r="BR1752" s="23"/>
      <c r="BS1752" s="16"/>
      <c r="BT1752" s="16"/>
      <c r="BU1752" s="16"/>
      <c r="BV1752" s="16"/>
      <c r="BW1752" s="16"/>
      <c r="BX1752" s="16"/>
      <c r="BY1752" s="16"/>
    </row>
    <row r="1753">
      <c r="A1753" s="16"/>
      <c r="B1753" s="16"/>
      <c r="C1753" s="22"/>
      <c r="D1753" s="16"/>
      <c r="E1753" s="16"/>
      <c r="F1753" s="16"/>
      <c r="G1753" s="16"/>
      <c r="H1753" s="16"/>
      <c r="I1753" s="23"/>
      <c r="J1753" s="23"/>
      <c r="K1753" s="16"/>
      <c r="L1753" s="23"/>
      <c r="M1753" s="23"/>
      <c r="N1753" s="23"/>
      <c r="O1753" s="16"/>
      <c r="P1753" s="23"/>
      <c r="Q1753" s="23"/>
      <c r="R1753" s="23"/>
      <c r="S1753" s="16"/>
      <c r="T1753" s="23"/>
      <c r="U1753" s="23"/>
      <c r="V1753" s="23"/>
      <c r="W1753" s="16"/>
      <c r="X1753" s="23"/>
      <c r="Y1753" s="23"/>
      <c r="Z1753" s="23"/>
      <c r="AA1753" s="16"/>
      <c r="AB1753" s="23"/>
      <c r="AC1753" s="23"/>
      <c r="AD1753" s="23"/>
      <c r="AE1753" s="16"/>
      <c r="AF1753" s="23"/>
      <c r="AG1753" s="23"/>
      <c r="AH1753" s="23"/>
      <c r="AI1753" s="16"/>
      <c r="AJ1753" s="23"/>
      <c r="AK1753" s="23"/>
      <c r="AL1753" s="23"/>
      <c r="AM1753" s="16"/>
      <c r="AN1753" s="23"/>
      <c r="AO1753" s="23"/>
      <c r="AP1753" s="23"/>
      <c r="AQ1753" s="16"/>
      <c r="AR1753" s="23"/>
      <c r="AS1753" s="23"/>
      <c r="AT1753" s="23"/>
      <c r="AU1753" s="16"/>
      <c r="AV1753" s="23"/>
      <c r="AW1753" s="23"/>
      <c r="AX1753" s="23"/>
      <c r="AY1753" s="16"/>
      <c r="AZ1753" s="23"/>
      <c r="BA1753" s="23"/>
      <c r="BB1753" s="23"/>
      <c r="BC1753" s="16"/>
      <c r="BD1753" s="23"/>
      <c r="BE1753" s="23"/>
      <c r="BF1753" s="23"/>
      <c r="BG1753" s="16"/>
      <c r="BH1753" s="23"/>
      <c r="BI1753" s="23"/>
      <c r="BJ1753" s="23"/>
      <c r="BN1753" s="23"/>
      <c r="BO1753" s="23"/>
      <c r="BP1753" s="16"/>
      <c r="BQ1753" s="16"/>
      <c r="BR1753" s="23"/>
      <c r="BS1753" s="16"/>
      <c r="BT1753" s="16"/>
      <c r="BU1753" s="16"/>
      <c r="BV1753" s="16"/>
      <c r="BW1753" s="16"/>
      <c r="BX1753" s="16"/>
      <c r="BY1753" s="16"/>
    </row>
    <row r="1754">
      <c r="A1754" s="16"/>
      <c r="B1754" s="16"/>
      <c r="C1754" s="22"/>
      <c r="D1754" s="16"/>
      <c r="E1754" s="16"/>
      <c r="F1754" s="16"/>
      <c r="G1754" s="16"/>
      <c r="H1754" s="16"/>
      <c r="I1754" s="23"/>
      <c r="J1754" s="23"/>
      <c r="K1754" s="16"/>
      <c r="L1754" s="23"/>
      <c r="M1754" s="23"/>
      <c r="N1754" s="23"/>
      <c r="O1754" s="16"/>
      <c r="P1754" s="23"/>
      <c r="Q1754" s="23"/>
      <c r="R1754" s="23"/>
      <c r="S1754" s="16"/>
      <c r="T1754" s="23"/>
      <c r="U1754" s="23"/>
      <c r="V1754" s="23"/>
      <c r="W1754" s="16"/>
      <c r="X1754" s="23"/>
      <c r="Y1754" s="23"/>
      <c r="Z1754" s="23"/>
      <c r="AA1754" s="16"/>
      <c r="AB1754" s="23"/>
      <c r="AC1754" s="23"/>
      <c r="AD1754" s="23"/>
      <c r="AE1754" s="16"/>
      <c r="AF1754" s="23"/>
      <c r="AG1754" s="23"/>
      <c r="AH1754" s="23"/>
      <c r="AI1754" s="16"/>
      <c r="AJ1754" s="23"/>
      <c r="AK1754" s="23"/>
      <c r="AL1754" s="23"/>
      <c r="AM1754" s="16"/>
      <c r="AN1754" s="23"/>
      <c r="AO1754" s="23"/>
      <c r="AP1754" s="23"/>
      <c r="AQ1754" s="16"/>
      <c r="AR1754" s="23"/>
      <c r="AS1754" s="23"/>
      <c r="AT1754" s="23"/>
      <c r="AU1754" s="16"/>
      <c r="AV1754" s="23"/>
      <c r="AW1754" s="23"/>
      <c r="AX1754" s="23"/>
      <c r="AY1754" s="16"/>
      <c r="AZ1754" s="23"/>
      <c r="BA1754" s="23"/>
      <c r="BB1754" s="23"/>
      <c r="BC1754" s="16"/>
      <c r="BD1754" s="23"/>
      <c r="BE1754" s="23"/>
      <c r="BF1754" s="23"/>
      <c r="BG1754" s="16"/>
      <c r="BH1754" s="23"/>
      <c r="BI1754" s="23"/>
      <c r="BJ1754" s="23"/>
      <c r="BN1754" s="23"/>
      <c r="BO1754" s="23"/>
      <c r="BP1754" s="16"/>
      <c r="BQ1754" s="16"/>
      <c r="BR1754" s="23"/>
      <c r="BS1754" s="16"/>
      <c r="BT1754" s="16"/>
      <c r="BU1754" s="16"/>
      <c r="BV1754" s="16"/>
      <c r="BW1754" s="16"/>
      <c r="BX1754" s="16"/>
      <c r="BY1754" s="16"/>
    </row>
    <row r="1755">
      <c r="A1755" s="16"/>
      <c r="B1755" s="16"/>
      <c r="C1755" s="22"/>
      <c r="D1755" s="16"/>
      <c r="E1755" s="16"/>
      <c r="F1755" s="16"/>
      <c r="G1755" s="16"/>
      <c r="H1755" s="16"/>
      <c r="I1755" s="23"/>
      <c r="J1755" s="23"/>
      <c r="K1755" s="16"/>
      <c r="L1755" s="23"/>
      <c r="M1755" s="23"/>
      <c r="N1755" s="23"/>
      <c r="O1755" s="16"/>
      <c r="P1755" s="23"/>
      <c r="Q1755" s="23"/>
      <c r="R1755" s="23"/>
      <c r="S1755" s="16"/>
      <c r="T1755" s="23"/>
      <c r="U1755" s="23"/>
      <c r="V1755" s="23"/>
      <c r="W1755" s="16"/>
      <c r="X1755" s="23"/>
      <c r="Y1755" s="23"/>
      <c r="Z1755" s="23"/>
      <c r="AA1755" s="16"/>
      <c r="AB1755" s="23"/>
      <c r="AC1755" s="23"/>
      <c r="AD1755" s="23"/>
      <c r="AE1755" s="16"/>
      <c r="AF1755" s="23"/>
      <c r="AG1755" s="23"/>
      <c r="AH1755" s="23"/>
      <c r="AI1755" s="16"/>
      <c r="AJ1755" s="23"/>
      <c r="AK1755" s="23"/>
      <c r="AL1755" s="23"/>
      <c r="AM1755" s="16"/>
      <c r="AN1755" s="23"/>
      <c r="AO1755" s="23"/>
      <c r="AP1755" s="23"/>
      <c r="AQ1755" s="16"/>
      <c r="AR1755" s="23"/>
      <c r="AS1755" s="23"/>
      <c r="AT1755" s="23"/>
      <c r="AU1755" s="16"/>
      <c r="AV1755" s="23"/>
      <c r="AW1755" s="23"/>
      <c r="AX1755" s="23"/>
      <c r="AY1755" s="16"/>
      <c r="AZ1755" s="23"/>
      <c r="BA1755" s="23"/>
      <c r="BB1755" s="23"/>
      <c r="BC1755" s="16"/>
      <c r="BD1755" s="23"/>
      <c r="BE1755" s="23"/>
      <c r="BF1755" s="23"/>
      <c r="BG1755" s="16"/>
      <c r="BH1755" s="23"/>
      <c r="BI1755" s="23"/>
      <c r="BJ1755" s="23"/>
      <c r="BN1755" s="23"/>
      <c r="BO1755" s="23"/>
      <c r="BP1755" s="16"/>
      <c r="BQ1755" s="16"/>
      <c r="BR1755" s="23"/>
      <c r="BS1755" s="16"/>
      <c r="BT1755" s="16"/>
      <c r="BU1755" s="16"/>
      <c r="BV1755" s="16"/>
      <c r="BW1755" s="16"/>
      <c r="BX1755" s="16"/>
      <c r="BY1755" s="16"/>
    </row>
    <row r="1756">
      <c r="A1756" s="16"/>
      <c r="B1756" s="16"/>
      <c r="C1756" s="22"/>
      <c r="D1756" s="16"/>
      <c r="E1756" s="16"/>
      <c r="F1756" s="16"/>
      <c r="G1756" s="16"/>
      <c r="H1756" s="16"/>
      <c r="I1756" s="23"/>
      <c r="J1756" s="23"/>
      <c r="K1756" s="16"/>
      <c r="L1756" s="23"/>
      <c r="M1756" s="23"/>
      <c r="N1756" s="23"/>
      <c r="O1756" s="16"/>
      <c r="P1756" s="23"/>
      <c r="Q1756" s="23"/>
      <c r="R1756" s="23"/>
      <c r="S1756" s="16"/>
      <c r="T1756" s="23"/>
      <c r="U1756" s="23"/>
      <c r="V1756" s="23"/>
      <c r="W1756" s="16"/>
      <c r="X1756" s="23"/>
      <c r="Y1756" s="23"/>
      <c r="Z1756" s="23"/>
      <c r="AA1756" s="16"/>
      <c r="AB1756" s="23"/>
      <c r="AC1756" s="23"/>
      <c r="AD1756" s="23"/>
      <c r="AE1756" s="16"/>
      <c r="AF1756" s="23"/>
      <c r="AG1756" s="23"/>
      <c r="AH1756" s="23"/>
      <c r="AI1756" s="16"/>
      <c r="AJ1756" s="23"/>
      <c r="AK1756" s="23"/>
      <c r="AL1756" s="23"/>
      <c r="AM1756" s="16"/>
      <c r="AN1756" s="23"/>
      <c r="AO1756" s="23"/>
      <c r="AP1756" s="23"/>
      <c r="AQ1756" s="16"/>
      <c r="AR1756" s="23"/>
      <c r="AS1756" s="23"/>
      <c r="AT1756" s="23"/>
      <c r="AU1756" s="16"/>
      <c r="AV1756" s="23"/>
      <c r="AW1756" s="23"/>
      <c r="AX1756" s="23"/>
      <c r="AY1756" s="16"/>
      <c r="AZ1756" s="23"/>
      <c r="BA1756" s="23"/>
      <c r="BB1756" s="23"/>
      <c r="BC1756" s="16"/>
      <c r="BD1756" s="23"/>
      <c r="BE1756" s="23"/>
      <c r="BF1756" s="23"/>
      <c r="BG1756" s="16"/>
      <c r="BH1756" s="23"/>
      <c r="BI1756" s="23"/>
      <c r="BJ1756" s="23"/>
      <c r="BN1756" s="23"/>
      <c r="BO1756" s="23"/>
      <c r="BP1756" s="16"/>
      <c r="BQ1756" s="16"/>
      <c r="BR1756" s="23"/>
      <c r="BS1756" s="16"/>
      <c r="BT1756" s="16"/>
      <c r="BU1756" s="16"/>
      <c r="BV1756" s="16"/>
      <c r="BW1756" s="16"/>
      <c r="BX1756" s="16"/>
      <c r="BY1756" s="16"/>
    </row>
    <row r="1757">
      <c r="A1757" s="16"/>
      <c r="B1757" s="16"/>
      <c r="C1757" s="22"/>
      <c r="D1757" s="16"/>
      <c r="E1757" s="16"/>
      <c r="F1757" s="16"/>
      <c r="G1757" s="16"/>
      <c r="H1757" s="16"/>
      <c r="I1757" s="23"/>
      <c r="J1757" s="23"/>
      <c r="K1757" s="16"/>
      <c r="L1757" s="23"/>
      <c r="M1757" s="23"/>
      <c r="N1757" s="23"/>
      <c r="O1757" s="16"/>
      <c r="P1757" s="23"/>
      <c r="Q1757" s="23"/>
      <c r="R1757" s="23"/>
      <c r="S1757" s="16"/>
      <c r="T1757" s="23"/>
      <c r="U1757" s="23"/>
      <c r="V1757" s="23"/>
      <c r="W1757" s="16"/>
      <c r="X1757" s="23"/>
      <c r="Y1757" s="23"/>
      <c r="Z1757" s="23"/>
      <c r="AA1757" s="16"/>
      <c r="AB1757" s="23"/>
      <c r="AC1757" s="23"/>
      <c r="AD1757" s="23"/>
      <c r="AE1757" s="16"/>
      <c r="AF1757" s="23"/>
      <c r="AG1757" s="23"/>
      <c r="AH1757" s="23"/>
      <c r="AI1757" s="16"/>
      <c r="AJ1757" s="23"/>
      <c r="AK1757" s="23"/>
      <c r="AL1757" s="23"/>
      <c r="AM1757" s="16"/>
      <c r="AN1757" s="23"/>
      <c r="AO1757" s="23"/>
      <c r="AP1757" s="23"/>
      <c r="AQ1757" s="16"/>
      <c r="AR1757" s="23"/>
      <c r="AS1757" s="23"/>
      <c r="AT1757" s="23"/>
      <c r="AU1757" s="16"/>
      <c r="AV1757" s="23"/>
      <c r="AW1757" s="23"/>
      <c r="AX1757" s="23"/>
      <c r="AY1757" s="16"/>
      <c r="AZ1757" s="23"/>
      <c r="BA1757" s="23"/>
      <c r="BB1757" s="23"/>
      <c r="BC1757" s="16"/>
      <c r="BD1757" s="23"/>
      <c r="BE1757" s="23"/>
      <c r="BF1757" s="23"/>
      <c r="BG1757" s="16"/>
      <c r="BH1757" s="23"/>
      <c r="BI1757" s="23"/>
      <c r="BJ1757" s="23"/>
      <c r="BN1757" s="23"/>
      <c r="BO1757" s="23"/>
      <c r="BP1757" s="16"/>
      <c r="BQ1757" s="16"/>
      <c r="BR1757" s="23"/>
      <c r="BS1757" s="16"/>
      <c r="BT1757" s="16"/>
      <c r="BU1757" s="16"/>
      <c r="BV1757" s="16"/>
      <c r="BW1757" s="16"/>
      <c r="BX1757" s="16"/>
      <c r="BY1757" s="16"/>
    </row>
    <row r="1758">
      <c r="A1758" s="16"/>
      <c r="B1758" s="16"/>
      <c r="C1758" s="22"/>
      <c r="D1758" s="16"/>
      <c r="E1758" s="16"/>
      <c r="F1758" s="16"/>
      <c r="G1758" s="16"/>
      <c r="H1758" s="16"/>
      <c r="I1758" s="23"/>
      <c r="J1758" s="23"/>
      <c r="K1758" s="16"/>
      <c r="L1758" s="23"/>
      <c r="M1758" s="23"/>
      <c r="N1758" s="23"/>
      <c r="O1758" s="16"/>
      <c r="P1758" s="23"/>
      <c r="Q1758" s="23"/>
      <c r="R1758" s="23"/>
      <c r="S1758" s="16"/>
      <c r="T1758" s="23"/>
      <c r="U1758" s="23"/>
      <c r="V1758" s="23"/>
      <c r="W1758" s="16"/>
      <c r="X1758" s="23"/>
      <c r="Y1758" s="23"/>
      <c r="Z1758" s="23"/>
      <c r="AA1758" s="16"/>
      <c r="AB1758" s="23"/>
      <c r="AC1758" s="23"/>
      <c r="AD1758" s="23"/>
      <c r="AE1758" s="16"/>
      <c r="AF1758" s="23"/>
      <c r="AG1758" s="23"/>
      <c r="AH1758" s="23"/>
      <c r="AI1758" s="16"/>
      <c r="AJ1758" s="23"/>
      <c r="AK1758" s="23"/>
      <c r="AL1758" s="23"/>
      <c r="AM1758" s="16"/>
      <c r="AN1758" s="23"/>
      <c r="AO1758" s="23"/>
      <c r="AP1758" s="23"/>
      <c r="AQ1758" s="16"/>
      <c r="AR1758" s="23"/>
      <c r="AS1758" s="23"/>
      <c r="AT1758" s="23"/>
      <c r="AU1758" s="16"/>
      <c r="AV1758" s="23"/>
      <c r="AW1758" s="23"/>
      <c r="AX1758" s="23"/>
      <c r="AY1758" s="16"/>
      <c r="AZ1758" s="23"/>
      <c r="BA1758" s="23"/>
      <c r="BB1758" s="23"/>
      <c r="BC1758" s="16"/>
      <c r="BD1758" s="23"/>
      <c r="BE1758" s="23"/>
      <c r="BF1758" s="23"/>
      <c r="BG1758" s="16"/>
      <c r="BH1758" s="23"/>
      <c r="BI1758" s="23"/>
      <c r="BJ1758" s="23"/>
      <c r="BN1758" s="23"/>
      <c r="BO1758" s="23"/>
      <c r="BP1758" s="16"/>
      <c r="BQ1758" s="16"/>
      <c r="BR1758" s="23"/>
      <c r="BS1758" s="16"/>
      <c r="BT1758" s="16"/>
      <c r="BU1758" s="16"/>
      <c r="BV1758" s="16"/>
      <c r="BW1758" s="16"/>
      <c r="BX1758" s="16"/>
      <c r="BY1758" s="16"/>
    </row>
    <row r="1759">
      <c r="A1759" s="16"/>
      <c r="B1759" s="16"/>
      <c r="C1759" s="22"/>
      <c r="D1759" s="16"/>
      <c r="E1759" s="16"/>
      <c r="F1759" s="16"/>
      <c r="G1759" s="16"/>
      <c r="H1759" s="16"/>
      <c r="I1759" s="23"/>
      <c r="J1759" s="23"/>
      <c r="K1759" s="16"/>
      <c r="L1759" s="23"/>
      <c r="M1759" s="23"/>
      <c r="N1759" s="23"/>
      <c r="O1759" s="16"/>
      <c r="P1759" s="23"/>
      <c r="Q1759" s="23"/>
      <c r="R1759" s="23"/>
      <c r="S1759" s="16"/>
      <c r="T1759" s="23"/>
      <c r="U1759" s="23"/>
      <c r="V1759" s="23"/>
      <c r="W1759" s="16"/>
      <c r="X1759" s="23"/>
      <c r="Y1759" s="23"/>
      <c r="Z1759" s="23"/>
      <c r="AA1759" s="16"/>
      <c r="AB1759" s="23"/>
      <c r="AC1759" s="23"/>
      <c r="AD1759" s="23"/>
      <c r="AE1759" s="16"/>
      <c r="AF1759" s="23"/>
      <c r="AG1759" s="23"/>
      <c r="AH1759" s="23"/>
      <c r="AI1759" s="16"/>
      <c r="AJ1759" s="23"/>
      <c r="AK1759" s="23"/>
      <c r="AL1759" s="23"/>
      <c r="AM1759" s="16"/>
      <c r="AN1759" s="23"/>
      <c r="AO1759" s="23"/>
      <c r="AP1759" s="23"/>
      <c r="AQ1759" s="16"/>
      <c r="AR1759" s="23"/>
      <c r="AS1759" s="23"/>
      <c r="AT1759" s="23"/>
      <c r="AU1759" s="16"/>
      <c r="AV1759" s="23"/>
      <c r="AW1759" s="23"/>
      <c r="AX1759" s="23"/>
      <c r="AY1759" s="16"/>
      <c r="AZ1759" s="23"/>
      <c r="BA1759" s="23"/>
      <c r="BB1759" s="23"/>
      <c r="BC1759" s="16"/>
      <c r="BD1759" s="23"/>
      <c r="BE1759" s="23"/>
      <c r="BF1759" s="23"/>
      <c r="BG1759" s="16"/>
      <c r="BH1759" s="23"/>
      <c r="BI1759" s="23"/>
      <c r="BJ1759" s="23"/>
      <c r="BN1759" s="23"/>
      <c r="BO1759" s="23"/>
      <c r="BP1759" s="16"/>
      <c r="BQ1759" s="16"/>
      <c r="BR1759" s="23"/>
      <c r="BS1759" s="16"/>
      <c r="BT1759" s="16"/>
      <c r="BU1759" s="16"/>
      <c r="BV1759" s="16"/>
      <c r="BW1759" s="16"/>
      <c r="BX1759" s="16"/>
      <c r="BY1759" s="16"/>
    </row>
    <row r="1760">
      <c r="A1760" s="16"/>
      <c r="B1760" s="16"/>
      <c r="C1760" s="22"/>
      <c r="D1760" s="16"/>
      <c r="E1760" s="16"/>
      <c r="F1760" s="16"/>
      <c r="G1760" s="16"/>
      <c r="H1760" s="16"/>
      <c r="I1760" s="23"/>
      <c r="J1760" s="23"/>
      <c r="K1760" s="16"/>
      <c r="L1760" s="23"/>
      <c r="M1760" s="23"/>
      <c r="N1760" s="23"/>
      <c r="O1760" s="16"/>
      <c r="P1760" s="23"/>
      <c r="Q1760" s="23"/>
      <c r="R1760" s="23"/>
      <c r="S1760" s="16"/>
      <c r="T1760" s="23"/>
      <c r="U1760" s="23"/>
      <c r="V1760" s="23"/>
      <c r="W1760" s="16"/>
      <c r="X1760" s="23"/>
      <c r="Y1760" s="23"/>
      <c r="Z1760" s="23"/>
      <c r="AA1760" s="16"/>
      <c r="AB1760" s="23"/>
      <c r="AC1760" s="23"/>
      <c r="AD1760" s="23"/>
      <c r="AE1760" s="16"/>
      <c r="AF1760" s="23"/>
      <c r="AG1760" s="23"/>
      <c r="AH1760" s="23"/>
      <c r="AI1760" s="16"/>
      <c r="AJ1760" s="23"/>
      <c r="AK1760" s="23"/>
      <c r="AL1760" s="23"/>
      <c r="AM1760" s="16"/>
      <c r="AN1760" s="23"/>
      <c r="AO1760" s="23"/>
      <c r="AP1760" s="23"/>
      <c r="AQ1760" s="16"/>
      <c r="AR1760" s="23"/>
      <c r="AS1760" s="23"/>
      <c r="AT1760" s="23"/>
      <c r="AU1760" s="16"/>
      <c r="AV1760" s="23"/>
      <c r="AW1760" s="23"/>
      <c r="AX1760" s="23"/>
      <c r="AY1760" s="16"/>
      <c r="AZ1760" s="23"/>
      <c r="BA1760" s="23"/>
      <c r="BB1760" s="23"/>
      <c r="BC1760" s="16"/>
      <c r="BD1760" s="23"/>
      <c r="BE1760" s="23"/>
      <c r="BF1760" s="23"/>
      <c r="BG1760" s="16"/>
      <c r="BH1760" s="23"/>
      <c r="BI1760" s="23"/>
      <c r="BJ1760" s="23"/>
      <c r="BN1760" s="23"/>
      <c r="BO1760" s="23"/>
      <c r="BP1760" s="16"/>
      <c r="BQ1760" s="16"/>
      <c r="BR1760" s="23"/>
      <c r="BS1760" s="16"/>
      <c r="BT1760" s="16"/>
      <c r="BU1760" s="16"/>
      <c r="BV1760" s="16"/>
      <c r="BW1760" s="16"/>
      <c r="BX1760" s="16"/>
      <c r="BY1760" s="16"/>
    </row>
    <row r="1761">
      <c r="A1761" s="16"/>
      <c r="B1761" s="16"/>
      <c r="C1761" s="22"/>
      <c r="D1761" s="16"/>
      <c r="E1761" s="16"/>
      <c r="F1761" s="16"/>
      <c r="G1761" s="16"/>
      <c r="H1761" s="16"/>
      <c r="I1761" s="23"/>
      <c r="J1761" s="23"/>
      <c r="K1761" s="16"/>
      <c r="L1761" s="23"/>
      <c r="M1761" s="23"/>
      <c r="N1761" s="23"/>
      <c r="O1761" s="16"/>
      <c r="P1761" s="23"/>
      <c r="Q1761" s="23"/>
      <c r="R1761" s="23"/>
      <c r="S1761" s="16"/>
      <c r="T1761" s="23"/>
      <c r="U1761" s="23"/>
      <c r="V1761" s="23"/>
      <c r="W1761" s="16"/>
      <c r="X1761" s="23"/>
      <c r="Y1761" s="23"/>
      <c r="Z1761" s="23"/>
      <c r="AA1761" s="16"/>
      <c r="AB1761" s="23"/>
      <c r="AC1761" s="23"/>
      <c r="AD1761" s="23"/>
      <c r="AE1761" s="16"/>
      <c r="AF1761" s="23"/>
      <c r="AG1761" s="23"/>
      <c r="AH1761" s="23"/>
      <c r="AI1761" s="16"/>
      <c r="AJ1761" s="23"/>
      <c r="AK1761" s="23"/>
      <c r="AL1761" s="23"/>
      <c r="AM1761" s="16"/>
      <c r="AN1761" s="23"/>
      <c r="AO1761" s="23"/>
      <c r="AP1761" s="23"/>
      <c r="AQ1761" s="16"/>
      <c r="AR1761" s="23"/>
      <c r="AS1761" s="23"/>
      <c r="AT1761" s="23"/>
      <c r="AU1761" s="16"/>
      <c r="AV1761" s="23"/>
      <c r="AW1761" s="23"/>
      <c r="AX1761" s="23"/>
      <c r="AY1761" s="16"/>
      <c r="AZ1761" s="23"/>
      <c r="BA1761" s="23"/>
      <c r="BB1761" s="23"/>
      <c r="BC1761" s="16"/>
      <c r="BD1761" s="23"/>
      <c r="BE1761" s="23"/>
      <c r="BF1761" s="23"/>
      <c r="BG1761" s="16"/>
      <c r="BH1761" s="23"/>
      <c r="BI1761" s="23"/>
      <c r="BJ1761" s="23"/>
      <c r="BN1761" s="23"/>
      <c r="BO1761" s="23"/>
      <c r="BP1761" s="16"/>
      <c r="BQ1761" s="16"/>
      <c r="BR1761" s="23"/>
      <c r="BS1761" s="16"/>
      <c r="BT1761" s="16"/>
      <c r="BU1761" s="16"/>
      <c r="BV1761" s="16"/>
      <c r="BW1761" s="16"/>
      <c r="BX1761" s="16"/>
      <c r="BY1761" s="16"/>
    </row>
    <row r="1762">
      <c r="A1762" s="16"/>
      <c r="B1762" s="16"/>
      <c r="C1762" s="22"/>
      <c r="D1762" s="16"/>
      <c r="E1762" s="16"/>
      <c r="F1762" s="16"/>
      <c r="G1762" s="16"/>
      <c r="H1762" s="16"/>
      <c r="I1762" s="23"/>
      <c r="J1762" s="23"/>
      <c r="K1762" s="16"/>
      <c r="L1762" s="23"/>
      <c r="M1762" s="23"/>
      <c r="N1762" s="23"/>
      <c r="O1762" s="16"/>
      <c r="P1762" s="23"/>
      <c r="Q1762" s="23"/>
      <c r="R1762" s="23"/>
      <c r="S1762" s="16"/>
      <c r="T1762" s="23"/>
      <c r="U1762" s="23"/>
      <c r="V1762" s="23"/>
      <c r="W1762" s="16"/>
      <c r="X1762" s="23"/>
      <c r="Y1762" s="23"/>
      <c r="Z1762" s="23"/>
      <c r="AA1762" s="16"/>
      <c r="AB1762" s="23"/>
      <c r="AC1762" s="23"/>
      <c r="AD1762" s="23"/>
      <c r="AE1762" s="16"/>
      <c r="AF1762" s="23"/>
      <c r="AG1762" s="23"/>
      <c r="AH1762" s="23"/>
      <c r="AI1762" s="16"/>
      <c r="AJ1762" s="23"/>
      <c r="AK1762" s="23"/>
      <c r="AL1762" s="23"/>
      <c r="AM1762" s="16"/>
      <c r="AN1762" s="23"/>
      <c r="AO1762" s="23"/>
      <c r="AP1762" s="23"/>
      <c r="AQ1762" s="16"/>
      <c r="AR1762" s="23"/>
      <c r="AS1762" s="23"/>
      <c r="AT1762" s="23"/>
      <c r="AU1762" s="16"/>
      <c r="AV1762" s="23"/>
      <c r="AW1762" s="23"/>
      <c r="AX1762" s="23"/>
      <c r="AY1762" s="16"/>
      <c r="AZ1762" s="23"/>
      <c r="BA1762" s="23"/>
      <c r="BB1762" s="23"/>
      <c r="BC1762" s="16"/>
      <c r="BD1762" s="23"/>
      <c r="BE1762" s="23"/>
      <c r="BF1762" s="23"/>
      <c r="BG1762" s="16"/>
      <c r="BH1762" s="23"/>
      <c r="BI1762" s="23"/>
      <c r="BJ1762" s="23"/>
      <c r="BN1762" s="23"/>
      <c r="BO1762" s="23"/>
      <c r="BP1762" s="16"/>
      <c r="BQ1762" s="16"/>
      <c r="BR1762" s="23"/>
      <c r="BS1762" s="16"/>
      <c r="BT1762" s="16"/>
      <c r="BU1762" s="16"/>
      <c r="BV1762" s="16"/>
      <c r="BW1762" s="16"/>
      <c r="BX1762" s="16"/>
      <c r="BY1762" s="16"/>
    </row>
    <row r="1763">
      <c r="A1763" s="16"/>
      <c r="B1763" s="16"/>
      <c r="C1763" s="22"/>
      <c r="D1763" s="16"/>
      <c r="E1763" s="16"/>
      <c r="F1763" s="16"/>
      <c r="G1763" s="16"/>
      <c r="H1763" s="16"/>
      <c r="I1763" s="23"/>
      <c r="J1763" s="23"/>
      <c r="K1763" s="16"/>
      <c r="L1763" s="23"/>
      <c r="M1763" s="23"/>
      <c r="N1763" s="23"/>
      <c r="O1763" s="16"/>
      <c r="P1763" s="23"/>
      <c r="Q1763" s="23"/>
      <c r="R1763" s="23"/>
      <c r="S1763" s="16"/>
      <c r="T1763" s="23"/>
      <c r="U1763" s="23"/>
      <c r="V1763" s="23"/>
      <c r="W1763" s="16"/>
      <c r="X1763" s="23"/>
      <c r="Y1763" s="23"/>
      <c r="Z1763" s="23"/>
      <c r="AA1763" s="16"/>
      <c r="AB1763" s="23"/>
      <c r="AC1763" s="23"/>
      <c r="AD1763" s="23"/>
      <c r="AE1763" s="16"/>
      <c r="AF1763" s="23"/>
      <c r="AG1763" s="23"/>
      <c r="AH1763" s="23"/>
      <c r="AI1763" s="16"/>
      <c r="AJ1763" s="23"/>
      <c r="AK1763" s="23"/>
      <c r="AL1763" s="23"/>
      <c r="AM1763" s="16"/>
      <c r="AN1763" s="23"/>
      <c r="AO1763" s="23"/>
      <c r="AP1763" s="23"/>
      <c r="AQ1763" s="16"/>
      <c r="AR1763" s="23"/>
      <c r="AS1763" s="23"/>
      <c r="AT1763" s="23"/>
      <c r="AU1763" s="16"/>
      <c r="AV1763" s="23"/>
      <c r="AW1763" s="23"/>
      <c r="AX1763" s="23"/>
      <c r="AY1763" s="16"/>
      <c r="AZ1763" s="23"/>
      <c r="BA1763" s="23"/>
      <c r="BB1763" s="23"/>
      <c r="BC1763" s="16"/>
      <c r="BD1763" s="23"/>
      <c r="BE1763" s="23"/>
      <c r="BF1763" s="23"/>
      <c r="BG1763" s="16"/>
      <c r="BH1763" s="23"/>
      <c r="BI1763" s="23"/>
      <c r="BJ1763" s="23"/>
      <c r="BN1763" s="23"/>
      <c r="BO1763" s="23"/>
      <c r="BP1763" s="16"/>
      <c r="BQ1763" s="16"/>
      <c r="BR1763" s="23"/>
      <c r="BS1763" s="16"/>
      <c r="BT1763" s="16"/>
      <c r="BU1763" s="16"/>
      <c r="BV1763" s="16"/>
      <c r="BW1763" s="16"/>
      <c r="BX1763" s="16"/>
      <c r="BY1763" s="16"/>
    </row>
    <row r="1764">
      <c r="A1764" s="16"/>
      <c r="B1764" s="16"/>
      <c r="C1764" s="22"/>
      <c r="D1764" s="16"/>
      <c r="E1764" s="16"/>
      <c r="F1764" s="16"/>
      <c r="G1764" s="16"/>
      <c r="H1764" s="16"/>
      <c r="I1764" s="23"/>
      <c r="J1764" s="23"/>
      <c r="K1764" s="16"/>
      <c r="L1764" s="23"/>
      <c r="M1764" s="23"/>
      <c r="N1764" s="23"/>
      <c r="O1764" s="16"/>
      <c r="P1764" s="23"/>
      <c r="Q1764" s="23"/>
      <c r="R1764" s="23"/>
      <c r="S1764" s="16"/>
      <c r="T1764" s="23"/>
      <c r="U1764" s="23"/>
      <c r="V1764" s="23"/>
      <c r="W1764" s="16"/>
      <c r="X1764" s="23"/>
      <c r="Y1764" s="23"/>
      <c r="Z1764" s="23"/>
      <c r="AA1764" s="16"/>
      <c r="AB1764" s="23"/>
      <c r="AC1764" s="23"/>
      <c r="AD1764" s="23"/>
      <c r="AE1764" s="16"/>
      <c r="AF1764" s="23"/>
      <c r="AG1764" s="23"/>
      <c r="AH1764" s="23"/>
      <c r="AI1764" s="16"/>
      <c r="AJ1764" s="23"/>
      <c r="AK1764" s="23"/>
      <c r="AL1764" s="23"/>
      <c r="AM1764" s="16"/>
      <c r="AN1764" s="23"/>
      <c r="AO1764" s="23"/>
      <c r="AP1764" s="23"/>
      <c r="AQ1764" s="16"/>
      <c r="AR1764" s="23"/>
      <c r="AS1764" s="23"/>
      <c r="AT1764" s="23"/>
      <c r="AU1764" s="16"/>
      <c r="AV1764" s="23"/>
      <c r="AW1764" s="23"/>
      <c r="AX1764" s="23"/>
      <c r="AY1764" s="16"/>
      <c r="AZ1764" s="23"/>
      <c r="BA1764" s="23"/>
      <c r="BB1764" s="23"/>
      <c r="BC1764" s="16"/>
      <c r="BD1764" s="23"/>
      <c r="BE1764" s="23"/>
      <c r="BF1764" s="23"/>
      <c r="BG1764" s="16"/>
      <c r="BH1764" s="23"/>
      <c r="BI1764" s="23"/>
      <c r="BJ1764" s="23"/>
      <c r="BN1764" s="23"/>
      <c r="BO1764" s="23"/>
      <c r="BP1764" s="16"/>
      <c r="BQ1764" s="16"/>
      <c r="BR1764" s="23"/>
      <c r="BS1764" s="16"/>
      <c r="BT1764" s="16"/>
      <c r="BU1764" s="16"/>
      <c r="BV1764" s="16"/>
      <c r="BW1764" s="16"/>
      <c r="BX1764" s="16"/>
      <c r="BY1764" s="16"/>
    </row>
    <row r="1765">
      <c r="A1765" s="16"/>
      <c r="B1765" s="16"/>
      <c r="C1765" s="22"/>
      <c r="D1765" s="16"/>
      <c r="E1765" s="16"/>
      <c r="F1765" s="16"/>
      <c r="G1765" s="16"/>
      <c r="H1765" s="16"/>
      <c r="I1765" s="23"/>
      <c r="J1765" s="23"/>
      <c r="K1765" s="16"/>
      <c r="L1765" s="23"/>
      <c r="M1765" s="23"/>
      <c r="N1765" s="23"/>
      <c r="O1765" s="16"/>
      <c r="P1765" s="23"/>
      <c r="Q1765" s="23"/>
      <c r="R1765" s="23"/>
      <c r="S1765" s="16"/>
      <c r="T1765" s="23"/>
      <c r="U1765" s="23"/>
      <c r="V1765" s="23"/>
      <c r="W1765" s="16"/>
      <c r="X1765" s="23"/>
      <c r="Y1765" s="23"/>
      <c r="Z1765" s="23"/>
      <c r="AA1765" s="16"/>
      <c r="AB1765" s="23"/>
      <c r="AC1765" s="23"/>
      <c r="AD1765" s="23"/>
      <c r="AE1765" s="16"/>
      <c r="AF1765" s="23"/>
      <c r="AG1765" s="23"/>
      <c r="AH1765" s="23"/>
      <c r="AI1765" s="16"/>
      <c r="AJ1765" s="23"/>
      <c r="AK1765" s="23"/>
      <c r="AL1765" s="23"/>
      <c r="AM1765" s="16"/>
      <c r="AN1765" s="23"/>
      <c r="AO1765" s="23"/>
      <c r="AP1765" s="23"/>
      <c r="AQ1765" s="16"/>
      <c r="AR1765" s="23"/>
      <c r="AS1765" s="23"/>
      <c r="AT1765" s="23"/>
      <c r="AU1765" s="16"/>
      <c r="AV1765" s="23"/>
      <c r="AW1765" s="23"/>
      <c r="AX1765" s="23"/>
      <c r="AY1765" s="16"/>
      <c r="AZ1765" s="23"/>
      <c r="BA1765" s="23"/>
      <c r="BB1765" s="23"/>
      <c r="BC1765" s="16"/>
      <c r="BD1765" s="23"/>
      <c r="BE1765" s="23"/>
      <c r="BF1765" s="23"/>
      <c r="BG1765" s="16"/>
      <c r="BH1765" s="23"/>
      <c r="BI1765" s="23"/>
      <c r="BJ1765" s="23"/>
      <c r="BN1765" s="23"/>
      <c r="BO1765" s="23"/>
      <c r="BP1765" s="16"/>
      <c r="BQ1765" s="16"/>
      <c r="BR1765" s="23"/>
      <c r="BS1765" s="16"/>
      <c r="BT1765" s="16"/>
      <c r="BU1765" s="16"/>
      <c r="BV1765" s="16"/>
      <c r="BW1765" s="16"/>
      <c r="BX1765" s="16"/>
      <c r="BY1765" s="16"/>
    </row>
    <row r="1766">
      <c r="A1766" s="16"/>
      <c r="B1766" s="16"/>
      <c r="C1766" s="22"/>
      <c r="D1766" s="16"/>
      <c r="E1766" s="16"/>
      <c r="F1766" s="16"/>
      <c r="G1766" s="16"/>
      <c r="H1766" s="16"/>
      <c r="I1766" s="23"/>
      <c r="J1766" s="23"/>
      <c r="K1766" s="16"/>
      <c r="L1766" s="23"/>
      <c r="M1766" s="23"/>
      <c r="N1766" s="23"/>
      <c r="O1766" s="16"/>
      <c r="P1766" s="23"/>
      <c r="Q1766" s="23"/>
      <c r="R1766" s="23"/>
      <c r="S1766" s="16"/>
      <c r="T1766" s="23"/>
      <c r="U1766" s="23"/>
      <c r="V1766" s="23"/>
      <c r="W1766" s="16"/>
      <c r="X1766" s="23"/>
      <c r="Y1766" s="23"/>
      <c r="Z1766" s="23"/>
      <c r="AA1766" s="16"/>
      <c r="AB1766" s="23"/>
      <c r="AC1766" s="23"/>
      <c r="AD1766" s="23"/>
      <c r="AE1766" s="16"/>
      <c r="AF1766" s="23"/>
      <c r="AG1766" s="23"/>
      <c r="AH1766" s="23"/>
      <c r="AI1766" s="16"/>
      <c r="AJ1766" s="23"/>
      <c r="AK1766" s="23"/>
      <c r="AL1766" s="23"/>
      <c r="AM1766" s="16"/>
      <c r="AN1766" s="23"/>
      <c r="AO1766" s="23"/>
      <c r="AP1766" s="23"/>
      <c r="AQ1766" s="16"/>
      <c r="AR1766" s="23"/>
      <c r="AS1766" s="23"/>
      <c r="AT1766" s="23"/>
      <c r="AU1766" s="16"/>
      <c r="AV1766" s="23"/>
      <c r="AW1766" s="23"/>
      <c r="AX1766" s="23"/>
      <c r="AY1766" s="16"/>
      <c r="AZ1766" s="23"/>
      <c r="BA1766" s="23"/>
      <c r="BB1766" s="23"/>
      <c r="BC1766" s="16"/>
      <c r="BD1766" s="23"/>
      <c r="BE1766" s="23"/>
      <c r="BF1766" s="23"/>
      <c r="BG1766" s="16"/>
      <c r="BH1766" s="23"/>
      <c r="BI1766" s="23"/>
      <c r="BJ1766" s="23"/>
      <c r="BN1766" s="23"/>
      <c r="BO1766" s="23"/>
      <c r="BP1766" s="16"/>
      <c r="BQ1766" s="16"/>
      <c r="BR1766" s="23"/>
      <c r="BS1766" s="16"/>
      <c r="BT1766" s="16"/>
      <c r="BU1766" s="16"/>
      <c r="BV1766" s="16"/>
      <c r="BW1766" s="16"/>
      <c r="BX1766" s="16"/>
      <c r="BY1766" s="16"/>
    </row>
    <row r="1767">
      <c r="A1767" s="16"/>
      <c r="B1767" s="16"/>
      <c r="C1767" s="22"/>
      <c r="D1767" s="16"/>
      <c r="E1767" s="16"/>
      <c r="F1767" s="16"/>
      <c r="G1767" s="16"/>
      <c r="H1767" s="16"/>
      <c r="I1767" s="23"/>
      <c r="J1767" s="23"/>
      <c r="K1767" s="16"/>
      <c r="L1767" s="23"/>
      <c r="M1767" s="23"/>
      <c r="N1767" s="23"/>
      <c r="O1767" s="16"/>
      <c r="P1767" s="23"/>
      <c r="Q1767" s="23"/>
      <c r="R1767" s="23"/>
      <c r="S1767" s="16"/>
      <c r="T1767" s="23"/>
      <c r="U1767" s="23"/>
      <c r="V1767" s="23"/>
      <c r="W1767" s="16"/>
      <c r="X1767" s="23"/>
      <c r="Y1767" s="23"/>
      <c r="Z1767" s="23"/>
      <c r="AA1767" s="16"/>
      <c r="AB1767" s="23"/>
      <c r="AC1767" s="23"/>
      <c r="AD1767" s="23"/>
      <c r="AE1767" s="16"/>
      <c r="AF1767" s="23"/>
      <c r="AG1767" s="23"/>
      <c r="AH1767" s="23"/>
      <c r="AI1767" s="16"/>
      <c r="AJ1767" s="23"/>
      <c r="AK1767" s="23"/>
      <c r="AL1767" s="23"/>
      <c r="AM1767" s="16"/>
      <c r="AN1767" s="23"/>
      <c r="AO1767" s="23"/>
      <c r="AP1767" s="23"/>
      <c r="AQ1767" s="16"/>
      <c r="AR1767" s="23"/>
      <c r="AS1767" s="23"/>
      <c r="AT1767" s="23"/>
      <c r="AU1767" s="16"/>
      <c r="AV1767" s="23"/>
      <c r="AW1767" s="23"/>
      <c r="AX1767" s="23"/>
      <c r="AY1767" s="16"/>
      <c r="AZ1767" s="23"/>
      <c r="BA1767" s="23"/>
      <c r="BB1767" s="23"/>
      <c r="BC1767" s="16"/>
      <c r="BD1767" s="23"/>
      <c r="BE1767" s="23"/>
      <c r="BF1767" s="23"/>
      <c r="BG1767" s="16"/>
      <c r="BH1767" s="23"/>
      <c r="BI1767" s="23"/>
      <c r="BJ1767" s="23"/>
      <c r="BN1767" s="23"/>
      <c r="BO1767" s="23"/>
      <c r="BP1767" s="16"/>
      <c r="BQ1767" s="16"/>
      <c r="BR1767" s="23"/>
      <c r="BS1767" s="16"/>
      <c r="BT1767" s="16"/>
      <c r="BU1767" s="16"/>
      <c r="BV1767" s="16"/>
      <c r="BW1767" s="16"/>
      <c r="BX1767" s="16"/>
      <c r="BY1767" s="16"/>
    </row>
    <row r="1768">
      <c r="A1768" s="16"/>
      <c r="B1768" s="16"/>
      <c r="C1768" s="22"/>
      <c r="D1768" s="16"/>
      <c r="E1768" s="16"/>
      <c r="F1768" s="16"/>
      <c r="G1768" s="16"/>
      <c r="H1768" s="16"/>
      <c r="I1768" s="23"/>
      <c r="J1768" s="23"/>
      <c r="K1768" s="16"/>
      <c r="L1768" s="23"/>
      <c r="M1768" s="23"/>
      <c r="N1768" s="23"/>
      <c r="O1768" s="16"/>
      <c r="P1768" s="23"/>
      <c r="Q1768" s="23"/>
      <c r="R1768" s="23"/>
      <c r="S1768" s="16"/>
      <c r="T1768" s="23"/>
      <c r="U1768" s="23"/>
      <c r="V1768" s="23"/>
      <c r="W1768" s="16"/>
      <c r="X1768" s="23"/>
      <c r="Y1768" s="23"/>
      <c r="Z1768" s="23"/>
      <c r="AA1768" s="16"/>
      <c r="AB1768" s="23"/>
      <c r="AC1768" s="23"/>
      <c r="AD1768" s="23"/>
      <c r="AE1768" s="16"/>
      <c r="AF1768" s="23"/>
      <c r="AG1768" s="23"/>
      <c r="AH1768" s="23"/>
      <c r="AI1768" s="16"/>
      <c r="AJ1768" s="23"/>
      <c r="AK1768" s="23"/>
      <c r="AL1768" s="23"/>
      <c r="AM1768" s="16"/>
      <c r="AN1768" s="23"/>
      <c r="AO1768" s="23"/>
      <c r="AP1768" s="23"/>
      <c r="AQ1768" s="16"/>
      <c r="AR1768" s="23"/>
      <c r="AS1768" s="23"/>
      <c r="AT1768" s="23"/>
      <c r="AU1768" s="16"/>
      <c r="AV1768" s="23"/>
      <c r="AW1768" s="23"/>
      <c r="AX1768" s="23"/>
      <c r="AY1768" s="16"/>
      <c r="AZ1768" s="23"/>
      <c r="BA1768" s="23"/>
      <c r="BB1768" s="23"/>
      <c r="BC1768" s="16"/>
      <c r="BD1768" s="23"/>
      <c r="BE1768" s="23"/>
      <c r="BF1768" s="23"/>
      <c r="BG1768" s="16"/>
      <c r="BH1768" s="23"/>
      <c r="BI1768" s="23"/>
      <c r="BJ1768" s="23"/>
      <c r="BN1768" s="23"/>
      <c r="BO1768" s="23"/>
      <c r="BP1768" s="16"/>
      <c r="BQ1768" s="16"/>
      <c r="BR1768" s="23"/>
      <c r="BS1768" s="16"/>
      <c r="BT1768" s="16"/>
      <c r="BU1768" s="16"/>
      <c r="BV1768" s="16"/>
      <c r="BW1768" s="16"/>
      <c r="BX1768" s="16"/>
      <c r="BY1768" s="16"/>
    </row>
    <row r="1769">
      <c r="A1769" s="16"/>
      <c r="B1769" s="16"/>
      <c r="C1769" s="22"/>
      <c r="D1769" s="16"/>
      <c r="E1769" s="16"/>
      <c r="F1769" s="16"/>
      <c r="G1769" s="16"/>
      <c r="H1769" s="16"/>
      <c r="I1769" s="23"/>
      <c r="J1769" s="23"/>
      <c r="K1769" s="16"/>
      <c r="L1769" s="23"/>
      <c r="M1769" s="23"/>
      <c r="N1769" s="23"/>
      <c r="O1769" s="16"/>
      <c r="P1769" s="23"/>
      <c r="Q1769" s="23"/>
      <c r="R1769" s="23"/>
      <c r="S1769" s="16"/>
      <c r="T1769" s="23"/>
      <c r="U1769" s="23"/>
      <c r="V1769" s="23"/>
      <c r="W1769" s="16"/>
      <c r="X1769" s="23"/>
      <c r="Y1769" s="23"/>
      <c r="Z1769" s="23"/>
      <c r="AA1769" s="16"/>
      <c r="AB1769" s="23"/>
      <c r="AC1769" s="23"/>
      <c r="AD1769" s="23"/>
      <c r="AE1769" s="16"/>
      <c r="AF1769" s="23"/>
      <c r="AG1769" s="23"/>
      <c r="AH1769" s="23"/>
      <c r="AI1769" s="16"/>
      <c r="AJ1769" s="23"/>
      <c r="AK1769" s="23"/>
      <c r="AL1769" s="23"/>
      <c r="AM1769" s="16"/>
      <c r="AN1769" s="23"/>
      <c r="AO1769" s="23"/>
      <c r="AP1769" s="23"/>
      <c r="AQ1769" s="16"/>
      <c r="AR1769" s="23"/>
      <c r="AS1769" s="23"/>
      <c r="AT1769" s="23"/>
      <c r="AU1769" s="16"/>
      <c r="AV1769" s="23"/>
      <c r="AW1769" s="23"/>
      <c r="AX1769" s="23"/>
      <c r="AY1769" s="16"/>
      <c r="AZ1769" s="23"/>
      <c r="BA1769" s="23"/>
      <c r="BB1769" s="23"/>
      <c r="BC1769" s="16"/>
      <c r="BD1769" s="23"/>
      <c r="BE1769" s="23"/>
      <c r="BF1769" s="23"/>
      <c r="BG1769" s="16"/>
      <c r="BH1769" s="23"/>
      <c r="BI1769" s="23"/>
      <c r="BJ1769" s="23"/>
      <c r="BN1769" s="23"/>
      <c r="BO1769" s="23"/>
      <c r="BP1769" s="16"/>
      <c r="BQ1769" s="16"/>
      <c r="BR1769" s="23"/>
      <c r="BS1769" s="16"/>
      <c r="BT1769" s="16"/>
      <c r="BU1769" s="16"/>
      <c r="BV1769" s="16"/>
      <c r="BW1769" s="16"/>
      <c r="BX1769" s="16"/>
      <c r="BY1769" s="16"/>
    </row>
    <row r="1770">
      <c r="A1770" s="16"/>
      <c r="B1770" s="16"/>
      <c r="C1770" s="22"/>
      <c r="D1770" s="16"/>
      <c r="E1770" s="16"/>
      <c r="F1770" s="16"/>
      <c r="G1770" s="16"/>
      <c r="H1770" s="16"/>
      <c r="I1770" s="23"/>
      <c r="J1770" s="23"/>
      <c r="K1770" s="16"/>
      <c r="L1770" s="23"/>
      <c r="M1770" s="23"/>
      <c r="N1770" s="23"/>
      <c r="O1770" s="16"/>
      <c r="P1770" s="23"/>
      <c r="Q1770" s="23"/>
      <c r="R1770" s="23"/>
      <c r="S1770" s="16"/>
      <c r="T1770" s="23"/>
      <c r="U1770" s="23"/>
      <c r="V1770" s="23"/>
      <c r="W1770" s="16"/>
      <c r="X1770" s="23"/>
      <c r="Y1770" s="23"/>
      <c r="Z1770" s="23"/>
      <c r="AA1770" s="16"/>
      <c r="AB1770" s="23"/>
      <c r="AC1770" s="23"/>
      <c r="AD1770" s="23"/>
      <c r="AE1770" s="16"/>
      <c r="AF1770" s="23"/>
      <c r="AG1770" s="23"/>
      <c r="AH1770" s="23"/>
      <c r="AI1770" s="16"/>
      <c r="AJ1770" s="23"/>
      <c r="AK1770" s="23"/>
      <c r="AL1770" s="23"/>
      <c r="AM1770" s="16"/>
      <c r="AN1770" s="23"/>
      <c r="AO1770" s="23"/>
      <c r="AP1770" s="23"/>
      <c r="AQ1770" s="16"/>
      <c r="AR1770" s="23"/>
      <c r="AS1770" s="23"/>
      <c r="AT1770" s="23"/>
      <c r="AU1770" s="16"/>
      <c r="AV1770" s="23"/>
      <c r="AW1770" s="23"/>
      <c r="AX1770" s="23"/>
      <c r="AY1770" s="16"/>
      <c r="AZ1770" s="23"/>
      <c r="BA1770" s="23"/>
      <c r="BB1770" s="23"/>
      <c r="BC1770" s="16"/>
      <c r="BD1770" s="23"/>
      <c r="BE1770" s="23"/>
      <c r="BF1770" s="23"/>
      <c r="BG1770" s="16"/>
      <c r="BH1770" s="23"/>
      <c r="BI1770" s="23"/>
      <c r="BJ1770" s="23"/>
      <c r="BN1770" s="23"/>
      <c r="BO1770" s="23"/>
      <c r="BP1770" s="16"/>
      <c r="BQ1770" s="16"/>
      <c r="BR1770" s="23"/>
      <c r="BS1770" s="16"/>
      <c r="BT1770" s="16"/>
      <c r="BU1770" s="16"/>
      <c r="BV1770" s="16"/>
      <c r="BW1770" s="16"/>
      <c r="BX1770" s="16"/>
      <c r="BY1770" s="16"/>
    </row>
    <row r="1771">
      <c r="A1771" s="16"/>
      <c r="B1771" s="16"/>
      <c r="C1771" s="22"/>
      <c r="D1771" s="16"/>
      <c r="E1771" s="16"/>
      <c r="F1771" s="16"/>
      <c r="G1771" s="16"/>
      <c r="H1771" s="16"/>
      <c r="I1771" s="23"/>
      <c r="J1771" s="23"/>
      <c r="K1771" s="16"/>
      <c r="L1771" s="23"/>
      <c r="M1771" s="23"/>
      <c r="N1771" s="23"/>
      <c r="O1771" s="16"/>
      <c r="P1771" s="23"/>
      <c r="Q1771" s="23"/>
      <c r="R1771" s="23"/>
      <c r="S1771" s="16"/>
      <c r="T1771" s="23"/>
      <c r="U1771" s="23"/>
      <c r="V1771" s="23"/>
      <c r="W1771" s="16"/>
      <c r="X1771" s="23"/>
      <c r="Y1771" s="23"/>
      <c r="Z1771" s="23"/>
      <c r="AA1771" s="16"/>
      <c r="AB1771" s="23"/>
      <c r="AC1771" s="23"/>
      <c r="AD1771" s="23"/>
      <c r="AE1771" s="16"/>
      <c r="AF1771" s="23"/>
      <c r="AG1771" s="23"/>
      <c r="AH1771" s="23"/>
      <c r="AI1771" s="16"/>
      <c r="AJ1771" s="23"/>
      <c r="AK1771" s="23"/>
      <c r="AL1771" s="23"/>
      <c r="AM1771" s="16"/>
      <c r="AN1771" s="23"/>
      <c r="AO1771" s="23"/>
      <c r="AP1771" s="23"/>
      <c r="AQ1771" s="16"/>
      <c r="AR1771" s="23"/>
      <c r="AS1771" s="23"/>
      <c r="AT1771" s="23"/>
      <c r="AU1771" s="16"/>
      <c r="AV1771" s="23"/>
      <c r="AW1771" s="23"/>
      <c r="AX1771" s="23"/>
      <c r="AY1771" s="16"/>
      <c r="AZ1771" s="23"/>
      <c r="BA1771" s="23"/>
      <c r="BB1771" s="23"/>
      <c r="BC1771" s="16"/>
      <c r="BD1771" s="23"/>
      <c r="BE1771" s="23"/>
      <c r="BF1771" s="23"/>
      <c r="BG1771" s="16"/>
      <c r="BH1771" s="23"/>
      <c r="BI1771" s="23"/>
      <c r="BJ1771" s="23"/>
      <c r="BN1771" s="23"/>
      <c r="BO1771" s="23"/>
      <c r="BP1771" s="16"/>
      <c r="BQ1771" s="16"/>
      <c r="BR1771" s="23"/>
      <c r="BS1771" s="16"/>
      <c r="BT1771" s="16"/>
      <c r="BU1771" s="16"/>
      <c r="BV1771" s="16"/>
      <c r="BW1771" s="16"/>
      <c r="BX1771" s="16"/>
      <c r="BY1771" s="16"/>
    </row>
    <row r="1772">
      <c r="A1772" s="16"/>
      <c r="B1772" s="16"/>
      <c r="C1772" s="22"/>
      <c r="D1772" s="16"/>
      <c r="E1772" s="16"/>
      <c r="F1772" s="16"/>
      <c r="G1772" s="16"/>
      <c r="H1772" s="16"/>
      <c r="I1772" s="23"/>
      <c r="J1772" s="23"/>
      <c r="K1772" s="16"/>
      <c r="L1772" s="23"/>
      <c r="M1772" s="23"/>
      <c r="N1772" s="23"/>
      <c r="O1772" s="16"/>
      <c r="P1772" s="23"/>
      <c r="Q1772" s="23"/>
      <c r="R1772" s="23"/>
      <c r="S1772" s="16"/>
      <c r="T1772" s="23"/>
      <c r="U1772" s="23"/>
      <c r="V1772" s="23"/>
      <c r="W1772" s="16"/>
      <c r="X1772" s="23"/>
      <c r="Y1772" s="23"/>
      <c r="Z1772" s="23"/>
      <c r="AA1772" s="16"/>
      <c r="AB1772" s="23"/>
      <c r="AC1772" s="23"/>
      <c r="AD1772" s="23"/>
      <c r="AE1772" s="16"/>
      <c r="AF1772" s="23"/>
      <c r="AG1772" s="23"/>
      <c r="AH1772" s="23"/>
      <c r="AI1772" s="16"/>
      <c r="AJ1772" s="23"/>
      <c r="AK1772" s="23"/>
      <c r="AL1772" s="23"/>
      <c r="AM1772" s="16"/>
      <c r="AN1772" s="23"/>
      <c r="AO1772" s="23"/>
      <c r="AP1772" s="23"/>
      <c r="AQ1772" s="16"/>
      <c r="AR1772" s="23"/>
      <c r="AS1772" s="23"/>
      <c r="AT1772" s="23"/>
      <c r="AU1772" s="16"/>
      <c r="AV1772" s="23"/>
      <c r="AW1772" s="23"/>
      <c r="AX1772" s="23"/>
      <c r="AY1772" s="16"/>
      <c r="AZ1772" s="23"/>
      <c r="BA1772" s="23"/>
      <c r="BB1772" s="23"/>
      <c r="BC1772" s="16"/>
      <c r="BD1772" s="23"/>
      <c r="BE1772" s="23"/>
      <c r="BF1772" s="23"/>
      <c r="BG1772" s="16"/>
      <c r="BH1772" s="23"/>
      <c r="BI1772" s="23"/>
      <c r="BJ1772" s="23"/>
      <c r="BN1772" s="23"/>
      <c r="BO1772" s="23"/>
      <c r="BP1772" s="16"/>
      <c r="BQ1772" s="16"/>
      <c r="BR1772" s="23"/>
      <c r="BS1772" s="16"/>
      <c r="BT1772" s="16"/>
      <c r="BU1772" s="16"/>
      <c r="BV1772" s="16"/>
      <c r="BW1772" s="16"/>
      <c r="BX1772" s="16"/>
      <c r="BY1772" s="16"/>
    </row>
    <row r="1773">
      <c r="A1773" s="16"/>
      <c r="B1773" s="16"/>
      <c r="C1773" s="22"/>
      <c r="D1773" s="16"/>
      <c r="E1773" s="16"/>
      <c r="F1773" s="16"/>
      <c r="G1773" s="16"/>
      <c r="H1773" s="16"/>
      <c r="I1773" s="23"/>
      <c r="J1773" s="23"/>
      <c r="K1773" s="16"/>
      <c r="L1773" s="23"/>
      <c r="M1773" s="23"/>
      <c r="N1773" s="23"/>
      <c r="O1773" s="16"/>
      <c r="P1773" s="23"/>
      <c r="Q1773" s="23"/>
      <c r="R1773" s="23"/>
      <c r="S1773" s="16"/>
      <c r="T1773" s="23"/>
      <c r="U1773" s="23"/>
      <c r="V1773" s="23"/>
      <c r="W1773" s="16"/>
      <c r="X1773" s="23"/>
      <c r="Y1773" s="23"/>
      <c r="Z1773" s="23"/>
      <c r="AA1773" s="16"/>
      <c r="AB1773" s="23"/>
      <c r="AC1773" s="23"/>
      <c r="AD1773" s="23"/>
      <c r="AE1773" s="16"/>
      <c r="AF1773" s="23"/>
      <c r="AG1773" s="23"/>
      <c r="AH1773" s="23"/>
      <c r="AI1773" s="16"/>
      <c r="AJ1773" s="23"/>
      <c r="AK1773" s="23"/>
      <c r="AL1773" s="23"/>
      <c r="AM1773" s="16"/>
      <c r="AN1773" s="23"/>
      <c r="AO1773" s="23"/>
      <c r="AP1773" s="23"/>
      <c r="AQ1773" s="16"/>
      <c r="AR1773" s="23"/>
      <c r="AS1773" s="23"/>
      <c r="AT1773" s="23"/>
      <c r="AU1773" s="16"/>
      <c r="AV1773" s="23"/>
      <c r="AW1773" s="23"/>
      <c r="AX1773" s="23"/>
      <c r="AY1773" s="16"/>
      <c r="AZ1773" s="23"/>
      <c r="BA1773" s="23"/>
      <c r="BB1773" s="23"/>
      <c r="BC1773" s="16"/>
      <c r="BD1773" s="23"/>
      <c r="BE1773" s="23"/>
      <c r="BF1773" s="23"/>
      <c r="BG1773" s="16"/>
      <c r="BH1773" s="23"/>
      <c r="BI1773" s="23"/>
      <c r="BJ1773" s="23"/>
      <c r="BN1773" s="23"/>
      <c r="BO1773" s="23"/>
      <c r="BP1773" s="16"/>
      <c r="BQ1773" s="16"/>
      <c r="BR1773" s="23"/>
      <c r="BS1773" s="16"/>
      <c r="BT1773" s="16"/>
      <c r="BU1773" s="16"/>
      <c r="BV1773" s="16"/>
      <c r="BW1773" s="16"/>
      <c r="BX1773" s="16"/>
      <c r="BY1773" s="16"/>
    </row>
    <row r="1774">
      <c r="A1774" s="16"/>
      <c r="B1774" s="16"/>
      <c r="C1774" s="22"/>
      <c r="D1774" s="16"/>
      <c r="E1774" s="16"/>
      <c r="F1774" s="16"/>
      <c r="G1774" s="16"/>
      <c r="H1774" s="16"/>
      <c r="I1774" s="23"/>
      <c r="J1774" s="23"/>
      <c r="K1774" s="16"/>
      <c r="L1774" s="23"/>
      <c r="M1774" s="23"/>
      <c r="N1774" s="23"/>
      <c r="O1774" s="16"/>
      <c r="P1774" s="23"/>
      <c r="Q1774" s="23"/>
      <c r="R1774" s="23"/>
      <c r="S1774" s="16"/>
      <c r="T1774" s="23"/>
      <c r="U1774" s="23"/>
      <c r="V1774" s="23"/>
      <c r="W1774" s="16"/>
      <c r="X1774" s="23"/>
      <c r="Y1774" s="23"/>
      <c r="Z1774" s="23"/>
      <c r="AA1774" s="16"/>
      <c r="AB1774" s="23"/>
      <c r="AC1774" s="23"/>
      <c r="AD1774" s="23"/>
      <c r="AE1774" s="16"/>
      <c r="AF1774" s="23"/>
      <c r="AG1774" s="23"/>
      <c r="AH1774" s="23"/>
      <c r="AI1774" s="16"/>
      <c r="AJ1774" s="23"/>
      <c r="AK1774" s="23"/>
      <c r="AL1774" s="23"/>
      <c r="AM1774" s="16"/>
      <c r="AN1774" s="23"/>
      <c r="AO1774" s="23"/>
      <c r="AP1774" s="23"/>
      <c r="AQ1774" s="16"/>
      <c r="AR1774" s="23"/>
      <c r="AS1774" s="23"/>
      <c r="AT1774" s="23"/>
      <c r="AU1774" s="16"/>
      <c r="AV1774" s="23"/>
      <c r="AW1774" s="23"/>
      <c r="AX1774" s="23"/>
      <c r="AY1774" s="16"/>
      <c r="AZ1774" s="23"/>
      <c r="BA1774" s="23"/>
      <c r="BB1774" s="23"/>
      <c r="BC1774" s="16"/>
      <c r="BD1774" s="23"/>
      <c r="BE1774" s="23"/>
      <c r="BF1774" s="23"/>
      <c r="BG1774" s="16"/>
      <c r="BH1774" s="23"/>
      <c r="BI1774" s="23"/>
      <c r="BJ1774" s="23"/>
      <c r="BN1774" s="23"/>
      <c r="BO1774" s="23"/>
      <c r="BP1774" s="16"/>
      <c r="BQ1774" s="16"/>
      <c r="BR1774" s="23"/>
      <c r="BS1774" s="16"/>
      <c r="BT1774" s="16"/>
      <c r="BU1774" s="16"/>
      <c r="BV1774" s="16"/>
      <c r="BW1774" s="16"/>
      <c r="BX1774" s="16"/>
      <c r="BY1774" s="16"/>
    </row>
    <row r="1775">
      <c r="A1775" s="16"/>
      <c r="B1775" s="16"/>
      <c r="C1775" s="22"/>
      <c r="D1775" s="16"/>
      <c r="E1775" s="16"/>
      <c r="F1775" s="16"/>
      <c r="G1775" s="16"/>
      <c r="H1775" s="16"/>
      <c r="I1775" s="23"/>
      <c r="J1775" s="23"/>
      <c r="K1775" s="16"/>
      <c r="L1775" s="23"/>
      <c r="M1775" s="23"/>
      <c r="N1775" s="23"/>
      <c r="O1775" s="16"/>
      <c r="P1775" s="23"/>
      <c r="Q1775" s="23"/>
      <c r="R1775" s="23"/>
      <c r="S1775" s="16"/>
      <c r="T1775" s="23"/>
      <c r="U1775" s="23"/>
      <c r="V1775" s="23"/>
      <c r="W1775" s="16"/>
      <c r="X1775" s="23"/>
      <c r="Y1775" s="23"/>
      <c r="Z1775" s="23"/>
      <c r="AA1775" s="16"/>
      <c r="AB1775" s="23"/>
      <c r="AC1775" s="23"/>
      <c r="AD1775" s="23"/>
      <c r="AE1775" s="16"/>
      <c r="AF1775" s="23"/>
      <c r="AG1775" s="23"/>
      <c r="AH1775" s="23"/>
      <c r="AI1775" s="16"/>
      <c r="AJ1775" s="23"/>
      <c r="AK1775" s="23"/>
      <c r="AL1775" s="23"/>
      <c r="AM1775" s="16"/>
      <c r="AN1775" s="23"/>
      <c r="AO1775" s="23"/>
      <c r="AP1775" s="23"/>
      <c r="AQ1775" s="16"/>
      <c r="AR1775" s="23"/>
      <c r="AS1775" s="23"/>
      <c r="AT1775" s="23"/>
      <c r="AU1775" s="16"/>
      <c r="AV1775" s="23"/>
      <c r="AW1775" s="23"/>
      <c r="AX1775" s="23"/>
      <c r="AY1775" s="16"/>
      <c r="AZ1775" s="23"/>
      <c r="BA1775" s="23"/>
      <c r="BB1775" s="23"/>
      <c r="BC1775" s="16"/>
      <c r="BD1775" s="23"/>
      <c r="BE1775" s="23"/>
      <c r="BF1775" s="23"/>
      <c r="BG1775" s="16"/>
      <c r="BH1775" s="23"/>
      <c r="BI1775" s="23"/>
      <c r="BJ1775" s="23"/>
      <c r="BN1775" s="23"/>
      <c r="BO1775" s="23"/>
      <c r="BP1775" s="16"/>
      <c r="BQ1775" s="16"/>
      <c r="BR1775" s="23"/>
      <c r="BS1775" s="16"/>
      <c r="BT1775" s="16"/>
      <c r="BU1775" s="16"/>
      <c r="BV1775" s="16"/>
      <c r="BW1775" s="16"/>
      <c r="BX1775" s="16"/>
      <c r="BY1775" s="16"/>
    </row>
    <row r="1776">
      <c r="A1776" s="16"/>
      <c r="B1776" s="16"/>
      <c r="C1776" s="22"/>
      <c r="D1776" s="16"/>
      <c r="E1776" s="16"/>
      <c r="F1776" s="16"/>
      <c r="G1776" s="16"/>
      <c r="H1776" s="16"/>
      <c r="I1776" s="23"/>
      <c r="J1776" s="23"/>
      <c r="K1776" s="16"/>
      <c r="L1776" s="23"/>
      <c r="M1776" s="23"/>
      <c r="N1776" s="23"/>
      <c r="O1776" s="16"/>
      <c r="P1776" s="23"/>
      <c r="Q1776" s="23"/>
      <c r="R1776" s="23"/>
      <c r="S1776" s="16"/>
      <c r="T1776" s="23"/>
      <c r="U1776" s="23"/>
      <c r="V1776" s="23"/>
      <c r="W1776" s="16"/>
      <c r="X1776" s="23"/>
      <c r="Y1776" s="23"/>
      <c r="Z1776" s="23"/>
      <c r="AA1776" s="16"/>
      <c r="AB1776" s="23"/>
      <c r="AC1776" s="23"/>
      <c r="AD1776" s="23"/>
      <c r="AE1776" s="16"/>
      <c r="AF1776" s="23"/>
      <c r="AG1776" s="23"/>
      <c r="AH1776" s="23"/>
      <c r="AI1776" s="16"/>
      <c r="AJ1776" s="23"/>
      <c r="AK1776" s="23"/>
      <c r="AL1776" s="23"/>
      <c r="AM1776" s="16"/>
      <c r="AN1776" s="23"/>
      <c r="AO1776" s="23"/>
      <c r="AP1776" s="23"/>
      <c r="AQ1776" s="16"/>
      <c r="AR1776" s="23"/>
      <c r="AS1776" s="23"/>
      <c r="AT1776" s="23"/>
      <c r="AU1776" s="16"/>
      <c r="AV1776" s="23"/>
      <c r="AW1776" s="23"/>
      <c r="AX1776" s="23"/>
      <c r="AY1776" s="16"/>
      <c r="AZ1776" s="23"/>
      <c r="BA1776" s="23"/>
      <c r="BB1776" s="23"/>
      <c r="BC1776" s="16"/>
      <c r="BD1776" s="23"/>
      <c r="BE1776" s="23"/>
      <c r="BF1776" s="23"/>
      <c r="BG1776" s="16"/>
      <c r="BH1776" s="23"/>
      <c r="BI1776" s="23"/>
      <c r="BJ1776" s="23"/>
      <c r="BN1776" s="23"/>
      <c r="BO1776" s="23"/>
      <c r="BP1776" s="16"/>
      <c r="BQ1776" s="16"/>
      <c r="BR1776" s="23"/>
      <c r="BS1776" s="16"/>
      <c r="BT1776" s="16"/>
      <c r="BU1776" s="16"/>
      <c r="BV1776" s="16"/>
      <c r="BW1776" s="16"/>
      <c r="BX1776" s="16"/>
      <c r="BY1776" s="16"/>
    </row>
    <row r="1777">
      <c r="A1777" s="16"/>
      <c r="B1777" s="16"/>
      <c r="C1777" s="22"/>
      <c r="D1777" s="16"/>
      <c r="E1777" s="16"/>
      <c r="F1777" s="16"/>
      <c r="G1777" s="16"/>
      <c r="H1777" s="16"/>
      <c r="I1777" s="23"/>
      <c r="J1777" s="23"/>
      <c r="K1777" s="16"/>
      <c r="L1777" s="23"/>
      <c r="M1777" s="23"/>
      <c r="N1777" s="23"/>
      <c r="O1777" s="16"/>
      <c r="P1777" s="23"/>
      <c r="Q1777" s="23"/>
      <c r="R1777" s="23"/>
      <c r="S1777" s="16"/>
      <c r="T1777" s="23"/>
      <c r="U1777" s="23"/>
      <c r="V1777" s="23"/>
      <c r="W1777" s="16"/>
      <c r="X1777" s="23"/>
      <c r="Y1777" s="23"/>
      <c r="Z1777" s="23"/>
      <c r="AA1777" s="16"/>
      <c r="AB1777" s="23"/>
      <c r="AC1777" s="23"/>
      <c r="AD1777" s="23"/>
      <c r="AE1777" s="16"/>
      <c r="AF1777" s="23"/>
      <c r="AG1777" s="23"/>
      <c r="AH1777" s="23"/>
      <c r="AI1777" s="16"/>
      <c r="AJ1777" s="23"/>
      <c r="AK1777" s="23"/>
      <c r="AL1777" s="23"/>
      <c r="AM1777" s="16"/>
      <c r="AN1777" s="23"/>
      <c r="AO1777" s="23"/>
      <c r="AP1777" s="23"/>
      <c r="AQ1777" s="16"/>
      <c r="AR1777" s="23"/>
      <c r="AS1777" s="23"/>
      <c r="AT1777" s="23"/>
      <c r="AU1777" s="16"/>
      <c r="AV1777" s="23"/>
      <c r="AW1777" s="23"/>
      <c r="AX1777" s="23"/>
      <c r="AY1777" s="16"/>
      <c r="AZ1777" s="23"/>
      <c r="BA1777" s="23"/>
      <c r="BB1777" s="23"/>
      <c r="BC1777" s="16"/>
      <c r="BD1777" s="23"/>
      <c r="BE1777" s="23"/>
      <c r="BF1777" s="23"/>
      <c r="BG1777" s="16"/>
      <c r="BH1777" s="23"/>
      <c r="BI1777" s="23"/>
      <c r="BJ1777" s="23"/>
      <c r="BN1777" s="23"/>
      <c r="BO1777" s="23"/>
      <c r="BP1777" s="16"/>
      <c r="BQ1777" s="16"/>
      <c r="BR1777" s="23"/>
      <c r="BS1777" s="16"/>
      <c r="BT1777" s="16"/>
      <c r="BU1777" s="16"/>
      <c r="BV1777" s="16"/>
      <c r="BW1777" s="16"/>
      <c r="BX1777" s="16"/>
      <c r="BY1777" s="16"/>
    </row>
    <row r="1778">
      <c r="A1778" s="16"/>
      <c r="B1778" s="16"/>
      <c r="C1778" s="22"/>
      <c r="D1778" s="16"/>
      <c r="E1778" s="16"/>
      <c r="F1778" s="16"/>
      <c r="G1778" s="16"/>
      <c r="H1778" s="16"/>
      <c r="I1778" s="23"/>
      <c r="J1778" s="23"/>
      <c r="K1778" s="16"/>
      <c r="L1778" s="23"/>
      <c r="M1778" s="23"/>
      <c r="N1778" s="23"/>
      <c r="O1778" s="16"/>
      <c r="P1778" s="23"/>
      <c r="Q1778" s="23"/>
      <c r="R1778" s="23"/>
      <c r="S1778" s="16"/>
      <c r="T1778" s="23"/>
      <c r="U1778" s="23"/>
      <c r="V1778" s="23"/>
      <c r="W1778" s="16"/>
      <c r="X1778" s="23"/>
      <c r="Y1778" s="23"/>
      <c r="Z1778" s="23"/>
      <c r="AA1778" s="16"/>
      <c r="AB1778" s="23"/>
      <c r="AC1778" s="23"/>
      <c r="AD1778" s="23"/>
      <c r="AE1778" s="16"/>
      <c r="AF1778" s="23"/>
      <c r="AG1778" s="23"/>
      <c r="AH1778" s="23"/>
      <c r="AI1778" s="16"/>
      <c r="AJ1778" s="23"/>
      <c r="AK1778" s="23"/>
      <c r="AL1778" s="23"/>
      <c r="AM1778" s="16"/>
      <c r="AN1778" s="23"/>
      <c r="AO1778" s="23"/>
      <c r="AP1778" s="23"/>
      <c r="AQ1778" s="16"/>
      <c r="AR1778" s="23"/>
      <c r="AS1778" s="23"/>
      <c r="AT1778" s="23"/>
      <c r="AU1778" s="16"/>
      <c r="AV1778" s="23"/>
      <c r="AW1778" s="23"/>
      <c r="AX1778" s="23"/>
      <c r="AY1778" s="16"/>
      <c r="AZ1778" s="23"/>
      <c r="BA1778" s="23"/>
      <c r="BB1778" s="23"/>
      <c r="BC1778" s="16"/>
      <c r="BD1778" s="23"/>
      <c r="BE1778" s="23"/>
      <c r="BF1778" s="23"/>
      <c r="BG1778" s="16"/>
      <c r="BH1778" s="23"/>
      <c r="BI1778" s="23"/>
      <c r="BJ1778" s="23"/>
      <c r="BN1778" s="23"/>
      <c r="BO1778" s="23"/>
      <c r="BP1778" s="16"/>
      <c r="BQ1778" s="16"/>
      <c r="BR1778" s="23"/>
      <c r="BS1778" s="16"/>
      <c r="BT1778" s="16"/>
      <c r="BU1778" s="16"/>
      <c r="BV1778" s="16"/>
      <c r="BW1778" s="16"/>
      <c r="BX1778" s="16"/>
      <c r="BY1778" s="16"/>
    </row>
    <row r="1779">
      <c r="A1779" s="16"/>
      <c r="B1779" s="16"/>
      <c r="C1779" s="22"/>
      <c r="D1779" s="16"/>
      <c r="E1779" s="16"/>
      <c r="F1779" s="16"/>
      <c r="G1779" s="16"/>
      <c r="H1779" s="16"/>
      <c r="I1779" s="23"/>
      <c r="J1779" s="23"/>
      <c r="K1779" s="16"/>
      <c r="L1779" s="23"/>
      <c r="M1779" s="23"/>
      <c r="N1779" s="23"/>
      <c r="O1779" s="16"/>
      <c r="P1779" s="23"/>
      <c r="Q1779" s="23"/>
      <c r="R1779" s="23"/>
      <c r="S1779" s="16"/>
      <c r="T1779" s="23"/>
      <c r="U1779" s="23"/>
      <c r="V1779" s="23"/>
      <c r="W1779" s="16"/>
      <c r="X1779" s="23"/>
      <c r="Y1779" s="23"/>
      <c r="Z1779" s="23"/>
      <c r="AA1779" s="16"/>
      <c r="AB1779" s="23"/>
      <c r="AC1779" s="23"/>
      <c r="AD1779" s="23"/>
      <c r="AE1779" s="16"/>
      <c r="AF1779" s="23"/>
      <c r="AG1779" s="23"/>
      <c r="AH1779" s="23"/>
      <c r="AI1779" s="16"/>
      <c r="AJ1779" s="23"/>
      <c r="AK1779" s="23"/>
      <c r="AL1779" s="23"/>
      <c r="AM1779" s="16"/>
      <c r="AN1779" s="23"/>
      <c r="AO1779" s="23"/>
      <c r="AP1779" s="23"/>
      <c r="AQ1779" s="16"/>
      <c r="AR1779" s="23"/>
      <c r="AS1779" s="23"/>
      <c r="AT1779" s="23"/>
      <c r="AU1779" s="16"/>
      <c r="AV1779" s="23"/>
      <c r="AW1779" s="23"/>
      <c r="AX1779" s="23"/>
      <c r="AY1779" s="16"/>
      <c r="AZ1779" s="23"/>
      <c r="BA1779" s="23"/>
      <c r="BB1779" s="23"/>
      <c r="BC1779" s="16"/>
      <c r="BD1779" s="23"/>
      <c r="BE1779" s="23"/>
      <c r="BF1779" s="23"/>
      <c r="BG1779" s="16"/>
      <c r="BH1779" s="23"/>
      <c r="BI1779" s="23"/>
      <c r="BJ1779" s="23"/>
      <c r="BN1779" s="23"/>
      <c r="BO1779" s="23"/>
      <c r="BP1779" s="16"/>
      <c r="BQ1779" s="16"/>
      <c r="BR1779" s="23"/>
      <c r="BS1779" s="16"/>
      <c r="BT1779" s="16"/>
      <c r="BU1779" s="16"/>
      <c r="BV1779" s="16"/>
      <c r="BW1779" s="16"/>
      <c r="BX1779" s="16"/>
      <c r="BY1779" s="16"/>
    </row>
    <row r="1780">
      <c r="A1780" s="16"/>
      <c r="B1780" s="16"/>
      <c r="C1780" s="22"/>
      <c r="D1780" s="16"/>
      <c r="E1780" s="16"/>
      <c r="F1780" s="16"/>
      <c r="G1780" s="16"/>
      <c r="H1780" s="16"/>
      <c r="I1780" s="23"/>
      <c r="J1780" s="23"/>
      <c r="K1780" s="16"/>
      <c r="L1780" s="23"/>
      <c r="M1780" s="23"/>
      <c r="N1780" s="23"/>
      <c r="O1780" s="16"/>
      <c r="P1780" s="23"/>
      <c r="Q1780" s="23"/>
      <c r="R1780" s="23"/>
      <c r="S1780" s="16"/>
      <c r="T1780" s="23"/>
      <c r="U1780" s="23"/>
      <c r="V1780" s="23"/>
      <c r="W1780" s="16"/>
      <c r="X1780" s="23"/>
      <c r="Y1780" s="23"/>
      <c r="Z1780" s="23"/>
      <c r="AA1780" s="16"/>
      <c r="AB1780" s="23"/>
      <c r="AC1780" s="23"/>
      <c r="AD1780" s="23"/>
      <c r="AE1780" s="16"/>
      <c r="AF1780" s="23"/>
      <c r="AG1780" s="23"/>
      <c r="AH1780" s="23"/>
      <c r="AI1780" s="16"/>
      <c r="AJ1780" s="23"/>
      <c r="AK1780" s="23"/>
      <c r="AL1780" s="23"/>
      <c r="AM1780" s="16"/>
      <c r="AN1780" s="23"/>
      <c r="AO1780" s="23"/>
      <c r="AP1780" s="23"/>
      <c r="AQ1780" s="16"/>
      <c r="AR1780" s="23"/>
      <c r="AS1780" s="23"/>
      <c r="AT1780" s="23"/>
      <c r="AU1780" s="16"/>
      <c r="AV1780" s="23"/>
      <c r="AW1780" s="23"/>
      <c r="AX1780" s="23"/>
      <c r="AY1780" s="16"/>
      <c r="AZ1780" s="23"/>
      <c r="BA1780" s="23"/>
      <c r="BB1780" s="23"/>
      <c r="BC1780" s="16"/>
      <c r="BD1780" s="23"/>
      <c r="BE1780" s="23"/>
      <c r="BF1780" s="23"/>
      <c r="BG1780" s="16"/>
      <c r="BH1780" s="23"/>
      <c r="BI1780" s="23"/>
      <c r="BJ1780" s="23"/>
      <c r="BN1780" s="23"/>
      <c r="BO1780" s="23"/>
      <c r="BP1780" s="16"/>
      <c r="BQ1780" s="16"/>
      <c r="BR1780" s="23"/>
      <c r="BS1780" s="16"/>
      <c r="BT1780" s="16"/>
      <c r="BU1780" s="16"/>
      <c r="BV1780" s="16"/>
      <c r="BW1780" s="16"/>
      <c r="BX1780" s="16"/>
      <c r="BY1780" s="16"/>
    </row>
    <row r="1781">
      <c r="A1781" s="16"/>
      <c r="B1781" s="16"/>
      <c r="C1781" s="22"/>
      <c r="D1781" s="16"/>
      <c r="E1781" s="16"/>
      <c r="F1781" s="16"/>
      <c r="G1781" s="16"/>
      <c r="H1781" s="16"/>
      <c r="I1781" s="23"/>
      <c r="J1781" s="23"/>
      <c r="K1781" s="16"/>
      <c r="L1781" s="23"/>
      <c r="M1781" s="23"/>
      <c r="N1781" s="23"/>
      <c r="O1781" s="16"/>
      <c r="P1781" s="23"/>
      <c r="Q1781" s="23"/>
      <c r="R1781" s="23"/>
      <c r="S1781" s="16"/>
      <c r="T1781" s="23"/>
      <c r="U1781" s="23"/>
      <c r="V1781" s="23"/>
      <c r="W1781" s="16"/>
      <c r="X1781" s="23"/>
      <c r="Y1781" s="23"/>
      <c r="Z1781" s="23"/>
      <c r="AA1781" s="16"/>
      <c r="AB1781" s="23"/>
      <c r="AC1781" s="23"/>
      <c r="AD1781" s="23"/>
      <c r="AE1781" s="16"/>
      <c r="AF1781" s="23"/>
      <c r="AG1781" s="23"/>
      <c r="AH1781" s="23"/>
      <c r="AI1781" s="16"/>
      <c r="AJ1781" s="23"/>
      <c r="AK1781" s="23"/>
      <c r="AL1781" s="23"/>
      <c r="AM1781" s="16"/>
      <c r="AN1781" s="23"/>
      <c r="AO1781" s="23"/>
      <c r="AP1781" s="23"/>
      <c r="AQ1781" s="16"/>
      <c r="AR1781" s="23"/>
      <c r="AS1781" s="23"/>
      <c r="AT1781" s="23"/>
      <c r="AU1781" s="16"/>
      <c r="AV1781" s="23"/>
      <c r="AW1781" s="23"/>
      <c r="AX1781" s="23"/>
      <c r="AY1781" s="16"/>
      <c r="AZ1781" s="23"/>
      <c r="BA1781" s="23"/>
      <c r="BB1781" s="23"/>
      <c r="BC1781" s="16"/>
      <c r="BD1781" s="23"/>
      <c r="BE1781" s="23"/>
      <c r="BF1781" s="23"/>
      <c r="BG1781" s="16"/>
      <c r="BH1781" s="23"/>
      <c r="BI1781" s="23"/>
      <c r="BJ1781" s="23"/>
      <c r="BN1781" s="23"/>
      <c r="BO1781" s="23"/>
      <c r="BP1781" s="16"/>
      <c r="BQ1781" s="16"/>
      <c r="BR1781" s="23"/>
      <c r="BS1781" s="16"/>
      <c r="BT1781" s="16"/>
      <c r="BU1781" s="16"/>
      <c r="BV1781" s="16"/>
      <c r="BW1781" s="16"/>
      <c r="BX1781" s="16"/>
      <c r="BY1781" s="16"/>
    </row>
    <row r="1782">
      <c r="A1782" s="16"/>
      <c r="B1782" s="16"/>
      <c r="C1782" s="22"/>
      <c r="D1782" s="16"/>
      <c r="E1782" s="16"/>
      <c r="F1782" s="16"/>
      <c r="G1782" s="16"/>
      <c r="H1782" s="16"/>
      <c r="I1782" s="23"/>
      <c r="J1782" s="23"/>
      <c r="K1782" s="16"/>
      <c r="L1782" s="23"/>
      <c r="M1782" s="23"/>
      <c r="N1782" s="23"/>
      <c r="O1782" s="16"/>
      <c r="P1782" s="23"/>
      <c r="Q1782" s="23"/>
      <c r="R1782" s="23"/>
      <c r="S1782" s="16"/>
      <c r="T1782" s="23"/>
      <c r="U1782" s="23"/>
      <c r="V1782" s="23"/>
      <c r="W1782" s="16"/>
      <c r="X1782" s="23"/>
      <c r="Y1782" s="23"/>
      <c r="Z1782" s="23"/>
      <c r="AA1782" s="16"/>
      <c r="AB1782" s="23"/>
      <c r="AC1782" s="23"/>
      <c r="AD1782" s="23"/>
      <c r="AE1782" s="16"/>
      <c r="AF1782" s="23"/>
      <c r="AG1782" s="23"/>
      <c r="AH1782" s="23"/>
      <c r="AI1782" s="16"/>
      <c r="AJ1782" s="23"/>
      <c r="AK1782" s="23"/>
      <c r="AL1782" s="23"/>
      <c r="AM1782" s="16"/>
      <c r="AN1782" s="23"/>
      <c r="AO1782" s="23"/>
      <c r="AP1782" s="23"/>
      <c r="AQ1782" s="16"/>
      <c r="AR1782" s="23"/>
      <c r="AS1782" s="23"/>
      <c r="AT1782" s="23"/>
      <c r="AU1782" s="16"/>
      <c r="AV1782" s="23"/>
      <c r="AW1782" s="23"/>
      <c r="AX1782" s="23"/>
      <c r="AY1782" s="16"/>
      <c r="AZ1782" s="23"/>
      <c r="BA1782" s="23"/>
      <c r="BB1782" s="23"/>
      <c r="BC1782" s="16"/>
      <c r="BD1782" s="23"/>
      <c r="BE1782" s="23"/>
      <c r="BF1782" s="23"/>
      <c r="BG1782" s="16"/>
      <c r="BH1782" s="23"/>
      <c r="BI1782" s="23"/>
      <c r="BJ1782" s="23"/>
      <c r="BN1782" s="23"/>
      <c r="BO1782" s="23"/>
      <c r="BP1782" s="16"/>
      <c r="BQ1782" s="16"/>
      <c r="BR1782" s="23"/>
      <c r="BS1782" s="16"/>
      <c r="BT1782" s="16"/>
      <c r="BU1782" s="16"/>
      <c r="BV1782" s="16"/>
      <c r="BW1782" s="16"/>
      <c r="BX1782" s="16"/>
      <c r="BY1782" s="16"/>
    </row>
    <row r="1783">
      <c r="A1783" s="16"/>
      <c r="B1783" s="16"/>
      <c r="C1783" s="22"/>
      <c r="D1783" s="16"/>
      <c r="E1783" s="16"/>
      <c r="F1783" s="16"/>
      <c r="G1783" s="16"/>
      <c r="H1783" s="16"/>
      <c r="I1783" s="23"/>
      <c r="J1783" s="23"/>
      <c r="K1783" s="16"/>
      <c r="L1783" s="23"/>
      <c r="M1783" s="23"/>
      <c r="N1783" s="23"/>
      <c r="O1783" s="16"/>
      <c r="P1783" s="23"/>
      <c r="Q1783" s="23"/>
      <c r="R1783" s="23"/>
      <c r="S1783" s="16"/>
      <c r="T1783" s="23"/>
      <c r="U1783" s="23"/>
      <c r="V1783" s="23"/>
      <c r="W1783" s="16"/>
      <c r="X1783" s="23"/>
      <c r="Y1783" s="23"/>
      <c r="Z1783" s="23"/>
      <c r="AA1783" s="16"/>
      <c r="AB1783" s="23"/>
      <c r="AC1783" s="23"/>
      <c r="AD1783" s="23"/>
      <c r="AE1783" s="16"/>
      <c r="AF1783" s="23"/>
      <c r="AG1783" s="23"/>
      <c r="AH1783" s="23"/>
      <c r="AI1783" s="16"/>
      <c r="AJ1783" s="23"/>
      <c r="AK1783" s="23"/>
      <c r="AL1783" s="23"/>
      <c r="AM1783" s="16"/>
      <c r="AN1783" s="23"/>
      <c r="AO1783" s="23"/>
      <c r="AP1783" s="23"/>
      <c r="AQ1783" s="16"/>
      <c r="AR1783" s="23"/>
      <c r="AS1783" s="23"/>
      <c r="AT1783" s="23"/>
      <c r="AU1783" s="16"/>
      <c r="AV1783" s="23"/>
      <c r="AW1783" s="23"/>
      <c r="AX1783" s="23"/>
      <c r="AY1783" s="16"/>
      <c r="AZ1783" s="23"/>
      <c r="BA1783" s="23"/>
      <c r="BB1783" s="23"/>
      <c r="BC1783" s="16"/>
      <c r="BD1783" s="23"/>
      <c r="BE1783" s="23"/>
      <c r="BF1783" s="23"/>
      <c r="BG1783" s="16"/>
      <c r="BH1783" s="23"/>
      <c r="BI1783" s="23"/>
      <c r="BJ1783" s="23"/>
      <c r="BN1783" s="23"/>
      <c r="BO1783" s="23"/>
      <c r="BP1783" s="16"/>
      <c r="BQ1783" s="16"/>
      <c r="BR1783" s="23"/>
      <c r="BS1783" s="16"/>
      <c r="BT1783" s="16"/>
      <c r="BU1783" s="16"/>
      <c r="BV1783" s="16"/>
      <c r="BW1783" s="16"/>
      <c r="BX1783" s="16"/>
      <c r="BY1783" s="16"/>
    </row>
    <row r="1784">
      <c r="A1784" s="16"/>
      <c r="B1784" s="16"/>
      <c r="C1784" s="22"/>
      <c r="D1784" s="16"/>
      <c r="E1784" s="16"/>
      <c r="F1784" s="16"/>
      <c r="G1784" s="16"/>
      <c r="H1784" s="16"/>
      <c r="I1784" s="23"/>
      <c r="J1784" s="23"/>
      <c r="K1784" s="16"/>
      <c r="L1784" s="23"/>
      <c r="M1784" s="23"/>
      <c r="N1784" s="23"/>
      <c r="O1784" s="16"/>
      <c r="P1784" s="23"/>
      <c r="Q1784" s="23"/>
      <c r="R1784" s="23"/>
      <c r="S1784" s="16"/>
      <c r="T1784" s="23"/>
      <c r="U1784" s="23"/>
      <c r="V1784" s="23"/>
      <c r="W1784" s="16"/>
      <c r="X1784" s="23"/>
      <c r="Y1784" s="23"/>
      <c r="Z1784" s="23"/>
      <c r="AA1784" s="16"/>
      <c r="AB1784" s="23"/>
      <c r="AC1784" s="23"/>
      <c r="AD1784" s="23"/>
      <c r="AE1784" s="16"/>
      <c r="AF1784" s="23"/>
      <c r="AG1784" s="23"/>
      <c r="AH1784" s="23"/>
      <c r="AI1784" s="16"/>
      <c r="AJ1784" s="23"/>
      <c r="AK1784" s="23"/>
      <c r="AL1784" s="23"/>
      <c r="AM1784" s="16"/>
      <c r="AN1784" s="23"/>
      <c r="AO1784" s="23"/>
      <c r="AP1784" s="23"/>
      <c r="AQ1784" s="16"/>
      <c r="AR1784" s="23"/>
      <c r="AS1784" s="23"/>
      <c r="AT1784" s="23"/>
      <c r="AU1784" s="16"/>
      <c r="AV1784" s="23"/>
      <c r="AW1784" s="23"/>
      <c r="AX1784" s="23"/>
      <c r="AY1784" s="16"/>
      <c r="AZ1784" s="23"/>
      <c r="BA1784" s="23"/>
      <c r="BB1784" s="23"/>
      <c r="BC1784" s="16"/>
      <c r="BD1784" s="23"/>
      <c r="BE1784" s="23"/>
      <c r="BF1784" s="23"/>
      <c r="BG1784" s="16"/>
      <c r="BH1784" s="23"/>
      <c r="BI1784" s="23"/>
      <c r="BJ1784" s="23"/>
      <c r="BN1784" s="23"/>
      <c r="BO1784" s="23"/>
      <c r="BP1784" s="16"/>
      <c r="BQ1784" s="16"/>
      <c r="BR1784" s="23"/>
      <c r="BS1784" s="16"/>
      <c r="BT1784" s="16"/>
      <c r="BU1784" s="16"/>
      <c r="BV1784" s="16"/>
      <c r="BW1784" s="16"/>
      <c r="BX1784" s="16"/>
      <c r="BY1784" s="16"/>
    </row>
    <row r="1785">
      <c r="A1785" s="16"/>
      <c r="B1785" s="16"/>
      <c r="C1785" s="22"/>
      <c r="D1785" s="16"/>
      <c r="E1785" s="16"/>
      <c r="F1785" s="16"/>
      <c r="G1785" s="16"/>
      <c r="H1785" s="16"/>
      <c r="I1785" s="23"/>
      <c r="J1785" s="23"/>
      <c r="K1785" s="16"/>
      <c r="L1785" s="23"/>
      <c r="M1785" s="23"/>
      <c r="N1785" s="23"/>
      <c r="O1785" s="16"/>
      <c r="P1785" s="23"/>
      <c r="Q1785" s="23"/>
      <c r="R1785" s="23"/>
      <c r="S1785" s="16"/>
      <c r="T1785" s="23"/>
      <c r="U1785" s="23"/>
      <c r="V1785" s="23"/>
      <c r="W1785" s="16"/>
      <c r="X1785" s="23"/>
      <c r="Y1785" s="23"/>
      <c r="Z1785" s="23"/>
      <c r="AA1785" s="16"/>
      <c r="AB1785" s="23"/>
      <c r="AC1785" s="23"/>
      <c r="AD1785" s="23"/>
      <c r="AE1785" s="16"/>
      <c r="AF1785" s="23"/>
      <c r="AG1785" s="23"/>
      <c r="AH1785" s="23"/>
      <c r="AI1785" s="16"/>
      <c r="AJ1785" s="23"/>
      <c r="AK1785" s="23"/>
      <c r="AL1785" s="23"/>
      <c r="AM1785" s="16"/>
      <c r="AN1785" s="23"/>
      <c r="AO1785" s="23"/>
      <c r="AP1785" s="23"/>
      <c r="AQ1785" s="16"/>
      <c r="AR1785" s="23"/>
      <c r="AS1785" s="23"/>
      <c r="AT1785" s="23"/>
      <c r="AU1785" s="16"/>
      <c r="AV1785" s="23"/>
      <c r="AW1785" s="23"/>
      <c r="AX1785" s="23"/>
      <c r="AY1785" s="16"/>
      <c r="AZ1785" s="23"/>
      <c r="BA1785" s="23"/>
      <c r="BB1785" s="23"/>
      <c r="BC1785" s="16"/>
      <c r="BD1785" s="23"/>
      <c r="BE1785" s="23"/>
      <c r="BF1785" s="23"/>
      <c r="BG1785" s="16"/>
      <c r="BH1785" s="23"/>
      <c r="BI1785" s="23"/>
      <c r="BJ1785" s="23"/>
      <c r="BN1785" s="23"/>
      <c r="BO1785" s="23"/>
      <c r="BP1785" s="16"/>
      <c r="BQ1785" s="16"/>
      <c r="BR1785" s="23"/>
      <c r="BS1785" s="16"/>
      <c r="BT1785" s="16"/>
      <c r="BU1785" s="16"/>
      <c r="BV1785" s="16"/>
      <c r="BW1785" s="16"/>
      <c r="BX1785" s="16"/>
      <c r="BY1785" s="16"/>
    </row>
    <row r="1786">
      <c r="A1786" s="16"/>
      <c r="B1786" s="16"/>
      <c r="C1786" s="22"/>
      <c r="D1786" s="16"/>
      <c r="E1786" s="16"/>
      <c r="F1786" s="16"/>
      <c r="G1786" s="16"/>
      <c r="H1786" s="16"/>
      <c r="I1786" s="23"/>
      <c r="J1786" s="23"/>
      <c r="K1786" s="16"/>
      <c r="L1786" s="23"/>
      <c r="M1786" s="23"/>
      <c r="N1786" s="23"/>
      <c r="O1786" s="16"/>
      <c r="P1786" s="23"/>
      <c r="Q1786" s="23"/>
      <c r="R1786" s="23"/>
      <c r="S1786" s="16"/>
      <c r="T1786" s="23"/>
      <c r="U1786" s="23"/>
      <c r="V1786" s="23"/>
      <c r="W1786" s="16"/>
      <c r="X1786" s="23"/>
      <c r="Y1786" s="23"/>
      <c r="Z1786" s="23"/>
      <c r="AA1786" s="16"/>
      <c r="AB1786" s="23"/>
      <c r="AC1786" s="23"/>
      <c r="AD1786" s="23"/>
      <c r="AE1786" s="16"/>
      <c r="AF1786" s="23"/>
      <c r="AG1786" s="23"/>
      <c r="AH1786" s="23"/>
      <c r="AI1786" s="16"/>
      <c r="AJ1786" s="23"/>
      <c r="AK1786" s="23"/>
      <c r="AL1786" s="23"/>
      <c r="AM1786" s="16"/>
      <c r="AN1786" s="23"/>
      <c r="AO1786" s="23"/>
      <c r="AP1786" s="23"/>
      <c r="AQ1786" s="16"/>
      <c r="AR1786" s="23"/>
      <c r="AS1786" s="23"/>
      <c r="AT1786" s="23"/>
      <c r="AU1786" s="16"/>
      <c r="AV1786" s="23"/>
      <c r="AW1786" s="23"/>
      <c r="AX1786" s="23"/>
      <c r="AY1786" s="16"/>
      <c r="AZ1786" s="23"/>
      <c r="BA1786" s="23"/>
      <c r="BB1786" s="23"/>
      <c r="BC1786" s="16"/>
      <c r="BD1786" s="23"/>
      <c r="BE1786" s="23"/>
      <c r="BF1786" s="23"/>
      <c r="BG1786" s="16"/>
      <c r="BH1786" s="23"/>
      <c r="BI1786" s="23"/>
      <c r="BJ1786" s="23"/>
      <c r="BN1786" s="23"/>
      <c r="BO1786" s="23"/>
      <c r="BP1786" s="16"/>
      <c r="BQ1786" s="16"/>
      <c r="BR1786" s="23"/>
      <c r="BS1786" s="16"/>
      <c r="BT1786" s="16"/>
      <c r="BU1786" s="16"/>
      <c r="BV1786" s="16"/>
      <c r="BW1786" s="16"/>
      <c r="BX1786" s="16"/>
      <c r="BY1786" s="16"/>
    </row>
    <row r="1787">
      <c r="A1787" s="16"/>
      <c r="B1787" s="16"/>
      <c r="C1787" s="22"/>
      <c r="D1787" s="16"/>
      <c r="E1787" s="16"/>
      <c r="F1787" s="16"/>
      <c r="G1787" s="16"/>
      <c r="H1787" s="16"/>
      <c r="I1787" s="23"/>
      <c r="J1787" s="23"/>
      <c r="K1787" s="16"/>
      <c r="L1787" s="23"/>
      <c r="M1787" s="23"/>
      <c r="N1787" s="23"/>
      <c r="O1787" s="16"/>
      <c r="P1787" s="23"/>
      <c r="Q1787" s="23"/>
      <c r="R1787" s="23"/>
      <c r="S1787" s="16"/>
      <c r="T1787" s="23"/>
      <c r="U1787" s="23"/>
      <c r="V1787" s="23"/>
      <c r="W1787" s="16"/>
      <c r="X1787" s="23"/>
      <c r="Y1787" s="23"/>
      <c r="Z1787" s="23"/>
      <c r="AA1787" s="16"/>
      <c r="AB1787" s="23"/>
      <c r="AC1787" s="23"/>
      <c r="AD1787" s="23"/>
      <c r="AE1787" s="16"/>
      <c r="AF1787" s="23"/>
      <c r="AG1787" s="23"/>
      <c r="AH1787" s="23"/>
      <c r="AI1787" s="16"/>
      <c r="AJ1787" s="23"/>
      <c r="AK1787" s="23"/>
      <c r="AL1787" s="23"/>
      <c r="AM1787" s="16"/>
      <c r="AN1787" s="23"/>
      <c r="AO1787" s="23"/>
      <c r="AP1787" s="23"/>
      <c r="AQ1787" s="16"/>
      <c r="AR1787" s="23"/>
      <c r="AS1787" s="23"/>
      <c r="AT1787" s="23"/>
      <c r="AU1787" s="16"/>
      <c r="AV1787" s="23"/>
      <c r="AW1787" s="23"/>
      <c r="AX1787" s="23"/>
      <c r="AY1787" s="16"/>
      <c r="AZ1787" s="23"/>
      <c r="BA1787" s="23"/>
      <c r="BB1787" s="23"/>
      <c r="BC1787" s="16"/>
      <c r="BD1787" s="23"/>
      <c r="BE1787" s="23"/>
      <c r="BF1787" s="23"/>
      <c r="BG1787" s="16"/>
      <c r="BH1787" s="23"/>
      <c r="BI1787" s="23"/>
      <c r="BJ1787" s="23"/>
      <c r="BN1787" s="23"/>
      <c r="BO1787" s="23"/>
      <c r="BP1787" s="16"/>
      <c r="BQ1787" s="16"/>
      <c r="BR1787" s="23"/>
      <c r="BS1787" s="16"/>
      <c r="BT1787" s="16"/>
      <c r="BU1787" s="16"/>
      <c r="BV1787" s="16"/>
      <c r="BW1787" s="16"/>
      <c r="BX1787" s="16"/>
      <c r="BY1787" s="16"/>
    </row>
    <row r="1788">
      <c r="A1788" s="16"/>
      <c r="B1788" s="16"/>
      <c r="C1788" s="22"/>
      <c r="D1788" s="16"/>
      <c r="E1788" s="16"/>
      <c r="F1788" s="16"/>
      <c r="G1788" s="16"/>
      <c r="H1788" s="16"/>
      <c r="I1788" s="23"/>
      <c r="J1788" s="23"/>
      <c r="K1788" s="16"/>
      <c r="L1788" s="23"/>
      <c r="M1788" s="23"/>
      <c r="N1788" s="23"/>
      <c r="O1788" s="16"/>
      <c r="P1788" s="23"/>
      <c r="Q1788" s="23"/>
      <c r="R1788" s="23"/>
      <c r="S1788" s="16"/>
      <c r="T1788" s="23"/>
      <c r="U1788" s="23"/>
      <c r="V1788" s="23"/>
      <c r="W1788" s="16"/>
      <c r="X1788" s="23"/>
      <c r="Y1788" s="23"/>
      <c r="Z1788" s="23"/>
      <c r="AA1788" s="16"/>
      <c r="AB1788" s="23"/>
      <c r="AC1788" s="23"/>
      <c r="AD1788" s="23"/>
      <c r="AE1788" s="16"/>
      <c r="AF1788" s="23"/>
      <c r="AG1788" s="23"/>
      <c r="AH1788" s="23"/>
      <c r="AI1788" s="16"/>
      <c r="AJ1788" s="23"/>
      <c r="AK1788" s="23"/>
      <c r="AL1788" s="23"/>
      <c r="AM1788" s="16"/>
      <c r="AN1788" s="23"/>
      <c r="AO1788" s="23"/>
      <c r="AP1788" s="23"/>
      <c r="AQ1788" s="16"/>
      <c r="AR1788" s="23"/>
      <c r="AS1788" s="23"/>
      <c r="AT1788" s="23"/>
      <c r="AU1788" s="16"/>
      <c r="AV1788" s="23"/>
      <c r="AW1788" s="23"/>
      <c r="AX1788" s="23"/>
      <c r="AY1788" s="16"/>
      <c r="AZ1788" s="23"/>
      <c r="BA1788" s="23"/>
      <c r="BB1788" s="23"/>
      <c r="BC1788" s="16"/>
      <c r="BD1788" s="23"/>
      <c r="BE1788" s="23"/>
      <c r="BF1788" s="23"/>
      <c r="BG1788" s="16"/>
      <c r="BH1788" s="23"/>
      <c r="BI1788" s="23"/>
      <c r="BJ1788" s="23"/>
      <c r="BN1788" s="23"/>
      <c r="BO1788" s="23"/>
      <c r="BP1788" s="16"/>
      <c r="BQ1788" s="16"/>
      <c r="BR1788" s="23"/>
      <c r="BS1788" s="16"/>
      <c r="BT1788" s="16"/>
      <c r="BU1788" s="16"/>
      <c r="BV1788" s="16"/>
      <c r="BW1788" s="16"/>
      <c r="BX1788" s="16"/>
      <c r="BY1788" s="16"/>
    </row>
    <row r="1789">
      <c r="A1789" s="16"/>
      <c r="B1789" s="16"/>
      <c r="C1789" s="22"/>
      <c r="D1789" s="16"/>
      <c r="E1789" s="16"/>
      <c r="F1789" s="16"/>
      <c r="G1789" s="16"/>
      <c r="H1789" s="16"/>
      <c r="I1789" s="23"/>
      <c r="J1789" s="23"/>
      <c r="K1789" s="16"/>
      <c r="L1789" s="23"/>
      <c r="M1789" s="23"/>
      <c r="N1789" s="23"/>
      <c r="O1789" s="16"/>
      <c r="P1789" s="23"/>
      <c r="Q1789" s="23"/>
      <c r="R1789" s="23"/>
      <c r="S1789" s="16"/>
      <c r="T1789" s="23"/>
      <c r="U1789" s="23"/>
      <c r="V1789" s="23"/>
      <c r="W1789" s="16"/>
      <c r="X1789" s="23"/>
      <c r="Y1789" s="23"/>
      <c r="Z1789" s="23"/>
      <c r="AA1789" s="16"/>
      <c r="AB1789" s="23"/>
      <c r="AC1789" s="23"/>
      <c r="AD1789" s="23"/>
      <c r="AE1789" s="16"/>
      <c r="AF1789" s="23"/>
      <c r="AG1789" s="23"/>
      <c r="AH1789" s="23"/>
      <c r="AI1789" s="16"/>
      <c r="AJ1789" s="23"/>
      <c r="AK1789" s="23"/>
      <c r="AL1789" s="23"/>
      <c r="AM1789" s="16"/>
      <c r="AN1789" s="23"/>
      <c r="AO1789" s="23"/>
      <c r="AP1789" s="23"/>
      <c r="AQ1789" s="16"/>
      <c r="AR1789" s="23"/>
      <c r="AS1789" s="23"/>
      <c r="AT1789" s="23"/>
      <c r="AU1789" s="16"/>
      <c r="AV1789" s="23"/>
      <c r="AW1789" s="23"/>
      <c r="AX1789" s="23"/>
      <c r="AY1789" s="16"/>
      <c r="AZ1789" s="23"/>
      <c r="BA1789" s="23"/>
      <c r="BB1789" s="23"/>
      <c r="BC1789" s="16"/>
      <c r="BD1789" s="23"/>
      <c r="BE1789" s="23"/>
      <c r="BF1789" s="23"/>
      <c r="BG1789" s="16"/>
      <c r="BH1789" s="23"/>
      <c r="BI1789" s="23"/>
      <c r="BJ1789" s="23"/>
      <c r="BN1789" s="23"/>
      <c r="BO1789" s="23"/>
      <c r="BP1789" s="16"/>
      <c r="BQ1789" s="16"/>
      <c r="BR1789" s="23"/>
      <c r="BS1789" s="16"/>
      <c r="BT1789" s="16"/>
      <c r="BU1789" s="16"/>
      <c r="BV1789" s="16"/>
      <c r="BW1789" s="16"/>
      <c r="BX1789" s="16"/>
      <c r="BY1789" s="16"/>
    </row>
    <row r="1790">
      <c r="A1790" s="16"/>
      <c r="B1790" s="16"/>
      <c r="C1790" s="22"/>
      <c r="D1790" s="16"/>
      <c r="E1790" s="16"/>
      <c r="F1790" s="16"/>
      <c r="G1790" s="16"/>
      <c r="H1790" s="16"/>
      <c r="I1790" s="23"/>
      <c r="J1790" s="23"/>
      <c r="K1790" s="16"/>
      <c r="L1790" s="23"/>
      <c r="M1790" s="23"/>
      <c r="N1790" s="23"/>
      <c r="O1790" s="16"/>
      <c r="P1790" s="23"/>
      <c r="Q1790" s="23"/>
      <c r="R1790" s="23"/>
      <c r="S1790" s="16"/>
      <c r="T1790" s="23"/>
      <c r="U1790" s="23"/>
      <c r="V1790" s="23"/>
      <c r="W1790" s="16"/>
      <c r="X1790" s="23"/>
      <c r="Y1790" s="23"/>
      <c r="Z1790" s="23"/>
      <c r="AA1790" s="16"/>
      <c r="AB1790" s="23"/>
      <c r="AC1790" s="23"/>
      <c r="AD1790" s="23"/>
      <c r="AE1790" s="16"/>
      <c r="AF1790" s="23"/>
      <c r="AG1790" s="23"/>
      <c r="AH1790" s="23"/>
      <c r="AI1790" s="16"/>
      <c r="AJ1790" s="23"/>
      <c r="AK1790" s="23"/>
      <c r="AL1790" s="23"/>
      <c r="AM1790" s="16"/>
      <c r="AN1790" s="23"/>
      <c r="AO1790" s="23"/>
      <c r="AP1790" s="23"/>
      <c r="AQ1790" s="16"/>
      <c r="AR1790" s="23"/>
      <c r="AS1790" s="23"/>
      <c r="AT1790" s="23"/>
      <c r="AU1790" s="16"/>
      <c r="AV1790" s="23"/>
      <c r="AW1790" s="23"/>
      <c r="AX1790" s="23"/>
      <c r="AY1790" s="16"/>
      <c r="AZ1790" s="23"/>
      <c r="BA1790" s="23"/>
      <c r="BB1790" s="23"/>
      <c r="BC1790" s="16"/>
      <c r="BD1790" s="23"/>
      <c r="BE1790" s="23"/>
      <c r="BF1790" s="23"/>
      <c r="BG1790" s="16"/>
      <c r="BH1790" s="23"/>
      <c r="BI1790" s="23"/>
      <c r="BJ1790" s="23"/>
      <c r="BN1790" s="23"/>
      <c r="BO1790" s="23"/>
      <c r="BP1790" s="16"/>
      <c r="BQ1790" s="16"/>
      <c r="BR1790" s="23"/>
      <c r="BS1790" s="16"/>
      <c r="BT1790" s="16"/>
      <c r="BU1790" s="16"/>
      <c r="BV1790" s="16"/>
      <c r="BW1790" s="16"/>
      <c r="BX1790" s="16"/>
      <c r="BY1790" s="16"/>
    </row>
    <row r="1791">
      <c r="A1791" s="16"/>
      <c r="B1791" s="16"/>
      <c r="C1791" s="22"/>
      <c r="D1791" s="16"/>
      <c r="E1791" s="16"/>
      <c r="F1791" s="16"/>
      <c r="G1791" s="16"/>
      <c r="H1791" s="16"/>
      <c r="I1791" s="23"/>
      <c r="J1791" s="23"/>
      <c r="K1791" s="16"/>
      <c r="L1791" s="23"/>
      <c r="M1791" s="23"/>
      <c r="N1791" s="23"/>
      <c r="O1791" s="16"/>
      <c r="P1791" s="23"/>
      <c r="Q1791" s="23"/>
      <c r="R1791" s="23"/>
      <c r="S1791" s="16"/>
      <c r="T1791" s="23"/>
      <c r="U1791" s="23"/>
      <c r="V1791" s="23"/>
      <c r="W1791" s="16"/>
      <c r="X1791" s="23"/>
      <c r="Y1791" s="23"/>
      <c r="Z1791" s="23"/>
      <c r="AA1791" s="16"/>
      <c r="AB1791" s="23"/>
      <c r="AC1791" s="23"/>
      <c r="AD1791" s="23"/>
      <c r="AE1791" s="16"/>
      <c r="AF1791" s="23"/>
      <c r="AG1791" s="23"/>
      <c r="AH1791" s="23"/>
      <c r="AI1791" s="16"/>
      <c r="AJ1791" s="23"/>
      <c r="AK1791" s="23"/>
      <c r="AL1791" s="23"/>
      <c r="AM1791" s="16"/>
      <c r="AN1791" s="23"/>
      <c r="AO1791" s="23"/>
      <c r="AP1791" s="23"/>
      <c r="AQ1791" s="16"/>
      <c r="AR1791" s="23"/>
      <c r="AS1791" s="23"/>
      <c r="AT1791" s="23"/>
      <c r="AU1791" s="16"/>
      <c r="AV1791" s="23"/>
      <c r="AW1791" s="23"/>
      <c r="AX1791" s="23"/>
      <c r="AY1791" s="16"/>
      <c r="AZ1791" s="23"/>
      <c r="BA1791" s="23"/>
      <c r="BB1791" s="23"/>
      <c r="BC1791" s="16"/>
      <c r="BD1791" s="23"/>
      <c r="BE1791" s="23"/>
      <c r="BF1791" s="23"/>
      <c r="BG1791" s="16"/>
      <c r="BH1791" s="23"/>
      <c r="BI1791" s="23"/>
      <c r="BJ1791" s="23"/>
      <c r="BN1791" s="23"/>
      <c r="BO1791" s="23"/>
      <c r="BP1791" s="16"/>
      <c r="BQ1791" s="16"/>
      <c r="BR1791" s="23"/>
      <c r="BS1791" s="16"/>
      <c r="BT1791" s="16"/>
      <c r="BU1791" s="16"/>
      <c r="BV1791" s="16"/>
      <c r="BW1791" s="16"/>
      <c r="BX1791" s="16"/>
      <c r="BY1791" s="16"/>
    </row>
    <row r="1792">
      <c r="A1792" s="16"/>
      <c r="B1792" s="16"/>
      <c r="C1792" s="22"/>
      <c r="D1792" s="16"/>
      <c r="E1792" s="16"/>
      <c r="F1792" s="16"/>
      <c r="G1792" s="16"/>
      <c r="H1792" s="16"/>
      <c r="I1792" s="23"/>
      <c r="J1792" s="23"/>
      <c r="K1792" s="16"/>
      <c r="L1792" s="23"/>
      <c r="M1792" s="23"/>
      <c r="N1792" s="23"/>
      <c r="O1792" s="16"/>
      <c r="P1792" s="23"/>
      <c r="Q1792" s="23"/>
      <c r="R1792" s="23"/>
      <c r="S1792" s="16"/>
      <c r="T1792" s="23"/>
      <c r="U1792" s="23"/>
      <c r="V1792" s="23"/>
      <c r="W1792" s="16"/>
      <c r="X1792" s="23"/>
      <c r="Y1792" s="23"/>
      <c r="Z1792" s="23"/>
      <c r="AA1792" s="16"/>
      <c r="AB1792" s="23"/>
      <c r="AC1792" s="23"/>
      <c r="AD1792" s="23"/>
      <c r="AE1792" s="16"/>
      <c r="AF1792" s="23"/>
      <c r="AG1792" s="23"/>
      <c r="AH1792" s="23"/>
      <c r="AI1792" s="16"/>
      <c r="AJ1792" s="23"/>
      <c r="AK1792" s="23"/>
      <c r="AL1792" s="23"/>
      <c r="AM1792" s="16"/>
      <c r="AN1792" s="23"/>
      <c r="AO1792" s="23"/>
      <c r="AP1792" s="23"/>
      <c r="AQ1792" s="16"/>
      <c r="AR1792" s="23"/>
      <c r="AS1792" s="23"/>
      <c r="AT1792" s="23"/>
      <c r="AU1792" s="16"/>
      <c r="AV1792" s="23"/>
      <c r="AW1792" s="23"/>
      <c r="AX1792" s="23"/>
      <c r="AY1792" s="16"/>
      <c r="AZ1792" s="23"/>
      <c r="BA1792" s="23"/>
      <c r="BB1792" s="23"/>
      <c r="BC1792" s="16"/>
      <c r="BD1792" s="23"/>
      <c r="BE1792" s="23"/>
      <c r="BF1792" s="23"/>
      <c r="BG1792" s="16"/>
      <c r="BH1792" s="23"/>
      <c r="BI1792" s="23"/>
      <c r="BJ1792" s="23"/>
      <c r="BN1792" s="23"/>
      <c r="BO1792" s="23"/>
      <c r="BP1792" s="16"/>
      <c r="BQ1792" s="16"/>
      <c r="BR1792" s="23"/>
      <c r="BS1792" s="16"/>
      <c r="BT1792" s="16"/>
      <c r="BU1792" s="16"/>
      <c r="BV1792" s="16"/>
      <c r="BW1792" s="16"/>
      <c r="BX1792" s="16"/>
      <c r="BY1792" s="16"/>
    </row>
    <row r="1793">
      <c r="A1793" s="16"/>
      <c r="B1793" s="16"/>
      <c r="C1793" s="22"/>
      <c r="D1793" s="16"/>
      <c r="E1793" s="16"/>
      <c r="F1793" s="16"/>
      <c r="G1793" s="16"/>
      <c r="H1793" s="16"/>
      <c r="I1793" s="23"/>
      <c r="J1793" s="23"/>
      <c r="K1793" s="16"/>
      <c r="L1793" s="23"/>
      <c r="M1793" s="23"/>
      <c r="N1793" s="23"/>
      <c r="O1793" s="16"/>
      <c r="P1793" s="23"/>
      <c r="Q1793" s="23"/>
      <c r="R1793" s="23"/>
      <c r="S1793" s="16"/>
      <c r="T1793" s="23"/>
      <c r="U1793" s="23"/>
      <c r="V1793" s="23"/>
      <c r="W1793" s="16"/>
      <c r="X1793" s="23"/>
      <c r="Y1793" s="23"/>
      <c r="Z1793" s="23"/>
      <c r="AA1793" s="16"/>
      <c r="AB1793" s="23"/>
      <c r="AC1793" s="23"/>
      <c r="AD1793" s="23"/>
      <c r="AE1793" s="16"/>
      <c r="AF1793" s="23"/>
      <c r="AG1793" s="23"/>
      <c r="AH1793" s="23"/>
      <c r="AI1793" s="16"/>
      <c r="AJ1793" s="23"/>
      <c r="AK1793" s="23"/>
      <c r="AL1793" s="23"/>
      <c r="AM1793" s="16"/>
      <c r="AN1793" s="23"/>
      <c r="AO1793" s="23"/>
      <c r="AP1793" s="23"/>
      <c r="AQ1793" s="16"/>
      <c r="AR1793" s="23"/>
      <c r="AS1793" s="23"/>
      <c r="AT1793" s="23"/>
      <c r="AU1793" s="16"/>
      <c r="AV1793" s="23"/>
      <c r="AW1793" s="23"/>
      <c r="AX1793" s="23"/>
      <c r="AY1793" s="16"/>
      <c r="AZ1793" s="23"/>
      <c r="BA1793" s="23"/>
      <c r="BB1793" s="23"/>
      <c r="BC1793" s="16"/>
      <c r="BD1793" s="23"/>
      <c r="BE1793" s="23"/>
      <c r="BF1793" s="23"/>
      <c r="BG1793" s="16"/>
      <c r="BH1793" s="23"/>
      <c r="BI1793" s="23"/>
      <c r="BJ1793" s="23"/>
      <c r="BN1793" s="23"/>
      <c r="BO1793" s="23"/>
      <c r="BP1793" s="16"/>
      <c r="BQ1793" s="16"/>
      <c r="BR1793" s="23"/>
      <c r="BS1793" s="16"/>
      <c r="BT1793" s="16"/>
      <c r="BU1793" s="16"/>
      <c r="BV1793" s="16"/>
      <c r="BW1793" s="16"/>
      <c r="BX1793" s="16"/>
      <c r="BY1793" s="16"/>
    </row>
    <row r="1794">
      <c r="A1794" s="16"/>
      <c r="B1794" s="16"/>
      <c r="C1794" s="22"/>
      <c r="D1794" s="16"/>
      <c r="E1794" s="16"/>
      <c r="F1794" s="16"/>
      <c r="G1794" s="16"/>
      <c r="H1794" s="16"/>
      <c r="I1794" s="23"/>
      <c r="J1794" s="23"/>
      <c r="K1794" s="16"/>
      <c r="L1794" s="23"/>
      <c r="M1794" s="23"/>
      <c r="N1794" s="23"/>
      <c r="O1794" s="16"/>
      <c r="P1794" s="23"/>
      <c r="Q1794" s="23"/>
      <c r="R1794" s="23"/>
      <c r="S1794" s="16"/>
      <c r="T1794" s="23"/>
      <c r="U1794" s="23"/>
      <c r="V1794" s="23"/>
      <c r="W1794" s="16"/>
      <c r="X1794" s="23"/>
      <c r="Y1794" s="23"/>
      <c r="Z1794" s="23"/>
      <c r="AA1794" s="16"/>
      <c r="AB1794" s="23"/>
      <c r="AC1794" s="23"/>
      <c r="AD1794" s="23"/>
      <c r="AE1794" s="16"/>
      <c r="AF1794" s="23"/>
      <c r="AG1794" s="23"/>
      <c r="AH1794" s="23"/>
      <c r="AI1794" s="16"/>
      <c r="AJ1794" s="23"/>
      <c r="AK1794" s="23"/>
      <c r="AL1794" s="23"/>
      <c r="AM1794" s="16"/>
      <c r="AN1794" s="23"/>
      <c r="AO1794" s="23"/>
      <c r="AP1794" s="23"/>
      <c r="AQ1794" s="16"/>
      <c r="AR1794" s="23"/>
      <c r="AS1794" s="23"/>
      <c r="AT1794" s="23"/>
      <c r="AU1794" s="16"/>
      <c r="AV1794" s="23"/>
      <c r="AW1794" s="23"/>
      <c r="AX1794" s="23"/>
      <c r="AY1794" s="16"/>
      <c r="AZ1794" s="23"/>
      <c r="BA1794" s="23"/>
      <c r="BB1794" s="23"/>
      <c r="BC1794" s="16"/>
      <c r="BD1794" s="23"/>
      <c r="BE1794" s="23"/>
      <c r="BF1794" s="23"/>
      <c r="BG1794" s="16"/>
      <c r="BH1794" s="23"/>
      <c r="BI1794" s="23"/>
      <c r="BJ1794" s="23"/>
      <c r="BN1794" s="23"/>
      <c r="BO1794" s="23"/>
      <c r="BP1794" s="16"/>
      <c r="BQ1794" s="16"/>
      <c r="BR1794" s="23"/>
      <c r="BS1794" s="16"/>
      <c r="BT1794" s="16"/>
      <c r="BU1794" s="16"/>
      <c r="BV1794" s="16"/>
      <c r="BW1794" s="16"/>
      <c r="BX1794" s="16"/>
      <c r="BY1794" s="16"/>
    </row>
    <row r="1795">
      <c r="A1795" s="16"/>
      <c r="B1795" s="16"/>
      <c r="C1795" s="22"/>
      <c r="D1795" s="16"/>
      <c r="E1795" s="16"/>
      <c r="F1795" s="16"/>
      <c r="G1795" s="16"/>
      <c r="H1795" s="16"/>
      <c r="I1795" s="23"/>
      <c r="J1795" s="23"/>
      <c r="K1795" s="16"/>
      <c r="L1795" s="23"/>
      <c r="M1795" s="23"/>
      <c r="N1795" s="23"/>
      <c r="O1795" s="16"/>
      <c r="P1795" s="23"/>
      <c r="Q1795" s="23"/>
      <c r="R1795" s="23"/>
      <c r="S1795" s="16"/>
      <c r="T1795" s="23"/>
      <c r="U1795" s="23"/>
      <c r="V1795" s="23"/>
      <c r="W1795" s="16"/>
      <c r="X1795" s="23"/>
      <c r="Y1795" s="23"/>
      <c r="Z1795" s="23"/>
      <c r="AA1795" s="16"/>
      <c r="AB1795" s="23"/>
      <c r="AC1795" s="23"/>
      <c r="AD1795" s="23"/>
      <c r="AE1795" s="16"/>
      <c r="AF1795" s="23"/>
      <c r="AG1795" s="23"/>
      <c r="AH1795" s="23"/>
      <c r="AI1795" s="16"/>
      <c r="AJ1795" s="23"/>
      <c r="AK1795" s="23"/>
      <c r="AL1795" s="23"/>
      <c r="AM1795" s="16"/>
      <c r="AN1795" s="23"/>
      <c r="AO1795" s="23"/>
      <c r="AP1795" s="23"/>
      <c r="AQ1795" s="16"/>
      <c r="AR1795" s="23"/>
      <c r="AS1795" s="23"/>
      <c r="AT1795" s="23"/>
      <c r="AU1795" s="16"/>
      <c r="AV1795" s="23"/>
      <c r="AW1795" s="23"/>
      <c r="AX1795" s="23"/>
      <c r="AY1795" s="16"/>
      <c r="AZ1795" s="23"/>
      <c r="BA1795" s="23"/>
      <c r="BB1795" s="23"/>
      <c r="BC1795" s="16"/>
      <c r="BD1795" s="23"/>
      <c r="BE1795" s="23"/>
      <c r="BF1795" s="23"/>
      <c r="BG1795" s="16"/>
      <c r="BH1795" s="23"/>
      <c r="BI1795" s="23"/>
      <c r="BJ1795" s="23"/>
      <c r="BN1795" s="23"/>
      <c r="BO1795" s="23"/>
      <c r="BP1795" s="16"/>
      <c r="BQ1795" s="16"/>
      <c r="BR1795" s="23"/>
      <c r="BS1795" s="16"/>
      <c r="BT1795" s="16"/>
      <c r="BU1795" s="16"/>
      <c r="BV1795" s="16"/>
      <c r="BW1795" s="16"/>
      <c r="BX1795" s="16"/>
      <c r="BY1795" s="16"/>
    </row>
    <row r="1796">
      <c r="A1796" s="16"/>
      <c r="B1796" s="16"/>
      <c r="C1796" s="22"/>
      <c r="D1796" s="16"/>
      <c r="E1796" s="16"/>
      <c r="F1796" s="16"/>
      <c r="G1796" s="16"/>
      <c r="H1796" s="16"/>
      <c r="I1796" s="23"/>
      <c r="J1796" s="23"/>
      <c r="K1796" s="16"/>
      <c r="L1796" s="23"/>
      <c r="M1796" s="23"/>
      <c r="N1796" s="23"/>
      <c r="O1796" s="16"/>
      <c r="P1796" s="23"/>
      <c r="Q1796" s="23"/>
      <c r="R1796" s="23"/>
      <c r="S1796" s="16"/>
      <c r="T1796" s="23"/>
      <c r="U1796" s="23"/>
      <c r="V1796" s="23"/>
      <c r="W1796" s="16"/>
      <c r="X1796" s="23"/>
      <c r="Y1796" s="23"/>
      <c r="Z1796" s="23"/>
      <c r="AA1796" s="16"/>
      <c r="AB1796" s="23"/>
      <c r="AC1796" s="23"/>
      <c r="AD1796" s="23"/>
      <c r="AE1796" s="16"/>
      <c r="AF1796" s="23"/>
      <c r="AG1796" s="23"/>
      <c r="AH1796" s="23"/>
      <c r="AI1796" s="16"/>
      <c r="AJ1796" s="23"/>
      <c r="AK1796" s="23"/>
      <c r="AL1796" s="23"/>
      <c r="AM1796" s="16"/>
      <c r="AN1796" s="23"/>
      <c r="AO1796" s="23"/>
      <c r="AP1796" s="23"/>
      <c r="AQ1796" s="16"/>
      <c r="AR1796" s="23"/>
      <c r="AS1796" s="23"/>
      <c r="AT1796" s="23"/>
      <c r="AU1796" s="16"/>
      <c r="AV1796" s="23"/>
      <c r="AW1796" s="23"/>
      <c r="AX1796" s="23"/>
      <c r="AY1796" s="16"/>
      <c r="AZ1796" s="23"/>
      <c r="BA1796" s="23"/>
      <c r="BB1796" s="23"/>
      <c r="BC1796" s="16"/>
      <c r="BD1796" s="23"/>
      <c r="BE1796" s="23"/>
      <c r="BF1796" s="23"/>
      <c r="BG1796" s="16"/>
      <c r="BH1796" s="23"/>
      <c r="BI1796" s="23"/>
      <c r="BJ1796" s="23"/>
      <c r="BN1796" s="23"/>
      <c r="BO1796" s="23"/>
      <c r="BP1796" s="16"/>
      <c r="BQ1796" s="16"/>
      <c r="BR1796" s="23"/>
      <c r="BS1796" s="16"/>
      <c r="BT1796" s="16"/>
      <c r="BU1796" s="16"/>
      <c r="BV1796" s="16"/>
      <c r="BW1796" s="16"/>
      <c r="BX1796" s="16"/>
      <c r="BY1796" s="16"/>
    </row>
    <row r="1797">
      <c r="A1797" s="16"/>
      <c r="B1797" s="16"/>
      <c r="C1797" s="22"/>
      <c r="D1797" s="16"/>
      <c r="E1797" s="16"/>
      <c r="F1797" s="16"/>
      <c r="G1797" s="16"/>
      <c r="H1797" s="16"/>
      <c r="I1797" s="23"/>
      <c r="J1797" s="23"/>
      <c r="K1797" s="16"/>
      <c r="L1797" s="23"/>
      <c r="M1797" s="23"/>
      <c r="N1797" s="23"/>
      <c r="O1797" s="16"/>
      <c r="P1797" s="23"/>
      <c r="Q1797" s="23"/>
      <c r="R1797" s="23"/>
      <c r="S1797" s="16"/>
      <c r="T1797" s="23"/>
      <c r="U1797" s="23"/>
      <c r="V1797" s="23"/>
      <c r="W1797" s="16"/>
      <c r="X1797" s="23"/>
      <c r="Y1797" s="23"/>
      <c r="Z1797" s="23"/>
      <c r="AA1797" s="16"/>
      <c r="AB1797" s="23"/>
      <c r="AC1797" s="23"/>
      <c r="AD1797" s="23"/>
      <c r="AE1797" s="16"/>
      <c r="AF1797" s="23"/>
      <c r="AG1797" s="23"/>
      <c r="AH1797" s="23"/>
      <c r="AI1797" s="16"/>
      <c r="AJ1797" s="23"/>
      <c r="AK1797" s="23"/>
      <c r="AL1797" s="23"/>
      <c r="AM1797" s="16"/>
      <c r="AN1797" s="23"/>
      <c r="AO1797" s="23"/>
      <c r="AP1797" s="23"/>
      <c r="AQ1797" s="16"/>
      <c r="AR1797" s="23"/>
      <c r="AS1797" s="23"/>
      <c r="AT1797" s="23"/>
      <c r="AU1797" s="16"/>
      <c r="AV1797" s="23"/>
      <c r="AW1797" s="23"/>
      <c r="AX1797" s="23"/>
      <c r="AY1797" s="16"/>
      <c r="AZ1797" s="23"/>
      <c r="BA1797" s="23"/>
      <c r="BB1797" s="23"/>
      <c r="BC1797" s="16"/>
      <c r="BD1797" s="23"/>
      <c r="BE1797" s="23"/>
      <c r="BF1797" s="23"/>
      <c r="BG1797" s="16"/>
      <c r="BH1797" s="23"/>
      <c r="BI1797" s="23"/>
      <c r="BJ1797" s="23"/>
      <c r="BN1797" s="23"/>
      <c r="BO1797" s="23"/>
      <c r="BP1797" s="16"/>
      <c r="BQ1797" s="16"/>
      <c r="BR1797" s="23"/>
      <c r="BS1797" s="16"/>
      <c r="BT1797" s="16"/>
      <c r="BU1797" s="16"/>
      <c r="BV1797" s="16"/>
      <c r="BW1797" s="16"/>
      <c r="BX1797" s="16"/>
      <c r="BY1797" s="16"/>
    </row>
    <row r="1798">
      <c r="A1798" s="16"/>
      <c r="B1798" s="16"/>
      <c r="C1798" s="22"/>
      <c r="D1798" s="16"/>
      <c r="E1798" s="16"/>
      <c r="F1798" s="16"/>
      <c r="G1798" s="16"/>
      <c r="H1798" s="16"/>
      <c r="I1798" s="23"/>
      <c r="J1798" s="23"/>
      <c r="K1798" s="16"/>
      <c r="L1798" s="23"/>
      <c r="M1798" s="23"/>
      <c r="N1798" s="23"/>
      <c r="O1798" s="16"/>
      <c r="P1798" s="23"/>
      <c r="Q1798" s="23"/>
      <c r="R1798" s="23"/>
      <c r="S1798" s="16"/>
      <c r="T1798" s="23"/>
      <c r="U1798" s="23"/>
      <c r="V1798" s="23"/>
      <c r="W1798" s="16"/>
      <c r="X1798" s="23"/>
      <c r="Y1798" s="23"/>
      <c r="Z1798" s="23"/>
      <c r="AA1798" s="16"/>
      <c r="AB1798" s="23"/>
      <c r="AC1798" s="23"/>
      <c r="AD1798" s="23"/>
      <c r="AE1798" s="16"/>
      <c r="AF1798" s="23"/>
      <c r="AG1798" s="23"/>
      <c r="AH1798" s="23"/>
      <c r="AI1798" s="16"/>
      <c r="AJ1798" s="23"/>
      <c r="AK1798" s="23"/>
      <c r="AL1798" s="23"/>
      <c r="AM1798" s="16"/>
      <c r="AN1798" s="23"/>
      <c r="AO1798" s="23"/>
      <c r="AP1798" s="23"/>
      <c r="AQ1798" s="16"/>
      <c r="AR1798" s="23"/>
      <c r="AS1798" s="23"/>
      <c r="AT1798" s="23"/>
      <c r="AU1798" s="16"/>
      <c r="AV1798" s="23"/>
      <c r="AW1798" s="23"/>
      <c r="AX1798" s="23"/>
      <c r="AY1798" s="16"/>
      <c r="AZ1798" s="23"/>
      <c r="BA1798" s="23"/>
      <c r="BB1798" s="23"/>
      <c r="BC1798" s="16"/>
      <c r="BD1798" s="23"/>
      <c r="BE1798" s="23"/>
      <c r="BF1798" s="23"/>
      <c r="BG1798" s="16"/>
      <c r="BH1798" s="23"/>
      <c r="BI1798" s="23"/>
      <c r="BJ1798" s="23"/>
      <c r="BN1798" s="23"/>
      <c r="BO1798" s="23"/>
      <c r="BP1798" s="16"/>
      <c r="BQ1798" s="16"/>
      <c r="BR1798" s="23"/>
      <c r="BS1798" s="16"/>
      <c r="BT1798" s="16"/>
      <c r="BU1798" s="16"/>
      <c r="BV1798" s="16"/>
      <c r="BW1798" s="16"/>
      <c r="BX1798" s="16"/>
      <c r="BY1798" s="16"/>
    </row>
    <row r="1799">
      <c r="A1799" s="16"/>
      <c r="B1799" s="16"/>
      <c r="C1799" s="22"/>
      <c r="D1799" s="16"/>
      <c r="E1799" s="16"/>
      <c r="F1799" s="16"/>
      <c r="G1799" s="16"/>
      <c r="H1799" s="16"/>
      <c r="I1799" s="23"/>
      <c r="J1799" s="23"/>
      <c r="K1799" s="16"/>
      <c r="L1799" s="23"/>
      <c r="M1799" s="23"/>
      <c r="N1799" s="23"/>
      <c r="O1799" s="16"/>
      <c r="P1799" s="23"/>
      <c r="Q1799" s="23"/>
      <c r="R1799" s="23"/>
      <c r="S1799" s="16"/>
      <c r="T1799" s="23"/>
      <c r="U1799" s="23"/>
      <c r="V1799" s="23"/>
      <c r="W1799" s="16"/>
      <c r="X1799" s="23"/>
      <c r="Y1799" s="23"/>
      <c r="Z1799" s="23"/>
      <c r="AA1799" s="16"/>
      <c r="AB1799" s="23"/>
      <c r="AC1799" s="23"/>
      <c r="AD1799" s="23"/>
      <c r="AE1799" s="16"/>
      <c r="AF1799" s="23"/>
      <c r="AG1799" s="23"/>
      <c r="AH1799" s="23"/>
      <c r="AI1799" s="16"/>
      <c r="AJ1799" s="23"/>
      <c r="AK1799" s="23"/>
      <c r="AL1799" s="23"/>
      <c r="AM1799" s="16"/>
      <c r="AN1799" s="23"/>
      <c r="AO1799" s="23"/>
      <c r="AP1799" s="23"/>
      <c r="AQ1799" s="16"/>
      <c r="AR1799" s="23"/>
      <c r="AS1799" s="23"/>
      <c r="AT1799" s="23"/>
      <c r="AU1799" s="16"/>
      <c r="AV1799" s="23"/>
      <c r="AW1799" s="23"/>
      <c r="AX1799" s="23"/>
      <c r="AY1799" s="16"/>
      <c r="AZ1799" s="23"/>
      <c r="BA1799" s="23"/>
      <c r="BB1799" s="23"/>
      <c r="BC1799" s="16"/>
      <c r="BD1799" s="23"/>
      <c r="BE1799" s="23"/>
      <c r="BF1799" s="23"/>
      <c r="BG1799" s="16"/>
      <c r="BH1799" s="23"/>
      <c r="BI1799" s="23"/>
      <c r="BJ1799" s="23"/>
      <c r="BN1799" s="23"/>
      <c r="BO1799" s="23"/>
      <c r="BP1799" s="16"/>
      <c r="BQ1799" s="16"/>
      <c r="BR1799" s="23"/>
      <c r="BS1799" s="16"/>
      <c r="BT1799" s="16"/>
      <c r="BU1799" s="16"/>
      <c r="BV1799" s="16"/>
      <c r="BW1799" s="16"/>
      <c r="BX1799" s="16"/>
      <c r="BY1799" s="16"/>
    </row>
    <row r="1800">
      <c r="A1800" s="16"/>
      <c r="B1800" s="16"/>
      <c r="C1800" s="22"/>
      <c r="D1800" s="16"/>
      <c r="E1800" s="16"/>
      <c r="F1800" s="16"/>
      <c r="G1800" s="16"/>
      <c r="H1800" s="16"/>
      <c r="I1800" s="23"/>
      <c r="J1800" s="23"/>
      <c r="K1800" s="16"/>
      <c r="L1800" s="23"/>
      <c r="M1800" s="23"/>
      <c r="N1800" s="23"/>
      <c r="O1800" s="16"/>
      <c r="P1800" s="23"/>
      <c r="Q1800" s="23"/>
      <c r="R1800" s="23"/>
      <c r="S1800" s="16"/>
      <c r="T1800" s="23"/>
      <c r="U1800" s="23"/>
      <c r="V1800" s="23"/>
      <c r="W1800" s="16"/>
      <c r="X1800" s="23"/>
      <c r="Y1800" s="23"/>
      <c r="Z1800" s="23"/>
      <c r="AA1800" s="16"/>
      <c r="AB1800" s="23"/>
      <c r="AC1800" s="23"/>
      <c r="AD1800" s="23"/>
      <c r="AE1800" s="16"/>
      <c r="AF1800" s="23"/>
      <c r="AG1800" s="23"/>
      <c r="AH1800" s="23"/>
      <c r="AI1800" s="16"/>
      <c r="AJ1800" s="23"/>
      <c r="AK1800" s="23"/>
      <c r="AL1800" s="23"/>
      <c r="AM1800" s="16"/>
      <c r="AN1800" s="23"/>
      <c r="AO1800" s="23"/>
      <c r="AP1800" s="23"/>
      <c r="AQ1800" s="16"/>
      <c r="AR1800" s="23"/>
      <c r="AS1800" s="23"/>
      <c r="AT1800" s="23"/>
      <c r="AU1800" s="16"/>
      <c r="AV1800" s="23"/>
      <c r="AW1800" s="23"/>
      <c r="AX1800" s="23"/>
      <c r="AY1800" s="16"/>
      <c r="AZ1800" s="23"/>
      <c r="BA1800" s="23"/>
      <c r="BB1800" s="23"/>
      <c r="BC1800" s="16"/>
      <c r="BD1800" s="23"/>
      <c r="BE1800" s="23"/>
      <c r="BF1800" s="23"/>
      <c r="BG1800" s="16"/>
      <c r="BH1800" s="23"/>
      <c r="BI1800" s="23"/>
      <c r="BJ1800" s="23"/>
      <c r="BN1800" s="23"/>
      <c r="BO1800" s="23"/>
      <c r="BP1800" s="16"/>
      <c r="BQ1800" s="16"/>
      <c r="BR1800" s="23"/>
      <c r="BS1800" s="16"/>
      <c r="BT1800" s="16"/>
      <c r="BU1800" s="16"/>
      <c r="BV1800" s="16"/>
      <c r="BW1800" s="16"/>
      <c r="BX1800" s="16"/>
      <c r="BY1800" s="16"/>
    </row>
    <row r="1801">
      <c r="A1801" s="16"/>
      <c r="B1801" s="16"/>
      <c r="C1801" s="22"/>
      <c r="D1801" s="16"/>
      <c r="E1801" s="16"/>
      <c r="F1801" s="16"/>
      <c r="G1801" s="16"/>
      <c r="H1801" s="16"/>
      <c r="I1801" s="23"/>
      <c r="J1801" s="23"/>
      <c r="K1801" s="16"/>
      <c r="L1801" s="23"/>
      <c r="M1801" s="23"/>
      <c r="N1801" s="23"/>
      <c r="O1801" s="16"/>
      <c r="P1801" s="23"/>
      <c r="Q1801" s="23"/>
      <c r="R1801" s="23"/>
      <c r="S1801" s="16"/>
      <c r="T1801" s="23"/>
      <c r="U1801" s="23"/>
      <c r="V1801" s="23"/>
      <c r="W1801" s="16"/>
      <c r="X1801" s="23"/>
      <c r="Y1801" s="23"/>
      <c r="Z1801" s="23"/>
      <c r="AA1801" s="16"/>
      <c r="AB1801" s="23"/>
      <c r="AC1801" s="23"/>
      <c r="AD1801" s="23"/>
      <c r="AE1801" s="16"/>
      <c r="AF1801" s="23"/>
      <c r="AG1801" s="23"/>
      <c r="AH1801" s="23"/>
      <c r="AI1801" s="16"/>
      <c r="AJ1801" s="23"/>
      <c r="AK1801" s="23"/>
      <c r="AL1801" s="23"/>
      <c r="AM1801" s="16"/>
      <c r="AN1801" s="23"/>
      <c r="AO1801" s="23"/>
      <c r="AP1801" s="23"/>
      <c r="AQ1801" s="16"/>
      <c r="AR1801" s="23"/>
      <c r="AS1801" s="23"/>
      <c r="AT1801" s="23"/>
      <c r="AU1801" s="16"/>
      <c r="AV1801" s="23"/>
      <c r="AW1801" s="23"/>
      <c r="AX1801" s="23"/>
      <c r="AY1801" s="16"/>
      <c r="AZ1801" s="23"/>
      <c r="BA1801" s="23"/>
      <c r="BB1801" s="23"/>
      <c r="BC1801" s="16"/>
      <c r="BD1801" s="23"/>
      <c r="BE1801" s="23"/>
      <c r="BF1801" s="23"/>
      <c r="BG1801" s="16"/>
      <c r="BH1801" s="23"/>
      <c r="BI1801" s="23"/>
      <c r="BJ1801" s="23"/>
      <c r="BN1801" s="23"/>
      <c r="BO1801" s="23"/>
      <c r="BP1801" s="16"/>
      <c r="BQ1801" s="16"/>
      <c r="BR1801" s="23"/>
      <c r="BS1801" s="16"/>
      <c r="BT1801" s="16"/>
      <c r="BU1801" s="16"/>
      <c r="BV1801" s="16"/>
      <c r="BW1801" s="16"/>
      <c r="BX1801" s="16"/>
      <c r="BY1801" s="16"/>
    </row>
    <row r="1802">
      <c r="A1802" s="16"/>
      <c r="B1802" s="16"/>
      <c r="C1802" s="22"/>
      <c r="D1802" s="16"/>
      <c r="E1802" s="16"/>
      <c r="F1802" s="16"/>
      <c r="G1802" s="16"/>
      <c r="H1802" s="16"/>
      <c r="I1802" s="23"/>
      <c r="J1802" s="23"/>
      <c r="K1802" s="16"/>
      <c r="L1802" s="23"/>
      <c r="M1802" s="23"/>
      <c r="N1802" s="23"/>
      <c r="O1802" s="16"/>
      <c r="P1802" s="23"/>
      <c r="Q1802" s="23"/>
      <c r="R1802" s="23"/>
      <c r="S1802" s="16"/>
      <c r="T1802" s="23"/>
      <c r="U1802" s="23"/>
      <c r="V1802" s="23"/>
      <c r="W1802" s="16"/>
      <c r="X1802" s="23"/>
      <c r="Y1802" s="23"/>
      <c r="Z1802" s="23"/>
      <c r="AA1802" s="16"/>
      <c r="AB1802" s="23"/>
      <c r="AC1802" s="23"/>
      <c r="AD1802" s="23"/>
      <c r="AE1802" s="16"/>
      <c r="AF1802" s="23"/>
      <c r="AG1802" s="23"/>
      <c r="AH1802" s="23"/>
      <c r="AI1802" s="16"/>
      <c r="AJ1802" s="23"/>
      <c r="AK1802" s="23"/>
      <c r="AL1802" s="23"/>
      <c r="AM1802" s="16"/>
      <c r="AN1802" s="23"/>
      <c r="AO1802" s="23"/>
      <c r="AP1802" s="23"/>
      <c r="AQ1802" s="16"/>
      <c r="AR1802" s="23"/>
      <c r="AS1802" s="23"/>
      <c r="AT1802" s="23"/>
      <c r="AU1802" s="16"/>
      <c r="AV1802" s="23"/>
      <c r="AW1802" s="23"/>
      <c r="AX1802" s="23"/>
      <c r="AY1802" s="16"/>
      <c r="AZ1802" s="23"/>
      <c r="BA1802" s="23"/>
      <c r="BB1802" s="23"/>
      <c r="BC1802" s="16"/>
      <c r="BD1802" s="23"/>
      <c r="BE1802" s="23"/>
      <c r="BF1802" s="23"/>
      <c r="BG1802" s="16"/>
      <c r="BH1802" s="23"/>
      <c r="BI1802" s="23"/>
      <c r="BJ1802" s="23"/>
      <c r="BN1802" s="23"/>
      <c r="BO1802" s="23"/>
      <c r="BP1802" s="16"/>
      <c r="BQ1802" s="16"/>
      <c r="BR1802" s="23"/>
      <c r="BS1802" s="16"/>
      <c r="BT1802" s="16"/>
      <c r="BU1802" s="16"/>
      <c r="BV1802" s="16"/>
      <c r="BW1802" s="16"/>
      <c r="BX1802" s="16"/>
      <c r="BY1802" s="16"/>
    </row>
    <row r="1803">
      <c r="A1803" s="16"/>
      <c r="B1803" s="16"/>
      <c r="C1803" s="22"/>
      <c r="D1803" s="16"/>
      <c r="E1803" s="16"/>
      <c r="F1803" s="16"/>
      <c r="G1803" s="16"/>
      <c r="H1803" s="16"/>
      <c r="I1803" s="23"/>
      <c r="J1803" s="23"/>
      <c r="K1803" s="16"/>
      <c r="L1803" s="23"/>
      <c r="M1803" s="23"/>
      <c r="N1803" s="23"/>
      <c r="O1803" s="16"/>
      <c r="P1803" s="23"/>
      <c r="Q1803" s="23"/>
      <c r="R1803" s="23"/>
      <c r="S1803" s="16"/>
      <c r="T1803" s="23"/>
      <c r="U1803" s="23"/>
      <c r="V1803" s="23"/>
      <c r="W1803" s="16"/>
      <c r="X1803" s="23"/>
      <c r="Y1803" s="23"/>
      <c r="Z1803" s="23"/>
      <c r="AA1803" s="16"/>
      <c r="AB1803" s="23"/>
      <c r="AC1803" s="23"/>
      <c r="AD1803" s="23"/>
      <c r="AE1803" s="16"/>
      <c r="AF1803" s="23"/>
      <c r="AG1803" s="23"/>
      <c r="AH1803" s="23"/>
      <c r="AI1803" s="16"/>
      <c r="AJ1803" s="23"/>
      <c r="AK1803" s="23"/>
      <c r="AL1803" s="23"/>
      <c r="AM1803" s="16"/>
      <c r="AN1803" s="23"/>
      <c r="AO1803" s="23"/>
      <c r="AP1803" s="23"/>
      <c r="AQ1803" s="16"/>
      <c r="AR1803" s="23"/>
      <c r="AS1803" s="23"/>
      <c r="AT1803" s="23"/>
      <c r="AU1803" s="16"/>
      <c r="AV1803" s="23"/>
      <c r="AW1803" s="23"/>
      <c r="AX1803" s="23"/>
      <c r="AY1803" s="16"/>
      <c r="AZ1803" s="23"/>
      <c r="BA1803" s="23"/>
      <c r="BB1803" s="23"/>
      <c r="BC1803" s="16"/>
      <c r="BD1803" s="23"/>
      <c r="BE1803" s="23"/>
      <c r="BF1803" s="23"/>
      <c r="BG1803" s="16"/>
      <c r="BH1803" s="23"/>
      <c r="BI1803" s="23"/>
      <c r="BJ1803" s="23"/>
      <c r="BN1803" s="23"/>
      <c r="BO1803" s="23"/>
      <c r="BP1803" s="16"/>
      <c r="BQ1803" s="16"/>
      <c r="BR1803" s="23"/>
      <c r="BS1803" s="16"/>
      <c r="BT1803" s="16"/>
      <c r="BU1803" s="16"/>
      <c r="BV1803" s="16"/>
      <c r="BW1803" s="16"/>
      <c r="BX1803" s="16"/>
      <c r="BY1803" s="16"/>
    </row>
    <row r="1804">
      <c r="A1804" s="16"/>
      <c r="B1804" s="16"/>
      <c r="C1804" s="22"/>
      <c r="D1804" s="16"/>
      <c r="E1804" s="16"/>
      <c r="F1804" s="16"/>
      <c r="G1804" s="16"/>
      <c r="H1804" s="16"/>
      <c r="I1804" s="23"/>
      <c r="J1804" s="23"/>
      <c r="K1804" s="16"/>
      <c r="L1804" s="23"/>
      <c r="M1804" s="23"/>
      <c r="N1804" s="23"/>
      <c r="O1804" s="16"/>
      <c r="P1804" s="23"/>
      <c r="Q1804" s="23"/>
      <c r="R1804" s="23"/>
      <c r="S1804" s="16"/>
      <c r="T1804" s="23"/>
      <c r="U1804" s="23"/>
      <c r="V1804" s="23"/>
      <c r="W1804" s="16"/>
      <c r="X1804" s="23"/>
      <c r="Y1804" s="23"/>
      <c r="Z1804" s="23"/>
      <c r="AA1804" s="16"/>
      <c r="AB1804" s="23"/>
      <c r="AC1804" s="23"/>
      <c r="AD1804" s="23"/>
      <c r="AE1804" s="16"/>
      <c r="AF1804" s="23"/>
      <c r="AG1804" s="23"/>
      <c r="AH1804" s="23"/>
      <c r="AI1804" s="16"/>
      <c r="AJ1804" s="23"/>
      <c r="AK1804" s="23"/>
      <c r="AL1804" s="23"/>
      <c r="AM1804" s="16"/>
      <c r="AN1804" s="23"/>
      <c r="AO1804" s="23"/>
      <c r="AP1804" s="23"/>
      <c r="AQ1804" s="16"/>
      <c r="AR1804" s="23"/>
      <c r="AS1804" s="23"/>
      <c r="AT1804" s="23"/>
      <c r="AU1804" s="16"/>
      <c r="AV1804" s="23"/>
      <c r="AW1804" s="23"/>
      <c r="AX1804" s="23"/>
      <c r="AY1804" s="16"/>
      <c r="AZ1804" s="23"/>
      <c r="BA1804" s="23"/>
      <c r="BB1804" s="23"/>
      <c r="BC1804" s="16"/>
      <c r="BD1804" s="23"/>
      <c r="BE1804" s="23"/>
      <c r="BF1804" s="23"/>
      <c r="BG1804" s="16"/>
      <c r="BH1804" s="23"/>
      <c r="BI1804" s="23"/>
      <c r="BJ1804" s="23"/>
      <c r="BN1804" s="23"/>
      <c r="BO1804" s="23"/>
      <c r="BP1804" s="16"/>
      <c r="BQ1804" s="16"/>
      <c r="BR1804" s="23"/>
      <c r="BS1804" s="16"/>
      <c r="BT1804" s="16"/>
      <c r="BU1804" s="16"/>
      <c r="BV1804" s="16"/>
      <c r="BW1804" s="16"/>
      <c r="BX1804" s="16"/>
      <c r="BY1804" s="16"/>
    </row>
    <row r="1805">
      <c r="A1805" s="16"/>
      <c r="B1805" s="16"/>
      <c r="C1805" s="22"/>
      <c r="D1805" s="16"/>
      <c r="E1805" s="16"/>
      <c r="F1805" s="16"/>
      <c r="G1805" s="16"/>
      <c r="H1805" s="16"/>
      <c r="I1805" s="23"/>
      <c r="J1805" s="23"/>
      <c r="K1805" s="16"/>
      <c r="L1805" s="23"/>
      <c r="M1805" s="23"/>
      <c r="N1805" s="23"/>
      <c r="O1805" s="16"/>
      <c r="P1805" s="23"/>
      <c r="Q1805" s="23"/>
      <c r="R1805" s="23"/>
      <c r="S1805" s="16"/>
      <c r="T1805" s="23"/>
      <c r="U1805" s="23"/>
      <c r="V1805" s="23"/>
      <c r="W1805" s="16"/>
      <c r="X1805" s="23"/>
      <c r="Y1805" s="23"/>
      <c r="Z1805" s="23"/>
      <c r="AA1805" s="16"/>
      <c r="AB1805" s="23"/>
      <c r="AC1805" s="23"/>
      <c r="AD1805" s="23"/>
      <c r="AE1805" s="16"/>
      <c r="AF1805" s="23"/>
      <c r="AG1805" s="23"/>
      <c r="AH1805" s="23"/>
      <c r="AI1805" s="16"/>
      <c r="AJ1805" s="23"/>
      <c r="AK1805" s="23"/>
      <c r="AL1805" s="23"/>
      <c r="AM1805" s="16"/>
      <c r="AN1805" s="23"/>
      <c r="AO1805" s="23"/>
      <c r="AP1805" s="23"/>
      <c r="AQ1805" s="16"/>
      <c r="AR1805" s="23"/>
      <c r="AS1805" s="23"/>
      <c r="AT1805" s="23"/>
      <c r="AU1805" s="16"/>
      <c r="AV1805" s="23"/>
      <c r="AW1805" s="23"/>
      <c r="AX1805" s="23"/>
      <c r="AY1805" s="16"/>
      <c r="AZ1805" s="23"/>
      <c r="BA1805" s="23"/>
      <c r="BB1805" s="23"/>
      <c r="BC1805" s="16"/>
      <c r="BD1805" s="23"/>
      <c r="BE1805" s="23"/>
      <c r="BF1805" s="23"/>
      <c r="BG1805" s="16"/>
      <c r="BH1805" s="23"/>
      <c r="BI1805" s="23"/>
      <c r="BJ1805" s="23"/>
      <c r="BN1805" s="23"/>
      <c r="BO1805" s="23"/>
      <c r="BP1805" s="16"/>
      <c r="BQ1805" s="16"/>
      <c r="BR1805" s="23"/>
      <c r="BS1805" s="16"/>
      <c r="BT1805" s="16"/>
      <c r="BU1805" s="16"/>
      <c r="BV1805" s="16"/>
      <c r="BW1805" s="16"/>
      <c r="BX1805" s="16"/>
      <c r="BY1805" s="16"/>
    </row>
    <row r="1806">
      <c r="A1806" s="16"/>
      <c r="B1806" s="16"/>
      <c r="C1806" s="22"/>
      <c r="D1806" s="16"/>
      <c r="E1806" s="16"/>
      <c r="F1806" s="16"/>
      <c r="G1806" s="16"/>
      <c r="H1806" s="16"/>
      <c r="I1806" s="23"/>
      <c r="J1806" s="23"/>
      <c r="K1806" s="16"/>
      <c r="L1806" s="23"/>
      <c r="M1806" s="23"/>
      <c r="N1806" s="23"/>
      <c r="O1806" s="16"/>
      <c r="P1806" s="23"/>
      <c r="Q1806" s="23"/>
      <c r="R1806" s="23"/>
      <c r="S1806" s="16"/>
      <c r="T1806" s="23"/>
      <c r="U1806" s="23"/>
      <c r="V1806" s="23"/>
      <c r="W1806" s="16"/>
      <c r="X1806" s="23"/>
      <c r="Y1806" s="23"/>
      <c r="Z1806" s="23"/>
      <c r="AA1806" s="16"/>
      <c r="AB1806" s="23"/>
      <c r="AC1806" s="23"/>
      <c r="AD1806" s="23"/>
      <c r="AE1806" s="16"/>
      <c r="AF1806" s="23"/>
      <c r="AG1806" s="23"/>
      <c r="AH1806" s="23"/>
      <c r="AI1806" s="16"/>
      <c r="AJ1806" s="23"/>
      <c r="AK1806" s="23"/>
      <c r="AL1806" s="23"/>
      <c r="AM1806" s="16"/>
      <c r="AN1806" s="23"/>
      <c r="AO1806" s="23"/>
      <c r="AP1806" s="23"/>
      <c r="AQ1806" s="16"/>
      <c r="AR1806" s="23"/>
      <c r="AS1806" s="23"/>
      <c r="AT1806" s="23"/>
      <c r="AU1806" s="16"/>
      <c r="AV1806" s="23"/>
      <c r="AW1806" s="23"/>
      <c r="AX1806" s="23"/>
      <c r="AY1806" s="16"/>
      <c r="AZ1806" s="23"/>
      <c r="BA1806" s="23"/>
      <c r="BB1806" s="23"/>
      <c r="BC1806" s="16"/>
      <c r="BD1806" s="23"/>
      <c r="BE1806" s="23"/>
      <c r="BF1806" s="23"/>
      <c r="BG1806" s="16"/>
      <c r="BH1806" s="23"/>
      <c r="BI1806" s="23"/>
      <c r="BJ1806" s="23"/>
      <c r="BN1806" s="23"/>
      <c r="BO1806" s="23"/>
      <c r="BP1806" s="16"/>
      <c r="BQ1806" s="16"/>
      <c r="BR1806" s="23"/>
      <c r="BS1806" s="16"/>
      <c r="BT1806" s="16"/>
      <c r="BU1806" s="16"/>
      <c r="BV1806" s="16"/>
      <c r="BW1806" s="16"/>
      <c r="BX1806" s="16"/>
      <c r="BY1806" s="16"/>
    </row>
    <row r="1807">
      <c r="A1807" s="16"/>
      <c r="B1807" s="16"/>
      <c r="C1807" s="22"/>
      <c r="D1807" s="16"/>
      <c r="E1807" s="16"/>
      <c r="F1807" s="16"/>
      <c r="G1807" s="16"/>
      <c r="H1807" s="16"/>
      <c r="I1807" s="23"/>
      <c r="J1807" s="23"/>
      <c r="K1807" s="16"/>
      <c r="L1807" s="23"/>
      <c r="M1807" s="23"/>
      <c r="N1807" s="23"/>
      <c r="O1807" s="16"/>
      <c r="P1807" s="23"/>
      <c r="Q1807" s="23"/>
      <c r="R1807" s="23"/>
      <c r="S1807" s="16"/>
      <c r="T1807" s="23"/>
      <c r="U1807" s="23"/>
      <c r="V1807" s="23"/>
      <c r="W1807" s="16"/>
      <c r="X1807" s="23"/>
      <c r="Y1807" s="23"/>
      <c r="Z1807" s="23"/>
      <c r="AA1807" s="16"/>
      <c r="AB1807" s="23"/>
      <c r="AC1807" s="23"/>
      <c r="AD1807" s="23"/>
      <c r="AE1807" s="16"/>
      <c r="AF1807" s="23"/>
      <c r="AG1807" s="23"/>
      <c r="AH1807" s="23"/>
      <c r="AI1807" s="16"/>
      <c r="AJ1807" s="23"/>
      <c r="AK1807" s="23"/>
      <c r="AL1807" s="23"/>
      <c r="AM1807" s="16"/>
      <c r="AN1807" s="23"/>
      <c r="AO1807" s="23"/>
      <c r="AP1807" s="23"/>
      <c r="AQ1807" s="16"/>
      <c r="AR1807" s="23"/>
      <c r="AS1807" s="23"/>
      <c r="AT1807" s="23"/>
      <c r="AU1807" s="16"/>
      <c r="AV1807" s="23"/>
      <c r="AW1807" s="23"/>
      <c r="AX1807" s="23"/>
      <c r="AY1807" s="16"/>
      <c r="AZ1807" s="23"/>
      <c r="BA1807" s="23"/>
      <c r="BB1807" s="23"/>
      <c r="BC1807" s="16"/>
      <c r="BD1807" s="23"/>
      <c r="BE1807" s="23"/>
      <c r="BF1807" s="23"/>
      <c r="BG1807" s="16"/>
      <c r="BH1807" s="23"/>
      <c r="BI1807" s="23"/>
      <c r="BJ1807" s="23"/>
      <c r="BN1807" s="23"/>
      <c r="BO1807" s="23"/>
      <c r="BP1807" s="16"/>
      <c r="BQ1807" s="16"/>
      <c r="BR1807" s="23"/>
      <c r="BS1807" s="16"/>
      <c r="BT1807" s="16"/>
      <c r="BU1807" s="16"/>
      <c r="BV1807" s="16"/>
      <c r="BW1807" s="16"/>
      <c r="BX1807" s="16"/>
      <c r="BY1807" s="16"/>
    </row>
    <row r="1808">
      <c r="A1808" s="16"/>
      <c r="B1808" s="16"/>
      <c r="C1808" s="22"/>
      <c r="D1808" s="16"/>
      <c r="E1808" s="16"/>
      <c r="F1808" s="16"/>
      <c r="G1808" s="16"/>
      <c r="H1808" s="16"/>
      <c r="I1808" s="23"/>
      <c r="J1808" s="23"/>
      <c r="K1808" s="16"/>
      <c r="L1808" s="23"/>
      <c r="M1808" s="23"/>
      <c r="N1808" s="23"/>
      <c r="O1808" s="16"/>
      <c r="P1808" s="23"/>
      <c r="Q1808" s="23"/>
      <c r="R1808" s="23"/>
      <c r="S1808" s="16"/>
      <c r="T1808" s="23"/>
      <c r="U1808" s="23"/>
      <c r="V1808" s="23"/>
      <c r="W1808" s="16"/>
      <c r="X1808" s="23"/>
      <c r="Y1808" s="23"/>
      <c r="Z1808" s="23"/>
      <c r="AA1808" s="16"/>
      <c r="AB1808" s="23"/>
      <c r="AC1808" s="23"/>
      <c r="AD1808" s="23"/>
      <c r="AE1808" s="16"/>
      <c r="AF1808" s="23"/>
      <c r="AG1808" s="23"/>
      <c r="AH1808" s="23"/>
      <c r="AI1808" s="16"/>
      <c r="AJ1808" s="23"/>
      <c r="AK1808" s="23"/>
      <c r="AL1808" s="23"/>
      <c r="AM1808" s="16"/>
      <c r="AN1808" s="23"/>
      <c r="AO1808" s="23"/>
      <c r="AP1808" s="23"/>
      <c r="AQ1808" s="16"/>
      <c r="AR1808" s="23"/>
      <c r="AS1808" s="23"/>
      <c r="AT1808" s="23"/>
      <c r="AU1808" s="16"/>
      <c r="AV1808" s="23"/>
      <c r="AW1808" s="23"/>
      <c r="AX1808" s="23"/>
      <c r="AY1808" s="16"/>
      <c r="AZ1808" s="23"/>
      <c r="BA1808" s="23"/>
      <c r="BB1808" s="23"/>
      <c r="BC1808" s="16"/>
      <c r="BD1808" s="23"/>
      <c r="BE1808" s="23"/>
      <c r="BF1808" s="23"/>
      <c r="BG1808" s="16"/>
      <c r="BH1808" s="23"/>
      <c r="BI1808" s="23"/>
      <c r="BJ1808" s="23"/>
      <c r="BN1808" s="23"/>
      <c r="BO1808" s="23"/>
      <c r="BP1808" s="16"/>
      <c r="BQ1808" s="16"/>
      <c r="BR1808" s="23"/>
      <c r="BS1808" s="16"/>
      <c r="BT1808" s="16"/>
      <c r="BU1808" s="16"/>
      <c r="BV1808" s="16"/>
      <c r="BW1808" s="16"/>
      <c r="BX1808" s="16"/>
      <c r="BY1808" s="16"/>
    </row>
    <row r="1809">
      <c r="A1809" s="16"/>
      <c r="B1809" s="16"/>
      <c r="C1809" s="22"/>
      <c r="D1809" s="16"/>
      <c r="E1809" s="16"/>
      <c r="F1809" s="16"/>
      <c r="G1809" s="16"/>
      <c r="H1809" s="16"/>
      <c r="I1809" s="23"/>
      <c r="J1809" s="23"/>
      <c r="K1809" s="16"/>
      <c r="L1809" s="23"/>
      <c r="M1809" s="23"/>
      <c r="N1809" s="23"/>
      <c r="O1809" s="16"/>
      <c r="P1809" s="23"/>
      <c r="Q1809" s="23"/>
      <c r="R1809" s="23"/>
      <c r="S1809" s="16"/>
      <c r="T1809" s="23"/>
      <c r="U1809" s="23"/>
      <c r="V1809" s="23"/>
      <c r="W1809" s="16"/>
      <c r="X1809" s="23"/>
      <c r="Y1809" s="23"/>
      <c r="Z1809" s="23"/>
      <c r="AA1809" s="16"/>
      <c r="AB1809" s="23"/>
      <c r="AC1809" s="23"/>
      <c r="AD1809" s="23"/>
      <c r="AE1809" s="16"/>
      <c r="AF1809" s="23"/>
      <c r="AG1809" s="23"/>
      <c r="AH1809" s="23"/>
      <c r="AI1809" s="16"/>
      <c r="AJ1809" s="23"/>
      <c r="AK1809" s="23"/>
      <c r="AL1809" s="23"/>
      <c r="AM1809" s="16"/>
      <c r="AN1809" s="23"/>
      <c r="AO1809" s="23"/>
      <c r="AP1809" s="23"/>
      <c r="AQ1809" s="16"/>
      <c r="AR1809" s="23"/>
      <c r="AS1809" s="23"/>
      <c r="AT1809" s="23"/>
      <c r="AU1809" s="16"/>
      <c r="AV1809" s="23"/>
      <c r="AW1809" s="23"/>
      <c r="AX1809" s="23"/>
      <c r="AY1809" s="16"/>
      <c r="AZ1809" s="23"/>
      <c r="BA1809" s="23"/>
      <c r="BB1809" s="23"/>
      <c r="BC1809" s="16"/>
      <c r="BD1809" s="23"/>
      <c r="BE1809" s="23"/>
      <c r="BF1809" s="23"/>
      <c r="BG1809" s="16"/>
      <c r="BH1809" s="23"/>
      <c r="BI1809" s="23"/>
      <c r="BJ1809" s="23"/>
      <c r="BN1809" s="23"/>
      <c r="BO1809" s="23"/>
      <c r="BP1809" s="16"/>
      <c r="BQ1809" s="16"/>
      <c r="BR1809" s="23"/>
      <c r="BS1809" s="16"/>
      <c r="BT1809" s="16"/>
      <c r="BU1809" s="16"/>
      <c r="BV1809" s="16"/>
      <c r="BW1809" s="16"/>
      <c r="BX1809" s="16"/>
      <c r="BY1809" s="16"/>
    </row>
    <row r="1810">
      <c r="A1810" s="16"/>
      <c r="B1810" s="16"/>
      <c r="C1810" s="22"/>
      <c r="D1810" s="16"/>
      <c r="E1810" s="16"/>
      <c r="F1810" s="16"/>
      <c r="G1810" s="16"/>
      <c r="H1810" s="16"/>
      <c r="I1810" s="23"/>
      <c r="J1810" s="23"/>
      <c r="K1810" s="16"/>
      <c r="L1810" s="23"/>
      <c r="M1810" s="23"/>
      <c r="N1810" s="23"/>
      <c r="O1810" s="16"/>
      <c r="P1810" s="23"/>
      <c r="Q1810" s="23"/>
      <c r="R1810" s="23"/>
      <c r="S1810" s="16"/>
      <c r="T1810" s="23"/>
      <c r="U1810" s="23"/>
      <c r="V1810" s="23"/>
      <c r="W1810" s="16"/>
      <c r="X1810" s="23"/>
      <c r="Y1810" s="23"/>
      <c r="Z1810" s="23"/>
      <c r="AA1810" s="16"/>
      <c r="AB1810" s="23"/>
      <c r="AC1810" s="23"/>
      <c r="AD1810" s="23"/>
      <c r="AE1810" s="16"/>
      <c r="AF1810" s="23"/>
      <c r="AG1810" s="23"/>
      <c r="AH1810" s="23"/>
      <c r="AI1810" s="16"/>
      <c r="AJ1810" s="23"/>
      <c r="AK1810" s="23"/>
      <c r="AL1810" s="23"/>
      <c r="AM1810" s="16"/>
      <c r="AN1810" s="23"/>
      <c r="AO1810" s="23"/>
      <c r="AP1810" s="23"/>
      <c r="AQ1810" s="16"/>
      <c r="AR1810" s="23"/>
      <c r="AS1810" s="23"/>
      <c r="AT1810" s="23"/>
      <c r="AU1810" s="16"/>
      <c r="AV1810" s="23"/>
      <c r="AW1810" s="23"/>
      <c r="AX1810" s="23"/>
      <c r="AY1810" s="16"/>
      <c r="AZ1810" s="23"/>
      <c r="BA1810" s="23"/>
      <c r="BB1810" s="23"/>
      <c r="BC1810" s="16"/>
      <c r="BD1810" s="23"/>
      <c r="BE1810" s="23"/>
      <c r="BF1810" s="23"/>
      <c r="BG1810" s="16"/>
      <c r="BH1810" s="23"/>
      <c r="BI1810" s="23"/>
      <c r="BJ1810" s="23"/>
      <c r="BN1810" s="23"/>
      <c r="BO1810" s="23"/>
      <c r="BP1810" s="16"/>
      <c r="BQ1810" s="16"/>
      <c r="BR1810" s="23"/>
      <c r="BS1810" s="16"/>
      <c r="BT1810" s="16"/>
      <c r="BU1810" s="16"/>
      <c r="BV1810" s="16"/>
      <c r="BW1810" s="16"/>
      <c r="BX1810" s="16"/>
      <c r="BY1810" s="16"/>
    </row>
    <row r="1811">
      <c r="A1811" s="16"/>
      <c r="B1811" s="16"/>
      <c r="C1811" s="22"/>
      <c r="D1811" s="16"/>
      <c r="E1811" s="16"/>
      <c r="F1811" s="16"/>
      <c r="G1811" s="16"/>
      <c r="H1811" s="16"/>
      <c r="I1811" s="23"/>
      <c r="J1811" s="23"/>
      <c r="K1811" s="16"/>
      <c r="L1811" s="23"/>
      <c r="M1811" s="23"/>
      <c r="N1811" s="23"/>
      <c r="O1811" s="16"/>
      <c r="P1811" s="23"/>
      <c r="Q1811" s="23"/>
      <c r="R1811" s="23"/>
      <c r="S1811" s="16"/>
      <c r="T1811" s="23"/>
      <c r="U1811" s="23"/>
      <c r="V1811" s="23"/>
      <c r="W1811" s="16"/>
      <c r="X1811" s="23"/>
      <c r="Y1811" s="23"/>
      <c r="Z1811" s="23"/>
      <c r="AA1811" s="16"/>
      <c r="AB1811" s="23"/>
      <c r="AC1811" s="23"/>
      <c r="AD1811" s="23"/>
      <c r="AE1811" s="16"/>
      <c r="AF1811" s="23"/>
      <c r="AG1811" s="23"/>
      <c r="AH1811" s="23"/>
      <c r="AI1811" s="16"/>
      <c r="AJ1811" s="23"/>
      <c r="AK1811" s="23"/>
      <c r="AL1811" s="23"/>
      <c r="AM1811" s="16"/>
      <c r="AN1811" s="23"/>
      <c r="AO1811" s="23"/>
      <c r="AP1811" s="23"/>
      <c r="AQ1811" s="16"/>
      <c r="AR1811" s="23"/>
      <c r="AS1811" s="23"/>
      <c r="AT1811" s="23"/>
      <c r="AU1811" s="16"/>
      <c r="AV1811" s="23"/>
      <c r="AW1811" s="23"/>
      <c r="AX1811" s="23"/>
      <c r="AY1811" s="16"/>
      <c r="AZ1811" s="23"/>
      <c r="BA1811" s="23"/>
      <c r="BB1811" s="23"/>
      <c r="BC1811" s="16"/>
      <c r="BD1811" s="23"/>
      <c r="BE1811" s="23"/>
      <c r="BF1811" s="23"/>
      <c r="BG1811" s="16"/>
      <c r="BH1811" s="23"/>
      <c r="BI1811" s="23"/>
      <c r="BJ1811" s="23"/>
      <c r="BN1811" s="23"/>
      <c r="BO1811" s="23"/>
      <c r="BP1811" s="16"/>
      <c r="BQ1811" s="16"/>
      <c r="BR1811" s="23"/>
      <c r="BS1811" s="16"/>
      <c r="BT1811" s="16"/>
      <c r="BU1811" s="16"/>
      <c r="BV1811" s="16"/>
      <c r="BW1811" s="16"/>
      <c r="BX1811" s="16"/>
      <c r="BY1811" s="16"/>
    </row>
    <row r="1812">
      <c r="A1812" s="16"/>
      <c r="B1812" s="16"/>
      <c r="C1812" s="22"/>
      <c r="D1812" s="16"/>
      <c r="E1812" s="16"/>
      <c r="F1812" s="16"/>
      <c r="G1812" s="16"/>
      <c r="H1812" s="16"/>
      <c r="I1812" s="23"/>
      <c r="J1812" s="23"/>
      <c r="K1812" s="16"/>
      <c r="L1812" s="23"/>
      <c r="M1812" s="23"/>
      <c r="N1812" s="23"/>
      <c r="O1812" s="16"/>
      <c r="P1812" s="23"/>
      <c r="Q1812" s="23"/>
      <c r="R1812" s="23"/>
      <c r="S1812" s="16"/>
      <c r="T1812" s="23"/>
      <c r="U1812" s="23"/>
      <c r="V1812" s="23"/>
      <c r="W1812" s="16"/>
      <c r="X1812" s="23"/>
      <c r="Y1812" s="23"/>
      <c r="Z1812" s="23"/>
      <c r="AA1812" s="16"/>
      <c r="AB1812" s="23"/>
      <c r="AC1812" s="23"/>
      <c r="AD1812" s="23"/>
      <c r="AE1812" s="16"/>
      <c r="AF1812" s="23"/>
      <c r="AG1812" s="23"/>
      <c r="AH1812" s="23"/>
      <c r="AI1812" s="16"/>
      <c r="AJ1812" s="23"/>
      <c r="AK1812" s="23"/>
      <c r="AL1812" s="23"/>
      <c r="AM1812" s="16"/>
      <c r="AN1812" s="23"/>
      <c r="AO1812" s="23"/>
      <c r="AP1812" s="23"/>
      <c r="AQ1812" s="16"/>
      <c r="AR1812" s="23"/>
      <c r="AS1812" s="23"/>
      <c r="AT1812" s="23"/>
      <c r="AU1812" s="16"/>
      <c r="AV1812" s="23"/>
      <c r="AW1812" s="23"/>
      <c r="AX1812" s="23"/>
      <c r="AY1812" s="16"/>
      <c r="AZ1812" s="23"/>
      <c r="BA1812" s="23"/>
      <c r="BB1812" s="23"/>
      <c r="BC1812" s="16"/>
      <c r="BD1812" s="23"/>
      <c r="BE1812" s="23"/>
      <c r="BF1812" s="23"/>
      <c r="BG1812" s="16"/>
      <c r="BH1812" s="23"/>
      <c r="BI1812" s="23"/>
      <c r="BJ1812" s="23"/>
      <c r="BN1812" s="23"/>
      <c r="BO1812" s="23"/>
      <c r="BP1812" s="16"/>
      <c r="BQ1812" s="16"/>
      <c r="BR1812" s="23"/>
      <c r="BS1812" s="16"/>
      <c r="BT1812" s="16"/>
      <c r="BU1812" s="16"/>
      <c r="BV1812" s="16"/>
      <c r="BW1812" s="16"/>
      <c r="BX1812" s="16"/>
      <c r="BY1812" s="16"/>
    </row>
    <row r="1813">
      <c r="A1813" s="16"/>
      <c r="B1813" s="16"/>
      <c r="C1813" s="22"/>
      <c r="D1813" s="16"/>
      <c r="E1813" s="16"/>
      <c r="F1813" s="16"/>
      <c r="G1813" s="16"/>
      <c r="H1813" s="16"/>
      <c r="I1813" s="23"/>
      <c r="J1813" s="23"/>
      <c r="K1813" s="16"/>
      <c r="L1813" s="23"/>
      <c r="M1813" s="23"/>
      <c r="N1813" s="23"/>
      <c r="O1813" s="16"/>
      <c r="P1813" s="23"/>
      <c r="Q1813" s="23"/>
      <c r="R1813" s="23"/>
      <c r="S1813" s="16"/>
      <c r="T1813" s="23"/>
      <c r="U1813" s="23"/>
      <c r="V1813" s="23"/>
      <c r="W1813" s="16"/>
      <c r="X1813" s="23"/>
      <c r="Y1813" s="23"/>
      <c r="Z1813" s="23"/>
      <c r="AA1813" s="16"/>
      <c r="AB1813" s="23"/>
      <c r="AC1813" s="23"/>
      <c r="AD1813" s="23"/>
      <c r="AE1813" s="16"/>
      <c r="AF1813" s="23"/>
      <c r="AG1813" s="23"/>
      <c r="AH1813" s="23"/>
      <c r="AI1813" s="16"/>
      <c r="AJ1813" s="23"/>
      <c r="AK1813" s="23"/>
      <c r="AL1813" s="23"/>
      <c r="AM1813" s="16"/>
      <c r="AN1813" s="23"/>
      <c r="AO1813" s="23"/>
      <c r="AP1813" s="23"/>
      <c r="AQ1813" s="16"/>
      <c r="AR1813" s="23"/>
      <c r="AS1813" s="23"/>
      <c r="AT1813" s="23"/>
      <c r="AU1813" s="16"/>
      <c r="AV1813" s="23"/>
      <c r="AW1813" s="23"/>
      <c r="AX1813" s="23"/>
      <c r="AY1813" s="16"/>
      <c r="AZ1813" s="23"/>
      <c r="BA1813" s="23"/>
      <c r="BB1813" s="23"/>
      <c r="BC1813" s="16"/>
      <c r="BD1813" s="23"/>
      <c r="BE1813" s="23"/>
      <c r="BF1813" s="23"/>
      <c r="BG1813" s="16"/>
      <c r="BH1813" s="23"/>
      <c r="BI1813" s="23"/>
      <c r="BJ1813" s="23"/>
      <c r="BN1813" s="23"/>
      <c r="BO1813" s="23"/>
      <c r="BP1813" s="16"/>
      <c r="BQ1813" s="16"/>
      <c r="BR1813" s="23"/>
      <c r="BS1813" s="16"/>
      <c r="BT1813" s="16"/>
      <c r="BU1813" s="16"/>
      <c r="BV1813" s="16"/>
      <c r="BW1813" s="16"/>
      <c r="BX1813" s="16"/>
      <c r="BY1813" s="16"/>
    </row>
    <row r="1814">
      <c r="A1814" s="16"/>
      <c r="B1814" s="16"/>
      <c r="C1814" s="22"/>
      <c r="D1814" s="16"/>
      <c r="E1814" s="16"/>
      <c r="F1814" s="16"/>
      <c r="G1814" s="16"/>
      <c r="H1814" s="16"/>
      <c r="I1814" s="23"/>
      <c r="J1814" s="23"/>
      <c r="K1814" s="16"/>
      <c r="L1814" s="23"/>
      <c r="M1814" s="23"/>
      <c r="N1814" s="23"/>
      <c r="O1814" s="16"/>
      <c r="P1814" s="23"/>
      <c r="Q1814" s="23"/>
      <c r="R1814" s="23"/>
      <c r="S1814" s="16"/>
      <c r="T1814" s="23"/>
      <c r="U1814" s="23"/>
      <c r="V1814" s="23"/>
      <c r="W1814" s="16"/>
      <c r="X1814" s="23"/>
      <c r="Y1814" s="23"/>
      <c r="Z1814" s="23"/>
      <c r="AA1814" s="16"/>
      <c r="AB1814" s="23"/>
      <c r="AC1814" s="23"/>
      <c r="AD1814" s="23"/>
      <c r="AE1814" s="16"/>
      <c r="AF1814" s="23"/>
      <c r="AG1814" s="23"/>
      <c r="AH1814" s="23"/>
      <c r="AI1814" s="16"/>
      <c r="AJ1814" s="23"/>
      <c r="AK1814" s="23"/>
      <c r="AL1814" s="23"/>
      <c r="AM1814" s="16"/>
      <c r="AN1814" s="23"/>
      <c r="AO1814" s="23"/>
      <c r="AP1814" s="23"/>
      <c r="AQ1814" s="16"/>
      <c r="AR1814" s="23"/>
      <c r="AS1814" s="23"/>
      <c r="AT1814" s="23"/>
      <c r="AU1814" s="16"/>
      <c r="AV1814" s="23"/>
      <c r="AW1814" s="23"/>
      <c r="AX1814" s="23"/>
      <c r="AY1814" s="16"/>
      <c r="AZ1814" s="23"/>
      <c r="BA1814" s="23"/>
      <c r="BB1814" s="23"/>
      <c r="BC1814" s="16"/>
      <c r="BD1814" s="23"/>
      <c r="BE1814" s="23"/>
      <c r="BF1814" s="23"/>
      <c r="BG1814" s="16"/>
      <c r="BH1814" s="23"/>
      <c r="BI1814" s="23"/>
      <c r="BJ1814" s="23"/>
      <c r="BN1814" s="23"/>
      <c r="BO1814" s="23"/>
      <c r="BP1814" s="16"/>
      <c r="BQ1814" s="16"/>
      <c r="BR1814" s="23"/>
      <c r="BS1814" s="16"/>
      <c r="BT1814" s="16"/>
      <c r="BU1814" s="16"/>
      <c r="BV1814" s="16"/>
      <c r="BW1814" s="16"/>
      <c r="BX1814" s="16"/>
      <c r="BY1814" s="16"/>
    </row>
    <row r="1815">
      <c r="A1815" s="16"/>
      <c r="B1815" s="16"/>
      <c r="C1815" s="22"/>
      <c r="D1815" s="16"/>
      <c r="E1815" s="16"/>
      <c r="F1815" s="16"/>
      <c r="G1815" s="16"/>
      <c r="H1815" s="16"/>
      <c r="I1815" s="23"/>
      <c r="J1815" s="23"/>
      <c r="K1815" s="16"/>
      <c r="L1815" s="23"/>
      <c r="M1815" s="23"/>
      <c r="N1815" s="23"/>
      <c r="O1815" s="16"/>
      <c r="P1815" s="23"/>
      <c r="Q1815" s="23"/>
      <c r="R1815" s="23"/>
      <c r="S1815" s="16"/>
      <c r="T1815" s="23"/>
      <c r="U1815" s="23"/>
      <c r="V1815" s="23"/>
      <c r="W1815" s="16"/>
      <c r="X1815" s="23"/>
      <c r="Y1815" s="23"/>
      <c r="Z1815" s="23"/>
      <c r="AA1815" s="16"/>
      <c r="AB1815" s="23"/>
      <c r="AC1815" s="23"/>
      <c r="AD1815" s="23"/>
      <c r="AE1815" s="16"/>
      <c r="AF1815" s="23"/>
      <c r="AG1815" s="23"/>
      <c r="AH1815" s="23"/>
      <c r="AI1815" s="16"/>
      <c r="AJ1815" s="23"/>
      <c r="AK1815" s="23"/>
      <c r="AL1815" s="23"/>
      <c r="AM1815" s="16"/>
      <c r="AN1815" s="23"/>
      <c r="AO1815" s="23"/>
      <c r="AP1815" s="23"/>
      <c r="AQ1815" s="16"/>
      <c r="AR1815" s="23"/>
      <c r="AS1815" s="23"/>
      <c r="AT1815" s="23"/>
      <c r="AU1815" s="16"/>
      <c r="AV1815" s="23"/>
      <c r="AW1815" s="23"/>
      <c r="AX1815" s="23"/>
      <c r="AY1815" s="16"/>
      <c r="AZ1815" s="23"/>
      <c r="BA1815" s="23"/>
      <c r="BB1815" s="23"/>
      <c r="BC1815" s="16"/>
      <c r="BD1815" s="23"/>
      <c r="BE1815" s="23"/>
      <c r="BF1815" s="23"/>
      <c r="BG1815" s="16"/>
      <c r="BH1815" s="23"/>
      <c r="BI1815" s="23"/>
      <c r="BJ1815" s="23"/>
      <c r="BN1815" s="23"/>
      <c r="BO1815" s="23"/>
      <c r="BP1815" s="16"/>
      <c r="BQ1815" s="16"/>
      <c r="BR1815" s="23"/>
      <c r="BS1815" s="16"/>
      <c r="BT1815" s="16"/>
      <c r="BU1815" s="16"/>
      <c r="BV1815" s="16"/>
      <c r="BW1815" s="16"/>
      <c r="BX1815" s="16"/>
      <c r="BY1815" s="16"/>
    </row>
    <row r="1816">
      <c r="A1816" s="16"/>
      <c r="B1816" s="16"/>
      <c r="C1816" s="22"/>
      <c r="D1816" s="16"/>
      <c r="E1816" s="16"/>
      <c r="F1816" s="16"/>
      <c r="G1816" s="16"/>
      <c r="H1816" s="16"/>
      <c r="I1816" s="23"/>
      <c r="J1816" s="23"/>
      <c r="K1816" s="16"/>
      <c r="L1816" s="23"/>
      <c r="M1816" s="23"/>
      <c r="N1816" s="23"/>
      <c r="O1816" s="16"/>
      <c r="P1816" s="23"/>
      <c r="Q1816" s="23"/>
      <c r="R1816" s="23"/>
      <c r="S1816" s="16"/>
      <c r="T1816" s="23"/>
      <c r="U1816" s="23"/>
      <c r="V1816" s="23"/>
      <c r="W1816" s="16"/>
      <c r="X1816" s="23"/>
      <c r="Y1816" s="23"/>
      <c r="Z1816" s="23"/>
      <c r="AA1816" s="16"/>
      <c r="AB1816" s="23"/>
      <c r="AC1816" s="23"/>
      <c r="AD1816" s="23"/>
      <c r="AE1816" s="16"/>
      <c r="AF1816" s="23"/>
      <c r="AG1816" s="23"/>
      <c r="AH1816" s="23"/>
      <c r="AI1816" s="16"/>
      <c r="AJ1816" s="23"/>
      <c r="AK1816" s="23"/>
      <c r="AL1816" s="23"/>
      <c r="AM1816" s="16"/>
      <c r="AN1816" s="23"/>
      <c r="AO1816" s="23"/>
      <c r="AP1816" s="23"/>
      <c r="AQ1816" s="16"/>
      <c r="AR1816" s="23"/>
      <c r="AS1816" s="23"/>
      <c r="AT1816" s="23"/>
      <c r="AU1816" s="16"/>
      <c r="AV1816" s="23"/>
      <c r="AW1816" s="23"/>
      <c r="AX1816" s="23"/>
      <c r="AY1816" s="16"/>
      <c r="AZ1816" s="23"/>
      <c r="BA1816" s="23"/>
      <c r="BB1816" s="23"/>
      <c r="BC1816" s="16"/>
      <c r="BD1816" s="23"/>
      <c r="BE1816" s="23"/>
      <c r="BF1816" s="23"/>
      <c r="BG1816" s="16"/>
      <c r="BH1816" s="23"/>
      <c r="BI1816" s="23"/>
      <c r="BJ1816" s="23"/>
      <c r="BN1816" s="23"/>
      <c r="BO1816" s="23"/>
      <c r="BP1816" s="16"/>
      <c r="BQ1816" s="16"/>
      <c r="BR1816" s="23"/>
      <c r="BS1816" s="16"/>
      <c r="BT1816" s="16"/>
      <c r="BU1816" s="16"/>
      <c r="BV1816" s="16"/>
      <c r="BW1816" s="16"/>
      <c r="BX1816" s="16"/>
      <c r="BY1816" s="16"/>
    </row>
    <row r="1817">
      <c r="A1817" s="16"/>
      <c r="B1817" s="16"/>
      <c r="C1817" s="22"/>
      <c r="D1817" s="16"/>
      <c r="E1817" s="16"/>
      <c r="F1817" s="16"/>
      <c r="G1817" s="16"/>
      <c r="H1817" s="16"/>
      <c r="I1817" s="23"/>
      <c r="J1817" s="23"/>
      <c r="K1817" s="16"/>
      <c r="L1817" s="23"/>
      <c r="M1817" s="23"/>
      <c r="N1817" s="23"/>
      <c r="O1817" s="16"/>
      <c r="P1817" s="23"/>
      <c r="Q1817" s="23"/>
      <c r="R1817" s="23"/>
      <c r="S1817" s="16"/>
      <c r="T1817" s="23"/>
      <c r="U1817" s="23"/>
      <c r="V1817" s="23"/>
      <c r="W1817" s="16"/>
      <c r="X1817" s="23"/>
      <c r="Y1817" s="23"/>
      <c r="Z1817" s="23"/>
      <c r="AA1817" s="16"/>
      <c r="AB1817" s="23"/>
      <c r="AC1817" s="23"/>
      <c r="AD1817" s="23"/>
      <c r="AE1817" s="16"/>
      <c r="AF1817" s="23"/>
      <c r="AG1817" s="23"/>
      <c r="AH1817" s="23"/>
      <c r="AI1817" s="16"/>
      <c r="AJ1817" s="23"/>
      <c r="AK1817" s="23"/>
      <c r="AL1817" s="23"/>
      <c r="AM1817" s="16"/>
      <c r="AN1817" s="23"/>
      <c r="AO1817" s="23"/>
      <c r="AP1817" s="23"/>
      <c r="AQ1817" s="16"/>
      <c r="AR1817" s="23"/>
      <c r="AS1817" s="23"/>
      <c r="AT1817" s="23"/>
      <c r="AU1817" s="16"/>
      <c r="AV1817" s="23"/>
      <c r="AW1817" s="23"/>
      <c r="AX1817" s="23"/>
      <c r="AY1817" s="16"/>
      <c r="AZ1817" s="23"/>
      <c r="BA1817" s="23"/>
      <c r="BB1817" s="23"/>
      <c r="BC1817" s="16"/>
      <c r="BD1817" s="23"/>
      <c r="BE1817" s="23"/>
      <c r="BF1817" s="23"/>
      <c r="BG1817" s="16"/>
      <c r="BH1817" s="23"/>
      <c r="BI1817" s="23"/>
      <c r="BJ1817" s="23"/>
      <c r="BN1817" s="23"/>
      <c r="BO1817" s="23"/>
      <c r="BP1817" s="16"/>
      <c r="BQ1817" s="16"/>
      <c r="BR1817" s="23"/>
      <c r="BS1817" s="16"/>
      <c r="BT1817" s="16"/>
      <c r="BU1817" s="16"/>
      <c r="BV1817" s="16"/>
      <c r="BW1817" s="16"/>
      <c r="BX1817" s="16"/>
      <c r="BY1817" s="16"/>
    </row>
    <row r="1818">
      <c r="A1818" s="16"/>
      <c r="B1818" s="16"/>
      <c r="C1818" s="22"/>
      <c r="D1818" s="16"/>
      <c r="E1818" s="16"/>
      <c r="F1818" s="16"/>
      <c r="G1818" s="16"/>
      <c r="H1818" s="16"/>
      <c r="I1818" s="23"/>
      <c r="J1818" s="23"/>
      <c r="K1818" s="16"/>
      <c r="L1818" s="23"/>
      <c r="M1818" s="23"/>
      <c r="N1818" s="23"/>
      <c r="O1818" s="16"/>
      <c r="P1818" s="23"/>
      <c r="Q1818" s="23"/>
      <c r="R1818" s="23"/>
      <c r="S1818" s="16"/>
      <c r="T1818" s="23"/>
      <c r="U1818" s="23"/>
      <c r="V1818" s="23"/>
      <c r="W1818" s="16"/>
      <c r="X1818" s="23"/>
      <c r="Y1818" s="23"/>
      <c r="Z1818" s="23"/>
      <c r="AA1818" s="16"/>
      <c r="AB1818" s="23"/>
      <c r="AC1818" s="23"/>
      <c r="AD1818" s="23"/>
      <c r="AE1818" s="16"/>
      <c r="AF1818" s="23"/>
      <c r="AG1818" s="23"/>
      <c r="AH1818" s="23"/>
      <c r="AI1818" s="16"/>
      <c r="AJ1818" s="23"/>
      <c r="AK1818" s="23"/>
      <c r="AL1818" s="23"/>
      <c r="AM1818" s="16"/>
      <c r="AN1818" s="23"/>
      <c r="AO1818" s="23"/>
      <c r="AP1818" s="23"/>
      <c r="AQ1818" s="16"/>
      <c r="AR1818" s="23"/>
      <c r="AS1818" s="23"/>
      <c r="AT1818" s="23"/>
      <c r="AU1818" s="16"/>
      <c r="AV1818" s="23"/>
      <c r="AW1818" s="23"/>
      <c r="AX1818" s="23"/>
      <c r="AY1818" s="16"/>
      <c r="AZ1818" s="23"/>
      <c r="BA1818" s="23"/>
      <c r="BB1818" s="23"/>
      <c r="BC1818" s="16"/>
      <c r="BD1818" s="23"/>
      <c r="BE1818" s="23"/>
      <c r="BF1818" s="23"/>
      <c r="BG1818" s="16"/>
      <c r="BH1818" s="23"/>
      <c r="BI1818" s="23"/>
      <c r="BJ1818" s="23"/>
      <c r="BN1818" s="23"/>
      <c r="BO1818" s="23"/>
      <c r="BP1818" s="16"/>
      <c r="BQ1818" s="16"/>
      <c r="BR1818" s="23"/>
      <c r="BS1818" s="16"/>
      <c r="BT1818" s="16"/>
      <c r="BU1818" s="16"/>
      <c r="BV1818" s="16"/>
      <c r="BW1818" s="16"/>
      <c r="BX1818" s="16"/>
      <c r="BY1818" s="16"/>
    </row>
    <row r="1819">
      <c r="A1819" s="16"/>
      <c r="B1819" s="16"/>
      <c r="C1819" s="22"/>
      <c r="D1819" s="16"/>
      <c r="E1819" s="16"/>
      <c r="F1819" s="16"/>
      <c r="G1819" s="16"/>
      <c r="H1819" s="16"/>
      <c r="I1819" s="23"/>
      <c r="J1819" s="23"/>
      <c r="K1819" s="16"/>
      <c r="L1819" s="23"/>
      <c r="M1819" s="23"/>
      <c r="N1819" s="23"/>
      <c r="O1819" s="16"/>
      <c r="P1819" s="23"/>
      <c r="Q1819" s="23"/>
      <c r="R1819" s="23"/>
      <c r="S1819" s="16"/>
      <c r="T1819" s="23"/>
      <c r="U1819" s="23"/>
      <c r="V1819" s="23"/>
      <c r="W1819" s="16"/>
      <c r="X1819" s="23"/>
      <c r="Y1819" s="23"/>
      <c r="Z1819" s="23"/>
      <c r="AA1819" s="16"/>
      <c r="AB1819" s="23"/>
      <c r="AC1819" s="23"/>
      <c r="AD1819" s="23"/>
      <c r="AE1819" s="16"/>
      <c r="AF1819" s="23"/>
      <c r="AG1819" s="23"/>
      <c r="AH1819" s="23"/>
      <c r="AI1819" s="16"/>
      <c r="AJ1819" s="23"/>
      <c r="AK1819" s="23"/>
      <c r="AL1819" s="23"/>
      <c r="AM1819" s="16"/>
      <c r="AN1819" s="23"/>
      <c r="AO1819" s="23"/>
      <c r="AP1819" s="23"/>
      <c r="AQ1819" s="16"/>
      <c r="AR1819" s="23"/>
      <c r="AS1819" s="23"/>
      <c r="AT1819" s="23"/>
      <c r="AU1819" s="16"/>
      <c r="AV1819" s="23"/>
      <c r="AW1819" s="23"/>
      <c r="AX1819" s="23"/>
      <c r="AY1819" s="16"/>
      <c r="AZ1819" s="23"/>
      <c r="BA1819" s="23"/>
      <c r="BB1819" s="23"/>
      <c r="BC1819" s="16"/>
      <c r="BD1819" s="23"/>
      <c r="BE1819" s="23"/>
      <c r="BF1819" s="23"/>
      <c r="BG1819" s="16"/>
      <c r="BH1819" s="23"/>
      <c r="BI1819" s="23"/>
      <c r="BJ1819" s="23"/>
      <c r="BN1819" s="23"/>
      <c r="BO1819" s="23"/>
      <c r="BP1819" s="16"/>
      <c r="BQ1819" s="16"/>
      <c r="BR1819" s="23"/>
      <c r="BS1819" s="16"/>
      <c r="BT1819" s="16"/>
      <c r="BU1819" s="16"/>
      <c r="BV1819" s="16"/>
      <c r="BW1819" s="16"/>
      <c r="BX1819" s="16"/>
      <c r="BY1819" s="16"/>
    </row>
    <row r="1820">
      <c r="A1820" s="16"/>
      <c r="B1820" s="16"/>
      <c r="C1820" s="22"/>
      <c r="D1820" s="16"/>
      <c r="E1820" s="16"/>
      <c r="F1820" s="16"/>
      <c r="G1820" s="16"/>
      <c r="H1820" s="16"/>
      <c r="I1820" s="23"/>
      <c r="J1820" s="23"/>
      <c r="K1820" s="16"/>
      <c r="L1820" s="23"/>
      <c r="M1820" s="23"/>
      <c r="N1820" s="23"/>
      <c r="O1820" s="16"/>
      <c r="P1820" s="23"/>
      <c r="Q1820" s="23"/>
      <c r="R1820" s="23"/>
      <c r="S1820" s="16"/>
      <c r="T1820" s="23"/>
      <c r="U1820" s="23"/>
      <c r="V1820" s="23"/>
      <c r="W1820" s="16"/>
      <c r="X1820" s="23"/>
      <c r="Y1820" s="23"/>
      <c r="Z1820" s="23"/>
      <c r="AA1820" s="16"/>
      <c r="AB1820" s="23"/>
      <c r="AC1820" s="23"/>
      <c r="AD1820" s="23"/>
      <c r="AE1820" s="16"/>
      <c r="AF1820" s="23"/>
      <c r="AG1820" s="23"/>
      <c r="AH1820" s="23"/>
      <c r="AI1820" s="16"/>
      <c r="AJ1820" s="23"/>
      <c r="AK1820" s="23"/>
      <c r="AL1820" s="23"/>
      <c r="AM1820" s="16"/>
      <c r="AN1820" s="23"/>
      <c r="AO1820" s="23"/>
      <c r="AP1820" s="23"/>
      <c r="AQ1820" s="16"/>
      <c r="AR1820" s="23"/>
      <c r="AS1820" s="23"/>
      <c r="AT1820" s="23"/>
      <c r="AU1820" s="16"/>
      <c r="AV1820" s="23"/>
      <c r="AW1820" s="23"/>
      <c r="AX1820" s="23"/>
      <c r="AY1820" s="16"/>
      <c r="AZ1820" s="23"/>
      <c r="BA1820" s="23"/>
      <c r="BB1820" s="23"/>
      <c r="BC1820" s="16"/>
      <c r="BD1820" s="23"/>
      <c r="BE1820" s="23"/>
      <c r="BF1820" s="23"/>
      <c r="BG1820" s="16"/>
      <c r="BH1820" s="23"/>
      <c r="BI1820" s="23"/>
      <c r="BJ1820" s="23"/>
      <c r="BN1820" s="23"/>
      <c r="BO1820" s="23"/>
      <c r="BP1820" s="16"/>
      <c r="BQ1820" s="16"/>
      <c r="BR1820" s="23"/>
      <c r="BS1820" s="16"/>
      <c r="BT1820" s="16"/>
      <c r="BU1820" s="16"/>
      <c r="BV1820" s="16"/>
      <c r="BW1820" s="16"/>
      <c r="BX1820" s="16"/>
      <c r="BY1820" s="16"/>
    </row>
    <row r="1821">
      <c r="A1821" s="16"/>
      <c r="B1821" s="16"/>
      <c r="C1821" s="22"/>
      <c r="D1821" s="16"/>
      <c r="E1821" s="16"/>
      <c r="F1821" s="16"/>
      <c r="G1821" s="16"/>
      <c r="H1821" s="16"/>
      <c r="I1821" s="23"/>
      <c r="J1821" s="23"/>
      <c r="K1821" s="16"/>
      <c r="L1821" s="23"/>
      <c r="M1821" s="23"/>
      <c r="N1821" s="23"/>
      <c r="O1821" s="16"/>
      <c r="P1821" s="23"/>
      <c r="Q1821" s="23"/>
      <c r="R1821" s="23"/>
      <c r="S1821" s="16"/>
      <c r="T1821" s="23"/>
      <c r="U1821" s="23"/>
      <c r="V1821" s="23"/>
      <c r="W1821" s="16"/>
      <c r="X1821" s="23"/>
      <c r="Y1821" s="23"/>
      <c r="Z1821" s="23"/>
      <c r="AA1821" s="16"/>
      <c r="AB1821" s="23"/>
      <c r="AC1821" s="23"/>
      <c r="AD1821" s="23"/>
      <c r="AE1821" s="16"/>
      <c r="AF1821" s="23"/>
      <c r="AG1821" s="23"/>
      <c r="AH1821" s="23"/>
      <c r="AI1821" s="16"/>
      <c r="AJ1821" s="23"/>
      <c r="AK1821" s="23"/>
      <c r="AL1821" s="23"/>
      <c r="AM1821" s="16"/>
      <c r="AN1821" s="23"/>
      <c r="AO1821" s="23"/>
      <c r="AP1821" s="23"/>
      <c r="AQ1821" s="16"/>
      <c r="AR1821" s="23"/>
      <c r="AS1821" s="23"/>
      <c r="AT1821" s="23"/>
      <c r="AU1821" s="16"/>
      <c r="AV1821" s="23"/>
      <c r="AW1821" s="23"/>
      <c r="AX1821" s="23"/>
      <c r="AY1821" s="16"/>
      <c r="AZ1821" s="23"/>
      <c r="BA1821" s="23"/>
      <c r="BB1821" s="23"/>
      <c r="BC1821" s="16"/>
      <c r="BD1821" s="23"/>
      <c r="BE1821" s="23"/>
      <c r="BF1821" s="23"/>
      <c r="BG1821" s="16"/>
      <c r="BH1821" s="23"/>
      <c r="BI1821" s="23"/>
      <c r="BJ1821" s="23"/>
      <c r="BN1821" s="23"/>
      <c r="BO1821" s="23"/>
      <c r="BP1821" s="16"/>
      <c r="BQ1821" s="16"/>
      <c r="BR1821" s="23"/>
      <c r="BS1821" s="16"/>
      <c r="BT1821" s="16"/>
      <c r="BU1821" s="16"/>
      <c r="BV1821" s="16"/>
      <c r="BW1821" s="16"/>
      <c r="BX1821" s="16"/>
      <c r="BY1821" s="16"/>
    </row>
    <row r="1822">
      <c r="A1822" s="16"/>
      <c r="B1822" s="16"/>
      <c r="C1822" s="22"/>
      <c r="D1822" s="16"/>
      <c r="E1822" s="16"/>
      <c r="F1822" s="16"/>
      <c r="G1822" s="16"/>
      <c r="H1822" s="16"/>
      <c r="I1822" s="23"/>
      <c r="J1822" s="23"/>
      <c r="K1822" s="16"/>
      <c r="L1822" s="23"/>
      <c r="M1822" s="23"/>
      <c r="N1822" s="23"/>
      <c r="O1822" s="16"/>
      <c r="P1822" s="23"/>
      <c r="Q1822" s="23"/>
      <c r="R1822" s="23"/>
      <c r="S1822" s="16"/>
      <c r="T1822" s="23"/>
      <c r="U1822" s="23"/>
      <c r="V1822" s="23"/>
      <c r="W1822" s="16"/>
      <c r="X1822" s="23"/>
      <c r="Y1822" s="23"/>
      <c r="Z1822" s="23"/>
      <c r="AA1822" s="16"/>
      <c r="AB1822" s="23"/>
      <c r="AC1822" s="23"/>
      <c r="AD1822" s="23"/>
      <c r="AE1822" s="16"/>
      <c r="AF1822" s="23"/>
      <c r="AG1822" s="23"/>
      <c r="AH1822" s="23"/>
      <c r="AI1822" s="16"/>
      <c r="AJ1822" s="23"/>
      <c r="AK1822" s="23"/>
      <c r="AL1822" s="23"/>
      <c r="AM1822" s="16"/>
      <c r="AN1822" s="23"/>
      <c r="AO1822" s="23"/>
      <c r="AP1822" s="23"/>
      <c r="AQ1822" s="16"/>
      <c r="AR1822" s="23"/>
      <c r="AS1822" s="23"/>
      <c r="AT1822" s="23"/>
      <c r="AU1822" s="16"/>
      <c r="AV1822" s="23"/>
      <c r="AW1822" s="23"/>
      <c r="AX1822" s="23"/>
      <c r="AY1822" s="16"/>
      <c r="AZ1822" s="23"/>
      <c r="BA1822" s="23"/>
      <c r="BB1822" s="23"/>
      <c r="BC1822" s="16"/>
      <c r="BD1822" s="23"/>
      <c r="BE1822" s="23"/>
      <c r="BF1822" s="23"/>
      <c r="BG1822" s="16"/>
      <c r="BH1822" s="23"/>
      <c r="BI1822" s="23"/>
      <c r="BJ1822" s="23"/>
      <c r="BN1822" s="23"/>
      <c r="BO1822" s="23"/>
      <c r="BP1822" s="16"/>
      <c r="BQ1822" s="16"/>
      <c r="BR1822" s="23"/>
      <c r="BS1822" s="16"/>
      <c r="BT1822" s="16"/>
      <c r="BU1822" s="16"/>
      <c r="BV1822" s="16"/>
      <c r="BW1822" s="16"/>
      <c r="BX1822" s="16"/>
      <c r="BY1822" s="16"/>
    </row>
    <row r="1823">
      <c r="A1823" s="16"/>
      <c r="B1823" s="16"/>
      <c r="C1823" s="22"/>
      <c r="D1823" s="16"/>
      <c r="E1823" s="16"/>
      <c r="F1823" s="16"/>
      <c r="G1823" s="16"/>
      <c r="H1823" s="16"/>
      <c r="I1823" s="23"/>
      <c r="J1823" s="23"/>
      <c r="K1823" s="16"/>
      <c r="L1823" s="23"/>
      <c r="M1823" s="23"/>
      <c r="N1823" s="23"/>
      <c r="O1823" s="16"/>
      <c r="P1823" s="23"/>
      <c r="Q1823" s="23"/>
      <c r="R1823" s="23"/>
      <c r="S1823" s="16"/>
      <c r="T1823" s="23"/>
      <c r="U1823" s="23"/>
      <c r="V1823" s="23"/>
      <c r="W1823" s="16"/>
      <c r="X1823" s="23"/>
      <c r="Y1823" s="23"/>
      <c r="Z1823" s="23"/>
      <c r="AA1823" s="16"/>
      <c r="AB1823" s="23"/>
      <c r="AC1823" s="23"/>
      <c r="AD1823" s="23"/>
      <c r="AE1823" s="16"/>
      <c r="AF1823" s="23"/>
      <c r="AG1823" s="23"/>
      <c r="AH1823" s="23"/>
      <c r="AI1823" s="16"/>
      <c r="AJ1823" s="23"/>
      <c r="AK1823" s="23"/>
      <c r="AL1823" s="23"/>
      <c r="AM1823" s="16"/>
      <c r="AN1823" s="23"/>
      <c r="AO1823" s="23"/>
      <c r="AP1823" s="23"/>
      <c r="AQ1823" s="16"/>
      <c r="AR1823" s="23"/>
      <c r="AS1823" s="23"/>
      <c r="AT1823" s="23"/>
      <c r="AU1823" s="16"/>
      <c r="AV1823" s="23"/>
      <c r="AW1823" s="23"/>
      <c r="AX1823" s="23"/>
      <c r="AY1823" s="16"/>
      <c r="AZ1823" s="23"/>
      <c r="BA1823" s="23"/>
      <c r="BB1823" s="23"/>
      <c r="BC1823" s="16"/>
      <c r="BD1823" s="23"/>
      <c r="BE1823" s="23"/>
      <c r="BF1823" s="23"/>
      <c r="BG1823" s="16"/>
      <c r="BH1823" s="23"/>
      <c r="BI1823" s="23"/>
      <c r="BJ1823" s="23"/>
      <c r="BN1823" s="23"/>
      <c r="BO1823" s="23"/>
      <c r="BP1823" s="16"/>
      <c r="BQ1823" s="16"/>
      <c r="BR1823" s="23"/>
      <c r="BS1823" s="16"/>
      <c r="BT1823" s="16"/>
      <c r="BU1823" s="16"/>
      <c r="BV1823" s="16"/>
      <c r="BW1823" s="16"/>
      <c r="BX1823" s="16"/>
      <c r="BY1823" s="16"/>
    </row>
    <row r="1824">
      <c r="A1824" s="16"/>
      <c r="B1824" s="16"/>
      <c r="C1824" s="22"/>
      <c r="D1824" s="16"/>
      <c r="E1824" s="16"/>
      <c r="F1824" s="16"/>
      <c r="G1824" s="16"/>
      <c r="H1824" s="16"/>
      <c r="I1824" s="23"/>
      <c r="J1824" s="23"/>
      <c r="K1824" s="16"/>
      <c r="L1824" s="23"/>
      <c r="M1824" s="23"/>
      <c r="N1824" s="23"/>
      <c r="O1824" s="16"/>
      <c r="P1824" s="23"/>
      <c r="Q1824" s="23"/>
      <c r="R1824" s="23"/>
      <c r="S1824" s="16"/>
      <c r="T1824" s="23"/>
      <c r="U1824" s="23"/>
      <c r="V1824" s="23"/>
      <c r="W1824" s="16"/>
      <c r="X1824" s="23"/>
      <c r="Y1824" s="23"/>
      <c r="Z1824" s="23"/>
      <c r="AA1824" s="16"/>
      <c r="AB1824" s="23"/>
      <c r="AC1824" s="23"/>
      <c r="AD1824" s="23"/>
      <c r="AE1824" s="16"/>
      <c r="AF1824" s="23"/>
      <c r="AG1824" s="23"/>
      <c r="AH1824" s="23"/>
      <c r="AI1824" s="16"/>
      <c r="AJ1824" s="23"/>
      <c r="AK1824" s="23"/>
      <c r="AL1824" s="23"/>
      <c r="AM1824" s="16"/>
      <c r="AN1824" s="23"/>
      <c r="AO1824" s="23"/>
      <c r="AP1824" s="23"/>
      <c r="AQ1824" s="16"/>
      <c r="AR1824" s="23"/>
      <c r="AS1824" s="23"/>
      <c r="AT1824" s="23"/>
      <c r="AU1824" s="16"/>
      <c r="AV1824" s="23"/>
      <c r="AW1824" s="23"/>
      <c r="AX1824" s="23"/>
      <c r="AY1824" s="16"/>
      <c r="AZ1824" s="23"/>
      <c r="BA1824" s="23"/>
      <c r="BB1824" s="23"/>
      <c r="BC1824" s="16"/>
      <c r="BD1824" s="23"/>
      <c r="BE1824" s="23"/>
      <c r="BF1824" s="23"/>
      <c r="BG1824" s="16"/>
      <c r="BH1824" s="23"/>
      <c r="BI1824" s="23"/>
      <c r="BJ1824" s="23"/>
      <c r="BN1824" s="23"/>
      <c r="BO1824" s="23"/>
      <c r="BP1824" s="16"/>
      <c r="BQ1824" s="16"/>
      <c r="BR1824" s="23"/>
      <c r="BS1824" s="16"/>
      <c r="BT1824" s="16"/>
      <c r="BU1824" s="16"/>
      <c r="BV1824" s="16"/>
      <c r="BW1824" s="16"/>
      <c r="BX1824" s="16"/>
      <c r="BY1824" s="16"/>
    </row>
    <row r="1825">
      <c r="A1825" s="16"/>
      <c r="B1825" s="16"/>
      <c r="C1825" s="22"/>
      <c r="D1825" s="16"/>
      <c r="E1825" s="16"/>
      <c r="F1825" s="16"/>
      <c r="G1825" s="16"/>
      <c r="H1825" s="16"/>
      <c r="I1825" s="23"/>
      <c r="J1825" s="23"/>
      <c r="K1825" s="16"/>
      <c r="L1825" s="23"/>
      <c r="M1825" s="23"/>
      <c r="N1825" s="23"/>
      <c r="O1825" s="16"/>
      <c r="P1825" s="23"/>
      <c r="Q1825" s="23"/>
      <c r="R1825" s="23"/>
      <c r="S1825" s="16"/>
      <c r="T1825" s="23"/>
      <c r="U1825" s="23"/>
      <c r="V1825" s="23"/>
      <c r="W1825" s="16"/>
      <c r="X1825" s="23"/>
      <c r="Y1825" s="23"/>
      <c r="Z1825" s="23"/>
      <c r="AA1825" s="16"/>
      <c r="AB1825" s="23"/>
      <c r="AC1825" s="23"/>
      <c r="AD1825" s="23"/>
      <c r="AE1825" s="16"/>
      <c r="AF1825" s="23"/>
      <c r="AG1825" s="23"/>
      <c r="AH1825" s="23"/>
      <c r="AI1825" s="16"/>
      <c r="AJ1825" s="23"/>
      <c r="AK1825" s="23"/>
      <c r="AL1825" s="23"/>
      <c r="AM1825" s="16"/>
      <c r="AN1825" s="23"/>
      <c r="AO1825" s="23"/>
      <c r="AP1825" s="23"/>
      <c r="AQ1825" s="16"/>
      <c r="AR1825" s="23"/>
      <c r="AS1825" s="23"/>
      <c r="AT1825" s="23"/>
      <c r="AU1825" s="16"/>
      <c r="AV1825" s="23"/>
      <c r="AW1825" s="23"/>
      <c r="AX1825" s="23"/>
      <c r="AY1825" s="16"/>
      <c r="AZ1825" s="23"/>
      <c r="BA1825" s="23"/>
      <c r="BB1825" s="23"/>
      <c r="BC1825" s="16"/>
      <c r="BD1825" s="23"/>
      <c r="BE1825" s="23"/>
      <c r="BF1825" s="23"/>
      <c r="BG1825" s="16"/>
      <c r="BH1825" s="23"/>
      <c r="BI1825" s="23"/>
      <c r="BJ1825" s="23"/>
      <c r="BN1825" s="23"/>
      <c r="BO1825" s="23"/>
      <c r="BP1825" s="16"/>
      <c r="BQ1825" s="16"/>
      <c r="BR1825" s="23"/>
      <c r="BS1825" s="16"/>
      <c r="BT1825" s="16"/>
      <c r="BU1825" s="16"/>
      <c r="BV1825" s="16"/>
      <c r="BW1825" s="16"/>
      <c r="BX1825" s="16"/>
      <c r="BY1825" s="16"/>
    </row>
    <row r="1826">
      <c r="A1826" s="16"/>
      <c r="B1826" s="16"/>
      <c r="C1826" s="22"/>
      <c r="D1826" s="16"/>
      <c r="E1826" s="16"/>
      <c r="F1826" s="16"/>
      <c r="G1826" s="16"/>
      <c r="H1826" s="16"/>
      <c r="I1826" s="23"/>
      <c r="J1826" s="23"/>
      <c r="K1826" s="16"/>
      <c r="L1826" s="23"/>
      <c r="M1826" s="23"/>
      <c r="N1826" s="23"/>
      <c r="O1826" s="16"/>
      <c r="P1826" s="23"/>
      <c r="Q1826" s="23"/>
      <c r="R1826" s="23"/>
      <c r="S1826" s="16"/>
      <c r="T1826" s="23"/>
      <c r="U1826" s="23"/>
      <c r="V1826" s="23"/>
      <c r="W1826" s="16"/>
      <c r="X1826" s="23"/>
      <c r="Y1826" s="23"/>
      <c r="Z1826" s="23"/>
      <c r="AA1826" s="16"/>
      <c r="AB1826" s="23"/>
      <c r="AC1826" s="23"/>
      <c r="AD1826" s="23"/>
      <c r="AE1826" s="16"/>
      <c r="AF1826" s="23"/>
      <c r="AG1826" s="23"/>
      <c r="AH1826" s="23"/>
      <c r="AI1826" s="16"/>
      <c r="AJ1826" s="23"/>
      <c r="AK1826" s="23"/>
      <c r="AL1826" s="23"/>
      <c r="AM1826" s="16"/>
      <c r="AN1826" s="23"/>
      <c r="AO1826" s="23"/>
      <c r="AP1826" s="23"/>
      <c r="AQ1826" s="16"/>
      <c r="AR1826" s="23"/>
      <c r="AS1826" s="23"/>
      <c r="AT1826" s="23"/>
      <c r="AU1826" s="16"/>
      <c r="AV1826" s="23"/>
      <c r="AW1826" s="23"/>
      <c r="AX1826" s="23"/>
      <c r="AY1826" s="16"/>
      <c r="AZ1826" s="23"/>
      <c r="BA1826" s="23"/>
      <c r="BB1826" s="23"/>
      <c r="BC1826" s="16"/>
      <c r="BD1826" s="23"/>
      <c r="BE1826" s="23"/>
      <c r="BF1826" s="23"/>
      <c r="BG1826" s="16"/>
      <c r="BH1826" s="23"/>
      <c r="BI1826" s="23"/>
      <c r="BJ1826" s="23"/>
      <c r="BN1826" s="23"/>
      <c r="BO1826" s="23"/>
      <c r="BP1826" s="16"/>
      <c r="BQ1826" s="16"/>
      <c r="BR1826" s="23"/>
      <c r="BS1826" s="16"/>
      <c r="BT1826" s="16"/>
      <c r="BU1826" s="16"/>
      <c r="BV1826" s="16"/>
      <c r="BW1826" s="16"/>
      <c r="BX1826" s="16"/>
      <c r="BY1826" s="16"/>
    </row>
    <row r="1827">
      <c r="A1827" s="16"/>
      <c r="B1827" s="16"/>
      <c r="C1827" s="22"/>
      <c r="D1827" s="16"/>
      <c r="E1827" s="16"/>
      <c r="F1827" s="16"/>
      <c r="G1827" s="16"/>
      <c r="H1827" s="16"/>
      <c r="I1827" s="23"/>
      <c r="J1827" s="23"/>
      <c r="K1827" s="16"/>
      <c r="L1827" s="23"/>
      <c r="M1827" s="23"/>
      <c r="N1827" s="23"/>
      <c r="O1827" s="16"/>
      <c r="P1827" s="23"/>
      <c r="Q1827" s="23"/>
      <c r="R1827" s="23"/>
      <c r="S1827" s="16"/>
      <c r="T1827" s="23"/>
      <c r="U1827" s="23"/>
      <c r="V1827" s="23"/>
      <c r="W1827" s="16"/>
      <c r="X1827" s="23"/>
      <c r="Y1827" s="23"/>
      <c r="Z1827" s="23"/>
      <c r="AA1827" s="16"/>
      <c r="AB1827" s="23"/>
      <c r="AC1827" s="23"/>
      <c r="AD1827" s="23"/>
      <c r="AE1827" s="16"/>
      <c r="AF1827" s="23"/>
      <c r="AG1827" s="23"/>
      <c r="AH1827" s="23"/>
      <c r="AI1827" s="16"/>
      <c r="AJ1827" s="23"/>
      <c r="AK1827" s="23"/>
      <c r="AL1827" s="23"/>
      <c r="AM1827" s="16"/>
      <c r="AN1827" s="23"/>
      <c r="AO1827" s="23"/>
      <c r="AP1827" s="23"/>
      <c r="AQ1827" s="16"/>
      <c r="AR1827" s="23"/>
      <c r="AS1827" s="23"/>
      <c r="AT1827" s="23"/>
      <c r="AU1827" s="16"/>
      <c r="AV1827" s="23"/>
      <c r="AW1827" s="23"/>
      <c r="AX1827" s="23"/>
      <c r="AY1827" s="16"/>
      <c r="AZ1827" s="23"/>
      <c r="BA1827" s="23"/>
      <c r="BB1827" s="23"/>
      <c r="BC1827" s="16"/>
      <c r="BD1827" s="23"/>
      <c r="BE1827" s="23"/>
      <c r="BF1827" s="23"/>
      <c r="BG1827" s="16"/>
      <c r="BH1827" s="23"/>
      <c r="BI1827" s="23"/>
      <c r="BJ1827" s="23"/>
      <c r="BN1827" s="23"/>
      <c r="BO1827" s="23"/>
      <c r="BP1827" s="16"/>
      <c r="BQ1827" s="16"/>
      <c r="BR1827" s="23"/>
      <c r="BS1827" s="16"/>
      <c r="BT1827" s="16"/>
      <c r="BU1827" s="16"/>
      <c r="BV1827" s="16"/>
      <c r="BW1827" s="16"/>
      <c r="BX1827" s="16"/>
      <c r="BY1827" s="16"/>
    </row>
    <row r="1828">
      <c r="A1828" s="16"/>
      <c r="B1828" s="16"/>
      <c r="C1828" s="22"/>
      <c r="D1828" s="16"/>
      <c r="E1828" s="16"/>
      <c r="F1828" s="16"/>
      <c r="G1828" s="16"/>
      <c r="H1828" s="16"/>
      <c r="I1828" s="23"/>
      <c r="J1828" s="23"/>
      <c r="K1828" s="16"/>
      <c r="L1828" s="23"/>
      <c r="M1828" s="23"/>
      <c r="N1828" s="23"/>
      <c r="O1828" s="16"/>
      <c r="P1828" s="23"/>
      <c r="Q1828" s="23"/>
      <c r="R1828" s="23"/>
      <c r="S1828" s="16"/>
      <c r="T1828" s="23"/>
      <c r="U1828" s="23"/>
      <c r="V1828" s="23"/>
      <c r="W1828" s="16"/>
      <c r="X1828" s="23"/>
      <c r="Y1828" s="23"/>
      <c r="Z1828" s="23"/>
      <c r="AA1828" s="16"/>
      <c r="AB1828" s="23"/>
      <c r="AC1828" s="23"/>
      <c r="AD1828" s="23"/>
      <c r="AE1828" s="16"/>
      <c r="AF1828" s="23"/>
      <c r="AG1828" s="23"/>
      <c r="AH1828" s="23"/>
      <c r="AI1828" s="16"/>
      <c r="AJ1828" s="23"/>
      <c r="AK1828" s="23"/>
      <c r="AL1828" s="23"/>
      <c r="AM1828" s="16"/>
      <c r="AN1828" s="23"/>
      <c r="AO1828" s="23"/>
      <c r="AP1828" s="23"/>
      <c r="AQ1828" s="16"/>
      <c r="AR1828" s="23"/>
      <c r="AS1828" s="23"/>
      <c r="AT1828" s="23"/>
      <c r="AU1828" s="16"/>
      <c r="AV1828" s="23"/>
      <c r="AW1828" s="23"/>
      <c r="AX1828" s="23"/>
      <c r="AY1828" s="16"/>
      <c r="AZ1828" s="23"/>
      <c r="BA1828" s="23"/>
      <c r="BB1828" s="23"/>
      <c r="BC1828" s="16"/>
      <c r="BD1828" s="23"/>
      <c r="BE1828" s="23"/>
      <c r="BF1828" s="23"/>
      <c r="BG1828" s="16"/>
      <c r="BH1828" s="23"/>
      <c r="BI1828" s="23"/>
      <c r="BJ1828" s="23"/>
      <c r="BN1828" s="23"/>
      <c r="BO1828" s="23"/>
      <c r="BP1828" s="16"/>
      <c r="BQ1828" s="16"/>
      <c r="BR1828" s="23"/>
      <c r="BS1828" s="16"/>
      <c r="BT1828" s="16"/>
      <c r="BU1828" s="16"/>
      <c r="BV1828" s="16"/>
      <c r="BW1828" s="16"/>
      <c r="BX1828" s="16"/>
      <c r="BY1828" s="16"/>
    </row>
    <row r="1829">
      <c r="A1829" s="16"/>
      <c r="B1829" s="16"/>
      <c r="C1829" s="22"/>
      <c r="D1829" s="16"/>
      <c r="E1829" s="16"/>
      <c r="F1829" s="16"/>
      <c r="G1829" s="16"/>
      <c r="H1829" s="16"/>
      <c r="I1829" s="23"/>
      <c r="J1829" s="23"/>
      <c r="K1829" s="16"/>
      <c r="L1829" s="23"/>
      <c r="M1829" s="23"/>
      <c r="N1829" s="23"/>
      <c r="O1829" s="16"/>
      <c r="P1829" s="23"/>
      <c r="Q1829" s="23"/>
      <c r="R1829" s="23"/>
      <c r="S1829" s="16"/>
      <c r="T1829" s="23"/>
      <c r="U1829" s="23"/>
      <c r="V1829" s="23"/>
      <c r="W1829" s="16"/>
      <c r="X1829" s="23"/>
      <c r="Y1829" s="23"/>
      <c r="Z1829" s="23"/>
      <c r="AA1829" s="16"/>
      <c r="AB1829" s="23"/>
      <c r="AC1829" s="23"/>
      <c r="AD1829" s="23"/>
      <c r="AE1829" s="16"/>
      <c r="AF1829" s="23"/>
      <c r="AG1829" s="23"/>
      <c r="AH1829" s="23"/>
      <c r="AI1829" s="16"/>
      <c r="AJ1829" s="23"/>
      <c r="AK1829" s="23"/>
      <c r="AL1829" s="23"/>
      <c r="AM1829" s="16"/>
      <c r="AN1829" s="23"/>
      <c r="AO1829" s="23"/>
      <c r="AP1829" s="23"/>
      <c r="AQ1829" s="16"/>
      <c r="AR1829" s="23"/>
      <c r="AS1829" s="23"/>
      <c r="AT1829" s="23"/>
      <c r="AU1829" s="16"/>
      <c r="AV1829" s="23"/>
      <c r="AW1829" s="23"/>
      <c r="AX1829" s="23"/>
      <c r="AY1829" s="16"/>
      <c r="AZ1829" s="23"/>
      <c r="BA1829" s="23"/>
      <c r="BB1829" s="23"/>
      <c r="BC1829" s="16"/>
      <c r="BD1829" s="23"/>
      <c r="BE1829" s="23"/>
      <c r="BF1829" s="23"/>
      <c r="BG1829" s="16"/>
      <c r="BH1829" s="23"/>
      <c r="BI1829" s="23"/>
      <c r="BJ1829" s="23"/>
      <c r="BN1829" s="23"/>
      <c r="BO1829" s="23"/>
      <c r="BP1829" s="16"/>
      <c r="BQ1829" s="16"/>
      <c r="BR1829" s="23"/>
      <c r="BS1829" s="16"/>
      <c r="BT1829" s="16"/>
      <c r="BU1829" s="16"/>
      <c r="BV1829" s="16"/>
      <c r="BW1829" s="16"/>
      <c r="BX1829" s="16"/>
      <c r="BY1829" s="16"/>
    </row>
    <row r="1830">
      <c r="A1830" s="16"/>
      <c r="B1830" s="16"/>
      <c r="C1830" s="22"/>
      <c r="D1830" s="16"/>
      <c r="E1830" s="16"/>
      <c r="F1830" s="16"/>
      <c r="G1830" s="16"/>
      <c r="H1830" s="16"/>
      <c r="I1830" s="23"/>
      <c r="J1830" s="23"/>
      <c r="K1830" s="16"/>
      <c r="L1830" s="23"/>
      <c r="M1830" s="23"/>
      <c r="N1830" s="23"/>
      <c r="O1830" s="16"/>
      <c r="P1830" s="23"/>
      <c r="Q1830" s="23"/>
      <c r="R1830" s="23"/>
      <c r="S1830" s="16"/>
      <c r="T1830" s="23"/>
      <c r="U1830" s="23"/>
      <c r="V1830" s="23"/>
      <c r="W1830" s="16"/>
      <c r="X1830" s="23"/>
      <c r="Y1830" s="23"/>
      <c r="Z1830" s="23"/>
      <c r="AA1830" s="16"/>
      <c r="AB1830" s="23"/>
      <c r="AC1830" s="23"/>
      <c r="AD1830" s="23"/>
      <c r="AE1830" s="16"/>
      <c r="AF1830" s="23"/>
      <c r="AG1830" s="23"/>
      <c r="AH1830" s="23"/>
      <c r="AI1830" s="16"/>
      <c r="AJ1830" s="23"/>
      <c r="AK1830" s="23"/>
      <c r="AL1830" s="23"/>
      <c r="AM1830" s="16"/>
      <c r="AN1830" s="23"/>
      <c r="AO1830" s="23"/>
      <c r="AP1830" s="23"/>
      <c r="AQ1830" s="16"/>
      <c r="AR1830" s="23"/>
      <c r="AS1830" s="23"/>
      <c r="AT1830" s="23"/>
      <c r="AU1830" s="16"/>
      <c r="AV1830" s="23"/>
      <c r="AW1830" s="23"/>
      <c r="AX1830" s="23"/>
      <c r="AY1830" s="16"/>
      <c r="AZ1830" s="23"/>
      <c r="BA1830" s="23"/>
      <c r="BB1830" s="23"/>
      <c r="BC1830" s="16"/>
      <c r="BD1830" s="23"/>
      <c r="BE1830" s="23"/>
      <c r="BF1830" s="23"/>
      <c r="BG1830" s="16"/>
      <c r="BH1830" s="23"/>
      <c r="BI1830" s="23"/>
      <c r="BJ1830" s="23"/>
      <c r="BN1830" s="23"/>
      <c r="BO1830" s="23"/>
      <c r="BP1830" s="16"/>
      <c r="BQ1830" s="16"/>
      <c r="BR1830" s="23"/>
      <c r="BS1830" s="16"/>
      <c r="BT1830" s="16"/>
      <c r="BU1830" s="16"/>
      <c r="BV1830" s="16"/>
      <c r="BW1830" s="16"/>
      <c r="BX1830" s="16"/>
      <c r="BY1830" s="16"/>
    </row>
    <row r="1831">
      <c r="A1831" s="16"/>
      <c r="B1831" s="16"/>
      <c r="C1831" s="22"/>
      <c r="D1831" s="16"/>
      <c r="E1831" s="16"/>
      <c r="F1831" s="16"/>
      <c r="G1831" s="16"/>
      <c r="H1831" s="16"/>
      <c r="I1831" s="23"/>
      <c r="J1831" s="23"/>
      <c r="K1831" s="16"/>
      <c r="L1831" s="23"/>
      <c r="M1831" s="23"/>
      <c r="N1831" s="23"/>
      <c r="O1831" s="16"/>
      <c r="P1831" s="23"/>
      <c r="Q1831" s="23"/>
      <c r="R1831" s="23"/>
      <c r="S1831" s="16"/>
      <c r="T1831" s="23"/>
      <c r="U1831" s="23"/>
      <c r="V1831" s="23"/>
      <c r="W1831" s="16"/>
      <c r="X1831" s="23"/>
      <c r="Y1831" s="23"/>
      <c r="Z1831" s="23"/>
      <c r="AA1831" s="16"/>
      <c r="AB1831" s="23"/>
      <c r="AC1831" s="23"/>
      <c r="AD1831" s="23"/>
      <c r="AE1831" s="16"/>
      <c r="AF1831" s="23"/>
      <c r="AG1831" s="23"/>
      <c r="AH1831" s="23"/>
      <c r="AI1831" s="16"/>
      <c r="AJ1831" s="23"/>
      <c r="AK1831" s="23"/>
      <c r="AL1831" s="23"/>
      <c r="AM1831" s="16"/>
      <c r="AN1831" s="23"/>
      <c r="AO1831" s="23"/>
      <c r="AP1831" s="23"/>
      <c r="AQ1831" s="16"/>
      <c r="AR1831" s="23"/>
      <c r="AS1831" s="23"/>
      <c r="AT1831" s="23"/>
      <c r="AU1831" s="16"/>
      <c r="AV1831" s="23"/>
      <c r="AW1831" s="23"/>
      <c r="AX1831" s="23"/>
      <c r="AY1831" s="16"/>
      <c r="AZ1831" s="23"/>
      <c r="BA1831" s="23"/>
      <c r="BB1831" s="23"/>
      <c r="BC1831" s="16"/>
      <c r="BD1831" s="23"/>
      <c r="BE1831" s="23"/>
      <c r="BF1831" s="23"/>
      <c r="BG1831" s="16"/>
      <c r="BH1831" s="23"/>
      <c r="BI1831" s="23"/>
      <c r="BJ1831" s="23"/>
      <c r="BN1831" s="23"/>
      <c r="BO1831" s="23"/>
      <c r="BP1831" s="16"/>
      <c r="BQ1831" s="16"/>
      <c r="BR1831" s="23"/>
      <c r="BS1831" s="16"/>
      <c r="BT1831" s="16"/>
      <c r="BU1831" s="16"/>
      <c r="BV1831" s="16"/>
      <c r="BW1831" s="16"/>
      <c r="BX1831" s="16"/>
      <c r="BY1831" s="16"/>
    </row>
    <row r="1832">
      <c r="A1832" s="16"/>
      <c r="B1832" s="16"/>
      <c r="C1832" s="22"/>
      <c r="D1832" s="16"/>
      <c r="E1832" s="16"/>
      <c r="F1832" s="16"/>
      <c r="G1832" s="16"/>
      <c r="H1832" s="16"/>
      <c r="I1832" s="23"/>
      <c r="J1832" s="23"/>
      <c r="K1832" s="16"/>
      <c r="L1832" s="23"/>
      <c r="M1832" s="23"/>
      <c r="N1832" s="23"/>
      <c r="O1832" s="16"/>
      <c r="P1832" s="23"/>
      <c r="Q1832" s="23"/>
      <c r="R1832" s="23"/>
      <c r="S1832" s="16"/>
      <c r="T1832" s="23"/>
      <c r="U1832" s="23"/>
      <c r="V1832" s="23"/>
      <c r="W1832" s="16"/>
      <c r="X1832" s="23"/>
      <c r="Y1832" s="23"/>
      <c r="Z1832" s="23"/>
      <c r="AA1832" s="16"/>
      <c r="AB1832" s="23"/>
      <c r="AC1832" s="23"/>
      <c r="AD1832" s="23"/>
      <c r="AE1832" s="16"/>
      <c r="AF1832" s="23"/>
      <c r="AG1832" s="23"/>
      <c r="AH1832" s="23"/>
      <c r="AI1832" s="16"/>
      <c r="AJ1832" s="23"/>
      <c r="AK1832" s="23"/>
      <c r="AL1832" s="23"/>
      <c r="AM1832" s="16"/>
      <c r="AN1832" s="23"/>
      <c r="AO1832" s="23"/>
      <c r="AP1832" s="23"/>
      <c r="AQ1832" s="16"/>
      <c r="AR1832" s="23"/>
      <c r="AS1832" s="23"/>
      <c r="AT1832" s="23"/>
      <c r="AU1832" s="16"/>
      <c r="AV1832" s="23"/>
      <c r="AW1832" s="23"/>
      <c r="AX1832" s="23"/>
      <c r="AY1832" s="16"/>
      <c r="AZ1832" s="23"/>
      <c r="BA1832" s="23"/>
      <c r="BB1832" s="23"/>
      <c r="BC1832" s="16"/>
      <c r="BD1832" s="23"/>
      <c r="BE1832" s="23"/>
      <c r="BF1832" s="23"/>
      <c r="BG1832" s="16"/>
      <c r="BH1832" s="23"/>
      <c r="BI1832" s="23"/>
      <c r="BJ1832" s="23"/>
      <c r="BN1832" s="23"/>
      <c r="BO1832" s="23"/>
      <c r="BP1832" s="16"/>
      <c r="BQ1832" s="16"/>
      <c r="BR1832" s="23"/>
      <c r="BS1832" s="16"/>
      <c r="BT1832" s="16"/>
      <c r="BU1832" s="16"/>
      <c r="BV1832" s="16"/>
      <c r="BW1832" s="16"/>
      <c r="BX1832" s="16"/>
      <c r="BY1832" s="16"/>
    </row>
    <row r="1833">
      <c r="A1833" s="16"/>
      <c r="B1833" s="16"/>
      <c r="C1833" s="22"/>
      <c r="D1833" s="16"/>
      <c r="E1833" s="16"/>
      <c r="F1833" s="16"/>
      <c r="G1833" s="16"/>
      <c r="H1833" s="16"/>
      <c r="I1833" s="23"/>
      <c r="J1833" s="23"/>
      <c r="K1833" s="16"/>
      <c r="L1833" s="23"/>
      <c r="M1833" s="23"/>
      <c r="N1833" s="23"/>
      <c r="O1833" s="16"/>
      <c r="P1833" s="23"/>
      <c r="Q1833" s="23"/>
      <c r="R1833" s="23"/>
      <c r="S1833" s="16"/>
      <c r="T1833" s="23"/>
      <c r="U1833" s="23"/>
      <c r="V1833" s="23"/>
      <c r="W1833" s="16"/>
      <c r="X1833" s="23"/>
      <c r="Y1833" s="23"/>
      <c r="Z1833" s="23"/>
      <c r="AA1833" s="16"/>
      <c r="AB1833" s="23"/>
      <c r="AC1833" s="23"/>
      <c r="AD1833" s="23"/>
      <c r="AE1833" s="16"/>
      <c r="AF1833" s="23"/>
      <c r="AG1833" s="23"/>
      <c r="AH1833" s="23"/>
      <c r="AI1833" s="16"/>
      <c r="AJ1833" s="23"/>
      <c r="AK1833" s="23"/>
      <c r="AL1833" s="23"/>
      <c r="AM1833" s="16"/>
      <c r="AN1833" s="23"/>
      <c r="AO1833" s="23"/>
      <c r="AP1833" s="23"/>
      <c r="AQ1833" s="16"/>
      <c r="AR1833" s="23"/>
      <c r="AS1833" s="23"/>
      <c r="AT1833" s="23"/>
      <c r="AU1833" s="16"/>
      <c r="AV1833" s="23"/>
      <c r="AW1833" s="23"/>
      <c r="AX1833" s="23"/>
      <c r="AY1833" s="16"/>
      <c r="AZ1833" s="23"/>
      <c r="BA1833" s="23"/>
      <c r="BB1833" s="23"/>
      <c r="BC1833" s="16"/>
      <c r="BD1833" s="23"/>
      <c r="BE1833" s="23"/>
      <c r="BF1833" s="23"/>
      <c r="BG1833" s="16"/>
      <c r="BH1833" s="23"/>
      <c r="BI1833" s="23"/>
      <c r="BJ1833" s="23"/>
      <c r="BN1833" s="23"/>
      <c r="BO1833" s="23"/>
      <c r="BP1833" s="16"/>
      <c r="BQ1833" s="16"/>
      <c r="BR1833" s="23"/>
      <c r="BS1833" s="16"/>
      <c r="BT1833" s="16"/>
      <c r="BU1833" s="16"/>
      <c r="BV1833" s="16"/>
      <c r="BW1833" s="16"/>
      <c r="BX1833" s="16"/>
      <c r="BY1833" s="16"/>
    </row>
    <row r="1834">
      <c r="A1834" s="16"/>
      <c r="B1834" s="16"/>
      <c r="C1834" s="22"/>
      <c r="D1834" s="16"/>
      <c r="E1834" s="16"/>
      <c r="F1834" s="16"/>
      <c r="G1834" s="16"/>
      <c r="H1834" s="16"/>
      <c r="I1834" s="23"/>
      <c r="J1834" s="23"/>
      <c r="K1834" s="16"/>
      <c r="L1834" s="23"/>
      <c r="M1834" s="23"/>
      <c r="N1834" s="23"/>
      <c r="O1834" s="16"/>
      <c r="P1834" s="23"/>
      <c r="Q1834" s="23"/>
      <c r="R1834" s="23"/>
      <c r="S1834" s="16"/>
      <c r="T1834" s="23"/>
      <c r="U1834" s="23"/>
      <c r="V1834" s="23"/>
      <c r="W1834" s="16"/>
      <c r="X1834" s="23"/>
      <c r="Y1834" s="23"/>
      <c r="Z1834" s="23"/>
      <c r="AA1834" s="16"/>
      <c r="AB1834" s="23"/>
      <c r="AC1834" s="23"/>
      <c r="AD1834" s="23"/>
      <c r="AE1834" s="16"/>
      <c r="AF1834" s="23"/>
      <c r="AG1834" s="23"/>
      <c r="AH1834" s="23"/>
      <c r="AI1834" s="16"/>
      <c r="AJ1834" s="23"/>
      <c r="AK1834" s="23"/>
      <c r="AL1834" s="23"/>
      <c r="AM1834" s="16"/>
      <c r="AN1834" s="23"/>
      <c r="AO1834" s="23"/>
      <c r="AP1834" s="23"/>
      <c r="AQ1834" s="16"/>
      <c r="AR1834" s="23"/>
      <c r="AS1834" s="23"/>
      <c r="AT1834" s="23"/>
      <c r="AU1834" s="16"/>
      <c r="AV1834" s="23"/>
      <c r="AW1834" s="23"/>
      <c r="AX1834" s="23"/>
      <c r="AY1834" s="16"/>
      <c r="AZ1834" s="23"/>
      <c r="BA1834" s="23"/>
      <c r="BB1834" s="23"/>
      <c r="BC1834" s="16"/>
      <c r="BD1834" s="23"/>
      <c r="BE1834" s="23"/>
      <c r="BF1834" s="23"/>
      <c r="BG1834" s="16"/>
      <c r="BH1834" s="23"/>
      <c r="BI1834" s="23"/>
      <c r="BJ1834" s="23"/>
      <c r="BN1834" s="23"/>
      <c r="BO1834" s="23"/>
      <c r="BP1834" s="16"/>
      <c r="BQ1834" s="16"/>
      <c r="BR1834" s="23"/>
      <c r="BS1834" s="16"/>
      <c r="BT1834" s="16"/>
      <c r="BU1834" s="16"/>
      <c r="BV1834" s="16"/>
      <c r="BW1834" s="16"/>
      <c r="BX1834" s="16"/>
      <c r="BY1834" s="16"/>
    </row>
    <row r="1835">
      <c r="A1835" s="16"/>
      <c r="B1835" s="16"/>
      <c r="C1835" s="22"/>
      <c r="D1835" s="16"/>
      <c r="E1835" s="16"/>
      <c r="F1835" s="16"/>
      <c r="G1835" s="16"/>
      <c r="H1835" s="16"/>
      <c r="I1835" s="23"/>
      <c r="J1835" s="23"/>
      <c r="K1835" s="16"/>
      <c r="L1835" s="23"/>
      <c r="M1835" s="23"/>
      <c r="N1835" s="23"/>
      <c r="O1835" s="16"/>
      <c r="P1835" s="23"/>
      <c r="Q1835" s="23"/>
      <c r="R1835" s="23"/>
      <c r="S1835" s="16"/>
      <c r="T1835" s="23"/>
      <c r="U1835" s="23"/>
      <c r="V1835" s="23"/>
      <c r="W1835" s="16"/>
      <c r="X1835" s="23"/>
      <c r="Y1835" s="23"/>
      <c r="Z1835" s="23"/>
      <c r="AA1835" s="16"/>
      <c r="AB1835" s="23"/>
      <c r="AC1835" s="23"/>
      <c r="AD1835" s="23"/>
      <c r="AE1835" s="16"/>
      <c r="AF1835" s="23"/>
      <c r="AG1835" s="23"/>
      <c r="AH1835" s="23"/>
      <c r="AI1835" s="16"/>
      <c r="AJ1835" s="23"/>
      <c r="AK1835" s="23"/>
      <c r="AL1835" s="23"/>
      <c r="AM1835" s="16"/>
      <c r="AN1835" s="23"/>
      <c r="AO1835" s="23"/>
      <c r="AP1835" s="23"/>
      <c r="AQ1835" s="16"/>
      <c r="AR1835" s="23"/>
      <c r="AS1835" s="23"/>
      <c r="AT1835" s="23"/>
      <c r="AU1835" s="16"/>
      <c r="AV1835" s="23"/>
      <c r="AW1835" s="23"/>
      <c r="AX1835" s="23"/>
      <c r="AY1835" s="16"/>
      <c r="AZ1835" s="23"/>
      <c r="BA1835" s="23"/>
      <c r="BB1835" s="23"/>
      <c r="BC1835" s="16"/>
      <c r="BD1835" s="23"/>
      <c r="BE1835" s="23"/>
      <c r="BF1835" s="23"/>
      <c r="BG1835" s="16"/>
      <c r="BH1835" s="23"/>
      <c r="BI1835" s="23"/>
      <c r="BJ1835" s="23"/>
      <c r="BN1835" s="23"/>
      <c r="BO1835" s="23"/>
      <c r="BP1835" s="16"/>
      <c r="BQ1835" s="16"/>
      <c r="BR1835" s="23"/>
      <c r="BS1835" s="16"/>
      <c r="BT1835" s="16"/>
      <c r="BU1835" s="16"/>
      <c r="BV1835" s="16"/>
      <c r="BW1835" s="16"/>
      <c r="BX1835" s="16"/>
      <c r="BY1835" s="16"/>
    </row>
    <row r="1836">
      <c r="A1836" s="16"/>
      <c r="B1836" s="16"/>
      <c r="C1836" s="22"/>
      <c r="D1836" s="16"/>
      <c r="E1836" s="16"/>
      <c r="F1836" s="16"/>
      <c r="G1836" s="16"/>
      <c r="H1836" s="16"/>
      <c r="I1836" s="23"/>
      <c r="J1836" s="23"/>
      <c r="K1836" s="16"/>
      <c r="L1836" s="23"/>
      <c r="M1836" s="23"/>
      <c r="N1836" s="23"/>
      <c r="O1836" s="16"/>
      <c r="P1836" s="23"/>
      <c r="Q1836" s="23"/>
      <c r="R1836" s="23"/>
      <c r="S1836" s="16"/>
      <c r="T1836" s="23"/>
      <c r="U1836" s="23"/>
      <c r="V1836" s="23"/>
      <c r="W1836" s="16"/>
      <c r="X1836" s="23"/>
      <c r="Y1836" s="23"/>
      <c r="Z1836" s="23"/>
      <c r="AA1836" s="16"/>
      <c r="AB1836" s="23"/>
      <c r="AC1836" s="23"/>
      <c r="AD1836" s="23"/>
      <c r="AE1836" s="16"/>
      <c r="AF1836" s="23"/>
      <c r="AG1836" s="23"/>
      <c r="AH1836" s="23"/>
      <c r="AI1836" s="16"/>
      <c r="AJ1836" s="23"/>
      <c r="AK1836" s="23"/>
      <c r="AL1836" s="23"/>
      <c r="AM1836" s="16"/>
      <c r="AN1836" s="23"/>
      <c r="AO1836" s="23"/>
      <c r="AP1836" s="23"/>
      <c r="AQ1836" s="16"/>
      <c r="AR1836" s="23"/>
      <c r="AS1836" s="23"/>
      <c r="AT1836" s="23"/>
      <c r="AU1836" s="16"/>
      <c r="AV1836" s="23"/>
      <c r="AW1836" s="23"/>
      <c r="AX1836" s="23"/>
      <c r="AY1836" s="16"/>
      <c r="AZ1836" s="23"/>
      <c r="BA1836" s="23"/>
      <c r="BB1836" s="23"/>
      <c r="BC1836" s="16"/>
      <c r="BD1836" s="23"/>
      <c r="BE1836" s="23"/>
      <c r="BF1836" s="23"/>
      <c r="BG1836" s="16"/>
      <c r="BH1836" s="23"/>
      <c r="BI1836" s="23"/>
      <c r="BJ1836" s="23"/>
      <c r="BN1836" s="23"/>
      <c r="BO1836" s="23"/>
      <c r="BP1836" s="16"/>
      <c r="BQ1836" s="16"/>
      <c r="BR1836" s="23"/>
      <c r="BS1836" s="16"/>
      <c r="BT1836" s="16"/>
      <c r="BU1836" s="16"/>
      <c r="BV1836" s="16"/>
      <c r="BW1836" s="16"/>
      <c r="BX1836" s="16"/>
      <c r="BY1836" s="16"/>
    </row>
    <row r="1837">
      <c r="A1837" s="16"/>
      <c r="B1837" s="16"/>
      <c r="C1837" s="22"/>
      <c r="D1837" s="16"/>
      <c r="E1837" s="16"/>
      <c r="F1837" s="16"/>
      <c r="G1837" s="16"/>
      <c r="H1837" s="16"/>
      <c r="I1837" s="23"/>
      <c r="J1837" s="23"/>
      <c r="K1837" s="16"/>
      <c r="L1837" s="23"/>
      <c r="M1837" s="23"/>
      <c r="N1837" s="23"/>
      <c r="O1837" s="16"/>
      <c r="P1837" s="23"/>
      <c r="Q1837" s="23"/>
      <c r="R1837" s="23"/>
      <c r="S1837" s="16"/>
      <c r="T1837" s="23"/>
      <c r="U1837" s="23"/>
      <c r="V1837" s="23"/>
      <c r="W1837" s="16"/>
      <c r="X1837" s="23"/>
      <c r="Y1837" s="23"/>
      <c r="Z1837" s="23"/>
      <c r="AA1837" s="16"/>
      <c r="AB1837" s="23"/>
      <c r="AC1837" s="23"/>
      <c r="AD1837" s="23"/>
      <c r="AE1837" s="16"/>
      <c r="AF1837" s="23"/>
      <c r="AG1837" s="23"/>
      <c r="AH1837" s="23"/>
      <c r="AI1837" s="16"/>
      <c r="AJ1837" s="23"/>
      <c r="AK1837" s="23"/>
      <c r="AL1837" s="23"/>
      <c r="AM1837" s="16"/>
      <c r="AN1837" s="23"/>
      <c r="AO1837" s="23"/>
      <c r="AP1837" s="23"/>
      <c r="AQ1837" s="16"/>
      <c r="AR1837" s="23"/>
      <c r="AS1837" s="23"/>
      <c r="AT1837" s="23"/>
      <c r="AU1837" s="16"/>
      <c r="AV1837" s="23"/>
      <c r="AW1837" s="23"/>
      <c r="AX1837" s="23"/>
      <c r="AY1837" s="16"/>
      <c r="AZ1837" s="23"/>
      <c r="BA1837" s="23"/>
      <c r="BB1837" s="23"/>
      <c r="BC1837" s="16"/>
      <c r="BD1837" s="23"/>
      <c r="BE1837" s="23"/>
      <c r="BF1837" s="23"/>
      <c r="BG1837" s="16"/>
      <c r="BH1837" s="23"/>
      <c r="BI1837" s="23"/>
      <c r="BJ1837" s="23"/>
      <c r="BN1837" s="23"/>
      <c r="BO1837" s="23"/>
      <c r="BP1837" s="16"/>
      <c r="BQ1837" s="16"/>
      <c r="BR1837" s="23"/>
      <c r="BS1837" s="16"/>
      <c r="BT1837" s="16"/>
      <c r="BU1837" s="16"/>
      <c r="BV1837" s="16"/>
      <c r="BW1837" s="16"/>
      <c r="BX1837" s="16"/>
      <c r="BY1837" s="16"/>
    </row>
    <row r="1838">
      <c r="A1838" s="16"/>
      <c r="B1838" s="16"/>
      <c r="C1838" s="22"/>
      <c r="D1838" s="16"/>
      <c r="E1838" s="16"/>
      <c r="F1838" s="16"/>
      <c r="G1838" s="16"/>
      <c r="H1838" s="16"/>
      <c r="I1838" s="23"/>
      <c r="J1838" s="23"/>
      <c r="K1838" s="16"/>
      <c r="L1838" s="23"/>
      <c r="M1838" s="23"/>
      <c r="N1838" s="23"/>
      <c r="O1838" s="16"/>
      <c r="P1838" s="23"/>
      <c r="Q1838" s="23"/>
      <c r="R1838" s="23"/>
      <c r="S1838" s="16"/>
      <c r="T1838" s="23"/>
      <c r="U1838" s="23"/>
      <c r="V1838" s="23"/>
      <c r="W1838" s="16"/>
      <c r="X1838" s="23"/>
      <c r="Y1838" s="23"/>
      <c r="Z1838" s="23"/>
      <c r="AA1838" s="16"/>
      <c r="AB1838" s="23"/>
      <c r="AC1838" s="23"/>
      <c r="AD1838" s="23"/>
      <c r="AE1838" s="16"/>
      <c r="AF1838" s="23"/>
      <c r="AG1838" s="23"/>
      <c r="AH1838" s="23"/>
      <c r="AI1838" s="16"/>
      <c r="AJ1838" s="23"/>
      <c r="AK1838" s="23"/>
      <c r="AL1838" s="23"/>
      <c r="AM1838" s="16"/>
      <c r="AN1838" s="23"/>
      <c r="AO1838" s="23"/>
      <c r="AP1838" s="23"/>
      <c r="AQ1838" s="16"/>
      <c r="AR1838" s="23"/>
      <c r="AS1838" s="23"/>
      <c r="AT1838" s="23"/>
      <c r="AU1838" s="16"/>
      <c r="AV1838" s="23"/>
      <c r="AW1838" s="23"/>
      <c r="AX1838" s="23"/>
      <c r="AY1838" s="16"/>
      <c r="AZ1838" s="23"/>
      <c r="BA1838" s="23"/>
      <c r="BB1838" s="23"/>
      <c r="BC1838" s="16"/>
      <c r="BD1838" s="23"/>
      <c r="BE1838" s="23"/>
      <c r="BF1838" s="23"/>
      <c r="BG1838" s="16"/>
      <c r="BH1838" s="23"/>
      <c r="BI1838" s="23"/>
      <c r="BJ1838" s="23"/>
      <c r="BN1838" s="23"/>
      <c r="BO1838" s="23"/>
      <c r="BP1838" s="16"/>
      <c r="BQ1838" s="16"/>
      <c r="BR1838" s="23"/>
      <c r="BS1838" s="16"/>
      <c r="BT1838" s="16"/>
      <c r="BU1838" s="16"/>
      <c r="BV1838" s="16"/>
      <c r="BW1838" s="16"/>
      <c r="BX1838" s="16"/>
      <c r="BY1838" s="16"/>
    </row>
    <row r="1839">
      <c r="A1839" s="16"/>
      <c r="B1839" s="16"/>
      <c r="C1839" s="22"/>
      <c r="D1839" s="16"/>
      <c r="E1839" s="16"/>
      <c r="F1839" s="16"/>
      <c r="G1839" s="16"/>
      <c r="H1839" s="16"/>
      <c r="I1839" s="23"/>
      <c r="J1839" s="23"/>
      <c r="K1839" s="16"/>
      <c r="L1839" s="23"/>
      <c r="M1839" s="23"/>
      <c r="N1839" s="23"/>
      <c r="O1839" s="16"/>
      <c r="P1839" s="23"/>
      <c r="Q1839" s="23"/>
      <c r="R1839" s="23"/>
      <c r="S1839" s="16"/>
      <c r="T1839" s="23"/>
      <c r="U1839" s="23"/>
      <c r="V1839" s="23"/>
      <c r="W1839" s="16"/>
      <c r="X1839" s="23"/>
      <c r="Y1839" s="23"/>
      <c r="Z1839" s="23"/>
      <c r="AA1839" s="16"/>
      <c r="AB1839" s="23"/>
      <c r="AC1839" s="23"/>
      <c r="AD1839" s="23"/>
      <c r="AE1839" s="16"/>
      <c r="AF1839" s="23"/>
      <c r="AG1839" s="23"/>
      <c r="AH1839" s="23"/>
      <c r="AI1839" s="16"/>
      <c r="AJ1839" s="23"/>
      <c r="AK1839" s="23"/>
      <c r="AL1839" s="23"/>
      <c r="AM1839" s="16"/>
      <c r="AN1839" s="23"/>
      <c r="AO1839" s="23"/>
      <c r="AP1839" s="23"/>
      <c r="AQ1839" s="16"/>
      <c r="AR1839" s="23"/>
      <c r="AS1839" s="23"/>
      <c r="AT1839" s="23"/>
      <c r="AU1839" s="16"/>
      <c r="AV1839" s="23"/>
      <c r="AW1839" s="23"/>
      <c r="AX1839" s="23"/>
      <c r="AY1839" s="16"/>
      <c r="AZ1839" s="23"/>
      <c r="BA1839" s="23"/>
      <c r="BB1839" s="23"/>
      <c r="BC1839" s="16"/>
      <c r="BD1839" s="23"/>
      <c r="BE1839" s="23"/>
      <c r="BF1839" s="23"/>
      <c r="BG1839" s="16"/>
      <c r="BH1839" s="23"/>
      <c r="BI1839" s="23"/>
      <c r="BJ1839" s="23"/>
      <c r="BN1839" s="23"/>
      <c r="BO1839" s="23"/>
      <c r="BP1839" s="16"/>
      <c r="BQ1839" s="16"/>
      <c r="BR1839" s="23"/>
      <c r="BS1839" s="16"/>
      <c r="BT1839" s="16"/>
      <c r="BU1839" s="16"/>
      <c r="BV1839" s="16"/>
      <c r="BW1839" s="16"/>
      <c r="BX1839" s="16"/>
      <c r="BY1839" s="16"/>
    </row>
    <row r="1840">
      <c r="A1840" s="16"/>
      <c r="B1840" s="16"/>
      <c r="C1840" s="22"/>
      <c r="D1840" s="16"/>
      <c r="E1840" s="16"/>
      <c r="F1840" s="16"/>
      <c r="G1840" s="16"/>
      <c r="H1840" s="16"/>
      <c r="I1840" s="23"/>
      <c r="J1840" s="23"/>
      <c r="K1840" s="16"/>
      <c r="L1840" s="23"/>
      <c r="M1840" s="23"/>
      <c r="N1840" s="23"/>
      <c r="O1840" s="16"/>
      <c r="P1840" s="23"/>
      <c r="Q1840" s="23"/>
      <c r="R1840" s="23"/>
      <c r="S1840" s="16"/>
      <c r="T1840" s="23"/>
      <c r="U1840" s="23"/>
      <c r="V1840" s="23"/>
      <c r="W1840" s="16"/>
      <c r="X1840" s="23"/>
      <c r="Y1840" s="23"/>
      <c r="Z1840" s="23"/>
      <c r="AA1840" s="16"/>
      <c r="AB1840" s="23"/>
      <c r="AC1840" s="23"/>
      <c r="AD1840" s="23"/>
      <c r="AE1840" s="16"/>
      <c r="AF1840" s="23"/>
      <c r="AG1840" s="23"/>
      <c r="AH1840" s="23"/>
      <c r="AI1840" s="16"/>
      <c r="AJ1840" s="23"/>
      <c r="AK1840" s="23"/>
      <c r="AL1840" s="23"/>
      <c r="AM1840" s="16"/>
      <c r="AN1840" s="23"/>
      <c r="AO1840" s="23"/>
      <c r="AP1840" s="23"/>
      <c r="AQ1840" s="16"/>
      <c r="AR1840" s="23"/>
      <c r="AS1840" s="23"/>
      <c r="AT1840" s="23"/>
      <c r="AU1840" s="16"/>
      <c r="AV1840" s="23"/>
      <c r="AW1840" s="23"/>
      <c r="AX1840" s="23"/>
      <c r="AY1840" s="16"/>
      <c r="AZ1840" s="23"/>
      <c r="BA1840" s="23"/>
      <c r="BB1840" s="23"/>
      <c r="BC1840" s="16"/>
      <c r="BD1840" s="23"/>
      <c r="BE1840" s="23"/>
      <c r="BF1840" s="23"/>
      <c r="BG1840" s="16"/>
      <c r="BH1840" s="23"/>
      <c r="BI1840" s="23"/>
      <c r="BJ1840" s="23"/>
      <c r="BN1840" s="23"/>
      <c r="BO1840" s="23"/>
      <c r="BP1840" s="16"/>
      <c r="BQ1840" s="16"/>
      <c r="BR1840" s="23"/>
      <c r="BS1840" s="16"/>
      <c r="BT1840" s="16"/>
      <c r="BU1840" s="16"/>
      <c r="BV1840" s="16"/>
      <c r="BW1840" s="16"/>
      <c r="BX1840" s="16"/>
      <c r="BY1840" s="16"/>
    </row>
    <row r="1841">
      <c r="A1841" s="16"/>
      <c r="B1841" s="16"/>
      <c r="C1841" s="22"/>
      <c r="D1841" s="16"/>
      <c r="E1841" s="16"/>
      <c r="F1841" s="16"/>
      <c r="G1841" s="16"/>
      <c r="H1841" s="16"/>
      <c r="I1841" s="23"/>
      <c r="J1841" s="23"/>
      <c r="K1841" s="16"/>
      <c r="L1841" s="23"/>
      <c r="M1841" s="23"/>
      <c r="N1841" s="23"/>
      <c r="O1841" s="16"/>
      <c r="P1841" s="23"/>
      <c r="Q1841" s="23"/>
      <c r="R1841" s="23"/>
      <c r="S1841" s="16"/>
      <c r="T1841" s="23"/>
      <c r="U1841" s="23"/>
      <c r="V1841" s="23"/>
      <c r="W1841" s="16"/>
      <c r="X1841" s="23"/>
      <c r="Y1841" s="23"/>
      <c r="Z1841" s="23"/>
      <c r="AA1841" s="16"/>
      <c r="AB1841" s="23"/>
      <c r="AC1841" s="23"/>
      <c r="AD1841" s="23"/>
      <c r="AE1841" s="16"/>
      <c r="AF1841" s="23"/>
      <c r="AG1841" s="23"/>
      <c r="AH1841" s="23"/>
      <c r="AI1841" s="16"/>
      <c r="AJ1841" s="23"/>
      <c r="AK1841" s="23"/>
      <c r="AL1841" s="23"/>
      <c r="AM1841" s="16"/>
      <c r="AN1841" s="23"/>
      <c r="AO1841" s="23"/>
      <c r="AP1841" s="23"/>
      <c r="AQ1841" s="16"/>
      <c r="AR1841" s="23"/>
      <c r="AS1841" s="23"/>
      <c r="AT1841" s="23"/>
      <c r="AU1841" s="16"/>
      <c r="AV1841" s="23"/>
      <c r="AW1841" s="23"/>
      <c r="AX1841" s="23"/>
      <c r="AY1841" s="16"/>
      <c r="AZ1841" s="23"/>
      <c r="BA1841" s="23"/>
      <c r="BB1841" s="23"/>
      <c r="BC1841" s="16"/>
      <c r="BD1841" s="23"/>
      <c r="BE1841" s="23"/>
      <c r="BF1841" s="23"/>
      <c r="BG1841" s="16"/>
      <c r="BH1841" s="23"/>
      <c r="BI1841" s="23"/>
      <c r="BJ1841" s="23"/>
      <c r="BN1841" s="23"/>
      <c r="BO1841" s="23"/>
      <c r="BP1841" s="16"/>
      <c r="BQ1841" s="16"/>
      <c r="BR1841" s="23"/>
      <c r="BS1841" s="16"/>
      <c r="BT1841" s="16"/>
      <c r="BU1841" s="16"/>
      <c r="BV1841" s="16"/>
      <c r="BW1841" s="16"/>
      <c r="BX1841" s="16"/>
      <c r="BY1841" s="16"/>
    </row>
    <row r="1842">
      <c r="A1842" s="16"/>
      <c r="B1842" s="16"/>
      <c r="C1842" s="22"/>
      <c r="D1842" s="16"/>
      <c r="E1842" s="16"/>
      <c r="F1842" s="16"/>
      <c r="G1842" s="16"/>
      <c r="H1842" s="16"/>
      <c r="I1842" s="23"/>
      <c r="J1842" s="23"/>
      <c r="K1842" s="16"/>
      <c r="L1842" s="23"/>
      <c r="M1842" s="23"/>
      <c r="N1842" s="23"/>
      <c r="O1842" s="16"/>
      <c r="P1842" s="23"/>
      <c r="Q1842" s="23"/>
      <c r="R1842" s="23"/>
      <c r="S1842" s="16"/>
      <c r="T1842" s="23"/>
      <c r="U1842" s="23"/>
      <c r="V1842" s="23"/>
      <c r="W1842" s="16"/>
      <c r="X1842" s="23"/>
      <c r="Y1842" s="23"/>
      <c r="Z1842" s="23"/>
      <c r="AA1842" s="16"/>
      <c r="AB1842" s="23"/>
      <c r="AC1842" s="23"/>
      <c r="AD1842" s="23"/>
      <c r="AE1842" s="16"/>
      <c r="AF1842" s="23"/>
      <c r="AG1842" s="23"/>
      <c r="AH1842" s="23"/>
      <c r="AI1842" s="16"/>
      <c r="AJ1842" s="23"/>
      <c r="AK1842" s="23"/>
      <c r="AL1842" s="23"/>
      <c r="AM1842" s="16"/>
      <c r="AN1842" s="23"/>
      <c r="AO1842" s="23"/>
      <c r="AP1842" s="23"/>
      <c r="AQ1842" s="16"/>
      <c r="AR1842" s="23"/>
      <c r="AS1842" s="23"/>
      <c r="AT1842" s="23"/>
      <c r="AU1842" s="16"/>
      <c r="AV1842" s="23"/>
      <c r="AW1842" s="23"/>
      <c r="AX1842" s="23"/>
      <c r="AY1842" s="16"/>
      <c r="AZ1842" s="23"/>
      <c r="BA1842" s="23"/>
      <c r="BB1842" s="23"/>
      <c r="BC1842" s="16"/>
      <c r="BD1842" s="23"/>
      <c r="BE1842" s="23"/>
      <c r="BF1842" s="23"/>
      <c r="BG1842" s="16"/>
      <c r="BH1842" s="23"/>
      <c r="BI1842" s="23"/>
      <c r="BJ1842" s="23"/>
      <c r="BN1842" s="23"/>
      <c r="BO1842" s="23"/>
      <c r="BP1842" s="16"/>
      <c r="BQ1842" s="16"/>
      <c r="BR1842" s="23"/>
      <c r="BS1842" s="16"/>
      <c r="BT1842" s="16"/>
      <c r="BU1842" s="16"/>
      <c r="BV1842" s="16"/>
      <c r="BW1842" s="16"/>
      <c r="BX1842" s="16"/>
      <c r="BY1842" s="16"/>
    </row>
    <row r="1843">
      <c r="A1843" s="16"/>
      <c r="B1843" s="16"/>
      <c r="C1843" s="22"/>
      <c r="D1843" s="16"/>
      <c r="E1843" s="16"/>
      <c r="F1843" s="16"/>
      <c r="G1843" s="16"/>
      <c r="H1843" s="16"/>
      <c r="I1843" s="23"/>
      <c r="J1843" s="23"/>
      <c r="K1843" s="16"/>
      <c r="L1843" s="23"/>
      <c r="M1843" s="23"/>
      <c r="N1843" s="23"/>
      <c r="O1843" s="16"/>
      <c r="P1843" s="23"/>
      <c r="Q1843" s="23"/>
      <c r="R1843" s="23"/>
      <c r="S1843" s="16"/>
      <c r="T1843" s="23"/>
      <c r="U1843" s="23"/>
      <c r="V1843" s="23"/>
      <c r="W1843" s="16"/>
      <c r="X1843" s="23"/>
      <c r="Y1843" s="23"/>
      <c r="Z1843" s="23"/>
      <c r="AA1843" s="16"/>
      <c r="AB1843" s="23"/>
      <c r="AC1843" s="23"/>
      <c r="AD1843" s="23"/>
      <c r="AE1843" s="16"/>
      <c r="AF1843" s="23"/>
      <c r="AG1843" s="23"/>
      <c r="AH1843" s="23"/>
      <c r="AI1843" s="16"/>
      <c r="AJ1843" s="23"/>
      <c r="AK1843" s="23"/>
      <c r="AL1843" s="23"/>
      <c r="AM1843" s="16"/>
      <c r="AN1843" s="23"/>
      <c r="AO1843" s="23"/>
      <c r="AP1843" s="23"/>
      <c r="AQ1843" s="16"/>
      <c r="AR1843" s="23"/>
      <c r="AS1843" s="23"/>
      <c r="AT1843" s="23"/>
      <c r="AU1843" s="16"/>
      <c r="AV1843" s="23"/>
      <c r="AW1843" s="23"/>
      <c r="AX1843" s="23"/>
      <c r="AY1843" s="16"/>
      <c r="AZ1843" s="23"/>
      <c r="BA1843" s="23"/>
      <c r="BB1843" s="23"/>
      <c r="BC1843" s="16"/>
      <c r="BD1843" s="23"/>
      <c r="BE1843" s="23"/>
      <c r="BF1843" s="23"/>
      <c r="BG1843" s="16"/>
      <c r="BH1843" s="23"/>
      <c r="BI1843" s="23"/>
      <c r="BJ1843" s="23"/>
      <c r="BN1843" s="23"/>
      <c r="BO1843" s="23"/>
      <c r="BP1843" s="16"/>
      <c r="BQ1843" s="16"/>
      <c r="BR1843" s="23"/>
      <c r="BS1843" s="16"/>
      <c r="BT1843" s="16"/>
      <c r="BU1843" s="16"/>
      <c r="BV1843" s="16"/>
      <c r="BW1843" s="16"/>
      <c r="BX1843" s="16"/>
      <c r="BY1843" s="16"/>
    </row>
    <row r="1844">
      <c r="A1844" s="16"/>
      <c r="B1844" s="16"/>
      <c r="C1844" s="22"/>
      <c r="D1844" s="16"/>
      <c r="E1844" s="16"/>
      <c r="F1844" s="16"/>
      <c r="G1844" s="16"/>
      <c r="H1844" s="16"/>
      <c r="I1844" s="23"/>
      <c r="J1844" s="23"/>
      <c r="K1844" s="16"/>
      <c r="L1844" s="23"/>
      <c r="M1844" s="23"/>
      <c r="N1844" s="23"/>
      <c r="O1844" s="16"/>
      <c r="P1844" s="23"/>
      <c r="Q1844" s="23"/>
      <c r="R1844" s="23"/>
      <c r="S1844" s="16"/>
      <c r="T1844" s="23"/>
      <c r="U1844" s="23"/>
      <c r="V1844" s="23"/>
      <c r="W1844" s="16"/>
      <c r="X1844" s="23"/>
      <c r="Y1844" s="23"/>
      <c r="Z1844" s="23"/>
      <c r="AA1844" s="16"/>
      <c r="AB1844" s="23"/>
      <c r="AC1844" s="23"/>
      <c r="AD1844" s="23"/>
      <c r="AE1844" s="16"/>
      <c r="AF1844" s="23"/>
      <c r="AG1844" s="23"/>
      <c r="AH1844" s="23"/>
      <c r="AI1844" s="16"/>
      <c r="AJ1844" s="23"/>
      <c r="AK1844" s="23"/>
      <c r="AL1844" s="23"/>
      <c r="AM1844" s="16"/>
      <c r="AN1844" s="23"/>
      <c r="AO1844" s="23"/>
      <c r="AP1844" s="23"/>
      <c r="AQ1844" s="16"/>
      <c r="AR1844" s="23"/>
      <c r="AS1844" s="23"/>
      <c r="AT1844" s="23"/>
      <c r="AU1844" s="16"/>
      <c r="AV1844" s="23"/>
      <c r="AW1844" s="23"/>
      <c r="AX1844" s="23"/>
      <c r="AY1844" s="16"/>
      <c r="AZ1844" s="23"/>
      <c r="BA1844" s="23"/>
      <c r="BB1844" s="23"/>
      <c r="BC1844" s="16"/>
      <c r="BD1844" s="23"/>
      <c r="BE1844" s="23"/>
      <c r="BF1844" s="23"/>
      <c r="BG1844" s="16"/>
      <c r="BH1844" s="23"/>
      <c r="BI1844" s="23"/>
      <c r="BJ1844" s="23"/>
      <c r="BN1844" s="23"/>
      <c r="BO1844" s="23"/>
      <c r="BP1844" s="16"/>
      <c r="BQ1844" s="16"/>
      <c r="BR1844" s="23"/>
      <c r="BS1844" s="16"/>
      <c r="BT1844" s="16"/>
      <c r="BU1844" s="16"/>
      <c r="BV1844" s="16"/>
      <c r="BW1844" s="16"/>
      <c r="BX1844" s="16"/>
      <c r="BY1844" s="16"/>
    </row>
    <row r="1845">
      <c r="A1845" s="16"/>
      <c r="B1845" s="16"/>
      <c r="C1845" s="22"/>
      <c r="D1845" s="16"/>
      <c r="E1845" s="16"/>
      <c r="F1845" s="16"/>
      <c r="G1845" s="16"/>
      <c r="H1845" s="16"/>
      <c r="I1845" s="23"/>
      <c r="J1845" s="23"/>
      <c r="K1845" s="16"/>
      <c r="L1845" s="23"/>
      <c r="M1845" s="23"/>
      <c r="N1845" s="23"/>
      <c r="O1845" s="16"/>
      <c r="P1845" s="23"/>
      <c r="Q1845" s="23"/>
      <c r="R1845" s="23"/>
      <c r="S1845" s="16"/>
      <c r="T1845" s="23"/>
      <c r="U1845" s="23"/>
      <c r="V1845" s="23"/>
      <c r="W1845" s="16"/>
      <c r="X1845" s="23"/>
      <c r="Y1845" s="23"/>
      <c r="Z1845" s="23"/>
      <c r="AA1845" s="16"/>
      <c r="AB1845" s="23"/>
      <c r="AC1845" s="23"/>
      <c r="AD1845" s="23"/>
      <c r="AE1845" s="16"/>
      <c r="AF1845" s="23"/>
      <c r="AG1845" s="23"/>
      <c r="AH1845" s="23"/>
      <c r="AI1845" s="16"/>
      <c r="AJ1845" s="23"/>
      <c r="AK1845" s="23"/>
      <c r="AL1845" s="23"/>
      <c r="AM1845" s="16"/>
      <c r="AN1845" s="23"/>
      <c r="AO1845" s="23"/>
      <c r="AP1845" s="23"/>
      <c r="AQ1845" s="16"/>
      <c r="AR1845" s="23"/>
      <c r="AS1845" s="23"/>
      <c r="AT1845" s="23"/>
      <c r="AU1845" s="16"/>
      <c r="AV1845" s="23"/>
      <c r="AW1845" s="23"/>
      <c r="AX1845" s="23"/>
      <c r="AY1845" s="16"/>
      <c r="AZ1845" s="23"/>
      <c r="BA1845" s="23"/>
      <c r="BB1845" s="23"/>
      <c r="BC1845" s="16"/>
      <c r="BD1845" s="23"/>
      <c r="BE1845" s="23"/>
      <c r="BF1845" s="23"/>
      <c r="BG1845" s="16"/>
      <c r="BH1845" s="23"/>
      <c r="BI1845" s="23"/>
      <c r="BJ1845" s="23"/>
      <c r="BN1845" s="23"/>
      <c r="BO1845" s="23"/>
      <c r="BP1845" s="16"/>
      <c r="BQ1845" s="16"/>
      <c r="BR1845" s="23"/>
      <c r="BS1845" s="16"/>
      <c r="BT1845" s="16"/>
      <c r="BU1845" s="16"/>
      <c r="BV1845" s="16"/>
      <c r="BW1845" s="16"/>
      <c r="BX1845" s="16"/>
      <c r="BY1845" s="16"/>
    </row>
    <row r="1846">
      <c r="A1846" s="16"/>
      <c r="B1846" s="16"/>
      <c r="C1846" s="22"/>
      <c r="D1846" s="16"/>
      <c r="E1846" s="16"/>
      <c r="F1846" s="16"/>
      <c r="G1846" s="16"/>
      <c r="H1846" s="16"/>
      <c r="I1846" s="23"/>
      <c r="J1846" s="23"/>
      <c r="K1846" s="16"/>
      <c r="L1846" s="23"/>
      <c r="M1846" s="23"/>
      <c r="N1846" s="23"/>
      <c r="O1846" s="16"/>
      <c r="P1846" s="23"/>
      <c r="Q1846" s="23"/>
      <c r="R1846" s="23"/>
      <c r="S1846" s="16"/>
      <c r="T1846" s="23"/>
      <c r="U1846" s="23"/>
      <c r="V1846" s="23"/>
      <c r="W1846" s="16"/>
      <c r="X1846" s="23"/>
      <c r="Y1846" s="23"/>
      <c r="Z1846" s="23"/>
      <c r="AA1846" s="16"/>
      <c r="AB1846" s="23"/>
      <c r="AC1846" s="23"/>
      <c r="AD1846" s="23"/>
      <c r="AE1846" s="16"/>
      <c r="AF1846" s="23"/>
      <c r="AG1846" s="23"/>
      <c r="AH1846" s="23"/>
      <c r="AI1846" s="16"/>
      <c r="AJ1846" s="23"/>
      <c r="AK1846" s="23"/>
      <c r="AL1846" s="23"/>
      <c r="AM1846" s="16"/>
      <c r="AN1846" s="23"/>
      <c r="AO1846" s="23"/>
      <c r="AP1846" s="23"/>
      <c r="AQ1846" s="16"/>
      <c r="AR1846" s="23"/>
      <c r="AS1846" s="23"/>
      <c r="AT1846" s="23"/>
      <c r="AU1846" s="16"/>
      <c r="AV1846" s="23"/>
      <c r="AW1846" s="23"/>
      <c r="AX1846" s="23"/>
      <c r="AY1846" s="16"/>
      <c r="AZ1846" s="23"/>
      <c r="BA1846" s="23"/>
      <c r="BB1846" s="23"/>
      <c r="BC1846" s="16"/>
      <c r="BD1846" s="23"/>
      <c r="BE1846" s="23"/>
      <c r="BF1846" s="23"/>
      <c r="BG1846" s="16"/>
      <c r="BH1846" s="23"/>
      <c r="BI1846" s="23"/>
      <c r="BJ1846" s="23"/>
      <c r="BN1846" s="23"/>
      <c r="BO1846" s="23"/>
      <c r="BP1846" s="16"/>
      <c r="BQ1846" s="16"/>
      <c r="BR1846" s="23"/>
      <c r="BS1846" s="16"/>
      <c r="BT1846" s="16"/>
      <c r="BU1846" s="16"/>
      <c r="BV1846" s="16"/>
      <c r="BW1846" s="16"/>
      <c r="BX1846" s="16"/>
      <c r="BY1846" s="16"/>
    </row>
    <row r="1847">
      <c r="A1847" s="16"/>
      <c r="B1847" s="16"/>
      <c r="C1847" s="22"/>
      <c r="D1847" s="16"/>
      <c r="E1847" s="16"/>
      <c r="F1847" s="16"/>
      <c r="G1847" s="16"/>
      <c r="H1847" s="16"/>
      <c r="I1847" s="23"/>
      <c r="J1847" s="23"/>
      <c r="K1847" s="16"/>
      <c r="L1847" s="23"/>
      <c r="M1847" s="23"/>
      <c r="N1847" s="23"/>
      <c r="O1847" s="16"/>
      <c r="P1847" s="23"/>
      <c r="Q1847" s="23"/>
      <c r="R1847" s="23"/>
      <c r="S1847" s="16"/>
      <c r="T1847" s="23"/>
      <c r="U1847" s="23"/>
      <c r="V1847" s="23"/>
      <c r="W1847" s="16"/>
      <c r="X1847" s="23"/>
      <c r="Y1847" s="23"/>
      <c r="Z1847" s="23"/>
      <c r="AA1847" s="16"/>
      <c r="AB1847" s="23"/>
      <c r="AC1847" s="23"/>
      <c r="AD1847" s="23"/>
      <c r="AE1847" s="16"/>
      <c r="AF1847" s="23"/>
      <c r="AG1847" s="23"/>
      <c r="AH1847" s="23"/>
      <c r="AI1847" s="16"/>
      <c r="AJ1847" s="23"/>
      <c r="AK1847" s="23"/>
      <c r="AL1847" s="23"/>
      <c r="AM1847" s="16"/>
      <c r="AN1847" s="23"/>
      <c r="AO1847" s="23"/>
      <c r="AP1847" s="23"/>
      <c r="AQ1847" s="16"/>
      <c r="AR1847" s="23"/>
      <c r="AS1847" s="23"/>
      <c r="AT1847" s="23"/>
      <c r="AU1847" s="16"/>
      <c r="AV1847" s="23"/>
      <c r="AW1847" s="23"/>
      <c r="AX1847" s="23"/>
      <c r="AY1847" s="16"/>
      <c r="AZ1847" s="23"/>
      <c r="BA1847" s="23"/>
      <c r="BB1847" s="23"/>
      <c r="BC1847" s="16"/>
      <c r="BD1847" s="23"/>
      <c r="BE1847" s="23"/>
      <c r="BF1847" s="23"/>
      <c r="BG1847" s="16"/>
      <c r="BH1847" s="23"/>
      <c r="BI1847" s="23"/>
      <c r="BJ1847" s="23"/>
      <c r="BN1847" s="23"/>
      <c r="BO1847" s="23"/>
      <c r="BP1847" s="16"/>
      <c r="BQ1847" s="16"/>
      <c r="BR1847" s="23"/>
      <c r="BS1847" s="16"/>
      <c r="BT1847" s="16"/>
      <c r="BU1847" s="16"/>
      <c r="BV1847" s="16"/>
      <c r="BW1847" s="16"/>
      <c r="BX1847" s="16"/>
      <c r="BY1847" s="16"/>
    </row>
    <row r="1848">
      <c r="A1848" s="16"/>
      <c r="B1848" s="16"/>
      <c r="C1848" s="22"/>
      <c r="D1848" s="16"/>
      <c r="E1848" s="16"/>
      <c r="F1848" s="16"/>
      <c r="G1848" s="16"/>
      <c r="H1848" s="16"/>
      <c r="I1848" s="23"/>
      <c r="J1848" s="23"/>
      <c r="K1848" s="16"/>
      <c r="L1848" s="23"/>
      <c r="M1848" s="23"/>
      <c r="N1848" s="23"/>
      <c r="O1848" s="16"/>
      <c r="P1848" s="23"/>
      <c r="Q1848" s="23"/>
      <c r="R1848" s="23"/>
      <c r="S1848" s="16"/>
      <c r="T1848" s="23"/>
      <c r="U1848" s="23"/>
      <c r="V1848" s="23"/>
      <c r="W1848" s="16"/>
      <c r="X1848" s="23"/>
      <c r="Y1848" s="23"/>
      <c r="Z1848" s="23"/>
      <c r="AA1848" s="16"/>
      <c r="AB1848" s="23"/>
      <c r="AC1848" s="23"/>
      <c r="AD1848" s="23"/>
      <c r="AE1848" s="16"/>
      <c r="AF1848" s="23"/>
      <c r="AG1848" s="23"/>
      <c r="AH1848" s="23"/>
      <c r="AI1848" s="16"/>
      <c r="AJ1848" s="23"/>
      <c r="AK1848" s="23"/>
      <c r="AL1848" s="23"/>
      <c r="AM1848" s="16"/>
      <c r="AN1848" s="23"/>
      <c r="AO1848" s="23"/>
      <c r="AP1848" s="23"/>
      <c r="AQ1848" s="16"/>
      <c r="AR1848" s="23"/>
      <c r="AS1848" s="23"/>
      <c r="AT1848" s="23"/>
      <c r="AU1848" s="16"/>
      <c r="AV1848" s="23"/>
      <c r="AW1848" s="23"/>
      <c r="AX1848" s="23"/>
      <c r="AY1848" s="16"/>
      <c r="AZ1848" s="23"/>
      <c r="BA1848" s="23"/>
      <c r="BB1848" s="23"/>
      <c r="BC1848" s="16"/>
      <c r="BD1848" s="23"/>
      <c r="BE1848" s="23"/>
      <c r="BF1848" s="23"/>
      <c r="BG1848" s="16"/>
      <c r="BH1848" s="23"/>
      <c r="BI1848" s="23"/>
      <c r="BJ1848" s="23"/>
      <c r="BN1848" s="23"/>
      <c r="BO1848" s="23"/>
      <c r="BP1848" s="16"/>
      <c r="BQ1848" s="16"/>
      <c r="BR1848" s="23"/>
      <c r="BS1848" s="16"/>
      <c r="BT1848" s="16"/>
      <c r="BU1848" s="16"/>
      <c r="BV1848" s="16"/>
      <c r="BW1848" s="16"/>
      <c r="BX1848" s="16"/>
      <c r="BY1848" s="16"/>
    </row>
    <row r="1849">
      <c r="A1849" s="16"/>
      <c r="B1849" s="16"/>
      <c r="C1849" s="22"/>
      <c r="D1849" s="16"/>
      <c r="E1849" s="16"/>
      <c r="F1849" s="16"/>
      <c r="G1849" s="16"/>
      <c r="H1849" s="16"/>
      <c r="I1849" s="23"/>
      <c r="J1849" s="23"/>
      <c r="K1849" s="16"/>
      <c r="L1849" s="23"/>
      <c r="M1849" s="23"/>
      <c r="N1849" s="23"/>
      <c r="O1849" s="16"/>
      <c r="P1849" s="23"/>
      <c r="Q1849" s="23"/>
      <c r="R1849" s="23"/>
      <c r="S1849" s="16"/>
      <c r="T1849" s="23"/>
      <c r="U1849" s="23"/>
      <c r="V1849" s="23"/>
      <c r="W1849" s="16"/>
      <c r="X1849" s="23"/>
      <c r="Y1849" s="23"/>
      <c r="Z1849" s="23"/>
      <c r="AA1849" s="16"/>
      <c r="AB1849" s="23"/>
      <c r="AC1849" s="23"/>
      <c r="AD1849" s="23"/>
      <c r="AE1849" s="16"/>
      <c r="AF1849" s="23"/>
      <c r="AG1849" s="23"/>
      <c r="AH1849" s="23"/>
      <c r="AI1849" s="16"/>
      <c r="AJ1849" s="23"/>
      <c r="AK1849" s="23"/>
      <c r="AL1849" s="23"/>
      <c r="AM1849" s="16"/>
      <c r="AN1849" s="23"/>
      <c r="AO1849" s="23"/>
      <c r="AP1849" s="23"/>
      <c r="AQ1849" s="16"/>
      <c r="AR1849" s="23"/>
      <c r="AS1849" s="23"/>
      <c r="AT1849" s="23"/>
      <c r="AU1849" s="16"/>
      <c r="AV1849" s="23"/>
      <c r="AW1849" s="23"/>
      <c r="AX1849" s="23"/>
      <c r="AY1849" s="16"/>
      <c r="AZ1849" s="23"/>
      <c r="BA1849" s="23"/>
      <c r="BB1849" s="23"/>
      <c r="BC1849" s="16"/>
      <c r="BD1849" s="23"/>
      <c r="BE1849" s="23"/>
      <c r="BF1849" s="23"/>
      <c r="BG1849" s="16"/>
      <c r="BH1849" s="23"/>
      <c r="BI1849" s="23"/>
      <c r="BJ1849" s="23"/>
      <c r="BN1849" s="23"/>
      <c r="BO1849" s="23"/>
      <c r="BP1849" s="16"/>
      <c r="BQ1849" s="16"/>
      <c r="BR1849" s="23"/>
      <c r="BS1849" s="16"/>
      <c r="BT1849" s="16"/>
      <c r="BU1849" s="16"/>
      <c r="BV1849" s="16"/>
      <c r="BW1849" s="16"/>
      <c r="BX1849" s="16"/>
      <c r="BY1849" s="16"/>
    </row>
    <row r="1850">
      <c r="A1850" s="16"/>
      <c r="B1850" s="16"/>
      <c r="C1850" s="22"/>
      <c r="D1850" s="16"/>
      <c r="E1850" s="16"/>
      <c r="F1850" s="16"/>
      <c r="G1850" s="16"/>
      <c r="H1850" s="16"/>
      <c r="I1850" s="23"/>
      <c r="J1850" s="23"/>
      <c r="K1850" s="16"/>
      <c r="L1850" s="23"/>
      <c r="M1850" s="23"/>
      <c r="N1850" s="23"/>
      <c r="O1850" s="16"/>
      <c r="P1850" s="23"/>
      <c r="Q1850" s="23"/>
      <c r="R1850" s="23"/>
      <c r="S1850" s="16"/>
      <c r="T1850" s="23"/>
      <c r="U1850" s="23"/>
      <c r="V1850" s="23"/>
      <c r="W1850" s="16"/>
      <c r="X1850" s="23"/>
      <c r="Y1850" s="23"/>
      <c r="Z1850" s="23"/>
      <c r="AA1850" s="16"/>
      <c r="AB1850" s="23"/>
      <c r="AC1850" s="23"/>
      <c r="AD1850" s="23"/>
      <c r="AE1850" s="16"/>
      <c r="AF1850" s="23"/>
      <c r="AG1850" s="23"/>
      <c r="AH1850" s="23"/>
      <c r="AI1850" s="16"/>
      <c r="AJ1850" s="23"/>
      <c r="AK1850" s="23"/>
      <c r="AL1850" s="23"/>
      <c r="AM1850" s="16"/>
      <c r="AN1850" s="23"/>
      <c r="AO1850" s="23"/>
      <c r="AP1850" s="23"/>
      <c r="AQ1850" s="16"/>
      <c r="AR1850" s="23"/>
      <c r="AS1850" s="23"/>
      <c r="AT1850" s="23"/>
      <c r="AU1850" s="16"/>
      <c r="AV1850" s="23"/>
      <c r="AW1850" s="23"/>
      <c r="AX1850" s="23"/>
      <c r="AY1850" s="16"/>
      <c r="AZ1850" s="23"/>
      <c r="BA1850" s="23"/>
      <c r="BB1850" s="23"/>
      <c r="BC1850" s="16"/>
      <c r="BD1850" s="23"/>
      <c r="BE1850" s="23"/>
      <c r="BF1850" s="23"/>
      <c r="BG1850" s="16"/>
      <c r="BH1850" s="23"/>
      <c r="BI1850" s="23"/>
      <c r="BJ1850" s="23"/>
      <c r="BN1850" s="23"/>
      <c r="BO1850" s="23"/>
      <c r="BP1850" s="16"/>
      <c r="BQ1850" s="16"/>
      <c r="BR1850" s="23"/>
      <c r="BS1850" s="16"/>
      <c r="BT1850" s="16"/>
      <c r="BU1850" s="16"/>
      <c r="BV1850" s="16"/>
      <c r="BW1850" s="16"/>
      <c r="BX1850" s="16"/>
      <c r="BY1850" s="16"/>
    </row>
    <row r="1851">
      <c r="A1851" s="16"/>
      <c r="B1851" s="16"/>
      <c r="C1851" s="22"/>
      <c r="D1851" s="16"/>
      <c r="E1851" s="16"/>
      <c r="F1851" s="16"/>
      <c r="G1851" s="16"/>
      <c r="H1851" s="16"/>
      <c r="I1851" s="23"/>
      <c r="J1851" s="23"/>
      <c r="K1851" s="16"/>
      <c r="L1851" s="23"/>
      <c r="M1851" s="23"/>
      <c r="N1851" s="23"/>
      <c r="O1851" s="16"/>
      <c r="P1851" s="23"/>
      <c r="Q1851" s="23"/>
      <c r="R1851" s="23"/>
      <c r="S1851" s="16"/>
      <c r="T1851" s="23"/>
      <c r="U1851" s="23"/>
      <c r="V1851" s="23"/>
      <c r="W1851" s="16"/>
      <c r="X1851" s="23"/>
      <c r="Y1851" s="23"/>
      <c r="Z1851" s="23"/>
      <c r="AA1851" s="16"/>
      <c r="AB1851" s="23"/>
      <c r="AC1851" s="23"/>
      <c r="AD1851" s="23"/>
      <c r="AE1851" s="16"/>
      <c r="AF1851" s="23"/>
      <c r="AG1851" s="23"/>
      <c r="AH1851" s="23"/>
      <c r="AI1851" s="16"/>
      <c r="AJ1851" s="23"/>
      <c r="AK1851" s="23"/>
      <c r="AL1851" s="23"/>
      <c r="AM1851" s="16"/>
      <c r="AN1851" s="23"/>
      <c r="AO1851" s="23"/>
      <c r="AP1851" s="23"/>
      <c r="AQ1851" s="16"/>
      <c r="AR1851" s="23"/>
      <c r="AS1851" s="23"/>
      <c r="AT1851" s="23"/>
      <c r="AU1851" s="16"/>
      <c r="AV1851" s="23"/>
      <c r="AW1851" s="23"/>
      <c r="AX1851" s="23"/>
      <c r="AY1851" s="16"/>
      <c r="AZ1851" s="23"/>
      <c r="BA1851" s="23"/>
      <c r="BB1851" s="23"/>
      <c r="BC1851" s="16"/>
      <c r="BD1851" s="23"/>
      <c r="BE1851" s="23"/>
      <c r="BF1851" s="23"/>
      <c r="BG1851" s="16"/>
      <c r="BH1851" s="23"/>
      <c r="BI1851" s="23"/>
      <c r="BJ1851" s="23"/>
      <c r="BN1851" s="23"/>
      <c r="BO1851" s="23"/>
      <c r="BP1851" s="16"/>
      <c r="BQ1851" s="16"/>
      <c r="BR1851" s="23"/>
      <c r="BS1851" s="16"/>
      <c r="BT1851" s="16"/>
      <c r="BU1851" s="16"/>
      <c r="BV1851" s="16"/>
      <c r="BW1851" s="16"/>
      <c r="BX1851" s="16"/>
      <c r="BY1851" s="16"/>
    </row>
    <row r="1852">
      <c r="A1852" s="16"/>
      <c r="B1852" s="16"/>
      <c r="C1852" s="22"/>
      <c r="D1852" s="16"/>
      <c r="E1852" s="16"/>
      <c r="F1852" s="16"/>
      <c r="G1852" s="16"/>
      <c r="H1852" s="16"/>
      <c r="I1852" s="23"/>
      <c r="J1852" s="23"/>
      <c r="K1852" s="16"/>
      <c r="L1852" s="23"/>
      <c r="M1852" s="23"/>
      <c r="N1852" s="23"/>
      <c r="O1852" s="16"/>
      <c r="P1852" s="23"/>
      <c r="Q1852" s="23"/>
      <c r="R1852" s="23"/>
      <c r="S1852" s="16"/>
      <c r="T1852" s="23"/>
      <c r="U1852" s="23"/>
      <c r="V1852" s="23"/>
      <c r="W1852" s="16"/>
      <c r="X1852" s="23"/>
      <c r="Y1852" s="23"/>
      <c r="Z1852" s="23"/>
      <c r="AA1852" s="16"/>
      <c r="AB1852" s="23"/>
      <c r="AC1852" s="23"/>
      <c r="AD1852" s="23"/>
      <c r="AE1852" s="16"/>
      <c r="AF1852" s="23"/>
      <c r="AG1852" s="23"/>
      <c r="AH1852" s="23"/>
      <c r="AI1852" s="16"/>
      <c r="AJ1852" s="23"/>
      <c r="AK1852" s="23"/>
      <c r="AL1852" s="23"/>
      <c r="AM1852" s="16"/>
      <c r="AN1852" s="23"/>
      <c r="AO1852" s="23"/>
      <c r="AP1852" s="23"/>
      <c r="AQ1852" s="16"/>
      <c r="AR1852" s="23"/>
      <c r="AS1852" s="23"/>
      <c r="AT1852" s="23"/>
      <c r="AU1852" s="16"/>
      <c r="AV1852" s="23"/>
      <c r="AW1852" s="23"/>
      <c r="AX1852" s="23"/>
      <c r="AY1852" s="16"/>
      <c r="AZ1852" s="23"/>
      <c r="BA1852" s="23"/>
      <c r="BB1852" s="23"/>
      <c r="BC1852" s="16"/>
      <c r="BD1852" s="23"/>
      <c r="BE1852" s="23"/>
      <c r="BF1852" s="23"/>
      <c r="BG1852" s="16"/>
      <c r="BH1852" s="23"/>
      <c r="BI1852" s="23"/>
      <c r="BJ1852" s="23"/>
      <c r="BN1852" s="23"/>
      <c r="BO1852" s="23"/>
      <c r="BP1852" s="16"/>
      <c r="BQ1852" s="16"/>
      <c r="BR1852" s="23"/>
      <c r="BS1852" s="16"/>
      <c r="BT1852" s="16"/>
      <c r="BU1852" s="16"/>
      <c r="BV1852" s="16"/>
      <c r="BW1852" s="16"/>
      <c r="BX1852" s="16"/>
      <c r="BY1852" s="16"/>
    </row>
    <row r="1853">
      <c r="A1853" s="16"/>
      <c r="B1853" s="16"/>
      <c r="C1853" s="22"/>
      <c r="D1853" s="16"/>
      <c r="E1853" s="16"/>
      <c r="F1853" s="16"/>
      <c r="G1853" s="16"/>
      <c r="H1853" s="16"/>
      <c r="I1853" s="23"/>
      <c r="J1853" s="23"/>
      <c r="K1853" s="16"/>
      <c r="L1853" s="23"/>
      <c r="M1853" s="23"/>
      <c r="N1853" s="23"/>
      <c r="O1853" s="16"/>
      <c r="P1853" s="23"/>
      <c r="Q1853" s="23"/>
      <c r="R1853" s="23"/>
      <c r="S1853" s="16"/>
      <c r="T1853" s="23"/>
      <c r="U1853" s="23"/>
      <c r="V1853" s="23"/>
      <c r="W1853" s="16"/>
      <c r="X1853" s="23"/>
      <c r="Y1853" s="23"/>
      <c r="Z1853" s="23"/>
      <c r="AA1853" s="16"/>
      <c r="AB1853" s="23"/>
      <c r="AC1853" s="23"/>
      <c r="AD1853" s="23"/>
      <c r="AE1853" s="16"/>
      <c r="AF1853" s="23"/>
      <c r="AG1853" s="23"/>
      <c r="AH1853" s="23"/>
      <c r="AI1853" s="16"/>
      <c r="AJ1853" s="23"/>
      <c r="AK1853" s="23"/>
      <c r="AL1853" s="23"/>
      <c r="AM1853" s="16"/>
      <c r="AN1853" s="23"/>
      <c r="AO1853" s="23"/>
      <c r="AP1853" s="23"/>
      <c r="AQ1853" s="16"/>
      <c r="AR1853" s="23"/>
      <c r="AS1853" s="23"/>
      <c r="AT1853" s="23"/>
      <c r="AU1853" s="16"/>
      <c r="AV1853" s="23"/>
      <c r="AW1853" s="23"/>
      <c r="AX1853" s="23"/>
      <c r="AY1853" s="16"/>
      <c r="AZ1853" s="23"/>
      <c r="BA1853" s="23"/>
      <c r="BB1853" s="23"/>
      <c r="BC1853" s="16"/>
      <c r="BD1853" s="23"/>
      <c r="BE1853" s="23"/>
      <c r="BF1853" s="23"/>
      <c r="BG1853" s="16"/>
      <c r="BH1853" s="23"/>
      <c r="BI1853" s="23"/>
      <c r="BJ1853" s="23"/>
      <c r="BN1853" s="23"/>
      <c r="BO1853" s="23"/>
      <c r="BP1853" s="16"/>
      <c r="BQ1853" s="16"/>
      <c r="BR1853" s="23"/>
      <c r="BS1853" s="16"/>
      <c r="BT1853" s="16"/>
      <c r="BU1853" s="16"/>
      <c r="BV1853" s="16"/>
      <c r="BW1853" s="16"/>
      <c r="BX1853" s="16"/>
      <c r="BY1853" s="16"/>
    </row>
    <row r="1854">
      <c r="A1854" s="16"/>
      <c r="B1854" s="16"/>
      <c r="C1854" s="22"/>
      <c r="D1854" s="16"/>
      <c r="E1854" s="16"/>
      <c r="F1854" s="16"/>
      <c r="G1854" s="16"/>
      <c r="H1854" s="16"/>
      <c r="I1854" s="23"/>
      <c r="J1854" s="23"/>
      <c r="K1854" s="16"/>
      <c r="L1854" s="23"/>
      <c r="M1854" s="23"/>
      <c r="N1854" s="23"/>
      <c r="O1854" s="16"/>
      <c r="P1854" s="23"/>
      <c r="Q1854" s="23"/>
      <c r="R1854" s="23"/>
      <c r="S1854" s="16"/>
      <c r="T1854" s="23"/>
      <c r="U1854" s="23"/>
      <c r="V1854" s="23"/>
      <c r="W1854" s="16"/>
      <c r="X1854" s="23"/>
      <c r="Y1854" s="23"/>
      <c r="Z1854" s="23"/>
      <c r="AA1854" s="16"/>
      <c r="AB1854" s="23"/>
      <c r="AC1854" s="23"/>
      <c r="AD1854" s="23"/>
      <c r="AE1854" s="16"/>
      <c r="AF1854" s="23"/>
      <c r="AG1854" s="23"/>
      <c r="AH1854" s="23"/>
      <c r="AI1854" s="16"/>
      <c r="AJ1854" s="23"/>
      <c r="AK1854" s="23"/>
      <c r="AL1854" s="23"/>
      <c r="AM1854" s="16"/>
      <c r="AN1854" s="23"/>
      <c r="AO1854" s="23"/>
      <c r="AP1854" s="23"/>
      <c r="AQ1854" s="16"/>
      <c r="AR1854" s="23"/>
      <c r="AS1854" s="23"/>
      <c r="AT1854" s="23"/>
      <c r="AU1854" s="16"/>
      <c r="AV1854" s="23"/>
      <c r="AW1854" s="23"/>
      <c r="AX1854" s="23"/>
      <c r="AY1854" s="16"/>
      <c r="AZ1854" s="23"/>
      <c r="BA1854" s="23"/>
      <c r="BB1854" s="23"/>
      <c r="BC1854" s="16"/>
      <c r="BD1854" s="23"/>
      <c r="BE1854" s="23"/>
      <c r="BF1854" s="23"/>
      <c r="BG1854" s="16"/>
      <c r="BH1854" s="23"/>
      <c r="BI1854" s="23"/>
      <c r="BJ1854" s="23"/>
      <c r="BN1854" s="23"/>
      <c r="BO1854" s="23"/>
      <c r="BP1854" s="16"/>
      <c r="BQ1854" s="16"/>
      <c r="BR1854" s="23"/>
      <c r="BS1854" s="16"/>
      <c r="BT1854" s="16"/>
      <c r="BU1854" s="16"/>
      <c r="BV1854" s="16"/>
      <c r="BW1854" s="16"/>
      <c r="BX1854" s="16"/>
      <c r="BY1854" s="16"/>
    </row>
    <row r="1855">
      <c r="A1855" s="16"/>
      <c r="B1855" s="16"/>
      <c r="C1855" s="22"/>
      <c r="D1855" s="16"/>
      <c r="E1855" s="16"/>
      <c r="F1855" s="16"/>
      <c r="G1855" s="16"/>
      <c r="H1855" s="16"/>
      <c r="I1855" s="23"/>
      <c r="J1855" s="23"/>
      <c r="K1855" s="16"/>
      <c r="L1855" s="23"/>
      <c r="M1855" s="23"/>
      <c r="N1855" s="23"/>
      <c r="O1855" s="16"/>
      <c r="P1855" s="23"/>
      <c r="Q1855" s="23"/>
      <c r="R1855" s="23"/>
      <c r="S1855" s="16"/>
      <c r="T1855" s="23"/>
      <c r="U1855" s="23"/>
      <c r="V1855" s="23"/>
      <c r="W1855" s="16"/>
      <c r="X1855" s="23"/>
      <c r="Y1855" s="23"/>
      <c r="Z1855" s="23"/>
      <c r="AA1855" s="16"/>
      <c r="AB1855" s="23"/>
      <c r="AC1855" s="23"/>
      <c r="AD1855" s="23"/>
      <c r="AE1855" s="16"/>
      <c r="AF1855" s="23"/>
      <c r="AG1855" s="23"/>
      <c r="AH1855" s="23"/>
      <c r="AI1855" s="16"/>
      <c r="AJ1855" s="23"/>
      <c r="AK1855" s="23"/>
      <c r="AL1855" s="23"/>
      <c r="AM1855" s="16"/>
      <c r="AN1855" s="23"/>
      <c r="AO1855" s="23"/>
      <c r="AP1855" s="23"/>
      <c r="AQ1855" s="16"/>
      <c r="AR1855" s="23"/>
      <c r="AS1855" s="23"/>
      <c r="AT1855" s="23"/>
      <c r="AU1855" s="16"/>
      <c r="AV1855" s="23"/>
      <c r="AW1855" s="23"/>
      <c r="AX1855" s="23"/>
      <c r="AY1855" s="16"/>
      <c r="AZ1855" s="23"/>
      <c r="BA1855" s="23"/>
      <c r="BB1855" s="23"/>
      <c r="BC1855" s="16"/>
      <c r="BD1855" s="23"/>
      <c r="BE1855" s="23"/>
      <c r="BF1855" s="23"/>
      <c r="BG1855" s="16"/>
      <c r="BH1855" s="23"/>
      <c r="BI1855" s="23"/>
      <c r="BJ1855" s="23"/>
      <c r="BN1855" s="23"/>
      <c r="BO1855" s="23"/>
      <c r="BP1855" s="16"/>
      <c r="BQ1855" s="16"/>
      <c r="BR1855" s="23"/>
      <c r="BS1855" s="16"/>
      <c r="BT1855" s="16"/>
      <c r="BU1855" s="16"/>
      <c r="BV1855" s="16"/>
      <c r="BW1855" s="16"/>
      <c r="BX1855" s="16"/>
      <c r="BY1855" s="16"/>
    </row>
    <row r="1856">
      <c r="A1856" s="16"/>
      <c r="B1856" s="16"/>
      <c r="C1856" s="22"/>
      <c r="D1856" s="16"/>
      <c r="E1856" s="16"/>
      <c r="F1856" s="16"/>
      <c r="G1856" s="16"/>
      <c r="H1856" s="16"/>
      <c r="I1856" s="23"/>
      <c r="J1856" s="23"/>
      <c r="K1856" s="16"/>
      <c r="L1856" s="23"/>
      <c r="M1856" s="23"/>
      <c r="N1856" s="23"/>
      <c r="O1856" s="16"/>
      <c r="P1856" s="23"/>
      <c r="Q1856" s="23"/>
      <c r="R1856" s="23"/>
      <c r="S1856" s="16"/>
      <c r="T1856" s="23"/>
      <c r="U1856" s="23"/>
      <c r="V1856" s="23"/>
      <c r="W1856" s="16"/>
      <c r="X1856" s="23"/>
      <c r="Y1856" s="23"/>
      <c r="Z1856" s="23"/>
      <c r="AA1856" s="16"/>
      <c r="AB1856" s="23"/>
      <c r="AC1856" s="23"/>
      <c r="AD1856" s="23"/>
      <c r="AE1856" s="16"/>
      <c r="AF1856" s="23"/>
      <c r="AG1856" s="23"/>
      <c r="AH1856" s="23"/>
      <c r="AI1856" s="16"/>
      <c r="AJ1856" s="23"/>
      <c r="AK1856" s="23"/>
      <c r="AL1856" s="23"/>
      <c r="AM1856" s="16"/>
      <c r="AN1856" s="23"/>
      <c r="AO1856" s="23"/>
      <c r="AP1856" s="23"/>
      <c r="AQ1856" s="16"/>
      <c r="AR1856" s="23"/>
      <c r="AS1856" s="23"/>
      <c r="AT1856" s="23"/>
      <c r="AU1856" s="16"/>
      <c r="AV1856" s="23"/>
      <c r="AW1856" s="23"/>
      <c r="AX1856" s="23"/>
      <c r="AY1856" s="16"/>
      <c r="AZ1856" s="23"/>
      <c r="BA1856" s="23"/>
      <c r="BB1856" s="23"/>
      <c r="BC1856" s="16"/>
      <c r="BD1856" s="23"/>
      <c r="BE1856" s="23"/>
      <c r="BF1856" s="23"/>
      <c r="BG1856" s="16"/>
      <c r="BH1856" s="23"/>
      <c r="BI1856" s="23"/>
      <c r="BJ1856" s="23"/>
      <c r="BN1856" s="23"/>
      <c r="BO1856" s="23"/>
      <c r="BP1856" s="16"/>
      <c r="BQ1856" s="16"/>
      <c r="BR1856" s="23"/>
      <c r="BS1856" s="16"/>
      <c r="BT1856" s="16"/>
      <c r="BU1856" s="16"/>
      <c r="BV1856" s="16"/>
      <c r="BW1856" s="16"/>
      <c r="BX1856" s="16"/>
      <c r="BY1856" s="16"/>
    </row>
    <row r="1857">
      <c r="A1857" s="16"/>
      <c r="B1857" s="16"/>
      <c r="C1857" s="22"/>
      <c r="D1857" s="16"/>
      <c r="E1857" s="16"/>
      <c r="F1857" s="16"/>
      <c r="G1857" s="16"/>
      <c r="H1857" s="16"/>
      <c r="I1857" s="23"/>
      <c r="J1857" s="23"/>
      <c r="K1857" s="16"/>
      <c r="L1857" s="23"/>
      <c r="M1857" s="23"/>
      <c r="N1857" s="23"/>
      <c r="O1857" s="16"/>
      <c r="P1857" s="23"/>
      <c r="Q1857" s="23"/>
      <c r="R1857" s="23"/>
      <c r="S1857" s="16"/>
      <c r="T1857" s="23"/>
      <c r="U1857" s="23"/>
      <c r="V1857" s="23"/>
      <c r="W1857" s="16"/>
      <c r="X1857" s="23"/>
      <c r="Y1857" s="23"/>
      <c r="Z1857" s="23"/>
      <c r="AA1857" s="16"/>
      <c r="AB1857" s="23"/>
      <c r="AC1857" s="23"/>
      <c r="AD1857" s="23"/>
      <c r="AE1857" s="16"/>
      <c r="AF1857" s="23"/>
      <c r="AG1857" s="23"/>
      <c r="AH1857" s="23"/>
      <c r="AI1857" s="16"/>
      <c r="AJ1857" s="23"/>
      <c r="AK1857" s="23"/>
      <c r="AL1857" s="23"/>
      <c r="AM1857" s="16"/>
      <c r="AN1857" s="23"/>
      <c r="AO1857" s="23"/>
      <c r="AP1857" s="23"/>
      <c r="AQ1857" s="16"/>
      <c r="AR1857" s="23"/>
      <c r="AS1857" s="23"/>
      <c r="AT1857" s="23"/>
      <c r="AU1857" s="16"/>
      <c r="AV1857" s="23"/>
      <c r="AW1857" s="23"/>
      <c r="AX1857" s="23"/>
      <c r="AY1857" s="16"/>
      <c r="AZ1857" s="23"/>
      <c r="BA1857" s="23"/>
      <c r="BB1857" s="23"/>
      <c r="BC1857" s="16"/>
      <c r="BD1857" s="23"/>
      <c r="BE1857" s="23"/>
      <c r="BF1857" s="23"/>
      <c r="BG1857" s="16"/>
      <c r="BH1857" s="23"/>
      <c r="BI1857" s="23"/>
      <c r="BJ1857" s="23"/>
      <c r="BN1857" s="23"/>
      <c r="BO1857" s="23"/>
      <c r="BP1857" s="16"/>
      <c r="BQ1857" s="16"/>
      <c r="BR1857" s="23"/>
      <c r="BS1857" s="16"/>
      <c r="BT1857" s="16"/>
      <c r="BU1857" s="16"/>
      <c r="BV1857" s="16"/>
      <c r="BW1857" s="16"/>
      <c r="BX1857" s="16"/>
      <c r="BY1857" s="16"/>
    </row>
    <row r="1858">
      <c r="A1858" s="16"/>
      <c r="B1858" s="16"/>
      <c r="C1858" s="22"/>
      <c r="D1858" s="16"/>
      <c r="E1858" s="16"/>
      <c r="F1858" s="16"/>
      <c r="G1858" s="16"/>
      <c r="H1858" s="16"/>
      <c r="I1858" s="23"/>
      <c r="J1858" s="23"/>
      <c r="K1858" s="16"/>
      <c r="L1858" s="23"/>
      <c r="M1858" s="23"/>
      <c r="N1858" s="23"/>
      <c r="O1858" s="16"/>
      <c r="P1858" s="23"/>
      <c r="Q1858" s="23"/>
      <c r="R1858" s="23"/>
      <c r="S1858" s="16"/>
      <c r="T1858" s="23"/>
      <c r="U1858" s="23"/>
      <c r="V1858" s="23"/>
      <c r="W1858" s="16"/>
      <c r="X1858" s="23"/>
      <c r="Y1858" s="23"/>
      <c r="Z1858" s="23"/>
      <c r="AA1858" s="16"/>
      <c r="AB1858" s="23"/>
      <c r="AC1858" s="23"/>
      <c r="AD1858" s="23"/>
      <c r="AE1858" s="16"/>
      <c r="AF1858" s="23"/>
      <c r="AG1858" s="23"/>
      <c r="AH1858" s="23"/>
      <c r="AI1858" s="16"/>
      <c r="AJ1858" s="23"/>
      <c r="AK1858" s="23"/>
      <c r="AL1858" s="23"/>
      <c r="AM1858" s="16"/>
      <c r="AN1858" s="23"/>
      <c r="AO1858" s="23"/>
      <c r="AP1858" s="23"/>
      <c r="AQ1858" s="16"/>
      <c r="AR1858" s="23"/>
      <c r="AS1858" s="23"/>
      <c r="AT1858" s="23"/>
      <c r="AU1858" s="16"/>
      <c r="AV1858" s="23"/>
      <c r="AW1858" s="23"/>
      <c r="AX1858" s="23"/>
      <c r="AY1858" s="16"/>
      <c r="AZ1858" s="23"/>
      <c r="BA1858" s="23"/>
      <c r="BB1858" s="23"/>
      <c r="BC1858" s="16"/>
      <c r="BD1858" s="23"/>
      <c r="BE1858" s="23"/>
      <c r="BF1858" s="23"/>
      <c r="BG1858" s="16"/>
      <c r="BH1858" s="23"/>
      <c r="BI1858" s="23"/>
      <c r="BJ1858" s="23"/>
      <c r="BN1858" s="23"/>
      <c r="BO1858" s="23"/>
      <c r="BP1858" s="16"/>
      <c r="BQ1858" s="16"/>
      <c r="BR1858" s="23"/>
      <c r="BS1858" s="16"/>
      <c r="BT1858" s="16"/>
      <c r="BU1858" s="16"/>
      <c r="BV1858" s="16"/>
      <c r="BW1858" s="16"/>
      <c r="BX1858" s="16"/>
      <c r="BY1858" s="16"/>
    </row>
    <row r="1859">
      <c r="A1859" s="16"/>
      <c r="B1859" s="16"/>
      <c r="C1859" s="22"/>
      <c r="D1859" s="16"/>
      <c r="E1859" s="16"/>
      <c r="F1859" s="16"/>
      <c r="G1859" s="16"/>
      <c r="H1859" s="16"/>
      <c r="I1859" s="23"/>
      <c r="J1859" s="23"/>
      <c r="K1859" s="16"/>
      <c r="L1859" s="23"/>
      <c r="M1859" s="23"/>
      <c r="N1859" s="23"/>
      <c r="O1859" s="16"/>
      <c r="P1859" s="23"/>
      <c r="Q1859" s="23"/>
      <c r="R1859" s="23"/>
      <c r="S1859" s="16"/>
      <c r="T1859" s="23"/>
      <c r="U1859" s="23"/>
      <c r="V1859" s="23"/>
      <c r="W1859" s="16"/>
      <c r="X1859" s="23"/>
      <c r="Y1859" s="23"/>
      <c r="Z1859" s="23"/>
      <c r="AA1859" s="16"/>
      <c r="AB1859" s="23"/>
      <c r="AC1859" s="23"/>
      <c r="AD1859" s="23"/>
      <c r="AE1859" s="16"/>
      <c r="AF1859" s="23"/>
      <c r="AG1859" s="23"/>
      <c r="AH1859" s="23"/>
      <c r="AI1859" s="16"/>
      <c r="AJ1859" s="23"/>
      <c r="AK1859" s="23"/>
      <c r="AL1859" s="23"/>
      <c r="AM1859" s="16"/>
      <c r="AN1859" s="23"/>
      <c r="AO1859" s="23"/>
      <c r="AP1859" s="23"/>
      <c r="AQ1859" s="16"/>
      <c r="AR1859" s="23"/>
      <c r="AS1859" s="23"/>
      <c r="AT1859" s="23"/>
      <c r="AU1859" s="16"/>
      <c r="AV1859" s="23"/>
      <c r="AW1859" s="23"/>
      <c r="AX1859" s="23"/>
      <c r="AY1859" s="16"/>
      <c r="AZ1859" s="23"/>
      <c r="BA1859" s="23"/>
      <c r="BB1859" s="23"/>
      <c r="BC1859" s="16"/>
      <c r="BD1859" s="23"/>
      <c r="BE1859" s="23"/>
      <c r="BF1859" s="23"/>
      <c r="BG1859" s="16"/>
      <c r="BH1859" s="23"/>
      <c r="BI1859" s="23"/>
      <c r="BJ1859" s="23"/>
      <c r="BN1859" s="23"/>
      <c r="BO1859" s="23"/>
      <c r="BP1859" s="16"/>
      <c r="BQ1859" s="16"/>
      <c r="BR1859" s="23"/>
      <c r="BS1859" s="16"/>
      <c r="BT1859" s="16"/>
      <c r="BU1859" s="16"/>
      <c r="BV1859" s="16"/>
      <c r="BW1859" s="16"/>
      <c r="BX1859" s="16"/>
      <c r="BY1859" s="16"/>
    </row>
    <row r="1860">
      <c r="A1860" s="16"/>
      <c r="B1860" s="16"/>
      <c r="C1860" s="22"/>
      <c r="D1860" s="16"/>
      <c r="E1860" s="16"/>
      <c r="F1860" s="16"/>
      <c r="G1860" s="16"/>
      <c r="H1860" s="16"/>
      <c r="I1860" s="23"/>
      <c r="J1860" s="23"/>
      <c r="K1860" s="16"/>
      <c r="L1860" s="23"/>
      <c r="M1860" s="23"/>
      <c r="N1860" s="23"/>
      <c r="O1860" s="16"/>
      <c r="P1860" s="23"/>
      <c r="Q1860" s="23"/>
      <c r="R1860" s="23"/>
      <c r="S1860" s="16"/>
      <c r="T1860" s="23"/>
      <c r="U1860" s="23"/>
      <c r="V1860" s="23"/>
      <c r="W1860" s="16"/>
      <c r="X1860" s="23"/>
      <c r="Y1860" s="23"/>
      <c r="Z1860" s="23"/>
      <c r="AA1860" s="16"/>
      <c r="AB1860" s="23"/>
      <c r="AC1860" s="23"/>
      <c r="AD1860" s="23"/>
      <c r="AE1860" s="16"/>
      <c r="AF1860" s="23"/>
      <c r="AG1860" s="23"/>
      <c r="AH1860" s="23"/>
      <c r="AI1860" s="16"/>
      <c r="AJ1860" s="23"/>
      <c r="AK1860" s="23"/>
      <c r="AL1860" s="23"/>
      <c r="AM1860" s="16"/>
      <c r="AN1860" s="23"/>
      <c r="AO1860" s="23"/>
      <c r="AP1860" s="23"/>
      <c r="AQ1860" s="16"/>
      <c r="AR1860" s="23"/>
      <c r="AS1860" s="23"/>
      <c r="AT1860" s="23"/>
      <c r="AU1860" s="16"/>
      <c r="AV1860" s="23"/>
      <c r="AW1860" s="23"/>
      <c r="AX1860" s="23"/>
      <c r="AY1860" s="16"/>
      <c r="AZ1860" s="23"/>
      <c r="BA1860" s="23"/>
      <c r="BB1860" s="23"/>
      <c r="BC1860" s="16"/>
      <c r="BD1860" s="23"/>
      <c r="BE1860" s="23"/>
      <c r="BF1860" s="23"/>
      <c r="BG1860" s="16"/>
      <c r="BH1860" s="23"/>
      <c r="BI1860" s="23"/>
      <c r="BJ1860" s="23"/>
      <c r="BN1860" s="23"/>
      <c r="BO1860" s="23"/>
      <c r="BP1860" s="16"/>
      <c r="BQ1860" s="16"/>
      <c r="BR1860" s="23"/>
      <c r="BS1860" s="16"/>
      <c r="BT1860" s="16"/>
      <c r="BU1860" s="16"/>
      <c r="BV1860" s="16"/>
      <c r="BW1860" s="16"/>
      <c r="BX1860" s="16"/>
      <c r="BY1860" s="16"/>
    </row>
    <row r="1861">
      <c r="A1861" s="16"/>
      <c r="B1861" s="16"/>
      <c r="C1861" s="22"/>
      <c r="D1861" s="16"/>
      <c r="E1861" s="16"/>
      <c r="F1861" s="16"/>
      <c r="G1861" s="16"/>
      <c r="H1861" s="16"/>
      <c r="I1861" s="23"/>
      <c r="J1861" s="23"/>
      <c r="K1861" s="16"/>
      <c r="L1861" s="23"/>
      <c r="M1861" s="23"/>
      <c r="N1861" s="23"/>
      <c r="O1861" s="16"/>
      <c r="P1861" s="23"/>
      <c r="Q1861" s="23"/>
      <c r="R1861" s="23"/>
      <c r="S1861" s="16"/>
      <c r="T1861" s="23"/>
      <c r="U1861" s="23"/>
      <c r="V1861" s="23"/>
      <c r="W1861" s="16"/>
      <c r="X1861" s="23"/>
      <c r="Y1861" s="23"/>
      <c r="Z1861" s="23"/>
      <c r="AA1861" s="16"/>
      <c r="AB1861" s="23"/>
      <c r="AC1861" s="23"/>
      <c r="AD1861" s="23"/>
      <c r="AE1861" s="16"/>
      <c r="AF1861" s="23"/>
      <c r="AG1861" s="23"/>
      <c r="AH1861" s="23"/>
      <c r="AI1861" s="16"/>
      <c r="AJ1861" s="23"/>
      <c r="AK1861" s="23"/>
      <c r="AL1861" s="23"/>
      <c r="AM1861" s="16"/>
      <c r="AN1861" s="23"/>
      <c r="AO1861" s="23"/>
      <c r="AP1861" s="23"/>
      <c r="AQ1861" s="16"/>
      <c r="AR1861" s="23"/>
      <c r="AS1861" s="23"/>
      <c r="AT1861" s="23"/>
      <c r="AU1861" s="16"/>
      <c r="AV1861" s="23"/>
      <c r="AW1861" s="23"/>
      <c r="AX1861" s="23"/>
      <c r="AY1861" s="16"/>
      <c r="AZ1861" s="23"/>
      <c r="BA1861" s="23"/>
      <c r="BB1861" s="23"/>
      <c r="BC1861" s="16"/>
      <c r="BD1861" s="23"/>
      <c r="BE1861" s="23"/>
      <c r="BF1861" s="23"/>
      <c r="BG1861" s="16"/>
      <c r="BH1861" s="23"/>
      <c r="BI1861" s="23"/>
      <c r="BJ1861" s="23"/>
      <c r="BN1861" s="23"/>
      <c r="BO1861" s="23"/>
      <c r="BP1861" s="16"/>
      <c r="BQ1861" s="16"/>
      <c r="BR1861" s="23"/>
      <c r="BS1861" s="16"/>
      <c r="BT1861" s="16"/>
      <c r="BU1861" s="16"/>
      <c r="BV1861" s="16"/>
      <c r="BW1861" s="16"/>
      <c r="BX1861" s="16"/>
      <c r="BY1861" s="16"/>
    </row>
    <row r="1862">
      <c r="A1862" s="16"/>
      <c r="B1862" s="16"/>
      <c r="C1862" s="22"/>
      <c r="D1862" s="16"/>
      <c r="E1862" s="16"/>
      <c r="F1862" s="16"/>
      <c r="G1862" s="16"/>
      <c r="H1862" s="16"/>
      <c r="I1862" s="23"/>
      <c r="J1862" s="23"/>
      <c r="K1862" s="16"/>
      <c r="L1862" s="23"/>
      <c r="M1862" s="23"/>
      <c r="N1862" s="23"/>
      <c r="O1862" s="16"/>
      <c r="P1862" s="23"/>
      <c r="Q1862" s="23"/>
      <c r="R1862" s="23"/>
      <c r="S1862" s="16"/>
      <c r="T1862" s="23"/>
      <c r="U1862" s="23"/>
      <c r="V1862" s="23"/>
      <c r="W1862" s="16"/>
      <c r="X1862" s="23"/>
      <c r="Y1862" s="23"/>
      <c r="Z1862" s="23"/>
      <c r="AA1862" s="16"/>
      <c r="AB1862" s="23"/>
      <c r="AC1862" s="23"/>
      <c r="AD1862" s="23"/>
      <c r="AE1862" s="16"/>
      <c r="AF1862" s="23"/>
      <c r="AG1862" s="23"/>
      <c r="AH1862" s="23"/>
      <c r="AI1862" s="16"/>
      <c r="AJ1862" s="23"/>
      <c r="AK1862" s="23"/>
      <c r="AL1862" s="23"/>
      <c r="AM1862" s="16"/>
      <c r="AN1862" s="23"/>
      <c r="AO1862" s="23"/>
      <c r="AP1862" s="23"/>
      <c r="AQ1862" s="16"/>
      <c r="AR1862" s="23"/>
      <c r="AS1862" s="23"/>
      <c r="AT1862" s="23"/>
      <c r="AU1862" s="16"/>
      <c r="AV1862" s="23"/>
      <c r="AW1862" s="23"/>
      <c r="AX1862" s="23"/>
      <c r="AY1862" s="16"/>
      <c r="AZ1862" s="23"/>
      <c r="BA1862" s="23"/>
      <c r="BB1862" s="23"/>
      <c r="BC1862" s="16"/>
      <c r="BD1862" s="23"/>
      <c r="BE1862" s="23"/>
      <c r="BF1862" s="23"/>
      <c r="BG1862" s="16"/>
      <c r="BH1862" s="23"/>
      <c r="BI1862" s="23"/>
      <c r="BJ1862" s="23"/>
      <c r="BN1862" s="23"/>
      <c r="BO1862" s="23"/>
      <c r="BP1862" s="16"/>
      <c r="BQ1862" s="16"/>
      <c r="BR1862" s="23"/>
      <c r="BS1862" s="16"/>
      <c r="BT1862" s="16"/>
      <c r="BU1862" s="16"/>
      <c r="BV1862" s="16"/>
      <c r="BW1862" s="16"/>
      <c r="BX1862" s="16"/>
      <c r="BY1862" s="16"/>
    </row>
    <row r="1863">
      <c r="A1863" s="16"/>
      <c r="B1863" s="16"/>
      <c r="C1863" s="22"/>
      <c r="D1863" s="16"/>
      <c r="E1863" s="16"/>
      <c r="F1863" s="16"/>
      <c r="G1863" s="16"/>
      <c r="H1863" s="16"/>
      <c r="I1863" s="23"/>
      <c r="J1863" s="23"/>
      <c r="K1863" s="16"/>
      <c r="L1863" s="23"/>
      <c r="M1863" s="23"/>
      <c r="N1863" s="23"/>
      <c r="O1863" s="16"/>
      <c r="P1863" s="23"/>
      <c r="Q1863" s="23"/>
      <c r="R1863" s="23"/>
      <c r="S1863" s="16"/>
      <c r="T1863" s="23"/>
      <c r="U1863" s="23"/>
      <c r="V1863" s="23"/>
      <c r="W1863" s="16"/>
      <c r="X1863" s="23"/>
      <c r="Y1863" s="23"/>
      <c r="Z1863" s="23"/>
      <c r="AA1863" s="16"/>
      <c r="AB1863" s="23"/>
      <c r="AC1863" s="23"/>
      <c r="AD1863" s="23"/>
      <c r="AE1863" s="16"/>
      <c r="AF1863" s="23"/>
      <c r="AG1863" s="23"/>
      <c r="AH1863" s="23"/>
      <c r="AI1863" s="16"/>
      <c r="AJ1863" s="23"/>
      <c r="AK1863" s="23"/>
      <c r="AL1863" s="23"/>
      <c r="AM1863" s="16"/>
      <c r="AN1863" s="23"/>
      <c r="AO1863" s="23"/>
      <c r="AP1863" s="23"/>
      <c r="AQ1863" s="16"/>
      <c r="AR1863" s="23"/>
      <c r="AS1863" s="23"/>
      <c r="AT1863" s="23"/>
      <c r="AU1863" s="16"/>
      <c r="AV1863" s="23"/>
      <c r="AW1863" s="23"/>
      <c r="AX1863" s="23"/>
      <c r="AY1863" s="16"/>
      <c r="AZ1863" s="23"/>
      <c r="BA1863" s="23"/>
      <c r="BB1863" s="23"/>
      <c r="BC1863" s="16"/>
      <c r="BD1863" s="23"/>
      <c r="BE1863" s="23"/>
      <c r="BF1863" s="23"/>
      <c r="BG1863" s="16"/>
      <c r="BH1863" s="23"/>
      <c r="BI1863" s="23"/>
      <c r="BJ1863" s="23"/>
      <c r="BN1863" s="23"/>
      <c r="BO1863" s="23"/>
      <c r="BP1863" s="16"/>
      <c r="BQ1863" s="16"/>
      <c r="BR1863" s="23"/>
      <c r="BS1863" s="16"/>
      <c r="BT1863" s="16"/>
      <c r="BU1863" s="16"/>
      <c r="BV1863" s="16"/>
      <c r="BW1863" s="16"/>
      <c r="BX1863" s="16"/>
      <c r="BY1863" s="16"/>
    </row>
    <row r="1864">
      <c r="A1864" s="16"/>
      <c r="B1864" s="16"/>
      <c r="C1864" s="22"/>
      <c r="D1864" s="16"/>
      <c r="E1864" s="16"/>
      <c r="F1864" s="16"/>
      <c r="G1864" s="16"/>
      <c r="H1864" s="16"/>
      <c r="I1864" s="23"/>
      <c r="J1864" s="23"/>
      <c r="K1864" s="16"/>
      <c r="L1864" s="23"/>
      <c r="M1864" s="23"/>
      <c r="N1864" s="23"/>
      <c r="O1864" s="16"/>
      <c r="P1864" s="23"/>
      <c r="Q1864" s="23"/>
      <c r="R1864" s="23"/>
      <c r="S1864" s="16"/>
      <c r="T1864" s="23"/>
      <c r="U1864" s="23"/>
      <c r="V1864" s="23"/>
      <c r="W1864" s="16"/>
      <c r="X1864" s="23"/>
      <c r="Y1864" s="23"/>
      <c r="Z1864" s="23"/>
      <c r="AA1864" s="16"/>
      <c r="AB1864" s="23"/>
      <c r="AC1864" s="23"/>
      <c r="AD1864" s="23"/>
      <c r="AE1864" s="16"/>
      <c r="AF1864" s="23"/>
      <c r="AG1864" s="23"/>
      <c r="AH1864" s="23"/>
      <c r="AI1864" s="16"/>
      <c r="AJ1864" s="23"/>
      <c r="AK1864" s="23"/>
      <c r="AL1864" s="23"/>
      <c r="AM1864" s="16"/>
      <c r="AN1864" s="23"/>
      <c r="AO1864" s="23"/>
      <c r="AP1864" s="23"/>
      <c r="AQ1864" s="16"/>
      <c r="AR1864" s="23"/>
      <c r="AS1864" s="23"/>
      <c r="AT1864" s="23"/>
      <c r="AU1864" s="16"/>
      <c r="AV1864" s="23"/>
      <c r="AW1864" s="23"/>
      <c r="AX1864" s="23"/>
      <c r="AY1864" s="16"/>
      <c r="AZ1864" s="23"/>
      <c r="BA1864" s="23"/>
      <c r="BB1864" s="23"/>
      <c r="BC1864" s="16"/>
      <c r="BD1864" s="23"/>
      <c r="BE1864" s="23"/>
      <c r="BF1864" s="23"/>
      <c r="BG1864" s="16"/>
      <c r="BH1864" s="23"/>
      <c r="BI1864" s="23"/>
      <c r="BJ1864" s="23"/>
      <c r="BN1864" s="23"/>
      <c r="BO1864" s="23"/>
      <c r="BP1864" s="16"/>
      <c r="BQ1864" s="16"/>
      <c r="BR1864" s="23"/>
      <c r="BS1864" s="16"/>
      <c r="BT1864" s="16"/>
      <c r="BU1864" s="16"/>
      <c r="BV1864" s="16"/>
      <c r="BW1864" s="16"/>
      <c r="BX1864" s="16"/>
      <c r="BY1864" s="16"/>
    </row>
    <row r="1865">
      <c r="A1865" s="16"/>
      <c r="B1865" s="16"/>
      <c r="C1865" s="22"/>
      <c r="D1865" s="16"/>
      <c r="E1865" s="16"/>
      <c r="F1865" s="16"/>
      <c r="G1865" s="16"/>
      <c r="H1865" s="16"/>
      <c r="I1865" s="23"/>
      <c r="J1865" s="23"/>
      <c r="K1865" s="16"/>
      <c r="L1865" s="23"/>
      <c r="M1865" s="23"/>
      <c r="N1865" s="23"/>
      <c r="O1865" s="16"/>
      <c r="P1865" s="23"/>
      <c r="Q1865" s="23"/>
      <c r="R1865" s="23"/>
      <c r="S1865" s="16"/>
      <c r="T1865" s="23"/>
      <c r="U1865" s="23"/>
      <c r="V1865" s="23"/>
      <c r="W1865" s="16"/>
      <c r="X1865" s="23"/>
      <c r="Y1865" s="23"/>
      <c r="Z1865" s="23"/>
      <c r="AA1865" s="16"/>
      <c r="AB1865" s="23"/>
      <c r="AC1865" s="23"/>
      <c r="AD1865" s="23"/>
      <c r="AE1865" s="16"/>
      <c r="AF1865" s="23"/>
      <c r="AG1865" s="23"/>
      <c r="AH1865" s="23"/>
      <c r="AI1865" s="16"/>
      <c r="AJ1865" s="23"/>
      <c r="AK1865" s="23"/>
      <c r="AL1865" s="23"/>
      <c r="AM1865" s="16"/>
      <c r="AN1865" s="23"/>
      <c r="AO1865" s="23"/>
      <c r="AP1865" s="23"/>
      <c r="AQ1865" s="16"/>
      <c r="AR1865" s="23"/>
      <c r="AS1865" s="23"/>
      <c r="AT1865" s="23"/>
      <c r="AU1865" s="16"/>
      <c r="AV1865" s="23"/>
      <c r="AW1865" s="23"/>
      <c r="AX1865" s="23"/>
      <c r="AY1865" s="16"/>
      <c r="AZ1865" s="23"/>
      <c r="BA1865" s="23"/>
      <c r="BB1865" s="23"/>
      <c r="BC1865" s="16"/>
      <c r="BD1865" s="23"/>
      <c r="BE1865" s="23"/>
      <c r="BF1865" s="23"/>
      <c r="BG1865" s="16"/>
      <c r="BH1865" s="23"/>
      <c r="BI1865" s="23"/>
      <c r="BJ1865" s="23"/>
      <c r="BN1865" s="23"/>
      <c r="BO1865" s="23"/>
      <c r="BP1865" s="16"/>
      <c r="BQ1865" s="16"/>
      <c r="BR1865" s="23"/>
      <c r="BS1865" s="16"/>
      <c r="BT1865" s="16"/>
      <c r="BU1865" s="16"/>
      <c r="BV1865" s="16"/>
      <c r="BW1865" s="16"/>
      <c r="BX1865" s="16"/>
      <c r="BY1865" s="16"/>
    </row>
    <row r="1866">
      <c r="A1866" s="16"/>
      <c r="B1866" s="16"/>
      <c r="C1866" s="22"/>
      <c r="D1866" s="16"/>
      <c r="E1866" s="16"/>
      <c r="F1866" s="16"/>
      <c r="G1866" s="16"/>
      <c r="H1866" s="16"/>
      <c r="I1866" s="23"/>
      <c r="J1866" s="23"/>
      <c r="K1866" s="16"/>
      <c r="L1866" s="23"/>
      <c r="M1866" s="23"/>
      <c r="N1866" s="23"/>
      <c r="O1866" s="16"/>
      <c r="P1866" s="23"/>
      <c r="Q1866" s="23"/>
      <c r="R1866" s="23"/>
      <c r="S1866" s="16"/>
      <c r="T1866" s="23"/>
      <c r="U1866" s="23"/>
      <c r="V1866" s="23"/>
      <c r="W1866" s="16"/>
      <c r="X1866" s="23"/>
      <c r="Y1866" s="23"/>
      <c r="Z1866" s="23"/>
      <c r="AA1866" s="16"/>
      <c r="AB1866" s="23"/>
      <c r="AC1866" s="23"/>
      <c r="AD1866" s="23"/>
      <c r="AE1866" s="16"/>
      <c r="AF1866" s="23"/>
      <c r="AG1866" s="23"/>
      <c r="AH1866" s="23"/>
      <c r="AI1866" s="16"/>
      <c r="AJ1866" s="23"/>
      <c r="AK1866" s="23"/>
      <c r="AL1866" s="23"/>
      <c r="AM1866" s="16"/>
      <c r="AN1866" s="23"/>
      <c r="AO1866" s="23"/>
      <c r="AP1866" s="23"/>
      <c r="AQ1866" s="16"/>
      <c r="AR1866" s="23"/>
      <c r="AS1866" s="23"/>
      <c r="AT1866" s="23"/>
      <c r="AU1866" s="16"/>
      <c r="AV1866" s="23"/>
      <c r="AW1866" s="23"/>
      <c r="AX1866" s="23"/>
      <c r="AY1866" s="16"/>
      <c r="AZ1866" s="23"/>
      <c r="BA1866" s="23"/>
      <c r="BB1866" s="23"/>
      <c r="BC1866" s="16"/>
      <c r="BD1866" s="23"/>
      <c r="BE1866" s="23"/>
      <c r="BF1866" s="23"/>
      <c r="BG1866" s="16"/>
      <c r="BH1866" s="23"/>
      <c r="BI1866" s="23"/>
      <c r="BJ1866" s="23"/>
      <c r="BN1866" s="23"/>
      <c r="BO1866" s="23"/>
      <c r="BP1866" s="16"/>
      <c r="BQ1866" s="16"/>
      <c r="BR1866" s="23"/>
      <c r="BS1866" s="16"/>
      <c r="BT1866" s="16"/>
      <c r="BU1866" s="16"/>
      <c r="BV1866" s="16"/>
      <c r="BW1866" s="16"/>
      <c r="BX1866" s="16"/>
      <c r="BY1866" s="16"/>
    </row>
    <row r="1867">
      <c r="A1867" s="16"/>
      <c r="B1867" s="16"/>
      <c r="C1867" s="22"/>
      <c r="D1867" s="16"/>
      <c r="E1867" s="16"/>
      <c r="F1867" s="16"/>
      <c r="G1867" s="16"/>
      <c r="H1867" s="16"/>
      <c r="I1867" s="23"/>
      <c r="J1867" s="23"/>
      <c r="K1867" s="16"/>
      <c r="L1867" s="23"/>
      <c r="M1867" s="23"/>
      <c r="N1867" s="23"/>
      <c r="O1867" s="16"/>
      <c r="P1867" s="23"/>
      <c r="Q1867" s="23"/>
      <c r="R1867" s="23"/>
      <c r="S1867" s="16"/>
      <c r="T1867" s="23"/>
      <c r="U1867" s="23"/>
      <c r="V1867" s="23"/>
      <c r="W1867" s="16"/>
      <c r="X1867" s="23"/>
      <c r="Y1867" s="23"/>
      <c r="Z1867" s="23"/>
      <c r="AA1867" s="16"/>
      <c r="AB1867" s="23"/>
      <c r="AC1867" s="23"/>
      <c r="AD1867" s="23"/>
      <c r="AE1867" s="16"/>
      <c r="AF1867" s="23"/>
      <c r="AG1867" s="23"/>
      <c r="AH1867" s="23"/>
      <c r="AI1867" s="16"/>
      <c r="AJ1867" s="23"/>
      <c r="AK1867" s="23"/>
      <c r="AL1867" s="23"/>
      <c r="AM1867" s="16"/>
      <c r="AN1867" s="23"/>
      <c r="AO1867" s="23"/>
      <c r="AP1867" s="23"/>
      <c r="AQ1867" s="16"/>
      <c r="AR1867" s="23"/>
      <c r="AS1867" s="23"/>
      <c r="AT1867" s="23"/>
      <c r="AU1867" s="16"/>
      <c r="AV1867" s="23"/>
      <c r="AW1867" s="23"/>
      <c r="AX1867" s="23"/>
      <c r="AY1867" s="16"/>
      <c r="AZ1867" s="23"/>
      <c r="BA1867" s="23"/>
      <c r="BB1867" s="23"/>
      <c r="BC1867" s="16"/>
      <c r="BD1867" s="23"/>
      <c r="BE1867" s="23"/>
      <c r="BF1867" s="23"/>
      <c r="BG1867" s="16"/>
      <c r="BH1867" s="23"/>
      <c r="BI1867" s="23"/>
      <c r="BJ1867" s="23"/>
      <c r="BN1867" s="23"/>
      <c r="BO1867" s="23"/>
      <c r="BP1867" s="16"/>
      <c r="BQ1867" s="16"/>
      <c r="BR1867" s="23"/>
      <c r="BS1867" s="16"/>
      <c r="BT1867" s="16"/>
      <c r="BU1867" s="16"/>
      <c r="BV1867" s="16"/>
      <c r="BW1867" s="16"/>
      <c r="BX1867" s="16"/>
      <c r="BY1867" s="16"/>
    </row>
    <row r="1868">
      <c r="A1868" s="16"/>
      <c r="B1868" s="16"/>
      <c r="C1868" s="22"/>
      <c r="D1868" s="16"/>
      <c r="E1868" s="16"/>
      <c r="F1868" s="16"/>
      <c r="G1868" s="16"/>
      <c r="H1868" s="16"/>
      <c r="I1868" s="23"/>
      <c r="J1868" s="23"/>
      <c r="K1868" s="16"/>
      <c r="L1868" s="23"/>
      <c r="M1868" s="23"/>
      <c r="N1868" s="23"/>
      <c r="O1868" s="16"/>
      <c r="P1868" s="23"/>
      <c r="Q1868" s="23"/>
      <c r="R1868" s="23"/>
      <c r="S1868" s="16"/>
      <c r="T1868" s="23"/>
      <c r="U1868" s="23"/>
      <c r="V1868" s="23"/>
      <c r="W1868" s="16"/>
      <c r="X1868" s="23"/>
      <c r="Y1868" s="23"/>
      <c r="Z1868" s="23"/>
      <c r="AA1868" s="16"/>
      <c r="AB1868" s="23"/>
      <c r="AC1868" s="23"/>
      <c r="AD1868" s="23"/>
      <c r="AE1868" s="16"/>
      <c r="AF1868" s="23"/>
      <c r="AG1868" s="23"/>
      <c r="AH1868" s="23"/>
      <c r="AI1868" s="16"/>
      <c r="AJ1868" s="23"/>
      <c r="AK1868" s="23"/>
      <c r="AL1868" s="23"/>
      <c r="AM1868" s="16"/>
      <c r="AN1868" s="23"/>
      <c r="AO1868" s="23"/>
      <c r="AP1868" s="23"/>
      <c r="AQ1868" s="16"/>
      <c r="AR1868" s="23"/>
      <c r="AS1868" s="23"/>
      <c r="AT1868" s="23"/>
      <c r="AU1868" s="16"/>
      <c r="AV1868" s="23"/>
      <c r="AW1868" s="23"/>
      <c r="AX1868" s="23"/>
      <c r="AY1868" s="16"/>
      <c r="AZ1868" s="23"/>
      <c r="BA1868" s="23"/>
      <c r="BB1868" s="23"/>
      <c r="BC1868" s="16"/>
      <c r="BD1868" s="23"/>
      <c r="BE1868" s="23"/>
      <c r="BF1868" s="23"/>
      <c r="BG1868" s="16"/>
      <c r="BH1868" s="23"/>
      <c r="BI1868" s="23"/>
      <c r="BJ1868" s="23"/>
      <c r="BN1868" s="23"/>
      <c r="BO1868" s="23"/>
      <c r="BP1868" s="16"/>
      <c r="BQ1868" s="16"/>
      <c r="BR1868" s="23"/>
      <c r="BS1868" s="16"/>
      <c r="BT1868" s="16"/>
      <c r="BU1868" s="16"/>
      <c r="BV1868" s="16"/>
      <c r="BW1868" s="16"/>
      <c r="BX1868" s="16"/>
      <c r="BY1868" s="16"/>
    </row>
    <row r="1869">
      <c r="A1869" s="16"/>
      <c r="B1869" s="16"/>
      <c r="C1869" s="22"/>
      <c r="D1869" s="16"/>
      <c r="E1869" s="16"/>
      <c r="F1869" s="16"/>
      <c r="G1869" s="16"/>
      <c r="H1869" s="16"/>
      <c r="I1869" s="23"/>
      <c r="J1869" s="23"/>
      <c r="K1869" s="16"/>
      <c r="L1869" s="23"/>
      <c r="M1869" s="23"/>
      <c r="N1869" s="23"/>
      <c r="O1869" s="16"/>
      <c r="P1869" s="23"/>
      <c r="Q1869" s="23"/>
      <c r="R1869" s="23"/>
      <c r="S1869" s="16"/>
      <c r="T1869" s="23"/>
      <c r="U1869" s="23"/>
      <c r="V1869" s="23"/>
      <c r="W1869" s="16"/>
      <c r="X1869" s="23"/>
      <c r="Y1869" s="23"/>
      <c r="Z1869" s="23"/>
      <c r="AA1869" s="16"/>
      <c r="AB1869" s="23"/>
      <c r="AC1869" s="23"/>
      <c r="AD1869" s="23"/>
      <c r="AE1869" s="16"/>
      <c r="AF1869" s="23"/>
      <c r="AG1869" s="23"/>
      <c r="AH1869" s="23"/>
      <c r="AI1869" s="16"/>
      <c r="AJ1869" s="23"/>
      <c r="AK1869" s="23"/>
      <c r="AL1869" s="23"/>
      <c r="AM1869" s="16"/>
      <c r="AN1869" s="23"/>
      <c r="AO1869" s="23"/>
      <c r="AP1869" s="23"/>
      <c r="AQ1869" s="16"/>
      <c r="AR1869" s="23"/>
      <c r="AS1869" s="23"/>
      <c r="AT1869" s="23"/>
      <c r="AU1869" s="16"/>
      <c r="AV1869" s="23"/>
      <c r="AW1869" s="23"/>
      <c r="AX1869" s="23"/>
      <c r="AY1869" s="16"/>
      <c r="AZ1869" s="23"/>
      <c r="BA1869" s="23"/>
      <c r="BB1869" s="23"/>
      <c r="BC1869" s="16"/>
      <c r="BD1869" s="23"/>
      <c r="BE1869" s="23"/>
      <c r="BF1869" s="23"/>
      <c r="BG1869" s="16"/>
      <c r="BH1869" s="23"/>
      <c r="BI1869" s="23"/>
      <c r="BJ1869" s="23"/>
      <c r="BN1869" s="23"/>
      <c r="BO1869" s="23"/>
      <c r="BP1869" s="16"/>
      <c r="BQ1869" s="16"/>
      <c r="BR1869" s="23"/>
      <c r="BS1869" s="16"/>
      <c r="BT1869" s="16"/>
      <c r="BU1869" s="16"/>
      <c r="BV1869" s="16"/>
      <c r="BW1869" s="16"/>
      <c r="BX1869" s="16"/>
      <c r="BY1869" s="16"/>
    </row>
    <row r="1870">
      <c r="A1870" s="16"/>
      <c r="B1870" s="16"/>
      <c r="C1870" s="22"/>
      <c r="D1870" s="16"/>
      <c r="E1870" s="16"/>
      <c r="F1870" s="16"/>
      <c r="G1870" s="16"/>
      <c r="H1870" s="16"/>
      <c r="I1870" s="23"/>
      <c r="J1870" s="23"/>
      <c r="K1870" s="16"/>
      <c r="L1870" s="23"/>
      <c r="M1870" s="23"/>
      <c r="N1870" s="23"/>
      <c r="O1870" s="16"/>
      <c r="P1870" s="23"/>
      <c r="Q1870" s="23"/>
      <c r="R1870" s="23"/>
      <c r="S1870" s="16"/>
      <c r="T1870" s="23"/>
      <c r="U1870" s="23"/>
      <c r="V1870" s="23"/>
      <c r="W1870" s="16"/>
      <c r="X1870" s="23"/>
      <c r="Y1870" s="23"/>
      <c r="Z1870" s="23"/>
      <c r="AA1870" s="16"/>
      <c r="AB1870" s="23"/>
      <c r="AC1870" s="23"/>
      <c r="AD1870" s="23"/>
      <c r="AE1870" s="16"/>
      <c r="AF1870" s="23"/>
      <c r="AG1870" s="23"/>
      <c r="AH1870" s="23"/>
      <c r="AI1870" s="16"/>
      <c r="AJ1870" s="23"/>
      <c r="AK1870" s="23"/>
      <c r="AL1870" s="23"/>
      <c r="AM1870" s="16"/>
      <c r="AN1870" s="23"/>
      <c r="AO1870" s="23"/>
      <c r="AP1870" s="23"/>
      <c r="AQ1870" s="16"/>
      <c r="AR1870" s="23"/>
      <c r="AS1870" s="23"/>
      <c r="AT1870" s="23"/>
      <c r="AU1870" s="16"/>
      <c r="AV1870" s="23"/>
      <c r="AW1870" s="23"/>
      <c r="AX1870" s="23"/>
      <c r="AY1870" s="16"/>
      <c r="AZ1870" s="23"/>
      <c r="BA1870" s="23"/>
      <c r="BB1870" s="23"/>
      <c r="BC1870" s="16"/>
      <c r="BD1870" s="23"/>
      <c r="BE1870" s="23"/>
      <c r="BF1870" s="23"/>
      <c r="BG1870" s="16"/>
      <c r="BH1870" s="23"/>
      <c r="BI1870" s="23"/>
      <c r="BJ1870" s="23"/>
      <c r="BN1870" s="23"/>
      <c r="BO1870" s="23"/>
      <c r="BP1870" s="16"/>
      <c r="BQ1870" s="16"/>
      <c r="BR1870" s="23"/>
      <c r="BS1870" s="16"/>
      <c r="BT1870" s="16"/>
      <c r="BU1870" s="16"/>
      <c r="BV1870" s="16"/>
      <c r="BW1870" s="16"/>
      <c r="BX1870" s="16"/>
      <c r="BY1870" s="16"/>
    </row>
    <row r="1871">
      <c r="A1871" s="16"/>
      <c r="B1871" s="16"/>
      <c r="C1871" s="22"/>
      <c r="D1871" s="16"/>
      <c r="E1871" s="16"/>
      <c r="F1871" s="16"/>
      <c r="G1871" s="16"/>
      <c r="H1871" s="16"/>
      <c r="I1871" s="23"/>
      <c r="J1871" s="23"/>
      <c r="K1871" s="16"/>
      <c r="L1871" s="23"/>
      <c r="M1871" s="23"/>
      <c r="N1871" s="23"/>
      <c r="O1871" s="16"/>
      <c r="P1871" s="23"/>
      <c r="Q1871" s="23"/>
      <c r="R1871" s="23"/>
      <c r="S1871" s="16"/>
      <c r="T1871" s="23"/>
      <c r="U1871" s="23"/>
      <c r="V1871" s="23"/>
      <c r="W1871" s="16"/>
      <c r="X1871" s="23"/>
      <c r="Y1871" s="23"/>
      <c r="Z1871" s="23"/>
      <c r="AA1871" s="16"/>
      <c r="AB1871" s="23"/>
      <c r="AC1871" s="23"/>
      <c r="AD1871" s="23"/>
      <c r="AE1871" s="16"/>
      <c r="AF1871" s="23"/>
      <c r="AG1871" s="23"/>
      <c r="AH1871" s="23"/>
      <c r="AI1871" s="16"/>
      <c r="AJ1871" s="23"/>
      <c r="AK1871" s="23"/>
      <c r="AL1871" s="23"/>
      <c r="AM1871" s="16"/>
      <c r="AN1871" s="23"/>
      <c r="AO1871" s="23"/>
      <c r="AP1871" s="23"/>
      <c r="AQ1871" s="16"/>
      <c r="AR1871" s="23"/>
      <c r="AS1871" s="23"/>
      <c r="AT1871" s="23"/>
      <c r="AU1871" s="16"/>
      <c r="AV1871" s="23"/>
      <c r="AW1871" s="23"/>
      <c r="AX1871" s="23"/>
      <c r="AY1871" s="16"/>
      <c r="AZ1871" s="23"/>
      <c r="BA1871" s="23"/>
      <c r="BB1871" s="23"/>
      <c r="BC1871" s="16"/>
      <c r="BD1871" s="23"/>
      <c r="BE1871" s="23"/>
      <c r="BF1871" s="23"/>
      <c r="BG1871" s="16"/>
      <c r="BH1871" s="23"/>
      <c r="BI1871" s="23"/>
      <c r="BJ1871" s="23"/>
      <c r="BN1871" s="23"/>
      <c r="BO1871" s="23"/>
      <c r="BP1871" s="16"/>
      <c r="BQ1871" s="16"/>
      <c r="BR1871" s="23"/>
      <c r="BS1871" s="16"/>
      <c r="BT1871" s="16"/>
      <c r="BU1871" s="16"/>
      <c r="BV1871" s="16"/>
      <c r="BW1871" s="16"/>
      <c r="BX1871" s="16"/>
      <c r="BY1871" s="16"/>
    </row>
    <row r="1872">
      <c r="A1872" s="16"/>
      <c r="B1872" s="16"/>
      <c r="C1872" s="22"/>
      <c r="D1872" s="16"/>
      <c r="E1872" s="16"/>
      <c r="F1872" s="16"/>
      <c r="G1872" s="16"/>
      <c r="H1872" s="16"/>
      <c r="I1872" s="23"/>
      <c r="J1872" s="23"/>
      <c r="K1872" s="16"/>
      <c r="L1872" s="23"/>
      <c r="M1872" s="23"/>
      <c r="N1872" s="23"/>
      <c r="O1872" s="16"/>
      <c r="P1872" s="23"/>
      <c r="Q1872" s="23"/>
      <c r="R1872" s="23"/>
      <c r="S1872" s="16"/>
      <c r="T1872" s="23"/>
      <c r="U1872" s="23"/>
      <c r="V1872" s="23"/>
      <c r="W1872" s="16"/>
      <c r="X1872" s="23"/>
      <c r="Y1872" s="23"/>
      <c r="Z1872" s="23"/>
      <c r="AA1872" s="16"/>
      <c r="AB1872" s="23"/>
      <c r="AC1872" s="23"/>
      <c r="AD1872" s="23"/>
      <c r="AE1872" s="16"/>
      <c r="AF1872" s="23"/>
      <c r="AG1872" s="23"/>
      <c r="AH1872" s="23"/>
      <c r="AI1872" s="16"/>
      <c r="AJ1872" s="23"/>
      <c r="AK1872" s="23"/>
      <c r="AL1872" s="23"/>
      <c r="AM1872" s="16"/>
      <c r="AN1872" s="23"/>
      <c r="AO1872" s="23"/>
      <c r="AP1872" s="23"/>
      <c r="AQ1872" s="16"/>
      <c r="AR1872" s="23"/>
      <c r="AS1872" s="23"/>
      <c r="AT1872" s="23"/>
      <c r="AU1872" s="16"/>
      <c r="AV1872" s="23"/>
      <c r="AW1872" s="23"/>
      <c r="AX1872" s="23"/>
      <c r="AY1872" s="16"/>
      <c r="AZ1872" s="23"/>
      <c r="BA1872" s="23"/>
      <c r="BB1872" s="23"/>
      <c r="BC1872" s="16"/>
      <c r="BD1872" s="23"/>
      <c r="BE1872" s="23"/>
      <c r="BF1872" s="23"/>
      <c r="BG1872" s="16"/>
      <c r="BH1872" s="23"/>
      <c r="BI1872" s="23"/>
      <c r="BJ1872" s="23"/>
      <c r="BN1872" s="23"/>
      <c r="BO1872" s="23"/>
      <c r="BP1872" s="16"/>
      <c r="BQ1872" s="16"/>
      <c r="BR1872" s="23"/>
      <c r="BS1872" s="16"/>
      <c r="BT1872" s="16"/>
      <c r="BU1872" s="16"/>
      <c r="BV1872" s="16"/>
      <c r="BW1872" s="16"/>
      <c r="BX1872" s="16"/>
      <c r="BY1872" s="16"/>
    </row>
    <row r="1873">
      <c r="A1873" s="16"/>
      <c r="B1873" s="16"/>
      <c r="C1873" s="22"/>
      <c r="D1873" s="16"/>
      <c r="E1873" s="16"/>
      <c r="F1873" s="16"/>
      <c r="G1873" s="16"/>
      <c r="H1873" s="16"/>
      <c r="I1873" s="23"/>
      <c r="J1873" s="23"/>
      <c r="K1873" s="16"/>
      <c r="L1873" s="23"/>
      <c r="M1873" s="23"/>
      <c r="N1873" s="23"/>
      <c r="O1873" s="16"/>
      <c r="P1873" s="23"/>
      <c r="Q1873" s="23"/>
      <c r="R1873" s="23"/>
      <c r="S1873" s="16"/>
      <c r="T1873" s="23"/>
      <c r="U1873" s="23"/>
      <c r="V1873" s="23"/>
      <c r="W1873" s="16"/>
      <c r="X1873" s="23"/>
      <c r="Y1873" s="23"/>
      <c r="Z1873" s="23"/>
      <c r="AA1873" s="16"/>
      <c r="AB1873" s="23"/>
      <c r="AC1873" s="23"/>
      <c r="AD1873" s="23"/>
      <c r="AE1873" s="16"/>
      <c r="AF1873" s="23"/>
      <c r="AG1873" s="23"/>
      <c r="AH1873" s="23"/>
      <c r="AI1873" s="16"/>
      <c r="AJ1873" s="23"/>
      <c r="AK1873" s="23"/>
      <c r="AL1873" s="23"/>
      <c r="AM1873" s="16"/>
      <c r="AN1873" s="23"/>
      <c r="AO1873" s="23"/>
      <c r="AP1873" s="23"/>
      <c r="AQ1873" s="16"/>
      <c r="AR1873" s="23"/>
      <c r="AS1873" s="23"/>
      <c r="AT1873" s="23"/>
      <c r="AU1873" s="16"/>
      <c r="AV1873" s="23"/>
      <c r="AW1873" s="23"/>
      <c r="AX1873" s="23"/>
      <c r="AY1873" s="16"/>
      <c r="AZ1873" s="23"/>
      <c r="BA1873" s="23"/>
      <c r="BB1873" s="23"/>
      <c r="BC1873" s="16"/>
      <c r="BD1873" s="23"/>
      <c r="BE1873" s="23"/>
      <c r="BF1873" s="23"/>
      <c r="BG1873" s="16"/>
      <c r="BH1873" s="23"/>
      <c r="BI1873" s="23"/>
      <c r="BJ1873" s="23"/>
      <c r="BN1873" s="23"/>
      <c r="BO1873" s="23"/>
      <c r="BP1873" s="16"/>
      <c r="BQ1873" s="16"/>
      <c r="BR1873" s="23"/>
      <c r="BS1873" s="16"/>
      <c r="BT1873" s="16"/>
      <c r="BU1873" s="16"/>
      <c r="BV1873" s="16"/>
      <c r="BW1873" s="16"/>
      <c r="BX1873" s="16"/>
      <c r="BY1873" s="16"/>
    </row>
    <row r="1874">
      <c r="A1874" s="16"/>
      <c r="B1874" s="16"/>
      <c r="C1874" s="22"/>
      <c r="D1874" s="16"/>
      <c r="E1874" s="16"/>
      <c r="F1874" s="16"/>
      <c r="G1874" s="16"/>
      <c r="H1874" s="16"/>
      <c r="I1874" s="23"/>
      <c r="J1874" s="23"/>
      <c r="K1874" s="16"/>
      <c r="L1874" s="23"/>
      <c r="M1874" s="23"/>
      <c r="N1874" s="23"/>
      <c r="O1874" s="16"/>
      <c r="P1874" s="23"/>
      <c r="Q1874" s="23"/>
      <c r="R1874" s="23"/>
      <c r="S1874" s="16"/>
      <c r="T1874" s="23"/>
      <c r="U1874" s="23"/>
      <c r="V1874" s="23"/>
      <c r="W1874" s="16"/>
      <c r="X1874" s="23"/>
      <c r="Y1874" s="23"/>
      <c r="Z1874" s="23"/>
      <c r="AA1874" s="16"/>
      <c r="AB1874" s="23"/>
      <c r="AC1874" s="23"/>
      <c r="AD1874" s="23"/>
      <c r="AE1874" s="16"/>
      <c r="AF1874" s="23"/>
      <c r="AG1874" s="23"/>
      <c r="AH1874" s="23"/>
      <c r="AI1874" s="16"/>
      <c r="AJ1874" s="23"/>
      <c r="AK1874" s="23"/>
      <c r="AL1874" s="23"/>
      <c r="AM1874" s="16"/>
      <c r="AN1874" s="23"/>
      <c r="AO1874" s="23"/>
      <c r="AP1874" s="23"/>
      <c r="AQ1874" s="16"/>
      <c r="AR1874" s="23"/>
      <c r="AS1874" s="23"/>
      <c r="AT1874" s="23"/>
      <c r="AU1874" s="16"/>
      <c r="AV1874" s="23"/>
      <c r="AW1874" s="23"/>
      <c r="AX1874" s="23"/>
      <c r="AY1874" s="16"/>
      <c r="AZ1874" s="23"/>
      <c r="BA1874" s="23"/>
      <c r="BB1874" s="23"/>
      <c r="BC1874" s="16"/>
      <c r="BD1874" s="23"/>
      <c r="BE1874" s="23"/>
      <c r="BF1874" s="23"/>
      <c r="BG1874" s="16"/>
      <c r="BH1874" s="23"/>
      <c r="BI1874" s="23"/>
      <c r="BJ1874" s="23"/>
      <c r="BN1874" s="23"/>
      <c r="BO1874" s="23"/>
      <c r="BP1874" s="16"/>
      <c r="BQ1874" s="16"/>
      <c r="BR1874" s="23"/>
      <c r="BS1874" s="16"/>
      <c r="BT1874" s="16"/>
      <c r="BU1874" s="16"/>
      <c r="BV1874" s="16"/>
      <c r="BW1874" s="16"/>
      <c r="BX1874" s="16"/>
      <c r="BY1874" s="16"/>
    </row>
    <row r="1875">
      <c r="A1875" s="16"/>
      <c r="B1875" s="16"/>
      <c r="C1875" s="22"/>
      <c r="D1875" s="16"/>
      <c r="E1875" s="16"/>
      <c r="F1875" s="16"/>
      <c r="G1875" s="16"/>
      <c r="H1875" s="16"/>
      <c r="I1875" s="23"/>
      <c r="J1875" s="23"/>
      <c r="K1875" s="16"/>
      <c r="L1875" s="23"/>
      <c r="M1875" s="23"/>
      <c r="N1875" s="23"/>
      <c r="O1875" s="16"/>
      <c r="P1875" s="23"/>
      <c r="Q1875" s="23"/>
      <c r="R1875" s="23"/>
      <c r="S1875" s="16"/>
      <c r="T1875" s="23"/>
      <c r="U1875" s="23"/>
      <c r="V1875" s="23"/>
      <c r="W1875" s="16"/>
      <c r="X1875" s="23"/>
      <c r="Y1875" s="23"/>
      <c r="Z1875" s="23"/>
      <c r="AA1875" s="16"/>
      <c r="AB1875" s="23"/>
      <c r="AC1875" s="23"/>
      <c r="AD1875" s="23"/>
      <c r="AE1875" s="16"/>
      <c r="AF1875" s="23"/>
      <c r="AG1875" s="23"/>
      <c r="AH1875" s="23"/>
      <c r="AI1875" s="16"/>
      <c r="AJ1875" s="23"/>
      <c r="AK1875" s="23"/>
      <c r="AL1875" s="23"/>
      <c r="AM1875" s="16"/>
      <c r="AN1875" s="23"/>
      <c r="AO1875" s="23"/>
      <c r="AP1875" s="23"/>
      <c r="AQ1875" s="16"/>
      <c r="AR1875" s="23"/>
      <c r="AS1875" s="23"/>
      <c r="AT1875" s="23"/>
      <c r="AU1875" s="16"/>
      <c r="AV1875" s="23"/>
      <c r="AW1875" s="23"/>
      <c r="AX1875" s="23"/>
      <c r="AY1875" s="16"/>
      <c r="AZ1875" s="23"/>
      <c r="BA1875" s="23"/>
      <c r="BB1875" s="23"/>
      <c r="BC1875" s="16"/>
      <c r="BD1875" s="23"/>
      <c r="BE1875" s="23"/>
      <c r="BF1875" s="23"/>
      <c r="BG1875" s="16"/>
      <c r="BH1875" s="23"/>
      <c r="BI1875" s="23"/>
      <c r="BJ1875" s="23"/>
      <c r="BN1875" s="23"/>
      <c r="BO1875" s="23"/>
      <c r="BP1875" s="16"/>
      <c r="BQ1875" s="16"/>
      <c r="BR1875" s="23"/>
      <c r="BS1875" s="16"/>
      <c r="BT1875" s="16"/>
      <c r="BU1875" s="16"/>
      <c r="BV1875" s="16"/>
      <c r="BW1875" s="16"/>
      <c r="BX1875" s="16"/>
      <c r="BY1875" s="16"/>
    </row>
    <row r="1876">
      <c r="A1876" s="16"/>
      <c r="B1876" s="16"/>
      <c r="C1876" s="22"/>
      <c r="D1876" s="16"/>
      <c r="E1876" s="16"/>
      <c r="F1876" s="16"/>
      <c r="G1876" s="16"/>
      <c r="H1876" s="16"/>
      <c r="I1876" s="23"/>
      <c r="J1876" s="23"/>
      <c r="K1876" s="16"/>
      <c r="L1876" s="23"/>
      <c r="M1876" s="23"/>
      <c r="N1876" s="23"/>
      <c r="O1876" s="16"/>
      <c r="P1876" s="23"/>
      <c r="Q1876" s="23"/>
      <c r="R1876" s="23"/>
      <c r="S1876" s="16"/>
      <c r="T1876" s="23"/>
      <c r="U1876" s="23"/>
      <c r="V1876" s="23"/>
      <c r="W1876" s="16"/>
      <c r="X1876" s="23"/>
      <c r="Y1876" s="23"/>
      <c r="Z1876" s="23"/>
      <c r="AA1876" s="16"/>
      <c r="AB1876" s="23"/>
      <c r="AC1876" s="23"/>
      <c r="AD1876" s="23"/>
      <c r="AE1876" s="16"/>
      <c r="AF1876" s="23"/>
      <c r="AG1876" s="23"/>
      <c r="AH1876" s="23"/>
      <c r="AI1876" s="16"/>
      <c r="AJ1876" s="23"/>
      <c r="AK1876" s="23"/>
      <c r="AL1876" s="23"/>
      <c r="AM1876" s="16"/>
      <c r="AN1876" s="23"/>
      <c r="AO1876" s="23"/>
      <c r="AP1876" s="23"/>
      <c r="AQ1876" s="16"/>
      <c r="AR1876" s="23"/>
      <c r="AS1876" s="23"/>
      <c r="AT1876" s="23"/>
      <c r="AU1876" s="16"/>
      <c r="AV1876" s="23"/>
      <c r="AW1876" s="23"/>
      <c r="AX1876" s="23"/>
      <c r="AY1876" s="16"/>
      <c r="AZ1876" s="23"/>
      <c r="BA1876" s="23"/>
      <c r="BB1876" s="23"/>
      <c r="BC1876" s="16"/>
      <c r="BD1876" s="23"/>
      <c r="BE1876" s="23"/>
      <c r="BF1876" s="23"/>
      <c r="BG1876" s="16"/>
      <c r="BH1876" s="23"/>
      <c r="BI1876" s="23"/>
      <c r="BJ1876" s="23"/>
      <c r="BN1876" s="23"/>
      <c r="BO1876" s="23"/>
      <c r="BP1876" s="16"/>
      <c r="BQ1876" s="16"/>
      <c r="BR1876" s="23"/>
      <c r="BS1876" s="16"/>
      <c r="BT1876" s="16"/>
      <c r="BU1876" s="16"/>
      <c r="BV1876" s="16"/>
      <c r="BW1876" s="16"/>
      <c r="BX1876" s="16"/>
      <c r="BY1876" s="16"/>
    </row>
    <row r="1877">
      <c r="A1877" s="16"/>
      <c r="B1877" s="16"/>
      <c r="C1877" s="22"/>
      <c r="D1877" s="16"/>
      <c r="E1877" s="16"/>
      <c r="F1877" s="16"/>
      <c r="G1877" s="16"/>
      <c r="H1877" s="16"/>
      <c r="I1877" s="23"/>
      <c r="J1877" s="23"/>
      <c r="K1877" s="16"/>
      <c r="L1877" s="23"/>
      <c r="M1877" s="23"/>
      <c r="N1877" s="23"/>
      <c r="O1877" s="16"/>
      <c r="P1877" s="23"/>
      <c r="Q1877" s="23"/>
      <c r="R1877" s="23"/>
      <c r="S1877" s="16"/>
      <c r="T1877" s="23"/>
      <c r="U1877" s="23"/>
      <c r="V1877" s="23"/>
      <c r="W1877" s="16"/>
      <c r="X1877" s="23"/>
      <c r="Y1877" s="23"/>
      <c r="Z1877" s="23"/>
      <c r="AA1877" s="16"/>
      <c r="AB1877" s="23"/>
      <c r="AC1877" s="23"/>
      <c r="AD1877" s="23"/>
      <c r="AE1877" s="16"/>
      <c r="AF1877" s="23"/>
      <c r="AG1877" s="23"/>
      <c r="AH1877" s="23"/>
      <c r="AI1877" s="16"/>
      <c r="AJ1877" s="23"/>
      <c r="AK1877" s="23"/>
      <c r="AL1877" s="23"/>
      <c r="AM1877" s="16"/>
      <c r="AN1877" s="23"/>
      <c r="AO1877" s="23"/>
      <c r="AP1877" s="23"/>
      <c r="AQ1877" s="16"/>
      <c r="AR1877" s="23"/>
      <c r="AS1877" s="23"/>
      <c r="AT1877" s="23"/>
      <c r="AU1877" s="16"/>
      <c r="AV1877" s="23"/>
      <c r="AW1877" s="23"/>
      <c r="AX1877" s="23"/>
      <c r="AY1877" s="16"/>
      <c r="AZ1877" s="23"/>
      <c r="BA1877" s="23"/>
      <c r="BB1877" s="23"/>
      <c r="BC1877" s="16"/>
      <c r="BD1877" s="23"/>
      <c r="BE1877" s="23"/>
      <c r="BF1877" s="23"/>
      <c r="BG1877" s="16"/>
      <c r="BH1877" s="23"/>
      <c r="BI1877" s="23"/>
      <c r="BJ1877" s="23"/>
      <c r="BN1877" s="23"/>
      <c r="BO1877" s="23"/>
      <c r="BP1877" s="16"/>
      <c r="BQ1877" s="16"/>
      <c r="BR1877" s="23"/>
      <c r="BS1877" s="16"/>
      <c r="BT1877" s="16"/>
      <c r="BU1877" s="16"/>
      <c r="BV1877" s="16"/>
      <c r="BW1877" s="16"/>
      <c r="BX1877" s="16"/>
      <c r="BY1877" s="16"/>
    </row>
    <row r="1878">
      <c r="A1878" s="16"/>
      <c r="B1878" s="16"/>
      <c r="C1878" s="22"/>
      <c r="D1878" s="16"/>
      <c r="E1878" s="16"/>
      <c r="F1878" s="16"/>
      <c r="G1878" s="16"/>
      <c r="H1878" s="16"/>
      <c r="I1878" s="23"/>
      <c r="J1878" s="23"/>
      <c r="K1878" s="16"/>
      <c r="L1878" s="23"/>
      <c r="M1878" s="23"/>
      <c r="N1878" s="23"/>
      <c r="O1878" s="16"/>
      <c r="P1878" s="23"/>
      <c r="Q1878" s="23"/>
      <c r="R1878" s="23"/>
      <c r="S1878" s="16"/>
      <c r="T1878" s="23"/>
      <c r="U1878" s="23"/>
      <c r="V1878" s="23"/>
      <c r="W1878" s="16"/>
      <c r="X1878" s="23"/>
      <c r="Y1878" s="23"/>
      <c r="Z1878" s="23"/>
      <c r="AA1878" s="16"/>
      <c r="AB1878" s="23"/>
      <c r="AC1878" s="23"/>
      <c r="AD1878" s="23"/>
      <c r="AE1878" s="16"/>
      <c r="AF1878" s="23"/>
      <c r="AG1878" s="23"/>
      <c r="AH1878" s="23"/>
      <c r="AI1878" s="16"/>
      <c r="AJ1878" s="23"/>
      <c r="AK1878" s="23"/>
      <c r="AL1878" s="23"/>
      <c r="AM1878" s="16"/>
      <c r="AN1878" s="23"/>
      <c r="AO1878" s="23"/>
      <c r="AP1878" s="23"/>
      <c r="AQ1878" s="16"/>
      <c r="AR1878" s="23"/>
      <c r="AS1878" s="23"/>
      <c r="AT1878" s="23"/>
      <c r="AU1878" s="16"/>
      <c r="AV1878" s="23"/>
      <c r="AW1878" s="23"/>
      <c r="AX1878" s="23"/>
      <c r="AY1878" s="16"/>
      <c r="AZ1878" s="23"/>
      <c r="BA1878" s="23"/>
      <c r="BB1878" s="23"/>
      <c r="BC1878" s="16"/>
      <c r="BD1878" s="23"/>
      <c r="BE1878" s="23"/>
      <c r="BF1878" s="23"/>
      <c r="BG1878" s="16"/>
      <c r="BH1878" s="23"/>
      <c r="BI1878" s="23"/>
      <c r="BJ1878" s="23"/>
      <c r="BN1878" s="23"/>
      <c r="BO1878" s="23"/>
      <c r="BP1878" s="16"/>
      <c r="BQ1878" s="16"/>
      <c r="BR1878" s="23"/>
      <c r="BS1878" s="16"/>
      <c r="BT1878" s="16"/>
      <c r="BU1878" s="16"/>
      <c r="BV1878" s="16"/>
      <c r="BW1878" s="16"/>
      <c r="BX1878" s="16"/>
      <c r="BY1878" s="16"/>
    </row>
    <row r="1879">
      <c r="A1879" s="16"/>
      <c r="B1879" s="16"/>
      <c r="C1879" s="22"/>
      <c r="D1879" s="16"/>
      <c r="E1879" s="16"/>
      <c r="F1879" s="16"/>
      <c r="G1879" s="16"/>
      <c r="H1879" s="16"/>
      <c r="I1879" s="23"/>
      <c r="J1879" s="23"/>
      <c r="K1879" s="16"/>
      <c r="L1879" s="23"/>
      <c r="M1879" s="23"/>
      <c r="N1879" s="23"/>
      <c r="O1879" s="16"/>
      <c r="P1879" s="23"/>
      <c r="Q1879" s="23"/>
      <c r="R1879" s="23"/>
      <c r="S1879" s="16"/>
      <c r="T1879" s="23"/>
      <c r="U1879" s="23"/>
      <c r="V1879" s="23"/>
      <c r="W1879" s="16"/>
      <c r="X1879" s="23"/>
      <c r="Y1879" s="23"/>
      <c r="Z1879" s="23"/>
      <c r="AA1879" s="16"/>
      <c r="AB1879" s="23"/>
      <c r="AC1879" s="23"/>
      <c r="AD1879" s="23"/>
      <c r="AE1879" s="16"/>
      <c r="AF1879" s="23"/>
      <c r="AG1879" s="23"/>
      <c r="AH1879" s="23"/>
      <c r="AI1879" s="16"/>
      <c r="AJ1879" s="23"/>
      <c r="AK1879" s="23"/>
      <c r="AL1879" s="23"/>
      <c r="AM1879" s="16"/>
      <c r="AN1879" s="23"/>
      <c r="AO1879" s="23"/>
      <c r="AP1879" s="23"/>
      <c r="AQ1879" s="16"/>
      <c r="AR1879" s="23"/>
      <c r="AS1879" s="23"/>
      <c r="AT1879" s="23"/>
      <c r="AU1879" s="16"/>
      <c r="AV1879" s="23"/>
      <c r="AW1879" s="23"/>
      <c r="AX1879" s="23"/>
      <c r="AY1879" s="16"/>
      <c r="AZ1879" s="23"/>
      <c r="BA1879" s="23"/>
      <c r="BB1879" s="23"/>
      <c r="BC1879" s="16"/>
      <c r="BD1879" s="23"/>
      <c r="BE1879" s="23"/>
      <c r="BF1879" s="23"/>
      <c r="BG1879" s="16"/>
      <c r="BH1879" s="23"/>
      <c r="BI1879" s="23"/>
      <c r="BJ1879" s="23"/>
      <c r="BN1879" s="23"/>
      <c r="BO1879" s="23"/>
      <c r="BP1879" s="16"/>
      <c r="BQ1879" s="16"/>
      <c r="BR1879" s="23"/>
      <c r="BS1879" s="16"/>
      <c r="BT1879" s="16"/>
      <c r="BU1879" s="16"/>
      <c r="BV1879" s="16"/>
      <c r="BW1879" s="16"/>
      <c r="BX1879" s="16"/>
      <c r="BY1879" s="16"/>
    </row>
    <row r="1880">
      <c r="A1880" s="16"/>
      <c r="B1880" s="16"/>
      <c r="C1880" s="22"/>
      <c r="D1880" s="16"/>
      <c r="E1880" s="16"/>
      <c r="F1880" s="16"/>
      <c r="G1880" s="16"/>
      <c r="H1880" s="16"/>
      <c r="I1880" s="23"/>
      <c r="J1880" s="23"/>
      <c r="K1880" s="16"/>
      <c r="L1880" s="23"/>
      <c r="M1880" s="23"/>
      <c r="N1880" s="23"/>
      <c r="O1880" s="16"/>
      <c r="P1880" s="23"/>
      <c r="Q1880" s="23"/>
      <c r="R1880" s="23"/>
      <c r="S1880" s="16"/>
      <c r="T1880" s="23"/>
      <c r="U1880" s="23"/>
      <c r="V1880" s="23"/>
      <c r="W1880" s="16"/>
      <c r="X1880" s="23"/>
      <c r="Y1880" s="23"/>
      <c r="Z1880" s="23"/>
      <c r="AA1880" s="16"/>
      <c r="AB1880" s="23"/>
      <c r="AC1880" s="23"/>
      <c r="AD1880" s="23"/>
      <c r="AE1880" s="16"/>
      <c r="AF1880" s="23"/>
      <c r="AG1880" s="23"/>
      <c r="AH1880" s="23"/>
      <c r="AI1880" s="16"/>
      <c r="AJ1880" s="23"/>
      <c r="AK1880" s="23"/>
      <c r="AL1880" s="23"/>
      <c r="AM1880" s="16"/>
      <c r="AN1880" s="23"/>
      <c r="AO1880" s="23"/>
      <c r="AP1880" s="23"/>
      <c r="AQ1880" s="16"/>
      <c r="AR1880" s="23"/>
      <c r="AS1880" s="23"/>
      <c r="AT1880" s="23"/>
      <c r="AU1880" s="16"/>
      <c r="AV1880" s="23"/>
      <c r="AW1880" s="23"/>
      <c r="AX1880" s="23"/>
      <c r="AY1880" s="16"/>
      <c r="AZ1880" s="23"/>
      <c r="BA1880" s="23"/>
      <c r="BB1880" s="23"/>
      <c r="BC1880" s="16"/>
      <c r="BD1880" s="23"/>
      <c r="BE1880" s="23"/>
      <c r="BF1880" s="23"/>
      <c r="BG1880" s="16"/>
      <c r="BH1880" s="23"/>
      <c r="BI1880" s="23"/>
      <c r="BJ1880" s="23"/>
      <c r="BN1880" s="23"/>
      <c r="BO1880" s="23"/>
      <c r="BP1880" s="16"/>
      <c r="BQ1880" s="16"/>
      <c r="BR1880" s="23"/>
      <c r="BS1880" s="16"/>
      <c r="BT1880" s="16"/>
      <c r="BU1880" s="16"/>
      <c r="BV1880" s="16"/>
      <c r="BW1880" s="16"/>
      <c r="BX1880" s="16"/>
      <c r="BY1880" s="16"/>
    </row>
    <row r="1881">
      <c r="A1881" s="16"/>
      <c r="B1881" s="16"/>
      <c r="C1881" s="22"/>
      <c r="D1881" s="16"/>
      <c r="E1881" s="16"/>
      <c r="F1881" s="16"/>
      <c r="G1881" s="16"/>
      <c r="H1881" s="16"/>
      <c r="I1881" s="23"/>
      <c r="J1881" s="23"/>
      <c r="K1881" s="16"/>
      <c r="L1881" s="23"/>
      <c r="M1881" s="23"/>
      <c r="N1881" s="23"/>
      <c r="O1881" s="16"/>
      <c r="P1881" s="23"/>
      <c r="Q1881" s="23"/>
      <c r="R1881" s="23"/>
      <c r="S1881" s="16"/>
      <c r="T1881" s="23"/>
      <c r="U1881" s="23"/>
      <c r="V1881" s="23"/>
      <c r="W1881" s="16"/>
      <c r="X1881" s="23"/>
      <c r="Y1881" s="23"/>
      <c r="Z1881" s="23"/>
      <c r="AA1881" s="16"/>
      <c r="AB1881" s="23"/>
      <c r="AC1881" s="23"/>
      <c r="AD1881" s="23"/>
      <c r="AE1881" s="16"/>
      <c r="AF1881" s="23"/>
      <c r="AG1881" s="23"/>
      <c r="AH1881" s="23"/>
      <c r="AI1881" s="16"/>
      <c r="AJ1881" s="23"/>
      <c r="AK1881" s="23"/>
      <c r="AL1881" s="23"/>
      <c r="AM1881" s="16"/>
      <c r="AN1881" s="23"/>
      <c r="AO1881" s="23"/>
      <c r="AP1881" s="23"/>
      <c r="AQ1881" s="16"/>
      <c r="AR1881" s="23"/>
      <c r="AS1881" s="23"/>
      <c r="AT1881" s="23"/>
      <c r="AU1881" s="16"/>
      <c r="AV1881" s="23"/>
      <c r="AW1881" s="23"/>
      <c r="AX1881" s="23"/>
      <c r="AY1881" s="16"/>
      <c r="AZ1881" s="23"/>
      <c r="BA1881" s="23"/>
      <c r="BB1881" s="23"/>
      <c r="BC1881" s="16"/>
      <c r="BD1881" s="23"/>
      <c r="BE1881" s="23"/>
      <c r="BF1881" s="23"/>
      <c r="BG1881" s="16"/>
      <c r="BH1881" s="23"/>
      <c r="BI1881" s="23"/>
      <c r="BJ1881" s="23"/>
      <c r="BN1881" s="23"/>
      <c r="BO1881" s="23"/>
      <c r="BP1881" s="16"/>
      <c r="BQ1881" s="16"/>
      <c r="BR1881" s="23"/>
      <c r="BS1881" s="16"/>
      <c r="BT1881" s="16"/>
      <c r="BU1881" s="16"/>
      <c r="BV1881" s="16"/>
      <c r="BW1881" s="16"/>
      <c r="BX1881" s="16"/>
      <c r="BY1881" s="16"/>
    </row>
    <row r="1882">
      <c r="A1882" s="16"/>
      <c r="B1882" s="16"/>
      <c r="C1882" s="22"/>
      <c r="D1882" s="16"/>
      <c r="E1882" s="16"/>
      <c r="F1882" s="16"/>
      <c r="G1882" s="16"/>
      <c r="H1882" s="16"/>
      <c r="I1882" s="23"/>
      <c r="J1882" s="23"/>
      <c r="K1882" s="16"/>
      <c r="L1882" s="23"/>
      <c r="M1882" s="23"/>
      <c r="N1882" s="23"/>
      <c r="O1882" s="16"/>
      <c r="P1882" s="23"/>
      <c r="Q1882" s="23"/>
      <c r="R1882" s="23"/>
      <c r="S1882" s="16"/>
      <c r="T1882" s="23"/>
      <c r="U1882" s="23"/>
      <c r="V1882" s="23"/>
      <c r="W1882" s="16"/>
      <c r="X1882" s="23"/>
      <c r="Y1882" s="23"/>
      <c r="Z1882" s="23"/>
      <c r="AA1882" s="16"/>
      <c r="AB1882" s="23"/>
      <c r="AC1882" s="23"/>
      <c r="AD1882" s="23"/>
      <c r="AE1882" s="16"/>
      <c r="AF1882" s="23"/>
      <c r="AG1882" s="23"/>
      <c r="AH1882" s="23"/>
      <c r="AI1882" s="16"/>
      <c r="AJ1882" s="23"/>
      <c r="AK1882" s="23"/>
      <c r="AL1882" s="23"/>
      <c r="AM1882" s="16"/>
      <c r="AN1882" s="23"/>
      <c r="AO1882" s="23"/>
      <c r="AP1882" s="23"/>
      <c r="AQ1882" s="16"/>
      <c r="AR1882" s="23"/>
      <c r="AS1882" s="23"/>
      <c r="AT1882" s="23"/>
      <c r="AU1882" s="16"/>
      <c r="AV1882" s="23"/>
      <c r="AW1882" s="23"/>
      <c r="AX1882" s="23"/>
      <c r="AY1882" s="16"/>
      <c r="AZ1882" s="23"/>
      <c r="BA1882" s="23"/>
      <c r="BB1882" s="23"/>
      <c r="BC1882" s="16"/>
      <c r="BD1882" s="23"/>
      <c r="BE1882" s="23"/>
      <c r="BF1882" s="23"/>
      <c r="BG1882" s="16"/>
      <c r="BH1882" s="23"/>
      <c r="BI1882" s="23"/>
      <c r="BJ1882" s="23"/>
      <c r="BN1882" s="23"/>
      <c r="BO1882" s="23"/>
      <c r="BP1882" s="16"/>
      <c r="BQ1882" s="16"/>
      <c r="BR1882" s="23"/>
      <c r="BS1882" s="16"/>
      <c r="BT1882" s="16"/>
      <c r="BU1882" s="16"/>
      <c r="BV1882" s="16"/>
      <c r="BW1882" s="16"/>
      <c r="BX1882" s="16"/>
      <c r="BY1882" s="16"/>
    </row>
    <row r="1883">
      <c r="A1883" s="16"/>
      <c r="B1883" s="16"/>
      <c r="C1883" s="22"/>
      <c r="D1883" s="16"/>
      <c r="E1883" s="16"/>
      <c r="F1883" s="16"/>
      <c r="G1883" s="16"/>
      <c r="H1883" s="16"/>
      <c r="I1883" s="23"/>
      <c r="J1883" s="23"/>
      <c r="K1883" s="16"/>
      <c r="L1883" s="23"/>
      <c r="M1883" s="23"/>
      <c r="N1883" s="23"/>
      <c r="O1883" s="16"/>
      <c r="P1883" s="23"/>
      <c r="Q1883" s="23"/>
      <c r="R1883" s="23"/>
      <c r="S1883" s="16"/>
      <c r="T1883" s="23"/>
      <c r="U1883" s="23"/>
      <c r="V1883" s="23"/>
      <c r="W1883" s="16"/>
      <c r="X1883" s="23"/>
      <c r="Y1883" s="23"/>
      <c r="Z1883" s="23"/>
      <c r="AA1883" s="16"/>
      <c r="AB1883" s="23"/>
      <c r="AC1883" s="23"/>
      <c r="AD1883" s="23"/>
      <c r="AE1883" s="16"/>
      <c r="AF1883" s="23"/>
      <c r="AG1883" s="23"/>
      <c r="AH1883" s="23"/>
      <c r="AI1883" s="16"/>
      <c r="AJ1883" s="23"/>
      <c r="AK1883" s="23"/>
      <c r="AL1883" s="23"/>
      <c r="AM1883" s="16"/>
      <c r="AN1883" s="23"/>
      <c r="AO1883" s="23"/>
      <c r="AP1883" s="23"/>
      <c r="AQ1883" s="16"/>
      <c r="AR1883" s="23"/>
      <c r="AS1883" s="23"/>
      <c r="AT1883" s="23"/>
      <c r="AU1883" s="16"/>
      <c r="AV1883" s="23"/>
      <c r="AW1883" s="23"/>
      <c r="AX1883" s="23"/>
      <c r="AY1883" s="16"/>
      <c r="AZ1883" s="23"/>
      <c r="BA1883" s="23"/>
      <c r="BB1883" s="23"/>
      <c r="BC1883" s="16"/>
      <c r="BD1883" s="23"/>
      <c r="BE1883" s="23"/>
      <c r="BF1883" s="23"/>
      <c r="BG1883" s="16"/>
      <c r="BH1883" s="23"/>
      <c r="BI1883" s="23"/>
      <c r="BJ1883" s="23"/>
      <c r="BN1883" s="23"/>
      <c r="BO1883" s="23"/>
      <c r="BP1883" s="16"/>
      <c r="BQ1883" s="16"/>
      <c r="BR1883" s="23"/>
      <c r="BS1883" s="16"/>
      <c r="BT1883" s="16"/>
      <c r="BU1883" s="16"/>
      <c r="BV1883" s="16"/>
      <c r="BW1883" s="16"/>
      <c r="BX1883" s="16"/>
      <c r="BY1883" s="16"/>
    </row>
    <row r="1884">
      <c r="A1884" s="16"/>
      <c r="B1884" s="16"/>
      <c r="C1884" s="22"/>
      <c r="D1884" s="16"/>
      <c r="E1884" s="16"/>
      <c r="F1884" s="16"/>
      <c r="G1884" s="16"/>
      <c r="H1884" s="16"/>
      <c r="I1884" s="23"/>
      <c r="J1884" s="23"/>
      <c r="K1884" s="16"/>
      <c r="L1884" s="23"/>
      <c r="M1884" s="23"/>
      <c r="N1884" s="23"/>
      <c r="O1884" s="16"/>
      <c r="P1884" s="23"/>
      <c r="Q1884" s="23"/>
      <c r="R1884" s="23"/>
      <c r="S1884" s="16"/>
      <c r="T1884" s="23"/>
      <c r="U1884" s="23"/>
      <c r="V1884" s="23"/>
      <c r="W1884" s="16"/>
      <c r="X1884" s="23"/>
      <c r="Y1884" s="23"/>
      <c r="Z1884" s="23"/>
      <c r="AA1884" s="16"/>
      <c r="AB1884" s="23"/>
      <c r="AC1884" s="23"/>
      <c r="AD1884" s="23"/>
      <c r="AE1884" s="16"/>
      <c r="AF1884" s="23"/>
      <c r="AG1884" s="23"/>
      <c r="AH1884" s="23"/>
      <c r="AI1884" s="16"/>
      <c r="AJ1884" s="23"/>
      <c r="AK1884" s="23"/>
      <c r="AL1884" s="23"/>
      <c r="AM1884" s="16"/>
      <c r="AN1884" s="23"/>
      <c r="AO1884" s="23"/>
      <c r="AP1884" s="23"/>
      <c r="AQ1884" s="16"/>
      <c r="AR1884" s="23"/>
      <c r="AS1884" s="23"/>
      <c r="AT1884" s="23"/>
      <c r="AU1884" s="16"/>
      <c r="AV1884" s="23"/>
      <c r="AW1884" s="23"/>
      <c r="AX1884" s="23"/>
      <c r="AY1884" s="16"/>
      <c r="AZ1884" s="23"/>
      <c r="BA1884" s="23"/>
      <c r="BB1884" s="23"/>
      <c r="BC1884" s="16"/>
      <c r="BD1884" s="23"/>
      <c r="BE1884" s="23"/>
      <c r="BF1884" s="23"/>
      <c r="BG1884" s="16"/>
      <c r="BH1884" s="23"/>
      <c r="BI1884" s="23"/>
      <c r="BJ1884" s="23"/>
      <c r="BN1884" s="23"/>
      <c r="BO1884" s="23"/>
      <c r="BP1884" s="16"/>
      <c r="BQ1884" s="16"/>
      <c r="BR1884" s="23"/>
      <c r="BS1884" s="16"/>
      <c r="BT1884" s="16"/>
      <c r="BU1884" s="16"/>
      <c r="BV1884" s="16"/>
      <c r="BW1884" s="16"/>
      <c r="BX1884" s="16"/>
      <c r="BY1884" s="16"/>
    </row>
    <row r="1885">
      <c r="A1885" s="16"/>
      <c r="B1885" s="16"/>
      <c r="C1885" s="22"/>
      <c r="D1885" s="16"/>
      <c r="E1885" s="16"/>
      <c r="F1885" s="16"/>
      <c r="G1885" s="16"/>
      <c r="H1885" s="16"/>
      <c r="I1885" s="23"/>
      <c r="J1885" s="23"/>
      <c r="K1885" s="16"/>
      <c r="L1885" s="23"/>
      <c r="M1885" s="23"/>
      <c r="N1885" s="23"/>
      <c r="O1885" s="16"/>
      <c r="P1885" s="23"/>
      <c r="Q1885" s="23"/>
      <c r="R1885" s="23"/>
      <c r="S1885" s="16"/>
      <c r="T1885" s="23"/>
      <c r="U1885" s="23"/>
      <c r="V1885" s="23"/>
      <c r="W1885" s="16"/>
      <c r="X1885" s="23"/>
      <c r="Y1885" s="23"/>
      <c r="Z1885" s="23"/>
      <c r="AA1885" s="16"/>
      <c r="AB1885" s="23"/>
      <c r="AC1885" s="23"/>
      <c r="AD1885" s="23"/>
      <c r="AE1885" s="16"/>
      <c r="AF1885" s="23"/>
      <c r="AG1885" s="23"/>
      <c r="AH1885" s="23"/>
      <c r="AI1885" s="16"/>
      <c r="AJ1885" s="23"/>
      <c r="AK1885" s="23"/>
      <c r="AL1885" s="23"/>
      <c r="AM1885" s="16"/>
      <c r="AN1885" s="23"/>
      <c r="AO1885" s="23"/>
      <c r="AP1885" s="23"/>
      <c r="AQ1885" s="16"/>
      <c r="AR1885" s="23"/>
      <c r="AS1885" s="23"/>
      <c r="AT1885" s="23"/>
      <c r="AU1885" s="16"/>
      <c r="AV1885" s="23"/>
      <c r="AW1885" s="23"/>
      <c r="AX1885" s="23"/>
      <c r="AY1885" s="16"/>
      <c r="AZ1885" s="23"/>
      <c r="BA1885" s="23"/>
      <c r="BB1885" s="23"/>
      <c r="BC1885" s="16"/>
      <c r="BD1885" s="23"/>
      <c r="BE1885" s="23"/>
      <c r="BF1885" s="23"/>
      <c r="BG1885" s="16"/>
      <c r="BH1885" s="23"/>
      <c r="BI1885" s="23"/>
      <c r="BJ1885" s="23"/>
      <c r="BN1885" s="23"/>
      <c r="BO1885" s="23"/>
      <c r="BP1885" s="16"/>
      <c r="BQ1885" s="16"/>
      <c r="BR1885" s="23"/>
      <c r="BS1885" s="16"/>
      <c r="BT1885" s="16"/>
      <c r="BU1885" s="16"/>
      <c r="BV1885" s="16"/>
      <c r="BW1885" s="16"/>
      <c r="BX1885" s="16"/>
      <c r="BY1885" s="16"/>
    </row>
    <row r="1886">
      <c r="A1886" s="16"/>
      <c r="B1886" s="16"/>
      <c r="C1886" s="22"/>
      <c r="D1886" s="16"/>
      <c r="E1886" s="16"/>
      <c r="F1886" s="16"/>
      <c r="G1886" s="16"/>
      <c r="H1886" s="16"/>
      <c r="I1886" s="23"/>
      <c r="J1886" s="23"/>
      <c r="K1886" s="16"/>
      <c r="L1886" s="23"/>
      <c r="M1886" s="23"/>
      <c r="N1886" s="23"/>
      <c r="O1886" s="16"/>
      <c r="P1886" s="23"/>
      <c r="Q1886" s="23"/>
      <c r="R1886" s="23"/>
      <c r="S1886" s="16"/>
      <c r="T1886" s="23"/>
      <c r="U1886" s="23"/>
      <c r="V1886" s="23"/>
      <c r="W1886" s="16"/>
      <c r="X1886" s="23"/>
      <c r="Y1886" s="23"/>
      <c r="Z1886" s="23"/>
      <c r="AA1886" s="16"/>
      <c r="AB1886" s="23"/>
      <c r="AC1886" s="23"/>
      <c r="AD1886" s="23"/>
      <c r="AE1886" s="16"/>
      <c r="AF1886" s="23"/>
      <c r="AG1886" s="23"/>
      <c r="AH1886" s="23"/>
      <c r="AI1886" s="16"/>
      <c r="AJ1886" s="23"/>
      <c r="AK1886" s="23"/>
      <c r="AL1886" s="23"/>
      <c r="AM1886" s="16"/>
      <c r="AN1886" s="23"/>
      <c r="AO1886" s="23"/>
      <c r="AP1886" s="23"/>
      <c r="AQ1886" s="16"/>
      <c r="AR1886" s="23"/>
      <c r="AS1886" s="23"/>
      <c r="AT1886" s="23"/>
      <c r="AU1886" s="16"/>
      <c r="AV1886" s="23"/>
      <c r="AW1886" s="23"/>
      <c r="AX1886" s="23"/>
      <c r="AY1886" s="16"/>
      <c r="AZ1886" s="23"/>
      <c r="BA1886" s="23"/>
      <c r="BB1886" s="23"/>
      <c r="BC1886" s="16"/>
      <c r="BD1886" s="23"/>
      <c r="BE1886" s="23"/>
      <c r="BF1886" s="23"/>
      <c r="BG1886" s="16"/>
      <c r="BH1886" s="23"/>
      <c r="BI1886" s="23"/>
      <c r="BJ1886" s="23"/>
      <c r="BN1886" s="23"/>
      <c r="BO1886" s="23"/>
      <c r="BP1886" s="16"/>
      <c r="BQ1886" s="16"/>
      <c r="BR1886" s="23"/>
      <c r="BS1886" s="16"/>
      <c r="BT1886" s="16"/>
      <c r="BU1886" s="16"/>
      <c r="BV1886" s="16"/>
      <c r="BW1886" s="16"/>
      <c r="BX1886" s="16"/>
      <c r="BY1886" s="16"/>
    </row>
    <row r="1887">
      <c r="A1887" s="16"/>
      <c r="B1887" s="16"/>
      <c r="C1887" s="22"/>
      <c r="D1887" s="16"/>
      <c r="E1887" s="16"/>
      <c r="F1887" s="16"/>
      <c r="G1887" s="16"/>
      <c r="H1887" s="16"/>
      <c r="I1887" s="23"/>
      <c r="J1887" s="23"/>
      <c r="K1887" s="16"/>
      <c r="L1887" s="23"/>
      <c r="M1887" s="23"/>
      <c r="N1887" s="23"/>
      <c r="O1887" s="16"/>
      <c r="P1887" s="23"/>
      <c r="Q1887" s="23"/>
      <c r="R1887" s="23"/>
      <c r="S1887" s="16"/>
      <c r="T1887" s="23"/>
      <c r="U1887" s="23"/>
      <c r="V1887" s="23"/>
      <c r="W1887" s="16"/>
      <c r="X1887" s="23"/>
      <c r="Y1887" s="23"/>
      <c r="Z1887" s="23"/>
      <c r="AA1887" s="16"/>
      <c r="AB1887" s="23"/>
      <c r="AC1887" s="23"/>
      <c r="AD1887" s="23"/>
      <c r="AE1887" s="16"/>
      <c r="AF1887" s="23"/>
      <c r="AG1887" s="23"/>
      <c r="AH1887" s="23"/>
      <c r="AI1887" s="16"/>
      <c r="AJ1887" s="23"/>
      <c r="AK1887" s="23"/>
      <c r="AL1887" s="23"/>
      <c r="AM1887" s="16"/>
      <c r="AN1887" s="23"/>
      <c r="AO1887" s="23"/>
      <c r="AP1887" s="23"/>
      <c r="AQ1887" s="16"/>
      <c r="AR1887" s="23"/>
      <c r="AS1887" s="23"/>
      <c r="AT1887" s="23"/>
      <c r="AU1887" s="16"/>
      <c r="AV1887" s="23"/>
      <c r="AW1887" s="23"/>
      <c r="AX1887" s="23"/>
      <c r="AY1887" s="16"/>
      <c r="AZ1887" s="23"/>
      <c r="BA1887" s="23"/>
      <c r="BB1887" s="23"/>
      <c r="BC1887" s="16"/>
      <c r="BD1887" s="23"/>
      <c r="BE1887" s="23"/>
      <c r="BF1887" s="23"/>
      <c r="BG1887" s="16"/>
      <c r="BH1887" s="23"/>
      <c r="BI1887" s="23"/>
      <c r="BJ1887" s="23"/>
      <c r="BN1887" s="23"/>
      <c r="BO1887" s="23"/>
      <c r="BP1887" s="16"/>
      <c r="BQ1887" s="16"/>
      <c r="BR1887" s="23"/>
      <c r="BS1887" s="16"/>
      <c r="BT1887" s="16"/>
      <c r="BU1887" s="16"/>
      <c r="BV1887" s="16"/>
      <c r="BW1887" s="16"/>
      <c r="BX1887" s="16"/>
      <c r="BY1887" s="16"/>
    </row>
    <row r="1888">
      <c r="A1888" s="16"/>
      <c r="B1888" s="16"/>
      <c r="C1888" s="22"/>
      <c r="D1888" s="16"/>
      <c r="E1888" s="16"/>
      <c r="F1888" s="16"/>
      <c r="G1888" s="16"/>
      <c r="H1888" s="16"/>
      <c r="I1888" s="23"/>
      <c r="J1888" s="23"/>
      <c r="K1888" s="16"/>
      <c r="L1888" s="23"/>
      <c r="M1888" s="23"/>
      <c r="N1888" s="23"/>
      <c r="O1888" s="16"/>
      <c r="P1888" s="23"/>
      <c r="Q1888" s="23"/>
      <c r="R1888" s="23"/>
      <c r="S1888" s="16"/>
      <c r="T1888" s="23"/>
      <c r="U1888" s="23"/>
      <c r="V1888" s="23"/>
      <c r="W1888" s="16"/>
      <c r="X1888" s="23"/>
      <c r="Y1888" s="23"/>
      <c r="Z1888" s="23"/>
      <c r="AA1888" s="16"/>
      <c r="AB1888" s="23"/>
      <c r="AC1888" s="23"/>
      <c r="AD1888" s="23"/>
      <c r="AE1888" s="16"/>
      <c r="AF1888" s="23"/>
      <c r="AG1888" s="23"/>
      <c r="AH1888" s="23"/>
      <c r="AI1888" s="16"/>
      <c r="AJ1888" s="23"/>
      <c r="AK1888" s="23"/>
      <c r="AL1888" s="23"/>
      <c r="AM1888" s="16"/>
      <c r="AN1888" s="23"/>
      <c r="AO1888" s="23"/>
      <c r="AP1888" s="23"/>
      <c r="AQ1888" s="16"/>
      <c r="AR1888" s="23"/>
      <c r="AS1888" s="23"/>
      <c r="AT1888" s="23"/>
      <c r="AU1888" s="16"/>
      <c r="AV1888" s="23"/>
      <c r="AW1888" s="23"/>
      <c r="AX1888" s="23"/>
      <c r="AY1888" s="16"/>
      <c r="AZ1888" s="23"/>
      <c r="BA1888" s="23"/>
      <c r="BB1888" s="23"/>
      <c r="BC1888" s="16"/>
      <c r="BD1888" s="23"/>
      <c r="BE1888" s="23"/>
      <c r="BF1888" s="23"/>
      <c r="BG1888" s="16"/>
      <c r="BH1888" s="23"/>
      <c r="BI1888" s="23"/>
      <c r="BJ1888" s="23"/>
      <c r="BN1888" s="23"/>
      <c r="BO1888" s="23"/>
      <c r="BP1888" s="16"/>
      <c r="BQ1888" s="16"/>
      <c r="BR1888" s="23"/>
      <c r="BS1888" s="16"/>
      <c r="BT1888" s="16"/>
      <c r="BU1888" s="16"/>
      <c r="BV1888" s="16"/>
      <c r="BW1888" s="16"/>
      <c r="BX1888" s="16"/>
      <c r="BY1888" s="16"/>
    </row>
    <row r="1889">
      <c r="A1889" s="16"/>
      <c r="B1889" s="16"/>
      <c r="C1889" s="22"/>
      <c r="D1889" s="16"/>
      <c r="E1889" s="16"/>
      <c r="F1889" s="16"/>
      <c r="G1889" s="16"/>
      <c r="H1889" s="16"/>
      <c r="I1889" s="23"/>
      <c r="J1889" s="23"/>
      <c r="K1889" s="16"/>
      <c r="L1889" s="23"/>
      <c r="M1889" s="23"/>
      <c r="N1889" s="23"/>
      <c r="O1889" s="16"/>
      <c r="P1889" s="23"/>
      <c r="Q1889" s="23"/>
      <c r="R1889" s="23"/>
      <c r="S1889" s="16"/>
      <c r="T1889" s="23"/>
      <c r="U1889" s="23"/>
      <c r="V1889" s="23"/>
      <c r="W1889" s="16"/>
      <c r="X1889" s="23"/>
      <c r="Y1889" s="23"/>
      <c r="Z1889" s="23"/>
      <c r="AA1889" s="16"/>
      <c r="AB1889" s="23"/>
      <c r="AC1889" s="23"/>
      <c r="AD1889" s="23"/>
      <c r="AE1889" s="16"/>
      <c r="AF1889" s="23"/>
      <c r="AG1889" s="23"/>
      <c r="AH1889" s="23"/>
      <c r="AI1889" s="16"/>
      <c r="AJ1889" s="23"/>
      <c r="AK1889" s="23"/>
      <c r="AL1889" s="23"/>
      <c r="AM1889" s="16"/>
      <c r="AN1889" s="23"/>
      <c r="AO1889" s="23"/>
      <c r="AP1889" s="23"/>
      <c r="AQ1889" s="16"/>
      <c r="AR1889" s="23"/>
      <c r="AS1889" s="23"/>
      <c r="AT1889" s="23"/>
      <c r="AU1889" s="16"/>
      <c r="AV1889" s="23"/>
      <c r="AW1889" s="23"/>
      <c r="AX1889" s="23"/>
      <c r="AY1889" s="16"/>
      <c r="AZ1889" s="23"/>
      <c r="BA1889" s="23"/>
      <c r="BB1889" s="23"/>
      <c r="BC1889" s="16"/>
      <c r="BD1889" s="23"/>
      <c r="BE1889" s="23"/>
      <c r="BF1889" s="23"/>
      <c r="BG1889" s="16"/>
      <c r="BH1889" s="23"/>
      <c r="BI1889" s="23"/>
      <c r="BJ1889" s="23"/>
      <c r="BN1889" s="23"/>
      <c r="BO1889" s="23"/>
      <c r="BP1889" s="16"/>
      <c r="BQ1889" s="16"/>
      <c r="BR1889" s="23"/>
      <c r="BS1889" s="16"/>
      <c r="BT1889" s="16"/>
      <c r="BU1889" s="16"/>
      <c r="BV1889" s="16"/>
      <c r="BW1889" s="16"/>
      <c r="BX1889" s="16"/>
      <c r="BY1889" s="16"/>
    </row>
    <row r="1890">
      <c r="A1890" s="16"/>
      <c r="B1890" s="16"/>
      <c r="C1890" s="22"/>
      <c r="D1890" s="16"/>
      <c r="E1890" s="16"/>
      <c r="F1890" s="16"/>
      <c r="G1890" s="16"/>
      <c r="H1890" s="16"/>
      <c r="I1890" s="23"/>
      <c r="J1890" s="23"/>
      <c r="K1890" s="16"/>
      <c r="L1890" s="23"/>
      <c r="M1890" s="23"/>
      <c r="N1890" s="23"/>
      <c r="O1890" s="16"/>
      <c r="P1890" s="23"/>
      <c r="Q1890" s="23"/>
      <c r="R1890" s="23"/>
      <c r="S1890" s="16"/>
      <c r="T1890" s="23"/>
      <c r="U1890" s="23"/>
      <c r="V1890" s="23"/>
      <c r="W1890" s="16"/>
      <c r="X1890" s="23"/>
      <c r="Y1890" s="23"/>
      <c r="Z1890" s="23"/>
      <c r="AA1890" s="16"/>
      <c r="AB1890" s="23"/>
      <c r="AC1890" s="23"/>
      <c r="AD1890" s="23"/>
      <c r="AE1890" s="16"/>
      <c r="AF1890" s="23"/>
      <c r="AG1890" s="23"/>
      <c r="AH1890" s="23"/>
      <c r="AI1890" s="16"/>
      <c r="AJ1890" s="23"/>
      <c r="AK1890" s="23"/>
      <c r="AL1890" s="23"/>
      <c r="AM1890" s="16"/>
      <c r="AN1890" s="23"/>
      <c r="AO1890" s="23"/>
      <c r="AP1890" s="23"/>
      <c r="AQ1890" s="16"/>
      <c r="AR1890" s="23"/>
      <c r="AS1890" s="23"/>
      <c r="AT1890" s="23"/>
      <c r="AU1890" s="16"/>
      <c r="AV1890" s="23"/>
      <c r="AW1890" s="23"/>
      <c r="AX1890" s="23"/>
      <c r="AY1890" s="16"/>
      <c r="AZ1890" s="23"/>
      <c r="BA1890" s="23"/>
      <c r="BB1890" s="23"/>
      <c r="BC1890" s="16"/>
      <c r="BD1890" s="23"/>
      <c r="BE1890" s="23"/>
      <c r="BF1890" s="23"/>
      <c r="BG1890" s="16"/>
      <c r="BH1890" s="23"/>
      <c r="BI1890" s="23"/>
      <c r="BJ1890" s="23"/>
      <c r="BN1890" s="23"/>
      <c r="BO1890" s="23"/>
      <c r="BP1890" s="16"/>
      <c r="BQ1890" s="16"/>
      <c r="BR1890" s="23"/>
      <c r="BS1890" s="16"/>
      <c r="BT1890" s="16"/>
      <c r="BU1890" s="16"/>
      <c r="BV1890" s="16"/>
      <c r="BW1890" s="16"/>
      <c r="BX1890" s="16"/>
      <c r="BY1890" s="16"/>
    </row>
    <row r="1891">
      <c r="A1891" s="16"/>
      <c r="B1891" s="16"/>
      <c r="C1891" s="22"/>
      <c r="D1891" s="16"/>
      <c r="E1891" s="16"/>
      <c r="F1891" s="16"/>
      <c r="G1891" s="16"/>
      <c r="H1891" s="16"/>
      <c r="I1891" s="23"/>
      <c r="J1891" s="23"/>
      <c r="K1891" s="16"/>
      <c r="L1891" s="23"/>
      <c r="M1891" s="23"/>
      <c r="N1891" s="23"/>
      <c r="O1891" s="16"/>
      <c r="P1891" s="23"/>
      <c r="Q1891" s="23"/>
      <c r="R1891" s="23"/>
      <c r="S1891" s="16"/>
      <c r="T1891" s="23"/>
      <c r="U1891" s="23"/>
      <c r="V1891" s="23"/>
      <c r="W1891" s="16"/>
      <c r="X1891" s="23"/>
      <c r="Y1891" s="23"/>
      <c r="Z1891" s="23"/>
      <c r="AA1891" s="16"/>
      <c r="AB1891" s="23"/>
      <c r="AC1891" s="23"/>
      <c r="AD1891" s="23"/>
      <c r="AE1891" s="16"/>
      <c r="AF1891" s="23"/>
      <c r="AG1891" s="23"/>
      <c r="AH1891" s="23"/>
      <c r="AI1891" s="16"/>
      <c r="AJ1891" s="23"/>
      <c r="AK1891" s="23"/>
      <c r="AL1891" s="23"/>
      <c r="AM1891" s="16"/>
      <c r="AN1891" s="23"/>
      <c r="AO1891" s="23"/>
      <c r="AP1891" s="23"/>
      <c r="AQ1891" s="16"/>
      <c r="AR1891" s="23"/>
      <c r="AS1891" s="23"/>
      <c r="AT1891" s="23"/>
      <c r="AU1891" s="16"/>
      <c r="AV1891" s="23"/>
      <c r="AW1891" s="23"/>
      <c r="AX1891" s="23"/>
      <c r="AY1891" s="16"/>
      <c r="AZ1891" s="23"/>
      <c r="BA1891" s="23"/>
      <c r="BB1891" s="23"/>
      <c r="BC1891" s="16"/>
      <c r="BD1891" s="23"/>
      <c r="BE1891" s="23"/>
      <c r="BF1891" s="23"/>
      <c r="BG1891" s="16"/>
      <c r="BH1891" s="23"/>
      <c r="BI1891" s="23"/>
      <c r="BJ1891" s="23"/>
      <c r="BN1891" s="23"/>
      <c r="BO1891" s="23"/>
      <c r="BP1891" s="16"/>
      <c r="BQ1891" s="16"/>
      <c r="BR1891" s="23"/>
      <c r="BS1891" s="16"/>
      <c r="BT1891" s="16"/>
      <c r="BU1891" s="16"/>
      <c r="BV1891" s="16"/>
      <c r="BW1891" s="16"/>
      <c r="BX1891" s="16"/>
      <c r="BY1891" s="16"/>
    </row>
    <row r="1892">
      <c r="A1892" s="16"/>
      <c r="B1892" s="16"/>
      <c r="C1892" s="22"/>
      <c r="D1892" s="16"/>
      <c r="E1892" s="16"/>
      <c r="F1892" s="16"/>
      <c r="G1892" s="16"/>
      <c r="H1892" s="16"/>
      <c r="I1892" s="23"/>
      <c r="J1892" s="23"/>
      <c r="K1892" s="16"/>
      <c r="L1892" s="23"/>
      <c r="M1892" s="23"/>
      <c r="N1892" s="23"/>
      <c r="O1892" s="16"/>
      <c r="P1892" s="23"/>
      <c r="Q1892" s="23"/>
      <c r="R1892" s="23"/>
      <c r="S1892" s="16"/>
      <c r="T1892" s="23"/>
      <c r="U1892" s="23"/>
      <c r="V1892" s="23"/>
      <c r="W1892" s="16"/>
      <c r="X1892" s="23"/>
      <c r="Y1892" s="23"/>
      <c r="Z1892" s="23"/>
      <c r="AA1892" s="16"/>
      <c r="AB1892" s="23"/>
      <c r="AC1892" s="23"/>
      <c r="AD1892" s="23"/>
      <c r="AE1892" s="16"/>
      <c r="AF1892" s="23"/>
      <c r="AG1892" s="23"/>
      <c r="AH1892" s="23"/>
      <c r="AI1892" s="16"/>
      <c r="AJ1892" s="23"/>
      <c r="AK1892" s="23"/>
      <c r="AL1892" s="23"/>
      <c r="AM1892" s="16"/>
      <c r="AN1892" s="23"/>
      <c r="AO1892" s="23"/>
      <c r="AP1892" s="23"/>
      <c r="AQ1892" s="16"/>
      <c r="AR1892" s="23"/>
      <c r="AS1892" s="23"/>
      <c r="AT1892" s="23"/>
      <c r="AU1892" s="16"/>
      <c r="AV1892" s="23"/>
      <c r="AW1892" s="23"/>
      <c r="AX1892" s="23"/>
      <c r="AY1892" s="16"/>
      <c r="AZ1892" s="23"/>
      <c r="BA1892" s="23"/>
      <c r="BB1892" s="23"/>
      <c r="BC1892" s="16"/>
      <c r="BD1892" s="23"/>
      <c r="BE1892" s="23"/>
      <c r="BF1892" s="23"/>
      <c r="BG1892" s="16"/>
      <c r="BH1892" s="23"/>
      <c r="BI1892" s="23"/>
      <c r="BJ1892" s="23"/>
      <c r="BN1892" s="23"/>
      <c r="BO1892" s="23"/>
      <c r="BP1892" s="16"/>
      <c r="BQ1892" s="16"/>
      <c r="BR1892" s="23"/>
      <c r="BS1892" s="16"/>
      <c r="BT1892" s="16"/>
      <c r="BU1892" s="16"/>
      <c r="BV1892" s="16"/>
      <c r="BW1892" s="16"/>
      <c r="BX1892" s="16"/>
      <c r="BY1892" s="16"/>
    </row>
    <row r="1893">
      <c r="A1893" s="16"/>
      <c r="B1893" s="16"/>
      <c r="C1893" s="22"/>
      <c r="D1893" s="16"/>
      <c r="E1893" s="16"/>
      <c r="F1893" s="16"/>
      <c r="G1893" s="16"/>
      <c r="H1893" s="16"/>
      <c r="I1893" s="23"/>
      <c r="J1893" s="23"/>
      <c r="K1893" s="16"/>
      <c r="L1893" s="23"/>
      <c r="M1893" s="23"/>
      <c r="N1893" s="23"/>
      <c r="O1893" s="16"/>
      <c r="P1893" s="23"/>
      <c r="Q1893" s="23"/>
      <c r="R1893" s="23"/>
      <c r="S1893" s="16"/>
      <c r="T1893" s="23"/>
      <c r="U1893" s="23"/>
      <c r="V1893" s="23"/>
      <c r="W1893" s="16"/>
      <c r="X1893" s="23"/>
      <c r="Y1893" s="23"/>
      <c r="Z1893" s="23"/>
      <c r="AA1893" s="16"/>
      <c r="AB1893" s="23"/>
      <c r="AC1893" s="23"/>
      <c r="AD1893" s="23"/>
      <c r="AE1893" s="16"/>
      <c r="AF1893" s="23"/>
      <c r="AG1893" s="23"/>
      <c r="AH1893" s="23"/>
      <c r="AI1893" s="16"/>
      <c r="AJ1893" s="23"/>
      <c r="AK1893" s="23"/>
      <c r="AL1893" s="23"/>
      <c r="AM1893" s="16"/>
      <c r="AN1893" s="23"/>
      <c r="AO1893" s="23"/>
      <c r="AP1893" s="23"/>
      <c r="AQ1893" s="16"/>
      <c r="AR1893" s="23"/>
      <c r="AS1893" s="23"/>
      <c r="AT1893" s="23"/>
      <c r="AU1893" s="16"/>
      <c r="AV1893" s="23"/>
      <c r="AW1893" s="23"/>
      <c r="AX1893" s="23"/>
      <c r="AY1893" s="16"/>
      <c r="AZ1893" s="23"/>
      <c r="BA1893" s="23"/>
      <c r="BB1893" s="23"/>
      <c r="BC1893" s="16"/>
      <c r="BD1893" s="23"/>
      <c r="BE1893" s="23"/>
      <c r="BF1893" s="23"/>
      <c r="BG1893" s="16"/>
      <c r="BH1893" s="23"/>
      <c r="BI1893" s="23"/>
      <c r="BJ1893" s="23"/>
      <c r="BN1893" s="23"/>
      <c r="BO1893" s="23"/>
      <c r="BP1893" s="16"/>
      <c r="BQ1893" s="16"/>
      <c r="BR1893" s="23"/>
      <c r="BS1893" s="16"/>
      <c r="BT1893" s="16"/>
      <c r="BU1893" s="16"/>
      <c r="BV1893" s="16"/>
      <c r="BW1893" s="16"/>
      <c r="BX1893" s="16"/>
      <c r="BY1893" s="16"/>
    </row>
    <row r="1894">
      <c r="A1894" s="16"/>
      <c r="B1894" s="16"/>
      <c r="C1894" s="22"/>
      <c r="D1894" s="16"/>
      <c r="E1894" s="16"/>
      <c r="F1894" s="16"/>
      <c r="G1894" s="16"/>
      <c r="H1894" s="16"/>
      <c r="I1894" s="23"/>
      <c r="J1894" s="23"/>
      <c r="K1894" s="16"/>
      <c r="L1894" s="23"/>
      <c r="M1894" s="23"/>
      <c r="N1894" s="23"/>
      <c r="O1894" s="16"/>
      <c r="P1894" s="23"/>
      <c r="Q1894" s="23"/>
      <c r="R1894" s="23"/>
      <c r="S1894" s="16"/>
      <c r="T1894" s="23"/>
      <c r="U1894" s="23"/>
      <c r="V1894" s="23"/>
      <c r="W1894" s="16"/>
      <c r="X1894" s="23"/>
      <c r="Y1894" s="23"/>
      <c r="Z1894" s="23"/>
      <c r="AA1894" s="16"/>
      <c r="AB1894" s="23"/>
      <c r="AC1894" s="23"/>
      <c r="AD1894" s="23"/>
      <c r="AE1894" s="16"/>
      <c r="AF1894" s="23"/>
      <c r="AG1894" s="23"/>
      <c r="AH1894" s="23"/>
      <c r="AI1894" s="16"/>
      <c r="AJ1894" s="23"/>
      <c r="AK1894" s="23"/>
      <c r="AL1894" s="23"/>
      <c r="AM1894" s="16"/>
      <c r="AN1894" s="23"/>
      <c r="AO1894" s="23"/>
      <c r="AP1894" s="23"/>
      <c r="AQ1894" s="16"/>
      <c r="AR1894" s="23"/>
      <c r="AS1894" s="23"/>
      <c r="AT1894" s="23"/>
      <c r="AU1894" s="16"/>
      <c r="AV1894" s="23"/>
      <c r="AW1894" s="23"/>
      <c r="AX1894" s="23"/>
      <c r="AY1894" s="16"/>
      <c r="AZ1894" s="23"/>
      <c r="BA1894" s="23"/>
      <c r="BB1894" s="23"/>
      <c r="BC1894" s="16"/>
      <c r="BD1894" s="23"/>
      <c r="BE1894" s="23"/>
      <c r="BF1894" s="23"/>
      <c r="BG1894" s="16"/>
      <c r="BH1894" s="23"/>
      <c r="BI1894" s="23"/>
      <c r="BJ1894" s="23"/>
      <c r="BN1894" s="23"/>
      <c r="BO1894" s="23"/>
      <c r="BP1894" s="16"/>
      <c r="BQ1894" s="16"/>
      <c r="BR1894" s="23"/>
      <c r="BS1894" s="16"/>
      <c r="BT1894" s="16"/>
      <c r="BU1894" s="16"/>
      <c r="BV1894" s="16"/>
      <c r="BW1894" s="16"/>
      <c r="BX1894" s="16"/>
      <c r="BY1894" s="16"/>
    </row>
    <row r="1895">
      <c r="A1895" s="16"/>
      <c r="B1895" s="16"/>
      <c r="C1895" s="22"/>
      <c r="D1895" s="16"/>
      <c r="E1895" s="16"/>
      <c r="F1895" s="16"/>
      <c r="G1895" s="16"/>
      <c r="H1895" s="16"/>
      <c r="I1895" s="23"/>
      <c r="J1895" s="23"/>
      <c r="K1895" s="16"/>
      <c r="L1895" s="23"/>
      <c r="M1895" s="23"/>
      <c r="N1895" s="23"/>
      <c r="O1895" s="16"/>
      <c r="P1895" s="23"/>
      <c r="Q1895" s="23"/>
      <c r="R1895" s="23"/>
      <c r="S1895" s="16"/>
      <c r="T1895" s="23"/>
      <c r="U1895" s="23"/>
      <c r="V1895" s="23"/>
      <c r="W1895" s="16"/>
      <c r="X1895" s="23"/>
      <c r="Y1895" s="23"/>
      <c r="Z1895" s="23"/>
      <c r="AA1895" s="16"/>
      <c r="AB1895" s="23"/>
      <c r="AC1895" s="23"/>
      <c r="AD1895" s="23"/>
      <c r="AE1895" s="16"/>
      <c r="AF1895" s="23"/>
      <c r="AG1895" s="23"/>
      <c r="AH1895" s="23"/>
      <c r="AI1895" s="16"/>
      <c r="AJ1895" s="23"/>
      <c r="AK1895" s="23"/>
      <c r="AL1895" s="23"/>
      <c r="AM1895" s="16"/>
      <c r="AN1895" s="23"/>
      <c r="AO1895" s="23"/>
      <c r="AP1895" s="23"/>
      <c r="AQ1895" s="16"/>
      <c r="AR1895" s="23"/>
      <c r="AS1895" s="23"/>
      <c r="AT1895" s="23"/>
      <c r="AU1895" s="16"/>
      <c r="AV1895" s="23"/>
      <c r="AW1895" s="23"/>
      <c r="AX1895" s="23"/>
      <c r="AY1895" s="16"/>
      <c r="AZ1895" s="23"/>
      <c r="BA1895" s="23"/>
      <c r="BB1895" s="23"/>
      <c r="BC1895" s="16"/>
      <c r="BD1895" s="23"/>
      <c r="BE1895" s="23"/>
      <c r="BF1895" s="23"/>
      <c r="BG1895" s="16"/>
      <c r="BH1895" s="23"/>
      <c r="BI1895" s="23"/>
      <c r="BJ1895" s="23"/>
      <c r="BN1895" s="23"/>
      <c r="BO1895" s="23"/>
      <c r="BP1895" s="16"/>
      <c r="BQ1895" s="16"/>
      <c r="BR1895" s="23"/>
      <c r="BS1895" s="16"/>
      <c r="BT1895" s="16"/>
      <c r="BU1895" s="16"/>
      <c r="BV1895" s="16"/>
      <c r="BW1895" s="16"/>
      <c r="BX1895" s="16"/>
      <c r="BY1895" s="16"/>
    </row>
    <row r="1896">
      <c r="A1896" s="16"/>
      <c r="B1896" s="16"/>
      <c r="C1896" s="22"/>
      <c r="D1896" s="16"/>
      <c r="E1896" s="16"/>
      <c r="F1896" s="16"/>
      <c r="G1896" s="16"/>
      <c r="H1896" s="16"/>
      <c r="I1896" s="23"/>
      <c r="J1896" s="23"/>
      <c r="K1896" s="16"/>
      <c r="L1896" s="23"/>
      <c r="M1896" s="23"/>
      <c r="N1896" s="23"/>
      <c r="O1896" s="16"/>
      <c r="P1896" s="23"/>
      <c r="Q1896" s="23"/>
      <c r="R1896" s="23"/>
      <c r="S1896" s="16"/>
      <c r="T1896" s="23"/>
      <c r="U1896" s="23"/>
      <c r="V1896" s="23"/>
      <c r="W1896" s="16"/>
      <c r="X1896" s="23"/>
      <c r="Y1896" s="23"/>
      <c r="Z1896" s="23"/>
      <c r="AA1896" s="16"/>
      <c r="AB1896" s="23"/>
      <c r="AC1896" s="23"/>
      <c r="AD1896" s="23"/>
      <c r="AE1896" s="16"/>
      <c r="AF1896" s="23"/>
      <c r="AG1896" s="23"/>
      <c r="AH1896" s="23"/>
      <c r="AI1896" s="16"/>
      <c r="AJ1896" s="23"/>
      <c r="AK1896" s="23"/>
      <c r="AL1896" s="23"/>
      <c r="AM1896" s="16"/>
      <c r="AN1896" s="23"/>
      <c r="AO1896" s="23"/>
      <c r="AP1896" s="23"/>
      <c r="AQ1896" s="16"/>
      <c r="AR1896" s="23"/>
      <c r="AS1896" s="23"/>
      <c r="AT1896" s="23"/>
      <c r="AU1896" s="16"/>
      <c r="AV1896" s="23"/>
      <c r="AW1896" s="23"/>
      <c r="AX1896" s="23"/>
      <c r="AY1896" s="16"/>
      <c r="AZ1896" s="23"/>
      <c r="BA1896" s="23"/>
      <c r="BB1896" s="23"/>
      <c r="BC1896" s="16"/>
      <c r="BD1896" s="23"/>
      <c r="BE1896" s="23"/>
      <c r="BF1896" s="23"/>
      <c r="BG1896" s="16"/>
      <c r="BH1896" s="23"/>
      <c r="BI1896" s="23"/>
      <c r="BJ1896" s="23"/>
      <c r="BN1896" s="23"/>
      <c r="BO1896" s="23"/>
      <c r="BP1896" s="16"/>
      <c r="BQ1896" s="16"/>
      <c r="BR1896" s="23"/>
      <c r="BS1896" s="16"/>
      <c r="BT1896" s="16"/>
      <c r="BU1896" s="16"/>
      <c r="BV1896" s="16"/>
      <c r="BW1896" s="16"/>
      <c r="BX1896" s="16"/>
      <c r="BY1896" s="16"/>
    </row>
    <row r="1897">
      <c r="A1897" s="16"/>
      <c r="B1897" s="16"/>
      <c r="C1897" s="22"/>
      <c r="D1897" s="16"/>
      <c r="E1897" s="16"/>
      <c r="F1897" s="16"/>
      <c r="G1897" s="16"/>
      <c r="H1897" s="16"/>
      <c r="I1897" s="23"/>
      <c r="J1897" s="23"/>
      <c r="K1897" s="16"/>
      <c r="L1897" s="23"/>
      <c r="M1897" s="23"/>
      <c r="N1897" s="23"/>
      <c r="O1897" s="16"/>
      <c r="P1897" s="23"/>
      <c r="Q1897" s="23"/>
      <c r="R1897" s="23"/>
      <c r="S1897" s="16"/>
      <c r="T1897" s="23"/>
      <c r="U1897" s="23"/>
      <c r="V1897" s="23"/>
      <c r="W1897" s="16"/>
      <c r="X1897" s="23"/>
      <c r="Y1897" s="23"/>
      <c r="Z1897" s="23"/>
      <c r="AA1897" s="16"/>
      <c r="AB1897" s="23"/>
      <c r="AC1897" s="23"/>
      <c r="AD1897" s="23"/>
      <c r="AE1897" s="16"/>
      <c r="AF1897" s="23"/>
      <c r="AG1897" s="23"/>
      <c r="AH1897" s="23"/>
      <c r="AI1897" s="16"/>
      <c r="AJ1897" s="23"/>
      <c r="AK1897" s="23"/>
      <c r="AL1897" s="23"/>
      <c r="AM1897" s="16"/>
      <c r="AN1897" s="23"/>
      <c r="AO1897" s="23"/>
      <c r="AP1897" s="23"/>
      <c r="AQ1897" s="16"/>
      <c r="AR1897" s="23"/>
      <c r="AS1897" s="23"/>
      <c r="AT1897" s="23"/>
      <c r="AU1897" s="16"/>
      <c r="AV1897" s="23"/>
      <c r="AW1897" s="23"/>
      <c r="AX1897" s="23"/>
      <c r="AY1897" s="16"/>
      <c r="AZ1897" s="23"/>
      <c r="BA1897" s="23"/>
      <c r="BB1897" s="23"/>
      <c r="BC1897" s="16"/>
      <c r="BD1897" s="23"/>
      <c r="BE1897" s="23"/>
      <c r="BF1897" s="23"/>
      <c r="BG1897" s="16"/>
      <c r="BH1897" s="23"/>
      <c r="BI1897" s="23"/>
      <c r="BJ1897" s="23"/>
      <c r="BN1897" s="23"/>
      <c r="BO1897" s="23"/>
      <c r="BP1897" s="16"/>
      <c r="BQ1897" s="16"/>
      <c r="BR1897" s="23"/>
      <c r="BS1897" s="16"/>
      <c r="BT1897" s="16"/>
      <c r="BU1897" s="16"/>
      <c r="BV1897" s="16"/>
      <c r="BW1897" s="16"/>
      <c r="BX1897" s="16"/>
      <c r="BY1897" s="16"/>
    </row>
    <row r="1898">
      <c r="A1898" s="16"/>
      <c r="B1898" s="16"/>
      <c r="C1898" s="22"/>
      <c r="D1898" s="16"/>
      <c r="E1898" s="16"/>
      <c r="F1898" s="16"/>
      <c r="G1898" s="16"/>
      <c r="H1898" s="16"/>
      <c r="I1898" s="23"/>
      <c r="J1898" s="23"/>
      <c r="K1898" s="16"/>
      <c r="L1898" s="23"/>
      <c r="M1898" s="23"/>
      <c r="N1898" s="23"/>
      <c r="O1898" s="16"/>
      <c r="P1898" s="23"/>
      <c r="Q1898" s="23"/>
      <c r="R1898" s="23"/>
      <c r="S1898" s="16"/>
      <c r="T1898" s="23"/>
      <c r="U1898" s="23"/>
      <c r="V1898" s="23"/>
      <c r="W1898" s="16"/>
      <c r="X1898" s="23"/>
      <c r="Y1898" s="23"/>
      <c r="Z1898" s="23"/>
      <c r="AA1898" s="16"/>
      <c r="AB1898" s="23"/>
      <c r="AC1898" s="23"/>
      <c r="AD1898" s="23"/>
      <c r="AE1898" s="16"/>
      <c r="AF1898" s="23"/>
      <c r="AG1898" s="23"/>
      <c r="AH1898" s="23"/>
      <c r="AI1898" s="16"/>
      <c r="AJ1898" s="23"/>
      <c r="AK1898" s="23"/>
      <c r="AL1898" s="23"/>
      <c r="AM1898" s="16"/>
      <c r="AN1898" s="23"/>
      <c r="AO1898" s="23"/>
      <c r="AP1898" s="23"/>
      <c r="AQ1898" s="16"/>
      <c r="AR1898" s="23"/>
      <c r="AS1898" s="23"/>
      <c r="AT1898" s="23"/>
      <c r="AU1898" s="16"/>
      <c r="AV1898" s="23"/>
      <c r="AW1898" s="23"/>
      <c r="AX1898" s="23"/>
      <c r="AY1898" s="16"/>
      <c r="AZ1898" s="23"/>
      <c r="BA1898" s="23"/>
      <c r="BB1898" s="23"/>
      <c r="BC1898" s="16"/>
      <c r="BD1898" s="23"/>
      <c r="BE1898" s="23"/>
      <c r="BF1898" s="23"/>
      <c r="BG1898" s="16"/>
      <c r="BH1898" s="23"/>
      <c r="BI1898" s="23"/>
      <c r="BJ1898" s="23"/>
      <c r="BN1898" s="23"/>
      <c r="BO1898" s="23"/>
      <c r="BP1898" s="16"/>
      <c r="BQ1898" s="16"/>
      <c r="BR1898" s="23"/>
      <c r="BS1898" s="16"/>
      <c r="BT1898" s="16"/>
      <c r="BU1898" s="16"/>
      <c r="BV1898" s="16"/>
      <c r="BW1898" s="16"/>
      <c r="BX1898" s="16"/>
      <c r="BY1898" s="16"/>
    </row>
    <row r="1899">
      <c r="A1899" s="16"/>
      <c r="B1899" s="16"/>
      <c r="C1899" s="22"/>
      <c r="D1899" s="16"/>
      <c r="E1899" s="16"/>
      <c r="F1899" s="16"/>
      <c r="G1899" s="16"/>
      <c r="H1899" s="16"/>
      <c r="I1899" s="23"/>
      <c r="J1899" s="23"/>
      <c r="K1899" s="16"/>
      <c r="L1899" s="23"/>
      <c r="M1899" s="23"/>
      <c r="N1899" s="23"/>
      <c r="O1899" s="16"/>
      <c r="P1899" s="23"/>
      <c r="Q1899" s="23"/>
      <c r="R1899" s="23"/>
      <c r="S1899" s="16"/>
      <c r="T1899" s="23"/>
      <c r="U1899" s="23"/>
      <c r="V1899" s="23"/>
      <c r="W1899" s="16"/>
      <c r="X1899" s="23"/>
      <c r="Y1899" s="23"/>
      <c r="Z1899" s="23"/>
      <c r="AA1899" s="16"/>
      <c r="AB1899" s="23"/>
      <c r="AC1899" s="23"/>
      <c r="AD1899" s="23"/>
      <c r="AE1899" s="16"/>
      <c r="AF1899" s="23"/>
      <c r="AG1899" s="23"/>
      <c r="AH1899" s="23"/>
      <c r="AI1899" s="16"/>
      <c r="AJ1899" s="23"/>
      <c r="AK1899" s="23"/>
      <c r="AL1899" s="23"/>
      <c r="AM1899" s="16"/>
      <c r="AN1899" s="23"/>
      <c r="AO1899" s="23"/>
      <c r="AP1899" s="23"/>
      <c r="AQ1899" s="16"/>
      <c r="AR1899" s="23"/>
      <c r="AS1899" s="23"/>
      <c r="AT1899" s="23"/>
      <c r="AU1899" s="16"/>
      <c r="AV1899" s="23"/>
      <c r="AW1899" s="23"/>
      <c r="AX1899" s="23"/>
      <c r="AY1899" s="16"/>
      <c r="AZ1899" s="23"/>
      <c r="BA1899" s="23"/>
      <c r="BB1899" s="23"/>
      <c r="BC1899" s="16"/>
      <c r="BD1899" s="23"/>
      <c r="BE1899" s="23"/>
      <c r="BF1899" s="23"/>
      <c r="BG1899" s="16"/>
      <c r="BH1899" s="23"/>
      <c r="BI1899" s="23"/>
      <c r="BJ1899" s="23"/>
      <c r="BN1899" s="23"/>
      <c r="BO1899" s="23"/>
      <c r="BP1899" s="16"/>
      <c r="BQ1899" s="16"/>
      <c r="BR1899" s="23"/>
      <c r="BS1899" s="16"/>
      <c r="BT1899" s="16"/>
      <c r="BU1899" s="16"/>
      <c r="BV1899" s="16"/>
      <c r="BW1899" s="16"/>
      <c r="BX1899" s="16"/>
      <c r="BY1899" s="16"/>
    </row>
    <row r="1900">
      <c r="A1900" s="16"/>
      <c r="B1900" s="16"/>
      <c r="C1900" s="22"/>
      <c r="D1900" s="16"/>
      <c r="E1900" s="16"/>
      <c r="F1900" s="16"/>
      <c r="G1900" s="16"/>
      <c r="H1900" s="16"/>
      <c r="I1900" s="23"/>
      <c r="J1900" s="23"/>
      <c r="K1900" s="16"/>
      <c r="L1900" s="23"/>
      <c r="M1900" s="23"/>
      <c r="N1900" s="23"/>
      <c r="O1900" s="16"/>
      <c r="P1900" s="23"/>
      <c r="Q1900" s="23"/>
      <c r="R1900" s="23"/>
      <c r="S1900" s="16"/>
      <c r="T1900" s="23"/>
      <c r="U1900" s="23"/>
      <c r="V1900" s="23"/>
      <c r="W1900" s="16"/>
      <c r="X1900" s="23"/>
      <c r="Y1900" s="23"/>
      <c r="Z1900" s="23"/>
      <c r="AA1900" s="16"/>
      <c r="AB1900" s="23"/>
      <c r="AC1900" s="23"/>
      <c r="AD1900" s="23"/>
      <c r="AE1900" s="16"/>
      <c r="AF1900" s="23"/>
      <c r="AG1900" s="23"/>
      <c r="AH1900" s="23"/>
      <c r="AI1900" s="16"/>
      <c r="AJ1900" s="23"/>
      <c r="AK1900" s="23"/>
      <c r="AL1900" s="23"/>
      <c r="AM1900" s="16"/>
      <c r="AN1900" s="23"/>
      <c r="AO1900" s="23"/>
      <c r="AP1900" s="23"/>
      <c r="AQ1900" s="16"/>
      <c r="AR1900" s="23"/>
      <c r="AS1900" s="23"/>
      <c r="AT1900" s="23"/>
      <c r="AU1900" s="16"/>
      <c r="AV1900" s="23"/>
      <c r="AW1900" s="23"/>
      <c r="AX1900" s="23"/>
      <c r="AY1900" s="16"/>
      <c r="AZ1900" s="23"/>
      <c r="BA1900" s="23"/>
      <c r="BB1900" s="23"/>
      <c r="BC1900" s="16"/>
      <c r="BD1900" s="23"/>
      <c r="BE1900" s="23"/>
      <c r="BF1900" s="23"/>
      <c r="BG1900" s="16"/>
      <c r="BH1900" s="23"/>
      <c r="BI1900" s="23"/>
      <c r="BJ1900" s="23"/>
      <c r="BN1900" s="23"/>
      <c r="BO1900" s="23"/>
      <c r="BP1900" s="16"/>
      <c r="BQ1900" s="16"/>
      <c r="BR1900" s="23"/>
      <c r="BS1900" s="16"/>
      <c r="BT1900" s="16"/>
      <c r="BU1900" s="16"/>
      <c r="BV1900" s="16"/>
      <c r="BW1900" s="16"/>
      <c r="BX1900" s="16"/>
      <c r="BY1900" s="16"/>
    </row>
    <row r="1901">
      <c r="A1901" s="16"/>
      <c r="B1901" s="16"/>
      <c r="C1901" s="22"/>
      <c r="D1901" s="16"/>
      <c r="E1901" s="16"/>
      <c r="F1901" s="16"/>
      <c r="G1901" s="16"/>
      <c r="H1901" s="16"/>
      <c r="I1901" s="23"/>
      <c r="J1901" s="23"/>
      <c r="K1901" s="16"/>
      <c r="L1901" s="23"/>
      <c r="M1901" s="23"/>
      <c r="N1901" s="23"/>
      <c r="O1901" s="16"/>
      <c r="P1901" s="23"/>
      <c r="Q1901" s="23"/>
      <c r="R1901" s="23"/>
      <c r="S1901" s="16"/>
      <c r="T1901" s="23"/>
      <c r="U1901" s="23"/>
      <c r="V1901" s="23"/>
      <c r="W1901" s="16"/>
      <c r="X1901" s="23"/>
      <c r="Y1901" s="23"/>
      <c r="Z1901" s="23"/>
      <c r="AA1901" s="16"/>
      <c r="AB1901" s="23"/>
      <c r="AC1901" s="23"/>
      <c r="AD1901" s="23"/>
      <c r="AE1901" s="16"/>
      <c r="AF1901" s="23"/>
      <c r="AG1901" s="23"/>
      <c r="AH1901" s="23"/>
      <c r="AI1901" s="16"/>
      <c r="AJ1901" s="23"/>
      <c r="AK1901" s="23"/>
      <c r="AL1901" s="23"/>
      <c r="AM1901" s="16"/>
      <c r="AN1901" s="23"/>
      <c r="AO1901" s="23"/>
      <c r="AP1901" s="23"/>
      <c r="AQ1901" s="16"/>
      <c r="AR1901" s="23"/>
      <c r="AS1901" s="23"/>
      <c r="AT1901" s="23"/>
      <c r="AU1901" s="16"/>
      <c r="AV1901" s="23"/>
      <c r="AW1901" s="23"/>
      <c r="AX1901" s="23"/>
      <c r="AY1901" s="16"/>
      <c r="AZ1901" s="23"/>
      <c r="BA1901" s="23"/>
      <c r="BB1901" s="23"/>
      <c r="BC1901" s="16"/>
      <c r="BD1901" s="23"/>
      <c r="BE1901" s="23"/>
      <c r="BF1901" s="23"/>
      <c r="BG1901" s="16"/>
      <c r="BH1901" s="23"/>
      <c r="BI1901" s="23"/>
      <c r="BJ1901" s="23"/>
      <c r="BN1901" s="23"/>
      <c r="BO1901" s="23"/>
      <c r="BP1901" s="16"/>
      <c r="BQ1901" s="16"/>
      <c r="BR1901" s="23"/>
      <c r="BS1901" s="16"/>
      <c r="BT1901" s="16"/>
      <c r="BU1901" s="16"/>
      <c r="BV1901" s="16"/>
      <c r="BW1901" s="16"/>
      <c r="BX1901" s="16"/>
      <c r="BY1901" s="16"/>
    </row>
    <row r="1902">
      <c r="A1902" s="16"/>
      <c r="B1902" s="16"/>
      <c r="C1902" s="22"/>
      <c r="D1902" s="16"/>
      <c r="E1902" s="16"/>
      <c r="F1902" s="16"/>
      <c r="G1902" s="16"/>
      <c r="H1902" s="16"/>
      <c r="I1902" s="23"/>
      <c r="J1902" s="23"/>
      <c r="K1902" s="16"/>
      <c r="L1902" s="23"/>
      <c r="M1902" s="23"/>
      <c r="N1902" s="23"/>
      <c r="O1902" s="16"/>
      <c r="P1902" s="23"/>
      <c r="Q1902" s="23"/>
      <c r="R1902" s="23"/>
      <c r="S1902" s="16"/>
      <c r="T1902" s="23"/>
      <c r="U1902" s="23"/>
      <c r="V1902" s="23"/>
      <c r="W1902" s="16"/>
      <c r="X1902" s="23"/>
      <c r="Y1902" s="23"/>
      <c r="Z1902" s="23"/>
      <c r="AA1902" s="16"/>
      <c r="AB1902" s="23"/>
      <c r="AC1902" s="23"/>
      <c r="AD1902" s="23"/>
      <c r="AE1902" s="16"/>
      <c r="AF1902" s="23"/>
      <c r="AG1902" s="23"/>
      <c r="AH1902" s="23"/>
      <c r="AI1902" s="16"/>
      <c r="AJ1902" s="23"/>
      <c r="AK1902" s="23"/>
      <c r="AL1902" s="23"/>
      <c r="AM1902" s="16"/>
      <c r="AN1902" s="23"/>
      <c r="AO1902" s="23"/>
      <c r="AP1902" s="23"/>
      <c r="AQ1902" s="16"/>
      <c r="AR1902" s="23"/>
      <c r="AS1902" s="23"/>
      <c r="AT1902" s="23"/>
      <c r="AU1902" s="16"/>
      <c r="AV1902" s="23"/>
      <c r="AW1902" s="23"/>
      <c r="AX1902" s="23"/>
      <c r="AY1902" s="16"/>
      <c r="AZ1902" s="23"/>
      <c r="BA1902" s="23"/>
      <c r="BB1902" s="23"/>
      <c r="BC1902" s="16"/>
      <c r="BD1902" s="23"/>
      <c r="BE1902" s="23"/>
      <c r="BF1902" s="23"/>
      <c r="BG1902" s="16"/>
      <c r="BH1902" s="23"/>
      <c r="BI1902" s="23"/>
      <c r="BJ1902" s="23"/>
      <c r="BN1902" s="23"/>
      <c r="BO1902" s="23"/>
      <c r="BP1902" s="16"/>
      <c r="BQ1902" s="16"/>
      <c r="BR1902" s="23"/>
      <c r="BS1902" s="16"/>
      <c r="BT1902" s="16"/>
      <c r="BU1902" s="16"/>
      <c r="BV1902" s="16"/>
      <c r="BW1902" s="16"/>
      <c r="BX1902" s="16"/>
      <c r="BY1902" s="16"/>
    </row>
    <row r="1903">
      <c r="A1903" s="16"/>
      <c r="B1903" s="16"/>
      <c r="C1903" s="22"/>
      <c r="D1903" s="16"/>
      <c r="E1903" s="16"/>
      <c r="F1903" s="16"/>
      <c r="G1903" s="16"/>
      <c r="H1903" s="16"/>
      <c r="I1903" s="23"/>
      <c r="J1903" s="23"/>
      <c r="K1903" s="16"/>
      <c r="L1903" s="23"/>
      <c r="M1903" s="23"/>
      <c r="N1903" s="23"/>
      <c r="O1903" s="16"/>
      <c r="P1903" s="23"/>
      <c r="Q1903" s="23"/>
      <c r="R1903" s="23"/>
      <c r="S1903" s="16"/>
      <c r="T1903" s="23"/>
      <c r="U1903" s="23"/>
      <c r="V1903" s="23"/>
      <c r="W1903" s="16"/>
      <c r="X1903" s="23"/>
      <c r="Y1903" s="23"/>
      <c r="Z1903" s="23"/>
      <c r="AA1903" s="16"/>
      <c r="AB1903" s="23"/>
      <c r="AC1903" s="23"/>
      <c r="AD1903" s="23"/>
      <c r="AE1903" s="16"/>
      <c r="AF1903" s="23"/>
      <c r="AG1903" s="23"/>
      <c r="AH1903" s="23"/>
      <c r="AI1903" s="16"/>
      <c r="AJ1903" s="23"/>
      <c r="AK1903" s="23"/>
      <c r="AL1903" s="23"/>
      <c r="AM1903" s="16"/>
      <c r="AN1903" s="23"/>
      <c r="AO1903" s="23"/>
      <c r="AP1903" s="23"/>
      <c r="AQ1903" s="16"/>
      <c r="AR1903" s="23"/>
      <c r="AS1903" s="23"/>
      <c r="AT1903" s="23"/>
      <c r="AU1903" s="16"/>
      <c r="AV1903" s="23"/>
      <c r="AW1903" s="23"/>
      <c r="AX1903" s="23"/>
      <c r="AY1903" s="16"/>
      <c r="AZ1903" s="23"/>
      <c r="BA1903" s="23"/>
      <c r="BB1903" s="23"/>
      <c r="BC1903" s="16"/>
      <c r="BD1903" s="23"/>
      <c r="BE1903" s="23"/>
      <c r="BF1903" s="23"/>
      <c r="BG1903" s="16"/>
      <c r="BH1903" s="23"/>
      <c r="BI1903" s="23"/>
      <c r="BJ1903" s="23"/>
      <c r="BN1903" s="23"/>
      <c r="BO1903" s="23"/>
      <c r="BP1903" s="16"/>
      <c r="BQ1903" s="16"/>
      <c r="BR1903" s="23"/>
      <c r="BS1903" s="16"/>
      <c r="BT1903" s="16"/>
      <c r="BU1903" s="16"/>
      <c r="BV1903" s="16"/>
      <c r="BW1903" s="16"/>
      <c r="BX1903" s="16"/>
      <c r="BY1903" s="16"/>
    </row>
    <row r="1904">
      <c r="A1904" s="16"/>
      <c r="B1904" s="16"/>
      <c r="C1904" s="22"/>
      <c r="D1904" s="16"/>
      <c r="E1904" s="16"/>
      <c r="F1904" s="16"/>
      <c r="G1904" s="16"/>
      <c r="H1904" s="16"/>
      <c r="I1904" s="23"/>
      <c r="J1904" s="23"/>
      <c r="K1904" s="16"/>
      <c r="L1904" s="23"/>
      <c r="M1904" s="23"/>
      <c r="N1904" s="23"/>
      <c r="O1904" s="16"/>
      <c r="P1904" s="23"/>
      <c r="Q1904" s="23"/>
      <c r="R1904" s="23"/>
      <c r="S1904" s="16"/>
      <c r="T1904" s="23"/>
      <c r="U1904" s="23"/>
      <c r="V1904" s="23"/>
      <c r="W1904" s="16"/>
      <c r="X1904" s="23"/>
      <c r="Y1904" s="23"/>
      <c r="Z1904" s="23"/>
      <c r="AA1904" s="16"/>
      <c r="AB1904" s="23"/>
      <c r="AC1904" s="23"/>
      <c r="AD1904" s="23"/>
      <c r="AE1904" s="16"/>
      <c r="AF1904" s="23"/>
      <c r="AG1904" s="23"/>
      <c r="AH1904" s="23"/>
      <c r="AI1904" s="16"/>
      <c r="AJ1904" s="23"/>
      <c r="AK1904" s="23"/>
      <c r="AL1904" s="23"/>
      <c r="AM1904" s="16"/>
      <c r="AN1904" s="23"/>
      <c r="AO1904" s="23"/>
      <c r="AP1904" s="23"/>
      <c r="AQ1904" s="16"/>
      <c r="AR1904" s="23"/>
      <c r="AS1904" s="23"/>
      <c r="AT1904" s="23"/>
      <c r="AU1904" s="16"/>
      <c r="AV1904" s="23"/>
      <c r="AW1904" s="23"/>
      <c r="AX1904" s="23"/>
      <c r="AY1904" s="16"/>
      <c r="AZ1904" s="23"/>
      <c r="BA1904" s="23"/>
      <c r="BB1904" s="23"/>
      <c r="BC1904" s="16"/>
      <c r="BD1904" s="23"/>
      <c r="BE1904" s="23"/>
      <c r="BF1904" s="23"/>
      <c r="BG1904" s="16"/>
      <c r="BH1904" s="23"/>
      <c r="BI1904" s="23"/>
      <c r="BJ1904" s="23"/>
      <c r="BN1904" s="23"/>
      <c r="BO1904" s="23"/>
      <c r="BP1904" s="16"/>
      <c r="BQ1904" s="16"/>
      <c r="BR1904" s="23"/>
      <c r="BS1904" s="16"/>
      <c r="BT1904" s="16"/>
      <c r="BU1904" s="16"/>
      <c r="BV1904" s="16"/>
      <c r="BW1904" s="16"/>
      <c r="BX1904" s="16"/>
      <c r="BY1904" s="16"/>
    </row>
    <row r="1905">
      <c r="A1905" s="16"/>
      <c r="B1905" s="16"/>
      <c r="C1905" s="22"/>
      <c r="D1905" s="16"/>
      <c r="E1905" s="16"/>
      <c r="F1905" s="16"/>
      <c r="G1905" s="16"/>
      <c r="H1905" s="16"/>
      <c r="I1905" s="23"/>
      <c r="J1905" s="23"/>
      <c r="K1905" s="16"/>
      <c r="L1905" s="23"/>
      <c r="M1905" s="23"/>
      <c r="N1905" s="23"/>
      <c r="O1905" s="16"/>
      <c r="P1905" s="23"/>
      <c r="Q1905" s="23"/>
      <c r="R1905" s="23"/>
      <c r="S1905" s="16"/>
      <c r="T1905" s="23"/>
      <c r="U1905" s="23"/>
      <c r="V1905" s="23"/>
      <c r="W1905" s="16"/>
      <c r="X1905" s="23"/>
      <c r="Y1905" s="23"/>
      <c r="Z1905" s="23"/>
      <c r="AA1905" s="16"/>
      <c r="AB1905" s="23"/>
      <c r="AC1905" s="23"/>
      <c r="AD1905" s="23"/>
      <c r="AE1905" s="16"/>
      <c r="AF1905" s="23"/>
      <c r="AG1905" s="23"/>
      <c r="AH1905" s="23"/>
      <c r="AI1905" s="16"/>
      <c r="AJ1905" s="23"/>
      <c r="AK1905" s="23"/>
      <c r="AL1905" s="23"/>
      <c r="AM1905" s="16"/>
      <c r="AN1905" s="23"/>
      <c r="AO1905" s="23"/>
      <c r="AP1905" s="23"/>
      <c r="AQ1905" s="16"/>
      <c r="AR1905" s="23"/>
      <c r="AS1905" s="23"/>
      <c r="AT1905" s="23"/>
      <c r="AU1905" s="16"/>
      <c r="AV1905" s="23"/>
      <c r="AW1905" s="23"/>
      <c r="AX1905" s="23"/>
      <c r="AY1905" s="16"/>
      <c r="AZ1905" s="23"/>
      <c r="BA1905" s="23"/>
      <c r="BB1905" s="23"/>
      <c r="BC1905" s="16"/>
      <c r="BD1905" s="23"/>
      <c r="BE1905" s="23"/>
      <c r="BF1905" s="23"/>
      <c r="BG1905" s="16"/>
      <c r="BH1905" s="23"/>
      <c r="BI1905" s="23"/>
      <c r="BJ1905" s="23"/>
      <c r="BN1905" s="23"/>
      <c r="BO1905" s="23"/>
      <c r="BP1905" s="16"/>
      <c r="BQ1905" s="16"/>
      <c r="BR1905" s="23"/>
      <c r="BS1905" s="16"/>
      <c r="BT1905" s="16"/>
      <c r="BU1905" s="16"/>
      <c r="BV1905" s="16"/>
      <c r="BW1905" s="16"/>
      <c r="BX1905" s="16"/>
      <c r="BY1905" s="16"/>
    </row>
    <row r="1906">
      <c r="A1906" s="16"/>
      <c r="B1906" s="16"/>
      <c r="C1906" s="22"/>
      <c r="D1906" s="16"/>
      <c r="E1906" s="16"/>
      <c r="F1906" s="16"/>
      <c r="G1906" s="16"/>
      <c r="H1906" s="16"/>
      <c r="I1906" s="23"/>
      <c r="J1906" s="23"/>
      <c r="K1906" s="16"/>
      <c r="L1906" s="23"/>
      <c r="M1906" s="23"/>
      <c r="N1906" s="23"/>
      <c r="O1906" s="16"/>
      <c r="P1906" s="23"/>
      <c r="Q1906" s="23"/>
      <c r="R1906" s="23"/>
      <c r="S1906" s="16"/>
      <c r="T1906" s="23"/>
      <c r="U1906" s="23"/>
      <c r="V1906" s="23"/>
      <c r="W1906" s="16"/>
      <c r="X1906" s="23"/>
      <c r="Y1906" s="23"/>
      <c r="Z1906" s="23"/>
      <c r="AA1906" s="16"/>
      <c r="AB1906" s="23"/>
      <c r="AC1906" s="23"/>
      <c r="AD1906" s="23"/>
      <c r="AE1906" s="16"/>
      <c r="AF1906" s="23"/>
      <c r="AG1906" s="23"/>
      <c r="AH1906" s="23"/>
      <c r="AI1906" s="16"/>
      <c r="AJ1906" s="23"/>
      <c r="AK1906" s="23"/>
      <c r="AL1906" s="23"/>
      <c r="AM1906" s="16"/>
      <c r="AN1906" s="23"/>
      <c r="AO1906" s="23"/>
      <c r="AP1906" s="23"/>
      <c r="AQ1906" s="16"/>
      <c r="AR1906" s="23"/>
      <c r="AS1906" s="23"/>
      <c r="AT1906" s="23"/>
      <c r="AU1906" s="16"/>
      <c r="AV1906" s="23"/>
      <c r="AW1906" s="23"/>
      <c r="AX1906" s="23"/>
      <c r="AY1906" s="16"/>
      <c r="AZ1906" s="23"/>
      <c r="BA1906" s="23"/>
      <c r="BB1906" s="23"/>
      <c r="BC1906" s="16"/>
      <c r="BD1906" s="23"/>
      <c r="BE1906" s="23"/>
      <c r="BF1906" s="23"/>
      <c r="BG1906" s="16"/>
      <c r="BH1906" s="23"/>
      <c r="BI1906" s="23"/>
      <c r="BJ1906" s="23"/>
      <c r="BN1906" s="23"/>
      <c r="BO1906" s="23"/>
      <c r="BP1906" s="16"/>
      <c r="BQ1906" s="16"/>
      <c r="BR1906" s="23"/>
      <c r="BS1906" s="16"/>
      <c r="BT1906" s="16"/>
      <c r="BU1906" s="16"/>
      <c r="BV1906" s="16"/>
      <c r="BW1906" s="16"/>
      <c r="BX1906" s="16"/>
      <c r="BY1906" s="16"/>
    </row>
    <row r="1907">
      <c r="A1907" s="16"/>
      <c r="B1907" s="16"/>
      <c r="C1907" s="22"/>
      <c r="D1907" s="16"/>
      <c r="E1907" s="16"/>
      <c r="F1907" s="16"/>
      <c r="G1907" s="16"/>
      <c r="H1907" s="16"/>
      <c r="I1907" s="23"/>
      <c r="J1907" s="23"/>
      <c r="K1907" s="16"/>
      <c r="L1907" s="23"/>
      <c r="M1907" s="23"/>
      <c r="N1907" s="23"/>
      <c r="O1907" s="16"/>
      <c r="P1907" s="23"/>
      <c r="Q1907" s="23"/>
      <c r="R1907" s="23"/>
      <c r="S1907" s="16"/>
      <c r="T1907" s="23"/>
      <c r="U1907" s="23"/>
      <c r="V1907" s="23"/>
      <c r="W1907" s="16"/>
      <c r="X1907" s="23"/>
      <c r="Y1907" s="23"/>
      <c r="Z1907" s="23"/>
      <c r="AA1907" s="16"/>
      <c r="AB1907" s="23"/>
      <c r="AC1907" s="23"/>
      <c r="AD1907" s="23"/>
      <c r="AE1907" s="16"/>
      <c r="AF1907" s="23"/>
      <c r="AG1907" s="23"/>
      <c r="AH1907" s="23"/>
      <c r="AI1907" s="16"/>
      <c r="AJ1907" s="23"/>
      <c r="AK1907" s="23"/>
      <c r="AL1907" s="23"/>
      <c r="AM1907" s="16"/>
      <c r="AN1907" s="23"/>
      <c r="AO1907" s="23"/>
      <c r="AP1907" s="23"/>
      <c r="AQ1907" s="16"/>
      <c r="AR1907" s="23"/>
      <c r="AS1907" s="23"/>
      <c r="AT1907" s="23"/>
      <c r="AU1907" s="16"/>
      <c r="AV1907" s="23"/>
      <c r="AW1907" s="23"/>
      <c r="AX1907" s="23"/>
      <c r="AY1907" s="16"/>
      <c r="AZ1907" s="23"/>
      <c r="BA1907" s="23"/>
      <c r="BB1907" s="23"/>
      <c r="BC1907" s="16"/>
      <c r="BD1907" s="23"/>
      <c r="BE1907" s="23"/>
      <c r="BF1907" s="23"/>
      <c r="BG1907" s="16"/>
      <c r="BH1907" s="23"/>
      <c r="BI1907" s="23"/>
      <c r="BJ1907" s="23"/>
      <c r="BN1907" s="23"/>
      <c r="BO1907" s="23"/>
      <c r="BP1907" s="16"/>
      <c r="BQ1907" s="16"/>
      <c r="BR1907" s="23"/>
      <c r="BS1907" s="16"/>
      <c r="BT1907" s="16"/>
      <c r="BU1907" s="16"/>
      <c r="BV1907" s="16"/>
      <c r="BW1907" s="16"/>
      <c r="BX1907" s="16"/>
      <c r="BY1907" s="16"/>
    </row>
    <row r="1908">
      <c r="A1908" s="16"/>
      <c r="B1908" s="16"/>
      <c r="C1908" s="22"/>
      <c r="D1908" s="16"/>
      <c r="E1908" s="16"/>
      <c r="F1908" s="16"/>
      <c r="G1908" s="16"/>
      <c r="H1908" s="16"/>
      <c r="I1908" s="23"/>
      <c r="J1908" s="23"/>
      <c r="K1908" s="16"/>
      <c r="L1908" s="23"/>
      <c r="M1908" s="23"/>
      <c r="N1908" s="23"/>
      <c r="O1908" s="16"/>
      <c r="P1908" s="23"/>
      <c r="Q1908" s="23"/>
      <c r="R1908" s="23"/>
      <c r="S1908" s="16"/>
      <c r="T1908" s="23"/>
      <c r="U1908" s="23"/>
      <c r="V1908" s="23"/>
      <c r="W1908" s="16"/>
      <c r="X1908" s="23"/>
      <c r="Y1908" s="23"/>
      <c r="Z1908" s="23"/>
      <c r="AA1908" s="16"/>
      <c r="AB1908" s="23"/>
      <c r="AC1908" s="23"/>
      <c r="AD1908" s="23"/>
      <c r="AE1908" s="16"/>
      <c r="AF1908" s="23"/>
      <c r="AG1908" s="23"/>
      <c r="AH1908" s="23"/>
      <c r="AI1908" s="16"/>
      <c r="AJ1908" s="23"/>
      <c r="AK1908" s="23"/>
      <c r="AL1908" s="23"/>
      <c r="AM1908" s="16"/>
      <c r="AN1908" s="23"/>
      <c r="AO1908" s="23"/>
      <c r="AP1908" s="23"/>
      <c r="AQ1908" s="16"/>
      <c r="AR1908" s="23"/>
      <c r="AS1908" s="23"/>
      <c r="AT1908" s="23"/>
      <c r="AU1908" s="16"/>
      <c r="AV1908" s="23"/>
      <c r="AW1908" s="23"/>
      <c r="AX1908" s="23"/>
      <c r="AY1908" s="16"/>
      <c r="AZ1908" s="23"/>
      <c r="BA1908" s="23"/>
      <c r="BB1908" s="23"/>
      <c r="BC1908" s="16"/>
      <c r="BD1908" s="23"/>
      <c r="BE1908" s="23"/>
      <c r="BF1908" s="23"/>
      <c r="BG1908" s="16"/>
      <c r="BH1908" s="23"/>
      <c r="BI1908" s="23"/>
      <c r="BJ1908" s="23"/>
      <c r="BN1908" s="23"/>
      <c r="BO1908" s="23"/>
      <c r="BP1908" s="16"/>
      <c r="BQ1908" s="16"/>
      <c r="BR1908" s="23"/>
      <c r="BS1908" s="16"/>
      <c r="BT1908" s="16"/>
      <c r="BU1908" s="16"/>
      <c r="BV1908" s="16"/>
      <c r="BW1908" s="16"/>
      <c r="BX1908" s="16"/>
      <c r="BY1908" s="16"/>
    </row>
    <row r="1909">
      <c r="A1909" s="16"/>
      <c r="B1909" s="16"/>
      <c r="C1909" s="22"/>
      <c r="D1909" s="16"/>
      <c r="E1909" s="16"/>
      <c r="F1909" s="16"/>
      <c r="G1909" s="16"/>
      <c r="H1909" s="16"/>
      <c r="I1909" s="23"/>
      <c r="J1909" s="23"/>
      <c r="K1909" s="16"/>
      <c r="L1909" s="23"/>
      <c r="M1909" s="23"/>
      <c r="N1909" s="23"/>
      <c r="O1909" s="16"/>
      <c r="P1909" s="23"/>
      <c r="Q1909" s="23"/>
      <c r="R1909" s="23"/>
      <c r="S1909" s="16"/>
      <c r="T1909" s="23"/>
      <c r="U1909" s="23"/>
      <c r="V1909" s="23"/>
      <c r="W1909" s="16"/>
      <c r="X1909" s="23"/>
      <c r="Y1909" s="23"/>
      <c r="Z1909" s="23"/>
      <c r="AA1909" s="16"/>
      <c r="AB1909" s="23"/>
      <c r="AC1909" s="23"/>
      <c r="AD1909" s="23"/>
      <c r="AE1909" s="16"/>
      <c r="AF1909" s="23"/>
      <c r="AG1909" s="23"/>
      <c r="AH1909" s="23"/>
      <c r="AI1909" s="16"/>
      <c r="AJ1909" s="23"/>
      <c r="AK1909" s="23"/>
      <c r="AL1909" s="23"/>
      <c r="AM1909" s="16"/>
      <c r="AN1909" s="23"/>
      <c r="AO1909" s="23"/>
      <c r="AP1909" s="23"/>
      <c r="AQ1909" s="16"/>
      <c r="AR1909" s="23"/>
      <c r="AS1909" s="23"/>
      <c r="AT1909" s="23"/>
      <c r="AU1909" s="16"/>
      <c r="AV1909" s="23"/>
      <c r="AW1909" s="23"/>
      <c r="AX1909" s="23"/>
      <c r="AY1909" s="16"/>
      <c r="AZ1909" s="23"/>
      <c r="BA1909" s="23"/>
      <c r="BB1909" s="23"/>
      <c r="BC1909" s="16"/>
      <c r="BD1909" s="23"/>
      <c r="BE1909" s="23"/>
      <c r="BF1909" s="23"/>
      <c r="BG1909" s="16"/>
      <c r="BH1909" s="23"/>
      <c r="BI1909" s="23"/>
      <c r="BJ1909" s="23"/>
      <c r="BN1909" s="23"/>
      <c r="BO1909" s="23"/>
      <c r="BP1909" s="16"/>
      <c r="BQ1909" s="16"/>
      <c r="BR1909" s="23"/>
      <c r="BS1909" s="16"/>
      <c r="BT1909" s="16"/>
      <c r="BU1909" s="16"/>
      <c r="BV1909" s="16"/>
      <c r="BW1909" s="16"/>
      <c r="BX1909" s="16"/>
      <c r="BY1909" s="16"/>
    </row>
    <row r="1910">
      <c r="A1910" s="16"/>
      <c r="B1910" s="16"/>
      <c r="C1910" s="22"/>
      <c r="D1910" s="16"/>
      <c r="E1910" s="16"/>
      <c r="F1910" s="16"/>
      <c r="G1910" s="16"/>
      <c r="H1910" s="16"/>
      <c r="I1910" s="23"/>
      <c r="J1910" s="23"/>
      <c r="K1910" s="16"/>
      <c r="L1910" s="23"/>
      <c r="M1910" s="23"/>
      <c r="N1910" s="23"/>
      <c r="O1910" s="16"/>
      <c r="P1910" s="23"/>
      <c r="Q1910" s="23"/>
      <c r="R1910" s="23"/>
      <c r="S1910" s="16"/>
      <c r="T1910" s="23"/>
      <c r="U1910" s="23"/>
      <c r="V1910" s="23"/>
      <c r="W1910" s="16"/>
      <c r="X1910" s="23"/>
      <c r="Y1910" s="23"/>
      <c r="Z1910" s="23"/>
      <c r="AA1910" s="16"/>
      <c r="AB1910" s="23"/>
      <c r="AC1910" s="23"/>
      <c r="AD1910" s="23"/>
      <c r="AE1910" s="16"/>
      <c r="AF1910" s="23"/>
      <c r="AG1910" s="23"/>
      <c r="AH1910" s="23"/>
      <c r="AI1910" s="16"/>
      <c r="AJ1910" s="23"/>
      <c r="AK1910" s="23"/>
      <c r="AL1910" s="23"/>
      <c r="AM1910" s="16"/>
      <c r="AN1910" s="23"/>
      <c r="AO1910" s="23"/>
      <c r="AP1910" s="23"/>
      <c r="AQ1910" s="16"/>
      <c r="AR1910" s="23"/>
      <c r="AS1910" s="23"/>
      <c r="AT1910" s="23"/>
      <c r="AU1910" s="16"/>
      <c r="AV1910" s="23"/>
      <c r="AW1910" s="23"/>
      <c r="AX1910" s="23"/>
      <c r="AY1910" s="16"/>
      <c r="AZ1910" s="23"/>
      <c r="BA1910" s="23"/>
      <c r="BB1910" s="23"/>
      <c r="BC1910" s="16"/>
      <c r="BD1910" s="23"/>
      <c r="BE1910" s="23"/>
      <c r="BF1910" s="23"/>
      <c r="BG1910" s="16"/>
      <c r="BH1910" s="23"/>
      <c r="BI1910" s="23"/>
      <c r="BJ1910" s="23"/>
      <c r="BN1910" s="23"/>
      <c r="BO1910" s="23"/>
      <c r="BP1910" s="16"/>
      <c r="BQ1910" s="16"/>
      <c r="BR1910" s="23"/>
      <c r="BS1910" s="16"/>
      <c r="BT1910" s="16"/>
      <c r="BU1910" s="16"/>
      <c r="BV1910" s="16"/>
      <c r="BW1910" s="16"/>
      <c r="BX1910" s="16"/>
      <c r="BY1910" s="16"/>
    </row>
    <row r="1911">
      <c r="A1911" s="16"/>
      <c r="B1911" s="16"/>
      <c r="C1911" s="22"/>
      <c r="D1911" s="16"/>
      <c r="E1911" s="16"/>
      <c r="F1911" s="16"/>
      <c r="G1911" s="16"/>
      <c r="H1911" s="16"/>
      <c r="I1911" s="23"/>
      <c r="J1911" s="23"/>
      <c r="K1911" s="16"/>
      <c r="L1911" s="23"/>
      <c r="M1911" s="23"/>
      <c r="N1911" s="23"/>
      <c r="O1911" s="16"/>
      <c r="P1911" s="23"/>
      <c r="Q1911" s="23"/>
      <c r="R1911" s="23"/>
      <c r="S1911" s="16"/>
      <c r="T1911" s="23"/>
      <c r="U1911" s="23"/>
      <c r="V1911" s="23"/>
      <c r="W1911" s="16"/>
      <c r="X1911" s="23"/>
      <c r="Y1911" s="23"/>
      <c r="Z1911" s="23"/>
      <c r="AA1911" s="16"/>
      <c r="AB1911" s="23"/>
      <c r="AC1911" s="23"/>
      <c r="AD1911" s="23"/>
      <c r="AE1911" s="16"/>
      <c r="AF1911" s="23"/>
      <c r="AG1911" s="23"/>
      <c r="AH1911" s="23"/>
      <c r="AI1911" s="16"/>
      <c r="AJ1911" s="23"/>
      <c r="AK1911" s="23"/>
      <c r="AL1911" s="23"/>
      <c r="AM1911" s="16"/>
      <c r="AN1911" s="23"/>
      <c r="AO1911" s="23"/>
      <c r="AP1911" s="23"/>
      <c r="AQ1911" s="16"/>
      <c r="AR1911" s="23"/>
      <c r="AS1911" s="23"/>
      <c r="AT1911" s="23"/>
      <c r="AU1911" s="16"/>
      <c r="AV1911" s="23"/>
      <c r="AW1911" s="23"/>
      <c r="AX1911" s="23"/>
      <c r="AY1911" s="16"/>
      <c r="AZ1911" s="23"/>
      <c r="BA1911" s="23"/>
      <c r="BB1911" s="23"/>
      <c r="BC1911" s="16"/>
      <c r="BD1911" s="23"/>
      <c r="BE1911" s="23"/>
      <c r="BF1911" s="23"/>
      <c r="BG1911" s="16"/>
      <c r="BH1911" s="23"/>
      <c r="BI1911" s="23"/>
      <c r="BJ1911" s="23"/>
      <c r="BN1911" s="23"/>
      <c r="BO1911" s="23"/>
      <c r="BP1911" s="16"/>
      <c r="BQ1911" s="16"/>
      <c r="BR1911" s="23"/>
      <c r="BS1911" s="16"/>
      <c r="BT1911" s="16"/>
      <c r="BU1911" s="16"/>
      <c r="BV1911" s="16"/>
      <c r="BW1911" s="16"/>
      <c r="BX1911" s="16"/>
      <c r="BY1911" s="16"/>
    </row>
    <row r="1912">
      <c r="A1912" s="16"/>
      <c r="B1912" s="16"/>
      <c r="C1912" s="22"/>
      <c r="D1912" s="16"/>
      <c r="E1912" s="16"/>
      <c r="F1912" s="16"/>
      <c r="G1912" s="16"/>
      <c r="H1912" s="16"/>
      <c r="I1912" s="23"/>
      <c r="J1912" s="23"/>
      <c r="K1912" s="16"/>
      <c r="L1912" s="23"/>
      <c r="M1912" s="23"/>
      <c r="N1912" s="23"/>
      <c r="O1912" s="16"/>
      <c r="P1912" s="23"/>
      <c r="Q1912" s="23"/>
      <c r="R1912" s="23"/>
      <c r="S1912" s="16"/>
      <c r="T1912" s="23"/>
      <c r="U1912" s="23"/>
      <c r="V1912" s="23"/>
      <c r="W1912" s="16"/>
      <c r="X1912" s="23"/>
      <c r="Y1912" s="23"/>
      <c r="Z1912" s="23"/>
      <c r="AA1912" s="16"/>
      <c r="AB1912" s="23"/>
      <c r="AC1912" s="23"/>
      <c r="AD1912" s="23"/>
      <c r="AE1912" s="16"/>
      <c r="AF1912" s="23"/>
      <c r="AG1912" s="23"/>
      <c r="AH1912" s="23"/>
      <c r="AI1912" s="16"/>
      <c r="AJ1912" s="23"/>
      <c r="AK1912" s="23"/>
      <c r="AL1912" s="23"/>
      <c r="AM1912" s="16"/>
      <c r="AN1912" s="23"/>
      <c r="AO1912" s="23"/>
      <c r="AP1912" s="23"/>
      <c r="AQ1912" s="16"/>
      <c r="AR1912" s="23"/>
      <c r="AS1912" s="23"/>
      <c r="AT1912" s="23"/>
      <c r="AU1912" s="16"/>
      <c r="AV1912" s="23"/>
      <c r="AW1912" s="23"/>
      <c r="AX1912" s="23"/>
      <c r="AY1912" s="16"/>
      <c r="AZ1912" s="23"/>
      <c r="BA1912" s="23"/>
      <c r="BB1912" s="23"/>
      <c r="BC1912" s="16"/>
      <c r="BD1912" s="23"/>
      <c r="BE1912" s="23"/>
      <c r="BF1912" s="23"/>
      <c r="BG1912" s="16"/>
      <c r="BH1912" s="23"/>
      <c r="BI1912" s="23"/>
      <c r="BJ1912" s="23"/>
      <c r="BN1912" s="23"/>
      <c r="BO1912" s="23"/>
      <c r="BP1912" s="16"/>
      <c r="BQ1912" s="16"/>
      <c r="BR1912" s="23"/>
      <c r="BS1912" s="16"/>
      <c r="BT1912" s="16"/>
      <c r="BU1912" s="16"/>
      <c r="BV1912" s="16"/>
      <c r="BW1912" s="16"/>
      <c r="BX1912" s="16"/>
      <c r="BY1912" s="16"/>
    </row>
    <row r="1913">
      <c r="A1913" s="16"/>
      <c r="B1913" s="16"/>
      <c r="C1913" s="22"/>
      <c r="D1913" s="16"/>
      <c r="E1913" s="16"/>
      <c r="F1913" s="16"/>
      <c r="G1913" s="16"/>
      <c r="H1913" s="16"/>
      <c r="I1913" s="23"/>
      <c r="J1913" s="23"/>
      <c r="K1913" s="16"/>
      <c r="L1913" s="23"/>
      <c r="M1913" s="23"/>
      <c r="N1913" s="23"/>
      <c r="O1913" s="16"/>
      <c r="P1913" s="23"/>
      <c r="Q1913" s="23"/>
      <c r="R1913" s="23"/>
      <c r="S1913" s="16"/>
      <c r="T1913" s="23"/>
      <c r="U1913" s="23"/>
      <c r="V1913" s="23"/>
      <c r="W1913" s="16"/>
      <c r="X1913" s="23"/>
      <c r="Y1913" s="23"/>
      <c r="Z1913" s="23"/>
      <c r="AA1913" s="16"/>
      <c r="AB1913" s="23"/>
      <c r="AC1913" s="23"/>
      <c r="AD1913" s="23"/>
      <c r="AE1913" s="16"/>
      <c r="AF1913" s="23"/>
      <c r="AG1913" s="23"/>
      <c r="AH1913" s="23"/>
      <c r="AI1913" s="16"/>
      <c r="AJ1913" s="23"/>
      <c r="AK1913" s="23"/>
      <c r="AL1913" s="23"/>
      <c r="AM1913" s="16"/>
      <c r="AN1913" s="23"/>
      <c r="AO1913" s="23"/>
      <c r="AP1913" s="23"/>
      <c r="AQ1913" s="16"/>
      <c r="AR1913" s="23"/>
      <c r="AS1913" s="23"/>
      <c r="AT1913" s="23"/>
      <c r="AU1913" s="16"/>
      <c r="AV1913" s="23"/>
      <c r="AW1913" s="23"/>
      <c r="AX1913" s="23"/>
      <c r="AY1913" s="16"/>
      <c r="AZ1913" s="23"/>
      <c r="BA1913" s="23"/>
      <c r="BB1913" s="23"/>
      <c r="BC1913" s="16"/>
      <c r="BD1913" s="23"/>
      <c r="BE1913" s="23"/>
      <c r="BF1913" s="23"/>
      <c r="BG1913" s="16"/>
      <c r="BH1913" s="23"/>
      <c r="BI1913" s="23"/>
      <c r="BJ1913" s="23"/>
      <c r="BN1913" s="23"/>
      <c r="BO1913" s="23"/>
      <c r="BP1913" s="16"/>
      <c r="BQ1913" s="16"/>
      <c r="BR1913" s="23"/>
      <c r="BS1913" s="16"/>
      <c r="BT1913" s="16"/>
      <c r="BU1913" s="16"/>
      <c r="BV1913" s="16"/>
      <c r="BW1913" s="16"/>
      <c r="BX1913" s="16"/>
      <c r="BY1913" s="16"/>
    </row>
    <row r="1914">
      <c r="A1914" s="16"/>
      <c r="B1914" s="16"/>
      <c r="C1914" s="22"/>
      <c r="D1914" s="16"/>
      <c r="E1914" s="16"/>
      <c r="F1914" s="16"/>
      <c r="G1914" s="16"/>
      <c r="H1914" s="16"/>
      <c r="I1914" s="23"/>
      <c r="J1914" s="23"/>
      <c r="K1914" s="16"/>
      <c r="L1914" s="23"/>
      <c r="M1914" s="23"/>
      <c r="N1914" s="23"/>
      <c r="O1914" s="16"/>
      <c r="P1914" s="23"/>
      <c r="Q1914" s="23"/>
      <c r="R1914" s="23"/>
      <c r="S1914" s="16"/>
      <c r="T1914" s="23"/>
      <c r="U1914" s="23"/>
      <c r="V1914" s="23"/>
      <c r="W1914" s="16"/>
      <c r="X1914" s="23"/>
      <c r="Y1914" s="23"/>
      <c r="Z1914" s="23"/>
      <c r="AA1914" s="16"/>
      <c r="AB1914" s="23"/>
      <c r="AC1914" s="23"/>
      <c r="AD1914" s="23"/>
      <c r="AE1914" s="16"/>
      <c r="AF1914" s="23"/>
      <c r="AG1914" s="23"/>
      <c r="AH1914" s="23"/>
      <c r="AI1914" s="16"/>
      <c r="AJ1914" s="23"/>
      <c r="AK1914" s="23"/>
      <c r="AL1914" s="23"/>
      <c r="AM1914" s="16"/>
      <c r="AN1914" s="23"/>
      <c r="AO1914" s="23"/>
      <c r="AP1914" s="23"/>
      <c r="AQ1914" s="16"/>
      <c r="AR1914" s="23"/>
      <c r="AS1914" s="23"/>
      <c r="AT1914" s="23"/>
      <c r="AU1914" s="16"/>
      <c r="AV1914" s="23"/>
      <c r="AW1914" s="23"/>
      <c r="AX1914" s="23"/>
      <c r="AY1914" s="16"/>
      <c r="AZ1914" s="23"/>
      <c r="BA1914" s="23"/>
      <c r="BB1914" s="23"/>
      <c r="BC1914" s="16"/>
      <c r="BD1914" s="23"/>
      <c r="BE1914" s="23"/>
      <c r="BF1914" s="23"/>
      <c r="BG1914" s="16"/>
      <c r="BH1914" s="23"/>
      <c r="BI1914" s="23"/>
      <c r="BJ1914" s="23"/>
      <c r="BN1914" s="23"/>
      <c r="BO1914" s="23"/>
      <c r="BP1914" s="16"/>
      <c r="BQ1914" s="16"/>
      <c r="BR1914" s="23"/>
      <c r="BS1914" s="16"/>
      <c r="BT1914" s="16"/>
      <c r="BU1914" s="16"/>
      <c r="BV1914" s="16"/>
      <c r="BW1914" s="16"/>
      <c r="BX1914" s="16"/>
      <c r="BY1914" s="16"/>
    </row>
    <row r="1915">
      <c r="A1915" s="16"/>
      <c r="B1915" s="16"/>
      <c r="C1915" s="22"/>
      <c r="D1915" s="16"/>
      <c r="E1915" s="16"/>
      <c r="F1915" s="16"/>
      <c r="G1915" s="16"/>
      <c r="H1915" s="16"/>
      <c r="I1915" s="23"/>
      <c r="J1915" s="23"/>
      <c r="K1915" s="16"/>
      <c r="L1915" s="23"/>
      <c r="M1915" s="23"/>
      <c r="N1915" s="23"/>
      <c r="O1915" s="16"/>
      <c r="P1915" s="23"/>
      <c r="Q1915" s="23"/>
      <c r="R1915" s="23"/>
      <c r="S1915" s="16"/>
      <c r="T1915" s="23"/>
      <c r="U1915" s="23"/>
      <c r="V1915" s="23"/>
      <c r="W1915" s="16"/>
      <c r="X1915" s="23"/>
      <c r="Y1915" s="23"/>
      <c r="Z1915" s="23"/>
      <c r="AA1915" s="16"/>
      <c r="AB1915" s="23"/>
      <c r="AC1915" s="23"/>
      <c r="AD1915" s="23"/>
      <c r="AE1915" s="16"/>
      <c r="AF1915" s="23"/>
      <c r="AG1915" s="23"/>
      <c r="AH1915" s="23"/>
      <c r="AI1915" s="16"/>
      <c r="AJ1915" s="23"/>
      <c r="AK1915" s="23"/>
      <c r="AL1915" s="23"/>
      <c r="AM1915" s="16"/>
      <c r="AN1915" s="23"/>
      <c r="AO1915" s="23"/>
      <c r="AP1915" s="23"/>
      <c r="AQ1915" s="16"/>
      <c r="AR1915" s="23"/>
      <c r="AS1915" s="23"/>
      <c r="AT1915" s="23"/>
      <c r="AU1915" s="16"/>
      <c r="AV1915" s="23"/>
      <c r="AW1915" s="23"/>
      <c r="AX1915" s="23"/>
      <c r="AY1915" s="16"/>
      <c r="AZ1915" s="23"/>
      <c r="BA1915" s="23"/>
      <c r="BB1915" s="23"/>
      <c r="BC1915" s="16"/>
      <c r="BD1915" s="23"/>
      <c r="BE1915" s="23"/>
      <c r="BF1915" s="23"/>
      <c r="BG1915" s="16"/>
      <c r="BH1915" s="23"/>
      <c r="BI1915" s="23"/>
      <c r="BJ1915" s="23"/>
      <c r="BN1915" s="23"/>
      <c r="BO1915" s="23"/>
      <c r="BP1915" s="16"/>
      <c r="BQ1915" s="16"/>
      <c r="BR1915" s="23"/>
      <c r="BS1915" s="16"/>
      <c r="BT1915" s="16"/>
      <c r="BU1915" s="16"/>
      <c r="BV1915" s="16"/>
      <c r="BW1915" s="16"/>
      <c r="BX1915" s="16"/>
      <c r="BY1915" s="16"/>
    </row>
    <row r="1916">
      <c r="A1916" s="16"/>
      <c r="B1916" s="16"/>
      <c r="C1916" s="22"/>
      <c r="D1916" s="16"/>
      <c r="E1916" s="16"/>
      <c r="F1916" s="16"/>
      <c r="G1916" s="16"/>
      <c r="H1916" s="16"/>
      <c r="I1916" s="23"/>
      <c r="J1916" s="23"/>
      <c r="K1916" s="16"/>
      <c r="L1916" s="23"/>
      <c r="M1916" s="23"/>
      <c r="N1916" s="23"/>
      <c r="O1916" s="16"/>
      <c r="P1916" s="23"/>
      <c r="Q1916" s="23"/>
      <c r="R1916" s="23"/>
      <c r="S1916" s="16"/>
      <c r="T1916" s="23"/>
      <c r="U1916" s="23"/>
      <c r="V1916" s="23"/>
      <c r="W1916" s="16"/>
      <c r="X1916" s="23"/>
      <c r="Y1916" s="23"/>
      <c r="Z1916" s="23"/>
      <c r="AA1916" s="16"/>
      <c r="AB1916" s="23"/>
      <c r="AC1916" s="23"/>
      <c r="AD1916" s="23"/>
      <c r="AE1916" s="16"/>
      <c r="AF1916" s="23"/>
      <c r="AG1916" s="23"/>
      <c r="AH1916" s="23"/>
      <c r="AI1916" s="16"/>
      <c r="AJ1916" s="23"/>
      <c r="AK1916" s="23"/>
      <c r="AL1916" s="23"/>
      <c r="AM1916" s="16"/>
      <c r="AN1916" s="23"/>
      <c r="AO1916" s="23"/>
      <c r="AP1916" s="23"/>
      <c r="AQ1916" s="16"/>
      <c r="AR1916" s="23"/>
      <c r="AS1916" s="23"/>
      <c r="AT1916" s="23"/>
      <c r="AU1916" s="16"/>
      <c r="AV1916" s="23"/>
      <c r="AW1916" s="23"/>
      <c r="AX1916" s="23"/>
      <c r="AY1916" s="16"/>
      <c r="AZ1916" s="23"/>
      <c r="BA1916" s="23"/>
      <c r="BB1916" s="23"/>
      <c r="BC1916" s="16"/>
      <c r="BD1916" s="23"/>
      <c r="BE1916" s="23"/>
      <c r="BF1916" s="23"/>
      <c r="BG1916" s="16"/>
      <c r="BH1916" s="23"/>
      <c r="BI1916" s="23"/>
      <c r="BJ1916" s="23"/>
      <c r="BN1916" s="23"/>
      <c r="BO1916" s="23"/>
      <c r="BP1916" s="16"/>
      <c r="BQ1916" s="16"/>
      <c r="BR1916" s="23"/>
      <c r="BS1916" s="16"/>
      <c r="BT1916" s="16"/>
      <c r="BU1916" s="16"/>
      <c r="BV1916" s="16"/>
      <c r="BW1916" s="16"/>
      <c r="BX1916" s="16"/>
      <c r="BY1916" s="16"/>
    </row>
    <row r="1917">
      <c r="A1917" s="16"/>
      <c r="B1917" s="16"/>
      <c r="C1917" s="22"/>
      <c r="D1917" s="16"/>
      <c r="E1917" s="16"/>
      <c r="F1917" s="16"/>
      <c r="G1917" s="16"/>
      <c r="H1917" s="16"/>
      <c r="I1917" s="23"/>
      <c r="J1917" s="23"/>
      <c r="K1917" s="16"/>
      <c r="L1917" s="23"/>
      <c r="M1917" s="23"/>
      <c r="N1917" s="23"/>
      <c r="O1917" s="16"/>
      <c r="P1917" s="23"/>
      <c r="Q1917" s="23"/>
      <c r="R1917" s="23"/>
      <c r="S1917" s="16"/>
      <c r="T1917" s="23"/>
      <c r="U1917" s="23"/>
      <c r="V1917" s="23"/>
      <c r="W1917" s="16"/>
      <c r="X1917" s="23"/>
      <c r="Y1917" s="23"/>
      <c r="Z1917" s="23"/>
      <c r="AA1917" s="16"/>
      <c r="AB1917" s="23"/>
      <c r="AC1917" s="23"/>
      <c r="AD1917" s="23"/>
      <c r="AE1917" s="16"/>
      <c r="AF1917" s="23"/>
      <c r="AG1917" s="23"/>
      <c r="AH1917" s="23"/>
      <c r="AI1917" s="16"/>
      <c r="AJ1917" s="23"/>
      <c r="AK1917" s="23"/>
      <c r="AL1917" s="23"/>
      <c r="AM1917" s="16"/>
      <c r="AN1917" s="23"/>
      <c r="AO1917" s="23"/>
      <c r="AP1917" s="23"/>
      <c r="AQ1917" s="16"/>
      <c r="AR1917" s="23"/>
      <c r="AS1917" s="23"/>
      <c r="AT1917" s="23"/>
      <c r="AU1917" s="16"/>
      <c r="AV1917" s="23"/>
      <c r="AW1917" s="23"/>
      <c r="AX1917" s="23"/>
      <c r="AY1917" s="16"/>
      <c r="AZ1917" s="23"/>
      <c r="BA1917" s="23"/>
      <c r="BB1917" s="23"/>
      <c r="BC1917" s="16"/>
      <c r="BD1917" s="23"/>
      <c r="BE1917" s="23"/>
      <c r="BF1917" s="23"/>
      <c r="BG1917" s="16"/>
      <c r="BH1917" s="23"/>
      <c r="BI1917" s="23"/>
      <c r="BJ1917" s="23"/>
      <c r="BN1917" s="23"/>
      <c r="BO1917" s="23"/>
      <c r="BP1917" s="16"/>
      <c r="BQ1917" s="16"/>
      <c r="BR1917" s="23"/>
      <c r="BS1917" s="16"/>
      <c r="BT1917" s="16"/>
      <c r="BU1917" s="16"/>
      <c r="BV1917" s="16"/>
      <c r="BW1917" s="16"/>
      <c r="BX1917" s="16"/>
      <c r="BY1917" s="16"/>
    </row>
    <row r="1918">
      <c r="A1918" s="16"/>
      <c r="B1918" s="16"/>
      <c r="C1918" s="22"/>
      <c r="D1918" s="16"/>
      <c r="E1918" s="16"/>
      <c r="F1918" s="16"/>
      <c r="G1918" s="16"/>
      <c r="H1918" s="16"/>
      <c r="I1918" s="23"/>
      <c r="J1918" s="23"/>
      <c r="K1918" s="16"/>
      <c r="L1918" s="23"/>
      <c r="M1918" s="23"/>
      <c r="N1918" s="23"/>
      <c r="O1918" s="16"/>
      <c r="P1918" s="23"/>
      <c r="Q1918" s="23"/>
      <c r="R1918" s="23"/>
      <c r="S1918" s="16"/>
      <c r="T1918" s="23"/>
      <c r="U1918" s="23"/>
      <c r="V1918" s="23"/>
      <c r="W1918" s="16"/>
      <c r="X1918" s="23"/>
      <c r="Y1918" s="23"/>
      <c r="Z1918" s="23"/>
      <c r="AA1918" s="16"/>
      <c r="AB1918" s="23"/>
      <c r="AC1918" s="23"/>
      <c r="AD1918" s="23"/>
      <c r="AE1918" s="16"/>
      <c r="AF1918" s="23"/>
      <c r="AG1918" s="23"/>
      <c r="AH1918" s="23"/>
      <c r="AI1918" s="16"/>
      <c r="AJ1918" s="23"/>
      <c r="AK1918" s="23"/>
      <c r="AL1918" s="23"/>
      <c r="AM1918" s="16"/>
      <c r="AN1918" s="23"/>
      <c r="AO1918" s="23"/>
      <c r="AP1918" s="23"/>
      <c r="AQ1918" s="16"/>
      <c r="AR1918" s="23"/>
      <c r="AS1918" s="23"/>
      <c r="AT1918" s="23"/>
      <c r="AU1918" s="16"/>
      <c r="AV1918" s="23"/>
      <c r="AW1918" s="23"/>
      <c r="AX1918" s="23"/>
      <c r="AY1918" s="16"/>
      <c r="AZ1918" s="23"/>
      <c r="BA1918" s="23"/>
      <c r="BB1918" s="23"/>
      <c r="BC1918" s="16"/>
      <c r="BD1918" s="23"/>
      <c r="BE1918" s="23"/>
      <c r="BF1918" s="23"/>
      <c r="BG1918" s="16"/>
      <c r="BH1918" s="23"/>
      <c r="BI1918" s="23"/>
      <c r="BJ1918" s="23"/>
      <c r="BN1918" s="23"/>
      <c r="BO1918" s="23"/>
      <c r="BP1918" s="16"/>
      <c r="BQ1918" s="16"/>
      <c r="BR1918" s="23"/>
      <c r="BS1918" s="16"/>
      <c r="BT1918" s="16"/>
      <c r="BU1918" s="16"/>
      <c r="BV1918" s="16"/>
      <c r="BW1918" s="16"/>
      <c r="BX1918" s="16"/>
      <c r="BY1918" s="16"/>
    </row>
    <row r="1919">
      <c r="A1919" s="16"/>
      <c r="B1919" s="16"/>
      <c r="C1919" s="22"/>
      <c r="D1919" s="16"/>
      <c r="E1919" s="16"/>
      <c r="F1919" s="16"/>
      <c r="G1919" s="16"/>
      <c r="H1919" s="16"/>
      <c r="I1919" s="23"/>
      <c r="J1919" s="23"/>
      <c r="K1919" s="16"/>
      <c r="L1919" s="23"/>
      <c r="M1919" s="23"/>
      <c r="N1919" s="23"/>
      <c r="O1919" s="16"/>
      <c r="P1919" s="23"/>
      <c r="Q1919" s="23"/>
      <c r="R1919" s="23"/>
      <c r="S1919" s="16"/>
      <c r="T1919" s="23"/>
      <c r="U1919" s="23"/>
      <c r="V1919" s="23"/>
      <c r="W1919" s="16"/>
      <c r="X1919" s="23"/>
      <c r="Y1919" s="23"/>
      <c r="Z1919" s="23"/>
      <c r="AA1919" s="16"/>
      <c r="AB1919" s="23"/>
      <c r="AC1919" s="23"/>
      <c r="AD1919" s="23"/>
      <c r="AE1919" s="16"/>
      <c r="AF1919" s="23"/>
      <c r="AG1919" s="23"/>
      <c r="AH1919" s="23"/>
      <c r="AI1919" s="16"/>
      <c r="AJ1919" s="23"/>
      <c r="AK1919" s="23"/>
      <c r="AL1919" s="23"/>
      <c r="AM1919" s="16"/>
      <c r="AN1919" s="23"/>
      <c r="AO1919" s="23"/>
      <c r="AP1919" s="23"/>
      <c r="AQ1919" s="16"/>
      <c r="AR1919" s="23"/>
      <c r="AS1919" s="23"/>
      <c r="AT1919" s="23"/>
      <c r="AU1919" s="16"/>
      <c r="AV1919" s="23"/>
      <c r="AW1919" s="23"/>
      <c r="AX1919" s="23"/>
      <c r="AY1919" s="16"/>
      <c r="AZ1919" s="23"/>
      <c r="BA1919" s="23"/>
      <c r="BB1919" s="23"/>
      <c r="BC1919" s="16"/>
      <c r="BD1919" s="23"/>
      <c r="BE1919" s="23"/>
      <c r="BF1919" s="23"/>
      <c r="BG1919" s="16"/>
      <c r="BH1919" s="23"/>
      <c r="BI1919" s="23"/>
      <c r="BJ1919" s="23"/>
      <c r="BN1919" s="23"/>
      <c r="BO1919" s="23"/>
      <c r="BP1919" s="16"/>
      <c r="BQ1919" s="16"/>
      <c r="BR1919" s="23"/>
      <c r="BS1919" s="16"/>
      <c r="BT1919" s="16"/>
      <c r="BU1919" s="16"/>
      <c r="BV1919" s="16"/>
      <c r="BW1919" s="16"/>
      <c r="BX1919" s="16"/>
      <c r="BY1919" s="16"/>
    </row>
    <row r="1920">
      <c r="A1920" s="16"/>
      <c r="B1920" s="16"/>
      <c r="C1920" s="22"/>
      <c r="D1920" s="16"/>
      <c r="E1920" s="16"/>
      <c r="F1920" s="16"/>
      <c r="G1920" s="16"/>
      <c r="H1920" s="16"/>
      <c r="I1920" s="23"/>
      <c r="J1920" s="23"/>
      <c r="K1920" s="16"/>
      <c r="L1920" s="23"/>
      <c r="M1920" s="23"/>
      <c r="N1920" s="23"/>
      <c r="O1920" s="16"/>
      <c r="P1920" s="23"/>
      <c r="Q1920" s="23"/>
      <c r="R1920" s="23"/>
      <c r="S1920" s="16"/>
      <c r="T1920" s="23"/>
      <c r="U1920" s="23"/>
      <c r="V1920" s="23"/>
      <c r="W1920" s="16"/>
      <c r="X1920" s="23"/>
      <c r="Y1920" s="23"/>
      <c r="Z1920" s="23"/>
      <c r="AA1920" s="16"/>
      <c r="AB1920" s="23"/>
      <c r="AC1920" s="23"/>
      <c r="AD1920" s="23"/>
      <c r="AE1920" s="16"/>
      <c r="AF1920" s="23"/>
      <c r="AG1920" s="23"/>
      <c r="AH1920" s="23"/>
      <c r="AI1920" s="16"/>
      <c r="AJ1920" s="23"/>
      <c r="AK1920" s="23"/>
      <c r="AL1920" s="23"/>
      <c r="AM1920" s="16"/>
      <c r="AN1920" s="23"/>
      <c r="AO1920" s="23"/>
      <c r="AP1920" s="23"/>
      <c r="AQ1920" s="16"/>
      <c r="AR1920" s="23"/>
      <c r="AS1920" s="23"/>
      <c r="AT1920" s="23"/>
      <c r="AU1920" s="16"/>
      <c r="AV1920" s="23"/>
      <c r="AW1920" s="23"/>
      <c r="AX1920" s="23"/>
      <c r="AY1920" s="16"/>
      <c r="AZ1920" s="23"/>
      <c r="BA1920" s="23"/>
      <c r="BB1920" s="23"/>
      <c r="BC1920" s="16"/>
      <c r="BD1920" s="23"/>
      <c r="BE1920" s="23"/>
      <c r="BF1920" s="23"/>
      <c r="BG1920" s="16"/>
      <c r="BH1920" s="23"/>
      <c r="BI1920" s="23"/>
      <c r="BJ1920" s="23"/>
      <c r="BN1920" s="23"/>
      <c r="BO1920" s="23"/>
      <c r="BP1920" s="16"/>
      <c r="BQ1920" s="16"/>
      <c r="BR1920" s="23"/>
      <c r="BS1920" s="16"/>
      <c r="BT1920" s="16"/>
      <c r="BU1920" s="16"/>
      <c r="BV1920" s="16"/>
      <c r="BW1920" s="16"/>
      <c r="BX1920" s="16"/>
      <c r="BY1920" s="16"/>
    </row>
    <row r="1921">
      <c r="A1921" s="16"/>
      <c r="B1921" s="16"/>
      <c r="C1921" s="22"/>
      <c r="D1921" s="16"/>
      <c r="E1921" s="16"/>
      <c r="F1921" s="16"/>
      <c r="G1921" s="16"/>
      <c r="H1921" s="16"/>
      <c r="I1921" s="23"/>
      <c r="J1921" s="23"/>
      <c r="K1921" s="16"/>
      <c r="L1921" s="23"/>
      <c r="M1921" s="23"/>
      <c r="N1921" s="23"/>
      <c r="O1921" s="16"/>
      <c r="P1921" s="23"/>
      <c r="Q1921" s="23"/>
      <c r="R1921" s="23"/>
      <c r="S1921" s="16"/>
      <c r="T1921" s="23"/>
      <c r="U1921" s="23"/>
      <c r="V1921" s="23"/>
      <c r="W1921" s="16"/>
      <c r="X1921" s="23"/>
      <c r="Y1921" s="23"/>
      <c r="Z1921" s="23"/>
      <c r="AA1921" s="16"/>
      <c r="AB1921" s="23"/>
      <c r="AC1921" s="23"/>
      <c r="AD1921" s="23"/>
      <c r="AE1921" s="16"/>
      <c r="AF1921" s="23"/>
      <c r="AG1921" s="23"/>
      <c r="AH1921" s="23"/>
      <c r="AI1921" s="16"/>
      <c r="AJ1921" s="23"/>
      <c r="AK1921" s="23"/>
      <c r="AL1921" s="23"/>
      <c r="AM1921" s="16"/>
      <c r="AN1921" s="23"/>
      <c r="AO1921" s="23"/>
      <c r="AP1921" s="23"/>
      <c r="AQ1921" s="16"/>
      <c r="AR1921" s="23"/>
      <c r="AS1921" s="23"/>
      <c r="AT1921" s="23"/>
      <c r="AU1921" s="16"/>
      <c r="AV1921" s="23"/>
      <c r="AW1921" s="23"/>
      <c r="AX1921" s="23"/>
      <c r="AY1921" s="16"/>
      <c r="AZ1921" s="23"/>
      <c r="BA1921" s="23"/>
      <c r="BB1921" s="23"/>
      <c r="BC1921" s="16"/>
      <c r="BD1921" s="23"/>
      <c r="BE1921" s="23"/>
      <c r="BF1921" s="23"/>
      <c r="BG1921" s="16"/>
      <c r="BH1921" s="23"/>
      <c r="BI1921" s="23"/>
      <c r="BJ1921" s="23"/>
      <c r="BN1921" s="23"/>
      <c r="BO1921" s="23"/>
      <c r="BP1921" s="16"/>
      <c r="BQ1921" s="16"/>
      <c r="BR1921" s="23"/>
      <c r="BS1921" s="16"/>
      <c r="BT1921" s="16"/>
      <c r="BU1921" s="16"/>
      <c r="BV1921" s="16"/>
      <c r="BW1921" s="16"/>
      <c r="BX1921" s="16"/>
      <c r="BY1921" s="16"/>
    </row>
    <row r="1922">
      <c r="A1922" s="16"/>
      <c r="B1922" s="16"/>
      <c r="C1922" s="22"/>
      <c r="D1922" s="16"/>
      <c r="E1922" s="16"/>
      <c r="F1922" s="16"/>
      <c r="G1922" s="16"/>
      <c r="H1922" s="16"/>
      <c r="I1922" s="23"/>
      <c r="J1922" s="23"/>
      <c r="K1922" s="16"/>
      <c r="L1922" s="23"/>
      <c r="M1922" s="23"/>
      <c r="N1922" s="23"/>
      <c r="O1922" s="16"/>
      <c r="P1922" s="23"/>
      <c r="Q1922" s="23"/>
      <c r="R1922" s="23"/>
      <c r="S1922" s="16"/>
      <c r="T1922" s="23"/>
      <c r="U1922" s="23"/>
      <c r="V1922" s="23"/>
      <c r="W1922" s="16"/>
      <c r="X1922" s="23"/>
      <c r="Y1922" s="23"/>
      <c r="Z1922" s="23"/>
      <c r="AA1922" s="16"/>
      <c r="AB1922" s="23"/>
      <c r="AC1922" s="23"/>
      <c r="AD1922" s="23"/>
      <c r="AE1922" s="16"/>
      <c r="AF1922" s="23"/>
      <c r="AG1922" s="23"/>
      <c r="AH1922" s="23"/>
      <c r="AI1922" s="16"/>
      <c r="AJ1922" s="23"/>
      <c r="AK1922" s="23"/>
      <c r="AL1922" s="23"/>
      <c r="AM1922" s="16"/>
      <c r="AN1922" s="23"/>
      <c r="AO1922" s="23"/>
      <c r="AP1922" s="23"/>
      <c r="AQ1922" s="16"/>
      <c r="AR1922" s="23"/>
      <c r="AS1922" s="23"/>
      <c r="AT1922" s="23"/>
      <c r="AU1922" s="16"/>
      <c r="AV1922" s="23"/>
      <c r="AW1922" s="23"/>
      <c r="AX1922" s="23"/>
      <c r="AY1922" s="16"/>
      <c r="AZ1922" s="23"/>
      <c r="BA1922" s="23"/>
      <c r="BB1922" s="23"/>
      <c r="BC1922" s="16"/>
      <c r="BD1922" s="23"/>
      <c r="BE1922" s="23"/>
      <c r="BF1922" s="23"/>
      <c r="BG1922" s="16"/>
      <c r="BH1922" s="23"/>
      <c r="BI1922" s="23"/>
      <c r="BJ1922" s="23"/>
      <c r="BN1922" s="23"/>
      <c r="BO1922" s="23"/>
      <c r="BP1922" s="16"/>
      <c r="BQ1922" s="16"/>
      <c r="BR1922" s="23"/>
      <c r="BS1922" s="16"/>
      <c r="BT1922" s="16"/>
      <c r="BU1922" s="16"/>
      <c r="BV1922" s="16"/>
      <c r="BW1922" s="16"/>
      <c r="BX1922" s="16"/>
      <c r="BY1922" s="16"/>
    </row>
    <row r="1923">
      <c r="A1923" s="16"/>
      <c r="B1923" s="16"/>
      <c r="C1923" s="22"/>
      <c r="D1923" s="16"/>
      <c r="E1923" s="16"/>
      <c r="F1923" s="16"/>
      <c r="G1923" s="16"/>
      <c r="H1923" s="16"/>
      <c r="I1923" s="23"/>
      <c r="J1923" s="23"/>
      <c r="K1923" s="16"/>
      <c r="L1923" s="23"/>
      <c r="M1923" s="23"/>
      <c r="N1923" s="23"/>
      <c r="O1923" s="16"/>
      <c r="P1923" s="23"/>
      <c r="Q1923" s="23"/>
      <c r="R1923" s="23"/>
      <c r="S1923" s="16"/>
      <c r="T1923" s="23"/>
      <c r="U1923" s="23"/>
      <c r="V1923" s="23"/>
      <c r="W1923" s="16"/>
      <c r="X1923" s="23"/>
      <c r="Y1923" s="23"/>
      <c r="Z1923" s="23"/>
      <c r="AA1923" s="16"/>
      <c r="AB1923" s="23"/>
      <c r="AC1923" s="23"/>
      <c r="AD1923" s="23"/>
      <c r="AE1923" s="16"/>
      <c r="AF1923" s="23"/>
      <c r="AG1923" s="23"/>
      <c r="AH1923" s="23"/>
      <c r="AI1923" s="16"/>
      <c r="AJ1923" s="23"/>
      <c r="AK1923" s="23"/>
      <c r="AL1923" s="23"/>
      <c r="AM1923" s="16"/>
      <c r="AN1923" s="23"/>
      <c r="AO1923" s="23"/>
      <c r="AP1923" s="23"/>
      <c r="AQ1923" s="16"/>
      <c r="AR1923" s="23"/>
      <c r="AS1923" s="23"/>
      <c r="AT1923" s="23"/>
      <c r="AU1923" s="16"/>
      <c r="AV1923" s="23"/>
      <c r="AW1923" s="23"/>
      <c r="AX1923" s="23"/>
      <c r="AY1923" s="16"/>
      <c r="AZ1923" s="23"/>
      <c r="BA1923" s="23"/>
      <c r="BB1923" s="23"/>
      <c r="BC1923" s="16"/>
      <c r="BD1923" s="23"/>
      <c r="BE1923" s="23"/>
      <c r="BF1923" s="23"/>
      <c r="BG1923" s="16"/>
      <c r="BH1923" s="23"/>
      <c r="BI1923" s="23"/>
      <c r="BJ1923" s="23"/>
      <c r="BN1923" s="23"/>
      <c r="BO1923" s="23"/>
      <c r="BP1923" s="16"/>
      <c r="BQ1923" s="16"/>
      <c r="BR1923" s="23"/>
      <c r="BS1923" s="16"/>
      <c r="BT1923" s="16"/>
      <c r="BU1923" s="16"/>
      <c r="BV1923" s="16"/>
      <c r="BW1923" s="16"/>
      <c r="BX1923" s="16"/>
      <c r="BY1923" s="16"/>
    </row>
    <row r="1924">
      <c r="A1924" s="16"/>
      <c r="B1924" s="16"/>
      <c r="C1924" s="22"/>
      <c r="D1924" s="16"/>
      <c r="E1924" s="16"/>
      <c r="F1924" s="16"/>
      <c r="G1924" s="16"/>
      <c r="H1924" s="16"/>
      <c r="I1924" s="23"/>
      <c r="J1924" s="23"/>
      <c r="K1924" s="16"/>
      <c r="L1924" s="23"/>
      <c r="M1924" s="23"/>
      <c r="N1924" s="23"/>
      <c r="O1924" s="16"/>
      <c r="P1924" s="23"/>
      <c r="Q1924" s="23"/>
      <c r="R1924" s="23"/>
      <c r="S1924" s="16"/>
      <c r="T1924" s="23"/>
      <c r="U1924" s="23"/>
      <c r="V1924" s="23"/>
      <c r="W1924" s="16"/>
      <c r="X1924" s="23"/>
      <c r="Y1924" s="23"/>
      <c r="Z1924" s="23"/>
      <c r="AA1924" s="16"/>
      <c r="AB1924" s="23"/>
      <c r="AC1924" s="23"/>
      <c r="AD1924" s="23"/>
      <c r="AE1924" s="16"/>
      <c r="AF1924" s="23"/>
      <c r="AG1924" s="23"/>
      <c r="AH1924" s="23"/>
      <c r="AI1924" s="16"/>
      <c r="AJ1924" s="23"/>
      <c r="AK1924" s="23"/>
      <c r="AL1924" s="23"/>
      <c r="AM1924" s="16"/>
      <c r="AN1924" s="23"/>
      <c r="AO1924" s="23"/>
      <c r="AP1924" s="23"/>
      <c r="AQ1924" s="16"/>
      <c r="AR1924" s="23"/>
      <c r="AS1924" s="23"/>
      <c r="AT1924" s="23"/>
      <c r="AU1924" s="16"/>
      <c r="AV1924" s="23"/>
      <c r="AW1924" s="23"/>
      <c r="AX1924" s="23"/>
      <c r="AY1924" s="16"/>
      <c r="AZ1924" s="23"/>
      <c r="BA1924" s="23"/>
      <c r="BB1924" s="23"/>
      <c r="BC1924" s="16"/>
      <c r="BD1924" s="23"/>
      <c r="BE1924" s="23"/>
      <c r="BF1924" s="23"/>
      <c r="BG1924" s="16"/>
      <c r="BH1924" s="23"/>
      <c r="BI1924" s="23"/>
      <c r="BJ1924" s="23"/>
      <c r="BN1924" s="23"/>
      <c r="BO1924" s="23"/>
      <c r="BP1924" s="16"/>
      <c r="BQ1924" s="16"/>
      <c r="BR1924" s="23"/>
      <c r="BS1924" s="16"/>
      <c r="BT1924" s="16"/>
      <c r="BU1924" s="16"/>
      <c r="BV1924" s="16"/>
      <c r="BW1924" s="16"/>
      <c r="BX1924" s="16"/>
      <c r="BY1924" s="16"/>
    </row>
    <row r="1925">
      <c r="A1925" s="16"/>
      <c r="B1925" s="16"/>
      <c r="C1925" s="22"/>
      <c r="D1925" s="16"/>
      <c r="E1925" s="16"/>
      <c r="F1925" s="16"/>
      <c r="G1925" s="16"/>
      <c r="H1925" s="16"/>
      <c r="I1925" s="23"/>
      <c r="J1925" s="23"/>
      <c r="K1925" s="16"/>
      <c r="L1925" s="23"/>
      <c r="M1925" s="23"/>
      <c r="N1925" s="23"/>
      <c r="O1925" s="16"/>
      <c r="P1925" s="23"/>
      <c r="Q1925" s="23"/>
      <c r="R1925" s="23"/>
      <c r="S1925" s="16"/>
      <c r="T1925" s="23"/>
      <c r="U1925" s="23"/>
      <c r="V1925" s="23"/>
      <c r="W1925" s="16"/>
      <c r="X1925" s="23"/>
      <c r="Y1925" s="23"/>
      <c r="Z1925" s="23"/>
      <c r="AA1925" s="16"/>
      <c r="AB1925" s="23"/>
      <c r="AC1925" s="23"/>
      <c r="AD1925" s="23"/>
      <c r="AE1925" s="16"/>
      <c r="AF1925" s="23"/>
      <c r="AG1925" s="23"/>
      <c r="AH1925" s="23"/>
      <c r="AI1925" s="16"/>
      <c r="AJ1925" s="23"/>
      <c r="AK1925" s="23"/>
      <c r="AL1925" s="23"/>
      <c r="AM1925" s="16"/>
      <c r="AN1925" s="23"/>
      <c r="AO1925" s="23"/>
      <c r="AP1925" s="23"/>
      <c r="AQ1925" s="16"/>
      <c r="AR1925" s="23"/>
      <c r="AS1925" s="23"/>
      <c r="AT1925" s="23"/>
      <c r="AU1925" s="16"/>
      <c r="AV1925" s="23"/>
      <c r="AW1925" s="23"/>
      <c r="AX1925" s="23"/>
      <c r="AY1925" s="16"/>
      <c r="AZ1925" s="23"/>
      <c r="BA1925" s="23"/>
      <c r="BB1925" s="23"/>
      <c r="BC1925" s="16"/>
      <c r="BD1925" s="23"/>
      <c r="BE1925" s="23"/>
      <c r="BF1925" s="23"/>
      <c r="BG1925" s="16"/>
      <c r="BH1925" s="23"/>
      <c r="BI1925" s="23"/>
      <c r="BJ1925" s="23"/>
      <c r="BN1925" s="23"/>
      <c r="BO1925" s="23"/>
      <c r="BP1925" s="16"/>
      <c r="BQ1925" s="16"/>
      <c r="BR1925" s="23"/>
      <c r="BS1925" s="16"/>
      <c r="BT1925" s="16"/>
      <c r="BU1925" s="16"/>
      <c r="BV1925" s="16"/>
      <c r="BW1925" s="16"/>
      <c r="BX1925" s="16"/>
      <c r="BY1925" s="16"/>
    </row>
    <row r="1926">
      <c r="A1926" s="16"/>
      <c r="B1926" s="16"/>
      <c r="C1926" s="22"/>
      <c r="D1926" s="16"/>
      <c r="E1926" s="16"/>
      <c r="F1926" s="16"/>
      <c r="G1926" s="16"/>
      <c r="H1926" s="16"/>
      <c r="I1926" s="23"/>
      <c r="J1926" s="23"/>
      <c r="K1926" s="16"/>
      <c r="L1926" s="23"/>
      <c r="M1926" s="23"/>
      <c r="N1926" s="23"/>
      <c r="O1926" s="16"/>
      <c r="P1926" s="23"/>
      <c r="Q1926" s="23"/>
      <c r="R1926" s="23"/>
      <c r="S1926" s="16"/>
      <c r="T1926" s="23"/>
      <c r="U1926" s="23"/>
      <c r="V1926" s="23"/>
      <c r="W1926" s="16"/>
      <c r="X1926" s="23"/>
      <c r="Y1926" s="23"/>
      <c r="Z1926" s="23"/>
      <c r="AA1926" s="16"/>
      <c r="AB1926" s="23"/>
      <c r="AC1926" s="23"/>
      <c r="AD1926" s="23"/>
      <c r="AE1926" s="16"/>
      <c r="AF1926" s="23"/>
      <c r="AG1926" s="23"/>
      <c r="AH1926" s="23"/>
      <c r="AI1926" s="16"/>
      <c r="AJ1926" s="23"/>
      <c r="AK1926" s="23"/>
      <c r="AL1926" s="23"/>
      <c r="AM1926" s="16"/>
      <c r="AN1926" s="23"/>
      <c r="AO1926" s="23"/>
      <c r="AP1926" s="23"/>
      <c r="AQ1926" s="16"/>
      <c r="AR1926" s="23"/>
      <c r="AS1926" s="23"/>
      <c r="AT1926" s="23"/>
      <c r="AU1926" s="16"/>
      <c r="AV1926" s="23"/>
      <c r="AW1926" s="23"/>
      <c r="AX1926" s="23"/>
      <c r="AY1926" s="16"/>
      <c r="AZ1926" s="23"/>
      <c r="BA1926" s="23"/>
      <c r="BB1926" s="23"/>
      <c r="BC1926" s="16"/>
      <c r="BD1926" s="23"/>
      <c r="BE1926" s="23"/>
      <c r="BF1926" s="23"/>
      <c r="BG1926" s="16"/>
      <c r="BH1926" s="23"/>
      <c r="BI1926" s="23"/>
      <c r="BJ1926" s="23"/>
      <c r="BN1926" s="23"/>
      <c r="BO1926" s="23"/>
      <c r="BP1926" s="16"/>
      <c r="BQ1926" s="16"/>
      <c r="BR1926" s="23"/>
      <c r="BS1926" s="16"/>
      <c r="BT1926" s="16"/>
      <c r="BU1926" s="16"/>
      <c r="BV1926" s="16"/>
      <c r="BW1926" s="16"/>
      <c r="BX1926" s="16"/>
      <c r="BY1926" s="16"/>
    </row>
    <row r="1927">
      <c r="A1927" s="16"/>
      <c r="B1927" s="16"/>
      <c r="C1927" s="22"/>
      <c r="D1927" s="16"/>
      <c r="E1927" s="16"/>
      <c r="F1927" s="16"/>
      <c r="G1927" s="16"/>
      <c r="H1927" s="16"/>
      <c r="I1927" s="23"/>
      <c r="J1927" s="23"/>
      <c r="K1927" s="16"/>
      <c r="L1927" s="23"/>
      <c r="M1927" s="23"/>
      <c r="N1927" s="23"/>
      <c r="O1927" s="16"/>
      <c r="P1927" s="23"/>
      <c r="Q1927" s="23"/>
      <c r="R1927" s="23"/>
      <c r="S1927" s="16"/>
      <c r="T1927" s="23"/>
      <c r="U1927" s="23"/>
      <c r="V1927" s="23"/>
      <c r="W1927" s="16"/>
      <c r="X1927" s="23"/>
      <c r="Y1927" s="23"/>
      <c r="Z1927" s="23"/>
      <c r="AA1927" s="16"/>
      <c r="AB1927" s="23"/>
      <c r="AC1927" s="23"/>
      <c r="AD1927" s="23"/>
      <c r="AE1927" s="16"/>
      <c r="AF1927" s="23"/>
      <c r="AG1927" s="23"/>
      <c r="AH1927" s="23"/>
      <c r="AI1927" s="16"/>
      <c r="AJ1927" s="23"/>
      <c r="AK1927" s="23"/>
      <c r="AL1927" s="23"/>
      <c r="AM1927" s="16"/>
      <c r="AN1927" s="23"/>
      <c r="AO1927" s="23"/>
      <c r="AP1927" s="23"/>
      <c r="AQ1927" s="16"/>
      <c r="AR1927" s="23"/>
      <c r="AS1927" s="23"/>
      <c r="AT1927" s="23"/>
      <c r="AU1927" s="16"/>
      <c r="AV1927" s="23"/>
      <c r="AW1927" s="23"/>
      <c r="AX1927" s="23"/>
      <c r="AY1927" s="16"/>
      <c r="AZ1927" s="23"/>
      <c r="BA1927" s="23"/>
      <c r="BB1927" s="23"/>
      <c r="BC1927" s="16"/>
      <c r="BD1927" s="23"/>
      <c r="BE1927" s="23"/>
      <c r="BF1927" s="23"/>
      <c r="BG1927" s="16"/>
      <c r="BH1927" s="23"/>
      <c r="BI1927" s="23"/>
      <c r="BJ1927" s="23"/>
      <c r="BN1927" s="23"/>
      <c r="BO1927" s="23"/>
      <c r="BP1927" s="16"/>
      <c r="BQ1927" s="16"/>
      <c r="BR1927" s="23"/>
      <c r="BS1927" s="16"/>
      <c r="BT1927" s="16"/>
      <c r="BU1927" s="16"/>
      <c r="BV1927" s="16"/>
      <c r="BW1927" s="16"/>
      <c r="BX1927" s="16"/>
      <c r="BY1927" s="16"/>
    </row>
    <row r="1928">
      <c r="A1928" s="16"/>
      <c r="B1928" s="16"/>
      <c r="C1928" s="22"/>
      <c r="D1928" s="16"/>
      <c r="E1928" s="16"/>
      <c r="F1928" s="16"/>
      <c r="G1928" s="16"/>
      <c r="H1928" s="16"/>
      <c r="I1928" s="23"/>
      <c r="J1928" s="23"/>
      <c r="K1928" s="16"/>
      <c r="L1928" s="23"/>
      <c r="M1928" s="23"/>
      <c r="N1928" s="23"/>
      <c r="O1928" s="16"/>
      <c r="P1928" s="23"/>
      <c r="Q1928" s="23"/>
      <c r="R1928" s="23"/>
      <c r="S1928" s="16"/>
      <c r="T1928" s="23"/>
      <c r="U1928" s="23"/>
      <c r="V1928" s="23"/>
      <c r="W1928" s="16"/>
      <c r="X1928" s="23"/>
      <c r="Y1928" s="23"/>
      <c r="Z1928" s="23"/>
      <c r="AA1928" s="16"/>
      <c r="AB1928" s="23"/>
      <c r="AC1928" s="23"/>
      <c r="AD1928" s="23"/>
      <c r="AE1928" s="16"/>
      <c r="AF1928" s="23"/>
      <c r="AG1928" s="23"/>
      <c r="AH1928" s="23"/>
      <c r="AI1928" s="16"/>
      <c r="AJ1928" s="23"/>
      <c r="AK1928" s="23"/>
      <c r="AL1928" s="23"/>
      <c r="AM1928" s="16"/>
      <c r="AN1928" s="23"/>
      <c r="AO1928" s="23"/>
      <c r="AP1928" s="23"/>
      <c r="AQ1928" s="16"/>
      <c r="AR1928" s="23"/>
      <c r="AS1928" s="23"/>
      <c r="AT1928" s="23"/>
      <c r="AU1928" s="16"/>
      <c r="AV1928" s="23"/>
      <c r="AW1928" s="23"/>
      <c r="AX1928" s="23"/>
      <c r="AY1928" s="16"/>
      <c r="AZ1928" s="23"/>
      <c r="BA1928" s="23"/>
      <c r="BB1928" s="23"/>
      <c r="BC1928" s="16"/>
      <c r="BD1928" s="23"/>
      <c r="BE1928" s="23"/>
      <c r="BF1928" s="23"/>
      <c r="BG1928" s="16"/>
      <c r="BH1928" s="23"/>
      <c r="BI1928" s="23"/>
      <c r="BJ1928" s="23"/>
      <c r="BN1928" s="23"/>
      <c r="BO1928" s="23"/>
      <c r="BP1928" s="16"/>
      <c r="BQ1928" s="16"/>
      <c r="BR1928" s="23"/>
      <c r="BS1928" s="16"/>
      <c r="BT1928" s="16"/>
      <c r="BU1928" s="16"/>
      <c r="BV1928" s="16"/>
      <c r="BW1928" s="16"/>
      <c r="BX1928" s="16"/>
      <c r="BY1928" s="16"/>
    </row>
    <row r="1929">
      <c r="A1929" s="16"/>
      <c r="B1929" s="16"/>
      <c r="C1929" s="22"/>
      <c r="D1929" s="16"/>
      <c r="E1929" s="16"/>
      <c r="F1929" s="16"/>
      <c r="G1929" s="16"/>
      <c r="H1929" s="16"/>
      <c r="I1929" s="23"/>
      <c r="J1929" s="23"/>
      <c r="K1929" s="16"/>
      <c r="L1929" s="23"/>
      <c r="M1929" s="23"/>
      <c r="N1929" s="23"/>
      <c r="O1929" s="16"/>
      <c r="P1929" s="23"/>
      <c r="Q1929" s="23"/>
      <c r="R1929" s="23"/>
      <c r="S1929" s="16"/>
      <c r="T1929" s="23"/>
      <c r="U1929" s="23"/>
      <c r="V1929" s="23"/>
      <c r="W1929" s="16"/>
      <c r="X1929" s="23"/>
      <c r="Y1929" s="23"/>
      <c r="Z1929" s="23"/>
      <c r="AA1929" s="16"/>
      <c r="AB1929" s="23"/>
      <c r="AC1929" s="23"/>
      <c r="AD1929" s="23"/>
      <c r="AE1929" s="16"/>
      <c r="AF1929" s="23"/>
      <c r="AG1929" s="23"/>
      <c r="AH1929" s="23"/>
      <c r="AI1929" s="16"/>
      <c r="AJ1929" s="23"/>
      <c r="AK1929" s="23"/>
      <c r="AL1929" s="23"/>
      <c r="AM1929" s="16"/>
      <c r="AN1929" s="23"/>
      <c r="AO1929" s="23"/>
      <c r="AP1929" s="23"/>
      <c r="AQ1929" s="16"/>
      <c r="AR1929" s="23"/>
      <c r="AS1929" s="23"/>
      <c r="AT1929" s="23"/>
      <c r="AU1929" s="16"/>
      <c r="AV1929" s="23"/>
      <c r="AW1929" s="23"/>
      <c r="AX1929" s="23"/>
      <c r="AY1929" s="16"/>
      <c r="AZ1929" s="23"/>
      <c r="BA1929" s="23"/>
      <c r="BB1929" s="23"/>
      <c r="BC1929" s="16"/>
      <c r="BD1929" s="23"/>
      <c r="BE1929" s="23"/>
      <c r="BF1929" s="23"/>
      <c r="BG1929" s="16"/>
      <c r="BH1929" s="23"/>
      <c r="BI1929" s="23"/>
      <c r="BJ1929" s="23"/>
      <c r="BN1929" s="23"/>
      <c r="BO1929" s="23"/>
      <c r="BP1929" s="16"/>
      <c r="BQ1929" s="16"/>
      <c r="BR1929" s="23"/>
      <c r="BS1929" s="16"/>
      <c r="BT1929" s="16"/>
      <c r="BU1929" s="16"/>
      <c r="BV1929" s="16"/>
      <c r="BW1929" s="16"/>
      <c r="BX1929" s="16"/>
      <c r="BY1929" s="16"/>
    </row>
    <row r="1930">
      <c r="A1930" s="16"/>
      <c r="B1930" s="16"/>
      <c r="C1930" s="22"/>
      <c r="D1930" s="16"/>
      <c r="E1930" s="16"/>
      <c r="F1930" s="16"/>
      <c r="G1930" s="16"/>
      <c r="H1930" s="16"/>
      <c r="I1930" s="23"/>
      <c r="J1930" s="23"/>
      <c r="K1930" s="16"/>
      <c r="L1930" s="23"/>
      <c r="M1930" s="23"/>
      <c r="N1930" s="23"/>
      <c r="O1930" s="16"/>
      <c r="P1930" s="23"/>
      <c r="Q1930" s="23"/>
      <c r="R1930" s="23"/>
      <c r="S1930" s="16"/>
      <c r="T1930" s="23"/>
      <c r="U1930" s="23"/>
      <c r="V1930" s="23"/>
      <c r="W1930" s="16"/>
      <c r="X1930" s="23"/>
      <c r="Y1930" s="23"/>
      <c r="Z1930" s="23"/>
      <c r="AA1930" s="16"/>
      <c r="AB1930" s="23"/>
      <c r="AC1930" s="23"/>
      <c r="AD1930" s="23"/>
      <c r="AE1930" s="16"/>
      <c r="AF1930" s="23"/>
      <c r="AG1930" s="23"/>
      <c r="AH1930" s="23"/>
      <c r="AI1930" s="16"/>
      <c r="AJ1930" s="23"/>
      <c r="AK1930" s="23"/>
      <c r="AL1930" s="23"/>
      <c r="AM1930" s="16"/>
      <c r="AN1930" s="23"/>
      <c r="AO1930" s="23"/>
      <c r="AP1930" s="23"/>
      <c r="AQ1930" s="16"/>
      <c r="AR1930" s="23"/>
      <c r="AS1930" s="23"/>
      <c r="AT1930" s="23"/>
      <c r="AU1930" s="16"/>
      <c r="AV1930" s="23"/>
      <c r="AW1930" s="23"/>
      <c r="AX1930" s="23"/>
      <c r="AY1930" s="16"/>
      <c r="AZ1930" s="23"/>
      <c r="BA1930" s="23"/>
      <c r="BB1930" s="23"/>
      <c r="BC1930" s="16"/>
      <c r="BD1930" s="23"/>
      <c r="BE1930" s="23"/>
      <c r="BF1930" s="23"/>
      <c r="BG1930" s="16"/>
      <c r="BH1930" s="23"/>
      <c r="BI1930" s="23"/>
      <c r="BJ1930" s="23"/>
      <c r="BN1930" s="23"/>
      <c r="BO1930" s="23"/>
      <c r="BP1930" s="16"/>
      <c r="BQ1930" s="16"/>
      <c r="BR1930" s="23"/>
      <c r="BS1930" s="16"/>
      <c r="BT1930" s="16"/>
      <c r="BU1930" s="16"/>
      <c r="BV1930" s="16"/>
      <c r="BW1930" s="16"/>
      <c r="BX1930" s="16"/>
      <c r="BY1930" s="16"/>
    </row>
    <row r="1931">
      <c r="A1931" s="16"/>
      <c r="B1931" s="16"/>
      <c r="C1931" s="22"/>
      <c r="D1931" s="16"/>
      <c r="E1931" s="16"/>
      <c r="F1931" s="16"/>
      <c r="G1931" s="16"/>
      <c r="H1931" s="16"/>
      <c r="I1931" s="23"/>
      <c r="J1931" s="23"/>
      <c r="K1931" s="16"/>
      <c r="L1931" s="23"/>
      <c r="M1931" s="23"/>
      <c r="N1931" s="23"/>
      <c r="O1931" s="16"/>
      <c r="P1931" s="23"/>
      <c r="Q1931" s="23"/>
      <c r="R1931" s="23"/>
      <c r="S1931" s="16"/>
      <c r="T1931" s="23"/>
      <c r="U1931" s="23"/>
      <c r="V1931" s="23"/>
      <c r="W1931" s="16"/>
      <c r="X1931" s="23"/>
      <c r="Y1931" s="23"/>
      <c r="Z1931" s="23"/>
      <c r="AA1931" s="16"/>
      <c r="AB1931" s="23"/>
      <c r="AC1931" s="23"/>
      <c r="AD1931" s="23"/>
      <c r="AE1931" s="16"/>
      <c r="AF1931" s="23"/>
      <c r="AG1931" s="23"/>
      <c r="AH1931" s="23"/>
      <c r="AI1931" s="16"/>
      <c r="AJ1931" s="23"/>
      <c r="AK1931" s="23"/>
      <c r="AL1931" s="23"/>
      <c r="AM1931" s="16"/>
      <c r="AN1931" s="23"/>
      <c r="AO1931" s="23"/>
      <c r="AP1931" s="23"/>
      <c r="AQ1931" s="16"/>
      <c r="AR1931" s="23"/>
      <c r="AS1931" s="23"/>
      <c r="AT1931" s="23"/>
      <c r="AU1931" s="16"/>
      <c r="AV1931" s="23"/>
      <c r="AW1931" s="23"/>
      <c r="AX1931" s="23"/>
      <c r="AY1931" s="16"/>
      <c r="AZ1931" s="23"/>
      <c r="BA1931" s="23"/>
      <c r="BB1931" s="23"/>
      <c r="BC1931" s="16"/>
      <c r="BD1931" s="23"/>
      <c r="BE1931" s="23"/>
      <c r="BF1931" s="23"/>
      <c r="BG1931" s="16"/>
      <c r="BH1931" s="23"/>
      <c r="BI1931" s="23"/>
      <c r="BJ1931" s="23"/>
      <c r="BN1931" s="23"/>
      <c r="BO1931" s="23"/>
      <c r="BP1931" s="16"/>
      <c r="BQ1931" s="16"/>
      <c r="BR1931" s="23"/>
      <c r="BS1931" s="16"/>
      <c r="BT1931" s="16"/>
      <c r="BU1931" s="16"/>
      <c r="BV1931" s="16"/>
      <c r="BW1931" s="16"/>
      <c r="BX1931" s="16"/>
      <c r="BY1931" s="16"/>
    </row>
    <row r="1932">
      <c r="A1932" s="16"/>
      <c r="B1932" s="16"/>
      <c r="C1932" s="22"/>
      <c r="D1932" s="16"/>
      <c r="E1932" s="16"/>
      <c r="F1932" s="16"/>
      <c r="G1932" s="16"/>
      <c r="H1932" s="16"/>
      <c r="I1932" s="23"/>
      <c r="J1932" s="23"/>
      <c r="K1932" s="16"/>
      <c r="L1932" s="23"/>
      <c r="M1932" s="23"/>
      <c r="N1932" s="23"/>
      <c r="O1932" s="16"/>
      <c r="P1932" s="23"/>
      <c r="Q1932" s="23"/>
      <c r="R1932" s="23"/>
      <c r="S1932" s="16"/>
      <c r="T1932" s="23"/>
      <c r="U1932" s="23"/>
      <c r="V1932" s="23"/>
      <c r="W1932" s="16"/>
      <c r="X1932" s="23"/>
      <c r="Y1932" s="23"/>
      <c r="Z1932" s="23"/>
      <c r="AA1932" s="16"/>
      <c r="AB1932" s="23"/>
      <c r="AC1932" s="23"/>
      <c r="AD1932" s="23"/>
      <c r="AE1932" s="16"/>
      <c r="AF1932" s="23"/>
      <c r="AG1932" s="23"/>
      <c r="AH1932" s="23"/>
      <c r="AI1932" s="16"/>
      <c r="AJ1932" s="23"/>
      <c r="AK1932" s="23"/>
      <c r="AL1932" s="23"/>
      <c r="AM1932" s="16"/>
      <c r="AN1932" s="23"/>
      <c r="AO1932" s="23"/>
      <c r="AP1932" s="23"/>
      <c r="AQ1932" s="16"/>
      <c r="AR1932" s="23"/>
      <c r="AS1932" s="23"/>
      <c r="AT1932" s="23"/>
      <c r="AU1932" s="16"/>
      <c r="AV1932" s="23"/>
      <c r="AW1932" s="23"/>
      <c r="AX1932" s="23"/>
      <c r="AY1932" s="16"/>
      <c r="AZ1932" s="23"/>
      <c r="BA1932" s="23"/>
      <c r="BB1932" s="23"/>
      <c r="BC1932" s="16"/>
      <c r="BD1932" s="23"/>
      <c r="BE1932" s="23"/>
      <c r="BF1932" s="23"/>
      <c r="BG1932" s="16"/>
      <c r="BH1932" s="23"/>
      <c r="BI1932" s="23"/>
      <c r="BJ1932" s="23"/>
      <c r="BN1932" s="23"/>
      <c r="BO1932" s="23"/>
      <c r="BP1932" s="16"/>
      <c r="BQ1932" s="16"/>
      <c r="BR1932" s="23"/>
      <c r="BS1932" s="16"/>
      <c r="BT1932" s="16"/>
      <c r="BU1932" s="16"/>
      <c r="BV1932" s="16"/>
      <c r="BW1932" s="16"/>
      <c r="BX1932" s="16"/>
      <c r="BY1932" s="16"/>
    </row>
    <row r="1933">
      <c r="A1933" s="16"/>
      <c r="B1933" s="16"/>
      <c r="C1933" s="22"/>
      <c r="D1933" s="16"/>
      <c r="E1933" s="16"/>
      <c r="F1933" s="16"/>
      <c r="G1933" s="16"/>
      <c r="H1933" s="16"/>
      <c r="I1933" s="23"/>
      <c r="J1933" s="23"/>
      <c r="K1933" s="16"/>
      <c r="L1933" s="23"/>
      <c r="M1933" s="23"/>
      <c r="N1933" s="23"/>
      <c r="O1933" s="16"/>
      <c r="P1933" s="23"/>
      <c r="Q1933" s="23"/>
      <c r="R1933" s="23"/>
      <c r="S1933" s="16"/>
      <c r="T1933" s="23"/>
      <c r="U1933" s="23"/>
      <c r="V1933" s="23"/>
      <c r="W1933" s="16"/>
      <c r="X1933" s="23"/>
      <c r="Y1933" s="23"/>
      <c r="Z1933" s="23"/>
      <c r="AA1933" s="16"/>
      <c r="AB1933" s="23"/>
      <c r="AC1933" s="23"/>
      <c r="AD1933" s="23"/>
      <c r="AE1933" s="16"/>
      <c r="AF1933" s="23"/>
      <c r="AG1933" s="23"/>
      <c r="AH1933" s="23"/>
      <c r="AI1933" s="16"/>
      <c r="AJ1933" s="23"/>
      <c r="AK1933" s="23"/>
      <c r="AL1933" s="23"/>
      <c r="AM1933" s="16"/>
      <c r="AN1933" s="23"/>
      <c r="AO1933" s="23"/>
      <c r="AP1933" s="23"/>
      <c r="AQ1933" s="16"/>
      <c r="AR1933" s="23"/>
      <c r="AS1933" s="23"/>
      <c r="AT1933" s="23"/>
      <c r="AU1933" s="16"/>
      <c r="AV1933" s="23"/>
      <c r="AW1933" s="23"/>
      <c r="AX1933" s="23"/>
      <c r="AY1933" s="16"/>
      <c r="AZ1933" s="23"/>
      <c r="BA1933" s="23"/>
      <c r="BB1933" s="23"/>
      <c r="BC1933" s="16"/>
      <c r="BD1933" s="23"/>
      <c r="BE1933" s="23"/>
      <c r="BF1933" s="23"/>
      <c r="BG1933" s="16"/>
      <c r="BH1933" s="23"/>
      <c r="BI1933" s="23"/>
      <c r="BJ1933" s="23"/>
      <c r="BN1933" s="23"/>
      <c r="BO1933" s="23"/>
      <c r="BP1933" s="16"/>
      <c r="BQ1933" s="16"/>
      <c r="BR1933" s="23"/>
      <c r="BS1933" s="16"/>
      <c r="BT1933" s="16"/>
      <c r="BU1933" s="16"/>
      <c r="BV1933" s="16"/>
      <c r="BW1933" s="16"/>
      <c r="BX1933" s="16"/>
      <c r="BY1933" s="16"/>
    </row>
    <row r="1934">
      <c r="A1934" s="16"/>
      <c r="B1934" s="16"/>
      <c r="C1934" s="22"/>
      <c r="D1934" s="16"/>
      <c r="E1934" s="16"/>
      <c r="F1934" s="16"/>
      <c r="G1934" s="16"/>
      <c r="H1934" s="16"/>
      <c r="I1934" s="23"/>
      <c r="J1934" s="23"/>
      <c r="K1934" s="16"/>
      <c r="L1934" s="23"/>
      <c r="M1934" s="23"/>
      <c r="N1934" s="23"/>
      <c r="O1934" s="16"/>
      <c r="P1934" s="23"/>
      <c r="Q1934" s="23"/>
      <c r="R1934" s="23"/>
      <c r="S1934" s="16"/>
      <c r="T1934" s="23"/>
      <c r="U1934" s="23"/>
      <c r="V1934" s="23"/>
      <c r="W1934" s="16"/>
      <c r="X1934" s="23"/>
      <c r="Y1934" s="23"/>
      <c r="Z1934" s="23"/>
      <c r="AA1934" s="16"/>
      <c r="AB1934" s="23"/>
      <c r="AC1934" s="23"/>
      <c r="AD1934" s="23"/>
      <c r="AE1934" s="16"/>
      <c r="AF1934" s="23"/>
      <c r="AG1934" s="23"/>
      <c r="AH1934" s="23"/>
      <c r="AI1934" s="16"/>
      <c r="AJ1934" s="23"/>
      <c r="AK1934" s="23"/>
      <c r="AL1934" s="23"/>
      <c r="AM1934" s="16"/>
      <c r="AN1934" s="23"/>
      <c r="AO1934" s="23"/>
      <c r="AP1934" s="23"/>
      <c r="AQ1934" s="16"/>
      <c r="AR1934" s="23"/>
      <c r="AS1934" s="23"/>
      <c r="AT1934" s="23"/>
      <c r="AU1934" s="16"/>
      <c r="AV1934" s="23"/>
      <c r="AW1934" s="23"/>
      <c r="AX1934" s="23"/>
      <c r="AY1934" s="16"/>
      <c r="AZ1934" s="23"/>
      <c r="BA1934" s="23"/>
      <c r="BB1934" s="23"/>
      <c r="BC1934" s="16"/>
      <c r="BD1934" s="23"/>
      <c r="BE1934" s="23"/>
      <c r="BF1934" s="23"/>
      <c r="BG1934" s="16"/>
      <c r="BH1934" s="23"/>
      <c r="BI1934" s="23"/>
      <c r="BJ1934" s="23"/>
      <c r="BN1934" s="23"/>
      <c r="BO1934" s="23"/>
      <c r="BP1934" s="16"/>
      <c r="BQ1934" s="16"/>
      <c r="BR1934" s="23"/>
      <c r="BS1934" s="16"/>
      <c r="BT1934" s="16"/>
      <c r="BU1934" s="16"/>
      <c r="BV1934" s="16"/>
      <c r="BW1934" s="16"/>
      <c r="BX1934" s="16"/>
      <c r="BY1934" s="16"/>
    </row>
    <row r="1935">
      <c r="A1935" s="16"/>
      <c r="B1935" s="16"/>
      <c r="C1935" s="22"/>
      <c r="D1935" s="16"/>
      <c r="E1935" s="16"/>
      <c r="F1935" s="16"/>
      <c r="G1935" s="16"/>
      <c r="H1935" s="16"/>
      <c r="I1935" s="23"/>
      <c r="J1935" s="23"/>
      <c r="K1935" s="16"/>
      <c r="L1935" s="23"/>
      <c r="M1935" s="23"/>
      <c r="N1935" s="23"/>
      <c r="O1935" s="16"/>
      <c r="P1935" s="23"/>
      <c r="Q1935" s="23"/>
      <c r="R1935" s="23"/>
      <c r="S1935" s="16"/>
      <c r="T1935" s="23"/>
      <c r="U1935" s="23"/>
      <c r="V1935" s="23"/>
      <c r="W1935" s="16"/>
      <c r="X1935" s="23"/>
      <c r="Y1935" s="23"/>
      <c r="Z1935" s="23"/>
      <c r="AA1935" s="16"/>
      <c r="AB1935" s="23"/>
      <c r="AC1935" s="23"/>
      <c r="AD1935" s="23"/>
      <c r="AE1935" s="16"/>
      <c r="AF1935" s="23"/>
      <c r="AG1935" s="23"/>
      <c r="AH1935" s="23"/>
      <c r="AI1935" s="16"/>
      <c r="AJ1935" s="23"/>
      <c r="AK1935" s="23"/>
      <c r="AL1935" s="23"/>
      <c r="AM1935" s="16"/>
      <c r="AN1935" s="23"/>
      <c r="AO1935" s="23"/>
      <c r="AP1935" s="23"/>
      <c r="AQ1935" s="16"/>
      <c r="AR1935" s="23"/>
      <c r="AS1935" s="23"/>
      <c r="AT1935" s="23"/>
      <c r="AU1935" s="16"/>
      <c r="AV1935" s="23"/>
      <c r="AW1935" s="23"/>
      <c r="AX1935" s="23"/>
      <c r="AY1935" s="16"/>
      <c r="AZ1935" s="23"/>
      <c r="BA1935" s="23"/>
      <c r="BB1935" s="23"/>
      <c r="BC1935" s="16"/>
      <c r="BD1935" s="23"/>
      <c r="BE1935" s="23"/>
      <c r="BF1935" s="23"/>
      <c r="BG1935" s="16"/>
      <c r="BH1935" s="23"/>
      <c r="BI1935" s="23"/>
      <c r="BJ1935" s="23"/>
      <c r="BN1935" s="23"/>
      <c r="BO1935" s="23"/>
      <c r="BP1935" s="16"/>
      <c r="BQ1935" s="16"/>
      <c r="BR1935" s="23"/>
      <c r="BS1935" s="16"/>
      <c r="BT1935" s="16"/>
      <c r="BU1935" s="16"/>
      <c r="BV1935" s="16"/>
      <c r="BW1935" s="16"/>
      <c r="BX1935" s="16"/>
      <c r="BY1935" s="16"/>
    </row>
    <row r="1936">
      <c r="A1936" s="16"/>
      <c r="B1936" s="16"/>
      <c r="C1936" s="22"/>
      <c r="D1936" s="16"/>
      <c r="E1936" s="16"/>
      <c r="F1936" s="16"/>
      <c r="G1936" s="16"/>
      <c r="H1936" s="16"/>
      <c r="I1936" s="23"/>
      <c r="J1936" s="23"/>
      <c r="K1936" s="16"/>
      <c r="L1936" s="23"/>
      <c r="M1936" s="23"/>
      <c r="N1936" s="23"/>
      <c r="O1936" s="16"/>
      <c r="P1936" s="23"/>
      <c r="Q1936" s="23"/>
      <c r="R1936" s="23"/>
      <c r="S1936" s="16"/>
      <c r="T1936" s="23"/>
      <c r="U1936" s="23"/>
      <c r="V1936" s="23"/>
      <c r="W1936" s="16"/>
      <c r="X1936" s="23"/>
      <c r="Y1936" s="23"/>
      <c r="Z1936" s="23"/>
      <c r="AA1936" s="16"/>
      <c r="AB1936" s="23"/>
      <c r="AC1936" s="23"/>
      <c r="AD1936" s="23"/>
      <c r="AE1936" s="16"/>
      <c r="AF1936" s="23"/>
      <c r="AG1936" s="23"/>
      <c r="AH1936" s="23"/>
      <c r="AI1936" s="16"/>
      <c r="AJ1936" s="23"/>
      <c r="AK1936" s="23"/>
      <c r="AL1936" s="23"/>
      <c r="AM1936" s="16"/>
      <c r="AN1936" s="23"/>
      <c r="AO1936" s="23"/>
      <c r="AP1936" s="23"/>
      <c r="AQ1936" s="16"/>
      <c r="AR1936" s="23"/>
      <c r="AS1936" s="23"/>
      <c r="AT1936" s="23"/>
      <c r="AU1936" s="16"/>
      <c r="AV1936" s="23"/>
      <c r="AW1936" s="23"/>
      <c r="AX1936" s="23"/>
      <c r="AY1936" s="16"/>
      <c r="AZ1936" s="23"/>
      <c r="BA1936" s="23"/>
      <c r="BB1936" s="23"/>
      <c r="BC1936" s="16"/>
      <c r="BD1936" s="23"/>
      <c r="BE1936" s="23"/>
      <c r="BF1936" s="23"/>
      <c r="BG1936" s="16"/>
      <c r="BH1936" s="23"/>
      <c r="BI1936" s="23"/>
      <c r="BJ1936" s="23"/>
      <c r="BN1936" s="23"/>
      <c r="BO1936" s="23"/>
      <c r="BP1936" s="16"/>
      <c r="BQ1936" s="16"/>
      <c r="BR1936" s="23"/>
      <c r="BS1936" s="16"/>
      <c r="BT1936" s="16"/>
      <c r="BU1936" s="16"/>
      <c r="BV1936" s="16"/>
      <c r="BW1936" s="16"/>
      <c r="BX1936" s="16"/>
      <c r="BY1936" s="16"/>
    </row>
    <row r="1937">
      <c r="A1937" s="16"/>
      <c r="B1937" s="16"/>
      <c r="C1937" s="22"/>
      <c r="D1937" s="16"/>
      <c r="E1937" s="16"/>
      <c r="F1937" s="16"/>
      <c r="G1937" s="16"/>
      <c r="H1937" s="16"/>
      <c r="I1937" s="23"/>
      <c r="J1937" s="23"/>
      <c r="K1937" s="16"/>
      <c r="L1937" s="23"/>
      <c r="M1937" s="23"/>
      <c r="N1937" s="23"/>
      <c r="O1937" s="16"/>
      <c r="P1937" s="23"/>
      <c r="Q1937" s="23"/>
      <c r="R1937" s="23"/>
      <c r="S1937" s="16"/>
      <c r="T1937" s="23"/>
      <c r="U1937" s="23"/>
      <c r="V1937" s="23"/>
      <c r="W1937" s="16"/>
      <c r="X1937" s="23"/>
      <c r="Y1937" s="23"/>
      <c r="Z1937" s="23"/>
      <c r="AA1937" s="16"/>
      <c r="AB1937" s="23"/>
      <c r="AC1937" s="23"/>
      <c r="AD1937" s="23"/>
      <c r="AE1937" s="16"/>
      <c r="AF1937" s="23"/>
      <c r="AG1937" s="23"/>
      <c r="AH1937" s="23"/>
      <c r="AI1937" s="16"/>
      <c r="AJ1937" s="23"/>
      <c r="AK1937" s="23"/>
      <c r="AL1937" s="23"/>
      <c r="AM1937" s="16"/>
      <c r="AN1937" s="23"/>
      <c r="AO1937" s="23"/>
      <c r="AP1937" s="23"/>
      <c r="AQ1937" s="16"/>
      <c r="AR1937" s="23"/>
      <c r="AS1937" s="23"/>
      <c r="AT1937" s="23"/>
      <c r="AU1937" s="16"/>
      <c r="AV1937" s="23"/>
      <c r="AW1937" s="23"/>
      <c r="AX1937" s="23"/>
      <c r="AY1937" s="16"/>
      <c r="AZ1937" s="23"/>
      <c r="BA1937" s="23"/>
      <c r="BB1937" s="23"/>
      <c r="BC1937" s="16"/>
      <c r="BD1937" s="23"/>
      <c r="BE1937" s="23"/>
      <c r="BF1937" s="23"/>
      <c r="BG1937" s="16"/>
      <c r="BH1937" s="23"/>
      <c r="BI1937" s="23"/>
      <c r="BJ1937" s="23"/>
      <c r="BN1937" s="23"/>
      <c r="BO1937" s="23"/>
      <c r="BP1937" s="16"/>
      <c r="BQ1937" s="16"/>
      <c r="BR1937" s="23"/>
      <c r="BS1937" s="16"/>
      <c r="BT1937" s="16"/>
      <c r="BU1937" s="16"/>
      <c r="BV1937" s="16"/>
      <c r="BW1937" s="16"/>
      <c r="BX1937" s="16"/>
      <c r="BY1937" s="16"/>
    </row>
    <row r="1938">
      <c r="A1938" s="16"/>
      <c r="B1938" s="16"/>
      <c r="C1938" s="22"/>
      <c r="D1938" s="16"/>
      <c r="E1938" s="16"/>
      <c r="F1938" s="16"/>
      <c r="G1938" s="16"/>
      <c r="H1938" s="16"/>
      <c r="I1938" s="23"/>
      <c r="J1938" s="23"/>
      <c r="K1938" s="16"/>
      <c r="L1938" s="23"/>
      <c r="M1938" s="23"/>
      <c r="N1938" s="23"/>
      <c r="O1938" s="16"/>
      <c r="P1938" s="23"/>
      <c r="Q1938" s="23"/>
      <c r="R1938" s="23"/>
      <c r="S1938" s="16"/>
      <c r="T1938" s="23"/>
      <c r="U1938" s="23"/>
      <c r="V1938" s="23"/>
      <c r="W1938" s="16"/>
      <c r="X1938" s="23"/>
      <c r="Y1938" s="23"/>
      <c r="Z1938" s="23"/>
      <c r="AA1938" s="16"/>
      <c r="AB1938" s="23"/>
      <c r="AC1938" s="23"/>
      <c r="AD1938" s="23"/>
      <c r="AE1938" s="16"/>
      <c r="AF1938" s="23"/>
      <c r="AG1938" s="23"/>
      <c r="AH1938" s="23"/>
      <c r="AI1938" s="16"/>
      <c r="AJ1938" s="23"/>
      <c r="AK1938" s="23"/>
      <c r="AL1938" s="23"/>
      <c r="AM1938" s="16"/>
      <c r="AN1938" s="23"/>
      <c r="AO1938" s="23"/>
      <c r="AP1938" s="23"/>
      <c r="AQ1938" s="16"/>
      <c r="AR1938" s="23"/>
      <c r="AS1938" s="23"/>
      <c r="AT1938" s="23"/>
      <c r="AU1938" s="16"/>
      <c r="AV1938" s="23"/>
      <c r="AW1938" s="23"/>
      <c r="AX1938" s="23"/>
      <c r="AY1938" s="16"/>
      <c r="AZ1938" s="23"/>
      <c r="BA1938" s="23"/>
      <c r="BB1938" s="23"/>
      <c r="BC1938" s="16"/>
      <c r="BD1938" s="23"/>
      <c r="BE1938" s="23"/>
      <c r="BF1938" s="23"/>
      <c r="BG1938" s="16"/>
      <c r="BH1938" s="23"/>
      <c r="BI1938" s="23"/>
      <c r="BJ1938" s="23"/>
      <c r="BN1938" s="23"/>
      <c r="BO1938" s="23"/>
      <c r="BP1938" s="16"/>
      <c r="BQ1938" s="16"/>
      <c r="BR1938" s="23"/>
      <c r="BS1938" s="16"/>
      <c r="BT1938" s="16"/>
      <c r="BU1938" s="16"/>
      <c r="BV1938" s="16"/>
      <c r="BW1938" s="16"/>
      <c r="BX1938" s="16"/>
      <c r="BY1938" s="16"/>
    </row>
    <row r="1939">
      <c r="A1939" s="16"/>
      <c r="B1939" s="16"/>
      <c r="C1939" s="22"/>
      <c r="D1939" s="16"/>
      <c r="E1939" s="16"/>
      <c r="F1939" s="16"/>
      <c r="G1939" s="16"/>
      <c r="H1939" s="16"/>
      <c r="I1939" s="23"/>
      <c r="J1939" s="23"/>
      <c r="K1939" s="16"/>
      <c r="L1939" s="23"/>
      <c r="M1939" s="23"/>
      <c r="N1939" s="23"/>
      <c r="O1939" s="16"/>
      <c r="P1939" s="23"/>
      <c r="Q1939" s="23"/>
      <c r="R1939" s="23"/>
      <c r="S1939" s="16"/>
      <c r="T1939" s="23"/>
      <c r="U1939" s="23"/>
      <c r="V1939" s="23"/>
      <c r="W1939" s="16"/>
      <c r="X1939" s="23"/>
      <c r="Y1939" s="23"/>
      <c r="Z1939" s="23"/>
      <c r="AA1939" s="16"/>
      <c r="AB1939" s="23"/>
      <c r="AC1939" s="23"/>
      <c r="AD1939" s="23"/>
      <c r="AE1939" s="16"/>
      <c r="AF1939" s="23"/>
      <c r="AG1939" s="23"/>
      <c r="AH1939" s="23"/>
      <c r="AI1939" s="16"/>
      <c r="AJ1939" s="23"/>
      <c r="AK1939" s="23"/>
      <c r="AL1939" s="23"/>
      <c r="AM1939" s="16"/>
      <c r="AN1939" s="23"/>
      <c r="AO1939" s="23"/>
      <c r="AP1939" s="23"/>
      <c r="AQ1939" s="16"/>
      <c r="AR1939" s="23"/>
      <c r="AS1939" s="23"/>
      <c r="AT1939" s="23"/>
      <c r="AU1939" s="16"/>
      <c r="AV1939" s="23"/>
      <c r="AW1939" s="23"/>
      <c r="AX1939" s="23"/>
      <c r="AY1939" s="16"/>
      <c r="AZ1939" s="23"/>
      <c r="BA1939" s="23"/>
      <c r="BB1939" s="23"/>
      <c r="BC1939" s="16"/>
      <c r="BD1939" s="23"/>
      <c r="BE1939" s="23"/>
      <c r="BF1939" s="23"/>
      <c r="BG1939" s="16"/>
      <c r="BH1939" s="23"/>
      <c r="BI1939" s="23"/>
      <c r="BJ1939" s="23"/>
      <c r="BN1939" s="23"/>
      <c r="BO1939" s="23"/>
      <c r="BP1939" s="16"/>
      <c r="BQ1939" s="16"/>
      <c r="BR1939" s="23"/>
      <c r="BS1939" s="16"/>
      <c r="BT1939" s="16"/>
      <c r="BU1939" s="16"/>
      <c r="BV1939" s="16"/>
      <c r="BW1939" s="16"/>
      <c r="BX1939" s="16"/>
      <c r="BY1939" s="16"/>
    </row>
    <row r="1940">
      <c r="A1940" s="16"/>
      <c r="B1940" s="16"/>
      <c r="C1940" s="22"/>
      <c r="D1940" s="16"/>
      <c r="E1940" s="16"/>
      <c r="F1940" s="16"/>
      <c r="G1940" s="16"/>
      <c r="H1940" s="16"/>
      <c r="I1940" s="23"/>
      <c r="J1940" s="23"/>
      <c r="K1940" s="16"/>
      <c r="L1940" s="23"/>
      <c r="M1940" s="23"/>
      <c r="N1940" s="23"/>
      <c r="O1940" s="16"/>
      <c r="P1940" s="23"/>
      <c r="Q1940" s="23"/>
      <c r="R1940" s="23"/>
      <c r="S1940" s="16"/>
      <c r="T1940" s="23"/>
      <c r="U1940" s="23"/>
      <c r="V1940" s="23"/>
      <c r="W1940" s="16"/>
      <c r="X1940" s="23"/>
      <c r="Y1940" s="23"/>
      <c r="Z1940" s="23"/>
      <c r="AA1940" s="16"/>
      <c r="AB1940" s="23"/>
      <c r="AC1940" s="23"/>
      <c r="AD1940" s="23"/>
      <c r="AE1940" s="16"/>
      <c r="AF1940" s="23"/>
      <c r="AG1940" s="23"/>
      <c r="AH1940" s="23"/>
      <c r="AI1940" s="16"/>
      <c r="AJ1940" s="23"/>
      <c r="AK1940" s="23"/>
      <c r="AL1940" s="23"/>
      <c r="AM1940" s="16"/>
      <c r="AN1940" s="23"/>
      <c r="AO1940" s="23"/>
      <c r="AP1940" s="23"/>
      <c r="AQ1940" s="16"/>
      <c r="AR1940" s="23"/>
      <c r="AS1940" s="23"/>
      <c r="AT1940" s="23"/>
      <c r="AU1940" s="16"/>
      <c r="AV1940" s="23"/>
      <c r="AW1940" s="23"/>
      <c r="AX1940" s="23"/>
      <c r="AY1940" s="16"/>
      <c r="AZ1940" s="23"/>
      <c r="BA1940" s="23"/>
      <c r="BB1940" s="23"/>
      <c r="BC1940" s="16"/>
      <c r="BD1940" s="23"/>
      <c r="BE1940" s="23"/>
      <c r="BF1940" s="23"/>
      <c r="BG1940" s="16"/>
      <c r="BH1940" s="23"/>
      <c r="BI1940" s="23"/>
      <c r="BJ1940" s="23"/>
      <c r="BN1940" s="23"/>
      <c r="BO1940" s="23"/>
      <c r="BP1940" s="16"/>
      <c r="BQ1940" s="16"/>
      <c r="BR1940" s="23"/>
      <c r="BS1940" s="16"/>
      <c r="BT1940" s="16"/>
      <c r="BU1940" s="16"/>
      <c r="BV1940" s="16"/>
      <c r="BW1940" s="16"/>
      <c r="BX1940" s="16"/>
      <c r="BY1940" s="16"/>
    </row>
    <row r="1941">
      <c r="A1941" s="16"/>
      <c r="B1941" s="16"/>
      <c r="C1941" s="22"/>
      <c r="D1941" s="16"/>
      <c r="E1941" s="16"/>
      <c r="F1941" s="16"/>
      <c r="G1941" s="16"/>
      <c r="H1941" s="16"/>
      <c r="I1941" s="23"/>
      <c r="J1941" s="23"/>
      <c r="K1941" s="16"/>
      <c r="L1941" s="23"/>
      <c r="M1941" s="23"/>
      <c r="N1941" s="23"/>
      <c r="O1941" s="16"/>
      <c r="P1941" s="23"/>
      <c r="Q1941" s="23"/>
      <c r="R1941" s="23"/>
      <c r="S1941" s="16"/>
      <c r="T1941" s="23"/>
      <c r="U1941" s="23"/>
      <c r="V1941" s="23"/>
      <c r="W1941" s="16"/>
      <c r="X1941" s="23"/>
      <c r="Y1941" s="23"/>
      <c r="Z1941" s="23"/>
      <c r="AA1941" s="16"/>
      <c r="AB1941" s="23"/>
      <c r="AC1941" s="23"/>
      <c r="AD1941" s="23"/>
      <c r="AE1941" s="16"/>
      <c r="AF1941" s="23"/>
      <c r="AG1941" s="23"/>
      <c r="AH1941" s="23"/>
      <c r="AI1941" s="16"/>
      <c r="AJ1941" s="23"/>
      <c r="AK1941" s="23"/>
      <c r="AL1941" s="23"/>
      <c r="AM1941" s="16"/>
      <c r="AN1941" s="23"/>
      <c r="AO1941" s="23"/>
      <c r="AP1941" s="23"/>
      <c r="AQ1941" s="16"/>
      <c r="AR1941" s="23"/>
      <c r="AS1941" s="23"/>
      <c r="AT1941" s="23"/>
      <c r="AU1941" s="16"/>
      <c r="AV1941" s="23"/>
      <c r="AW1941" s="23"/>
      <c r="AX1941" s="23"/>
      <c r="AY1941" s="16"/>
      <c r="AZ1941" s="23"/>
      <c r="BA1941" s="23"/>
      <c r="BB1941" s="23"/>
      <c r="BC1941" s="16"/>
      <c r="BD1941" s="23"/>
      <c r="BE1941" s="23"/>
      <c r="BF1941" s="23"/>
      <c r="BG1941" s="16"/>
      <c r="BH1941" s="23"/>
      <c r="BI1941" s="23"/>
      <c r="BJ1941" s="23"/>
      <c r="BN1941" s="23"/>
      <c r="BO1941" s="23"/>
      <c r="BP1941" s="16"/>
      <c r="BQ1941" s="16"/>
      <c r="BR1941" s="23"/>
      <c r="BS1941" s="16"/>
      <c r="BT1941" s="16"/>
      <c r="BU1941" s="16"/>
      <c r="BV1941" s="16"/>
      <c r="BW1941" s="16"/>
      <c r="BX1941" s="16"/>
      <c r="BY1941" s="16"/>
    </row>
    <row r="1942">
      <c r="A1942" s="16"/>
      <c r="B1942" s="16"/>
      <c r="C1942" s="22"/>
      <c r="D1942" s="16"/>
      <c r="E1942" s="16"/>
      <c r="F1942" s="16"/>
      <c r="G1942" s="16"/>
      <c r="H1942" s="16"/>
      <c r="I1942" s="23"/>
      <c r="J1942" s="23"/>
      <c r="K1942" s="16"/>
      <c r="L1942" s="23"/>
      <c r="M1942" s="23"/>
      <c r="N1942" s="23"/>
      <c r="O1942" s="16"/>
      <c r="P1942" s="23"/>
      <c r="Q1942" s="23"/>
      <c r="R1942" s="23"/>
      <c r="S1942" s="16"/>
      <c r="T1942" s="23"/>
      <c r="U1942" s="23"/>
      <c r="V1942" s="23"/>
      <c r="W1942" s="16"/>
      <c r="X1942" s="23"/>
      <c r="Y1942" s="23"/>
      <c r="Z1942" s="23"/>
      <c r="AA1942" s="16"/>
      <c r="AB1942" s="23"/>
      <c r="AC1942" s="23"/>
      <c r="AD1942" s="23"/>
      <c r="AE1942" s="16"/>
      <c r="AF1942" s="23"/>
      <c r="AG1942" s="23"/>
      <c r="AH1942" s="23"/>
      <c r="AI1942" s="16"/>
      <c r="AJ1942" s="23"/>
      <c r="AK1942" s="23"/>
      <c r="AL1942" s="23"/>
      <c r="AM1942" s="16"/>
      <c r="AN1942" s="23"/>
      <c r="AO1942" s="23"/>
      <c r="AP1942" s="23"/>
      <c r="AQ1942" s="16"/>
      <c r="AR1942" s="23"/>
      <c r="AS1942" s="23"/>
      <c r="AT1942" s="23"/>
      <c r="AU1942" s="16"/>
      <c r="AV1942" s="23"/>
      <c r="AW1942" s="23"/>
      <c r="AX1942" s="23"/>
      <c r="AY1942" s="16"/>
      <c r="AZ1942" s="23"/>
      <c r="BA1942" s="23"/>
      <c r="BB1942" s="23"/>
      <c r="BC1942" s="16"/>
      <c r="BD1942" s="23"/>
      <c r="BE1942" s="23"/>
      <c r="BF1942" s="23"/>
      <c r="BG1942" s="16"/>
      <c r="BH1942" s="23"/>
      <c r="BI1942" s="23"/>
      <c r="BJ1942" s="23"/>
      <c r="BN1942" s="23"/>
      <c r="BO1942" s="23"/>
      <c r="BP1942" s="16"/>
      <c r="BQ1942" s="16"/>
      <c r="BR1942" s="23"/>
      <c r="BS1942" s="16"/>
      <c r="BT1942" s="16"/>
      <c r="BU1942" s="16"/>
      <c r="BV1942" s="16"/>
      <c r="BW1942" s="16"/>
      <c r="BX1942" s="16"/>
      <c r="BY1942" s="16"/>
    </row>
    <row r="1943">
      <c r="A1943" s="16"/>
      <c r="B1943" s="16"/>
      <c r="C1943" s="22"/>
      <c r="D1943" s="16"/>
      <c r="E1943" s="16"/>
      <c r="F1943" s="16"/>
      <c r="G1943" s="16"/>
      <c r="H1943" s="16"/>
      <c r="I1943" s="23"/>
      <c r="J1943" s="23"/>
      <c r="K1943" s="16"/>
      <c r="L1943" s="23"/>
      <c r="M1943" s="23"/>
      <c r="N1943" s="23"/>
      <c r="O1943" s="16"/>
      <c r="P1943" s="23"/>
      <c r="Q1943" s="23"/>
      <c r="R1943" s="23"/>
      <c r="S1943" s="16"/>
      <c r="T1943" s="23"/>
      <c r="U1943" s="23"/>
      <c r="V1943" s="23"/>
      <c r="W1943" s="16"/>
      <c r="X1943" s="23"/>
      <c r="Y1943" s="23"/>
      <c r="Z1943" s="23"/>
      <c r="AA1943" s="16"/>
      <c r="AB1943" s="23"/>
      <c r="AC1943" s="23"/>
      <c r="AD1943" s="23"/>
      <c r="AE1943" s="16"/>
      <c r="AF1943" s="23"/>
      <c r="AG1943" s="23"/>
      <c r="AH1943" s="23"/>
      <c r="AI1943" s="16"/>
      <c r="AJ1943" s="23"/>
      <c r="AK1943" s="23"/>
      <c r="AL1943" s="23"/>
      <c r="AM1943" s="16"/>
      <c r="AN1943" s="23"/>
      <c r="AO1943" s="23"/>
      <c r="AP1943" s="23"/>
      <c r="AQ1943" s="16"/>
      <c r="AR1943" s="23"/>
      <c r="AS1943" s="23"/>
      <c r="AT1943" s="23"/>
      <c r="AU1943" s="16"/>
      <c r="AV1943" s="23"/>
      <c r="AW1943" s="23"/>
      <c r="AX1943" s="23"/>
      <c r="AY1943" s="16"/>
      <c r="AZ1943" s="23"/>
      <c r="BA1943" s="23"/>
      <c r="BB1943" s="23"/>
      <c r="BC1943" s="16"/>
      <c r="BD1943" s="23"/>
      <c r="BE1943" s="23"/>
      <c r="BF1943" s="23"/>
      <c r="BG1943" s="16"/>
      <c r="BH1943" s="23"/>
      <c r="BI1943" s="23"/>
      <c r="BJ1943" s="23"/>
      <c r="BN1943" s="23"/>
      <c r="BO1943" s="23"/>
      <c r="BP1943" s="16"/>
      <c r="BQ1943" s="16"/>
      <c r="BR1943" s="23"/>
      <c r="BS1943" s="16"/>
      <c r="BT1943" s="16"/>
      <c r="BU1943" s="16"/>
      <c r="BV1943" s="16"/>
      <c r="BW1943" s="16"/>
      <c r="BX1943" s="16"/>
      <c r="BY1943" s="16"/>
    </row>
    <row r="1944">
      <c r="A1944" s="16"/>
      <c r="B1944" s="16"/>
      <c r="C1944" s="22"/>
      <c r="D1944" s="16"/>
      <c r="E1944" s="16"/>
      <c r="F1944" s="16"/>
      <c r="G1944" s="16"/>
      <c r="H1944" s="16"/>
      <c r="I1944" s="23"/>
      <c r="J1944" s="23"/>
      <c r="K1944" s="16"/>
      <c r="L1944" s="23"/>
      <c r="M1944" s="23"/>
      <c r="N1944" s="23"/>
      <c r="O1944" s="16"/>
      <c r="P1944" s="23"/>
      <c r="Q1944" s="23"/>
      <c r="R1944" s="23"/>
      <c r="S1944" s="16"/>
      <c r="T1944" s="23"/>
      <c r="U1944" s="23"/>
      <c r="V1944" s="23"/>
      <c r="W1944" s="16"/>
      <c r="X1944" s="23"/>
      <c r="Y1944" s="23"/>
      <c r="Z1944" s="23"/>
      <c r="AA1944" s="16"/>
      <c r="AB1944" s="23"/>
      <c r="AC1944" s="23"/>
      <c r="AD1944" s="23"/>
      <c r="AE1944" s="16"/>
      <c r="AF1944" s="23"/>
      <c r="AG1944" s="23"/>
      <c r="AH1944" s="23"/>
      <c r="AI1944" s="16"/>
      <c r="AJ1944" s="23"/>
      <c r="AK1944" s="23"/>
      <c r="AL1944" s="23"/>
      <c r="AM1944" s="16"/>
      <c r="AN1944" s="23"/>
      <c r="AO1944" s="23"/>
      <c r="AP1944" s="23"/>
      <c r="AQ1944" s="16"/>
      <c r="AR1944" s="23"/>
      <c r="AS1944" s="23"/>
      <c r="AT1944" s="23"/>
      <c r="AU1944" s="16"/>
      <c r="AV1944" s="23"/>
      <c r="AW1944" s="23"/>
      <c r="AX1944" s="23"/>
      <c r="AY1944" s="16"/>
      <c r="AZ1944" s="23"/>
      <c r="BA1944" s="23"/>
      <c r="BB1944" s="23"/>
      <c r="BC1944" s="16"/>
      <c r="BD1944" s="23"/>
      <c r="BE1944" s="23"/>
      <c r="BF1944" s="23"/>
      <c r="BG1944" s="16"/>
      <c r="BH1944" s="23"/>
      <c r="BI1944" s="23"/>
      <c r="BJ1944" s="23"/>
      <c r="BN1944" s="23"/>
      <c r="BO1944" s="23"/>
      <c r="BP1944" s="16"/>
      <c r="BQ1944" s="16"/>
      <c r="BR1944" s="23"/>
      <c r="BS1944" s="16"/>
      <c r="BT1944" s="16"/>
      <c r="BU1944" s="16"/>
      <c r="BV1944" s="16"/>
      <c r="BW1944" s="16"/>
      <c r="BX1944" s="16"/>
      <c r="BY1944" s="16"/>
    </row>
    <row r="1945">
      <c r="A1945" s="16"/>
      <c r="B1945" s="16"/>
      <c r="C1945" s="22"/>
      <c r="D1945" s="16"/>
      <c r="E1945" s="16"/>
      <c r="F1945" s="16"/>
      <c r="G1945" s="16"/>
      <c r="H1945" s="16"/>
      <c r="I1945" s="23"/>
      <c r="J1945" s="23"/>
      <c r="K1945" s="16"/>
      <c r="L1945" s="23"/>
      <c r="M1945" s="23"/>
      <c r="N1945" s="23"/>
      <c r="O1945" s="16"/>
      <c r="P1945" s="23"/>
      <c r="Q1945" s="23"/>
      <c r="R1945" s="23"/>
      <c r="S1945" s="16"/>
      <c r="T1945" s="23"/>
      <c r="U1945" s="23"/>
      <c r="V1945" s="23"/>
      <c r="W1945" s="16"/>
      <c r="X1945" s="23"/>
      <c r="Y1945" s="23"/>
      <c r="Z1945" s="23"/>
      <c r="AA1945" s="16"/>
      <c r="AB1945" s="23"/>
      <c r="AC1945" s="23"/>
      <c r="AD1945" s="23"/>
      <c r="AE1945" s="16"/>
      <c r="AF1945" s="23"/>
      <c r="AG1945" s="23"/>
      <c r="AH1945" s="23"/>
      <c r="AI1945" s="16"/>
      <c r="AJ1945" s="23"/>
      <c r="AK1945" s="23"/>
      <c r="AL1945" s="23"/>
      <c r="AM1945" s="16"/>
      <c r="AN1945" s="23"/>
      <c r="AO1945" s="23"/>
      <c r="AP1945" s="23"/>
      <c r="AQ1945" s="16"/>
      <c r="AR1945" s="23"/>
      <c r="AS1945" s="23"/>
      <c r="AT1945" s="23"/>
      <c r="AU1945" s="16"/>
      <c r="AV1945" s="23"/>
      <c r="AW1945" s="23"/>
      <c r="AX1945" s="23"/>
      <c r="AY1945" s="16"/>
      <c r="AZ1945" s="23"/>
      <c r="BA1945" s="23"/>
      <c r="BB1945" s="23"/>
      <c r="BC1945" s="16"/>
      <c r="BD1945" s="23"/>
      <c r="BE1945" s="23"/>
      <c r="BF1945" s="23"/>
      <c r="BG1945" s="16"/>
      <c r="BH1945" s="23"/>
      <c r="BI1945" s="23"/>
      <c r="BJ1945" s="23"/>
      <c r="BN1945" s="23"/>
      <c r="BO1945" s="23"/>
      <c r="BP1945" s="16"/>
      <c r="BQ1945" s="16"/>
      <c r="BR1945" s="23"/>
      <c r="BS1945" s="16"/>
      <c r="BT1945" s="16"/>
      <c r="BU1945" s="16"/>
      <c r="BV1945" s="16"/>
      <c r="BW1945" s="16"/>
      <c r="BX1945" s="16"/>
      <c r="BY1945" s="16"/>
    </row>
    <row r="1946">
      <c r="A1946" s="16"/>
      <c r="B1946" s="16"/>
      <c r="C1946" s="22"/>
      <c r="D1946" s="16"/>
      <c r="E1946" s="16"/>
      <c r="F1946" s="16"/>
      <c r="G1946" s="16"/>
      <c r="H1946" s="16"/>
      <c r="I1946" s="23"/>
      <c r="J1946" s="23"/>
      <c r="K1946" s="16"/>
      <c r="L1946" s="23"/>
      <c r="M1946" s="23"/>
      <c r="N1946" s="23"/>
      <c r="O1946" s="16"/>
      <c r="P1946" s="23"/>
      <c r="Q1946" s="23"/>
      <c r="R1946" s="23"/>
      <c r="S1946" s="16"/>
      <c r="T1946" s="23"/>
      <c r="U1946" s="23"/>
      <c r="V1946" s="23"/>
      <c r="W1946" s="16"/>
      <c r="X1946" s="23"/>
      <c r="Y1946" s="23"/>
      <c r="Z1946" s="23"/>
      <c r="AA1946" s="16"/>
      <c r="AB1946" s="23"/>
      <c r="AC1946" s="23"/>
      <c r="AD1946" s="23"/>
      <c r="AE1946" s="16"/>
      <c r="AF1946" s="23"/>
      <c r="AG1946" s="23"/>
      <c r="AH1946" s="23"/>
      <c r="AI1946" s="16"/>
      <c r="AJ1946" s="23"/>
      <c r="AK1946" s="23"/>
      <c r="AL1946" s="23"/>
      <c r="AM1946" s="16"/>
      <c r="AN1946" s="23"/>
      <c r="AO1946" s="23"/>
      <c r="AP1946" s="23"/>
      <c r="AQ1946" s="16"/>
      <c r="AR1946" s="23"/>
      <c r="AS1946" s="23"/>
      <c r="AT1946" s="23"/>
      <c r="AU1946" s="16"/>
      <c r="AV1946" s="23"/>
      <c r="AW1946" s="23"/>
      <c r="AX1946" s="23"/>
      <c r="AY1946" s="16"/>
      <c r="AZ1946" s="23"/>
      <c r="BA1946" s="23"/>
      <c r="BB1946" s="23"/>
      <c r="BC1946" s="16"/>
      <c r="BD1946" s="23"/>
      <c r="BE1946" s="23"/>
      <c r="BF1946" s="23"/>
      <c r="BG1946" s="16"/>
      <c r="BH1946" s="23"/>
      <c r="BI1946" s="23"/>
      <c r="BJ1946" s="23"/>
      <c r="BN1946" s="23"/>
      <c r="BO1946" s="23"/>
      <c r="BP1946" s="16"/>
      <c r="BQ1946" s="16"/>
      <c r="BR1946" s="23"/>
      <c r="BS1946" s="16"/>
      <c r="BT1946" s="16"/>
      <c r="BU1946" s="16"/>
      <c r="BV1946" s="16"/>
      <c r="BW1946" s="16"/>
      <c r="BX1946" s="16"/>
      <c r="BY1946" s="16"/>
    </row>
    <row r="1947">
      <c r="A1947" s="16"/>
      <c r="B1947" s="16"/>
      <c r="C1947" s="22"/>
      <c r="D1947" s="16"/>
      <c r="E1947" s="16"/>
      <c r="F1947" s="16"/>
      <c r="G1947" s="16"/>
      <c r="H1947" s="16"/>
      <c r="I1947" s="23"/>
      <c r="J1947" s="23"/>
      <c r="K1947" s="16"/>
      <c r="L1947" s="23"/>
      <c r="M1947" s="23"/>
      <c r="N1947" s="23"/>
      <c r="O1947" s="16"/>
      <c r="P1947" s="23"/>
      <c r="Q1947" s="23"/>
      <c r="R1947" s="23"/>
      <c r="S1947" s="16"/>
      <c r="T1947" s="23"/>
      <c r="U1947" s="23"/>
      <c r="V1947" s="23"/>
      <c r="W1947" s="16"/>
      <c r="X1947" s="23"/>
      <c r="Y1947" s="23"/>
      <c r="Z1947" s="23"/>
      <c r="AA1947" s="16"/>
      <c r="AB1947" s="23"/>
      <c r="AC1947" s="23"/>
      <c r="AD1947" s="23"/>
      <c r="AE1947" s="16"/>
      <c r="AF1947" s="23"/>
      <c r="AG1947" s="23"/>
      <c r="AH1947" s="23"/>
      <c r="AI1947" s="16"/>
      <c r="AJ1947" s="23"/>
      <c r="AK1947" s="23"/>
      <c r="AL1947" s="23"/>
      <c r="AM1947" s="16"/>
      <c r="AN1947" s="23"/>
      <c r="AO1947" s="23"/>
      <c r="AP1947" s="23"/>
      <c r="AQ1947" s="16"/>
      <c r="AR1947" s="23"/>
      <c r="AS1947" s="23"/>
      <c r="AT1947" s="23"/>
      <c r="AU1947" s="16"/>
      <c r="AV1947" s="23"/>
      <c r="AW1947" s="23"/>
      <c r="AX1947" s="23"/>
      <c r="AY1947" s="16"/>
      <c r="AZ1947" s="23"/>
      <c r="BA1947" s="23"/>
      <c r="BB1947" s="23"/>
      <c r="BC1947" s="16"/>
      <c r="BD1947" s="23"/>
      <c r="BE1947" s="23"/>
      <c r="BF1947" s="23"/>
      <c r="BG1947" s="16"/>
      <c r="BH1947" s="23"/>
      <c r="BI1947" s="23"/>
      <c r="BJ1947" s="23"/>
      <c r="BN1947" s="23"/>
      <c r="BO1947" s="23"/>
      <c r="BP1947" s="16"/>
      <c r="BQ1947" s="16"/>
      <c r="BR1947" s="23"/>
      <c r="BS1947" s="16"/>
      <c r="BT1947" s="16"/>
      <c r="BU1947" s="16"/>
      <c r="BV1947" s="16"/>
      <c r="BW1947" s="16"/>
      <c r="BX1947" s="16"/>
      <c r="BY1947" s="16"/>
    </row>
    <row r="1948">
      <c r="A1948" s="16"/>
      <c r="B1948" s="16"/>
      <c r="C1948" s="22"/>
      <c r="D1948" s="16"/>
      <c r="E1948" s="16"/>
      <c r="F1948" s="16"/>
      <c r="G1948" s="16"/>
      <c r="H1948" s="16"/>
      <c r="I1948" s="23"/>
      <c r="J1948" s="23"/>
      <c r="K1948" s="16"/>
      <c r="L1948" s="23"/>
      <c r="M1948" s="23"/>
      <c r="N1948" s="23"/>
      <c r="O1948" s="16"/>
      <c r="P1948" s="23"/>
      <c r="Q1948" s="23"/>
      <c r="R1948" s="23"/>
      <c r="S1948" s="16"/>
      <c r="T1948" s="23"/>
      <c r="U1948" s="23"/>
      <c r="V1948" s="23"/>
      <c r="W1948" s="16"/>
      <c r="X1948" s="23"/>
      <c r="Y1948" s="23"/>
      <c r="Z1948" s="23"/>
      <c r="AA1948" s="16"/>
      <c r="AB1948" s="23"/>
      <c r="AC1948" s="23"/>
      <c r="AD1948" s="23"/>
      <c r="AE1948" s="16"/>
      <c r="AF1948" s="23"/>
      <c r="AG1948" s="23"/>
      <c r="AH1948" s="23"/>
      <c r="AI1948" s="16"/>
      <c r="AJ1948" s="23"/>
      <c r="AK1948" s="23"/>
      <c r="AL1948" s="23"/>
      <c r="AM1948" s="16"/>
      <c r="AN1948" s="23"/>
      <c r="AO1948" s="23"/>
      <c r="AP1948" s="23"/>
      <c r="AQ1948" s="16"/>
      <c r="AR1948" s="23"/>
      <c r="AS1948" s="23"/>
      <c r="AT1948" s="23"/>
      <c r="AU1948" s="16"/>
      <c r="AV1948" s="23"/>
      <c r="AW1948" s="23"/>
      <c r="AX1948" s="23"/>
      <c r="AY1948" s="16"/>
      <c r="AZ1948" s="23"/>
      <c r="BA1948" s="23"/>
      <c r="BB1948" s="23"/>
      <c r="BC1948" s="16"/>
      <c r="BD1948" s="23"/>
      <c r="BE1948" s="23"/>
      <c r="BF1948" s="23"/>
      <c r="BG1948" s="16"/>
      <c r="BH1948" s="23"/>
      <c r="BI1948" s="23"/>
      <c r="BJ1948" s="23"/>
      <c r="BN1948" s="23"/>
      <c r="BO1948" s="23"/>
      <c r="BP1948" s="16"/>
      <c r="BQ1948" s="16"/>
      <c r="BR1948" s="23"/>
      <c r="BS1948" s="16"/>
      <c r="BT1948" s="16"/>
      <c r="BU1948" s="16"/>
      <c r="BV1948" s="16"/>
      <c r="BW1948" s="16"/>
      <c r="BX1948" s="16"/>
      <c r="BY1948" s="16"/>
    </row>
    <row r="1949">
      <c r="A1949" s="16"/>
      <c r="B1949" s="16"/>
      <c r="C1949" s="22"/>
      <c r="D1949" s="16"/>
      <c r="E1949" s="16"/>
      <c r="F1949" s="16"/>
      <c r="G1949" s="16"/>
      <c r="H1949" s="16"/>
      <c r="I1949" s="23"/>
      <c r="J1949" s="23"/>
      <c r="K1949" s="16"/>
      <c r="L1949" s="23"/>
      <c r="M1949" s="23"/>
      <c r="N1949" s="23"/>
      <c r="O1949" s="16"/>
      <c r="P1949" s="23"/>
      <c r="Q1949" s="23"/>
      <c r="R1949" s="23"/>
      <c r="S1949" s="16"/>
      <c r="T1949" s="23"/>
      <c r="U1949" s="23"/>
      <c r="V1949" s="23"/>
      <c r="W1949" s="16"/>
      <c r="X1949" s="23"/>
      <c r="Y1949" s="23"/>
      <c r="Z1949" s="23"/>
      <c r="AA1949" s="16"/>
      <c r="AB1949" s="23"/>
      <c r="AC1949" s="23"/>
      <c r="AD1949" s="23"/>
      <c r="AE1949" s="16"/>
      <c r="AF1949" s="23"/>
      <c r="AG1949" s="23"/>
      <c r="AH1949" s="23"/>
      <c r="AI1949" s="16"/>
      <c r="AJ1949" s="23"/>
      <c r="AK1949" s="23"/>
      <c r="AL1949" s="23"/>
      <c r="AM1949" s="16"/>
      <c r="AN1949" s="23"/>
      <c r="AO1949" s="23"/>
      <c r="AP1949" s="23"/>
      <c r="AQ1949" s="16"/>
      <c r="AR1949" s="23"/>
      <c r="AS1949" s="23"/>
      <c r="AT1949" s="23"/>
      <c r="AU1949" s="16"/>
      <c r="AV1949" s="23"/>
      <c r="AW1949" s="23"/>
      <c r="AX1949" s="23"/>
      <c r="AY1949" s="16"/>
      <c r="AZ1949" s="23"/>
      <c r="BA1949" s="23"/>
      <c r="BB1949" s="23"/>
      <c r="BC1949" s="16"/>
      <c r="BD1949" s="23"/>
      <c r="BE1949" s="23"/>
      <c r="BF1949" s="23"/>
      <c r="BG1949" s="16"/>
      <c r="BH1949" s="23"/>
      <c r="BI1949" s="23"/>
      <c r="BJ1949" s="23"/>
      <c r="BN1949" s="23"/>
      <c r="BO1949" s="23"/>
      <c r="BP1949" s="16"/>
      <c r="BQ1949" s="16"/>
      <c r="BR1949" s="23"/>
      <c r="BS1949" s="16"/>
      <c r="BT1949" s="16"/>
      <c r="BU1949" s="16"/>
      <c r="BV1949" s="16"/>
      <c r="BW1949" s="16"/>
      <c r="BX1949" s="16"/>
      <c r="BY1949" s="16"/>
    </row>
    <row r="1950">
      <c r="A1950" s="16"/>
      <c r="B1950" s="16"/>
      <c r="C1950" s="22"/>
      <c r="D1950" s="16"/>
      <c r="E1950" s="16"/>
      <c r="F1950" s="16"/>
      <c r="G1950" s="16"/>
      <c r="H1950" s="16"/>
      <c r="I1950" s="23"/>
      <c r="J1950" s="23"/>
      <c r="K1950" s="16"/>
      <c r="L1950" s="23"/>
      <c r="M1950" s="23"/>
      <c r="N1950" s="23"/>
      <c r="O1950" s="16"/>
      <c r="P1950" s="23"/>
      <c r="Q1950" s="23"/>
      <c r="R1950" s="23"/>
      <c r="S1950" s="16"/>
      <c r="T1950" s="23"/>
      <c r="U1950" s="23"/>
      <c r="V1950" s="23"/>
      <c r="W1950" s="16"/>
      <c r="X1950" s="23"/>
      <c r="Y1950" s="23"/>
      <c r="Z1950" s="23"/>
      <c r="AA1950" s="16"/>
      <c r="AB1950" s="23"/>
      <c r="AC1950" s="23"/>
      <c r="AD1950" s="23"/>
      <c r="AE1950" s="16"/>
      <c r="AF1950" s="23"/>
      <c r="AG1950" s="23"/>
      <c r="AH1950" s="23"/>
      <c r="AI1950" s="16"/>
      <c r="AJ1950" s="23"/>
      <c r="AK1950" s="23"/>
      <c r="AL1950" s="23"/>
      <c r="AM1950" s="16"/>
      <c r="AN1950" s="23"/>
      <c r="AO1950" s="23"/>
      <c r="AP1950" s="23"/>
      <c r="AQ1950" s="16"/>
      <c r="AR1950" s="23"/>
      <c r="AS1950" s="23"/>
      <c r="AT1950" s="23"/>
      <c r="AU1950" s="16"/>
      <c r="AV1950" s="23"/>
      <c r="AW1950" s="23"/>
      <c r="AX1950" s="23"/>
      <c r="AY1950" s="16"/>
      <c r="AZ1950" s="23"/>
      <c r="BA1950" s="23"/>
      <c r="BB1950" s="23"/>
      <c r="BC1950" s="16"/>
      <c r="BD1950" s="23"/>
      <c r="BE1950" s="23"/>
      <c r="BF1950" s="23"/>
      <c r="BG1950" s="16"/>
      <c r="BH1950" s="23"/>
      <c r="BI1950" s="23"/>
      <c r="BJ1950" s="23"/>
      <c r="BN1950" s="23"/>
      <c r="BO1950" s="23"/>
      <c r="BP1950" s="16"/>
      <c r="BQ1950" s="16"/>
      <c r="BR1950" s="23"/>
      <c r="BS1950" s="16"/>
      <c r="BT1950" s="16"/>
      <c r="BU1950" s="16"/>
      <c r="BV1950" s="16"/>
      <c r="BW1950" s="16"/>
      <c r="BX1950" s="16"/>
      <c r="BY1950" s="16"/>
    </row>
    <row r="1951">
      <c r="A1951" s="16"/>
      <c r="B1951" s="16"/>
      <c r="C1951" s="22"/>
      <c r="D1951" s="16"/>
      <c r="E1951" s="16"/>
      <c r="F1951" s="16"/>
      <c r="G1951" s="16"/>
      <c r="H1951" s="16"/>
      <c r="I1951" s="23"/>
      <c r="J1951" s="23"/>
      <c r="K1951" s="16"/>
      <c r="L1951" s="23"/>
      <c r="M1951" s="23"/>
      <c r="N1951" s="23"/>
      <c r="O1951" s="16"/>
      <c r="P1951" s="23"/>
      <c r="Q1951" s="23"/>
      <c r="R1951" s="23"/>
      <c r="S1951" s="16"/>
      <c r="T1951" s="23"/>
      <c r="U1951" s="23"/>
      <c r="V1951" s="23"/>
      <c r="W1951" s="16"/>
      <c r="X1951" s="23"/>
      <c r="Y1951" s="23"/>
      <c r="Z1951" s="23"/>
      <c r="AA1951" s="16"/>
      <c r="AB1951" s="23"/>
      <c r="AC1951" s="23"/>
      <c r="AD1951" s="23"/>
      <c r="AE1951" s="16"/>
      <c r="AF1951" s="23"/>
      <c r="AG1951" s="23"/>
      <c r="AH1951" s="23"/>
      <c r="AI1951" s="16"/>
      <c r="AJ1951" s="23"/>
      <c r="AK1951" s="23"/>
      <c r="AL1951" s="23"/>
      <c r="AM1951" s="16"/>
      <c r="AN1951" s="23"/>
      <c r="AO1951" s="23"/>
      <c r="AP1951" s="23"/>
      <c r="AQ1951" s="16"/>
      <c r="AR1951" s="23"/>
      <c r="AS1951" s="23"/>
      <c r="AT1951" s="23"/>
      <c r="AU1951" s="16"/>
      <c r="AV1951" s="23"/>
      <c r="AW1951" s="23"/>
      <c r="AX1951" s="23"/>
      <c r="AY1951" s="16"/>
      <c r="AZ1951" s="23"/>
      <c r="BA1951" s="23"/>
      <c r="BB1951" s="23"/>
      <c r="BC1951" s="16"/>
      <c r="BD1951" s="23"/>
      <c r="BE1951" s="23"/>
      <c r="BF1951" s="23"/>
      <c r="BG1951" s="16"/>
      <c r="BH1951" s="23"/>
      <c r="BI1951" s="23"/>
      <c r="BJ1951" s="23"/>
      <c r="BN1951" s="23"/>
      <c r="BO1951" s="23"/>
      <c r="BP1951" s="16"/>
      <c r="BQ1951" s="16"/>
      <c r="BR1951" s="23"/>
      <c r="BS1951" s="16"/>
      <c r="BT1951" s="16"/>
      <c r="BU1951" s="16"/>
      <c r="BV1951" s="16"/>
      <c r="BW1951" s="16"/>
      <c r="BX1951" s="16"/>
      <c r="BY1951" s="16"/>
    </row>
    <row r="1952">
      <c r="A1952" s="16"/>
      <c r="B1952" s="16"/>
      <c r="C1952" s="22"/>
      <c r="D1952" s="16"/>
      <c r="E1952" s="16"/>
      <c r="F1952" s="16"/>
      <c r="G1952" s="16"/>
      <c r="H1952" s="16"/>
      <c r="I1952" s="23"/>
      <c r="J1952" s="23"/>
      <c r="K1952" s="16"/>
      <c r="L1952" s="23"/>
      <c r="M1952" s="23"/>
      <c r="N1952" s="23"/>
      <c r="O1952" s="16"/>
      <c r="P1952" s="23"/>
      <c r="Q1952" s="23"/>
      <c r="R1952" s="23"/>
      <c r="S1952" s="16"/>
      <c r="T1952" s="23"/>
      <c r="U1952" s="23"/>
      <c r="V1952" s="23"/>
      <c r="W1952" s="16"/>
      <c r="X1952" s="23"/>
      <c r="Y1952" s="23"/>
      <c r="Z1952" s="23"/>
      <c r="AA1952" s="16"/>
      <c r="AB1952" s="23"/>
      <c r="AC1952" s="23"/>
      <c r="AD1952" s="23"/>
      <c r="AE1952" s="16"/>
      <c r="AF1952" s="23"/>
      <c r="AG1952" s="23"/>
      <c r="AH1952" s="23"/>
      <c r="AI1952" s="16"/>
      <c r="AJ1952" s="23"/>
      <c r="AK1952" s="23"/>
      <c r="AL1952" s="23"/>
      <c r="AM1952" s="16"/>
      <c r="AN1952" s="23"/>
      <c r="AO1952" s="23"/>
      <c r="AP1952" s="23"/>
      <c r="AQ1952" s="16"/>
      <c r="AR1952" s="23"/>
      <c r="AS1952" s="23"/>
      <c r="AT1952" s="23"/>
      <c r="AU1952" s="16"/>
      <c r="AV1952" s="23"/>
      <c r="AW1952" s="23"/>
      <c r="AX1952" s="23"/>
      <c r="AY1952" s="16"/>
      <c r="AZ1952" s="23"/>
      <c r="BA1952" s="23"/>
      <c r="BB1952" s="23"/>
      <c r="BC1952" s="16"/>
      <c r="BD1952" s="23"/>
      <c r="BE1952" s="23"/>
      <c r="BF1952" s="23"/>
      <c r="BG1952" s="16"/>
      <c r="BH1952" s="23"/>
      <c r="BI1952" s="23"/>
      <c r="BJ1952" s="23"/>
      <c r="BN1952" s="23"/>
      <c r="BO1952" s="23"/>
      <c r="BP1952" s="16"/>
      <c r="BQ1952" s="16"/>
      <c r="BR1952" s="23"/>
      <c r="BS1952" s="16"/>
      <c r="BT1952" s="16"/>
      <c r="BU1952" s="16"/>
      <c r="BV1952" s="16"/>
      <c r="BW1952" s="16"/>
      <c r="BX1952" s="16"/>
      <c r="BY1952" s="16"/>
    </row>
    <row r="1953">
      <c r="A1953" s="16"/>
      <c r="B1953" s="16"/>
      <c r="C1953" s="22"/>
      <c r="D1953" s="16"/>
      <c r="E1953" s="16"/>
      <c r="F1953" s="16"/>
      <c r="G1953" s="16"/>
      <c r="H1953" s="16"/>
      <c r="I1953" s="23"/>
      <c r="J1953" s="23"/>
      <c r="K1953" s="16"/>
      <c r="L1953" s="23"/>
      <c r="M1953" s="23"/>
      <c r="N1953" s="23"/>
      <c r="O1953" s="16"/>
      <c r="P1953" s="23"/>
      <c r="Q1953" s="23"/>
      <c r="R1953" s="23"/>
      <c r="S1953" s="16"/>
      <c r="T1953" s="23"/>
      <c r="U1953" s="23"/>
      <c r="V1953" s="23"/>
      <c r="W1953" s="16"/>
      <c r="X1953" s="23"/>
      <c r="Y1953" s="23"/>
      <c r="Z1953" s="23"/>
      <c r="AA1953" s="16"/>
      <c r="AB1953" s="23"/>
      <c r="AC1953" s="23"/>
      <c r="AD1953" s="23"/>
      <c r="AE1953" s="16"/>
      <c r="AF1953" s="23"/>
      <c r="AG1953" s="23"/>
      <c r="AH1953" s="23"/>
      <c r="AI1953" s="16"/>
      <c r="AJ1953" s="23"/>
      <c r="AK1953" s="23"/>
      <c r="AL1953" s="23"/>
      <c r="AM1953" s="16"/>
      <c r="AN1953" s="23"/>
      <c r="AO1953" s="23"/>
      <c r="AP1953" s="23"/>
      <c r="AQ1953" s="16"/>
      <c r="AR1953" s="23"/>
      <c r="AS1953" s="23"/>
      <c r="AT1953" s="23"/>
      <c r="AU1953" s="16"/>
      <c r="AV1953" s="23"/>
      <c r="AW1953" s="23"/>
      <c r="AX1953" s="23"/>
      <c r="AY1953" s="16"/>
      <c r="AZ1953" s="23"/>
      <c r="BA1953" s="23"/>
      <c r="BB1953" s="23"/>
      <c r="BC1953" s="16"/>
      <c r="BD1953" s="23"/>
      <c r="BE1953" s="23"/>
      <c r="BF1953" s="23"/>
      <c r="BG1953" s="16"/>
      <c r="BH1953" s="23"/>
      <c r="BI1953" s="23"/>
      <c r="BJ1953" s="23"/>
      <c r="BN1953" s="23"/>
      <c r="BO1953" s="23"/>
      <c r="BP1953" s="16"/>
      <c r="BQ1953" s="16"/>
      <c r="BR1953" s="23"/>
      <c r="BS1953" s="16"/>
      <c r="BT1953" s="16"/>
      <c r="BU1953" s="16"/>
      <c r="BV1953" s="16"/>
      <c r="BW1953" s="16"/>
      <c r="BX1953" s="16"/>
      <c r="BY1953" s="16"/>
    </row>
    <row r="1954">
      <c r="A1954" s="16"/>
      <c r="B1954" s="16"/>
      <c r="C1954" s="22"/>
      <c r="D1954" s="16"/>
      <c r="E1954" s="16"/>
      <c r="F1954" s="16"/>
      <c r="G1954" s="16"/>
      <c r="H1954" s="16"/>
      <c r="I1954" s="23"/>
      <c r="J1954" s="23"/>
      <c r="K1954" s="16"/>
      <c r="L1954" s="23"/>
      <c r="M1954" s="23"/>
      <c r="N1954" s="23"/>
      <c r="O1954" s="16"/>
      <c r="P1954" s="23"/>
      <c r="Q1954" s="23"/>
      <c r="R1954" s="23"/>
      <c r="S1954" s="16"/>
      <c r="T1954" s="23"/>
      <c r="U1954" s="23"/>
      <c r="V1954" s="23"/>
      <c r="W1954" s="16"/>
      <c r="X1954" s="23"/>
      <c r="Y1954" s="23"/>
      <c r="Z1954" s="23"/>
      <c r="AA1954" s="16"/>
      <c r="AB1954" s="23"/>
      <c r="AC1954" s="23"/>
      <c r="AD1954" s="23"/>
      <c r="AE1954" s="16"/>
      <c r="AF1954" s="23"/>
      <c r="AG1954" s="23"/>
      <c r="AH1954" s="23"/>
      <c r="AI1954" s="16"/>
      <c r="AJ1954" s="23"/>
      <c r="AK1954" s="23"/>
      <c r="AL1954" s="23"/>
      <c r="AM1954" s="16"/>
      <c r="AN1954" s="23"/>
      <c r="AO1954" s="23"/>
      <c r="AP1954" s="23"/>
      <c r="AQ1954" s="16"/>
      <c r="AR1954" s="23"/>
      <c r="AS1954" s="23"/>
      <c r="AT1954" s="23"/>
      <c r="AU1954" s="16"/>
      <c r="AV1954" s="23"/>
      <c r="AW1954" s="23"/>
      <c r="AX1954" s="23"/>
      <c r="AY1954" s="16"/>
      <c r="AZ1954" s="23"/>
      <c r="BA1954" s="23"/>
      <c r="BB1954" s="23"/>
      <c r="BC1954" s="16"/>
      <c r="BD1954" s="23"/>
      <c r="BE1954" s="23"/>
      <c r="BF1954" s="23"/>
      <c r="BG1954" s="16"/>
      <c r="BH1954" s="23"/>
      <c r="BI1954" s="23"/>
      <c r="BJ1954" s="23"/>
      <c r="BN1954" s="23"/>
      <c r="BO1954" s="23"/>
      <c r="BP1954" s="16"/>
      <c r="BQ1954" s="16"/>
      <c r="BR1954" s="23"/>
      <c r="BS1954" s="16"/>
      <c r="BT1954" s="16"/>
      <c r="BU1954" s="16"/>
      <c r="BV1954" s="16"/>
      <c r="BW1954" s="16"/>
      <c r="BX1954" s="16"/>
      <c r="BY1954" s="16"/>
    </row>
    <row r="1955">
      <c r="A1955" s="16"/>
      <c r="B1955" s="16"/>
      <c r="C1955" s="22"/>
      <c r="D1955" s="16"/>
      <c r="E1955" s="16"/>
      <c r="F1955" s="16"/>
      <c r="G1955" s="16"/>
      <c r="H1955" s="16"/>
      <c r="I1955" s="23"/>
      <c r="J1955" s="23"/>
      <c r="K1955" s="16"/>
      <c r="L1955" s="23"/>
      <c r="M1955" s="23"/>
      <c r="N1955" s="23"/>
      <c r="O1955" s="16"/>
      <c r="P1955" s="23"/>
      <c r="Q1955" s="23"/>
      <c r="R1955" s="23"/>
      <c r="S1955" s="16"/>
      <c r="T1955" s="23"/>
      <c r="U1955" s="23"/>
      <c r="V1955" s="23"/>
      <c r="W1955" s="16"/>
      <c r="X1955" s="23"/>
      <c r="Y1955" s="23"/>
      <c r="Z1955" s="23"/>
      <c r="AA1955" s="16"/>
      <c r="AB1955" s="23"/>
      <c r="AC1955" s="23"/>
      <c r="AD1955" s="23"/>
      <c r="AE1955" s="16"/>
      <c r="AF1955" s="23"/>
      <c r="AG1955" s="23"/>
      <c r="AH1955" s="23"/>
      <c r="AI1955" s="16"/>
      <c r="AJ1955" s="23"/>
      <c r="AK1955" s="23"/>
      <c r="AL1955" s="23"/>
      <c r="AM1955" s="16"/>
      <c r="AN1955" s="23"/>
      <c r="AO1955" s="23"/>
      <c r="AP1955" s="23"/>
      <c r="AQ1955" s="16"/>
      <c r="AR1955" s="23"/>
      <c r="AS1955" s="23"/>
      <c r="AT1955" s="23"/>
      <c r="AU1955" s="16"/>
      <c r="AV1955" s="23"/>
      <c r="AW1955" s="23"/>
      <c r="AX1955" s="23"/>
      <c r="AY1955" s="16"/>
      <c r="AZ1955" s="23"/>
      <c r="BA1955" s="23"/>
      <c r="BB1955" s="23"/>
      <c r="BC1955" s="16"/>
      <c r="BD1955" s="23"/>
      <c r="BE1955" s="23"/>
      <c r="BF1955" s="23"/>
      <c r="BG1955" s="16"/>
      <c r="BH1955" s="23"/>
      <c r="BI1955" s="23"/>
      <c r="BJ1955" s="23"/>
      <c r="BN1955" s="23"/>
      <c r="BO1955" s="23"/>
      <c r="BP1955" s="16"/>
      <c r="BQ1955" s="16"/>
      <c r="BR1955" s="23"/>
      <c r="BS1955" s="16"/>
      <c r="BT1955" s="16"/>
      <c r="BU1955" s="16"/>
      <c r="BV1955" s="16"/>
      <c r="BW1955" s="16"/>
      <c r="BX1955" s="16"/>
      <c r="BY1955" s="16"/>
    </row>
    <row r="1956">
      <c r="A1956" s="16"/>
      <c r="B1956" s="16"/>
      <c r="C1956" s="22"/>
      <c r="D1956" s="16"/>
      <c r="E1956" s="16"/>
      <c r="F1956" s="16"/>
      <c r="G1956" s="16"/>
      <c r="H1956" s="16"/>
      <c r="I1956" s="23"/>
      <c r="J1956" s="23"/>
      <c r="K1956" s="16"/>
      <c r="L1956" s="23"/>
      <c r="M1956" s="23"/>
      <c r="N1956" s="23"/>
      <c r="O1956" s="16"/>
      <c r="P1956" s="23"/>
      <c r="Q1956" s="23"/>
      <c r="R1956" s="23"/>
      <c r="S1956" s="16"/>
      <c r="T1956" s="23"/>
      <c r="U1956" s="23"/>
      <c r="V1956" s="23"/>
      <c r="W1956" s="16"/>
      <c r="X1956" s="23"/>
      <c r="Y1956" s="23"/>
      <c r="Z1956" s="23"/>
      <c r="AA1956" s="16"/>
      <c r="AB1956" s="23"/>
      <c r="AC1956" s="23"/>
      <c r="AD1956" s="23"/>
      <c r="AE1956" s="16"/>
      <c r="AF1956" s="23"/>
      <c r="AG1956" s="23"/>
      <c r="AH1956" s="23"/>
      <c r="AI1956" s="16"/>
      <c r="AJ1956" s="23"/>
      <c r="AK1956" s="23"/>
      <c r="AL1956" s="23"/>
      <c r="AM1956" s="16"/>
      <c r="AN1956" s="23"/>
      <c r="AO1956" s="23"/>
      <c r="AP1956" s="23"/>
      <c r="AQ1956" s="16"/>
      <c r="AR1956" s="23"/>
      <c r="AS1956" s="23"/>
      <c r="AT1956" s="23"/>
      <c r="AU1956" s="16"/>
      <c r="AV1956" s="23"/>
      <c r="AW1956" s="23"/>
      <c r="AX1956" s="23"/>
      <c r="AY1956" s="16"/>
      <c r="AZ1956" s="23"/>
      <c r="BA1956" s="23"/>
      <c r="BB1956" s="23"/>
      <c r="BC1956" s="16"/>
      <c r="BD1956" s="23"/>
      <c r="BE1956" s="23"/>
      <c r="BF1956" s="23"/>
      <c r="BG1956" s="16"/>
      <c r="BH1956" s="23"/>
      <c r="BI1956" s="23"/>
      <c r="BJ1956" s="23"/>
      <c r="BN1956" s="23"/>
      <c r="BO1956" s="23"/>
      <c r="BP1956" s="16"/>
      <c r="BQ1956" s="16"/>
      <c r="BR1956" s="23"/>
      <c r="BS1956" s="16"/>
      <c r="BT1956" s="16"/>
      <c r="BU1956" s="16"/>
      <c r="BV1956" s="16"/>
      <c r="BW1956" s="16"/>
      <c r="BX1956" s="16"/>
      <c r="BY1956" s="16"/>
    </row>
    <row r="1957">
      <c r="A1957" s="16"/>
      <c r="B1957" s="16"/>
      <c r="C1957" s="22"/>
      <c r="D1957" s="16"/>
      <c r="E1957" s="16"/>
      <c r="F1957" s="16"/>
      <c r="G1957" s="16"/>
      <c r="H1957" s="16"/>
      <c r="I1957" s="23"/>
      <c r="J1957" s="23"/>
      <c r="K1957" s="16"/>
      <c r="L1957" s="23"/>
      <c r="M1957" s="23"/>
      <c r="N1957" s="23"/>
      <c r="O1957" s="16"/>
      <c r="P1957" s="23"/>
      <c r="Q1957" s="23"/>
      <c r="R1957" s="23"/>
      <c r="S1957" s="16"/>
      <c r="T1957" s="23"/>
      <c r="U1957" s="23"/>
      <c r="V1957" s="23"/>
      <c r="W1957" s="16"/>
      <c r="X1957" s="23"/>
      <c r="Y1957" s="23"/>
      <c r="Z1957" s="23"/>
      <c r="AA1957" s="16"/>
      <c r="AB1957" s="23"/>
      <c r="AC1957" s="23"/>
      <c r="AD1957" s="23"/>
      <c r="AE1957" s="16"/>
      <c r="AF1957" s="23"/>
      <c r="AG1957" s="23"/>
      <c r="AH1957" s="23"/>
      <c r="AI1957" s="16"/>
      <c r="AJ1957" s="23"/>
      <c r="AK1957" s="23"/>
      <c r="AL1957" s="23"/>
      <c r="AM1957" s="16"/>
      <c r="AN1957" s="23"/>
      <c r="AO1957" s="23"/>
      <c r="AP1957" s="23"/>
      <c r="AQ1957" s="16"/>
      <c r="AR1957" s="23"/>
      <c r="AS1957" s="23"/>
      <c r="AT1957" s="23"/>
      <c r="AU1957" s="16"/>
      <c r="AV1957" s="23"/>
      <c r="AW1957" s="23"/>
      <c r="AX1957" s="23"/>
      <c r="AY1957" s="16"/>
      <c r="AZ1957" s="23"/>
      <c r="BA1957" s="23"/>
      <c r="BB1957" s="23"/>
      <c r="BC1957" s="16"/>
      <c r="BD1957" s="23"/>
      <c r="BE1957" s="23"/>
      <c r="BF1957" s="23"/>
      <c r="BG1957" s="16"/>
      <c r="BH1957" s="23"/>
      <c r="BI1957" s="23"/>
      <c r="BJ1957" s="23"/>
      <c r="BN1957" s="23"/>
      <c r="BO1957" s="23"/>
      <c r="BP1957" s="16"/>
      <c r="BQ1957" s="16"/>
      <c r="BR1957" s="23"/>
      <c r="BS1957" s="16"/>
      <c r="BT1957" s="16"/>
      <c r="BU1957" s="16"/>
      <c r="BV1957" s="16"/>
      <c r="BW1957" s="16"/>
      <c r="BX1957" s="16"/>
      <c r="BY1957" s="16"/>
    </row>
    <row r="1958">
      <c r="A1958" s="16"/>
      <c r="B1958" s="16"/>
      <c r="C1958" s="22"/>
      <c r="D1958" s="16"/>
      <c r="E1958" s="16"/>
      <c r="F1958" s="16"/>
      <c r="G1958" s="16"/>
      <c r="H1958" s="16"/>
      <c r="I1958" s="23"/>
      <c r="J1958" s="23"/>
      <c r="K1958" s="16"/>
      <c r="L1958" s="23"/>
      <c r="M1958" s="23"/>
      <c r="N1958" s="23"/>
      <c r="O1958" s="16"/>
      <c r="P1958" s="23"/>
      <c r="Q1958" s="23"/>
      <c r="R1958" s="23"/>
      <c r="S1958" s="16"/>
      <c r="T1958" s="23"/>
      <c r="U1958" s="23"/>
      <c r="V1958" s="23"/>
      <c r="W1958" s="16"/>
      <c r="X1958" s="23"/>
      <c r="Y1958" s="23"/>
      <c r="Z1958" s="23"/>
      <c r="AA1958" s="16"/>
      <c r="AB1958" s="23"/>
      <c r="AC1958" s="23"/>
      <c r="AD1958" s="23"/>
      <c r="AE1958" s="16"/>
      <c r="AF1958" s="23"/>
      <c r="AG1958" s="23"/>
      <c r="AH1958" s="23"/>
      <c r="AI1958" s="16"/>
      <c r="AJ1958" s="23"/>
      <c r="AK1958" s="23"/>
      <c r="AL1958" s="23"/>
      <c r="AM1958" s="16"/>
      <c r="AN1958" s="23"/>
      <c r="AO1958" s="23"/>
      <c r="AP1958" s="23"/>
      <c r="AQ1958" s="16"/>
      <c r="AR1958" s="23"/>
      <c r="AS1958" s="23"/>
      <c r="AT1958" s="23"/>
      <c r="AU1958" s="16"/>
      <c r="AV1958" s="23"/>
      <c r="AW1958" s="23"/>
      <c r="AX1958" s="23"/>
      <c r="AY1958" s="16"/>
      <c r="AZ1958" s="23"/>
      <c r="BA1958" s="23"/>
      <c r="BB1958" s="23"/>
      <c r="BC1958" s="16"/>
      <c r="BD1958" s="23"/>
      <c r="BE1958" s="23"/>
      <c r="BF1958" s="23"/>
      <c r="BG1958" s="16"/>
      <c r="BH1958" s="23"/>
      <c r="BI1958" s="23"/>
      <c r="BJ1958" s="23"/>
      <c r="BN1958" s="23"/>
      <c r="BO1958" s="23"/>
      <c r="BP1958" s="16"/>
      <c r="BQ1958" s="16"/>
      <c r="BR1958" s="23"/>
      <c r="BS1958" s="16"/>
      <c r="BT1958" s="16"/>
      <c r="BU1958" s="16"/>
      <c r="BV1958" s="16"/>
      <c r="BW1958" s="16"/>
      <c r="BX1958" s="16"/>
      <c r="BY1958" s="16"/>
    </row>
    <row r="1959">
      <c r="A1959" s="16"/>
      <c r="B1959" s="16"/>
      <c r="C1959" s="22"/>
      <c r="D1959" s="16"/>
      <c r="E1959" s="16"/>
      <c r="F1959" s="16"/>
      <c r="G1959" s="16"/>
      <c r="H1959" s="16"/>
      <c r="I1959" s="23"/>
      <c r="J1959" s="23"/>
      <c r="K1959" s="16"/>
      <c r="L1959" s="23"/>
      <c r="M1959" s="23"/>
      <c r="N1959" s="23"/>
      <c r="O1959" s="16"/>
      <c r="P1959" s="23"/>
      <c r="Q1959" s="23"/>
      <c r="R1959" s="23"/>
      <c r="S1959" s="16"/>
      <c r="T1959" s="23"/>
      <c r="U1959" s="23"/>
      <c r="V1959" s="23"/>
      <c r="W1959" s="16"/>
      <c r="X1959" s="23"/>
      <c r="Y1959" s="23"/>
      <c r="Z1959" s="23"/>
      <c r="AA1959" s="16"/>
      <c r="AB1959" s="23"/>
      <c r="AC1959" s="23"/>
      <c r="AD1959" s="23"/>
      <c r="AE1959" s="16"/>
      <c r="AF1959" s="23"/>
      <c r="AG1959" s="23"/>
      <c r="AH1959" s="23"/>
      <c r="AI1959" s="16"/>
      <c r="AJ1959" s="23"/>
      <c r="AK1959" s="23"/>
      <c r="AL1959" s="23"/>
      <c r="AM1959" s="16"/>
      <c r="AN1959" s="23"/>
      <c r="AO1959" s="23"/>
      <c r="AP1959" s="23"/>
      <c r="AQ1959" s="16"/>
      <c r="AR1959" s="23"/>
      <c r="AS1959" s="23"/>
      <c r="AT1959" s="23"/>
      <c r="AU1959" s="16"/>
      <c r="AV1959" s="23"/>
      <c r="AW1959" s="23"/>
      <c r="AX1959" s="23"/>
      <c r="AY1959" s="16"/>
      <c r="AZ1959" s="23"/>
      <c r="BA1959" s="23"/>
      <c r="BB1959" s="23"/>
      <c r="BC1959" s="16"/>
      <c r="BD1959" s="23"/>
      <c r="BE1959" s="23"/>
      <c r="BF1959" s="23"/>
      <c r="BG1959" s="16"/>
      <c r="BH1959" s="23"/>
      <c r="BI1959" s="23"/>
      <c r="BJ1959" s="23"/>
      <c r="BN1959" s="23"/>
      <c r="BO1959" s="23"/>
      <c r="BP1959" s="16"/>
      <c r="BQ1959" s="16"/>
      <c r="BR1959" s="23"/>
      <c r="BS1959" s="16"/>
      <c r="BT1959" s="16"/>
      <c r="BU1959" s="16"/>
      <c r="BV1959" s="16"/>
      <c r="BW1959" s="16"/>
      <c r="BX1959" s="16"/>
      <c r="BY1959" s="16"/>
    </row>
    <row r="1960">
      <c r="A1960" s="16"/>
      <c r="B1960" s="16"/>
      <c r="C1960" s="22"/>
      <c r="D1960" s="16"/>
      <c r="E1960" s="16"/>
      <c r="F1960" s="16"/>
      <c r="G1960" s="16"/>
      <c r="H1960" s="16"/>
      <c r="I1960" s="23"/>
      <c r="J1960" s="23"/>
      <c r="K1960" s="16"/>
      <c r="L1960" s="23"/>
      <c r="M1960" s="23"/>
      <c r="N1960" s="23"/>
      <c r="O1960" s="16"/>
      <c r="P1960" s="23"/>
      <c r="Q1960" s="23"/>
      <c r="R1960" s="23"/>
      <c r="S1960" s="16"/>
      <c r="T1960" s="23"/>
      <c r="U1960" s="23"/>
      <c r="V1960" s="23"/>
      <c r="W1960" s="16"/>
      <c r="X1960" s="23"/>
      <c r="Y1960" s="23"/>
      <c r="Z1960" s="23"/>
      <c r="AA1960" s="16"/>
      <c r="AB1960" s="23"/>
      <c r="AC1960" s="23"/>
      <c r="AD1960" s="23"/>
      <c r="AE1960" s="16"/>
      <c r="AF1960" s="23"/>
      <c r="AG1960" s="23"/>
      <c r="AH1960" s="23"/>
      <c r="AI1960" s="16"/>
      <c r="AJ1960" s="23"/>
      <c r="AK1960" s="23"/>
      <c r="AL1960" s="23"/>
      <c r="AM1960" s="16"/>
      <c r="AN1960" s="23"/>
      <c r="AO1960" s="23"/>
      <c r="AP1960" s="23"/>
      <c r="AQ1960" s="16"/>
      <c r="AR1960" s="23"/>
      <c r="AS1960" s="23"/>
      <c r="AT1960" s="23"/>
      <c r="AU1960" s="16"/>
      <c r="AV1960" s="23"/>
      <c r="AW1960" s="23"/>
      <c r="AX1960" s="23"/>
      <c r="AY1960" s="16"/>
      <c r="AZ1960" s="23"/>
      <c r="BA1960" s="23"/>
      <c r="BB1960" s="23"/>
      <c r="BC1960" s="16"/>
      <c r="BD1960" s="23"/>
      <c r="BE1960" s="23"/>
      <c r="BF1960" s="23"/>
      <c r="BG1960" s="16"/>
      <c r="BH1960" s="23"/>
      <c r="BI1960" s="23"/>
      <c r="BJ1960" s="23"/>
      <c r="BN1960" s="23"/>
      <c r="BO1960" s="23"/>
      <c r="BP1960" s="16"/>
      <c r="BQ1960" s="16"/>
      <c r="BR1960" s="23"/>
      <c r="BS1960" s="16"/>
      <c r="BT1960" s="16"/>
      <c r="BU1960" s="16"/>
      <c r="BV1960" s="16"/>
      <c r="BW1960" s="16"/>
      <c r="BX1960" s="16"/>
      <c r="BY1960" s="16"/>
    </row>
    <row r="1961">
      <c r="A1961" s="16"/>
      <c r="B1961" s="16"/>
      <c r="C1961" s="22"/>
      <c r="D1961" s="16"/>
      <c r="E1961" s="16"/>
      <c r="F1961" s="16"/>
      <c r="G1961" s="16"/>
      <c r="H1961" s="16"/>
      <c r="I1961" s="23"/>
      <c r="J1961" s="23"/>
      <c r="K1961" s="16"/>
      <c r="L1961" s="23"/>
      <c r="M1961" s="23"/>
      <c r="N1961" s="23"/>
      <c r="O1961" s="16"/>
      <c r="P1961" s="23"/>
      <c r="Q1961" s="23"/>
      <c r="R1961" s="23"/>
      <c r="S1961" s="16"/>
      <c r="T1961" s="23"/>
      <c r="U1961" s="23"/>
      <c r="V1961" s="23"/>
      <c r="W1961" s="16"/>
      <c r="X1961" s="23"/>
      <c r="Y1961" s="23"/>
      <c r="Z1961" s="23"/>
      <c r="AA1961" s="16"/>
      <c r="AB1961" s="23"/>
      <c r="AC1961" s="23"/>
      <c r="AD1961" s="23"/>
      <c r="AE1961" s="16"/>
      <c r="AF1961" s="23"/>
      <c r="AG1961" s="23"/>
      <c r="AH1961" s="23"/>
      <c r="AI1961" s="16"/>
      <c r="AJ1961" s="23"/>
      <c r="AK1961" s="23"/>
      <c r="AL1961" s="23"/>
      <c r="AM1961" s="16"/>
      <c r="AN1961" s="23"/>
      <c r="AO1961" s="23"/>
      <c r="AP1961" s="23"/>
      <c r="AQ1961" s="16"/>
      <c r="AR1961" s="23"/>
      <c r="AS1961" s="23"/>
      <c r="AT1961" s="23"/>
      <c r="AU1961" s="16"/>
      <c r="AV1961" s="23"/>
      <c r="AW1961" s="23"/>
      <c r="AX1961" s="23"/>
      <c r="AY1961" s="16"/>
      <c r="AZ1961" s="23"/>
      <c r="BA1961" s="23"/>
      <c r="BB1961" s="23"/>
      <c r="BC1961" s="16"/>
      <c r="BD1961" s="23"/>
      <c r="BE1961" s="23"/>
      <c r="BF1961" s="23"/>
      <c r="BG1961" s="16"/>
      <c r="BH1961" s="23"/>
      <c r="BI1961" s="23"/>
      <c r="BJ1961" s="23"/>
      <c r="BN1961" s="23"/>
      <c r="BO1961" s="23"/>
      <c r="BP1961" s="16"/>
      <c r="BQ1961" s="16"/>
      <c r="BR1961" s="23"/>
      <c r="BS1961" s="16"/>
      <c r="BT1961" s="16"/>
      <c r="BU1961" s="16"/>
      <c r="BV1961" s="16"/>
      <c r="BW1961" s="16"/>
      <c r="BX1961" s="16"/>
      <c r="BY1961" s="16"/>
    </row>
    <row r="1962">
      <c r="A1962" s="16"/>
      <c r="B1962" s="16"/>
      <c r="C1962" s="22"/>
      <c r="D1962" s="16"/>
      <c r="E1962" s="16"/>
      <c r="F1962" s="16"/>
      <c r="G1962" s="16"/>
      <c r="H1962" s="16"/>
      <c r="I1962" s="23"/>
      <c r="J1962" s="23"/>
      <c r="K1962" s="16"/>
      <c r="L1962" s="23"/>
      <c r="M1962" s="23"/>
      <c r="N1962" s="23"/>
      <c r="O1962" s="16"/>
      <c r="P1962" s="23"/>
      <c r="Q1962" s="23"/>
      <c r="R1962" s="23"/>
      <c r="S1962" s="16"/>
      <c r="T1962" s="23"/>
      <c r="U1962" s="23"/>
      <c r="V1962" s="23"/>
      <c r="W1962" s="16"/>
      <c r="X1962" s="23"/>
      <c r="Y1962" s="23"/>
      <c r="Z1962" s="23"/>
      <c r="AA1962" s="16"/>
      <c r="AB1962" s="23"/>
      <c r="AC1962" s="23"/>
      <c r="AD1962" s="23"/>
      <c r="AE1962" s="16"/>
      <c r="AF1962" s="23"/>
      <c r="AG1962" s="23"/>
      <c r="AH1962" s="23"/>
      <c r="AI1962" s="16"/>
      <c r="AJ1962" s="23"/>
      <c r="AK1962" s="23"/>
      <c r="AL1962" s="23"/>
      <c r="AM1962" s="16"/>
      <c r="AN1962" s="23"/>
      <c r="AO1962" s="23"/>
      <c r="AP1962" s="23"/>
      <c r="AQ1962" s="16"/>
      <c r="AR1962" s="23"/>
      <c r="AS1962" s="23"/>
      <c r="AT1962" s="23"/>
      <c r="AU1962" s="16"/>
      <c r="AV1962" s="23"/>
      <c r="AW1962" s="23"/>
      <c r="AX1962" s="23"/>
      <c r="AY1962" s="16"/>
      <c r="AZ1962" s="23"/>
      <c r="BA1962" s="23"/>
      <c r="BB1962" s="23"/>
      <c r="BC1962" s="16"/>
      <c r="BD1962" s="23"/>
      <c r="BE1962" s="23"/>
      <c r="BF1962" s="23"/>
      <c r="BG1962" s="16"/>
      <c r="BH1962" s="23"/>
      <c r="BI1962" s="23"/>
      <c r="BJ1962" s="23"/>
      <c r="BN1962" s="23"/>
      <c r="BO1962" s="23"/>
      <c r="BP1962" s="16"/>
      <c r="BQ1962" s="16"/>
      <c r="BR1962" s="23"/>
      <c r="BS1962" s="16"/>
      <c r="BT1962" s="16"/>
      <c r="BU1962" s="16"/>
      <c r="BV1962" s="16"/>
      <c r="BW1962" s="16"/>
      <c r="BX1962" s="16"/>
      <c r="BY1962" s="16"/>
    </row>
    <row r="1963">
      <c r="A1963" s="16"/>
      <c r="B1963" s="16"/>
      <c r="C1963" s="22"/>
      <c r="D1963" s="16"/>
      <c r="E1963" s="16"/>
      <c r="F1963" s="16"/>
      <c r="G1963" s="16"/>
      <c r="H1963" s="16"/>
      <c r="I1963" s="23"/>
      <c r="J1963" s="23"/>
      <c r="K1963" s="16"/>
      <c r="L1963" s="23"/>
      <c r="M1963" s="23"/>
      <c r="N1963" s="23"/>
      <c r="O1963" s="16"/>
      <c r="P1963" s="23"/>
      <c r="Q1963" s="23"/>
      <c r="R1963" s="23"/>
      <c r="S1963" s="16"/>
      <c r="T1963" s="23"/>
      <c r="U1963" s="23"/>
      <c r="V1963" s="23"/>
      <c r="W1963" s="16"/>
      <c r="X1963" s="23"/>
      <c r="Y1963" s="23"/>
      <c r="Z1963" s="23"/>
      <c r="AA1963" s="16"/>
      <c r="AB1963" s="23"/>
      <c r="AC1963" s="23"/>
      <c r="AD1963" s="23"/>
      <c r="AE1963" s="16"/>
      <c r="AF1963" s="23"/>
      <c r="AG1963" s="23"/>
      <c r="AH1963" s="23"/>
      <c r="AI1963" s="16"/>
      <c r="AJ1963" s="23"/>
      <c r="AK1963" s="23"/>
      <c r="AL1963" s="23"/>
      <c r="AM1963" s="16"/>
      <c r="AN1963" s="23"/>
      <c r="AO1963" s="23"/>
      <c r="AP1963" s="23"/>
      <c r="AQ1963" s="16"/>
      <c r="AR1963" s="23"/>
      <c r="AS1963" s="23"/>
      <c r="AT1963" s="23"/>
      <c r="AU1963" s="16"/>
      <c r="AV1963" s="23"/>
      <c r="AW1963" s="23"/>
      <c r="AX1963" s="23"/>
      <c r="AY1963" s="16"/>
      <c r="AZ1963" s="23"/>
      <c r="BA1963" s="23"/>
      <c r="BB1963" s="23"/>
      <c r="BC1963" s="16"/>
      <c r="BD1963" s="23"/>
      <c r="BE1963" s="23"/>
      <c r="BF1963" s="23"/>
      <c r="BG1963" s="16"/>
      <c r="BH1963" s="23"/>
      <c r="BI1963" s="23"/>
      <c r="BJ1963" s="23"/>
      <c r="BN1963" s="23"/>
      <c r="BO1963" s="23"/>
      <c r="BP1963" s="16"/>
      <c r="BQ1963" s="16"/>
      <c r="BR1963" s="23"/>
      <c r="BS1963" s="16"/>
      <c r="BT1963" s="16"/>
      <c r="BU1963" s="16"/>
      <c r="BV1963" s="16"/>
      <c r="BW1963" s="16"/>
      <c r="BX1963" s="16"/>
      <c r="BY1963" s="16"/>
    </row>
    <row r="1964">
      <c r="A1964" s="16"/>
      <c r="B1964" s="16"/>
      <c r="C1964" s="22"/>
      <c r="D1964" s="16"/>
      <c r="E1964" s="16"/>
      <c r="F1964" s="16"/>
      <c r="G1964" s="16"/>
      <c r="H1964" s="16"/>
      <c r="I1964" s="23"/>
      <c r="J1964" s="23"/>
      <c r="K1964" s="16"/>
      <c r="L1964" s="23"/>
      <c r="M1964" s="23"/>
      <c r="N1964" s="23"/>
      <c r="O1964" s="16"/>
      <c r="P1964" s="23"/>
      <c r="Q1964" s="23"/>
      <c r="R1964" s="23"/>
      <c r="S1964" s="16"/>
      <c r="T1964" s="23"/>
      <c r="U1964" s="23"/>
      <c r="V1964" s="23"/>
      <c r="W1964" s="16"/>
      <c r="X1964" s="23"/>
      <c r="Y1964" s="23"/>
      <c r="Z1964" s="23"/>
      <c r="AA1964" s="16"/>
      <c r="AB1964" s="23"/>
      <c r="AC1964" s="23"/>
      <c r="AD1964" s="23"/>
      <c r="AE1964" s="16"/>
      <c r="AF1964" s="23"/>
      <c r="AG1964" s="23"/>
      <c r="AH1964" s="23"/>
      <c r="AI1964" s="16"/>
      <c r="AJ1964" s="23"/>
      <c r="AK1964" s="23"/>
      <c r="AL1964" s="23"/>
      <c r="AM1964" s="16"/>
      <c r="AN1964" s="23"/>
      <c r="AO1964" s="23"/>
      <c r="AP1964" s="23"/>
      <c r="AQ1964" s="16"/>
      <c r="AR1964" s="23"/>
      <c r="AS1964" s="23"/>
      <c r="AT1964" s="23"/>
      <c r="AU1964" s="16"/>
      <c r="AV1964" s="23"/>
      <c r="AW1964" s="23"/>
      <c r="AX1964" s="23"/>
      <c r="AY1964" s="16"/>
      <c r="AZ1964" s="23"/>
      <c r="BA1964" s="23"/>
      <c r="BB1964" s="23"/>
      <c r="BC1964" s="16"/>
      <c r="BD1964" s="23"/>
      <c r="BE1964" s="23"/>
      <c r="BF1964" s="23"/>
      <c r="BG1964" s="16"/>
      <c r="BH1964" s="23"/>
      <c r="BI1964" s="23"/>
      <c r="BJ1964" s="23"/>
      <c r="BN1964" s="23"/>
      <c r="BO1964" s="23"/>
      <c r="BP1964" s="16"/>
      <c r="BQ1964" s="16"/>
      <c r="BR1964" s="23"/>
      <c r="BS1964" s="16"/>
      <c r="BT1964" s="16"/>
      <c r="BU1964" s="16"/>
      <c r="BV1964" s="16"/>
      <c r="BW1964" s="16"/>
      <c r="BX1964" s="16"/>
      <c r="BY1964" s="16"/>
    </row>
    <row r="1965">
      <c r="A1965" s="16"/>
      <c r="B1965" s="16"/>
      <c r="C1965" s="22"/>
      <c r="D1965" s="16"/>
      <c r="E1965" s="16"/>
      <c r="F1965" s="16"/>
      <c r="G1965" s="16"/>
      <c r="H1965" s="16"/>
      <c r="I1965" s="23"/>
      <c r="J1965" s="23"/>
      <c r="K1965" s="16"/>
      <c r="L1965" s="23"/>
      <c r="M1965" s="23"/>
      <c r="N1965" s="23"/>
      <c r="O1965" s="16"/>
      <c r="P1965" s="23"/>
      <c r="Q1965" s="23"/>
      <c r="R1965" s="23"/>
      <c r="S1965" s="16"/>
      <c r="T1965" s="23"/>
      <c r="U1965" s="23"/>
      <c r="V1965" s="23"/>
      <c r="W1965" s="16"/>
      <c r="X1965" s="23"/>
      <c r="Y1965" s="23"/>
      <c r="Z1965" s="23"/>
      <c r="AA1965" s="16"/>
      <c r="AB1965" s="23"/>
      <c r="AC1965" s="23"/>
      <c r="AD1965" s="23"/>
      <c r="AE1965" s="16"/>
      <c r="AF1965" s="23"/>
      <c r="AG1965" s="23"/>
      <c r="AH1965" s="23"/>
      <c r="AI1965" s="16"/>
      <c r="AJ1965" s="23"/>
      <c r="AK1965" s="23"/>
      <c r="AL1965" s="23"/>
      <c r="AM1965" s="16"/>
      <c r="AN1965" s="23"/>
      <c r="AO1965" s="23"/>
      <c r="AP1965" s="23"/>
      <c r="AQ1965" s="16"/>
      <c r="AR1965" s="23"/>
      <c r="AS1965" s="23"/>
      <c r="AT1965" s="23"/>
      <c r="AU1965" s="16"/>
      <c r="AV1965" s="23"/>
      <c r="AW1965" s="23"/>
      <c r="AX1965" s="23"/>
      <c r="AY1965" s="16"/>
      <c r="AZ1965" s="23"/>
      <c r="BA1965" s="23"/>
      <c r="BB1965" s="23"/>
      <c r="BC1965" s="16"/>
      <c r="BD1965" s="23"/>
      <c r="BE1965" s="23"/>
      <c r="BF1965" s="23"/>
      <c r="BG1965" s="16"/>
      <c r="BH1965" s="23"/>
      <c r="BI1965" s="23"/>
      <c r="BJ1965" s="23"/>
      <c r="BN1965" s="23"/>
      <c r="BO1965" s="23"/>
      <c r="BP1965" s="16"/>
      <c r="BQ1965" s="16"/>
      <c r="BR1965" s="23"/>
      <c r="BS1965" s="16"/>
      <c r="BT1965" s="16"/>
      <c r="BU1965" s="16"/>
      <c r="BV1965" s="16"/>
      <c r="BW1965" s="16"/>
      <c r="BX1965" s="16"/>
      <c r="BY1965" s="16"/>
    </row>
    <row r="1966">
      <c r="A1966" s="16"/>
      <c r="B1966" s="16"/>
      <c r="C1966" s="22"/>
      <c r="D1966" s="16"/>
      <c r="E1966" s="16"/>
      <c r="F1966" s="16"/>
      <c r="G1966" s="16"/>
      <c r="H1966" s="16"/>
      <c r="I1966" s="23"/>
      <c r="J1966" s="23"/>
      <c r="K1966" s="16"/>
      <c r="L1966" s="23"/>
      <c r="M1966" s="23"/>
      <c r="N1966" s="23"/>
      <c r="O1966" s="16"/>
      <c r="P1966" s="23"/>
      <c r="Q1966" s="23"/>
      <c r="R1966" s="23"/>
      <c r="S1966" s="16"/>
      <c r="T1966" s="23"/>
      <c r="U1966" s="23"/>
      <c r="V1966" s="23"/>
      <c r="W1966" s="16"/>
      <c r="X1966" s="23"/>
      <c r="Y1966" s="23"/>
      <c r="Z1966" s="23"/>
      <c r="AA1966" s="16"/>
      <c r="AB1966" s="23"/>
      <c r="AC1966" s="23"/>
      <c r="AD1966" s="23"/>
      <c r="AE1966" s="16"/>
      <c r="AF1966" s="23"/>
      <c r="AG1966" s="23"/>
      <c r="AH1966" s="23"/>
      <c r="AI1966" s="16"/>
      <c r="AJ1966" s="23"/>
      <c r="AK1966" s="23"/>
      <c r="AL1966" s="23"/>
      <c r="AM1966" s="16"/>
      <c r="AN1966" s="23"/>
      <c r="AO1966" s="23"/>
      <c r="AP1966" s="23"/>
      <c r="AQ1966" s="16"/>
      <c r="AR1966" s="23"/>
      <c r="AS1966" s="23"/>
      <c r="AT1966" s="23"/>
      <c r="AU1966" s="16"/>
      <c r="AV1966" s="23"/>
      <c r="AW1966" s="23"/>
      <c r="AX1966" s="23"/>
      <c r="AY1966" s="16"/>
      <c r="AZ1966" s="23"/>
      <c r="BA1966" s="23"/>
      <c r="BB1966" s="23"/>
      <c r="BC1966" s="16"/>
      <c r="BD1966" s="23"/>
      <c r="BE1966" s="23"/>
      <c r="BF1966" s="23"/>
      <c r="BG1966" s="16"/>
      <c r="BH1966" s="23"/>
      <c r="BI1966" s="23"/>
      <c r="BJ1966" s="23"/>
      <c r="BN1966" s="23"/>
      <c r="BO1966" s="23"/>
      <c r="BP1966" s="16"/>
      <c r="BQ1966" s="16"/>
      <c r="BR1966" s="23"/>
      <c r="BS1966" s="16"/>
      <c r="BT1966" s="16"/>
      <c r="BU1966" s="16"/>
      <c r="BV1966" s="16"/>
      <c r="BW1966" s="16"/>
      <c r="BX1966" s="16"/>
      <c r="BY1966" s="16"/>
    </row>
    <row r="1967">
      <c r="A1967" s="16"/>
      <c r="B1967" s="16"/>
      <c r="C1967" s="22"/>
      <c r="D1967" s="16"/>
      <c r="E1967" s="16"/>
      <c r="F1967" s="16"/>
      <c r="G1967" s="16"/>
      <c r="H1967" s="16"/>
      <c r="I1967" s="23"/>
      <c r="J1967" s="23"/>
      <c r="K1967" s="16"/>
      <c r="L1967" s="23"/>
      <c r="M1967" s="23"/>
      <c r="N1967" s="23"/>
      <c r="O1967" s="16"/>
      <c r="P1967" s="23"/>
      <c r="Q1967" s="23"/>
      <c r="R1967" s="23"/>
      <c r="S1967" s="16"/>
      <c r="T1967" s="23"/>
      <c r="U1967" s="23"/>
      <c r="V1967" s="23"/>
      <c r="W1967" s="16"/>
      <c r="X1967" s="23"/>
      <c r="Y1967" s="23"/>
      <c r="Z1967" s="23"/>
      <c r="AA1967" s="16"/>
      <c r="AB1967" s="23"/>
      <c r="AC1967" s="23"/>
      <c r="AD1967" s="23"/>
      <c r="AE1967" s="16"/>
      <c r="AF1967" s="23"/>
      <c r="AG1967" s="23"/>
      <c r="AH1967" s="23"/>
      <c r="AI1967" s="16"/>
      <c r="AJ1967" s="23"/>
      <c r="AK1967" s="23"/>
      <c r="AL1967" s="23"/>
      <c r="AM1967" s="16"/>
      <c r="AN1967" s="23"/>
      <c r="AO1967" s="23"/>
      <c r="AP1967" s="23"/>
      <c r="AQ1967" s="16"/>
      <c r="AR1967" s="23"/>
      <c r="AS1967" s="23"/>
      <c r="AT1967" s="23"/>
      <c r="AU1967" s="16"/>
      <c r="AV1967" s="23"/>
      <c r="AW1967" s="23"/>
      <c r="AX1967" s="23"/>
      <c r="AY1967" s="16"/>
      <c r="AZ1967" s="23"/>
      <c r="BA1967" s="23"/>
      <c r="BB1967" s="23"/>
      <c r="BC1967" s="16"/>
      <c r="BD1967" s="23"/>
      <c r="BE1967" s="23"/>
      <c r="BF1967" s="23"/>
      <c r="BG1967" s="16"/>
      <c r="BH1967" s="23"/>
      <c r="BI1967" s="23"/>
      <c r="BJ1967" s="23"/>
      <c r="BN1967" s="23"/>
      <c r="BO1967" s="23"/>
      <c r="BP1967" s="16"/>
      <c r="BQ1967" s="16"/>
      <c r="BR1967" s="23"/>
      <c r="BS1967" s="16"/>
      <c r="BT1967" s="16"/>
      <c r="BU1967" s="16"/>
      <c r="BV1967" s="16"/>
      <c r="BW1967" s="16"/>
      <c r="BX1967" s="16"/>
      <c r="BY1967" s="16"/>
    </row>
    <row r="1968">
      <c r="A1968" s="16"/>
      <c r="B1968" s="16"/>
      <c r="C1968" s="22"/>
      <c r="D1968" s="16"/>
      <c r="E1968" s="16"/>
      <c r="F1968" s="16"/>
      <c r="G1968" s="16"/>
      <c r="H1968" s="16"/>
      <c r="I1968" s="23"/>
      <c r="J1968" s="23"/>
      <c r="K1968" s="16"/>
      <c r="L1968" s="23"/>
      <c r="M1968" s="23"/>
      <c r="N1968" s="23"/>
      <c r="O1968" s="16"/>
      <c r="P1968" s="23"/>
      <c r="Q1968" s="23"/>
      <c r="R1968" s="23"/>
      <c r="S1968" s="16"/>
      <c r="T1968" s="23"/>
      <c r="U1968" s="23"/>
      <c r="V1968" s="23"/>
      <c r="W1968" s="16"/>
      <c r="X1968" s="23"/>
      <c r="Y1968" s="23"/>
      <c r="Z1968" s="23"/>
      <c r="AA1968" s="16"/>
      <c r="AB1968" s="23"/>
      <c r="AC1968" s="23"/>
      <c r="AD1968" s="23"/>
      <c r="AE1968" s="16"/>
      <c r="AF1968" s="23"/>
      <c r="AG1968" s="23"/>
      <c r="AH1968" s="23"/>
      <c r="AI1968" s="16"/>
      <c r="AJ1968" s="23"/>
      <c r="AK1968" s="23"/>
      <c r="AL1968" s="23"/>
      <c r="AM1968" s="16"/>
      <c r="AN1968" s="23"/>
      <c r="AO1968" s="23"/>
      <c r="AP1968" s="23"/>
      <c r="AQ1968" s="16"/>
      <c r="AR1968" s="23"/>
      <c r="AS1968" s="23"/>
      <c r="AT1968" s="23"/>
      <c r="AU1968" s="16"/>
      <c r="AV1968" s="23"/>
      <c r="AW1968" s="23"/>
      <c r="AX1968" s="23"/>
      <c r="AY1968" s="16"/>
      <c r="AZ1968" s="23"/>
      <c r="BA1968" s="23"/>
      <c r="BB1968" s="23"/>
      <c r="BC1968" s="16"/>
      <c r="BD1968" s="23"/>
      <c r="BE1968" s="23"/>
      <c r="BF1968" s="23"/>
      <c r="BG1968" s="16"/>
      <c r="BH1968" s="23"/>
      <c r="BI1968" s="23"/>
      <c r="BJ1968" s="23"/>
      <c r="BN1968" s="23"/>
      <c r="BO1968" s="23"/>
      <c r="BP1968" s="16"/>
      <c r="BQ1968" s="16"/>
      <c r="BR1968" s="23"/>
      <c r="BS1968" s="16"/>
      <c r="BT1968" s="16"/>
      <c r="BU1968" s="16"/>
      <c r="BV1968" s="16"/>
      <c r="BW1968" s="16"/>
      <c r="BX1968" s="16"/>
      <c r="BY1968" s="16"/>
    </row>
    <row r="1969">
      <c r="A1969" s="16"/>
      <c r="B1969" s="16"/>
      <c r="C1969" s="22"/>
      <c r="D1969" s="16"/>
      <c r="E1969" s="16"/>
      <c r="F1969" s="16"/>
      <c r="G1969" s="16"/>
      <c r="H1969" s="16"/>
      <c r="I1969" s="23"/>
      <c r="J1969" s="23"/>
      <c r="K1969" s="16"/>
      <c r="L1969" s="23"/>
      <c r="M1969" s="23"/>
      <c r="N1969" s="23"/>
      <c r="O1969" s="16"/>
      <c r="P1969" s="23"/>
      <c r="Q1969" s="23"/>
      <c r="R1969" s="23"/>
      <c r="S1969" s="16"/>
      <c r="T1969" s="23"/>
      <c r="U1969" s="23"/>
      <c r="V1969" s="23"/>
      <c r="W1969" s="16"/>
      <c r="X1969" s="23"/>
      <c r="Y1969" s="23"/>
      <c r="Z1969" s="23"/>
      <c r="AA1969" s="16"/>
      <c r="AB1969" s="23"/>
      <c r="AC1969" s="23"/>
      <c r="AD1969" s="23"/>
      <c r="AE1969" s="16"/>
      <c r="AF1969" s="23"/>
      <c r="AG1969" s="23"/>
      <c r="AH1969" s="23"/>
      <c r="AI1969" s="16"/>
      <c r="AJ1969" s="23"/>
      <c r="AK1969" s="23"/>
      <c r="AL1969" s="23"/>
      <c r="AM1969" s="16"/>
      <c r="AN1969" s="23"/>
      <c r="AO1969" s="23"/>
      <c r="AP1969" s="23"/>
      <c r="AQ1969" s="16"/>
      <c r="AR1969" s="23"/>
      <c r="AS1969" s="23"/>
      <c r="AT1969" s="23"/>
      <c r="AU1969" s="16"/>
      <c r="AV1969" s="23"/>
      <c r="AW1969" s="23"/>
      <c r="AX1969" s="23"/>
      <c r="AY1969" s="16"/>
      <c r="AZ1969" s="23"/>
      <c r="BA1969" s="23"/>
      <c r="BB1969" s="23"/>
      <c r="BC1969" s="16"/>
      <c r="BD1969" s="23"/>
      <c r="BE1969" s="23"/>
      <c r="BF1969" s="23"/>
      <c r="BG1969" s="16"/>
      <c r="BH1969" s="23"/>
      <c r="BI1969" s="23"/>
      <c r="BJ1969" s="23"/>
      <c r="BN1969" s="23"/>
      <c r="BO1969" s="23"/>
      <c r="BP1969" s="16"/>
      <c r="BQ1969" s="16"/>
      <c r="BR1969" s="23"/>
      <c r="BS1969" s="16"/>
      <c r="BT1969" s="16"/>
      <c r="BU1969" s="16"/>
      <c r="BV1969" s="16"/>
      <c r="BW1969" s="16"/>
      <c r="BX1969" s="16"/>
      <c r="BY1969" s="16"/>
    </row>
    <row r="1970">
      <c r="A1970" s="16"/>
      <c r="B1970" s="16"/>
      <c r="C1970" s="22"/>
      <c r="D1970" s="16"/>
      <c r="E1970" s="16"/>
      <c r="F1970" s="16"/>
      <c r="G1970" s="16"/>
      <c r="H1970" s="16"/>
      <c r="I1970" s="23"/>
      <c r="J1970" s="23"/>
      <c r="K1970" s="16"/>
      <c r="L1970" s="23"/>
      <c r="M1970" s="23"/>
      <c r="N1970" s="23"/>
      <c r="O1970" s="16"/>
      <c r="P1970" s="23"/>
      <c r="Q1970" s="23"/>
      <c r="R1970" s="23"/>
      <c r="S1970" s="16"/>
      <c r="T1970" s="23"/>
      <c r="U1970" s="23"/>
      <c r="V1970" s="23"/>
      <c r="W1970" s="16"/>
      <c r="X1970" s="23"/>
      <c r="Y1970" s="23"/>
      <c r="Z1970" s="23"/>
      <c r="AA1970" s="16"/>
      <c r="AB1970" s="23"/>
      <c r="AC1970" s="23"/>
      <c r="AD1970" s="23"/>
      <c r="AE1970" s="16"/>
      <c r="AF1970" s="23"/>
      <c r="AG1970" s="23"/>
      <c r="AH1970" s="23"/>
      <c r="AI1970" s="16"/>
      <c r="AJ1970" s="23"/>
      <c r="AK1970" s="23"/>
      <c r="AL1970" s="23"/>
      <c r="AM1970" s="16"/>
      <c r="AN1970" s="23"/>
      <c r="AO1970" s="23"/>
      <c r="AP1970" s="23"/>
      <c r="AQ1970" s="16"/>
      <c r="AR1970" s="23"/>
      <c r="AS1970" s="23"/>
      <c r="AT1970" s="23"/>
      <c r="AU1970" s="16"/>
      <c r="AV1970" s="23"/>
      <c r="AW1970" s="23"/>
      <c r="AX1970" s="23"/>
      <c r="AY1970" s="16"/>
      <c r="AZ1970" s="23"/>
      <c r="BA1970" s="23"/>
      <c r="BB1970" s="23"/>
      <c r="BC1970" s="16"/>
      <c r="BD1970" s="23"/>
      <c r="BE1970" s="23"/>
      <c r="BF1970" s="23"/>
      <c r="BG1970" s="16"/>
      <c r="BH1970" s="23"/>
      <c r="BI1970" s="23"/>
      <c r="BJ1970" s="23"/>
      <c r="BN1970" s="23"/>
      <c r="BO1970" s="23"/>
      <c r="BP1970" s="16"/>
      <c r="BQ1970" s="16"/>
      <c r="BR1970" s="23"/>
      <c r="BS1970" s="16"/>
      <c r="BT1970" s="16"/>
      <c r="BU1970" s="16"/>
      <c r="BV1970" s="16"/>
      <c r="BW1970" s="16"/>
      <c r="BX1970" s="16"/>
      <c r="BY1970" s="16"/>
    </row>
    <row r="1971">
      <c r="A1971" s="16"/>
      <c r="B1971" s="16"/>
      <c r="C1971" s="22"/>
      <c r="D1971" s="16"/>
      <c r="E1971" s="16"/>
      <c r="F1971" s="16"/>
      <c r="G1971" s="16"/>
      <c r="H1971" s="16"/>
      <c r="I1971" s="23"/>
      <c r="J1971" s="23"/>
      <c r="K1971" s="16"/>
      <c r="L1971" s="23"/>
      <c r="M1971" s="23"/>
      <c r="N1971" s="23"/>
      <c r="O1971" s="16"/>
      <c r="P1971" s="23"/>
      <c r="Q1971" s="23"/>
      <c r="R1971" s="23"/>
      <c r="S1971" s="16"/>
      <c r="T1971" s="23"/>
      <c r="U1971" s="23"/>
      <c r="V1971" s="23"/>
      <c r="W1971" s="16"/>
      <c r="X1971" s="23"/>
      <c r="Y1971" s="23"/>
      <c r="Z1971" s="23"/>
      <c r="AA1971" s="16"/>
      <c r="AB1971" s="23"/>
      <c r="AC1971" s="23"/>
      <c r="AD1971" s="23"/>
      <c r="AE1971" s="16"/>
      <c r="AF1971" s="23"/>
      <c r="AG1971" s="23"/>
      <c r="AH1971" s="23"/>
      <c r="AI1971" s="16"/>
      <c r="AJ1971" s="23"/>
      <c r="AK1971" s="23"/>
      <c r="AL1971" s="23"/>
      <c r="AM1971" s="16"/>
      <c r="AN1971" s="23"/>
      <c r="AO1971" s="23"/>
      <c r="AP1971" s="23"/>
      <c r="AQ1971" s="16"/>
      <c r="AR1971" s="23"/>
      <c r="AS1971" s="23"/>
      <c r="AT1971" s="23"/>
      <c r="AU1971" s="16"/>
      <c r="AV1971" s="23"/>
      <c r="AW1971" s="23"/>
      <c r="AX1971" s="23"/>
      <c r="AY1971" s="16"/>
      <c r="AZ1971" s="23"/>
      <c r="BA1971" s="23"/>
      <c r="BB1971" s="23"/>
      <c r="BC1971" s="16"/>
      <c r="BD1971" s="23"/>
      <c r="BE1971" s="23"/>
      <c r="BF1971" s="23"/>
      <c r="BG1971" s="16"/>
      <c r="BH1971" s="23"/>
      <c r="BI1971" s="23"/>
      <c r="BJ1971" s="23"/>
      <c r="BN1971" s="23"/>
      <c r="BO1971" s="23"/>
      <c r="BP1971" s="16"/>
      <c r="BQ1971" s="16"/>
      <c r="BR1971" s="23"/>
      <c r="BS1971" s="16"/>
      <c r="BT1971" s="16"/>
      <c r="BU1971" s="16"/>
      <c r="BV1971" s="16"/>
      <c r="BW1971" s="16"/>
      <c r="BX1971" s="16"/>
      <c r="BY1971" s="16"/>
    </row>
    <row r="1972">
      <c r="A1972" s="16"/>
      <c r="B1972" s="16"/>
      <c r="C1972" s="22"/>
      <c r="D1972" s="16"/>
      <c r="E1972" s="16"/>
      <c r="F1972" s="16"/>
      <c r="G1972" s="16"/>
      <c r="H1972" s="16"/>
      <c r="I1972" s="23"/>
      <c r="J1972" s="23"/>
      <c r="K1972" s="16"/>
      <c r="L1972" s="23"/>
      <c r="M1972" s="23"/>
      <c r="N1972" s="23"/>
      <c r="O1972" s="16"/>
      <c r="P1972" s="23"/>
      <c r="Q1972" s="23"/>
      <c r="R1972" s="23"/>
      <c r="S1972" s="16"/>
      <c r="T1972" s="23"/>
      <c r="U1972" s="23"/>
      <c r="V1972" s="23"/>
      <c r="W1972" s="16"/>
      <c r="X1972" s="23"/>
      <c r="Y1972" s="23"/>
      <c r="Z1972" s="23"/>
      <c r="AA1972" s="16"/>
      <c r="AB1972" s="23"/>
      <c r="AC1972" s="23"/>
      <c r="AD1972" s="23"/>
      <c r="AE1972" s="16"/>
      <c r="AF1972" s="23"/>
      <c r="AG1972" s="23"/>
      <c r="AH1972" s="23"/>
      <c r="AI1972" s="16"/>
      <c r="AJ1972" s="23"/>
      <c r="AK1972" s="23"/>
      <c r="AL1972" s="23"/>
      <c r="AM1972" s="16"/>
      <c r="AN1972" s="23"/>
      <c r="AO1972" s="23"/>
      <c r="AP1972" s="23"/>
      <c r="AQ1972" s="16"/>
      <c r="AR1972" s="23"/>
      <c r="AS1972" s="23"/>
      <c r="AT1972" s="23"/>
      <c r="AU1972" s="16"/>
      <c r="AV1972" s="23"/>
      <c r="AW1972" s="23"/>
      <c r="AX1972" s="23"/>
      <c r="AY1972" s="16"/>
      <c r="AZ1972" s="23"/>
      <c r="BA1972" s="23"/>
      <c r="BB1972" s="23"/>
      <c r="BC1972" s="16"/>
      <c r="BD1972" s="23"/>
      <c r="BE1972" s="23"/>
      <c r="BF1972" s="23"/>
      <c r="BG1972" s="16"/>
      <c r="BH1972" s="23"/>
      <c r="BI1972" s="23"/>
      <c r="BJ1972" s="23"/>
      <c r="BN1972" s="23"/>
      <c r="BO1972" s="23"/>
      <c r="BP1972" s="16"/>
      <c r="BQ1972" s="16"/>
      <c r="BR1972" s="23"/>
      <c r="BS1972" s="16"/>
      <c r="BT1972" s="16"/>
      <c r="BU1972" s="16"/>
      <c r="BV1972" s="16"/>
      <c r="BW1972" s="16"/>
      <c r="BX1972" s="16"/>
      <c r="BY1972" s="16"/>
    </row>
    <row r="1973">
      <c r="A1973" s="16"/>
      <c r="B1973" s="16"/>
      <c r="C1973" s="22"/>
      <c r="D1973" s="16"/>
      <c r="E1973" s="16"/>
      <c r="F1973" s="16"/>
      <c r="G1973" s="16"/>
      <c r="H1973" s="16"/>
      <c r="I1973" s="23"/>
      <c r="J1973" s="23"/>
      <c r="K1973" s="16"/>
      <c r="L1973" s="23"/>
      <c r="M1973" s="23"/>
      <c r="N1973" s="23"/>
      <c r="O1973" s="16"/>
      <c r="P1973" s="23"/>
      <c r="Q1973" s="23"/>
      <c r="R1973" s="23"/>
      <c r="S1973" s="16"/>
      <c r="T1973" s="23"/>
      <c r="U1973" s="23"/>
      <c r="V1973" s="23"/>
      <c r="W1973" s="16"/>
      <c r="X1973" s="23"/>
      <c r="Y1973" s="23"/>
      <c r="Z1973" s="23"/>
      <c r="AA1973" s="16"/>
      <c r="AB1973" s="23"/>
      <c r="AC1973" s="23"/>
      <c r="AD1973" s="23"/>
      <c r="AE1973" s="16"/>
      <c r="AF1973" s="23"/>
      <c r="AG1973" s="23"/>
      <c r="AH1973" s="23"/>
      <c r="AI1973" s="16"/>
      <c r="AJ1973" s="23"/>
      <c r="AK1973" s="23"/>
      <c r="AL1973" s="23"/>
      <c r="AM1973" s="16"/>
      <c r="AN1973" s="23"/>
      <c r="AO1973" s="23"/>
      <c r="AP1973" s="23"/>
      <c r="AQ1973" s="16"/>
      <c r="AR1973" s="23"/>
      <c r="AS1973" s="23"/>
      <c r="AT1973" s="23"/>
      <c r="AU1973" s="16"/>
      <c r="AV1973" s="23"/>
      <c r="AW1973" s="23"/>
      <c r="AX1973" s="23"/>
      <c r="AY1973" s="16"/>
      <c r="AZ1973" s="23"/>
      <c r="BA1973" s="23"/>
      <c r="BB1973" s="23"/>
      <c r="BC1973" s="16"/>
      <c r="BD1973" s="23"/>
      <c r="BE1973" s="23"/>
      <c r="BF1973" s="23"/>
      <c r="BG1973" s="16"/>
      <c r="BH1973" s="23"/>
      <c r="BI1973" s="23"/>
      <c r="BJ1973" s="23"/>
      <c r="BN1973" s="23"/>
      <c r="BO1973" s="23"/>
      <c r="BP1973" s="16"/>
      <c r="BQ1973" s="16"/>
      <c r="BR1973" s="23"/>
      <c r="BS1973" s="16"/>
      <c r="BT1973" s="16"/>
      <c r="BU1973" s="16"/>
      <c r="BV1973" s="16"/>
      <c r="BW1973" s="16"/>
      <c r="BX1973" s="16"/>
      <c r="BY1973" s="16"/>
    </row>
    <row r="1974">
      <c r="A1974" s="16"/>
      <c r="B1974" s="16"/>
      <c r="C1974" s="22"/>
      <c r="D1974" s="16"/>
      <c r="E1974" s="16"/>
      <c r="F1974" s="16"/>
      <c r="G1974" s="16"/>
      <c r="H1974" s="16"/>
      <c r="I1974" s="23"/>
      <c r="J1974" s="23"/>
      <c r="K1974" s="16"/>
      <c r="L1974" s="23"/>
      <c r="M1974" s="23"/>
      <c r="N1974" s="23"/>
      <c r="O1974" s="16"/>
      <c r="P1974" s="23"/>
      <c r="Q1974" s="23"/>
      <c r="R1974" s="23"/>
      <c r="S1974" s="16"/>
      <c r="T1974" s="23"/>
      <c r="U1974" s="23"/>
      <c r="V1974" s="23"/>
      <c r="W1974" s="16"/>
      <c r="X1974" s="23"/>
      <c r="Y1974" s="23"/>
      <c r="Z1974" s="23"/>
      <c r="AA1974" s="16"/>
      <c r="AB1974" s="23"/>
      <c r="AC1974" s="23"/>
      <c r="AD1974" s="23"/>
      <c r="AE1974" s="16"/>
      <c r="AF1974" s="23"/>
      <c r="AG1974" s="23"/>
      <c r="AH1974" s="23"/>
      <c r="AI1974" s="16"/>
      <c r="AJ1974" s="23"/>
      <c r="AK1974" s="23"/>
      <c r="AL1974" s="23"/>
      <c r="AM1974" s="16"/>
      <c r="AN1974" s="23"/>
      <c r="AO1974" s="23"/>
      <c r="AP1974" s="23"/>
      <c r="AQ1974" s="16"/>
      <c r="AR1974" s="23"/>
      <c r="AS1974" s="23"/>
      <c r="AT1974" s="23"/>
      <c r="AU1974" s="16"/>
      <c r="AV1974" s="23"/>
      <c r="AW1974" s="23"/>
      <c r="AX1974" s="23"/>
      <c r="AY1974" s="16"/>
      <c r="AZ1974" s="23"/>
      <c r="BA1974" s="23"/>
      <c r="BB1974" s="23"/>
      <c r="BC1974" s="16"/>
      <c r="BD1974" s="23"/>
      <c r="BE1974" s="23"/>
      <c r="BF1974" s="23"/>
      <c r="BG1974" s="16"/>
      <c r="BH1974" s="23"/>
      <c r="BI1974" s="23"/>
      <c r="BJ1974" s="23"/>
      <c r="BN1974" s="23"/>
      <c r="BO1974" s="23"/>
      <c r="BP1974" s="16"/>
      <c r="BQ1974" s="16"/>
      <c r="BR1974" s="23"/>
      <c r="BS1974" s="16"/>
      <c r="BT1974" s="16"/>
      <c r="BU1974" s="16"/>
      <c r="BV1974" s="16"/>
      <c r="BW1974" s="16"/>
      <c r="BX1974" s="16"/>
      <c r="BY1974" s="16"/>
    </row>
    <row r="1975">
      <c r="A1975" s="16"/>
      <c r="B1975" s="16"/>
      <c r="C1975" s="22"/>
      <c r="D1975" s="16"/>
      <c r="E1975" s="16"/>
      <c r="F1975" s="16"/>
      <c r="G1975" s="16"/>
      <c r="H1975" s="16"/>
      <c r="I1975" s="23"/>
      <c r="J1975" s="23"/>
      <c r="K1975" s="16"/>
      <c r="L1975" s="23"/>
      <c r="M1975" s="23"/>
      <c r="N1975" s="23"/>
      <c r="O1975" s="16"/>
      <c r="P1975" s="23"/>
      <c r="Q1975" s="23"/>
      <c r="R1975" s="23"/>
      <c r="S1975" s="16"/>
      <c r="T1975" s="23"/>
      <c r="U1975" s="23"/>
      <c r="V1975" s="23"/>
      <c r="W1975" s="16"/>
      <c r="X1975" s="23"/>
      <c r="Y1975" s="23"/>
      <c r="Z1975" s="23"/>
      <c r="AA1975" s="16"/>
      <c r="AB1975" s="23"/>
      <c r="AC1975" s="23"/>
      <c r="AD1975" s="23"/>
      <c r="AE1975" s="16"/>
      <c r="AF1975" s="23"/>
      <c r="AG1975" s="23"/>
      <c r="AH1975" s="23"/>
      <c r="AI1975" s="16"/>
      <c r="AJ1975" s="23"/>
      <c r="AK1975" s="23"/>
      <c r="AL1975" s="23"/>
      <c r="AM1975" s="16"/>
      <c r="AN1975" s="23"/>
      <c r="AO1975" s="23"/>
      <c r="AP1975" s="23"/>
      <c r="AQ1975" s="16"/>
      <c r="AR1975" s="23"/>
      <c r="AS1975" s="23"/>
      <c r="AT1975" s="23"/>
      <c r="AU1975" s="16"/>
      <c r="AV1975" s="23"/>
      <c r="AW1975" s="23"/>
      <c r="AX1975" s="23"/>
      <c r="AY1975" s="16"/>
      <c r="AZ1975" s="23"/>
      <c r="BA1975" s="23"/>
      <c r="BB1975" s="23"/>
      <c r="BC1975" s="16"/>
      <c r="BD1975" s="23"/>
      <c r="BE1975" s="23"/>
      <c r="BF1975" s="23"/>
      <c r="BG1975" s="16"/>
      <c r="BH1975" s="23"/>
      <c r="BI1975" s="23"/>
      <c r="BJ1975" s="23"/>
      <c r="BN1975" s="23"/>
      <c r="BO1975" s="23"/>
      <c r="BP1975" s="16"/>
      <c r="BQ1975" s="16"/>
      <c r="BR1975" s="23"/>
      <c r="BS1975" s="16"/>
      <c r="BT1975" s="16"/>
      <c r="BU1975" s="16"/>
      <c r="BV1975" s="16"/>
      <c r="BW1975" s="16"/>
      <c r="BX1975" s="16"/>
      <c r="BY1975" s="16"/>
    </row>
    <row r="1976">
      <c r="A1976" s="16"/>
      <c r="B1976" s="16"/>
      <c r="C1976" s="22"/>
      <c r="D1976" s="16"/>
      <c r="E1976" s="16"/>
      <c r="F1976" s="16"/>
      <c r="G1976" s="16"/>
      <c r="H1976" s="16"/>
      <c r="I1976" s="23"/>
      <c r="J1976" s="23"/>
      <c r="K1976" s="16"/>
      <c r="L1976" s="23"/>
      <c r="M1976" s="23"/>
      <c r="N1976" s="23"/>
      <c r="O1976" s="16"/>
      <c r="P1976" s="23"/>
      <c r="Q1976" s="23"/>
      <c r="R1976" s="23"/>
      <c r="S1976" s="16"/>
      <c r="T1976" s="23"/>
      <c r="U1976" s="23"/>
      <c r="V1976" s="23"/>
      <c r="W1976" s="16"/>
      <c r="X1976" s="23"/>
      <c r="Y1976" s="23"/>
      <c r="Z1976" s="23"/>
      <c r="AA1976" s="16"/>
      <c r="AB1976" s="23"/>
      <c r="AC1976" s="23"/>
      <c r="AD1976" s="23"/>
      <c r="AE1976" s="16"/>
      <c r="AF1976" s="23"/>
      <c r="AG1976" s="23"/>
      <c r="AH1976" s="23"/>
      <c r="AI1976" s="16"/>
      <c r="AJ1976" s="23"/>
      <c r="AK1976" s="23"/>
      <c r="AL1976" s="23"/>
      <c r="AM1976" s="16"/>
      <c r="AN1976" s="23"/>
      <c r="AO1976" s="23"/>
      <c r="AP1976" s="23"/>
      <c r="AQ1976" s="16"/>
      <c r="AR1976" s="23"/>
      <c r="AS1976" s="23"/>
      <c r="AT1976" s="23"/>
      <c r="AU1976" s="16"/>
      <c r="AV1976" s="23"/>
      <c r="AW1976" s="23"/>
      <c r="AX1976" s="23"/>
      <c r="AY1976" s="16"/>
      <c r="AZ1976" s="23"/>
      <c r="BA1976" s="23"/>
      <c r="BB1976" s="23"/>
      <c r="BC1976" s="16"/>
      <c r="BD1976" s="23"/>
      <c r="BE1976" s="23"/>
      <c r="BF1976" s="23"/>
      <c r="BG1976" s="16"/>
      <c r="BH1976" s="23"/>
      <c r="BI1976" s="23"/>
      <c r="BJ1976" s="23"/>
      <c r="BN1976" s="23"/>
      <c r="BO1976" s="23"/>
      <c r="BP1976" s="16"/>
      <c r="BQ1976" s="16"/>
      <c r="BR1976" s="23"/>
      <c r="BS1976" s="16"/>
      <c r="BT1976" s="16"/>
      <c r="BU1976" s="16"/>
      <c r="BV1976" s="16"/>
      <c r="BW1976" s="16"/>
      <c r="BX1976" s="16"/>
      <c r="BY1976" s="16"/>
    </row>
    <row r="1977">
      <c r="A1977" s="16"/>
      <c r="B1977" s="16"/>
      <c r="C1977" s="22"/>
      <c r="D1977" s="16"/>
      <c r="E1977" s="16"/>
      <c r="F1977" s="16"/>
      <c r="G1977" s="16"/>
      <c r="H1977" s="16"/>
      <c r="I1977" s="23"/>
      <c r="J1977" s="23"/>
      <c r="K1977" s="16"/>
      <c r="L1977" s="23"/>
      <c r="M1977" s="23"/>
      <c r="N1977" s="23"/>
      <c r="O1977" s="16"/>
      <c r="P1977" s="23"/>
      <c r="Q1977" s="23"/>
      <c r="R1977" s="23"/>
      <c r="S1977" s="16"/>
      <c r="T1977" s="23"/>
      <c r="U1977" s="23"/>
      <c r="V1977" s="23"/>
      <c r="W1977" s="16"/>
      <c r="X1977" s="23"/>
      <c r="Y1977" s="23"/>
      <c r="Z1977" s="23"/>
      <c r="AA1977" s="16"/>
      <c r="AB1977" s="23"/>
      <c r="AC1977" s="23"/>
      <c r="AD1977" s="23"/>
      <c r="AE1977" s="16"/>
      <c r="AF1977" s="23"/>
      <c r="AG1977" s="23"/>
      <c r="AH1977" s="23"/>
      <c r="AI1977" s="16"/>
      <c r="AJ1977" s="23"/>
      <c r="AK1977" s="23"/>
      <c r="AL1977" s="23"/>
      <c r="AM1977" s="16"/>
      <c r="AN1977" s="23"/>
      <c r="AO1977" s="23"/>
      <c r="AP1977" s="23"/>
      <c r="AQ1977" s="16"/>
      <c r="AR1977" s="23"/>
      <c r="AS1977" s="23"/>
      <c r="AT1977" s="23"/>
      <c r="AU1977" s="16"/>
      <c r="AV1977" s="23"/>
      <c r="AW1977" s="23"/>
      <c r="AX1977" s="23"/>
      <c r="AY1977" s="16"/>
      <c r="AZ1977" s="23"/>
      <c r="BA1977" s="23"/>
      <c r="BB1977" s="23"/>
      <c r="BC1977" s="16"/>
      <c r="BD1977" s="23"/>
      <c r="BE1977" s="23"/>
      <c r="BF1977" s="23"/>
      <c r="BG1977" s="16"/>
      <c r="BH1977" s="23"/>
      <c r="BI1977" s="23"/>
      <c r="BJ1977" s="23"/>
      <c r="BN1977" s="23"/>
      <c r="BO1977" s="23"/>
      <c r="BP1977" s="16"/>
      <c r="BQ1977" s="16"/>
      <c r="BR1977" s="23"/>
      <c r="BS1977" s="16"/>
      <c r="BT1977" s="16"/>
      <c r="BU1977" s="16"/>
      <c r="BV1977" s="16"/>
      <c r="BW1977" s="16"/>
      <c r="BX1977" s="16"/>
      <c r="BY1977" s="16"/>
    </row>
    <row r="1978">
      <c r="A1978" s="16"/>
      <c r="B1978" s="16"/>
      <c r="C1978" s="22"/>
      <c r="D1978" s="16"/>
      <c r="E1978" s="16"/>
      <c r="F1978" s="16"/>
      <c r="G1978" s="16"/>
      <c r="H1978" s="16"/>
      <c r="I1978" s="23"/>
      <c r="J1978" s="23"/>
      <c r="K1978" s="16"/>
      <c r="L1978" s="23"/>
      <c r="M1978" s="23"/>
      <c r="N1978" s="23"/>
      <c r="O1978" s="16"/>
      <c r="P1978" s="23"/>
      <c r="Q1978" s="23"/>
      <c r="R1978" s="23"/>
      <c r="S1978" s="16"/>
      <c r="T1978" s="23"/>
      <c r="U1978" s="23"/>
      <c r="V1978" s="23"/>
      <c r="W1978" s="16"/>
      <c r="X1978" s="23"/>
      <c r="Y1978" s="23"/>
      <c r="Z1978" s="23"/>
      <c r="AA1978" s="16"/>
      <c r="AB1978" s="23"/>
      <c r="AC1978" s="23"/>
      <c r="AD1978" s="23"/>
      <c r="AE1978" s="16"/>
      <c r="AF1978" s="23"/>
      <c r="AG1978" s="23"/>
      <c r="AH1978" s="23"/>
      <c r="AI1978" s="16"/>
      <c r="AJ1978" s="23"/>
      <c r="AK1978" s="23"/>
      <c r="AL1978" s="23"/>
      <c r="AM1978" s="16"/>
      <c r="AN1978" s="23"/>
      <c r="AO1978" s="23"/>
      <c r="AP1978" s="23"/>
      <c r="AQ1978" s="16"/>
      <c r="AR1978" s="23"/>
      <c r="AS1978" s="23"/>
      <c r="AT1978" s="23"/>
      <c r="AU1978" s="16"/>
      <c r="AV1978" s="23"/>
      <c r="AW1978" s="23"/>
      <c r="AX1978" s="23"/>
      <c r="AY1978" s="16"/>
      <c r="AZ1978" s="23"/>
      <c r="BA1978" s="23"/>
      <c r="BB1978" s="23"/>
      <c r="BC1978" s="16"/>
      <c r="BD1978" s="23"/>
      <c r="BE1978" s="23"/>
      <c r="BF1978" s="23"/>
      <c r="BG1978" s="16"/>
      <c r="BH1978" s="23"/>
      <c r="BI1978" s="23"/>
      <c r="BJ1978" s="23"/>
      <c r="BN1978" s="23"/>
      <c r="BO1978" s="23"/>
      <c r="BP1978" s="16"/>
      <c r="BQ1978" s="16"/>
      <c r="BR1978" s="23"/>
      <c r="BS1978" s="16"/>
      <c r="BT1978" s="16"/>
      <c r="BU1978" s="16"/>
      <c r="BV1978" s="16"/>
      <c r="BW1978" s="16"/>
      <c r="BX1978" s="16"/>
      <c r="BY1978" s="16"/>
    </row>
    <row r="1979">
      <c r="A1979" s="16"/>
      <c r="B1979" s="16"/>
      <c r="C1979" s="22"/>
      <c r="D1979" s="16"/>
      <c r="E1979" s="16"/>
      <c r="F1979" s="16"/>
      <c r="G1979" s="16"/>
      <c r="H1979" s="16"/>
      <c r="I1979" s="23"/>
      <c r="J1979" s="23"/>
      <c r="K1979" s="16"/>
      <c r="L1979" s="23"/>
      <c r="M1979" s="23"/>
      <c r="N1979" s="23"/>
      <c r="O1979" s="16"/>
      <c r="P1979" s="23"/>
      <c r="Q1979" s="23"/>
      <c r="R1979" s="23"/>
      <c r="S1979" s="16"/>
      <c r="T1979" s="23"/>
      <c r="U1979" s="23"/>
      <c r="V1979" s="23"/>
      <c r="W1979" s="16"/>
      <c r="X1979" s="23"/>
      <c r="Y1979" s="23"/>
      <c r="Z1979" s="23"/>
      <c r="AA1979" s="16"/>
      <c r="AB1979" s="23"/>
      <c r="AC1979" s="23"/>
      <c r="AD1979" s="23"/>
      <c r="AE1979" s="16"/>
      <c r="AF1979" s="23"/>
      <c r="AG1979" s="23"/>
      <c r="AH1979" s="23"/>
      <c r="AI1979" s="16"/>
      <c r="AJ1979" s="23"/>
      <c r="AK1979" s="23"/>
      <c r="AL1979" s="23"/>
      <c r="AM1979" s="16"/>
      <c r="AN1979" s="23"/>
      <c r="AO1979" s="23"/>
      <c r="AP1979" s="23"/>
      <c r="AQ1979" s="16"/>
      <c r="AR1979" s="23"/>
      <c r="AS1979" s="23"/>
      <c r="AT1979" s="23"/>
      <c r="AU1979" s="16"/>
      <c r="AV1979" s="23"/>
      <c r="AW1979" s="23"/>
      <c r="AX1979" s="23"/>
      <c r="AY1979" s="16"/>
      <c r="AZ1979" s="23"/>
      <c r="BA1979" s="23"/>
      <c r="BB1979" s="23"/>
      <c r="BC1979" s="16"/>
      <c r="BD1979" s="23"/>
      <c r="BE1979" s="23"/>
      <c r="BF1979" s="23"/>
      <c r="BG1979" s="16"/>
      <c r="BH1979" s="23"/>
      <c r="BI1979" s="23"/>
      <c r="BJ1979" s="23"/>
      <c r="BN1979" s="23"/>
      <c r="BO1979" s="23"/>
      <c r="BP1979" s="16"/>
      <c r="BQ1979" s="16"/>
      <c r="BR1979" s="23"/>
      <c r="BS1979" s="16"/>
      <c r="BT1979" s="16"/>
      <c r="BU1979" s="16"/>
      <c r="BV1979" s="16"/>
      <c r="BW1979" s="16"/>
      <c r="BX1979" s="16"/>
      <c r="BY1979" s="16"/>
    </row>
    <row r="1980">
      <c r="A1980" s="16"/>
      <c r="B1980" s="16"/>
      <c r="C1980" s="22"/>
      <c r="D1980" s="16"/>
      <c r="E1980" s="16"/>
      <c r="F1980" s="16"/>
      <c r="G1980" s="16"/>
      <c r="H1980" s="16"/>
      <c r="I1980" s="23"/>
      <c r="J1980" s="23"/>
      <c r="K1980" s="16"/>
      <c r="L1980" s="23"/>
      <c r="M1980" s="23"/>
      <c r="N1980" s="23"/>
      <c r="O1980" s="16"/>
      <c r="P1980" s="23"/>
      <c r="Q1980" s="23"/>
      <c r="R1980" s="23"/>
      <c r="S1980" s="16"/>
      <c r="T1980" s="23"/>
      <c r="U1980" s="23"/>
      <c r="V1980" s="23"/>
      <c r="W1980" s="16"/>
      <c r="X1980" s="23"/>
      <c r="Y1980" s="23"/>
      <c r="Z1980" s="23"/>
      <c r="AA1980" s="16"/>
      <c r="AB1980" s="23"/>
      <c r="AC1980" s="23"/>
      <c r="AD1980" s="23"/>
      <c r="AE1980" s="16"/>
      <c r="AF1980" s="23"/>
      <c r="AG1980" s="23"/>
      <c r="AH1980" s="23"/>
      <c r="AI1980" s="16"/>
      <c r="AJ1980" s="23"/>
      <c r="AK1980" s="23"/>
      <c r="AL1980" s="23"/>
      <c r="AM1980" s="16"/>
      <c r="AN1980" s="23"/>
      <c r="AO1980" s="23"/>
      <c r="AP1980" s="23"/>
      <c r="AQ1980" s="16"/>
      <c r="AR1980" s="23"/>
      <c r="AS1980" s="23"/>
      <c r="AT1980" s="23"/>
      <c r="AU1980" s="16"/>
      <c r="AV1980" s="23"/>
      <c r="AW1980" s="23"/>
      <c r="AX1980" s="23"/>
      <c r="AY1980" s="16"/>
      <c r="AZ1980" s="23"/>
      <c r="BA1980" s="23"/>
      <c r="BB1980" s="23"/>
      <c r="BC1980" s="16"/>
      <c r="BD1980" s="23"/>
      <c r="BE1980" s="23"/>
      <c r="BF1980" s="23"/>
      <c r="BG1980" s="16"/>
      <c r="BH1980" s="23"/>
      <c r="BI1980" s="23"/>
      <c r="BJ1980" s="23"/>
      <c r="BN1980" s="23"/>
      <c r="BO1980" s="23"/>
      <c r="BP1980" s="16"/>
      <c r="BQ1980" s="16"/>
      <c r="BR1980" s="23"/>
      <c r="BS1980" s="16"/>
      <c r="BT1980" s="16"/>
      <c r="BU1980" s="16"/>
      <c r="BV1980" s="16"/>
      <c r="BW1980" s="16"/>
      <c r="BX1980" s="16"/>
      <c r="BY1980" s="16"/>
    </row>
    <row r="1981">
      <c r="A1981" s="16"/>
      <c r="B1981" s="16"/>
      <c r="C1981" s="22"/>
      <c r="D1981" s="16"/>
      <c r="E1981" s="16"/>
      <c r="F1981" s="16"/>
      <c r="G1981" s="16"/>
      <c r="H1981" s="16"/>
      <c r="I1981" s="23"/>
      <c r="J1981" s="23"/>
      <c r="K1981" s="16"/>
      <c r="L1981" s="23"/>
      <c r="M1981" s="23"/>
      <c r="N1981" s="23"/>
      <c r="O1981" s="16"/>
      <c r="P1981" s="23"/>
      <c r="Q1981" s="23"/>
      <c r="R1981" s="23"/>
      <c r="S1981" s="16"/>
      <c r="T1981" s="23"/>
      <c r="U1981" s="23"/>
      <c r="V1981" s="23"/>
      <c r="W1981" s="16"/>
      <c r="X1981" s="23"/>
      <c r="Y1981" s="23"/>
      <c r="Z1981" s="23"/>
      <c r="AA1981" s="16"/>
      <c r="AB1981" s="23"/>
      <c r="AC1981" s="23"/>
      <c r="AD1981" s="23"/>
      <c r="AE1981" s="16"/>
      <c r="AF1981" s="23"/>
      <c r="AG1981" s="23"/>
      <c r="AH1981" s="23"/>
      <c r="AI1981" s="16"/>
      <c r="AJ1981" s="23"/>
      <c r="AK1981" s="23"/>
      <c r="AL1981" s="23"/>
      <c r="AM1981" s="16"/>
      <c r="AN1981" s="23"/>
      <c r="AO1981" s="23"/>
      <c r="AP1981" s="23"/>
      <c r="AQ1981" s="16"/>
      <c r="AR1981" s="23"/>
      <c r="AS1981" s="23"/>
      <c r="AT1981" s="23"/>
      <c r="AU1981" s="16"/>
      <c r="AV1981" s="23"/>
      <c r="AW1981" s="23"/>
      <c r="AX1981" s="23"/>
      <c r="AY1981" s="16"/>
      <c r="AZ1981" s="23"/>
      <c r="BA1981" s="23"/>
      <c r="BB1981" s="23"/>
      <c r="BC1981" s="16"/>
      <c r="BD1981" s="23"/>
      <c r="BE1981" s="23"/>
      <c r="BF1981" s="23"/>
      <c r="BG1981" s="16"/>
      <c r="BH1981" s="23"/>
      <c r="BI1981" s="23"/>
      <c r="BJ1981" s="23"/>
      <c r="BN1981" s="23"/>
      <c r="BO1981" s="23"/>
      <c r="BP1981" s="16"/>
      <c r="BQ1981" s="16"/>
      <c r="BR1981" s="23"/>
      <c r="BS1981" s="16"/>
      <c r="BT1981" s="16"/>
      <c r="BU1981" s="16"/>
      <c r="BV1981" s="16"/>
      <c r="BW1981" s="16"/>
      <c r="BX1981" s="16"/>
      <c r="BY1981" s="16"/>
    </row>
    <row r="1982">
      <c r="A1982" s="16"/>
      <c r="B1982" s="16"/>
      <c r="C1982" s="22"/>
      <c r="D1982" s="16"/>
      <c r="E1982" s="16"/>
      <c r="F1982" s="16"/>
      <c r="G1982" s="16"/>
      <c r="H1982" s="16"/>
      <c r="I1982" s="23"/>
      <c r="J1982" s="23"/>
      <c r="K1982" s="16"/>
      <c r="L1982" s="23"/>
      <c r="M1982" s="23"/>
      <c r="N1982" s="23"/>
      <c r="O1982" s="16"/>
      <c r="P1982" s="23"/>
      <c r="Q1982" s="23"/>
      <c r="R1982" s="23"/>
      <c r="S1982" s="16"/>
      <c r="T1982" s="23"/>
      <c r="U1982" s="23"/>
      <c r="V1982" s="23"/>
      <c r="W1982" s="16"/>
      <c r="X1982" s="23"/>
      <c r="Y1982" s="23"/>
      <c r="Z1982" s="23"/>
      <c r="AA1982" s="16"/>
      <c r="AB1982" s="23"/>
      <c r="AC1982" s="23"/>
      <c r="AD1982" s="23"/>
      <c r="AE1982" s="16"/>
      <c r="AF1982" s="23"/>
      <c r="AG1982" s="23"/>
      <c r="AH1982" s="23"/>
      <c r="AI1982" s="16"/>
      <c r="AJ1982" s="23"/>
      <c r="AK1982" s="23"/>
      <c r="AL1982" s="23"/>
      <c r="AM1982" s="16"/>
      <c r="AN1982" s="23"/>
      <c r="AO1982" s="23"/>
      <c r="AP1982" s="23"/>
      <c r="AQ1982" s="16"/>
      <c r="AR1982" s="23"/>
      <c r="AS1982" s="23"/>
      <c r="AT1982" s="23"/>
      <c r="AU1982" s="16"/>
      <c r="AV1982" s="23"/>
      <c r="AW1982" s="23"/>
      <c r="AX1982" s="23"/>
      <c r="AY1982" s="16"/>
      <c r="AZ1982" s="23"/>
      <c r="BA1982" s="23"/>
      <c r="BB1982" s="23"/>
      <c r="BC1982" s="16"/>
      <c r="BD1982" s="23"/>
      <c r="BE1982" s="23"/>
      <c r="BF1982" s="23"/>
      <c r="BG1982" s="16"/>
      <c r="BH1982" s="23"/>
      <c r="BI1982" s="23"/>
      <c r="BJ1982" s="23"/>
      <c r="BN1982" s="23"/>
      <c r="BO1982" s="23"/>
      <c r="BP1982" s="16"/>
      <c r="BQ1982" s="16"/>
      <c r="BR1982" s="23"/>
      <c r="BS1982" s="16"/>
      <c r="BT1982" s="16"/>
      <c r="BU1982" s="16"/>
      <c r="BV1982" s="16"/>
      <c r="BW1982" s="16"/>
      <c r="BX1982" s="16"/>
      <c r="BY1982" s="16"/>
    </row>
    <row r="1983">
      <c r="A1983" s="16"/>
      <c r="B1983" s="16"/>
      <c r="C1983" s="22"/>
      <c r="D1983" s="16"/>
      <c r="E1983" s="16"/>
      <c r="F1983" s="16"/>
      <c r="G1983" s="16"/>
      <c r="H1983" s="16"/>
      <c r="I1983" s="23"/>
      <c r="J1983" s="23"/>
      <c r="K1983" s="16"/>
      <c r="L1983" s="23"/>
      <c r="M1983" s="23"/>
      <c r="N1983" s="23"/>
      <c r="O1983" s="16"/>
      <c r="P1983" s="23"/>
      <c r="Q1983" s="23"/>
      <c r="R1983" s="23"/>
      <c r="S1983" s="16"/>
      <c r="T1983" s="23"/>
      <c r="U1983" s="23"/>
      <c r="V1983" s="23"/>
      <c r="W1983" s="16"/>
      <c r="X1983" s="23"/>
      <c r="Y1983" s="23"/>
      <c r="Z1983" s="23"/>
      <c r="AA1983" s="16"/>
      <c r="AB1983" s="23"/>
      <c r="AC1983" s="23"/>
      <c r="AD1983" s="23"/>
      <c r="AE1983" s="16"/>
      <c r="AF1983" s="23"/>
      <c r="AG1983" s="23"/>
      <c r="AH1983" s="23"/>
      <c r="AI1983" s="16"/>
      <c r="AJ1983" s="23"/>
      <c r="AK1983" s="23"/>
      <c r="AL1983" s="23"/>
      <c r="AM1983" s="16"/>
      <c r="AN1983" s="23"/>
      <c r="AO1983" s="23"/>
      <c r="AP1983" s="23"/>
      <c r="AQ1983" s="16"/>
      <c r="AR1983" s="23"/>
      <c r="AS1983" s="23"/>
      <c r="AT1983" s="23"/>
      <c r="AU1983" s="16"/>
      <c r="AV1983" s="23"/>
      <c r="AW1983" s="23"/>
      <c r="AX1983" s="23"/>
      <c r="AY1983" s="16"/>
      <c r="AZ1983" s="23"/>
      <c r="BA1983" s="23"/>
      <c r="BB1983" s="23"/>
      <c r="BC1983" s="16"/>
      <c r="BD1983" s="23"/>
      <c r="BE1983" s="23"/>
      <c r="BF1983" s="23"/>
      <c r="BG1983" s="16"/>
      <c r="BH1983" s="23"/>
      <c r="BI1983" s="23"/>
      <c r="BJ1983" s="23"/>
      <c r="BN1983" s="23"/>
      <c r="BO1983" s="23"/>
      <c r="BP1983" s="16"/>
      <c r="BQ1983" s="16"/>
      <c r="BR1983" s="23"/>
      <c r="BS1983" s="16"/>
      <c r="BT1983" s="16"/>
      <c r="BU1983" s="16"/>
      <c r="BV1983" s="16"/>
      <c r="BW1983" s="16"/>
      <c r="BX1983" s="16"/>
      <c r="BY1983" s="16"/>
    </row>
    <row r="1984">
      <c r="A1984" s="16"/>
      <c r="B1984" s="16"/>
      <c r="C1984" s="22"/>
      <c r="D1984" s="16"/>
      <c r="E1984" s="16"/>
      <c r="F1984" s="16"/>
      <c r="G1984" s="16"/>
      <c r="H1984" s="16"/>
      <c r="I1984" s="23"/>
      <c r="J1984" s="23"/>
      <c r="K1984" s="16"/>
      <c r="L1984" s="23"/>
      <c r="M1984" s="23"/>
      <c r="N1984" s="23"/>
      <c r="O1984" s="16"/>
      <c r="P1984" s="23"/>
      <c r="Q1984" s="23"/>
      <c r="R1984" s="23"/>
      <c r="S1984" s="16"/>
      <c r="T1984" s="23"/>
      <c r="U1984" s="23"/>
      <c r="V1984" s="23"/>
      <c r="W1984" s="16"/>
      <c r="X1984" s="23"/>
      <c r="Y1984" s="23"/>
      <c r="Z1984" s="23"/>
      <c r="AA1984" s="16"/>
      <c r="AB1984" s="23"/>
      <c r="AC1984" s="23"/>
      <c r="AD1984" s="23"/>
      <c r="AE1984" s="16"/>
      <c r="AF1984" s="23"/>
      <c r="AG1984" s="23"/>
      <c r="AH1984" s="23"/>
      <c r="AI1984" s="16"/>
      <c r="AJ1984" s="23"/>
      <c r="AK1984" s="23"/>
      <c r="AL1984" s="23"/>
      <c r="AM1984" s="16"/>
      <c r="AN1984" s="23"/>
      <c r="AO1984" s="23"/>
      <c r="AP1984" s="23"/>
      <c r="AQ1984" s="16"/>
      <c r="AR1984" s="23"/>
      <c r="AS1984" s="23"/>
      <c r="AT1984" s="23"/>
      <c r="AU1984" s="16"/>
      <c r="AV1984" s="23"/>
      <c r="AW1984" s="23"/>
      <c r="AX1984" s="23"/>
      <c r="AY1984" s="16"/>
      <c r="AZ1984" s="23"/>
      <c r="BA1984" s="23"/>
      <c r="BB1984" s="23"/>
      <c r="BC1984" s="16"/>
      <c r="BD1984" s="23"/>
      <c r="BE1984" s="23"/>
      <c r="BF1984" s="23"/>
      <c r="BG1984" s="16"/>
      <c r="BH1984" s="23"/>
      <c r="BI1984" s="23"/>
      <c r="BJ1984" s="23"/>
      <c r="BN1984" s="23"/>
      <c r="BO1984" s="23"/>
      <c r="BP1984" s="16"/>
      <c r="BQ1984" s="16"/>
      <c r="BR1984" s="23"/>
      <c r="BS1984" s="16"/>
      <c r="BT1984" s="16"/>
      <c r="BU1984" s="16"/>
      <c r="BV1984" s="16"/>
      <c r="BW1984" s="16"/>
      <c r="BX1984" s="16"/>
      <c r="BY1984" s="16"/>
    </row>
    <row r="1985">
      <c r="A1985" s="16"/>
      <c r="B1985" s="16"/>
      <c r="C1985" s="22"/>
      <c r="D1985" s="16"/>
      <c r="E1985" s="16"/>
      <c r="F1985" s="16"/>
      <c r="G1985" s="16"/>
      <c r="H1985" s="16"/>
      <c r="I1985" s="23"/>
      <c r="J1985" s="23"/>
      <c r="K1985" s="16"/>
      <c r="L1985" s="23"/>
      <c r="M1985" s="23"/>
      <c r="N1985" s="23"/>
      <c r="O1985" s="16"/>
      <c r="P1985" s="23"/>
      <c r="Q1985" s="23"/>
      <c r="R1985" s="23"/>
      <c r="S1985" s="16"/>
      <c r="T1985" s="23"/>
      <c r="U1985" s="23"/>
      <c r="V1985" s="23"/>
      <c r="W1985" s="16"/>
      <c r="X1985" s="23"/>
      <c r="Y1985" s="23"/>
      <c r="Z1985" s="23"/>
      <c r="AA1985" s="16"/>
      <c r="AB1985" s="23"/>
      <c r="AC1985" s="23"/>
      <c r="AD1985" s="23"/>
      <c r="AE1985" s="16"/>
      <c r="AF1985" s="23"/>
      <c r="AG1985" s="23"/>
      <c r="AH1985" s="23"/>
      <c r="AI1985" s="16"/>
      <c r="AJ1985" s="23"/>
      <c r="AK1985" s="23"/>
      <c r="AL1985" s="23"/>
      <c r="AM1985" s="16"/>
      <c r="AN1985" s="23"/>
      <c r="AO1985" s="23"/>
      <c r="AP1985" s="23"/>
      <c r="AQ1985" s="16"/>
      <c r="AR1985" s="23"/>
      <c r="AS1985" s="23"/>
      <c r="AT1985" s="23"/>
      <c r="AU1985" s="16"/>
      <c r="AV1985" s="23"/>
      <c r="AW1985" s="23"/>
      <c r="AX1985" s="23"/>
      <c r="AY1985" s="16"/>
      <c r="AZ1985" s="23"/>
      <c r="BA1985" s="23"/>
      <c r="BB1985" s="23"/>
      <c r="BC1985" s="16"/>
      <c r="BD1985" s="23"/>
      <c r="BE1985" s="23"/>
      <c r="BF1985" s="23"/>
      <c r="BG1985" s="16"/>
      <c r="BH1985" s="23"/>
      <c r="BI1985" s="23"/>
      <c r="BJ1985" s="23"/>
      <c r="BN1985" s="23"/>
      <c r="BO1985" s="23"/>
      <c r="BP1985" s="16"/>
      <c r="BQ1985" s="16"/>
      <c r="BR1985" s="23"/>
      <c r="BS1985" s="16"/>
      <c r="BT1985" s="16"/>
      <c r="BU1985" s="16"/>
      <c r="BV1985" s="16"/>
      <c r="BW1985" s="16"/>
      <c r="BX1985" s="16"/>
      <c r="BY1985" s="16"/>
    </row>
    <row r="1986">
      <c r="A1986" s="16"/>
      <c r="B1986" s="16"/>
      <c r="C1986" s="22"/>
      <c r="D1986" s="16"/>
      <c r="E1986" s="16"/>
      <c r="F1986" s="16"/>
      <c r="G1986" s="16"/>
      <c r="H1986" s="16"/>
      <c r="I1986" s="23"/>
      <c r="J1986" s="23"/>
      <c r="K1986" s="16"/>
      <c r="L1986" s="23"/>
      <c r="M1986" s="23"/>
      <c r="N1986" s="23"/>
      <c r="O1986" s="16"/>
      <c r="P1986" s="23"/>
      <c r="Q1986" s="23"/>
      <c r="R1986" s="23"/>
      <c r="S1986" s="16"/>
      <c r="T1986" s="23"/>
      <c r="U1986" s="23"/>
      <c r="V1986" s="23"/>
      <c r="W1986" s="16"/>
      <c r="X1986" s="23"/>
      <c r="Y1986" s="23"/>
      <c r="Z1986" s="23"/>
      <c r="AA1986" s="16"/>
      <c r="AB1986" s="23"/>
      <c r="AC1986" s="23"/>
      <c r="AD1986" s="23"/>
      <c r="AE1986" s="16"/>
      <c r="AF1986" s="23"/>
      <c r="AG1986" s="23"/>
      <c r="AH1986" s="23"/>
      <c r="AI1986" s="16"/>
      <c r="AJ1986" s="23"/>
      <c r="AK1986" s="23"/>
      <c r="AL1986" s="23"/>
      <c r="AM1986" s="16"/>
      <c r="AN1986" s="23"/>
      <c r="AO1986" s="23"/>
      <c r="AP1986" s="23"/>
      <c r="AQ1986" s="16"/>
      <c r="AR1986" s="23"/>
      <c r="AS1986" s="23"/>
      <c r="AT1986" s="23"/>
      <c r="AU1986" s="16"/>
      <c r="AV1986" s="23"/>
      <c r="AW1986" s="23"/>
      <c r="AX1986" s="23"/>
      <c r="AY1986" s="16"/>
      <c r="AZ1986" s="23"/>
      <c r="BA1986" s="23"/>
      <c r="BB1986" s="23"/>
      <c r="BC1986" s="16"/>
      <c r="BD1986" s="23"/>
      <c r="BE1986" s="23"/>
      <c r="BF1986" s="23"/>
      <c r="BG1986" s="16"/>
      <c r="BH1986" s="23"/>
      <c r="BI1986" s="23"/>
      <c r="BJ1986" s="23"/>
      <c r="BN1986" s="23"/>
      <c r="BO1986" s="23"/>
      <c r="BP1986" s="16"/>
      <c r="BQ1986" s="16"/>
      <c r="BR1986" s="23"/>
      <c r="BS1986" s="16"/>
      <c r="BT1986" s="16"/>
      <c r="BU1986" s="16"/>
      <c r="BV1986" s="16"/>
      <c r="BW1986" s="16"/>
      <c r="BX1986" s="16"/>
      <c r="BY1986" s="16"/>
    </row>
    <row r="1987">
      <c r="A1987" s="16"/>
      <c r="B1987" s="16"/>
      <c r="C1987" s="22"/>
      <c r="D1987" s="16"/>
      <c r="E1987" s="16"/>
      <c r="F1987" s="16"/>
      <c r="G1987" s="16"/>
      <c r="H1987" s="16"/>
      <c r="I1987" s="23"/>
      <c r="J1987" s="23"/>
      <c r="K1987" s="16"/>
      <c r="L1987" s="23"/>
      <c r="M1987" s="23"/>
      <c r="N1987" s="23"/>
      <c r="O1987" s="16"/>
      <c r="P1987" s="23"/>
      <c r="Q1987" s="23"/>
      <c r="R1987" s="23"/>
      <c r="S1987" s="16"/>
      <c r="T1987" s="23"/>
      <c r="U1987" s="23"/>
      <c r="V1987" s="23"/>
      <c r="W1987" s="16"/>
      <c r="X1987" s="23"/>
      <c r="Y1987" s="23"/>
      <c r="Z1987" s="23"/>
      <c r="AA1987" s="16"/>
      <c r="AB1987" s="23"/>
      <c r="AC1987" s="23"/>
      <c r="AD1987" s="23"/>
      <c r="AE1987" s="16"/>
      <c r="AF1987" s="23"/>
      <c r="AG1987" s="23"/>
      <c r="AH1987" s="23"/>
      <c r="AI1987" s="16"/>
      <c r="AJ1987" s="23"/>
      <c r="AK1987" s="23"/>
      <c r="AL1987" s="23"/>
      <c r="AM1987" s="16"/>
      <c r="AN1987" s="23"/>
      <c r="AO1987" s="23"/>
      <c r="AP1987" s="23"/>
      <c r="AQ1987" s="16"/>
      <c r="AR1987" s="23"/>
      <c r="AS1987" s="23"/>
      <c r="AT1987" s="23"/>
      <c r="AU1987" s="16"/>
      <c r="AV1987" s="23"/>
      <c r="AW1987" s="23"/>
      <c r="AX1987" s="23"/>
      <c r="AY1987" s="16"/>
      <c r="AZ1987" s="23"/>
      <c r="BA1987" s="23"/>
      <c r="BB1987" s="23"/>
      <c r="BC1987" s="16"/>
      <c r="BD1987" s="23"/>
      <c r="BE1987" s="23"/>
      <c r="BF1987" s="23"/>
      <c r="BG1987" s="16"/>
      <c r="BH1987" s="23"/>
      <c r="BI1987" s="23"/>
      <c r="BJ1987" s="23"/>
      <c r="BN1987" s="23"/>
      <c r="BO1987" s="23"/>
      <c r="BP1987" s="16"/>
      <c r="BQ1987" s="16"/>
      <c r="BR1987" s="23"/>
      <c r="BS1987" s="16"/>
      <c r="BT1987" s="16"/>
      <c r="BU1987" s="16"/>
      <c r="BV1987" s="16"/>
      <c r="BW1987" s="16"/>
      <c r="BX1987" s="16"/>
      <c r="BY1987" s="16"/>
    </row>
    <row r="1988">
      <c r="A1988" s="16"/>
      <c r="B1988" s="16"/>
      <c r="C1988" s="22"/>
      <c r="D1988" s="16"/>
      <c r="E1988" s="16"/>
      <c r="F1988" s="16"/>
      <c r="G1988" s="16"/>
      <c r="H1988" s="16"/>
      <c r="I1988" s="23"/>
      <c r="J1988" s="23"/>
      <c r="K1988" s="16"/>
      <c r="L1988" s="23"/>
      <c r="M1988" s="23"/>
      <c r="N1988" s="23"/>
      <c r="O1988" s="16"/>
      <c r="P1988" s="23"/>
      <c r="Q1988" s="23"/>
      <c r="R1988" s="23"/>
      <c r="S1988" s="16"/>
      <c r="T1988" s="23"/>
      <c r="U1988" s="23"/>
      <c r="V1988" s="23"/>
      <c r="W1988" s="16"/>
      <c r="X1988" s="23"/>
      <c r="Y1988" s="23"/>
      <c r="Z1988" s="23"/>
      <c r="AA1988" s="16"/>
      <c r="AB1988" s="23"/>
      <c r="AC1988" s="23"/>
      <c r="AD1988" s="23"/>
      <c r="AE1988" s="16"/>
      <c r="AF1988" s="23"/>
      <c r="AG1988" s="23"/>
      <c r="AH1988" s="23"/>
      <c r="AI1988" s="16"/>
      <c r="AJ1988" s="23"/>
      <c r="AK1988" s="23"/>
      <c r="AL1988" s="23"/>
      <c r="AM1988" s="16"/>
      <c r="AN1988" s="23"/>
      <c r="AO1988" s="23"/>
      <c r="AP1988" s="23"/>
      <c r="AQ1988" s="16"/>
      <c r="AR1988" s="23"/>
      <c r="AS1988" s="23"/>
      <c r="AT1988" s="23"/>
      <c r="AU1988" s="16"/>
      <c r="AV1988" s="23"/>
      <c r="AW1988" s="23"/>
      <c r="AX1988" s="23"/>
      <c r="AY1988" s="16"/>
      <c r="AZ1988" s="23"/>
      <c r="BA1988" s="23"/>
      <c r="BB1988" s="23"/>
      <c r="BC1988" s="16"/>
      <c r="BD1988" s="23"/>
      <c r="BE1988" s="23"/>
      <c r="BF1988" s="23"/>
      <c r="BG1988" s="16"/>
      <c r="BH1988" s="23"/>
      <c r="BI1988" s="23"/>
      <c r="BJ1988" s="23"/>
      <c r="BN1988" s="23"/>
      <c r="BO1988" s="23"/>
      <c r="BP1988" s="16"/>
      <c r="BQ1988" s="16"/>
      <c r="BR1988" s="23"/>
      <c r="BS1988" s="16"/>
      <c r="BT1988" s="16"/>
      <c r="BU1988" s="16"/>
      <c r="BV1988" s="16"/>
      <c r="BW1988" s="16"/>
      <c r="BX1988" s="16"/>
      <c r="BY1988" s="16"/>
    </row>
    <row r="1989">
      <c r="A1989" s="16"/>
      <c r="B1989" s="16"/>
      <c r="C1989" s="22"/>
      <c r="D1989" s="16"/>
      <c r="E1989" s="16"/>
      <c r="F1989" s="16"/>
      <c r="G1989" s="16"/>
      <c r="H1989" s="16"/>
      <c r="I1989" s="23"/>
      <c r="J1989" s="23"/>
      <c r="K1989" s="16"/>
      <c r="L1989" s="23"/>
      <c r="M1989" s="23"/>
      <c r="N1989" s="23"/>
      <c r="O1989" s="16"/>
      <c r="P1989" s="23"/>
      <c r="Q1989" s="23"/>
      <c r="R1989" s="23"/>
      <c r="S1989" s="16"/>
      <c r="T1989" s="23"/>
      <c r="U1989" s="23"/>
      <c r="V1989" s="23"/>
      <c r="W1989" s="16"/>
      <c r="X1989" s="23"/>
      <c r="Y1989" s="23"/>
      <c r="Z1989" s="23"/>
      <c r="AA1989" s="16"/>
      <c r="AB1989" s="23"/>
      <c r="AC1989" s="23"/>
      <c r="AD1989" s="23"/>
      <c r="AE1989" s="16"/>
      <c r="AF1989" s="23"/>
      <c r="AG1989" s="23"/>
      <c r="AH1989" s="23"/>
      <c r="AI1989" s="16"/>
      <c r="AJ1989" s="23"/>
      <c r="AK1989" s="23"/>
      <c r="AL1989" s="23"/>
      <c r="AM1989" s="16"/>
      <c r="AN1989" s="23"/>
      <c r="AO1989" s="23"/>
      <c r="AP1989" s="23"/>
      <c r="AQ1989" s="16"/>
      <c r="AR1989" s="23"/>
      <c r="AS1989" s="23"/>
      <c r="AT1989" s="23"/>
      <c r="AU1989" s="16"/>
      <c r="AV1989" s="23"/>
      <c r="AW1989" s="23"/>
      <c r="AX1989" s="23"/>
      <c r="AY1989" s="16"/>
      <c r="AZ1989" s="23"/>
      <c r="BA1989" s="23"/>
      <c r="BB1989" s="23"/>
      <c r="BC1989" s="16"/>
      <c r="BD1989" s="23"/>
      <c r="BE1989" s="23"/>
      <c r="BF1989" s="23"/>
      <c r="BG1989" s="16"/>
      <c r="BH1989" s="23"/>
      <c r="BI1989" s="23"/>
      <c r="BJ1989" s="23"/>
      <c r="BN1989" s="23"/>
      <c r="BO1989" s="23"/>
      <c r="BP1989" s="16"/>
      <c r="BQ1989" s="16"/>
      <c r="BR1989" s="23"/>
      <c r="BS1989" s="16"/>
      <c r="BT1989" s="16"/>
      <c r="BU1989" s="16"/>
      <c r="BV1989" s="16"/>
      <c r="BW1989" s="16"/>
      <c r="BX1989" s="16"/>
      <c r="BY1989" s="16"/>
    </row>
    <row r="1990">
      <c r="A1990" s="16"/>
      <c r="B1990" s="16"/>
      <c r="C1990" s="22"/>
      <c r="D1990" s="16"/>
      <c r="E1990" s="16"/>
      <c r="F1990" s="16"/>
      <c r="G1990" s="16"/>
      <c r="H1990" s="16"/>
      <c r="I1990" s="23"/>
      <c r="J1990" s="23"/>
      <c r="K1990" s="16"/>
      <c r="L1990" s="23"/>
      <c r="M1990" s="23"/>
      <c r="N1990" s="23"/>
      <c r="O1990" s="16"/>
      <c r="P1990" s="23"/>
      <c r="Q1990" s="23"/>
      <c r="R1990" s="23"/>
      <c r="S1990" s="16"/>
      <c r="T1990" s="23"/>
      <c r="U1990" s="23"/>
      <c r="V1990" s="23"/>
      <c r="W1990" s="16"/>
      <c r="X1990" s="23"/>
      <c r="Y1990" s="23"/>
      <c r="Z1990" s="23"/>
      <c r="AA1990" s="16"/>
      <c r="AB1990" s="23"/>
      <c r="AC1990" s="23"/>
      <c r="AD1990" s="23"/>
      <c r="AE1990" s="16"/>
      <c r="AF1990" s="23"/>
      <c r="AG1990" s="23"/>
      <c r="AH1990" s="23"/>
      <c r="AI1990" s="16"/>
      <c r="AJ1990" s="23"/>
      <c r="AK1990" s="23"/>
      <c r="AL1990" s="23"/>
      <c r="AM1990" s="16"/>
      <c r="AN1990" s="23"/>
      <c r="AO1990" s="23"/>
      <c r="AP1990" s="23"/>
      <c r="AQ1990" s="16"/>
      <c r="AR1990" s="23"/>
      <c r="AS1990" s="23"/>
      <c r="AT1990" s="23"/>
      <c r="AU1990" s="16"/>
      <c r="AV1990" s="23"/>
      <c r="AW1990" s="23"/>
      <c r="AX1990" s="23"/>
      <c r="AY1990" s="16"/>
      <c r="AZ1990" s="23"/>
      <c r="BA1990" s="23"/>
      <c r="BB1990" s="23"/>
      <c r="BC1990" s="16"/>
      <c r="BD1990" s="23"/>
      <c r="BE1990" s="23"/>
      <c r="BF1990" s="23"/>
      <c r="BG1990" s="16"/>
      <c r="BH1990" s="23"/>
      <c r="BI1990" s="23"/>
      <c r="BJ1990" s="23"/>
      <c r="BN1990" s="23"/>
      <c r="BO1990" s="23"/>
      <c r="BP1990" s="16"/>
      <c r="BQ1990" s="16"/>
      <c r="BR1990" s="23"/>
      <c r="BS1990" s="16"/>
      <c r="BT1990" s="16"/>
      <c r="BU1990" s="16"/>
      <c r="BV1990" s="16"/>
      <c r="BW1990" s="16"/>
      <c r="BX1990" s="16"/>
      <c r="BY1990" s="16"/>
    </row>
    <row r="1991">
      <c r="A1991" s="16"/>
      <c r="B1991" s="16"/>
      <c r="C1991" s="22"/>
      <c r="D1991" s="16"/>
      <c r="E1991" s="16"/>
      <c r="F1991" s="16"/>
      <c r="G1991" s="16"/>
      <c r="H1991" s="16"/>
      <c r="I1991" s="23"/>
      <c r="J1991" s="23"/>
      <c r="K1991" s="16"/>
      <c r="L1991" s="23"/>
      <c r="M1991" s="23"/>
      <c r="N1991" s="23"/>
      <c r="O1991" s="16"/>
      <c r="P1991" s="23"/>
      <c r="Q1991" s="23"/>
      <c r="R1991" s="23"/>
      <c r="S1991" s="16"/>
      <c r="T1991" s="23"/>
      <c r="U1991" s="23"/>
      <c r="V1991" s="23"/>
      <c r="W1991" s="16"/>
      <c r="X1991" s="23"/>
      <c r="Y1991" s="23"/>
      <c r="Z1991" s="23"/>
      <c r="AA1991" s="16"/>
      <c r="AB1991" s="23"/>
      <c r="AC1991" s="23"/>
      <c r="AD1991" s="23"/>
      <c r="AE1991" s="16"/>
      <c r="AF1991" s="23"/>
      <c r="AG1991" s="23"/>
      <c r="AH1991" s="23"/>
      <c r="AI1991" s="16"/>
      <c r="AJ1991" s="23"/>
      <c r="AK1991" s="23"/>
      <c r="AL1991" s="23"/>
      <c r="AM1991" s="16"/>
      <c r="AN1991" s="23"/>
      <c r="AO1991" s="23"/>
      <c r="AP1991" s="23"/>
      <c r="AQ1991" s="16"/>
      <c r="AR1991" s="23"/>
      <c r="AS1991" s="23"/>
      <c r="AT1991" s="23"/>
      <c r="AU1991" s="16"/>
      <c r="AV1991" s="23"/>
      <c r="AW1991" s="23"/>
      <c r="AX1991" s="23"/>
      <c r="AY1991" s="16"/>
      <c r="AZ1991" s="23"/>
      <c r="BA1991" s="23"/>
      <c r="BB1991" s="23"/>
      <c r="BC1991" s="16"/>
      <c r="BD1991" s="23"/>
      <c r="BE1991" s="23"/>
      <c r="BF1991" s="23"/>
      <c r="BG1991" s="16"/>
      <c r="BH1991" s="23"/>
      <c r="BI1991" s="23"/>
      <c r="BJ1991" s="23"/>
      <c r="BN1991" s="23"/>
      <c r="BO1991" s="23"/>
      <c r="BP1991" s="16"/>
      <c r="BQ1991" s="16"/>
      <c r="BR1991" s="23"/>
      <c r="BS1991" s="16"/>
      <c r="BT1991" s="16"/>
      <c r="BU1991" s="16"/>
      <c r="BV1991" s="16"/>
      <c r="BW1991" s="16"/>
      <c r="BX1991" s="16"/>
      <c r="BY1991" s="16"/>
    </row>
    <row r="1992">
      <c r="A1992" s="16"/>
      <c r="B1992" s="16"/>
      <c r="C1992" s="22"/>
      <c r="D1992" s="16"/>
      <c r="E1992" s="16"/>
      <c r="F1992" s="16"/>
      <c r="G1992" s="16"/>
      <c r="H1992" s="16"/>
      <c r="I1992" s="23"/>
      <c r="J1992" s="23"/>
      <c r="K1992" s="16"/>
      <c r="L1992" s="23"/>
      <c r="M1992" s="23"/>
      <c r="N1992" s="23"/>
      <c r="O1992" s="16"/>
      <c r="P1992" s="23"/>
      <c r="Q1992" s="23"/>
      <c r="R1992" s="23"/>
      <c r="S1992" s="16"/>
      <c r="T1992" s="23"/>
      <c r="U1992" s="23"/>
      <c r="V1992" s="23"/>
      <c r="W1992" s="16"/>
      <c r="X1992" s="23"/>
      <c r="Y1992" s="23"/>
      <c r="Z1992" s="23"/>
      <c r="AA1992" s="16"/>
      <c r="AB1992" s="23"/>
      <c r="AC1992" s="23"/>
      <c r="AD1992" s="23"/>
      <c r="AE1992" s="16"/>
      <c r="AF1992" s="23"/>
      <c r="AG1992" s="23"/>
      <c r="AH1992" s="23"/>
      <c r="AI1992" s="16"/>
      <c r="AJ1992" s="23"/>
      <c r="AK1992" s="23"/>
      <c r="AL1992" s="23"/>
      <c r="AM1992" s="16"/>
      <c r="AN1992" s="23"/>
      <c r="AO1992" s="23"/>
      <c r="AP1992" s="23"/>
      <c r="AQ1992" s="16"/>
      <c r="AR1992" s="23"/>
      <c r="AS1992" s="23"/>
      <c r="AT1992" s="23"/>
      <c r="AU1992" s="16"/>
      <c r="AV1992" s="23"/>
      <c r="AW1992" s="23"/>
      <c r="AX1992" s="23"/>
      <c r="AY1992" s="16"/>
      <c r="AZ1992" s="23"/>
      <c r="BA1992" s="23"/>
      <c r="BB1992" s="23"/>
      <c r="BC1992" s="16"/>
      <c r="BD1992" s="23"/>
      <c r="BE1992" s="23"/>
      <c r="BF1992" s="23"/>
      <c r="BG1992" s="16"/>
      <c r="BH1992" s="23"/>
      <c r="BI1992" s="23"/>
      <c r="BJ1992" s="23"/>
      <c r="BN1992" s="23"/>
      <c r="BO1992" s="23"/>
      <c r="BP1992" s="16"/>
      <c r="BQ1992" s="16"/>
      <c r="BR1992" s="23"/>
      <c r="BS1992" s="16"/>
      <c r="BT1992" s="16"/>
      <c r="BU1992" s="16"/>
      <c r="BV1992" s="16"/>
      <c r="BW1992" s="16"/>
      <c r="BX1992" s="16"/>
      <c r="BY1992" s="16"/>
    </row>
    <row r="1993">
      <c r="A1993" s="16"/>
      <c r="B1993" s="16"/>
      <c r="C1993" s="22"/>
      <c r="D1993" s="16"/>
      <c r="E1993" s="16"/>
      <c r="F1993" s="16"/>
      <c r="G1993" s="16"/>
      <c r="H1993" s="16"/>
      <c r="I1993" s="23"/>
      <c r="J1993" s="23"/>
      <c r="K1993" s="16"/>
      <c r="L1993" s="23"/>
      <c r="M1993" s="23"/>
      <c r="N1993" s="23"/>
      <c r="O1993" s="16"/>
      <c r="P1993" s="23"/>
      <c r="Q1993" s="23"/>
      <c r="R1993" s="23"/>
      <c r="S1993" s="16"/>
      <c r="T1993" s="23"/>
      <c r="U1993" s="23"/>
      <c r="V1993" s="23"/>
      <c r="W1993" s="16"/>
      <c r="X1993" s="23"/>
      <c r="Y1993" s="23"/>
      <c r="Z1993" s="23"/>
      <c r="AA1993" s="16"/>
      <c r="AB1993" s="23"/>
      <c r="AC1993" s="23"/>
      <c r="AD1993" s="23"/>
      <c r="AE1993" s="16"/>
      <c r="AF1993" s="23"/>
      <c r="AG1993" s="23"/>
      <c r="AH1993" s="23"/>
      <c r="AI1993" s="16"/>
      <c r="AJ1993" s="23"/>
      <c r="AK1993" s="23"/>
      <c r="AL1993" s="23"/>
      <c r="AM1993" s="16"/>
      <c r="AN1993" s="23"/>
      <c r="AO1993" s="23"/>
      <c r="AP1993" s="23"/>
      <c r="AQ1993" s="16"/>
      <c r="AR1993" s="23"/>
      <c r="AS1993" s="23"/>
      <c r="AT1993" s="23"/>
      <c r="AU1993" s="16"/>
      <c r="AV1993" s="23"/>
      <c r="AW1993" s="23"/>
      <c r="AX1993" s="23"/>
      <c r="AY1993" s="16"/>
      <c r="AZ1993" s="23"/>
      <c r="BA1993" s="23"/>
      <c r="BB1993" s="23"/>
      <c r="BC1993" s="16"/>
      <c r="BD1993" s="23"/>
      <c r="BE1993" s="23"/>
      <c r="BF1993" s="23"/>
      <c r="BG1993" s="16"/>
      <c r="BH1993" s="23"/>
      <c r="BI1993" s="23"/>
      <c r="BJ1993" s="23"/>
      <c r="BN1993" s="23"/>
      <c r="BO1993" s="23"/>
      <c r="BP1993" s="16"/>
      <c r="BQ1993" s="16"/>
      <c r="BR1993" s="23"/>
      <c r="BS1993" s="16"/>
      <c r="BT1993" s="16"/>
      <c r="BU1993" s="16"/>
      <c r="BV1993" s="16"/>
      <c r="BW1993" s="16"/>
      <c r="BX1993" s="16"/>
      <c r="BY1993" s="16"/>
    </row>
    <row r="1994">
      <c r="A1994" s="16"/>
      <c r="B1994" s="16"/>
      <c r="C1994" s="22"/>
      <c r="D1994" s="16"/>
      <c r="E1994" s="16"/>
      <c r="F1994" s="16"/>
      <c r="G1994" s="16"/>
      <c r="H1994" s="16"/>
      <c r="I1994" s="23"/>
      <c r="J1994" s="23"/>
      <c r="K1994" s="16"/>
      <c r="L1994" s="23"/>
      <c r="M1994" s="23"/>
      <c r="N1994" s="23"/>
      <c r="O1994" s="16"/>
      <c r="P1994" s="23"/>
      <c r="Q1994" s="23"/>
      <c r="R1994" s="23"/>
      <c r="S1994" s="16"/>
      <c r="T1994" s="23"/>
      <c r="U1994" s="23"/>
      <c r="V1994" s="23"/>
      <c r="W1994" s="16"/>
      <c r="X1994" s="23"/>
      <c r="Y1994" s="23"/>
      <c r="Z1994" s="23"/>
      <c r="AA1994" s="16"/>
      <c r="AB1994" s="23"/>
      <c r="AC1994" s="23"/>
      <c r="AD1994" s="23"/>
      <c r="AE1994" s="16"/>
      <c r="AF1994" s="23"/>
      <c r="AG1994" s="23"/>
      <c r="AH1994" s="23"/>
      <c r="AI1994" s="16"/>
      <c r="AJ1994" s="23"/>
      <c r="AK1994" s="23"/>
      <c r="AL1994" s="23"/>
      <c r="AM1994" s="16"/>
      <c r="AN1994" s="23"/>
      <c r="AO1994" s="23"/>
      <c r="AP1994" s="23"/>
      <c r="AQ1994" s="16"/>
      <c r="AR1994" s="23"/>
      <c r="AS1994" s="23"/>
      <c r="AT1994" s="23"/>
      <c r="AU1994" s="16"/>
      <c r="AV1994" s="23"/>
      <c r="AW1994" s="23"/>
      <c r="AX1994" s="23"/>
      <c r="AY1994" s="16"/>
      <c r="AZ1994" s="23"/>
      <c r="BA1994" s="23"/>
      <c r="BB1994" s="23"/>
      <c r="BC1994" s="16"/>
      <c r="BD1994" s="23"/>
      <c r="BE1994" s="23"/>
      <c r="BF1994" s="23"/>
      <c r="BG1994" s="16"/>
      <c r="BH1994" s="23"/>
      <c r="BI1994" s="23"/>
      <c r="BJ1994" s="23"/>
      <c r="BN1994" s="23"/>
      <c r="BO1994" s="23"/>
      <c r="BP1994" s="16"/>
      <c r="BQ1994" s="16"/>
      <c r="BR1994" s="23"/>
      <c r="BS1994" s="16"/>
      <c r="BT1994" s="16"/>
      <c r="BU1994" s="16"/>
      <c r="BV1994" s="16"/>
      <c r="BW1994" s="16"/>
      <c r="BX1994" s="16"/>
      <c r="BY1994" s="16"/>
    </row>
    <row r="1995">
      <c r="A1995" s="16"/>
      <c r="B1995" s="16"/>
      <c r="C1995" s="22"/>
      <c r="D1995" s="16"/>
      <c r="E1995" s="16"/>
      <c r="F1995" s="16"/>
      <c r="G1995" s="16"/>
      <c r="H1995" s="16"/>
      <c r="I1995" s="23"/>
      <c r="J1995" s="23"/>
      <c r="K1995" s="16"/>
      <c r="L1995" s="23"/>
      <c r="M1995" s="23"/>
      <c r="N1995" s="23"/>
      <c r="O1995" s="16"/>
      <c r="P1995" s="23"/>
      <c r="Q1995" s="23"/>
      <c r="R1995" s="23"/>
      <c r="S1995" s="16"/>
      <c r="T1995" s="23"/>
      <c r="U1995" s="23"/>
      <c r="V1995" s="23"/>
      <c r="W1995" s="16"/>
      <c r="X1995" s="23"/>
      <c r="Y1995" s="23"/>
      <c r="Z1995" s="23"/>
      <c r="AA1995" s="16"/>
      <c r="AB1995" s="23"/>
      <c r="AC1995" s="23"/>
      <c r="AD1995" s="23"/>
      <c r="AE1995" s="16"/>
      <c r="AF1995" s="23"/>
      <c r="AG1995" s="23"/>
      <c r="AH1995" s="23"/>
      <c r="AI1995" s="16"/>
      <c r="AJ1995" s="23"/>
      <c r="AK1995" s="23"/>
      <c r="AL1995" s="23"/>
      <c r="AM1995" s="16"/>
      <c r="AN1995" s="23"/>
      <c r="AO1995" s="23"/>
      <c r="AP1995" s="23"/>
      <c r="AQ1995" s="16"/>
      <c r="AR1995" s="23"/>
      <c r="AS1995" s="23"/>
      <c r="AT1995" s="23"/>
      <c r="AU1995" s="16"/>
      <c r="AV1995" s="23"/>
      <c r="AW1995" s="23"/>
      <c r="AX1995" s="23"/>
      <c r="AY1995" s="16"/>
      <c r="AZ1995" s="23"/>
      <c r="BA1995" s="23"/>
      <c r="BB1995" s="23"/>
      <c r="BC1995" s="16"/>
      <c r="BD1995" s="23"/>
      <c r="BE1995" s="23"/>
      <c r="BF1995" s="23"/>
      <c r="BG1995" s="16"/>
      <c r="BH1995" s="23"/>
      <c r="BI1995" s="23"/>
      <c r="BJ1995" s="23"/>
      <c r="BN1995" s="23"/>
      <c r="BO1995" s="23"/>
      <c r="BP1995" s="16"/>
      <c r="BQ1995" s="16"/>
      <c r="BR1995" s="23"/>
      <c r="BS1995" s="16"/>
      <c r="BT1995" s="16"/>
      <c r="BU1995" s="16"/>
      <c r="BV1995" s="16"/>
      <c r="BW1995" s="16"/>
      <c r="BX1995" s="16"/>
      <c r="BY1995" s="16"/>
    </row>
    <row r="1996">
      <c r="A1996" s="16"/>
      <c r="B1996" s="16"/>
      <c r="C1996" s="22"/>
      <c r="D1996" s="16"/>
      <c r="E1996" s="16"/>
      <c r="F1996" s="16"/>
      <c r="G1996" s="16"/>
      <c r="H1996" s="16"/>
      <c r="I1996" s="23"/>
      <c r="J1996" s="23"/>
      <c r="K1996" s="16"/>
      <c r="L1996" s="23"/>
      <c r="M1996" s="23"/>
      <c r="N1996" s="23"/>
      <c r="O1996" s="16"/>
      <c r="P1996" s="23"/>
      <c r="Q1996" s="23"/>
      <c r="R1996" s="23"/>
      <c r="S1996" s="16"/>
      <c r="T1996" s="23"/>
      <c r="U1996" s="23"/>
      <c r="V1996" s="23"/>
      <c r="W1996" s="16"/>
      <c r="X1996" s="23"/>
      <c r="Y1996" s="23"/>
      <c r="Z1996" s="23"/>
      <c r="AA1996" s="16"/>
      <c r="AB1996" s="23"/>
      <c r="AC1996" s="23"/>
      <c r="AD1996" s="23"/>
      <c r="AE1996" s="16"/>
      <c r="AF1996" s="23"/>
      <c r="AG1996" s="23"/>
      <c r="AH1996" s="23"/>
      <c r="AI1996" s="16"/>
      <c r="AJ1996" s="23"/>
      <c r="AK1996" s="23"/>
      <c r="AL1996" s="23"/>
      <c r="AM1996" s="16"/>
      <c r="AN1996" s="23"/>
      <c r="AO1996" s="23"/>
      <c r="AP1996" s="23"/>
      <c r="AQ1996" s="16"/>
      <c r="AR1996" s="23"/>
      <c r="AS1996" s="23"/>
      <c r="AT1996" s="23"/>
      <c r="AU1996" s="16"/>
      <c r="AV1996" s="23"/>
      <c r="AW1996" s="23"/>
      <c r="AX1996" s="23"/>
      <c r="AY1996" s="16"/>
      <c r="AZ1996" s="23"/>
      <c r="BA1996" s="23"/>
      <c r="BB1996" s="23"/>
      <c r="BC1996" s="16"/>
      <c r="BD1996" s="23"/>
      <c r="BE1996" s="23"/>
      <c r="BF1996" s="23"/>
      <c r="BG1996" s="16"/>
      <c r="BH1996" s="23"/>
      <c r="BI1996" s="23"/>
      <c r="BJ1996" s="23"/>
      <c r="BN1996" s="23"/>
      <c r="BO1996" s="23"/>
      <c r="BP1996" s="16"/>
      <c r="BQ1996" s="16"/>
      <c r="BR1996" s="23"/>
      <c r="BS1996" s="16"/>
      <c r="BT1996" s="16"/>
      <c r="BU1996" s="16"/>
      <c r="BV1996" s="16"/>
      <c r="BW1996" s="16"/>
      <c r="BX1996" s="16"/>
      <c r="BY1996" s="16"/>
    </row>
    <row r="1997">
      <c r="A1997" s="16"/>
      <c r="B1997" s="16"/>
      <c r="C1997" s="22"/>
      <c r="D1997" s="16"/>
      <c r="E1997" s="16"/>
      <c r="F1997" s="16"/>
      <c r="G1997" s="16"/>
      <c r="H1997" s="16"/>
      <c r="I1997" s="23"/>
      <c r="J1997" s="23"/>
      <c r="K1997" s="16"/>
      <c r="L1997" s="23"/>
      <c r="M1997" s="23"/>
      <c r="N1997" s="23"/>
      <c r="O1997" s="16"/>
      <c r="P1997" s="23"/>
      <c r="Q1997" s="23"/>
      <c r="R1997" s="23"/>
      <c r="S1997" s="16"/>
      <c r="T1997" s="23"/>
      <c r="U1997" s="23"/>
      <c r="V1997" s="23"/>
      <c r="W1997" s="16"/>
      <c r="X1997" s="23"/>
      <c r="Y1997" s="23"/>
      <c r="Z1997" s="23"/>
      <c r="AA1997" s="16"/>
      <c r="AB1997" s="23"/>
      <c r="AC1997" s="23"/>
      <c r="AD1997" s="23"/>
      <c r="AE1997" s="16"/>
      <c r="AF1997" s="23"/>
      <c r="AG1997" s="23"/>
      <c r="AH1997" s="23"/>
      <c r="AI1997" s="16"/>
      <c r="AJ1997" s="23"/>
      <c r="AK1997" s="23"/>
      <c r="AL1997" s="23"/>
      <c r="AM1997" s="16"/>
      <c r="AN1997" s="23"/>
      <c r="AO1997" s="23"/>
      <c r="AP1997" s="23"/>
      <c r="AQ1997" s="16"/>
      <c r="AR1997" s="23"/>
      <c r="AS1997" s="23"/>
      <c r="AT1997" s="23"/>
      <c r="AU1997" s="16"/>
      <c r="AV1997" s="23"/>
      <c r="AW1997" s="23"/>
      <c r="AX1997" s="23"/>
      <c r="AY1997" s="16"/>
      <c r="AZ1997" s="23"/>
      <c r="BA1997" s="23"/>
      <c r="BB1997" s="23"/>
      <c r="BC1997" s="16"/>
      <c r="BD1997" s="23"/>
      <c r="BE1997" s="23"/>
      <c r="BF1997" s="23"/>
      <c r="BG1997" s="16"/>
      <c r="BH1997" s="23"/>
      <c r="BI1997" s="23"/>
      <c r="BJ1997" s="23"/>
      <c r="BN1997" s="23"/>
      <c r="BO1997" s="23"/>
      <c r="BP1997" s="16"/>
      <c r="BQ1997" s="16"/>
      <c r="BR1997" s="23"/>
      <c r="BS1997" s="16"/>
      <c r="BT1997" s="16"/>
      <c r="BU1997" s="16"/>
      <c r="BV1997" s="16"/>
      <c r="BW1997" s="16"/>
      <c r="BX1997" s="16"/>
      <c r="BY1997" s="16"/>
    </row>
    <row r="1998">
      <c r="A1998" s="16"/>
      <c r="B1998" s="16"/>
      <c r="C1998" s="22"/>
      <c r="D1998" s="16"/>
      <c r="E1998" s="16"/>
      <c r="F1998" s="16"/>
      <c r="G1998" s="16"/>
      <c r="H1998" s="16"/>
      <c r="I1998" s="23"/>
      <c r="J1998" s="23"/>
      <c r="K1998" s="16"/>
      <c r="L1998" s="23"/>
      <c r="M1998" s="23"/>
      <c r="N1998" s="23"/>
      <c r="O1998" s="16"/>
      <c r="P1998" s="23"/>
      <c r="Q1998" s="23"/>
      <c r="R1998" s="23"/>
      <c r="S1998" s="16"/>
      <c r="T1998" s="23"/>
      <c r="U1998" s="23"/>
      <c r="V1998" s="23"/>
      <c r="W1998" s="16"/>
      <c r="X1998" s="23"/>
      <c r="Y1998" s="23"/>
      <c r="Z1998" s="23"/>
      <c r="AA1998" s="16"/>
      <c r="AB1998" s="23"/>
      <c r="AC1998" s="23"/>
      <c r="AD1998" s="23"/>
      <c r="AE1998" s="16"/>
      <c r="AF1998" s="23"/>
      <c r="AG1998" s="23"/>
      <c r="AH1998" s="23"/>
      <c r="AI1998" s="16"/>
      <c r="AJ1998" s="23"/>
      <c r="AK1998" s="23"/>
      <c r="AL1998" s="23"/>
      <c r="AM1998" s="16"/>
      <c r="AN1998" s="23"/>
      <c r="AO1998" s="23"/>
      <c r="AP1998" s="23"/>
      <c r="AQ1998" s="16"/>
      <c r="AR1998" s="23"/>
      <c r="AS1998" s="23"/>
      <c r="AT1998" s="23"/>
      <c r="AU1998" s="16"/>
      <c r="AV1998" s="23"/>
      <c r="AW1998" s="23"/>
      <c r="AX1998" s="23"/>
      <c r="AY1998" s="16"/>
      <c r="AZ1998" s="23"/>
      <c r="BA1998" s="23"/>
      <c r="BB1998" s="23"/>
      <c r="BC1998" s="16"/>
      <c r="BD1998" s="23"/>
      <c r="BE1998" s="23"/>
      <c r="BF1998" s="23"/>
      <c r="BG1998" s="16"/>
      <c r="BH1998" s="23"/>
      <c r="BI1998" s="23"/>
      <c r="BJ1998" s="23"/>
      <c r="BN1998" s="23"/>
      <c r="BO1998" s="23"/>
      <c r="BP1998" s="16"/>
      <c r="BQ1998" s="16"/>
      <c r="BR1998" s="23"/>
      <c r="BS1998" s="16"/>
      <c r="BT1998" s="16"/>
      <c r="BU1998" s="16"/>
      <c r="BV1998" s="16"/>
      <c r="BW1998" s="16"/>
      <c r="BX1998" s="16"/>
      <c r="BY1998" s="16"/>
    </row>
    <row r="1999">
      <c r="A1999" s="16"/>
      <c r="B1999" s="16"/>
      <c r="C1999" s="22"/>
      <c r="D1999" s="16"/>
      <c r="E1999" s="16"/>
      <c r="F1999" s="16"/>
      <c r="G1999" s="16"/>
      <c r="H1999" s="16"/>
      <c r="I1999" s="23"/>
      <c r="J1999" s="23"/>
      <c r="K1999" s="16"/>
      <c r="L1999" s="23"/>
      <c r="M1999" s="23"/>
      <c r="N1999" s="23"/>
      <c r="O1999" s="16"/>
      <c r="P1999" s="23"/>
      <c r="Q1999" s="23"/>
      <c r="R1999" s="23"/>
      <c r="S1999" s="16"/>
      <c r="T1999" s="23"/>
      <c r="U1999" s="23"/>
      <c r="V1999" s="23"/>
      <c r="W1999" s="16"/>
      <c r="X1999" s="23"/>
      <c r="Y1999" s="23"/>
      <c r="Z1999" s="23"/>
      <c r="AA1999" s="16"/>
      <c r="AB1999" s="23"/>
      <c r="AC1999" s="23"/>
      <c r="AD1999" s="23"/>
      <c r="AE1999" s="16"/>
      <c r="AF1999" s="23"/>
      <c r="AG1999" s="23"/>
      <c r="AH1999" s="23"/>
      <c r="AI1999" s="16"/>
      <c r="AJ1999" s="23"/>
      <c r="AK1999" s="23"/>
      <c r="AL1999" s="23"/>
      <c r="AM1999" s="16"/>
      <c r="AN1999" s="23"/>
      <c r="AO1999" s="23"/>
      <c r="AP1999" s="23"/>
      <c r="AQ1999" s="16"/>
      <c r="AR1999" s="23"/>
      <c r="AS1999" s="23"/>
      <c r="AT1999" s="23"/>
      <c r="AU1999" s="16"/>
      <c r="AV1999" s="23"/>
      <c r="AW1999" s="23"/>
      <c r="AX1999" s="23"/>
      <c r="AY1999" s="16"/>
      <c r="AZ1999" s="23"/>
      <c r="BA1999" s="23"/>
      <c r="BB1999" s="23"/>
      <c r="BC1999" s="16"/>
      <c r="BD1999" s="23"/>
      <c r="BE1999" s="23"/>
      <c r="BF1999" s="23"/>
      <c r="BG1999" s="16"/>
      <c r="BH1999" s="23"/>
      <c r="BI1999" s="23"/>
      <c r="BJ1999" s="23"/>
      <c r="BN1999" s="23"/>
      <c r="BO1999" s="23"/>
      <c r="BP1999" s="16"/>
      <c r="BQ1999" s="16"/>
      <c r="BR1999" s="23"/>
      <c r="BS1999" s="16"/>
      <c r="BT1999" s="16"/>
      <c r="BU1999" s="16"/>
      <c r="BV1999" s="16"/>
      <c r="BW1999" s="16"/>
      <c r="BX1999" s="16"/>
      <c r="BY1999" s="16"/>
    </row>
    <row r="2000">
      <c r="A2000" s="16"/>
      <c r="B2000" s="16"/>
      <c r="C2000" s="22"/>
      <c r="D2000" s="16"/>
      <c r="E2000" s="16"/>
      <c r="F2000" s="16"/>
      <c r="G2000" s="16"/>
      <c r="H2000" s="16"/>
      <c r="I2000" s="23"/>
      <c r="J2000" s="23"/>
      <c r="K2000" s="16"/>
      <c r="L2000" s="23"/>
      <c r="M2000" s="23"/>
      <c r="N2000" s="23"/>
      <c r="O2000" s="16"/>
      <c r="P2000" s="23"/>
      <c r="Q2000" s="23"/>
      <c r="R2000" s="23"/>
      <c r="S2000" s="16"/>
      <c r="T2000" s="23"/>
      <c r="U2000" s="23"/>
      <c r="V2000" s="23"/>
      <c r="W2000" s="16"/>
      <c r="X2000" s="23"/>
      <c r="Y2000" s="23"/>
      <c r="Z2000" s="23"/>
      <c r="AA2000" s="16"/>
      <c r="AB2000" s="23"/>
      <c r="AC2000" s="23"/>
      <c r="AD2000" s="23"/>
      <c r="AE2000" s="16"/>
      <c r="AF2000" s="23"/>
      <c r="AG2000" s="23"/>
      <c r="AH2000" s="23"/>
      <c r="AI2000" s="16"/>
      <c r="AJ2000" s="23"/>
      <c r="AK2000" s="23"/>
      <c r="AL2000" s="23"/>
      <c r="AM2000" s="16"/>
      <c r="AN2000" s="23"/>
      <c r="AO2000" s="23"/>
      <c r="AP2000" s="23"/>
      <c r="AQ2000" s="16"/>
      <c r="AR2000" s="23"/>
      <c r="AS2000" s="23"/>
      <c r="AT2000" s="23"/>
      <c r="AU2000" s="16"/>
      <c r="AV2000" s="23"/>
      <c r="AW2000" s="23"/>
      <c r="AX2000" s="23"/>
      <c r="AY2000" s="16"/>
      <c r="AZ2000" s="23"/>
      <c r="BA2000" s="23"/>
      <c r="BB2000" s="23"/>
      <c r="BC2000" s="16"/>
      <c r="BD2000" s="23"/>
      <c r="BE2000" s="23"/>
      <c r="BF2000" s="23"/>
      <c r="BG2000" s="16"/>
      <c r="BH2000" s="23"/>
      <c r="BI2000" s="23"/>
      <c r="BJ2000" s="23"/>
      <c r="BN2000" s="23"/>
      <c r="BO2000" s="23"/>
      <c r="BP2000" s="16"/>
      <c r="BQ2000" s="16"/>
      <c r="BR2000" s="23"/>
      <c r="BS2000" s="16"/>
      <c r="BT2000" s="16"/>
      <c r="BU2000" s="16"/>
      <c r="BV2000" s="16"/>
      <c r="BW2000" s="16"/>
      <c r="BX2000" s="16"/>
      <c r="BY2000" s="16"/>
    </row>
    <row r="2001">
      <c r="A2001" s="16"/>
      <c r="B2001" s="16"/>
      <c r="C2001" s="22"/>
      <c r="D2001" s="16"/>
      <c r="E2001" s="16"/>
      <c r="F2001" s="16"/>
      <c r="G2001" s="16"/>
      <c r="H2001" s="16"/>
      <c r="I2001" s="23"/>
      <c r="J2001" s="23"/>
      <c r="K2001" s="16"/>
      <c r="L2001" s="23"/>
      <c r="M2001" s="23"/>
      <c r="N2001" s="23"/>
      <c r="O2001" s="16"/>
      <c r="P2001" s="23"/>
      <c r="Q2001" s="23"/>
      <c r="R2001" s="23"/>
      <c r="S2001" s="16"/>
      <c r="T2001" s="23"/>
      <c r="U2001" s="23"/>
      <c r="V2001" s="23"/>
      <c r="W2001" s="16"/>
      <c r="X2001" s="23"/>
      <c r="Y2001" s="23"/>
      <c r="Z2001" s="23"/>
      <c r="AA2001" s="16"/>
      <c r="AB2001" s="23"/>
      <c r="AC2001" s="23"/>
      <c r="AD2001" s="23"/>
      <c r="AE2001" s="16"/>
      <c r="AF2001" s="23"/>
      <c r="AG2001" s="23"/>
      <c r="AH2001" s="23"/>
      <c r="AI2001" s="16"/>
      <c r="AJ2001" s="23"/>
      <c r="AK2001" s="23"/>
      <c r="AL2001" s="23"/>
      <c r="AM2001" s="16"/>
      <c r="AN2001" s="23"/>
      <c r="AO2001" s="23"/>
      <c r="AP2001" s="23"/>
      <c r="AQ2001" s="16"/>
      <c r="AR2001" s="23"/>
      <c r="AS2001" s="23"/>
      <c r="AT2001" s="23"/>
      <c r="AU2001" s="16"/>
      <c r="AV2001" s="23"/>
      <c r="AW2001" s="23"/>
      <c r="AX2001" s="23"/>
      <c r="AY2001" s="16"/>
      <c r="AZ2001" s="23"/>
      <c r="BA2001" s="23"/>
      <c r="BB2001" s="23"/>
      <c r="BC2001" s="16"/>
      <c r="BD2001" s="23"/>
      <c r="BE2001" s="23"/>
      <c r="BF2001" s="23"/>
      <c r="BG2001" s="16"/>
      <c r="BH2001" s="23"/>
      <c r="BI2001" s="23"/>
      <c r="BJ2001" s="23"/>
      <c r="BN2001" s="23"/>
      <c r="BO2001" s="23"/>
      <c r="BP2001" s="16"/>
      <c r="BQ2001" s="16"/>
      <c r="BR2001" s="23"/>
      <c r="BS2001" s="16"/>
      <c r="BT2001" s="16"/>
      <c r="BU2001" s="16"/>
      <c r="BV2001" s="16"/>
      <c r="BW2001" s="16"/>
      <c r="BX2001" s="16"/>
      <c r="BY2001" s="16"/>
    </row>
    <row r="2002">
      <c r="A2002" s="16"/>
      <c r="B2002" s="16"/>
      <c r="C2002" s="22"/>
      <c r="D2002" s="16"/>
      <c r="E2002" s="16"/>
      <c r="F2002" s="16"/>
      <c r="G2002" s="16"/>
      <c r="H2002" s="16"/>
      <c r="I2002" s="23"/>
      <c r="J2002" s="23"/>
      <c r="K2002" s="16"/>
      <c r="L2002" s="23"/>
      <c r="M2002" s="23"/>
      <c r="N2002" s="23"/>
      <c r="O2002" s="16"/>
      <c r="P2002" s="23"/>
      <c r="Q2002" s="23"/>
      <c r="R2002" s="23"/>
      <c r="S2002" s="16"/>
      <c r="T2002" s="23"/>
      <c r="U2002" s="23"/>
      <c r="V2002" s="23"/>
      <c r="W2002" s="16"/>
      <c r="X2002" s="23"/>
      <c r="Y2002" s="23"/>
      <c r="Z2002" s="23"/>
      <c r="AA2002" s="16"/>
      <c r="AB2002" s="23"/>
      <c r="AC2002" s="23"/>
      <c r="AD2002" s="23"/>
      <c r="AE2002" s="16"/>
      <c r="AF2002" s="23"/>
      <c r="AG2002" s="23"/>
      <c r="AH2002" s="23"/>
      <c r="AI2002" s="16"/>
      <c r="AJ2002" s="23"/>
      <c r="AK2002" s="23"/>
      <c r="AL2002" s="23"/>
      <c r="AM2002" s="16"/>
      <c r="AN2002" s="23"/>
      <c r="AO2002" s="23"/>
      <c r="AP2002" s="23"/>
      <c r="AQ2002" s="16"/>
      <c r="AR2002" s="23"/>
      <c r="AS2002" s="23"/>
      <c r="AT2002" s="23"/>
      <c r="AU2002" s="16"/>
      <c r="AV2002" s="23"/>
      <c r="AW2002" s="23"/>
      <c r="AX2002" s="23"/>
      <c r="AY2002" s="16"/>
      <c r="AZ2002" s="23"/>
      <c r="BA2002" s="23"/>
      <c r="BB2002" s="23"/>
      <c r="BC2002" s="16"/>
      <c r="BD2002" s="23"/>
      <c r="BE2002" s="23"/>
      <c r="BF2002" s="23"/>
      <c r="BG2002" s="16"/>
      <c r="BH2002" s="23"/>
      <c r="BI2002" s="23"/>
      <c r="BJ2002" s="23"/>
      <c r="BN2002" s="23"/>
      <c r="BO2002" s="23"/>
      <c r="BP2002" s="16"/>
      <c r="BQ2002" s="16"/>
      <c r="BR2002" s="23"/>
      <c r="BS2002" s="16"/>
      <c r="BT2002" s="16"/>
      <c r="BU2002" s="16"/>
      <c r="BV2002" s="16"/>
      <c r="BW2002" s="16"/>
      <c r="BX2002" s="16"/>
      <c r="BY2002" s="16"/>
    </row>
    <row r="2003">
      <c r="A2003" s="16"/>
      <c r="B2003" s="16"/>
      <c r="C2003" s="22"/>
      <c r="D2003" s="16"/>
      <c r="E2003" s="16"/>
      <c r="F2003" s="16"/>
      <c r="G2003" s="16"/>
      <c r="H2003" s="16"/>
      <c r="I2003" s="23"/>
      <c r="J2003" s="23"/>
      <c r="K2003" s="16"/>
      <c r="L2003" s="23"/>
      <c r="M2003" s="23"/>
      <c r="N2003" s="23"/>
      <c r="O2003" s="16"/>
      <c r="P2003" s="23"/>
      <c r="Q2003" s="23"/>
      <c r="R2003" s="23"/>
      <c r="S2003" s="16"/>
      <c r="T2003" s="23"/>
      <c r="U2003" s="23"/>
      <c r="V2003" s="23"/>
      <c r="W2003" s="16"/>
      <c r="X2003" s="23"/>
      <c r="Y2003" s="23"/>
      <c r="Z2003" s="23"/>
      <c r="AA2003" s="16"/>
      <c r="AB2003" s="23"/>
      <c r="AC2003" s="23"/>
      <c r="AD2003" s="23"/>
      <c r="AE2003" s="16"/>
      <c r="AF2003" s="23"/>
      <c r="AG2003" s="23"/>
      <c r="AH2003" s="23"/>
      <c r="AI2003" s="16"/>
      <c r="AJ2003" s="23"/>
      <c r="AK2003" s="23"/>
      <c r="AL2003" s="23"/>
      <c r="AM2003" s="16"/>
      <c r="AN2003" s="23"/>
      <c r="AO2003" s="23"/>
      <c r="AP2003" s="23"/>
      <c r="AQ2003" s="16"/>
      <c r="AR2003" s="23"/>
      <c r="AS2003" s="23"/>
      <c r="AT2003" s="23"/>
      <c r="AU2003" s="16"/>
      <c r="AV2003" s="23"/>
      <c r="AW2003" s="23"/>
      <c r="AX2003" s="23"/>
      <c r="AY2003" s="16"/>
      <c r="AZ2003" s="23"/>
      <c r="BA2003" s="23"/>
      <c r="BB2003" s="23"/>
      <c r="BC2003" s="16"/>
      <c r="BD2003" s="23"/>
      <c r="BE2003" s="23"/>
      <c r="BF2003" s="23"/>
      <c r="BG2003" s="16"/>
      <c r="BH2003" s="23"/>
      <c r="BI2003" s="23"/>
      <c r="BJ2003" s="23"/>
      <c r="BN2003" s="23"/>
      <c r="BO2003" s="23"/>
      <c r="BP2003" s="16"/>
      <c r="BQ2003" s="16"/>
      <c r="BR2003" s="23"/>
      <c r="BS2003" s="16"/>
      <c r="BT2003" s="16"/>
      <c r="BU2003" s="16"/>
      <c r="BV2003" s="16"/>
      <c r="BW2003" s="16"/>
      <c r="BX2003" s="16"/>
      <c r="BY2003" s="16"/>
    </row>
    <row r="2004">
      <c r="A2004" s="16"/>
      <c r="B2004" s="16"/>
      <c r="C2004" s="22"/>
      <c r="D2004" s="16"/>
      <c r="E2004" s="16"/>
      <c r="F2004" s="16"/>
      <c r="G2004" s="16"/>
      <c r="H2004" s="16"/>
      <c r="I2004" s="23"/>
      <c r="J2004" s="23"/>
      <c r="K2004" s="16"/>
      <c r="L2004" s="23"/>
      <c r="M2004" s="23"/>
      <c r="N2004" s="23"/>
      <c r="O2004" s="16"/>
      <c r="P2004" s="23"/>
      <c r="Q2004" s="23"/>
      <c r="R2004" s="23"/>
      <c r="S2004" s="16"/>
      <c r="T2004" s="23"/>
      <c r="U2004" s="23"/>
      <c r="V2004" s="23"/>
      <c r="W2004" s="16"/>
      <c r="X2004" s="23"/>
      <c r="Y2004" s="23"/>
      <c r="Z2004" s="23"/>
      <c r="AA2004" s="16"/>
      <c r="AB2004" s="23"/>
      <c r="AC2004" s="23"/>
      <c r="AD2004" s="23"/>
      <c r="AE2004" s="16"/>
      <c r="AF2004" s="23"/>
      <c r="AG2004" s="23"/>
      <c r="AH2004" s="23"/>
      <c r="AI2004" s="16"/>
      <c r="AJ2004" s="23"/>
      <c r="AK2004" s="23"/>
      <c r="AL2004" s="23"/>
      <c r="AM2004" s="16"/>
      <c r="AN2004" s="23"/>
      <c r="AO2004" s="23"/>
      <c r="AP2004" s="23"/>
      <c r="AQ2004" s="16"/>
      <c r="AR2004" s="23"/>
      <c r="AS2004" s="23"/>
      <c r="AT2004" s="23"/>
      <c r="AU2004" s="16"/>
      <c r="AV2004" s="23"/>
      <c r="AW2004" s="23"/>
      <c r="AX2004" s="23"/>
      <c r="AY2004" s="16"/>
      <c r="AZ2004" s="23"/>
      <c r="BA2004" s="23"/>
      <c r="BB2004" s="23"/>
      <c r="BC2004" s="16"/>
      <c r="BD2004" s="23"/>
      <c r="BE2004" s="23"/>
      <c r="BF2004" s="23"/>
      <c r="BG2004" s="16"/>
      <c r="BH2004" s="23"/>
      <c r="BI2004" s="23"/>
      <c r="BJ2004" s="23"/>
      <c r="BN2004" s="23"/>
      <c r="BO2004" s="23"/>
      <c r="BP2004" s="16"/>
      <c r="BQ2004" s="16"/>
      <c r="BR2004" s="23"/>
      <c r="BS2004" s="16"/>
      <c r="BT2004" s="16"/>
      <c r="BU2004" s="16"/>
      <c r="BV2004" s="16"/>
      <c r="BW2004" s="16"/>
      <c r="BX2004" s="16"/>
      <c r="BY2004" s="16"/>
    </row>
    <row r="2005">
      <c r="A2005" s="16"/>
      <c r="B2005" s="16"/>
      <c r="C2005" s="22"/>
      <c r="D2005" s="16"/>
      <c r="E2005" s="16"/>
      <c r="F2005" s="16"/>
      <c r="G2005" s="16"/>
      <c r="H2005" s="16"/>
      <c r="I2005" s="23"/>
      <c r="J2005" s="23"/>
      <c r="K2005" s="16"/>
      <c r="L2005" s="23"/>
      <c r="M2005" s="23"/>
      <c r="N2005" s="23"/>
      <c r="O2005" s="16"/>
      <c r="P2005" s="23"/>
      <c r="Q2005" s="23"/>
      <c r="R2005" s="23"/>
      <c r="S2005" s="16"/>
      <c r="T2005" s="23"/>
      <c r="U2005" s="23"/>
      <c r="V2005" s="23"/>
      <c r="W2005" s="16"/>
      <c r="X2005" s="23"/>
      <c r="Y2005" s="23"/>
      <c r="Z2005" s="23"/>
      <c r="AA2005" s="16"/>
      <c r="AB2005" s="23"/>
      <c r="AC2005" s="23"/>
      <c r="AD2005" s="23"/>
      <c r="AE2005" s="16"/>
      <c r="AF2005" s="23"/>
      <c r="AG2005" s="23"/>
      <c r="AH2005" s="23"/>
      <c r="AI2005" s="16"/>
      <c r="AJ2005" s="23"/>
      <c r="AK2005" s="23"/>
      <c r="AL2005" s="23"/>
      <c r="AM2005" s="16"/>
      <c r="AN2005" s="23"/>
      <c r="AO2005" s="23"/>
      <c r="AP2005" s="23"/>
      <c r="AQ2005" s="16"/>
      <c r="AR2005" s="23"/>
      <c r="AS2005" s="23"/>
      <c r="AT2005" s="23"/>
      <c r="AU2005" s="16"/>
      <c r="AV2005" s="23"/>
      <c r="AW2005" s="23"/>
      <c r="AX2005" s="23"/>
      <c r="AY2005" s="16"/>
      <c r="AZ2005" s="23"/>
      <c r="BA2005" s="23"/>
      <c r="BB2005" s="23"/>
      <c r="BC2005" s="16"/>
      <c r="BD2005" s="23"/>
      <c r="BE2005" s="23"/>
      <c r="BF2005" s="23"/>
      <c r="BG2005" s="16"/>
      <c r="BH2005" s="23"/>
      <c r="BI2005" s="23"/>
      <c r="BJ2005" s="23"/>
      <c r="BN2005" s="23"/>
      <c r="BO2005" s="23"/>
      <c r="BP2005" s="16"/>
      <c r="BQ2005" s="16"/>
      <c r="BR2005" s="23"/>
      <c r="BS2005" s="16"/>
      <c r="BT2005" s="16"/>
      <c r="BU2005" s="16"/>
      <c r="BV2005" s="16"/>
      <c r="BW2005" s="16"/>
      <c r="BX2005" s="16"/>
      <c r="BY2005" s="16"/>
    </row>
    <row r="2006">
      <c r="A2006" s="16"/>
      <c r="B2006" s="16"/>
      <c r="C2006" s="22"/>
      <c r="D2006" s="16"/>
      <c r="E2006" s="16"/>
      <c r="F2006" s="16"/>
      <c r="G2006" s="16"/>
      <c r="H2006" s="16"/>
      <c r="I2006" s="23"/>
      <c r="J2006" s="23"/>
      <c r="K2006" s="16"/>
      <c r="L2006" s="23"/>
      <c r="M2006" s="23"/>
      <c r="N2006" s="23"/>
      <c r="O2006" s="16"/>
      <c r="P2006" s="23"/>
      <c r="Q2006" s="23"/>
      <c r="R2006" s="23"/>
      <c r="S2006" s="16"/>
      <c r="T2006" s="23"/>
      <c r="U2006" s="23"/>
      <c r="V2006" s="23"/>
      <c r="W2006" s="16"/>
      <c r="X2006" s="23"/>
      <c r="Y2006" s="23"/>
      <c r="Z2006" s="23"/>
      <c r="AA2006" s="16"/>
      <c r="AB2006" s="23"/>
      <c r="AC2006" s="23"/>
      <c r="AD2006" s="23"/>
      <c r="AE2006" s="16"/>
      <c r="AF2006" s="23"/>
      <c r="AG2006" s="23"/>
      <c r="AH2006" s="23"/>
      <c r="AI2006" s="16"/>
      <c r="AJ2006" s="23"/>
      <c r="AK2006" s="23"/>
      <c r="AL2006" s="23"/>
      <c r="AM2006" s="16"/>
      <c r="AN2006" s="23"/>
      <c r="AO2006" s="23"/>
      <c r="AP2006" s="23"/>
      <c r="AQ2006" s="16"/>
      <c r="AR2006" s="23"/>
      <c r="AS2006" s="23"/>
      <c r="AT2006" s="23"/>
      <c r="AU2006" s="16"/>
      <c r="AV2006" s="23"/>
      <c r="AW2006" s="23"/>
      <c r="AX2006" s="23"/>
      <c r="AY2006" s="16"/>
      <c r="AZ2006" s="23"/>
      <c r="BA2006" s="23"/>
      <c r="BB2006" s="23"/>
      <c r="BC2006" s="16"/>
      <c r="BD2006" s="23"/>
      <c r="BE2006" s="23"/>
      <c r="BF2006" s="23"/>
      <c r="BG2006" s="16"/>
      <c r="BH2006" s="23"/>
      <c r="BI2006" s="23"/>
      <c r="BJ2006" s="23"/>
      <c r="BN2006" s="23"/>
      <c r="BO2006" s="23"/>
      <c r="BP2006" s="16"/>
      <c r="BQ2006" s="16"/>
      <c r="BR2006" s="23"/>
      <c r="BS2006" s="16"/>
      <c r="BT2006" s="16"/>
      <c r="BU2006" s="16"/>
      <c r="BV2006" s="16"/>
      <c r="BW2006" s="16"/>
      <c r="BX2006" s="16"/>
      <c r="BY2006" s="16"/>
    </row>
    <row r="2007">
      <c r="A2007" s="16"/>
      <c r="B2007" s="16"/>
      <c r="C2007" s="22"/>
      <c r="D2007" s="16"/>
      <c r="E2007" s="16"/>
      <c r="F2007" s="16"/>
      <c r="G2007" s="16"/>
      <c r="H2007" s="16"/>
      <c r="I2007" s="23"/>
      <c r="J2007" s="23"/>
      <c r="K2007" s="16"/>
      <c r="L2007" s="23"/>
      <c r="M2007" s="23"/>
      <c r="N2007" s="23"/>
      <c r="O2007" s="16"/>
      <c r="P2007" s="23"/>
      <c r="Q2007" s="23"/>
      <c r="R2007" s="23"/>
      <c r="S2007" s="16"/>
      <c r="T2007" s="23"/>
      <c r="U2007" s="23"/>
      <c r="V2007" s="23"/>
      <c r="W2007" s="16"/>
      <c r="X2007" s="23"/>
      <c r="Y2007" s="23"/>
      <c r="Z2007" s="23"/>
      <c r="AA2007" s="16"/>
      <c r="AB2007" s="23"/>
      <c r="AC2007" s="23"/>
      <c r="AD2007" s="23"/>
      <c r="AE2007" s="16"/>
      <c r="AF2007" s="23"/>
      <c r="AG2007" s="23"/>
      <c r="AH2007" s="23"/>
      <c r="AI2007" s="16"/>
      <c r="AJ2007" s="23"/>
      <c r="AK2007" s="23"/>
      <c r="AL2007" s="23"/>
      <c r="AM2007" s="16"/>
      <c r="AN2007" s="23"/>
      <c r="AO2007" s="23"/>
      <c r="AP2007" s="23"/>
      <c r="AQ2007" s="16"/>
      <c r="AR2007" s="23"/>
      <c r="AS2007" s="23"/>
      <c r="AT2007" s="23"/>
      <c r="AU2007" s="16"/>
      <c r="AV2007" s="23"/>
      <c r="AW2007" s="23"/>
      <c r="AX2007" s="23"/>
      <c r="AY2007" s="16"/>
      <c r="AZ2007" s="23"/>
      <c r="BA2007" s="23"/>
      <c r="BB2007" s="23"/>
      <c r="BC2007" s="16"/>
      <c r="BD2007" s="23"/>
      <c r="BE2007" s="23"/>
      <c r="BF2007" s="23"/>
      <c r="BG2007" s="16"/>
      <c r="BH2007" s="23"/>
      <c r="BI2007" s="23"/>
      <c r="BJ2007" s="23"/>
      <c r="BN2007" s="23"/>
      <c r="BO2007" s="23"/>
      <c r="BP2007" s="16"/>
      <c r="BQ2007" s="16"/>
      <c r="BR2007" s="23"/>
      <c r="BS2007" s="16"/>
      <c r="BT2007" s="16"/>
      <c r="BU2007" s="16"/>
      <c r="BV2007" s="16"/>
      <c r="BW2007" s="16"/>
      <c r="BX2007" s="16"/>
      <c r="BY2007" s="16"/>
    </row>
    <row r="2008">
      <c r="A2008" s="16"/>
      <c r="B2008" s="16"/>
      <c r="C2008" s="22"/>
      <c r="D2008" s="16"/>
      <c r="E2008" s="16"/>
      <c r="F2008" s="16"/>
      <c r="G2008" s="16"/>
      <c r="H2008" s="16"/>
      <c r="I2008" s="23"/>
      <c r="J2008" s="23"/>
      <c r="K2008" s="16"/>
      <c r="L2008" s="23"/>
      <c r="M2008" s="23"/>
      <c r="N2008" s="23"/>
      <c r="O2008" s="16"/>
      <c r="P2008" s="23"/>
      <c r="Q2008" s="23"/>
      <c r="R2008" s="23"/>
      <c r="S2008" s="16"/>
      <c r="T2008" s="23"/>
      <c r="U2008" s="23"/>
      <c r="V2008" s="23"/>
      <c r="W2008" s="16"/>
      <c r="X2008" s="23"/>
      <c r="Y2008" s="23"/>
      <c r="Z2008" s="23"/>
      <c r="AA2008" s="16"/>
      <c r="AB2008" s="23"/>
      <c r="AC2008" s="23"/>
      <c r="AD2008" s="23"/>
      <c r="AE2008" s="16"/>
      <c r="AF2008" s="23"/>
      <c r="AG2008" s="23"/>
      <c r="AH2008" s="23"/>
      <c r="AI2008" s="16"/>
      <c r="AJ2008" s="23"/>
      <c r="AK2008" s="23"/>
      <c r="AL2008" s="23"/>
      <c r="AM2008" s="16"/>
      <c r="AN2008" s="23"/>
      <c r="AO2008" s="23"/>
      <c r="AP2008" s="23"/>
      <c r="AQ2008" s="16"/>
      <c r="AR2008" s="23"/>
      <c r="AS2008" s="23"/>
      <c r="AT2008" s="23"/>
      <c r="AU2008" s="16"/>
      <c r="AV2008" s="23"/>
      <c r="AW2008" s="23"/>
      <c r="AX2008" s="23"/>
      <c r="AY2008" s="16"/>
      <c r="AZ2008" s="23"/>
      <c r="BA2008" s="23"/>
      <c r="BB2008" s="23"/>
      <c r="BC2008" s="16"/>
      <c r="BD2008" s="23"/>
      <c r="BE2008" s="23"/>
      <c r="BF2008" s="23"/>
      <c r="BG2008" s="16"/>
      <c r="BH2008" s="23"/>
      <c r="BI2008" s="23"/>
      <c r="BJ2008" s="23"/>
      <c r="BN2008" s="23"/>
      <c r="BO2008" s="23"/>
      <c r="BP2008" s="16"/>
      <c r="BQ2008" s="16"/>
      <c r="BR2008" s="23"/>
      <c r="BS2008" s="16"/>
      <c r="BT2008" s="16"/>
      <c r="BU2008" s="16"/>
      <c r="BV2008" s="16"/>
      <c r="BW2008" s="16"/>
      <c r="BX2008" s="16"/>
      <c r="BY2008" s="16"/>
    </row>
    <row r="2009">
      <c r="A2009" s="16"/>
      <c r="B2009" s="16"/>
      <c r="C2009" s="22"/>
      <c r="D2009" s="16"/>
      <c r="E2009" s="16"/>
      <c r="F2009" s="16"/>
      <c r="G2009" s="16"/>
      <c r="H2009" s="16"/>
      <c r="I2009" s="23"/>
      <c r="J2009" s="23"/>
      <c r="K2009" s="16"/>
      <c r="L2009" s="23"/>
      <c r="M2009" s="23"/>
      <c r="N2009" s="23"/>
      <c r="O2009" s="16"/>
      <c r="P2009" s="23"/>
      <c r="Q2009" s="23"/>
      <c r="R2009" s="23"/>
      <c r="S2009" s="16"/>
      <c r="T2009" s="23"/>
      <c r="U2009" s="23"/>
      <c r="V2009" s="23"/>
      <c r="W2009" s="16"/>
      <c r="X2009" s="23"/>
      <c r="Y2009" s="23"/>
      <c r="Z2009" s="23"/>
      <c r="AA2009" s="16"/>
      <c r="AB2009" s="23"/>
      <c r="AC2009" s="23"/>
      <c r="AD2009" s="23"/>
      <c r="AE2009" s="16"/>
      <c r="AF2009" s="23"/>
      <c r="AG2009" s="23"/>
      <c r="AH2009" s="23"/>
      <c r="AI2009" s="16"/>
      <c r="AJ2009" s="23"/>
      <c r="AK2009" s="23"/>
      <c r="AL2009" s="23"/>
      <c r="AM2009" s="16"/>
      <c r="AN2009" s="23"/>
      <c r="AO2009" s="23"/>
      <c r="AP2009" s="23"/>
      <c r="AQ2009" s="16"/>
      <c r="AR2009" s="23"/>
      <c r="AS2009" s="23"/>
      <c r="AT2009" s="23"/>
      <c r="AU2009" s="16"/>
      <c r="AV2009" s="23"/>
      <c r="AW2009" s="23"/>
      <c r="AX2009" s="23"/>
      <c r="AY2009" s="16"/>
      <c r="AZ2009" s="23"/>
      <c r="BA2009" s="23"/>
      <c r="BB2009" s="23"/>
      <c r="BC2009" s="16"/>
      <c r="BD2009" s="23"/>
      <c r="BE2009" s="23"/>
      <c r="BF2009" s="23"/>
      <c r="BG2009" s="16"/>
      <c r="BH2009" s="23"/>
      <c r="BI2009" s="23"/>
      <c r="BJ2009" s="23"/>
      <c r="BN2009" s="23"/>
      <c r="BO2009" s="23"/>
      <c r="BP2009" s="16"/>
      <c r="BQ2009" s="16"/>
      <c r="BR2009" s="23"/>
      <c r="BS2009" s="16"/>
      <c r="BT2009" s="16"/>
      <c r="BU2009" s="16"/>
      <c r="BV2009" s="16"/>
      <c r="BW2009" s="16"/>
      <c r="BX2009" s="16"/>
      <c r="BY2009" s="16"/>
    </row>
    <row r="2010">
      <c r="A2010" s="16"/>
      <c r="B2010" s="16"/>
      <c r="C2010" s="22"/>
      <c r="D2010" s="16"/>
      <c r="E2010" s="16"/>
      <c r="F2010" s="16"/>
      <c r="G2010" s="16"/>
      <c r="H2010" s="16"/>
      <c r="I2010" s="23"/>
      <c r="J2010" s="23"/>
      <c r="K2010" s="16"/>
      <c r="L2010" s="23"/>
      <c r="M2010" s="23"/>
      <c r="N2010" s="23"/>
      <c r="O2010" s="16"/>
      <c r="P2010" s="23"/>
      <c r="Q2010" s="23"/>
      <c r="R2010" s="23"/>
      <c r="S2010" s="16"/>
      <c r="T2010" s="23"/>
      <c r="U2010" s="23"/>
      <c r="V2010" s="23"/>
      <c r="W2010" s="16"/>
      <c r="X2010" s="23"/>
      <c r="Y2010" s="23"/>
      <c r="Z2010" s="23"/>
      <c r="AA2010" s="16"/>
      <c r="AB2010" s="23"/>
      <c r="AC2010" s="23"/>
      <c r="AD2010" s="23"/>
      <c r="AE2010" s="16"/>
      <c r="AF2010" s="23"/>
      <c r="AG2010" s="23"/>
      <c r="AH2010" s="23"/>
      <c r="AI2010" s="16"/>
      <c r="AJ2010" s="23"/>
      <c r="AK2010" s="23"/>
      <c r="AL2010" s="23"/>
      <c r="AM2010" s="16"/>
      <c r="AN2010" s="23"/>
      <c r="AO2010" s="23"/>
      <c r="AP2010" s="23"/>
      <c r="AQ2010" s="16"/>
      <c r="AR2010" s="23"/>
      <c r="AS2010" s="23"/>
      <c r="AT2010" s="23"/>
      <c r="AU2010" s="16"/>
      <c r="AV2010" s="23"/>
      <c r="AW2010" s="23"/>
      <c r="AX2010" s="23"/>
      <c r="AY2010" s="16"/>
      <c r="AZ2010" s="23"/>
      <c r="BA2010" s="23"/>
      <c r="BB2010" s="23"/>
      <c r="BC2010" s="16"/>
      <c r="BD2010" s="23"/>
      <c r="BE2010" s="23"/>
      <c r="BF2010" s="23"/>
      <c r="BG2010" s="16"/>
      <c r="BH2010" s="23"/>
      <c r="BI2010" s="23"/>
      <c r="BJ2010" s="23"/>
      <c r="BN2010" s="23"/>
      <c r="BO2010" s="23"/>
      <c r="BP2010" s="16"/>
      <c r="BQ2010" s="16"/>
      <c r="BR2010" s="23"/>
      <c r="BS2010" s="16"/>
      <c r="BT2010" s="16"/>
      <c r="BU2010" s="16"/>
      <c r="BV2010" s="16"/>
      <c r="BW2010" s="16"/>
      <c r="BX2010" s="16"/>
      <c r="BY2010" s="16"/>
    </row>
    <row r="2011">
      <c r="A2011" s="16"/>
      <c r="B2011" s="16"/>
      <c r="C2011" s="22"/>
      <c r="D2011" s="16"/>
      <c r="E2011" s="16"/>
      <c r="F2011" s="16"/>
      <c r="G2011" s="16"/>
      <c r="H2011" s="16"/>
      <c r="I2011" s="23"/>
      <c r="J2011" s="23"/>
      <c r="K2011" s="16"/>
      <c r="L2011" s="23"/>
      <c r="M2011" s="23"/>
      <c r="N2011" s="23"/>
      <c r="O2011" s="16"/>
      <c r="P2011" s="23"/>
      <c r="Q2011" s="23"/>
      <c r="R2011" s="23"/>
      <c r="S2011" s="16"/>
      <c r="T2011" s="23"/>
      <c r="U2011" s="23"/>
      <c r="V2011" s="23"/>
      <c r="W2011" s="16"/>
      <c r="X2011" s="23"/>
      <c r="Y2011" s="23"/>
      <c r="Z2011" s="23"/>
      <c r="AA2011" s="16"/>
      <c r="AB2011" s="23"/>
      <c r="AC2011" s="23"/>
      <c r="AD2011" s="23"/>
      <c r="AE2011" s="16"/>
      <c r="AF2011" s="23"/>
      <c r="AG2011" s="23"/>
      <c r="AH2011" s="23"/>
      <c r="AI2011" s="16"/>
      <c r="AJ2011" s="23"/>
      <c r="AK2011" s="23"/>
      <c r="AL2011" s="23"/>
      <c r="AM2011" s="16"/>
      <c r="AN2011" s="23"/>
      <c r="AO2011" s="23"/>
      <c r="AP2011" s="23"/>
      <c r="AQ2011" s="16"/>
      <c r="AR2011" s="23"/>
      <c r="AS2011" s="23"/>
      <c r="AT2011" s="23"/>
      <c r="AU2011" s="16"/>
      <c r="AV2011" s="23"/>
      <c r="AW2011" s="23"/>
      <c r="AX2011" s="23"/>
      <c r="AY2011" s="16"/>
      <c r="AZ2011" s="23"/>
      <c r="BA2011" s="23"/>
      <c r="BB2011" s="23"/>
      <c r="BC2011" s="16"/>
      <c r="BD2011" s="23"/>
      <c r="BE2011" s="23"/>
      <c r="BF2011" s="23"/>
      <c r="BG2011" s="16"/>
      <c r="BH2011" s="23"/>
      <c r="BI2011" s="23"/>
      <c r="BJ2011" s="23"/>
      <c r="BN2011" s="23"/>
      <c r="BO2011" s="23"/>
      <c r="BP2011" s="16"/>
      <c r="BQ2011" s="16"/>
      <c r="BR2011" s="23"/>
      <c r="BS2011" s="16"/>
      <c r="BT2011" s="16"/>
      <c r="BU2011" s="16"/>
      <c r="BV2011" s="16"/>
      <c r="BW2011" s="16"/>
      <c r="BX2011" s="16"/>
      <c r="BY2011" s="16"/>
    </row>
    <row r="2012">
      <c r="A2012" s="16"/>
      <c r="B2012" s="16"/>
      <c r="C2012" s="22"/>
      <c r="D2012" s="16"/>
      <c r="E2012" s="16"/>
      <c r="F2012" s="16"/>
      <c r="G2012" s="16"/>
      <c r="H2012" s="16"/>
      <c r="I2012" s="23"/>
      <c r="J2012" s="23"/>
      <c r="K2012" s="16"/>
      <c r="L2012" s="23"/>
      <c r="M2012" s="23"/>
      <c r="N2012" s="23"/>
      <c r="O2012" s="16"/>
      <c r="P2012" s="23"/>
      <c r="Q2012" s="23"/>
      <c r="R2012" s="23"/>
      <c r="S2012" s="16"/>
      <c r="T2012" s="23"/>
      <c r="U2012" s="23"/>
      <c r="V2012" s="23"/>
      <c r="W2012" s="16"/>
      <c r="X2012" s="23"/>
      <c r="Y2012" s="23"/>
      <c r="Z2012" s="23"/>
      <c r="AA2012" s="16"/>
      <c r="AB2012" s="23"/>
      <c r="AC2012" s="23"/>
      <c r="AD2012" s="23"/>
      <c r="AE2012" s="16"/>
      <c r="AF2012" s="23"/>
      <c r="AG2012" s="23"/>
      <c r="AH2012" s="23"/>
      <c r="AI2012" s="16"/>
      <c r="AJ2012" s="23"/>
      <c r="AK2012" s="23"/>
      <c r="AL2012" s="23"/>
      <c r="AM2012" s="16"/>
      <c r="AN2012" s="23"/>
      <c r="AO2012" s="23"/>
      <c r="AP2012" s="23"/>
      <c r="AQ2012" s="16"/>
      <c r="AR2012" s="23"/>
      <c r="AS2012" s="23"/>
      <c r="AT2012" s="23"/>
      <c r="AU2012" s="16"/>
      <c r="AV2012" s="23"/>
      <c r="AW2012" s="23"/>
      <c r="AX2012" s="23"/>
      <c r="AY2012" s="16"/>
      <c r="AZ2012" s="23"/>
      <c r="BA2012" s="23"/>
      <c r="BB2012" s="23"/>
      <c r="BC2012" s="16"/>
      <c r="BD2012" s="23"/>
      <c r="BE2012" s="23"/>
      <c r="BF2012" s="23"/>
      <c r="BG2012" s="16"/>
      <c r="BH2012" s="23"/>
      <c r="BI2012" s="23"/>
      <c r="BJ2012" s="23"/>
      <c r="BN2012" s="23"/>
      <c r="BO2012" s="23"/>
      <c r="BP2012" s="16"/>
      <c r="BQ2012" s="16"/>
      <c r="BR2012" s="23"/>
      <c r="BS2012" s="16"/>
      <c r="BT2012" s="16"/>
      <c r="BU2012" s="16"/>
      <c r="BV2012" s="16"/>
      <c r="BW2012" s="16"/>
      <c r="BX2012" s="16"/>
      <c r="BY2012" s="16"/>
    </row>
    <row r="2013">
      <c r="A2013" s="16"/>
      <c r="B2013" s="16"/>
      <c r="C2013" s="22"/>
      <c r="D2013" s="16"/>
      <c r="E2013" s="16"/>
      <c r="F2013" s="16"/>
      <c r="G2013" s="16"/>
      <c r="H2013" s="16"/>
      <c r="I2013" s="23"/>
      <c r="J2013" s="23"/>
      <c r="K2013" s="16"/>
      <c r="L2013" s="23"/>
      <c r="M2013" s="23"/>
      <c r="N2013" s="23"/>
      <c r="O2013" s="16"/>
      <c r="P2013" s="23"/>
      <c r="Q2013" s="23"/>
      <c r="R2013" s="23"/>
      <c r="S2013" s="16"/>
      <c r="T2013" s="23"/>
      <c r="U2013" s="23"/>
      <c r="V2013" s="23"/>
      <c r="W2013" s="16"/>
      <c r="X2013" s="23"/>
      <c r="Y2013" s="23"/>
      <c r="Z2013" s="23"/>
      <c r="AA2013" s="16"/>
      <c r="AB2013" s="23"/>
      <c r="AC2013" s="23"/>
      <c r="AD2013" s="23"/>
      <c r="AE2013" s="16"/>
      <c r="AF2013" s="23"/>
      <c r="AG2013" s="23"/>
      <c r="AH2013" s="23"/>
      <c r="AI2013" s="16"/>
      <c r="AJ2013" s="23"/>
      <c r="AK2013" s="23"/>
      <c r="AL2013" s="23"/>
      <c r="AM2013" s="16"/>
      <c r="AN2013" s="23"/>
      <c r="AO2013" s="23"/>
      <c r="AP2013" s="23"/>
      <c r="AQ2013" s="16"/>
      <c r="AR2013" s="23"/>
      <c r="AS2013" s="23"/>
      <c r="AT2013" s="23"/>
      <c r="AU2013" s="16"/>
      <c r="AV2013" s="23"/>
      <c r="AW2013" s="23"/>
      <c r="AX2013" s="23"/>
      <c r="AY2013" s="16"/>
      <c r="AZ2013" s="23"/>
      <c r="BA2013" s="23"/>
      <c r="BB2013" s="23"/>
      <c r="BC2013" s="16"/>
      <c r="BD2013" s="23"/>
      <c r="BE2013" s="23"/>
      <c r="BF2013" s="23"/>
      <c r="BG2013" s="16"/>
      <c r="BH2013" s="23"/>
      <c r="BI2013" s="23"/>
      <c r="BJ2013" s="23"/>
      <c r="BN2013" s="23"/>
      <c r="BO2013" s="23"/>
      <c r="BP2013" s="16"/>
      <c r="BQ2013" s="16"/>
      <c r="BR2013" s="23"/>
      <c r="BS2013" s="16"/>
      <c r="BT2013" s="16"/>
      <c r="BU2013" s="16"/>
      <c r="BV2013" s="16"/>
      <c r="BW2013" s="16"/>
      <c r="BX2013" s="16"/>
      <c r="BY2013" s="16"/>
    </row>
    <row r="2014">
      <c r="A2014" s="16"/>
      <c r="B2014" s="16"/>
      <c r="C2014" s="22"/>
      <c r="D2014" s="16"/>
      <c r="E2014" s="16"/>
      <c r="F2014" s="16"/>
      <c r="G2014" s="16"/>
      <c r="H2014" s="16"/>
      <c r="I2014" s="23"/>
      <c r="J2014" s="23"/>
      <c r="K2014" s="16"/>
      <c r="L2014" s="23"/>
      <c r="M2014" s="23"/>
      <c r="N2014" s="23"/>
      <c r="O2014" s="16"/>
      <c r="P2014" s="23"/>
      <c r="Q2014" s="23"/>
      <c r="R2014" s="23"/>
      <c r="S2014" s="16"/>
      <c r="T2014" s="23"/>
      <c r="U2014" s="23"/>
      <c r="V2014" s="23"/>
      <c r="W2014" s="16"/>
      <c r="X2014" s="23"/>
      <c r="Y2014" s="23"/>
      <c r="Z2014" s="23"/>
      <c r="AA2014" s="16"/>
      <c r="AB2014" s="23"/>
      <c r="AC2014" s="23"/>
      <c r="AD2014" s="23"/>
      <c r="AE2014" s="16"/>
      <c r="AF2014" s="23"/>
      <c r="AG2014" s="23"/>
      <c r="AH2014" s="23"/>
      <c r="AI2014" s="16"/>
      <c r="AJ2014" s="23"/>
      <c r="AK2014" s="23"/>
      <c r="AL2014" s="23"/>
      <c r="AM2014" s="16"/>
      <c r="AN2014" s="23"/>
      <c r="AO2014" s="23"/>
      <c r="AP2014" s="23"/>
      <c r="AQ2014" s="16"/>
      <c r="AR2014" s="23"/>
      <c r="AS2014" s="23"/>
      <c r="AT2014" s="23"/>
      <c r="AU2014" s="16"/>
      <c r="AV2014" s="23"/>
      <c r="AW2014" s="23"/>
      <c r="AX2014" s="23"/>
      <c r="AY2014" s="16"/>
      <c r="AZ2014" s="23"/>
      <c r="BA2014" s="23"/>
      <c r="BB2014" s="23"/>
      <c r="BC2014" s="16"/>
      <c r="BD2014" s="23"/>
      <c r="BE2014" s="23"/>
      <c r="BF2014" s="23"/>
      <c r="BG2014" s="16"/>
      <c r="BH2014" s="23"/>
      <c r="BI2014" s="23"/>
      <c r="BJ2014" s="23"/>
      <c r="BN2014" s="23"/>
      <c r="BO2014" s="23"/>
      <c r="BP2014" s="16"/>
      <c r="BQ2014" s="16"/>
      <c r="BR2014" s="23"/>
      <c r="BS2014" s="16"/>
      <c r="BT2014" s="16"/>
      <c r="BU2014" s="16"/>
      <c r="BV2014" s="16"/>
      <c r="BW2014" s="16"/>
      <c r="BX2014" s="16"/>
      <c r="BY2014" s="16"/>
    </row>
    <row r="2015">
      <c r="A2015" s="16"/>
      <c r="B2015" s="16"/>
      <c r="C2015" s="22"/>
      <c r="D2015" s="16"/>
      <c r="E2015" s="16"/>
      <c r="F2015" s="16"/>
      <c r="G2015" s="16"/>
      <c r="H2015" s="16"/>
      <c r="I2015" s="23"/>
      <c r="J2015" s="23"/>
      <c r="K2015" s="16"/>
      <c r="L2015" s="23"/>
      <c r="M2015" s="23"/>
      <c r="N2015" s="23"/>
      <c r="O2015" s="16"/>
      <c r="P2015" s="23"/>
      <c r="Q2015" s="23"/>
      <c r="R2015" s="23"/>
      <c r="S2015" s="16"/>
      <c r="T2015" s="23"/>
      <c r="U2015" s="23"/>
      <c r="V2015" s="23"/>
      <c r="W2015" s="16"/>
      <c r="X2015" s="23"/>
      <c r="Y2015" s="23"/>
      <c r="Z2015" s="23"/>
      <c r="AA2015" s="16"/>
      <c r="AB2015" s="23"/>
      <c r="AC2015" s="23"/>
      <c r="AD2015" s="23"/>
      <c r="AE2015" s="16"/>
      <c r="AF2015" s="23"/>
      <c r="AG2015" s="23"/>
      <c r="AH2015" s="23"/>
      <c r="AI2015" s="16"/>
      <c r="AJ2015" s="23"/>
      <c r="AK2015" s="23"/>
      <c r="AL2015" s="23"/>
      <c r="AM2015" s="16"/>
      <c r="AN2015" s="23"/>
      <c r="AO2015" s="23"/>
      <c r="AP2015" s="23"/>
      <c r="AQ2015" s="16"/>
      <c r="AR2015" s="23"/>
      <c r="AS2015" s="23"/>
      <c r="AT2015" s="23"/>
      <c r="AU2015" s="16"/>
      <c r="AV2015" s="23"/>
      <c r="AW2015" s="23"/>
      <c r="AX2015" s="23"/>
      <c r="AY2015" s="16"/>
      <c r="AZ2015" s="23"/>
      <c r="BA2015" s="23"/>
      <c r="BB2015" s="23"/>
      <c r="BC2015" s="16"/>
      <c r="BD2015" s="23"/>
      <c r="BE2015" s="23"/>
      <c r="BF2015" s="23"/>
      <c r="BG2015" s="16"/>
      <c r="BH2015" s="23"/>
      <c r="BI2015" s="23"/>
      <c r="BJ2015" s="23"/>
      <c r="BN2015" s="23"/>
      <c r="BO2015" s="23"/>
      <c r="BP2015" s="16"/>
      <c r="BQ2015" s="16"/>
      <c r="BR2015" s="23"/>
      <c r="BS2015" s="16"/>
      <c r="BT2015" s="16"/>
      <c r="BU2015" s="16"/>
      <c r="BV2015" s="16"/>
      <c r="BW2015" s="16"/>
      <c r="BX2015" s="16"/>
      <c r="BY2015" s="16"/>
    </row>
    <row r="2016">
      <c r="A2016" s="16"/>
      <c r="B2016" s="16"/>
      <c r="C2016" s="22"/>
      <c r="D2016" s="16"/>
      <c r="E2016" s="16"/>
      <c r="F2016" s="16"/>
      <c r="G2016" s="16"/>
      <c r="H2016" s="16"/>
      <c r="I2016" s="23"/>
      <c r="J2016" s="23"/>
      <c r="K2016" s="16"/>
      <c r="L2016" s="23"/>
      <c r="M2016" s="23"/>
      <c r="N2016" s="23"/>
      <c r="O2016" s="16"/>
      <c r="P2016" s="23"/>
      <c r="Q2016" s="23"/>
      <c r="R2016" s="23"/>
      <c r="S2016" s="16"/>
      <c r="T2016" s="23"/>
      <c r="U2016" s="23"/>
      <c r="V2016" s="23"/>
      <c r="W2016" s="16"/>
      <c r="X2016" s="23"/>
      <c r="Y2016" s="23"/>
      <c r="Z2016" s="23"/>
      <c r="AA2016" s="16"/>
      <c r="AB2016" s="23"/>
      <c r="AC2016" s="23"/>
      <c r="AD2016" s="23"/>
      <c r="AE2016" s="16"/>
      <c r="AF2016" s="23"/>
      <c r="AG2016" s="23"/>
      <c r="AH2016" s="23"/>
      <c r="AI2016" s="16"/>
      <c r="AJ2016" s="23"/>
      <c r="AK2016" s="23"/>
      <c r="AL2016" s="23"/>
      <c r="AM2016" s="16"/>
      <c r="AN2016" s="23"/>
      <c r="AO2016" s="23"/>
      <c r="AP2016" s="23"/>
      <c r="AQ2016" s="16"/>
      <c r="AR2016" s="23"/>
      <c r="AS2016" s="23"/>
      <c r="AT2016" s="23"/>
      <c r="AU2016" s="16"/>
      <c r="AV2016" s="23"/>
      <c r="AW2016" s="23"/>
      <c r="AX2016" s="23"/>
      <c r="AY2016" s="16"/>
      <c r="AZ2016" s="23"/>
      <c r="BA2016" s="23"/>
      <c r="BB2016" s="23"/>
      <c r="BC2016" s="16"/>
      <c r="BD2016" s="23"/>
      <c r="BE2016" s="23"/>
      <c r="BF2016" s="23"/>
      <c r="BG2016" s="16"/>
      <c r="BH2016" s="23"/>
      <c r="BI2016" s="23"/>
      <c r="BJ2016" s="23"/>
      <c r="BN2016" s="23"/>
      <c r="BO2016" s="23"/>
      <c r="BP2016" s="16"/>
      <c r="BQ2016" s="16"/>
      <c r="BR2016" s="23"/>
      <c r="BS2016" s="16"/>
      <c r="BT2016" s="16"/>
      <c r="BU2016" s="16"/>
      <c r="BV2016" s="16"/>
      <c r="BW2016" s="16"/>
      <c r="BX2016" s="16"/>
      <c r="BY2016" s="16"/>
    </row>
    <row r="2017">
      <c r="A2017" s="16"/>
      <c r="B2017" s="16"/>
      <c r="C2017" s="22"/>
      <c r="D2017" s="16"/>
      <c r="E2017" s="16"/>
      <c r="F2017" s="16"/>
      <c r="G2017" s="16"/>
      <c r="H2017" s="16"/>
      <c r="I2017" s="23"/>
      <c r="J2017" s="23"/>
      <c r="K2017" s="16"/>
      <c r="L2017" s="23"/>
      <c r="M2017" s="23"/>
      <c r="N2017" s="23"/>
      <c r="O2017" s="16"/>
      <c r="P2017" s="23"/>
      <c r="Q2017" s="23"/>
      <c r="R2017" s="23"/>
      <c r="S2017" s="16"/>
      <c r="T2017" s="23"/>
      <c r="U2017" s="23"/>
      <c r="V2017" s="23"/>
      <c r="W2017" s="16"/>
      <c r="X2017" s="23"/>
      <c r="Y2017" s="23"/>
      <c r="Z2017" s="23"/>
      <c r="AA2017" s="16"/>
      <c r="AB2017" s="23"/>
      <c r="AC2017" s="23"/>
      <c r="AD2017" s="23"/>
      <c r="AE2017" s="16"/>
      <c r="AF2017" s="23"/>
      <c r="AG2017" s="23"/>
      <c r="AH2017" s="23"/>
      <c r="AI2017" s="16"/>
      <c r="AJ2017" s="23"/>
      <c r="AK2017" s="23"/>
      <c r="AL2017" s="23"/>
      <c r="AM2017" s="16"/>
      <c r="AN2017" s="23"/>
      <c r="AO2017" s="23"/>
      <c r="AP2017" s="23"/>
      <c r="AQ2017" s="16"/>
      <c r="AR2017" s="23"/>
      <c r="AS2017" s="23"/>
      <c r="AT2017" s="23"/>
      <c r="AU2017" s="16"/>
      <c r="AV2017" s="23"/>
      <c r="AW2017" s="23"/>
      <c r="AX2017" s="23"/>
      <c r="AY2017" s="16"/>
      <c r="AZ2017" s="23"/>
      <c r="BA2017" s="23"/>
      <c r="BB2017" s="23"/>
      <c r="BC2017" s="16"/>
      <c r="BD2017" s="23"/>
      <c r="BE2017" s="23"/>
      <c r="BF2017" s="23"/>
      <c r="BG2017" s="16"/>
      <c r="BH2017" s="23"/>
      <c r="BI2017" s="23"/>
      <c r="BJ2017" s="23"/>
      <c r="BN2017" s="23"/>
      <c r="BO2017" s="23"/>
      <c r="BP2017" s="16"/>
      <c r="BQ2017" s="16"/>
      <c r="BR2017" s="23"/>
      <c r="BS2017" s="16"/>
      <c r="BT2017" s="16"/>
      <c r="BU2017" s="16"/>
      <c r="BV2017" s="16"/>
      <c r="BW2017" s="16"/>
      <c r="BX2017" s="16"/>
      <c r="BY2017" s="16"/>
    </row>
    <row r="2018">
      <c r="A2018" s="16"/>
      <c r="B2018" s="16"/>
      <c r="C2018" s="22"/>
      <c r="D2018" s="16"/>
      <c r="E2018" s="16"/>
      <c r="F2018" s="16"/>
      <c r="G2018" s="16"/>
      <c r="H2018" s="16"/>
      <c r="I2018" s="23"/>
      <c r="J2018" s="23"/>
      <c r="K2018" s="16"/>
      <c r="L2018" s="23"/>
      <c r="M2018" s="23"/>
      <c r="N2018" s="23"/>
      <c r="O2018" s="16"/>
      <c r="P2018" s="23"/>
      <c r="Q2018" s="23"/>
      <c r="R2018" s="23"/>
      <c r="S2018" s="16"/>
      <c r="T2018" s="23"/>
      <c r="U2018" s="23"/>
      <c r="V2018" s="23"/>
      <c r="W2018" s="16"/>
      <c r="X2018" s="23"/>
      <c r="Y2018" s="23"/>
      <c r="Z2018" s="23"/>
      <c r="AA2018" s="16"/>
      <c r="AB2018" s="23"/>
      <c r="AC2018" s="23"/>
      <c r="AD2018" s="23"/>
      <c r="AE2018" s="16"/>
      <c r="AF2018" s="23"/>
      <c r="AG2018" s="23"/>
      <c r="AH2018" s="23"/>
      <c r="AI2018" s="16"/>
      <c r="AJ2018" s="23"/>
      <c r="AK2018" s="23"/>
      <c r="AL2018" s="23"/>
      <c r="AM2018" s="16"/>
      <c r="AN2018" s="23"/>
      <c r="AO2018" s="23"/>
      <c r="AP2018" s="23"/>
      <c r="AQ2018" s="16"/>
      <c r="AR2018" s="23"/>
      <c r="AS2018" s="23"/>
      <c r="AT2018" s="23"/>
      <c r="AU2018" s="16"/>
      <c r="AV2018" s="23"/>
      <c r="AW2018" s="23"/>
      <c r="AX2018" s="23"/>
      <c r="AY2018" s="16"/>
      <c r="AZ2018" s="23"/>
      <c r="BA2018" s="23"/>
      <c r="BB2018" s="23"/>
      <c r="BC2018" s="16"/>
      <c r="BD2018" s="23"/>
      <c r="BE2018" s="23"/>
      <c r="BF2018" s="23"/>
      <c r="BG2018" s="16"/>
      <c r="BH2018" s="23"/>
      <c r="BI2018" s="23"/>
      <c r="BJ2018" s="23"/>
      <c r="BN2018" s="23"/>
      <c r="BO2018" s="23"/>
      <c r="BP2018" s="16"/>
      <c r="BQ2018" s="16"/>
      <c r="BR2018" s="23"/>
      <c r="BS2018" s="16"/>
      <c r="BT2018" s="16"/>
      <c r="BU2018" s="16"/>
      <c r="BV2018" s="16"/>
      <c r="BW2018" s="16"/>
      <c r="BX2018" s="16"/>
      <c r="BY2018" s="16"/>
    </row>
    <row r="2019">
      <c r="A2019" s="16"/>
      <c r="B2019" s="16"/>
      <c r="C2019" s="22"/>
      <c r="D2019" s="16"/>
      <c r="E2019" s="16"/>
      <c r="F2019" s="16"/>
      <c r="G2019" s="16"/>
      <c r="H2019" s="16"/>
      <c r="I2019" s="23"/>
      <c r="J2019" s="23"/>
      <c r="K2019" s="16"/>
      <c r="L2019" s="23"/>
      <c r="M2019" s="23"/>
      <c r="N2019" s="23"/>
      <c r="O2019" s="16"/>
      <c r="P2019" s="23"/>
      <c r="Q2019" s="23"/>
      <c r="R2019" s="23"/>
      <c r="S2019" s="16"/>
      <c r="T2019" s="23"/>
      <c r="U2019" s="23"/>
      <c r="V2019" s="23"/>
      <c r="W2019" s="16"/>
      <c r="X2019" s="23"/>
      <c r="Y2019" s="23"/>
      <c r="Z2019" s="23"/>
      <c r="AA2019" s="16"/>
      <c r="AB2019" s="23"/>
      <c r="AC2019" s="23"/>
      <c r="AD2019" s="23"/>
      <c r="AE2019" s="16"/>
      <c r="AF2019" s="23"/>
      <c r="AG2019" s="23"/>
      <c r="AH2019" s="23"/>
      <c r="AI2019" s="16"/>
      <c r="AJ2019" s="23"/>
      <c r="AK2019" s="23"/>
      <c r="AL2019" s="23"/>
      <c r="AM2019" s="16"/>
      <c r="AN2019" s="23"/>
      <c r="AO2019" s="23"/>
      <c r="AP2019" s="23"/>
      <c r="AQ2019" s="16"/>
      <c r="AR2019" s="23"/>
      <c r="AS2019" s="23"/>
      <c r="AT2019" s="23"/>
      <c r="AU2019" s="16"/>
      <c r="AV2019" s="23"/>
      <c r="AW2019" s="23"/>
      <c r="AX2019" s="23"/>
      <c r="AY2019" s="16"/>
      <c r="AZ2019" s="23"/>
      <c r="BA2019" s="23"/>
      <c r="BB2019" s="23"/>
      <c r="BC2019" s="16"/>
      <c r="BD2019" s="23"/>
      <c r="BE2019" s="23"/>
      <c r="BF2019" s="23"/>
      <c r="BG2019" s="16"/>
      <c r="BH2019" s="23"/>
      <c r="BI2019" s="23"/>
      <c r="BJ2019" s="23"/>
      <c r="BN2019" s="23"/>
      <c r="BO2019" s="23"/>
      <c r="BP2019" s="16"/>
      <c r="BQ2019" s="16"/>
      <c r="BR2019" s="23"/>
      <c r="BS2019" s="16"/>
      <c r="BT2019" s="16"/>
      <c r="BU2019" s="16"/>
      <c r="BV2019" s="16"/>
      <c r="BW2019" s="16"/>
      <c r="BX2019" s="16"/>
      <c r="BY2019" s="16"/>
    </row>
    <row r="2020">
      <c r="A2020" s="16"/>
      <c r="B2020" s="16"/>
      <c r="C2020" s="22"/>
      <c r="D2020" s="16"/>
      <c r="E2020" s="16"/>
      <c r="F2020" s="16"/>
      <c r="G2020" s="16"/>
      <c r="H2020" s="16"/>
      <c r="I2020" s="23"/>
      <c r="J2020" s="23"/>
      <c r="K2020" s="16"/>
      <c r="L2020" s="23"/>
      <c r="M2020" s="23"/>
      <c r="N2020" s="23"/>
      <c r="O2020" s="16"/>
      <c r="P2020" s="23"/>
      <c r="Q2020" s="23"/>
      <c r="R2020" s="23"/>
      <c r="S2020" s="16"/>
      <c r="T2020" s="23"/>
      <c r="U2020" s="23"/>
      <c r="V2020" s="23"/>
      <c r="W2020" s="16"/>
      <c r="X2020" s="23"/>
      <c r="Y2020" s="23"/>
      <c r="Z2020" s="23"/>
      <c r="AA2020" s="16"/>
      <c r="AB2020" s="23"/>
      <c r="AC2020" s="23"/>
      <c r="AD2020" s="23"/>
      <c r="AE2020" s="16"/>
      <c r="AF2020" s="23"/>
      <c r="AG2020" s="23"/>
      <c r="AH2020" s="23"/>
      <c r="AI2020" s="16"/>
      <c r="AJ2020" s="23"/>
      <c r="AK2020" s="23"/>
      <c r="AL2020" s="23"/>
      <c r="AM2020" s="16"/>
      <c r="AN2020" s="23"/>
      <c r="AO2020" s="23"/>
      <c r="AP2020" s="23"/>
      <c r="AQ2020" s="16"/>
      <c r="AR2020" s="23"/>
      <c r="AS2020" s="23"/>
      <c r="AT2020" s="23"/>
      <c r="AU2020" s="16"/>
      <c r="AV2020" s="23"/>
      <c r="AW2020" s="23"/>
      <c r="AX2020" s="23"/>
      <c r="AY2020" s="16"/>
      <c r="AZ2020" s="23"/>
      <c r="BA2020" s="23"/>
      <c r="BB2020" s="23"/>
      <c r="BC2020" s="16"/>
      <c r="BD2020" s="23"/>
      <c r="BE2020" s="23"/>
      <c r="BF2020" s="23"/>
      <c r="BG2020" s="16"/>
      <c r="BH2020" s="23"/>
      <c r="BI2020" s="23"/>
      <c r="BJ2020" s="23"/>
      <c r="BN2020" s="23"/>
      <c r="BO2020" s="23"/>
      <c r="BP2020" s="16"/>
      <c r="BQ2020" s="16"/>
      <c r="BR2020" s="23"/>
      <c r="BS2020" s="16"/>
      <c r="BT2020" s="16"/>
      <c r="BU2020" s="16"/>
      <c r="BV2020" s="16"/>
      <c r="BW2020" s="16"/>
      <c r="BX2020" s="16"/>
      <c r="BY2020" s="16"/>
    </row>
    <row r="2021">
      <c r="A2021" s="16"/>
      <c r="B2021" s="16"/>
      <c r="C2021" s="22"/>
      <c r="D2021" s="16"/>
      <c r="E2021" s="16"/>
      <c r="F2021" s="16"/>
      <c r="G2021" s="16"/>
      <c r="H2021" s="16"/>
      <c r="I2021" s="23"/>
      <c r="J2021" s="23"/>
      <c r="K2021" s="16"/>
      <c r="L2021" s="23"/>
      <c r="M2021" s="23"/>
      <c r="N2021" s="23"/>
      <c r="O2021" s="16"/>
      <c r="P2021" s="23"/>
      <c r="Q2021" s="23"/>
      <c r="R2021" s="23"/>
      <c r="S2021" s="16"/>
      <c r="T2021" s="23"/>
      <c r="U2021" s="23"/>
      <c r="V2021" s="23"/>
      <c r="W2021" s="16"/>
      <c r="X2021" s="23"/>
      <c r="Y2021" s="23"/>
      <c r="Z2021" s="23"/>
      <c r="AA2021" s="16"/>
      <c r="AB2021" s="23"/>
      <c r="AC2021" s="23"/>
      <c r="AD2021" s="23"/>
      <c r="AE2021" s="16"/>
      <c r="AF2021" s="23"/>
      <c r="AG2021" s="23"/>
      <c r="AH2021" s="23"/>
      <c r="AI2021" s="16"/>
      <c r="AJ2021" s="23"/>
      <c r="AK2021" s="23"/>
      <c r="AL2021" s="23"/>
      <c r="AM2021" s="16"/>
      <c r="AN2021" s="23"/>
      <c r="AO2021" s="23"/>
      <c r="AP2021" s="23"/>
      <c r="AQ2021" s="16"/>
      <c r="AR2021" s="23"/>
      <c r="AS2021" s="23"/>
      <c r="AT2021" s="23"/>
      <c r="AU2021" s="16"/>
      <c r="AV2021" s="23"/>
      <c r="AW2021" s="23"/>
      <c r="AX2021" s="23"/>
      <c r="AY2021" s="16"/>
      <c r="AZ2021" s="23"/>
      <c r="BA2021" s="23"/>
      <c r="BB2021" s="23"/>
      <c r="BC2021" s="16"/>
      <c r="BD2021" s="23"/>
      <c r="BE2021" s="23"/>
      <c r="BF2021" s="23"/>
      <c r="BG2021" s="16"/>
      <c r="BH2021" s="23"/>
      <c r="BI2021" s="23"/>
      <c r="BJ2021" s="23"/>
      <c r="BN2021" s="23"/>
      <c r="BO2021" s="23"/>
      <c r="BP2021" s="16"/>
      <c r="BQ2021" s="16"/>
      <c r="BR2021" s="23"/>
      <c r="BS2021" s="16"/>
      <c r="BT2021" s="16"/>
      <c r="BU2021" s="16"/>
      <c r="BV2021" s="16"/>
      <c r="BW2021" s="16"/>
      <c r="BX2021" s="16"/>
      <c r="BY2021" s="16"/>
    </row>
    <row r="2022">
      <c r="A2022" s="16"/>
      <c r="B2022" s="16"/>
      <c r="C2022" s="22"/>
      <c r="D2022" s="16"/>
      <c r="E2022" s="16"/>
      <c r="F2022" s="16"/>
      <c r="G2022" s="16"/>
      <c r="H2022" s="16"/>
      <c r="I2022" s="23"/>
      <c r="J2022" s="23"/>
      <c r="K2022" s="16"/>
      <c r="L2022" s="23"/>
      <c r="M2022" s="23"/>
      <c r="N2022" s="23"/>
      <c r="O2022" s="16"/>
      <c r="P2022" s="23"/>
      <c r="Q2022" s="23"/>
      <c r="R2022" s="23"/>
      <c r="S2022" s="16"/>
      <c r="T2022" s="23"/>
      <c r="U2022" s="23"/>
      <c r="V2022" s="23"/>
      <c r="W2022" s="16"/>
      <c r="X2022" s="23"/>
      <c r="Y2022" s="23"/>
      <c r="Z2022" s="23"/>
      <c r="AA2022" s="16"/>
      <c r="AB2022" s="23"/>
      <c r="AC2022" s="23"/>
      <c r="AD2022" s="23"/>
      <c r="AE2022" s="16"/>
      <c r="AF2022" s="23"/>
      <c r="AG2022" s="23"/>
      <c r="AH2022" s="23"/>
      <c r="AI2022" s="16"/>
      <c r="AJ2022" s="23"/>
      <c r="AK2022" s="23"/>
      <c r="AL2022" s="23"/>
      <c r="AM2022" s="16"/>
      <c r="AN2022" s="23"/>
      <c r="AO2022" s="23"/>
      <c r="AP2022" s="23"/>
      <c r="AQ2022" s="16"/>
      <c r="AR2022" s="23"/>
      <c r="AS2022" s="23"/>
      <c r="AT2022" s="23"/>
      <c r="AU2022" s="16"/>
      <c r="AV2022" s="23"/>
      <c r="AW2022" s="23"/>
      <c r="AX2022" s="23"/>
      <c r="AY2022" s="16"/>
      <c r="AZ2022" s="23"/>
      <c r="BA2022" s="23"/>
      <c r="BB2022" s="23"/>
      <c r="BC2022" s="16"/>
      <c r="BD2022" s="23"/>
      <c r="BE2022" s="23"/>
      <c r="BF2022" s="23"/>
      <c r="BG2022" s="16"/>
      <c r="BH2022" s="23"/>
      <c r="BI2022" s="23"/>
      <c r="BJ2022" s="23"/>
      <c r="BN2022" s="23"/>
      <c r="BO2022" s="23"/>
      <c r="BP2022" s="16"/>
      <c r="BQ2022" s="16"/>
      <c r="BR2022" s="23"/>
      <c r="BS2022" s="16"/>
      <c r="BT2022" s="16"/>
      <c r="BU2022" s="16"/>
      <c r="BV2022" s="16"/>
      <c r="BW2022" s="16"/>
      <c r="BX2022" s="16"/>
      <c r="BY2022" s="16"/>
    </row>
    <row r="2023">
      <c r="A2023" s="16"/>
      <c r="B2023" s="16"/>
      <c r="C2023" s="22"/>
      <c r="D2023" s="16"/>
      <c r="E2023" s="16"/>
      <c r="F2023" s="16"/>
      <c r="G2023" s="16"/>
      <c r="H2023" s="16"/>
      <c r="I2023" s="23"/>
      <c r="J2023" s="23"/>
      <c r="K2023" s="16"/>
      <c r="L2023" s="23"/>
      <c r="M2023" s="23"/>
      <c r="N2023" s="23"/>
      <c r="O2023" s="16"/>
      <c r="P2023" s="23"/>
      <c r="Q2023" s="23"/>
      <c r="R2023" s="23"/>
      <c r="S2023" s="16"/>
      <c r="T2023" s="23"/>
      <c r="U2023" s="23"/>
      <c r="V2023" s="23"/>
      <c r="W2023" s="16"/>
      <c r="X2023" s="23"/>
      <c r="Y2023" s="23"/>
      <c r="Z2023" s="23"/>
      <c r="AA2023" s="16"/>
      <c r="AB2023" s="23"/>
      <c r="AC2023" s="23"/>
      <c r="AD2023" s="23"/>
      <c r="AE2023" s="16"/>
      <c r="AF2023" s="23"/>
      <c r="AG2023" s="23"/>
      <c r="AH2023" s="23"/>
      <c r="AI2023" s="16"/>
      <c r="AJ2023" s="23"/>
      <c r="AK2023" s="23"/>
      <c r="AL2023" s="23"/>
      <c r="AM2023" s="16"/>
      <c r="AN2023" s="23"/>
      <c r="AO2023" s="23"/>
      <c r="AP2023" s="23"/>
      <c r="AQ2023" s="16"/>
      <c r="AR2023" s="23"/>
      <c r="AS2023" s="23"/>
      <c r="AT2023" s="23"/>
      <c r="AU2023" s="16"/>
      <c r="AV2023" s="23"/>
      <c r="AW2023" s="23"/>
      <c r="AX2023" s="23"/>
      <c r="AY2023" s="16"/>
      <c r="AZ2023" s="23"/>
      <c r="BA2023" s="23"/>
      <c r="BB2023" s="23"/>
      <c r="BC2023" s="16"/>
      <c r="BD2023" s="23"/>
      <c r="BE2023" s="23"/>
      <c r="BF2023" s="23"/>
      <c r="BG2023" s="16"/>
      <c r="BH2023" s="23"/>
      <c r="BI2023" s="23"/>
      <c r="BJ2023" s="23"/>
      <c r="BN2023" s="23"/>
      <c r="BO2023" s="23"/>
      <c r="BP2023" s="16"/>
      <c r="BQ2023" s="16"/>
      <c r="BR2023" s="23"/>
      <c r="BS2023" s="16"/>
      <c r="BT2023" s="16"/>
      <c r="BU2023" s="16"/>
      <c r="BV2023" s="16"/>
      <c r="BW2023" s="16"/>
      <c r="BX2023" s="16"/>
      <c r="BY2023" s="16"/>
    </row>
    <row r="2024">
      <c r="A2024" s="16"/>
      <c r="B2024" s="16"/>
      <c r="C2024" s="22"/>
      <c r="D2024" s="16"/>
      <c r="E2024" s="16"/>
      <c r="F2024" s="16"/>
      <c r="G2024" s="16"/>
      <c r="H2024" s="16"/>
      <c r="I2024" s="23"/>
      <c r="J2024" s="23"/>
      <c r="K2024" s="16"/>
      <c r="L2024" s="23"/>
      <c r="M2024" s="23"/>
      <c r="N2024" s="23"/>
      <c r="O2024" s="16"/>
      <c r="P2024" s="23"/>
      <c r="Q2024" s="23"/>
      <c r="R2024" s="23"/>
      <c r="S2024" s="16"/>
      <c r="T2024" s="23"/>
      <c r="U2024" s="23"/>
      <c r="V2024" s="23"/>
      <c r="W2024" s="16"/>
      <c r="X2024" s="23"/>
      <c r="Y2024" s="23"/>
      <c r="Z2024" s="23"/>
      <c r="AA2024" s="16"/>
      <c r="AB2024" s="23"/>
      <c r="AC2024" s="23"/>
      <c r="AD2024" s="23"/>
      <c r="AE2024" s="16"/>
      <c r="AF2024" s="23"/>
      <c r="AG2024" s="23"/>
      <c r="AH2024" s="23"/>
      <c r="AI2024" s="16"/>
      <c r="AJ2024" s="23"/>
      <c r="AK2024" s="23"/>
      <c r="AL2024" s="23"/>
      <c r="AM2024" s="16"/>
      <c r="AN2024" s="23"/>
      <c r="AO2024" s="23"/>
      <c r="AP2024" s="23"/>
      <c r="AQ2024" s="16"/>
      <c r="AR2024" s="23"/>
      <c r="AS2024" s="23"/>
      <c r="AT2024" s="23"/>
      <c r="AU2024" s="16"/>
      <c r="AV2024" s="23"/>
      <c r="AW2024" s="23"/>
      <c r="AX2024" s="23"/>
      <c r="AY2024" s="16"/>
      <c r="AZ2024" s="23"/>
      <c r="BA2024" s="23"/>
      <c r="BB2024" s="23"/>
      <c r="BC2024" s="16"/>
      <c r="BD2024" s="23"/>
      <c r="BE2024" s="23"/>
      <c r="BF2024" s="23"/>
      <c r="BG2024" s="16"/>
      <c r="BH2024" s="23"/>
      <c r="BI2024" s="23"/>
      <c r="BJ2024" s="23"/>
      <c r="BN2024" s="23"/>
      <c r="BO2024" s="23"/>
      <c r="BP2024" s="16"/>
      <c r="BQ2024" s="16"/>
      <c r="BR2024" s="23"/>
      <c r="BS2024" s="16"/>
      <c r="BT2024" s="16"/>
      <c r="BU2024" s="16"/>
      <c r="BV2024" s="16"/>
      <c r="BW2024" s="16"/>
      <c r="BX2024" s="16"/>
      <c r="BY2024" s="16"/>
    </row>
    <row r="2025">
      <c r="A2025" s="16"/>
      <c r="B2025" s="16"/>
      <c r="C2025" s="22"/>
      <c r="D2025" s="16"/>
      <c r="E2025" s="16"/>
      <c r="F2025" s="16"/>
      <c r="G2025" s="16"/>
      <c r="H2025" s="16"/>
      <c r="I2025" s="23"/>
      <c r="J2025" s="23"/>
      <c r="K2025" s="16"/>
      <c r="L2025" s="23"/>
      <c r="M2025" s="23"/>
      <c r="N2025" s="23"/>
      <c r="O2025" s="16"/>
      <c r="P2025" s="23"/>
      <c r="Q2025" s="23"/>
      <c r="R2025" s="23"/>
      <c r="S2025" s="16"/>
      <c r="T2025" s="23"/>
      <c r="U2025" s="23"/>
      <c r="V2025" s="23"/>
      <c r="W2025" s="16"/>
      <c r="X2025" s="23"/>
      <c r="Y2025" s="23"/>
      <c r="Z2025" s="23"/>
      <c r="AA2025" s="16"/>
      <c r="AB2025" s="23"/>
      <c r="AC2025" s="23"/>
      <c r="AD2025" s="23"/>
      <c r="AE2025" s="16"/>
      <c r="AF2025" s="23"/>
      <c r="AG2025" s="23"/>
      <c r="AH2025" s="23"/>
      <c r="AI2025" s="16"/>
      <c r="AJ2025" s="23"/>
      <c r="AK2025" s="23"/>
      <c r="AL2025" s="23"/>
      <c r="AM2025" s="16"/>
      <c r="AN2025" s="23"/>
      <c r="AO2025" s="23"/>
      <c r="AP2025" s="23"/>
      <c r="AQ2025" s="16"/>
      <c r="AR2025" s="23"/>
      <c r="AS2025" s="23"/>
      <c r="AT2025" s="23"/>
      <c r="AU2025" s="16"/>
      <c r="AV2025" s="23"/>
      <c r="AW2025" s="23"/>
      <c r="AX2025" s="23"/>
      <c r="AY2025" s="16"/>
      <c r="AZ2025" s="23"/>
      <c r="BA2025" s="23"/>
      <c r="BB2025" s="23"/>
      <c r="BC2025" s="16"/>
      <c r="BD2025" s="23"/>
      <c r="BE2025" s="23"/>
      <c r="BF2025" s="23"/>
      <c r="BG2025" s="16"/>
      <c r="BH2025" s="23"/>
      <c r="BI2025" s="23"/>
      <c r="BJ2025" s="23"/>
      <c r="BN2025" s="23"/>
      <c r="BO2025" s="23"/>
      <c r="BP2025" s="16"/>
      <c r="BQ2025" s="16"/>
      <c r="BR2025" s="23"/>
      <c r="BS2025" s="16"/>
      <c r="BT2025" s="16"/>
      <c r="BU2025" s="16"/>
      <c r="BV2025" s="16"/>
      <c r="BW2025" s="16"/>
      <c r="BX2025" s="16"/>
      <c r="BY2025" s="16"/>
    </row>
    <row r="2026">
      <c r="A2026" s="16"/>
      <c r="B2026" s="16"/>
      <c r="C2026" s="22"/>
      <c r="D2026" s="16"/>
      <c r="E2026" s="16"/>
      <c r="F2026" s="16"/>
      <c r="G2026" s="16"/>
      <c r="H2026" s="16"/>
      <c r="I2026" s="23"/>
      <c r="J2026" s="23"/>
      <c r="K2026" s="16"/>
      <c r="L2026" s="23"/>
      <c r="M2026" s="23"/>
      <c r="N2026" s="23"/>
      <c r="O2026" s="16"/>
      <c r="P2026" s="23"/>
      <c r="Q2026" s="23"/>
      <c r="R2026" s="23"/>
      <c r="S2026" s="16"/>
      <c r="T2026" s="23"/>
      <c r="U2026" s="23"/>
      <c r="V2026" s="23"/>
      <c r="W2026" s="16"/>
      <c r="X2026" s="23"/>
      <c r="Y2026" s="23"/>
      <c r="Z2026" s="23"/>
      <c r="AA2026" s="16"/>
      <c r="AB2026" s="23"/>
      <c r="AC2026" s="23"/>
      <c r="AD2026" s="23"/>
      <c r="AE2026" s="16"/>
      <c r="AF2026" s="23"/>
      <c r="AG2026" s="23"/>
      <c r="AH2026" s="23"/>
      <c r="AI2026" s="16"/>
      <c r="AJ2026" s="23"/>
      <c r="AK2026" s="23"/>
      <c r="AL2026" s="23"/>
      <c r="AM2026" s="16"/>
      <c r="AN2026" s="23"/>
      <c r="AO2026" s="23"/>
      <c r="AP2026" s="23"/>
      <c r="AQ2026" s="16"/>
      <c r="AR2026" s="23"/>
      <c r="AS2026" s="23"/>
      <c r="AT2026" s="23"/>
      <c r="AU2026" s="16"/>
      <c r="AV2026" s="23"/>
      <c r="AW2026" s="23"/>
      <c r="AX2026" s="23"/>
      <c r="AY2026" s="16"/>
      <c r="AZ2026" s="23"/>
      <c r="BA2026" s="23"/>
      <c r="BB2026" s="23"/>
      <c r="BC2026" s="16"/>
      <c r="BD2026" s="23"/>
      <c r="BE2026" s="23"/>
      <c r="BF2026" s="23"/>
      <c r="BG2026" s="16"/>
      <c r="BH2026" s="23"/>
      <c r="BI2026" s="23"/>
      <c r="BJ2026" s="23"/>
      <c r="BN2026" s="23"/>
      <c r="BO2026" s="23"/>
      <c r="BP2026" s="16"/>
      <c r="BQ2026" s="16"/>
      <c r="BR2026" s="23"/>
      <c r="BS2026" s="16"/>
      <c r="BT2026" s="16"/>
      <c r="BU2026" s="16"/>
      <c r="BV2026" s="16"/>
      <c r="BW2026" s="16"/>
      <c r="BX2026" s="16"/>
      <c r="BY2026" s="16"/>
    </row>
    <row r="2027">
      <c r="A2027" s="16"/>
      <c r="B2027" s="16"/>
      <c r="C2027" s="22"/>
      <c r="D2027" s="16"/>
      <c r="E2027" s="16"/>
      <c r="F2027" s="16"/>
      <c r="G2027" s="16"/>
      <c r="H2027" s="16"/>
      <c r="I2027" s="23"/>
      <c r="J2027" s="23"/>
      <c r="K2027" s="16"/>
      <c r="L2027" s="23"/>
      <c r="M2027" s="23"/>
      <c r="N2027" s="23"/>
      <c r="O2027" s="16"/>
      <c r="P2027" s="23"/>
      <c r="Q2027" s="23"/>
      <c r="R2027" s="23"/>
      <c r="S2027" s="16"/>
      <c r="T2027" s="23"/>
      <c r="U2027" s="23"/>
      <c r="V2027" s="23"/>
      <c r="W2027" s="16"/>
      <c r="X2027" s="23"/>
      <c r="Y2027" s="23"/>
      <c r="Z2027" s="23"/>
      <c r="AA2027" s="16"/>
      <c r="AB2027" s="23"/>
      <c r="AC2027" s="23"/>
      <c r="AD2027" s="23"/>
      <c r="AE2027" s="16"/>
      <c r="AF2027" s="23"/>
      <c r="AG2027" s="23"/>
      <c r="AH2027" s="23"/>
      <c r="AI2027" s="16"/>
      <c r="AJ2027" s="23"/>
      <c r="AK2027" s="23"/>
      <c r="AL2027" s="23"/>
      <c r="AM2027" s="16"/>
      <c r="AN2027" s="23"/>
      <c r="AO2027" s="23"/>
      <c r="AP2027" s="23"/>
      <c r="AQ2027" s="16"/>
      <c r="AR2027" s="23"/>
      <c r="AS2027" s="23"/>
      <c r="AT2027" s="23"/>
      <c r="AU2027" s="16"/>
      <c r="AV2027" s="23"/>
      <c r="AW2027" s="23"/>
      <c r="AX2027" s="23"/>
      <c r="AY2027" s="16"/>
      <c r="AZ2027" s="23"/>
      <c r="BA2027" s="23"/>
      <c r="BB2027" s="23"/>
      <c r="BC2027" s="16"/>
      <c r="BD2027" s="23"/>
      <c r="BE2027" s="23"/>
      <c r="BF2027" s="23"/>
      <c r="BG2027" s="16"/>
      <c r="BH2027" s="23"/>
      <c r="BI2027" s="23"/>
      <c r="BJ2027" s="23"/>
      <c r="BN2027" s="23"/>
      <c r="BO2027" s="23"/>
      <c r="BP2027" s="16"/>
      <c r="BQ2027" s="16"/>
      <c r="BR2027" s="23"/>
      <c r="BS2027" s="16"/>
      <c r="BT2027" s="16"/>
      <c r="BU2027" s="16"/>
      <c r="BV2027" s="16"/>
      <c r="BW2027" s="16"/>
      <c r="BX2027" s="16"/>
      <c r="BY2027" s="16"/>
    </row>
    <row r="2028">
      <c r="A2028" s="16"/>
      <c r="B2028" s="16"/>
      <c r="C2028" s="22"/>
      <c r="D2028" s="16"/>
      <c r="E2028" s="16"/>
      <c r="F2028" s="16"/>
      <c r="G2028" s="16"/>
      <c r="H2028" s="16"/>
      <c r="I2028" s="23"/>
      <c r="J2028" s="23"/>
      <c r="K2028" s="16"/>
      <c r="L2028" s="23"/>
      <c r="M2028" s="23"/>
      <c r="N2028" s="23"/>
      <c r="O2028" s="16"/>
      <c r="P2028" s="23"/>
      <c r="Q2028" s="23"/>
      <c r="R2028" s="23"/>
      <c r="S2028" s="16"/>
      <c r="T2028" s="23"/>
      <c r="U2028" s="23"/>
      <c r="V2028" s="23"/>
      <c r="W2028" s="16"/>
      <c r="X2028" s="23"/>
      <c r="Y2028" s="23"/>
      <c r="Z2028" s="23"/>
      <c r="AA2028" s="16"/>
      <c r="AB2028" s="23"/>
      <c r="AC2028" s="23"/>
      <c r="AD2028" s="23"/>
      <c r="AE2028" s="16"/>
      <c r="AF2028" s="23"/>
      <c r="AG2028" s="23"/>
      <c r="AH2028" s="23"/>
      <c r="AI2028" s="16"/>
      <c r="AJ2028" s="23"/>
      <c r="AK2028" s="23"/>
      <c r="AL2028" s="23"/>
      <c r="AM2028" s="16"/>
      <c r="AN2028" s="23"/>
      <c r="AO2028" s="23"/>
      <c r="AP2028" s="23"/>
      <c r="AQ2028" s="16"/>
      <c r="AR2028" s="23"/>
      <c r="AS2028" s="23"/>
      <c r="AT2028" s="23"/>
      <c r="AU2028" s="16"/>
      <c r="AV2028" s="23"/>
      <c r="AW2028" s="23"/>
      <c r="AX2028" s="23"/>
      <c r="AY2028" s="16"/>
      <c r="AZ2028" s="23"/>
      <c r="BA2028" s="23"/>
      <c r="BB2028" s="23"/>
      <c r="BC2028" s="16"/>
      <c r="BD2028" s="23"/>
      <c r="BE2028" s="23"/>
      <c r="BF2028" s="23"/>
      <c r="BG2028" s="16"/>
      <c r="BH2028" s="23"/>
      <c r="BI2028" s="23"/>
      <c r="BJ2028" s="23"/>
      <c r="BN2028" s="23"/>
      <c r="BO2028" s="23"/>
      <c r="BP2028" s="16"/>
      <c r="BQ2028" s="16"/>
      <c r="BR2028" s="23"/>
      <c r="BS2028" s="16"/>
      <c r="BT2028" s="16"/>
      <c r="BU2028" s="16"/>
      <c r="BV2028" s="16"/>
      <c r="BW2028" s="16"/>
      <c r="BX2028" s="16"/>
      <c r="BY2028" s="16"/>
    </row>
    <row r="2029">
      <c r="A2029" s="16"/>
      <c r="B2029" s="16"/>
      <c r="C2029" s="22"/>
      <c r="D2029" s="16"/>
      <c r="E2029" s="16"/>
      <c r="F2029" s="16"/>
      <c r="G2029" s="16"/>
      <c r="H2029" s="16"/>
      <c r="I2029" s="23"/>
      <c r="J2029" s="23"/>
      <c r="K2029" s="16"/>
      <c r="L2029" s="23"/>
      <c r="M2029" s="23"/>
      <c r="N2029" s="23"/>
      <c r="O2029" s="16"/>
      <c r="P2029" s="23"/>
      <c r="Q2029" s="23"/>
      <c r="R2029" s="23"/>
      <c r="S2029" s="16"/>
      <c r="T2029" s="23"/>
      <c r="U2029" s="23"/>
      <c r="V2029" s="23"/>
      <c r="W2029" s="16"/>
      <c r="X2029" s="23"/>
      <c r="Y2029" s="23"/>
      <c r="Z2029" s="23"/>
      <c r="AA2029" s="16"/>
      <c r="AB2029" s="23"/>
      <c r="AC2029" s="23"/>
      <c r="AD2029" s="23"/>
      <c r="AE2029" s="16"/>
      <c r="AF2029" s="23"/>
      <c r="AG2029" s="23"/>
      <c r="AH2029" s="23"/>
      <c r="AI2029" s="16"/>
      <c r="AJ2029" s="23"/>
      <c r="AK2029" s="23"/>
      <c r="AL2029" s="23"/>
      <c r="AM2029" s="16"/>
      <c r="AN2029" s="23"/>
      <c r="AO2029" s="23"/>
      <c r="AP2029" s="23"/>
      <c r="AQ2029" s="16"/>
      <c r="AR2029" s="23"/>
      <c r="AS2029" s="23"/>
      <c r="AT2029" s="23"/>
      <c r="AU2029" s="16"/>
      <c r="AV2029" s="23"/>
      <c r="AW2029" s="23"/>
      <c r="AX2029" s="23"/>
      <c r="AY2029" s="16"/>
      <c r="AZ2029" s="23"/>
      <c r="BA2029" s="23"/>
      <c r="BB2029" s="23"/>
      <c r="BC2029" s="16"/>
      <c r="BD2029" s="23"/>
      <c r="BE2029" s="23"/>
      <c r="BF2029" s="23"/>
      <c r="BG2029" s="16"/>
      <c r="BH2029" s="23"/>
      <c r="BI2029" s="23"/>
      <c r="BJ2029" s="23"/>
      <c r="BN2029" s="23"/>
      <c r="BO2029" s="23"/>
      <c r="BP2029" s="16"/>
      <c r="BQ2029" s="16"/>
      <c r="BR2029" s="23"/>
      <c r="BS2029" s="16"/>
      <c r="BT2029" s="16"/>
      <c r="BU2029" s="16"/>
      <c r="BV2029" s="16"/>
      <c r="BW2029" s="16"/>
      <c r="BX2029" s="16"/>
      <c r="BY2029" s="16"/>
    </row>
    <row r="2030">
      <c r="A2030" s="16"/>
      <c r="B2030" s="16"/>
      <c r="C2030" s="22"/>
      <c r="D2030" s="16"/>
      <c r="E2030" s="16"/>
      <c r="F2030" s="16"/>
      <c r="G2030" s="16"/>
      <c r="H2030" s="16"/>
      <c r="I2030" s="23"/>
      <c r="J2030" s="23"/>
      <c r="K2030" s="16"/>
      <c r="L2030" s="23"/>
      <c r="M2030" s="23"/>
      <c r="N2030" s="23"/>
      <c r="O2030" s="16"/>
      <c r="P2030" s="23"/>
      <c r="Q2030" s="23"/>
      <c r="R2030" s="23"/>
      <c r="S2030" s="16"/>
      <c r="T2030" s="23"/>
      <c r="U2030" s="23"/>
      <c r="V2030" s="23"/>
      <c r="W2030" s="16"/>
      <c r="X2030" s="23"/>
      <c r="Y2030" s="23"/>
      <c r="Z2030" s="23"/>
      <c r="AA2030" s="16"/>
      <c r="AB2030" s="23"/>
      <c r="AC2030" s="23"/>
      <c r="AD2030" s="23"/>
      <c r="AE2030" s="16"/>
      <c r="AF2030" s="23"/>
      <c r="AG2030" s="23"/>
      <c r="AH2030" s="23"/>
      <c r="AI2030" s="16"/>
      <c r="AJ2030" s="23"/>
      <c r="AK2030" s="23"/>
      <c r="AL2030" s="23"/>
      <c r="AM2030" s="16"/>
      <c r="AN2030" s="23"/>
      <c r="AO2030" s="23"/>
      <c r="AP2030" s="23"/>
      <c r="AQ2030" s="16"/>
      <c r="AR2030" s="23"/>
      <c r="AS2030" s="23"/>
      <c r="AT2030" s="23"/>
      <c r="AU2030" s="16"/>
      <c r="AV2030" s="23"/>
      <c r="AW2030" s="23"/>
      <c r="AX2030" s="23"/>
      <c r="AY2030" s="16"/>
      <c r="AZ2030" s="23"/>
      <c r="BA2030" s="23"/>
      <c r="BB2030" s="23"/>
      <c r="BC2030" s="16"/>
      <c r="BD2030" s="23"/>
      <c r="BE2030" s="23"/>
      <c r="BF2030" s="23"/>
      <c r="BG2030" s="16"/>
      <c r="BH2030" s="23"/>
      <c r="BI2030" s="23"/>
      <c r="BJ2030" s="23"/>
      <c r="BN2030" s="23"/>
      <c r="BO2030" s="23"/>
      <c r="BP2030" s="16"/>
      <c r="BQ2030" s="16"/>
      <c r="BR2030" s="23"/>
      <c r="BS2030" s="16"/>
      <c r="BT2030" s="16"/>
      <c r="BU2030" s="16"/>
      <c r="BV2030" s="16"/>
      <c r="BW2030" s="16"/>
      <c r="BX2030" s="16"/>
      <c r="BY2030" s="16"/>
    </row>
    <row r="2031">
      <c r="A2031" s="16"/>
      <c r="B2031" s="16"/>
      <c r="C2031" s="22"/>
      <c r="D2031" s="16"/>
      <c r="E2031" s="16"/>
      <c r="F2031" s="16"/>
      <c r="G2031" s="16"/>
      <c r="H2031" s="16"/>
      <c r="I2031" s="23"/>
      <c r="J2031" s="23"/>
      <c r="K2031" s="16"/>
      <c r="L2031" s="23"/>
      <c r="M2031" s="23"/>
      <c r="N2031" s="23"/>
      <c r="O2031" s="16"/>
      <c r="P2031" s="23"/>
      <c r="Q2031" s="23"/>
      <c r="R2031" s="23"/>
      <c r="S2031" s="16"/>
      <c r="T2031" s="23"/>
      <c r="U2031" s="23"/>
      <c r="V2031" s="23"/>
      <c r="W2031" s="16"/>
      <c r="X2031" s="23"/>
      <c r="Y2031" s="23"/>
      <c r="Z2031" s="23"/>
      <c r="AA2031" s="16"/>
      <c r="AB2031" s="23"/>
      <c r="AC2031" s="23"/>
      <c r="AD2031" s="23"/>
      <c r="AE2031" s="16"/>
      <c r="AF2031" s="23"/>
      <c r="AG2031" s="23"/>
      <c r="AH2031" s="23"/>
      <c r="AI2031" s="16"/>
      <c r="AJ2031" s="23"/>
      <c r="AK2031" s="23"/>
      <c r="AL2031" s="23"/>
      <c r="AM2031" s="16"/>
      <c r="AN2031" s="23"/>
      <c r="AO2031" s="23"/>
      <c r="AP2031" s="23"/>
      <c r="AQ2031" s="16"/>
      <c r="AR2031" s="23"/>
      <c r="AS2031" s="23"/>
      <c r="AT2031" s="23"/>
      <c r="AU2031" s="16"/>
      <c r="AV2031" s="23"/>
      <c r="AW2031" s="23"/>
      <c r="AX2031" s="23"/>
      <c r="AY2031" s="16"/>
      <c r="AZ2031" s="23"/>
      <c r="BA2031" s="23"/>
      <c r="BB2031" s="23"/>
      <c r="BC2031" s="16"/>
      <c r="BD2031" s="23"/>
      <c r="BE2031" s="23"/>
      <c r="BF2031" s="23"/>
      <c r="BG2031" s="16"/>
      <c r="BH2031" s="23"/>
      <c r="BI2031" s="23"/>
      <c r="BJ2031" s="23"/>
      <c r="BN2031" s="23"/>
      <c r="BO2031" s="23"/>
      <c r="BP2031" s="16"/>
      <c r="BQ2031" s="16"/>
      <c r="BR2031" s="23"/>
      <c r="BS2031" s="16"/>
      <c r="BT2031" s="16"/>
      <c r="BU2031" s="16"/>
      <c r="BV2031" s="16"/>
      <c r="BW2031" s="16"/>
      <c r="BX2031" s="16"/>
      <c r="BY2031" s="16"/>
    </row>
    <row r="2032">
      <c r="A2032" s="16"/>
      <c r="B2032" s="16"/>
      <c r="C2032" s="22"/>
      <c r="D2032" s="16"/>
      <c r="E2032" s="16"/>
      <c r="F2032" s="16"/>
      <c r="G2032" s="16"/>
      <c r="H2032" s="16"/>
      <c r="I2032" s="23"/>
      <c r="J2032" s="23"/>
      <c r="K2032" s="16"/>
      <c r="L2032" s="23"/>
      <c r="M2032" s="23"/>
      <c r="N2032" s="23"/>
      <c r="O2032" s="16"/>
      <c r="P2032" s="23"/>
      <c r="Q2032" s="23"/>
      <c r="R2032" s="23"/>
      <c r="S2032" s="16"/>
      <c r="T2032" s="23"/>
      <c r="U2032" s="23"/>
      <c r="V2032" s="23"/>
      <c r="W2032" s="16"/>
      <c r="X2032" s="23"/>
      <c r="Y2032" s="23"/>
      <c r="Z2032" s="23"/>
      <c r="AA2032" s="16"/>
      <c r="AB2032" s="23"/>
      <c r="AC2032" s="23"/>
      <c r="AD2032" s="23"/>
      <c r="AE2032" s="16"/>
      <c r="AF2032" s="23"/>
      <c r="AG2032" s="23"/>
      <c r="AH2032" s="23"/>
      <c r="AI2032" s="16"/>
      <c r="AJ2032" s="23"/>
      <c r="AK2032" s="23"/>
      <c r="AL2032" s="23"/>
      <c r="AM2032" s="16"/>
      <c r="AN2032" s="23"/>
      <c r="AO2032" s="23"/>
      <c r="AP2032" s="23"/>
      <c r="AQ2032" s="16"/>
      <c r="AR2032" s="23"/>
      <c r="AS2032" s="23"/>
      <c r="AT2032" s="23"/>
      <c r="AU2032" s="16"/>
      <c r="AV2032" s="23"/>
      <c r="AW2032" s="23"/>
      <c r="AX2032" s="23"/>
      <c r="AY2032" s="16"/>
      <c r="AZ2032" s="23"/>
      <c r="BA2032" s="23"/>
      <c r="BB2032" s="23"/>
      <c r="BC2032" s="16"/>
      <c r="BD2032" s="23"/>
      <c r="BE2032" s="23"/>
      <c r="BF2032" s="23"/>
      <c r="BG2032" s="16"/>
      <c r="BH2032" s="23"/>
      <c r="BI2032" s="23"/>
      <c r="BJ2032" s="23"/>
      <c r="BN2032" s="23"/>
      <c r="BO2032" s="23"/>
      <c r="BP2032" s="16"/>
      <c r="BQ2032" s="16"/>
      <c r="BR2032" s="23"/>
      <c r="BS2032" s="16"/>
      <c r="BT2032" s="16"/>
      <c r="BU2032" s="16"/>
      <c r="BV2032" s="16"/>
      <c r="BW2032" s="16"/>
      <c r="BX2032" s="16"/>
      <c r="BY2032" s="16"/>
    </row>
    <row r="2033">
      <c r="A2033" s="16"/>
      <c r="B2033" s="16"/>
      <c r="C2033" s="22"/>
      <c r="D2033" s="16"/>
      <c r="E2033" s="16"/>
      <c r="F2033" s="16"/>
      <c r="G2033" s="16"/>
      <c r="H2033" s="16"/>
      <c r="I2033" s="23"/>
      <c r="J2033" s="23"/>
      <c r="K2033" s="16"/>
      <c r="L2033" s="23"/>
      <c r="M2033" s="23"/>
      <c r="N2033" s="23"/>
      <c r="O2033" s="16"/>
      <c r="P2033" s="23"/>
      <c r="Q2033" s="23"/>
      <c r="R2033" s="23"/>
      <c r="S2033" s="16"/>
      <c r="T2033" s="23"/>
      <c r="U2033" s="23"/>
      <c r="V2033" s="23"/>
      <c r="W2033" s="16"/>
      <c r="X2033" s="23"/>
      <c r="Y2033" s="23"/>
      <c r="Z2033" s="23"/>
      <c r="AA2033" s="16"/>
      <c r="AB2033" s="23"/>
      <c r="AC2033" s="23"/>
      <c r="AD2033" s="23"/>
      <c r="AE2033" s="16"/>
      <c r="AF2033" s="23"/>
      <c r="AG2033" s="23"/>
      <c r="AH2033" s="23"/>
      <c r="AI2033" s="16"/>
      <c r="AJ2033" s="23"/>
      <c r="AK2033" s="23"/>
      <c r="AL2033" s="23"/>
      <c r="AM2033" s="16"/>
      <c r="AN2033" s="23"/>
      <c r="AO2033" s="23"/>
      <c r="AP2033" s="23"/>
      <c r="AQ2033" s="16"/>
      <c r="AR2033" s="23"/>
      <c r="AS2033" s="23"/>
      <c r="AT2033" s="23"/>
      <c r="AU2033" s="16"/>
      <c r="AV2033" s="23"/>
      <c r="AW2033" s="23"/>
      <c r="AX2033" s="23"/>
      <c r="AY2033" s="16"/>
      <c r="AZ2033" s="23"/>
      <c r="BA2033" s="23"/>
      <c r="BB2033" s="23"/>
      <c r="BC2033" s="16"/>
      <c r="BD2033" s="23"/>
      <c r="BE2033" s="23"/>
      <c r="BF2033" s="23"/>
      <c r="BG2033" s="16"/>
      <c r="BH2033" s="23"/>
      <c r="BI2033" s="23"/>
      <c r="BJ2033" s="23"/>
      <c r="BN2033" s="23"/>
      <c r="BO2033" s="23"/>
      <c r="BP2033" s="16"/>
      <c r="BQ2033" s="16"/>
      <c r="BR2033" s="23"/>
      <c r="BS2033" s="16"/>
      <c r="BT2033" s="16"/>
      <c r="BU2033" s="16"/>
      <c r="BV2033" s="16"/>
      <c r="BW2033" s="16"/>
      <c r="BX2033" s="16"/>
      <c r="BY2033" s="16"/>
    </row>
    <row r="2034">
      <c r="A2034" s="16"/>
      <c r="B2034" s="16"/>
      <c r="C2034" s="22"/>
      <c r="D2034" s="16"/>
      <c r="E2034" s="16"/>
      <c r="F2034" s="16"/>
      <c r="G2034" s="16"/>
      <c r="H2034" s="16"/>
      <c r="I2034" s="23"/>
      <c r="J2034" s="23"/>
      <c r="K2034" s="16"/>
      <c r="L2034" s="23"/>
      <c r="M2034" s="23"/>
      <c r="N2034" s="23"/>
      <c r="O2034" s="16"/>
      <c r="P2034" s="23"/>
      <c r="Q2034" s="23"/>
      <c r="R2034" s="23"/>
      <c r="S2034" s="16"/>
      <c r="T2034" s="23"/>
      <c r="U2034" s="23"/>
      <c r="V2034" s="23"/>
      <c r="W2034" s="16"/>
      <c r="X2034" s="23"/>
      <c r="Y2034" s="23"/>
      <c r="Z2034" s="23"/>
      <c r="AA2034" s="16"/>
      <c r="AB2034" s="23"/>
      <c r="AC2034" s="23"/>
      <c r="AD2034" s="23"/>
      <c r="AE2034" s="16"/>
      <c r="AF2034" s="23"/>
      <c r="AG2034" s="23"/>
      <c r="AH2034" s="23"/>
      <c r="AI2034" s="16"/>
      <c r="AJ2034" s="23"/>
      <c r="AK2034" s="23"/>
      <c r="AL2034" s="23"/>
      <c r="AM2034" s="16"/>
      <c r="AN2034" s="23"/>
      <c r="AO2034" s="23"/>
      <c r="AP2034" s="23"/>
      <c r="AQ2034" s="16"/>
      <c r="AR2034" s="23"/>
      <c r="AS2034" s="23"/>
      <c r="AT2034" s="23"/>
      <c r="AU2034" s="16"/>
      <c r="AV2034" s="23"/>
      <c r="AW2034" s="23"/>
      <c r="AX2034" s="23"/>
      <c r="AY2034" s="16"/>
      <c r="AZ2034" s="23"/>
      <c r="BA2034" s="23"/>
      <c r="BB2034" s="23"/>
      <c r="BC2034" s="16"/>
      <c r="BD2034" s="23"/>
      <c r="BE2034" s="23"/>
      <c r="BF2034" s="23"/>
      <c r="BG2034" s="16"/>
      <c r="BH2034" s="23"/>
      <c r="BI2034" s="23"/>
      <c r="BJ2034" s="23"/>
      <c r="BN2034" s="23"/>
      <c r="BO2034" s="23"/>
      <c r="BP2034" s="16"/>
      <c r="BQ2034" s="16"/>
      <c r="BR2034" s="23"/>
      <c r="BS2034" s="16"/>
      <c r="BT2034" s="16"/>
      <c r="BU2034" s="16"/>
      <c r="BV2034" s="16"/>
      <c r="BW2034" s="16"/>
      <c r="BX2034" s="16"/>
      <c r="BY2034" s="16"/>
    </row>
    <row r="2035">
      <c r="A2035" s="16"/>
      <c r="B2035" s="16"/>
      <c r="C2035" s="22"/>
      <c r="D2035" s="16"/>
      <c r="E2035" s="16"/>
      <c r="F2035" s="16"/>
      <c r="G2035" s="16"/>
      <c r="H2035" s="16"/>
      <c r="I2035" s="23"/>
      <c r="J2035" s="23"/>
      <c r="K2035" s="16"/>
      <c r="L2035" s="23"/>
      <c r="M2035" s="23"/>
      <c r="N2035" s="23"/>
      <c r="O2035" s="16"/>
      <c r="P2035" s="23"/>
      <c r="Q2035" s="23"/>
      <c r="R2035" s="23"/>
      <c r="S2035" s="16"/>
      <c r="T2035" s="23"/>
      <c r="U2035" s="23"/>
      <c r="V2035" s="23"/>
      <c r="W2035" s="16"/>
      <c r="X2035" s="23"/>
      <c r="Y2035" s="23"/>
      <c r="Z2035" s="23"/>
      <c r="AA2035" s="16"/>
      <c r="AB2035" s="23"/>
      <c r="AC2035" s="23"/>
      <c r="AD2035" s="23"/>
      <c r="AE2035" s="16"/>
      <c r="AF2035" s="23"/>
      <c r="AG2035" s="23"/>
      <c r="AH2035" s="23"/>
      <c r="AI2035" s="16"/>
      <c r="AJ2035" s="23"/>
      <c r="AK2035" s="23"/>
      <c r="AL2035" s="23"/>
      <c r="AM2035" s="16"/>
      <c r="AN2035" s="23"/>
      <c r="AO2035" s="23"/>
      <c r="AP2035" s="23"/>
      <c r="AQ2035" s="16"/>
      <c r="AR2035" s="23"/>
      <c r="AS2035" s="23"/>
      <c r="AT2035" s="23"/>
      <c r="AU2035" s="16"/>
      <c r="AV2035" s="23"/>
      <c r="AW2035" s="23"/>
      <c r="AX2035" s="23"/>
      <c r="AY2035" s="16"/>
      <c r="AZ2035" s="23"/>
      <c r="BA2035" s="23"/>
      <c r="BB2035" s="23"/>
      <c r="BC2035" s="16"/>
      <c r="BD2035" s="23"/>
      <c r="BE2035" s="23"/>
      <c r="BF2035" s="23"/>
      <c r="BG2035" s="16"/>
      <c r="BH2035" s="23"/>
      <c r="BI2035" s="23"/>
      <c r="BJ2035" s="23"/>
      <c r="BN2035" s="23"/>
      <c r="BO2035" s="23"/>
      <c r="BP2035" s="16"/>
      <c r="BQ2035" s="16"/>
      <c r="BR2035" s="23"/>
      <c r="BS2035" s="16"/>
      <c r="BT2035" s="16"/>
      <c r="BU2035" s="16"/>
      <c r="BV2035" s="16"/>
      <c r="BW2035" s="16"/>
      <c r="BX2035" s="16"/>
      <c r="BY2035" s="16"/>
    </row>
    <row r="2036">
      <c r="A2036" s="16"/>
      <c r="B2036" s="16"/>
      <c r="C2036" s="22"/>
      <c r="D2036" s="16"/>
      <c r="E2036" s="16"/>
      <c r="F2036" s="16"/>
      <c r="G2036" s="16"/>
      <c r="H2036" s="16"/>
      <c r="I2036" s="23"/>
      <c r="J2036" s="23"/>
      <c r="K2036" s="16"/>
      <c r="L2036" s="23"/>
      <c r="M2036" s="23"/>
      <c r="N2036" s="23"/>
      <c r="O2036" s="16"/>
      <c r="P2036" s="23"/>
      <c r="Q2036" s="23"/>
      <c r="R2036" s="23"/>
      <c r="S2036" s="16"/>
      <c r="T2036" s="23"/>
      <c r="U2036" s="23"/>
      <c r="V2036" s="23"/>
      <c r="W2036" s="16"/>
      <c r="X2036" s="23"/>
      <c r="Y2036" s="23"/>
      <c r="Z2036" s="23"/>
      <c r="AA2036" s="16"/>
      <c r="AB2036" s="23"/>
      <c r="AC2036" s="23"/>
      <c r="AD2036" s="23"/>
      <c r="AE2036" s="16"/>
      <c r="AF2036" s="23"/>
      <c r="AG2036" s="23"/>
      <c r="AH2036" s="23"/>
      <c r="AI2036" s="16"/>
      <c r="AJ2036" s="23"/>
      <c r="AK2036" s="23"/>
      <c r="AL2036" s="23"/>
      <c r="AM2036" s="16"/>
      <c r="AN2036" s="23"/>
      <c r="AO2036" s="23"/>
      <c r="AP2036" s="23"/>
      <c r="AQ2036" s="16"/>
      <c r="AR2036" s="23"/>
      <c r="AS2036" s="23"/>
      <c r="AT2036" s="23"/>
      <c r="AU2036" s="16"/>
      <c r="AV2036" s="23"/>
      <c r="AW2036" s="23"/>
      <c r="AX2036" s="23"/>
      <c r="AY2036" s="16"/>
      <c r="AZ2036" s="23"/>
      <c r="BA2036" s="23"/>
      <c r="BB2036" s="23"/>
      <c r="BC2036" s="16"/>
      <c r="BD2036" s="23"/>
      <c r="BE2036" s="23"/>
      <c r="BF2036" s="23"/>
      <c r="BG2036" s="16"/>
      <c r="BH2036" s="23"/>
      <c r="BI2036" s="23"/>
      <c r="BJ2036" s="23"/>
      <c r="BN2036" s="23"/>
      <c r="BO2036" s="23"/>
      <c r="BP2036" s="16"/>
      <c r="BQ2036" s="16"/>
      <c r="BR2036" s="23"/>
      <c r="BS2036" s="16"/>
      <c r="BT2036" s="16"/>
      <c r="BU2036" s="16"/>
      <c r="BV2036" s="16"/>
      <c r="BW2036" s="16"/>
      <c r="BX2036" s="16"/>
      <c r="BY2036" s="16"/>
    </row>
    <row r="2037">
      <c r="A2037" s="16"/>
      <c r="B2037" s="16"/>
      <c r="C2037" s="22"/>
      <c r="D2037" s="16"/>
      <c r="E2037" s="16"/>
      <c r="F2037" s="16"/>
      <c r="G2037" s="16"/>
      <c r="H2037" s="16"/>
      <c r="I2037" s="23"/>
      <c r="J2037" s="23"/>
      <c r="K2037" s="16"/>
      <c r="L2037" s="23"/>
      <c r="M2037" s="23"/>
      <c r="N2037" s="23"/>
      <c r="O2037" s="16"/>
      <c r="P2037" s="23"/>
      <c r="Q2037" s="23"/>
      <c r="R2037" s="23"/>
      <c r="S2037" s="16"/>
      <c r="T2037" s="23"/>
      <c r="U2037" s="23"/>
      <c r="V2037" s="23"/>
      <c r="W2037" s="16"/>
      <c r="X2037" s="23"/>
      <c r="Y2037" s="23"/>
      <c r="Z2037" s="23"/>
      <c r="AA2037" s="16"/>
      <c r="AB2037" s="23"/>
      <c r="AC2037" s="23"/>
      <c r="AD2037" s="23"/>
      <c r="AE2037" s="16"/>
      <c r="AF2037" s="23"/>
      <c r="AG2037" s="23"/>
      <c r="AH2037" s="23"/>
      <c r="AI2037" s="16"/>
      <c r="AJ2037" s="23"/>
      <c r="AK2037" s="23"/>
      <c r="AL2037" s="23"/>
      <c r="AM2037" s="16"/>
      <c r="AN2037" s="23"/>
      <c r="AO2037" s="23"/>
      <c r="AP2037" s="23"/>
      <c r="AQ2037" s="16"/>
      <c r="AR2037" s="23"/>
      <c r="AS2037" s="23"/>
      <c r="AT2037" s="23"/>
      <c r="AU2037" s="16"/>
      <c r="AV2037" s="23"/>
      <c r="AW2037" s="23"/>
      <c r="AX2037" s="23"/>
      <c r="AY2037" s="16"/>
      <c r="AZ2037" s="23"/>
      <c r="BA2037" s="23"/>
      <c r="BB2037" s="23"/>
      <c r="BC2037" s="16"/>
      <c r="BD2037" s="23"/>
      <c r="BE2037" s="23"/>
      <c r="BF2037" s="23"/>
      <c r="BG2037" s="16"/>
      <c r="BH2037" s="23"/>
      <c r="BI2037" s="23"/>
      <c r="BJ2037" s="23"/>
      <c r="BN2037" s="23"/>
      <c r="BO2037" s="23"/>
      <c r="BP2037" s="16"/>
      <c r="BQ2037" s="16"/>
      <c r="BR2037" s="23"/>
      <c r="BS2037" s="16"/>
      <c r="BT2037" s="16"/>
      <c r="BU2037" s="16"/>
      <c r="BV2037" s="16"/>
      <c r="BW2037" s="16"/>
      <c r="BX2037" s="16"/>
      <c r="BY2037" s="16"/>
    </row>
    <row r="2038">
      <c r="A2038" s="16"/>
      <c r="B2038" s="16"/>
      <c r="C2038" s="22"/>
      <c r="D2038" s="16"/>
      <c r="E2038" s="16"/>
      <c r="F2038" s="16"/>
      <c r="G2038" s="16"/>
      <c r="H2038" s="16"/>
      <c r="I2038" s="23"/>
      <c r="J2038" s="23"/>
      <c r="K2038" s="16"/>
      <c r="L2038" s="23"/>
      <c r="M2038" s="23"/>
      <c r="N2038" s="23"/>
      <c r="O2038" s="16"/>
      <c r="P2038" s="23"/>
      <c r="Q2038" s="23"/>
      <c r="R2038" s="23"/>
      <c r="S2038" s="16"/>
      <c r="T2038" s="23"/>
      <c r="U2038" s="23"/>
      <c r="V2038" s="23"/>
      <c r="W2038" s="16"/>
      <c r="X2038" s="23"/>
      <c r="Y2038" s="23"/>
      <c r="Z2038" s="23"/>
      <c r="AA2038" s="16"/>
      <c r="AB2038" s="23"/>
      <c r="AC2038" s="23"/>
      <c r="AD2038" s="23"/>
      <c r="AE2038" s="16"/>
      <c r="AF2038" s="23"/>
      <c r="AG2038" s="23"/>
      <c r="AH2038" s="23"/>
      <c r="AI2038" s="16"/>
      <c r="AJ2038" s="23"/>
      <c r="AK2038" s="23"/>
      <c r="AL2038" s="23"/>
      <c r="AM2038" s="16"/>
      <c r="AN2038" s="23"/>
      <c r="AO2038" s="23"/>
      <c r="AP2038" s="23"/>
      <c r="AQ2038" s="16"/>
      <c r="AR2038" s="23"/>
      <c r="AS2038" s="23"/>
      <c r="AT2038" s="23"/>
      <c r="AU2038" s="16"/>
      <c r="AV2038" s="23"/>
      <c r="AW2038" s="23"/>
      <c r="AX2038" s="23"/>
      <c r="AY2038" s="16"/>
      <c r="AZ2038" s="23"/>
      <c r="BA2038" s="23"/>
      <c r="BB2038" s="23"/>
      <c r="BC2038" s="16"/>
      <c r="BD2038" s="23"/>
      <c r="BE2038" s="23"/>
      <c r="BF2038" s="23"/>
      <c r="BG2038" s="16"/>
      <c r="BH2038" s="23"/>
      <c r="BI2038" s="23"/>
      <c r="BJ2038" s="23"/>
      <c r="BN2038" s="23"/>
      <c r="BO2038" s="23"/>
      <c r="BP2038" s="16"/>
      <c r="BQ2038" s="16"/>
      <c r="BR2038" s="23"/>
      <c r="BS2038" s="16"/>
      <c r="BT2038" s="16"/>
      <c r="BU2038" s="16"/>
      <c r="BV2038" s="16"/>
      <c r="BW2038" s="16"/>
      <c r="BX2038" s="16"/>
      <c r="BY2038" s="16"/>
    </row>
    <row r="2039">
      <c r="A2039" s="16"/>
      <c r="B2039" s="16"/>
      <c r="C2039" s="22"/>
      <c r="D2039" s="16"/>
      <c r="E2039" s="16"/>
      <c r="F2039" s="16"/>
      <c r="G2039" s="16"/>
      <c r="H2039" s="16"/>
      <c r="I2039" s="23"/>
      <c r="J2039" s="23"/>
      <c r="K2039" s="16"/>
      <c r="L2039" s="23"/>
      <c r="M2039" s="23"/>
      <c r="N2039" s="23"/>
      <c r="O2039" s="16"/>
      <c r="P2039" s="23"/>
      <c r="Q2039" s="23"/>
      <c r="R2039" s="23"/>
      <c r="S2039" s="16"/>
      <c r="T2039" s="23"/>
      <c r="U2039" s="23"/>
      <c r="V2039" s="23"/>
      <c r="W2039" s="16"/>
      <c r="X2039" s="23"/>
      <c r="Y2039" s="23"/>
      <c r="Z2039" s="23"/>
      <c r="AA2039" s="16"/>
      <c r="AB2039" s="23"/>
      <c r="AC2039" s="23"/>
      <c r="AD2039" s="23"/>
      <c r="AE2039" s="16"/>
      <c r="AF2039" s="23"/>
      <c r="AG2039" s="23"/>
      <c r="AH2039" s="23"/>
      <c r="AI2039" s="16"/>
      <c r="AJ2039" s="23"/>
      <c r="AK2039" s="23"/>
      <c r="AL2039" s="23"/>
      <c r="AM2039" s="16"/>
      <c r="AN2039" s="23"/>
      <c r="AO2039" s="23"/>
      <c r="AP2039" s="23"/>
      <c r="AQ2039" s="16"/>
      <c r="AR2039" s="23"/>
      <c r="AS2039" s="23"/>
      <c r="AT2039" s="23"/>
      <c r="AU2039" s="16"/>
      <c r="AV2039" s="23"/>
      <c r="AW2039" s="23"/>
      <c r="AX2039" s="23"/>
      <c r="AY2039" s="16"/>
      <c r="AZ2039" s="23"/>
      <c r="BA2039" s="23"/>
      <c r="BB2039" s="23"/>
      <c r="BC2039" s="16"/>
      <c r="BD2039" s="23"/>
      <c r="BE2039" s="23"/>
      <c r="BF2039" s="23"/>
      <c r="BG2039" s="16"/>
      <c r="BH2039" s="23"/>
      <c r="BI2039" s="23"/>
      <c r="BJ2039" s="23"/>
      <c r="BN2039" s="23"/>
      <c r="BO2039" s="23"/>
      <c r="BP2039" s="16"/>
      <c r="BQ2039" s="16"/>
      <c r="BR2039" s="23"/>
      <c r="BS2039" s="16"/>
      <c r="BT2039" s="16"/>
      <c r="BU2039" s="16"/>
      <c r="BV2039" s="16"/>
      <c r="BW2039" s="16"/>
      <c r="BX2039" s="16"/>
      <c r="BY2039" s="16"/>
    </row>
    <row r="2040">
      <c r="A2040" s="16"/>
      <c r="B2040" s="16"/>
      <c r="C2040" s="22"/>
      <c r="D2040" s="16"/>
      <c r="E2040" s="16"/>
      <c r="F2040" s="16"/>
      <c r="G2040" s="16"/>
      <c r="H2040" s="16"/>
      <c r="I2040" s="23"/>
      <c r="J2040" s="23"/>
      <c r="K2040" s="16"/>
      <c r="L2040" s="23"/>
      <c r="M2040" s="23"/>
      <c r="N2040" s="23"/>
      <c r="O2040" s="16"/>
      <c r="P2040" s="23"/>
      <c r="Q2040" s="23"/>
      <c r="R2040" s="23"/>
      <c r="S2040" s="16"/>
      <c r="T2040" s="23"/>
      <c r="U2040" s="23"/>
      <c r="V2040" s="23"/>
      <c r="W2040" s="16"/>
      <c r="X2040" s="23"/>
      <c r="Y2040" s="23"/>
      <c r="Z2040" s="23"/>
      <c r="AA2040" s="16"/>
      <c r="AB2040" s="23"/>
      <c r="AC2040" s="23"/>
      <c r="AD2040" s="23"/>
      <c r="AE2040" s="16"/>
      <c r="AF2040" s="23"/>
      <c r="AG2040" s="23"/>
      <c r="AH2040" s="23"/>
      <c r="AI2040" s="16"/>
      <c r="AJ2040" s="23"/>
      <c r="AK2040" s="23"/>
      <c r="AL2040" s="23"/>
      <c r="AM2040" s="16"/>
      <c r="AN2040" s="23"/>
      <c r="AO2040" s="23"/>
      <c r="AP2040" s="23"/>
      <c r="AQ2040" s="16"/>
      <c r="AR2040" s="23"/>
      <c r="AS2040" s="23"/>
      <c r="AT2040" s="23"/>
      <c r="AU2040" s="16"/>
      <c r="AV2040" s="23"/>
      <c r="AW2040" s="23"/>
      <c r="AX2040" s="23"/>
      <c r="AY2040" s="16"/>
      <c r="AZ2040" s="23"/>
      <c r="BA2040" s="23"/>
      <c r="BB2040" s="23"/>
      <c r="BC2040" s="16"/>
      <c r="BD2040" s="23"/>
      <c r="BE2040" s="23"/>
      <c r="BF2040" s="23"/>
      <c r="BG2040" s="16"/>
      <c r="BH2040" s="23"/>
      <c r="BI2040" s="23"/>
      <c r="BJ2040" s="23"/>
      <c r="BN2040" s="23"/>
      <c r="BO2040" s="23"/>
      <c r="BP2040" s="16"/>
      <c r="BQ2040" s="16"/>
      <c r="BR2040" s="23"/>
      <c r="BS2040" s="16"/>
      <c r="BT2040" s="16"/>
      <c r="BU2040" s="16"/>
      <c r="BV2040" s="16"/>
      <c r="BW2040" s="16"/>
      <c r="BX2040" s="16"/>
      <c r="BY2040" s="16"/>
    </row>
    <row r="2041">
      <c r="A2041" s="16"/>
      <c r="B2041" s="16"/>
      <c r="C2041" s="22"/>
      <c r="D2041" s="16"/>
      <c r="E2041" s="16"/>
      <c r="F2041" s="16"/>
      <c r="G2041" s="16"/>
      <c r="H2041" s="16"/>
      <c r="I2041" s="23"/>
      <c r="J2041" s="23"/>
      <c r="K2041" s="16"/>
      <c r="L2041" s="23"/>
      <c r="M2041" s="23"/>
      <c r="N2041" s="23"/>
      <c r="O2041" s="16"/>
      <c r="P2041" s="23"/>
      <c r="Q2041" s="23"/>
      <c r="R2041" s="23"/>
      <c r="S2041" s="16"/>
      <c r="T2041" s="23"/>
      <c r="U2041" s="23"/>
      <c r="V2041" s="23"/>
      <c r="W2041" s="16"/>
      <c r="X2041" s="23"/>
      <c r="Y2041" s="23"/>
      <c r="Z2041" s="23"/>
      <c r="AA2041" s="16"/>
      <c r="AB2041" s="23"/>
      <c r="AC2041" s="23"/>
      <c r="AD2041" s="23"/>
      <c r="AE2041" s="16"/>
      <c r="AF2041" s="23"/>
      <c r="AG2041" s="23"/>
      <c r="AH2041" s="23"/>
      <c r="AI2041" s="16"/>
      <c r="AJ2041" s="23"/>
      <c r="AK2041" s="23"/>
      <c r="AL2041" s="23"/>
      <c r="AM2041" s="16"/>
      <c r="AN2041" s="23"/>
      <c r="AO2041" s="23"/>
      <c r="AP2041" s="23"/>
      <c r="AQ2041" s="16"/>
      <c r="AR2041" s="23"/>
      <c r="AS2041" s="23"/>
      <c r="AT2041" s="23"/>
      <c r="AU2041" s="16"/>
      <c r="AV2041" s="23"/>
      <c r="AW2041" s="23"/>
      <c r="AX2041" s="23"/>
      <c r="AY2041" s="16"/>
      <c r="AZ2041" s="23"/>
      <c r="BA2041" s="23"/>
      <c r="BB2041" s="23"/>
      <c r="BC2041" s="16"/>
      <c r="BD2041" s="23"/>
      <c r="BE2041" s="23"/>
      <c r="BF2041" s="23"/>
      <c r="BG2041" s="16"/>
      <c r="BH2041" s="23"/>
      <c r="BI2041" s="23"/>
      <c r="BJ2041" s="23"/>
      <c r="BN2041" s="23"/>
      <c r="BO2041" s="23"/>
      <c r="BP2041" s="16"/>
      <c r="BQ2041" s="16"/>
      <c r="BR2041" s="23"/>
      <c r="BS2041" s="16"/>
      <c r="BT2041" s="16"/>
      <c r="BU2041" s="16"/>
      <c r="BV2041" s="16"/>
      <c r="BW2041" s="16"/>
      <c r="BX2041" s="16"/>
      <c r="BY2041" s="16"/>
    </row>
    <row r="2042">
      <c r="A2042" s="16"/>
      <c r="B2042" s="16"/>
      <c r="C2042" s="22"/>
      <c r="D2042" s="16"/>
      <c r="E2042" s="16"/>
      <c r="F2042" s="16"/>
      <c r="G2042" s="16"/>
      <c r="H2042" s="16"/>
      <c r="I2042" s="23"/>
      <c r="J2042" s="23"/>
      <c r="K2042" s="16"/>
      <c r="L2042" s="23"/>
      <c r="M2042" s="23"/>
      <c r="N2042" s="23"/>
      <c r="O2042" s="16"/>
      <c r="P2042" s="23"/>
      <c r="Q2042" s="23"/>
      <c r="R2042" s="23"/>
      <c r="S2042" s="16"/>
      <c r="T2042" s="23"/>
      <c r="U2042" s="23"/>
      <c r="V2042" s="23"/>
      <c r="W2042" s="16"/>
      <c r="X2042" s="23"/>
      <c r="Y2042" s="23"/>
      <c r="Z2042" s="23"/>
      <c r="AA2042" s="16"/>
      <c r="AB2042" s="23"/>
      <c r="AC2042" s="23"/>
      <c r="AD2042" s="23"/>
      <c r="AE2042" s="16"/>
      <c r="AF2042" s="23"/>
      <c r="AG2042" s="23"/>
      <c r="AH2042" s="23"/>
      <c r="AI2042" s="16"/>
      <c r="AJ2042" s="23"/>
      <c r="AK2042" s="23"/>
      <c r="AL2042" s="23"/>
      <c r="AM2042" s="16"/>
      <c r="AN2042" s="23"/>
      <c r="AO2042" s="23"/>
      <c r="AP2042" s="23"/>
      <c r="AQ2042" s="16"/>
      <c r="AR2042" s="23"/>
      <c r="AS2042" s="23"/>
      <c r="AT2042" s="23"/>
      <c r="AU2042" s="16"/>
      <c r="AV2042" s="23"/>
      <c r="AW2042" s="23"/>
      <c r="AX2042" s="23"/>
      <c r="AY2042" s="16"/>
      <c r="AZ2042" s="23"/>
      <c r="BA2042" s="23"/>
      <c r="BB2042" s="23"/>
      <c r="BC2042" s="16"/>
      <c r="BD2042" s="23"/>
      <c r="BE2042" s="23"/>
      <c r="BF2042" s="23"/>
      <c r="BG2042" s="16"/>
      <c r="BH2042" s="23"/>
      <c r="BI2042" s="23"/>
      <c r="BJ2042" s="23"/>
      <c r="BN2042" s="23"/>
      <c r="BO2042" s="23"/>
      <c r="BP2042" s="16"/>
      <c r="BQ2042" s="16"/>
      <c r="BR2042" s="23"/>
      <c r="BS2042" s="16"/>
      <c r="BT2042" s="16"/>
      <c r="BU2042" s="16"/>
      <c r="BV2042" s="16"/>
      <c r="BW2042" s="16"/>
      <c r="BX2042" s="16"/>
      <c r="BY2042" s="16"/>
    </row>
    <row r="2043">
      <c r="A2043" s="16"/>
      <c r="B2043" s="16"/>
      <c r="C2043" s="22"/>
      <c r="D2043" s="16"/>
      <c r="E2043" s="16"/>
      <c r="F2043" s="16"/>
      <c r="G2043" s="16"/>
      <c r="H2043" s="16"/>
      <c r="I2043" s="23"/>
      <c r="J2043" s="23"/>
      <c r="K2043" s="16"/>
      <c r="L2043" s="23"/>
      <c r="M2043" s="23"/>
      <c r="N2043" s="23"/>
      <c r="O2043" s="16"/>
      <c r="P2043" s="23"/>
      <c r="Q2043" s="23"/>
      <c r="R2043" s="23"/>
      <c r="S2043" s="16"/>
      <c r="T2043" s="23"/>
      <c r="U2043" s="23"/>
      <c r="V2043" s="23"/>
      <c r="W2043" s="16"/>
      <c r="X2043" s="23"/>
      <c r="Y2043" s="23"/>
      <c r="Z2043" s="23"/>
      <c r="AA2043" s="16"/>
      <c r="AB2043" s="23"/>
      <c r="AC2043" s="23"/>
      <c r="AD2043" s="23"/>
      <c r="AE2043" s="16"/>
      <c r="AF2043" s="23"/>
      <c r="AG2043" s="23"/>
      <c r="AH2043" s="23"/>
      <c r="AI2043" s="16"/>
      <c r="AJ2043" s="23"/>
      <c r="AK2043" s="23"/>
      <c r="AL2043" s="23"/>
      <c r="AM2043" s="16"/>
      <c r="AN2043" s="23"/>
      <c r="AO2043" s="23"/>
      <c r="AP2043" s="23"/>
      <c r="AQ2043" s="16"/>
      <c r="AR2043" s="23"/>
      <c r="AS2043" s="23"/>
      <c r="AT2043" s="23"/>
      <c r="AU2043" s="16"/>
      <c r="AV2043" s="23"/>
      <c r="AW2043" s="23"/>
      <c r="AX2043" s="23"/>
      <c r="AY2043" s="16"/>
      <c r="AZ2043" s="23"/>
      <c r="BA2043" s="23"/>
      <c r="BB2043" s="23"/>
      <c r="BC2043" s="16"/>
      <c r="BD2043" s="23"/>
      <c r="BE2043" s="23"/>
      <c r="BF2043" s="23"/>
      <c r="BG2043" s="16"/>
      <c r="BH2043" s="23"/>
      <c r="BI2043" s="23"/>
      <c r="BJ2043" s="23"/>
      <c r="BN2043" s="23"/>
      <c r="BO2043" s="23"/>
      <c r="BP2043" s="16"/>
      <c r="BQ2043" s="16"/>
      <c r="BR2043" s="23"/>
      <c r="BS2043" s="16"/>
      <c r="BT2043" s="16"/>
      <c r="BU2043" s="16"/>
      <c r="BV2043" s="16"/>
      <c r="BW2043" s="16"/>
      <c r="BX2043" s="16"/>
      <c r="BY2043" s="16"/>
    </row>
    <row r="2044">
      <c r="A2044" s="16"/>
      <c r="B2044" s="16"/>
      <c r="C2044" s="22"/>
      <c r="D2044" s="16"/>
      <c r="E2044" s="16"/>
      <c r="F2044" s="16"/>
      <c r="G2044" s="16"/>
      <c r="H2044" s="16"/>
      <c r="I2044" s="23"/>
      <c r="J2044" s="23"/>
      <c r="K2044" s="16"/>
      <c r="L2044" s="23"/>
      <c r="M2044" s="23"/>
      <c r="N2044" s="23"/>
      <c r="O2044" s="16"/>
      <c r="P2044" s="23"/>
      <c r="Q2044" s="23"/>
      <c r="R2044" s="23"/>
      <c r="S2044" s="16"/>
      <c r="T2044" s="23"/>
      <c r="U2044" s="23"/>
      <c r="V2044" s="23"/>
      <c r="W2044" s="16"/>
      <c r="X2044" s="23"/>
      <c r="Y2044" s="23"/>
      <c r="Z2044" s="23"/>
      <c r="AA2044" s="16"/>
      <c r="AB2044" s="23"/>
      <c r="AC2044" s="23"/>
      <c r="AD2044" s="23"/>
      <c r="AE2044" s="16"/>
      <c r="AF2044" s="23"/>
      <c r="AG2044" s="23"/>
      <c r="AH2044" s="23"/>
      <c r="AI2044" s="16"/>
      <c r="AJ2044" s="23"/>
      <c r="AK2044" s="23"/>
      <c r="AL2044" s="23"/>
      <c r="AM2044" s="16"/>
      <c r="AN2044" s="23"/>
      <c r="AO2044" s="23"/>
      <c r="AP2044" s="23"/>
      <c r="AQ2044" s="16"/>
      <c r="AR2044" s="23"/>
      <c r="AS2044" s="23"/>
      <c r="AT2044" s="23"/>
      <c r="AU2044" s="16"/>
      <c r="AV2044" s="23"/>
      <c r="AW2044" s="23"/>
      <c r="AX2044" s="23"/>
      <c r="AY2044" s="16"/>
      <c r="AZ2044" s="23"/>
      <c r="BA2044" s="23"/>
      <c r="BB2044" s="23"/>
      <c r="BC2044" s="16"/>
      <c r="BD2044" s="23"/>
      <c r="BE2044" s="23"/>
      <c r="BF2044" s="23"/>
      <c r="BG2044" s="16"/>
      <c r="BH2044" s="23"/>
      <c r="BI2044" s="23"/>
      <c r="BJ2044" s="23"/>
      <c r="BN2044" s="23"/>
      <c r="BO2044" s="23"/>
      <c r="BP2044" s="16"/>
      <c r="BQ2044" s="16"/>
      <c r="BR2044" s="23"/>
      <c r="BS2044" s="16"/>
      <c r="BT2044" s="16"/>
      <c r="BU2044" s="16"/>
      <c r="BV2044" s="16"/>
      <c r="BW2044" s="16"/>
      <c r="BX2044" s="16"/>
      <c r="BY2044" s="16"/>
    </row>
    <row r="2045">
      <c r="A2045" s="16"/>
      <c r="B2045" s="16"/>
      <c r="C2045" s="22"/>
      <c r="D2045" s="16"/>
      <c r="E2045" s="16"/>
      <c r="F2045" s="16"/>
      <c r="G2045" s="16"/>
      <c r="H2045" s="16"/>
      <c r="I2045" s="23"/>
      <c r="J2045" s="23"/>
      <c r="K2045" s="16"/>
      <c r="L2045" s="23"/>
      <c r="M2045" s="23"/>
      <c r="N2045" s="23"/>
      <c r="O2045" s="16"/>
      <c r="P2045" s="23"/>
      <c r="Q2045" s="23"/>
      <c r="R2045" s="23"/>
      <c r="S2045" s="16"/>
      <c r="T2045" s="23"/>
      <c r="U2045" s="23"/>
      <c r="V2045" s="23"/>
      <c r="W2045" s="16"/>
      <c r="X2045" s="23"/>
      <c r="Y2045" s="23"/>
      <c r="Z2045" s="23"/>
      <c r="AA2045" s="16"/>
      <c r="AB2045" s="23"/>
      <c r="AC2045" s="23"/>
      <c r="AD2045" s="23"/>
      <c r="AE2045" s="16"/>
      <c r="AF2045" s="23"/>
      <c r="AG2045" s="23"/>
      <c r="AH2045" s="23"/>
      <c r="AI2045" s="16"/>
      <c r="AJ2045" s="23"/>
      <c r="AK2045" s="23"/>
      <c r="AL2045" s="23"/>
      <c r="AM2045" s="16"/>
      <c r="AN2045" s="23"/>
      <c r="AO2045" s="23"/>
      <c r="AP2045" s="23"/>
      <c r="AQ2045" s="16"/>
      <c r="AR2045" s="23"/>
      <c r="AS2045" s="23"/>
      <c r="AT2045" s="23"/>
      <c r="AU2045" s="16"/>
      <c r="AV2045" s="23"/>
      <c r="AW2045" s="23"/>
      <c r="AX2045" s="23"/>
      <c r="AY2045" s="16"/>
      <c r="AZ2045" s="23"/>
      <c r="BA2045" s="23"/>
      <c r="BB2045" s="23"/>
      <c r="BC2045" s="16"/>
      <c r="BD2045" s="23"/>
      <c r="BE2045" s="23"/>
      <c r="BF2045" s="23"/>
      <c r="BG2045" s="16"/>
      <c r="BH2045" s="23"/>
      <c r="BI2045" s="23"/>
      <c r="BJ2045" s="23"/>
      <c r="BN2045" s="23"/>
      <c r="BO2045" s="23"/>
      <c r="BP2045" s="16"/>
      <c r="BQ2045" s="16"/>
      <c r="BR2045" s="23"/>
      <c r="BS2045" s="16"/>
      <c r="BT2045" s="16"/>
      <c r="BU2045" s="16"/>
      <c r="BV2045" s="16"/>
      <c r="BW2045" s="16"/>
      <c r="BX2045" s="16"/>
      <c r="BY2045" s="16"/>
    </row>
    <row r="2046">
      <c r="A2046" s="16"/>
      <c r="B2046" s="16"/>
      <c r="C2046" s="22"/>
      <c r="D2046" s="16"/>
      <c r="E2046" s="16"/>
      <c r="F2046" s="16"/>
      <c r="G2046" s="16"/>
      <c r="H2046" s="16"/>
      <c r="I2046" s="23"/>
      <c r="J2046" s="23"/>
      <c r="K2046" s="16"/>
      <c r="L2046" s="23"/>
      <c r="M2046" s="23"/>
      <c r="N2046" s="23"/>
      <c r="O2046" s="16"/>
      <c r="P2046" s="23"/>
      <c r="Q2046" s="23"/>
      <c r="R2046" s="23"/>
      <c r="S2046" s="16"/>
      <c r="T2046" s="23"/>
      <c r="U2046" s="23"/>
      <c r="V2046" s="23"/>
      <c r="W2046" s="16"/>
      <c r="X2046" s="23"/>
      <c r="Y2046" s="23"/>
      <c r="Z2046" s="23"/>
      <c r="AA2046" s="16"/>
      <c r="AB2046" s="23"/>
      <c r="AC2046" s="23"/>
      <c r="AD2046" s="23"/>
      <c r="AE2046" s="16"/>
      <c r="AF2046" s="23"/>
      <c r="AG2046" s="23"/>
      <c r="AH2046" s="23"/>
      <c r="AI2046" s="16"/>
      <c r="AJ2046" s="23"/>
      <c r="AK2046" s="23"/>
      <c r="AL2046" s="23"/>
      <c r="AM2046" s="16"/>
      <c r="AN2046" s="23"/>
      <c r="AO2046" s="23"/>
      <c r="AP2046" s="23"/>
      <c r="AQ2046" s="16"/>
      <c r="AR2046" s="23"/>
      <c r="AS2046" s="23"/>
      <c r="AT2046" s="23"/>
      <c r="AU2046" s="16"/>
      <c r="AV2046" s="23"/>
      <c r="AW2046" s="23"/>
      <c r="AX2046" s="23"/>
      <c r="AY2046" s="16"/>
      <c r="AZ2046" s="23"/>
      <c r="BA2046" s="23"/>
      <c r="BB2046" s="23"/>
      <c r="BC2046" s="16"/>
      <c r="BD2046" s="23"/>
      <c r="BE2046" s="23"/>
      <c r="BF2046" s="23"/>
      <c r="BG2046" s="16"/>
      <c r="BH2046" s="23"/>
      <c r="BI2046" s="23"/>
      <c r="BJ2046" s="23"/>
      <c r="BN2046" s="23"/>
      <c r="BO2046" s="23"/>
      <c r="BP2046" s="16"/>
      <c r="BQ2046" s="16"/>
      <c r="BR2046" s="23"/>
      <c r="BS2046" s="16"/>
      <c r="BT2046" s="16"/>
      <c r="BU2046" s="16"/>
      <c r="BV2046" s="16"/>
      <c r="BW2046" s="16"/>
      <c r="BX2046" s="16"/>
      <c r="BY2046" s="16"/>
    </row>
    <row r="2047">
      <c r="A2047" s="16"/>
      <c r="B2047" s="16"/>
      <c r="C2047" s="22"/>
      <c r="D2047" s="16"/>
      <c r="E2047" s="16"/>
      <c r="F2047" s="16"/>
      <c r="G2047" s="16"/>
      <c r="H2047" s="16"/>
      <c r="I2047" s="23"/>
      <c r="J2047" s="23"/>
      <c r="K2047" s="16"/>
      <c r="L2047" s="23"/>
      <c r="M2047" s="23"/>
      <c r="N2047" s="23"/>
      <c r="O2047" s="16"/>
      <c r="P2047" s="23"/>
      <c r="Q2047" s="23"/>
      <c r="R2047" s="23"/>
      <c r="S2047" s="16"/>
      <c r="T2047" s="23"/>
      <c r="U2047" s="23"/>
      <c r="V2047" s="23"/>
      <c r="W2047" s="16"/>
      <c r="X2047" s="23"/>
      <c r="Y2047" s="23"/>
      <c r="Z2047" s="23"/>
      <c r="AA2047" s="16"/>
      <c r="AB2047" s="23"/>
      <c r="AC2047" s="23"/>
      <c r="AD2047" s="23"/>
      <c r="AE2047" s="16"/>
      <c r="AF2047" s="23"/>
      <c r="AG2047" s="23"/>
      <c r="AH2047" s="23"/>
      <c r="AI2047" s="16"/>
      <c r="AJ2047" s="23"/>
      <c r="AK2047" s="23"/>
      <c r="AL2047" s="23"/>
      <c r="AM2047" s="16"/>
      <c r="AN2047" s="23"/>
      <c r="AO2047" s="23"/>
      <c r="AP2047" s="23"/>
      <c r="AQ2047" s="16"/>
      <c r="AR2047" s="23"/>
      <c r="AS2047" s="23"/>
      <c r="AT2047" s="23"/>
      <c r="AU2047" s="16"/>
      <c r="AV2047" s="23"/>
      <c r="AW2047" s="23"/>
      <c r="AX2047" s="23"/>
      <c r="AY2047" s="16"/>
      <c r="AZ2047" s="23"/>
      <c r="BA2047" s="23"/>
      <c r="BB2047" s="23"/>
      <c r="BC2047" s="16"/>
      <c r="BD2047" s="23"/>
      <c r="BE2047" s="23"/>
      <c r="BF2047" s="23"/>
      <c r="BG2047" s="16"/>
      <c r="BH2047" s="23"/>
      <c r="BI2047" s="23"/>
      <c r="BJ2047" s="23"/>
      <c r="BN2047" s="23"/>
      <c r="BO2047" s="23"/>
      <c r="BP2047" s="16"/>
      <c r="BQ2047" s="16"/>
      <c r="BR2047" s="23"/>
      <c r="BS2047" s="16"/>
      <c r="BT2047" s="16"/>
      <c r="BU2047" s="16"/>
      <c r="BV2047" s="16"/>
      <c r="BW2047" s="16"/>
      <c r="BX2047" s="16"/>
      <c r="BY2047" s="16"/>
    </row>
    <row r="2048">
      <c r="A2048" s="16"/>
      <c r="B2048" s="16"/>
      <c r="C2048" s="22"/>
      <c r="D2048" s="16"/>
      <c r="E2048" s="16"/>
      <c r="F2048" s="16"/>
      <c r="G2048" s="16"/>
      <c r="H2048" s="16"/>
      <c r="I2048" s="23"/>
      <c r="J2048" s="23"/>
      <c r="K2048" s="16"/>
      <c r="L2048" s="23"/>
      <c r="M2048" s="23"/>
      <c r="N2048" s="23"/>
      <c r="O2048" s="16"/>
      <c r="P2048" s="23"/>
      <c r="Q2048" s="23"/>
      <c r="R2048" s="23"/>
      <c r="S2048" s="16"/>
      <c r="T2048" s="23"/>
      <c r="U2048" s="23"/>
      <c r="V2048" s="23"/>
      <c r="W2048" s="16"/>
      <c r="X2048" s="23"/>
      <c r="Y2048" s="23"/>
      <c r="Z2048" s="23"/>
      <c r="AA2048" s="16"/>
      <c r="AB2048" s="23"/>
      <c r="AC2048" s="23"/>
      <c r="AD2048" s="23"/>
      <c r="AE2048" s="16"/>
      <c r="AF2048" s="23"/>
      <c r="AG2048" s="23"/>
      <c r="AH2048" s="23"/>
      <c r="AI2048" s="16"/>
      <c r="AJ2048" s="23"/>
      <c r="AK2048" s="23"/>
      <c r="AL2048" s="23"/>
      <c r="AM2048" s="16"/>
      <c r="AN2048" s="23"/>
      <c r="AO2048" s="23"/>
      <c r="AP2048" s="23"/>
      <c r="AQ2048" s="16"/>
      <c r="AR2048" s="23"/>
      <c r="AS2048" s="23"/>
      <c r="AT2048" s="23"/>
      <c r="AU2048" s="16"/>
      <c r="AV2048" s="23"/>
      <c r="AW2048" s="23"/>
      <c r="AX2048" s="23"/>
      <c r="AY2048" s="16"/>
      <c r="AZ2048" s="23"/>
      <c r="BA2048" s="23"/>
      <c r="BB2048" s="23"/>
      <c r="BC2048" s="16"/>
      <c r="BD2048" s="23"/>
      <c r="BE2048" s="23"/>
      <c r="BF2048" s="23"/>
      <c r="BG2048" s="16"/>
      <c r="BH2048" s="23"/>
      <c r="BI2048" s="23"/>
      <c r="BJ2048" s="23"/>
      <c r="BN2048" s="23"/>
      <c r="BO2048" s="23"/>
      <c r="BP2048" s="16"/>
      <c r="BQ2048" s="16"/>
      <c r="BR2048" s="23"/>
      <c r="BS2048" s="16"/>
      <c r="BT2048" s="16"/>
      <c r="BU2048" s="16"/>
      <c r="BV2048" s="16"/>
      <c r="BW2048" s="16"/>
      <c r="BX2048" s="16"/>
      <c r="BY2048" s="16"/>
    </row>
    <row r="2049">
      <c r="A2049" s="16"/>
      <c r="B2049" s="16"/>
      <c r="C2049" s="22"/>
      <c r="D2049" s="16"/>
      <c r="E2049" s="16"/>
      <c r="F2049" s="16"/>
      <c r="G2049" s="16"/>
      <c r="H2049" s="16"/>
      <c r="I2049" s="23"/>
      <c r="J2049" s="23"/>
      <c r="K2049" s="16"/>
      <c r="L2049" s="23"/>
      <c r="M2049" s="23"/>
      <c r="N2049" s="23"/>
      <c r="O2049" s="16"/>
      <c r="P2049" s="23"/>
      <c r="Q2049" s="23"/>
      <c r="R2049" s="23"/>
      <c r="S2049" s="16"/>
      <c r="T2049" s="23"/>
      <c r="U2049" s="23"/>
      <c r="V2049" s="23"/>
      <c r="W2049" s="16"/>
      <c r="X2049" s="23"/>
      <c r="Y2049" s="23"/>
      <c r="Z2049" s="23"/>
      <c r="AA2049" s="16"/>
      <c r="AB2049" s="23"/>
      <c r="AC2049" s="23"/>
      <c r="AD2049" s="23"/>
      <c r="AE2049" s="16"/>
      <c r="AF2049" s="23"/>
      <c r="AG2049" s="23"/>
      <c r="AH2049" s="23"/>
      <c r="AI2049" s="16"/>
      <c r="AJ2049" s="23"/>
      <c r="AK2049" s="23"/>
      <c r="AL2049" s="23"/>
      <c r="AM2049" s="16"/>
      <c r="AN2049" s="23"/>
      <c r="AO2049" s="23"/>
      <c r="AP2049" s="23"/>
      <c r="AQ2049" s="16"/>
      <c r="AR2049" s="23"/>
      <c r="AS2049" s="23"/>
      <c r="AT2049" s="23"/>
      <c r="AU2049" s="16"/>
      <c r="AV2049" s="23"/>
      <c r="AW2049" s="23"/>
      <c r="AX2049" s="23"/>
      <c r="AY2049" s="16"/>
      <c r="AZ2049" s="23"/>
      <c r="BA2049" s="23"/>
      <c r="BB2049" s="23"/>
      <c r="BC2049" s="16"/>
      <c r="BD2049" s="23"/>
      <c r="BE2049" s="23"/>
      <c r="BF2049" s="23"/>
      <c r="BG2049" s="16"/>
      <c r="BH2049" s="23"/>
      <c r="BI2049" s="23"/>
      <c r="BJ2049" s="23"/>
      <c r="BN2049" s="23"/>
      <c r="BO2049" s="23"/>
      <c r="BP2049" s="16"/>
      <c r="BQ2049" s="16"/>
      <c r="BR2049" s="23"/>
      <c r="BS2049" s="16"/>
      <c r="BT2049" s="16"/>
      <c r="BU2049" s="16"/>
      <c r="BV2049" s="16"/>
      <c r="BW2049" s="16"/>
      <c r="BX2049" s="16"/>
      <c r="BY2049" s="16"/>
    </row>
    <row r="2050">
      <c r="A2050" s="16"/>
      <c r="B2050" s="16"/>
      <c r="C2050" s="22"/>
      <c r="D2050" s="16"/>
      <c r="E2050" s="16"/>
      <c r="F2050" s="16"/>
      <c r="G2050" s="16"/>
      <c r="H2050" s="16"/>
      <c r="I2050" s="23"/>
      <c r="J2050" s="23"/>
      <c r="K2050" s="16"/>
      <c r="L2050" s="23"/>
      <c r="M2050" s="23"/>
      <c r="N2050" s="23"/>
      <c r="O2050" s="16"/>
      <c r="P2050" s="23"/>
      <c r="Q2050" s="23"/>
      <c r="R2050" s="23"/>
      <c r="S2050" s="16"/>
      <c r="T2050" s="23"/>
      <c r="U2050" s="23"/>
      <c r="V2050" s="23"/>
      <c r="W2050" s="16"/>
      <c r="X2050" s="23"/>
      <c r="Y2050" s="23"/>
      <c r="Z2050" s="23"/>
      <c r="AA2050" s="16"/>
      <c r="AB2050" s="23"/>
      <c r="AC2050" s="23"/>
      <c r="AD2050" s="23"/>
      <c r="AE2050" s="16"/>
      <c r="AF2050" s="23"/>
      <c r="AG2050" s="23"/>
      <c r="AH2050" s="23"/>
      <c r="AI2050" s="16"/>
      <c r="AJ2050" s="23"/>
      <c r="AK2050" s="23"/>
      <c r="AL2050" s="23"/>
      <c r="AM2050" s="16"/>
      <c r="AN2050" s="23"/>
      <c r="AO2050" s="23"/>
      <c r="AP2050" s="23"/>
      <c r="AQ2050" s="16"/>
      <c r="AR2050" s="23"/>
      <c r="AS2050" s="23"/>
      <c r="AT2050" s="23"/>
      <c r="AU2050" s="16"/>
      <c r="AV2050" s="23"/>
      <c r="AW2050" s="23"/>
      <c r="AX2050" s="23"/>
      <c r="AY2050" s="16"/>
      <c r="AZ2050" s="23"/>
      <c r="BA2050" s="23"/>
      <c r="BB2050" s="23"/>
      <c r="BC2050" s="16"/>
      <c r="BD2050" s="23"/>
      <c r="BE2050" s="23"/>
      <c r="BF2050" s="23"/>
      <c r="BG2050" s="16"/>
      <c r="BH2050" s="23"/>
      <c r="BI2050" s="23"/>
      <c r="BJ2050" s="23"/>
      <c r="BN2050" s="23"/>
      <c r="BO2050" s="23"/>
      <c r="BP2050" s="16"/>
      <c r="BQ2050" s="16"/>
      <c r="BR2050" s="23"/>
      <c r="BS2050" s="16"/>
      <c r="BT2050" s="16"/>
      <c r="BU2050" s="16"/>
      <c r="BV2050" s="16"/>
      <c r="BW2050" s="16"/>
      <c r="BX2050" s="16"/>
      <c r="BY2050" s="16"/>
    </row>
    <row r="2051">
      <c r="A2051" s="16"/>
      <c r="B2051" s="16"/>
      <c r="C2051" s="22"/>
      <c r="D2051" s="16"/>
      <c r="E2051" s="16"/>
      <c r="F2051" s="16"/>
      <c r="G2051" s="16"/>
      <c r="H2051" s="16"/>
      <c r="I2051" s="23"/>
      <c r="J2051" s="23"/>
      <c r="K2051" s="16"/>
      <c r="L2051" s="23"/>
      <c r="M2051" s="23"/>
      <c r="N2051" s="23"/>
      <c r="O2051" s="16"/>
      <c r="P2051" s="23"/>
      <c r="Q2051" s="23"/>
      <c r="R2051" s="23"/>
      <c r="S2051" s="16"/>
      <c r="T2051" s="23"/>
      <c r="U2051" s="23"/>
      <c r="V2051" s="23"/>
      <c r="W2051" s="16"/>
      <c r="X2051" s="23"/>
      <c r="Y2051" s="23"/>
      <c r="Z2051" s="23"/>
      <c r="AA2051" s="16"/>
      <c r="AB2051" s="23"/>
      <c r="AC2051" s="23"/>
      <c r="AD2051" s="23"/>
      <c r="AE2051" s="16"/>
      <c r="AF2051" s="23"/>
      <c r="AG2051" s="23"/>
      <c r="AH2051" s="23"/>
      <c r="AI2051" s="16"/>
      <c r="AJ2051" s="23"/>
      <c r="AK2051" s="23"/>
      <c r="AL2051" s="23"/>
      <c r="AM2051" s="16"/>
      <c r="AN2051" s="23"/>
      <c r="AO2051" s="23"/>
      <c r="AP2051" s="23"/>
      <c r="AQ2051" s="16"/>
      <c r="AR2051" s="23"/>
      <c r="AS2051" s="23"/>
      <c r="AT2051" s="23"/>
      <c r="AU2051" s="16"/>
      <c r="AV2051" s="23"/>
      <c r="AW2051" s="23"/>
      <c r="AX2051" s="23"/>
      <c r="AY2051" s="16"/>
      <c r="AZ2051" s="23"/>
      <c r="BA2051" s="23"/>
      <c r="BB2051" s="23"/>
      <c r="BC2051" s="16"/>
      <c r="BD2051" s="23"/>
      <c r="BE2051" s="23"/>
      <c r="BF2051" s="23"/>
      <c r="BG2051" s="16"/>
      <c r="BH2051" s="23"/>
      <c r="BI2051" s="23"/>
      <c r="BJ2051" s="23"/>
      <c r="BN2051" s="23"/>
      <c r="BO2051" s="23"/>
      <c r="BP2051" s="16"/>
      <c r="BQ2051" s="16"/>
      <c r="BR2051" s="23"/>
      <c r="BS2051" s="16"/>
      <c r="BT2051" s="16"/>
      <c r="BU2051" s="16"/>
      <c r="BV2051" s="16"/>
      <c r="BW2051" s="16"/>
      <c r="BX2051" s="16"/>
      <c r="BY2051" s="16"/>
    </row>
    <row r="2052">
      <c r="A2052" s="16"/>
      <c r="B2052" s="16"/>
      <c r="C2052" s="22"/>
      <c r="D2052" s="16"/>
      <c r="E2052" s="16"/>
      <c r="F2052" s="16"/>
      <c r="G2052" s="16"/>
      <c r="H2052" s="16"/>
      <c r="I2052" s="23"/>
      <c r="J2052" s="23"/>
      <c r="K2052" s="16"/>
      <c r="L2052" s="23"/>
      <c r="M2052" s="23"/>
      <c r="N2052" s="23"/>
      <c r="O2052" s="16"/>
      <c r="P2052" s="23"/>
      <c r="Q2052" s="23"/>
      <c r="R2052" s="23"/>
      <c r="S2052" s="16"/>
      <c r="T2052" s="23"/>
      <c r="U2052" s="23"/>
      <c r="V2052" s="23"/>
      <c r="W2052" s="16"/>
      <c r="X2052" s="23"/>
      <c r="Y2052" s="23"/>
      <c r="Z2052" s="23"/>
      <c r="AA2052" s="16"/>
      <c r="AB2052" s="23"/>
      <c r="AC2052" s="23"/>
      <c r="AD2052" s="23"/>
      <c r="AE2052" s="16"/>
      <c r="AF2052" s="23"/>
      <c r="AG2052" s="23"/>
      <c r="AH2052" s="23"/>
      <c r="AI2052" s="16"/>
      <c r="AJ2052" s="23"/>
      <c r="AK2052" s="23"/>
      <c r="AL2052" s="23"/>
      <c r="AM2052" s="16"/>
      <c r="AN2052" s="23"/>
      <c r="AO2052" s="23"/>
      <c r="AP2052" s="23"/>
      <c r="AQ2052" s="16"/>
      <c r="AR2052" s="23"/>
      <c r="AS2052" s="23"/>
      <c r="AT2052" s="23"/>
      <c r="AU2052" s="16"/>
      <c r="AV2052" s="23"/>
      <c r="AW2052" s="23"/>
      <c r="AX2052" s="23"/>
      <c r="AY2052" s="16"/>
      <c r="AZ2052" s="23"/>
      <c r="BA2052" s="23"/>
      <c r="BB2052" s="23"/>
      <c r="BC2052" s="16"/>
      <c r="BD2052" s="23"/>
      <c r="BE2052" s="23"/>
      <c r="BF2052" s="23"/>
      <c r="BG2052" s="16"/>
      <c r="BH2052" s="23"/>
      <c r="BI2052" s="23"/>
      <c r="BJ2052" s="23"/>
      <c r="BN2052" s="23"/>
      <c r="BO2052" s="23"/>
      <c r="BP2052" s="16"/>
      <c r="BQ2052" s="16"/>
      <c r="BR2052" s="23"/>
      <c r="BS2052" s="16"/>
      <c r="BT2052" s="16"/>
      <c r="BU2052" s="16"/>
      <c r="BV2052" s="16"/>
      <c r="BW2052" s="16"/>
      <c r="BX2052" s="16"/>
      <c r="BY2052" s="16"/>
    </row>
    <row r="2053">
      <c r="A2053" s="16"/>
      <c r="B2053" s="16"/>
      <c r="C2053" s="22"/>
      <c r="D2053" s="16"/>
      <c r="E2053" s="16"/>
      <c r="F2053" s="16"/>
      <c r="G2053" s="16"/>
      <c r="H2053" s="16"/>
      <c r="I2053" s="23"/>
      <c r="J2053" s="23"/>
      <c r="K2053" s="16"/>
      <c r="L2053" s="23"/>
      <c r="M2053" s="23"/>
      <c r="N2053" s="23"/>
      <c r="O2053" s="16"/>
      <c r="P2053" s="23"/>
      <c r="Q2053" s="23"/>
      <c r="R2053" s="23"/>
      <c r="S2053" s="16"/>
      <c r="T2053" s="23"/>
      <c r="U2053" s="23"/>
      <c r="V2053" s="23"/>
      <c r="W2053" s="16"/>
      <c r="X2053" s="23"/>
      <c r="Y2053" s="23"/>
      <c r="Z2053" s="23"/>
      <c r="AA2053" s="16"/>
      <c r="AB2053" s="23"/>
      <c r="AC2053" s="23"/>
      <c r="AD2053" s="23"/>
      <c r="AE2053" s="16"/>
      <c r="AF2053" s="23"/>
      <c r="AG2053" s="23"/>
      <c r="AH2053" s="23"/>
      <c r="AI2053" s="16"/>
      <c r="AJ2053" s="23"/>
      <c r="AK2053" s="23"/>
      <c r="AL2053" s="23"/>
      <c r="AM2053" s="16"/>
      <c r="AN2053" s="23"/>
      <c r="AO2053" s="23"/>
      <c r="AP2053" s="23"/>
      <c r="AQ2053" s="16"/>
      <c r="AR2053" s="23"/>
      <c r="AS2053" s="23"/>
      <c r="AT2053" s="23"/>
      <c r="AU2053" s="16"/>
      <c r="AV2053" s="23"/>
      <c r="AW2053" s="23"/>
      <c r="AX2053" s="23"/>
      <c r="AY2053" s="16"/>
      <c r="AZ2053" s="23"/>
      <c r="BA2053" s="23"/>
      <c r="BB2053" s="23"/>
      <c r="BC2053" s="16"/>
      <c r="BD2053" s="23"/>
      <c r="BE2053" s="23"/>
      <c r="BF2053" s="23"/>
      <c r="BG2053" s="16"/>
      <c r="BH2053" s="23"/>
      <c r="BI2053" s="23"/>
      <c r="BJ2053" s="23"/>
      <c r="BN2053" s="23"/>
      <c r="BO2053" s="23"/>
      <c r="BP2053" s="16"/>
      <c r="BQ2053" s="16"/>
      <c r="BR2053" s="23"/>
      <c r="BS2053" s="16"/>
      <c r="BT2053" s="16"/>
      <c r="BU2053" s="16"/>
      <c r="BV2053" s="16"/>
      <c r="BW2053" s="16"/>
      <c r="BX2053" s="16"/>
      <c r="BY2053" s="16"/>
    </row>
    <row r="2054">
      <c r="A2054" s="16"/>
      <c r="B2054" s="16"/>
      <c r="C2054" s="22"/>
      <c r="D2054" s="16"/>
      <c r="E2054" s="16"/>
      <c r="F2054" s="16"/>
      <c r="G2054" s="16"/>
      <c r="H2054" s="16"/>
      <c r="I2054" s="23"/>
      <c r="J2054" s="23"/>
      <c r="K2054" s="16"/>
      <c r="L2054" s="23"/>
      <c r="M2054" s="23"/>
      <c r="N2054" s="23"/>
      <c r="O2054" s="16"/>
      <c r="P2054" s="23"/>
      <c r="Q2054" s="23"/>
      <c r="R2054" s="23"/>
      <c r="S2054" s="16"/>
      <c r="T2054" s="23"/>
      <c r="U2054" s="23"/>
      <c r="V2054" s="23"/>
      <c r="W2054" s="16"/>
      <c r="X2054" s="23"/>
      <c r="Y2054" s="23"/>
      <c r="Z2054" s="23"/>
      <c r="AA2054" s="16"/>
      <c r="AB2054" s="23"/>
      <c r="AC2054" s="23"/>
      <c r="AD2054" s="23"/>
      <c r="AE2054" s="16"/>
      <c r="AF2054" s="23"/>
      <c r="AG2054" s="23"/>
      <c r="AH2054" s="23"/>
      <c r="AI2054" s="16"/>
      <c r="AJ2054" s="23"/>
      <c r="AK2054" s="23"/>
      <c r="AL2054" s="23"/>
      <c r="AM2054" s="16"/>
      <c r="AN2054" s="23"/>
      <c r="AO2054" s="23"/>
      <c r="AP2054" s="23"/>
      <c r="AQ2054" s="16"/>
      <c r="AR2054" s="23"/>
      <c r="AS2054" s="23"/>
      <c r="AT2054" s="23"/>
      <c r="AU2054" s="16"/>
      <c r="AV2054" s="23"/>
      <c r="AW2054" s="23"/>
      <c r="AX2054" s="23"/>
      <c r="AY2054" s="16"/>
      <c r="AZ2054" s="23"/>
      <c r="BA2054" s="23"/>
      <c r="BB2054" s="23"/>
      <c r="BC2054" s="16"/>
      <c r="BD2054" s="23"/>
      <c r="BE2054" s="23"/>
      <c r="BF2054" s="23"/>
      <c r="BG2054" s="16"/>
      <c r="BH2054" s="23"/>
      <c r="BI2054" s="23"/>
      <c r="BJ2054" s="23"/>
      <c r="BN2054" s="23"/>
      <c r="BO2054" s="23"/>
      <c r="BP2054" s="16"/>
      <c r="BQ2054" s="16"/>
      <c r="BR2054" s="23"/>
      <c r="BS2054" s="16"/>
      <c r="BT2054" s="16"/>
      <c r="BU2054" s="16"/>
      <c r="BV2054" s="16"/>
      <c r="BW2054" s="16"/>
      <c r="BX2054" s="16"/>
      <c r="BY2054" s="16"/>
    </row>
    <row r="2055">
      <c r="A2055" s="16"/>
      <c r="B2055" s="16"/>
      <c r="C2055" s="22"/>
      <c r="D2055" s="16"/>
      <c r="E2055" s="16"/>
      <c r="F2055" s="16"/>
      <c r="G2055" s="16"/>
      <c r="H2055" s="16"/>
      <c r="I2055" s="23"/>
      <c r="J2055" s="23"/>
      <c r="K2055" s="16"/>
      <c r="L2055" s="23"/>
      <c r="M2055" s="23"/>
      <c r="N2055" s="23"/>
      <c r="O2055" s="16"/>
      <c r="P2055" s="23"/>
      <c r="Q2055" s="23"/>
      <c r="R2055" s="23"/>
      <c r="S2055" s="16"/>
      <c r="T2055" s="23"/>
      <c r="U2055" s="23"/>
      <c r="V2055" s="23"/>
      <c r="W2055" s="16"/>
      <c r="X2055" s="23"/>
      <c r="Y2055" s="23"/>
      <c r="Z2055" s="23"/>
      <c r="AA2055" s="16"/>
      <c r="AB2055" s="23"/>
      <c r="AC2055" s="23"/>
      <c r="AD2055" s="23"/>
      <c r="AE2055" s="16"/>
      <c r="AF2055" s="23"/>
      <c r="AG2055" s="23"/>
      <c r="AH2055" s="23"/>
      <c r="AI2055" s="16"/>
      <c r="AJ2055" s="23"/>
      <c r="AK2055" s="23"/>
      <c r="AL2055" s="23"/>
      <c r="AM2055" s="16"/>
      <c r="AN2055" s="23"/>
      <c r="AO2055" s="23"/>
      <c r="AP2055" s="23"/>
      <c r="AQ2055" s="16"/>
      <c r="AR2055" s="23"/>
      <c r="AS2055" s="23"/>
      <c r="AT2055" s="23"/>
      <c r="AU2055" s="16"/>
      <c r="AV2055" s="23"/>
      <c r="AW2055" s="23"/>
      <c r="AX2055" s="23"/>
      <c r="AY2055" s="16"/>
      <c r="AZ2055" s="23"/>
      <c r="BA2055" s="23"/>
      <c r="BB2055" s="23"/>
      <c r="BC2055" s="16"/>
      <c r="BD2055" s="23"/>
      <c r="BE2055" s="23"/>
      <c r="BF2055" s="23"/>
      <c r="BG2055" s="16"/>
      <c r="BH2055" s="23"/>
      <c r="BI2055" s="23"/>
      <c r="BJ2055" s="23"/>
      <c r="BN2055" s="23"/>
      <c r="BO2055" s="23"/>
      <c r="BP2055" s="16"/>
      <c r="BQ2055" s="16"/>
      <c r="BR2055" s="23"/>
      <c r="BS2055" s="16"/>
      <c r="BT2055" s="16"/>
      <c r="BU2055" s="16"/>
      <c r="BV2055" s="16"/>
      <c r="BW2055" s="16"/>
      <c r="BX2055" s="16"/>
      <c r="BY2055" s="16"/>
    </row>
    <row r="2056">
      <c r="A2056" s="16"/>
      <c r="B2056" s="16"/>
      <c r="C2056" s="22"/>
      <c r="D2056" s="16"/>
      <c r="E2056" s="16"/>
      <c r="F2056" s="16"/>
      <c r="G2056" s="16"/>
      <c r="H2056" s="16"/>
      <c r="I2056" s="23"/>
      <c r="J2056" s="23"/>
      <c r="K2056" s="16"/>
      <c r="L2056" s="23"/>
      <c r="M2056" s="23"/>
      <c r="N2056" s="23"/>
      <c r="O2056" s="16"/>
      <c r="P2056" s="23"/>
      <c r="Q2056" s="23"/>
      <c r="R2056" s="23"/>
      <c r="S2056" s="16"/>
      <c r="T2056" s="23"/>
      <c r="U2056" s="23"/>
      <c r="V2056" s="23"/>
      <c r="W2056" s="16"/>
      <c r="X2056" s="23"/>
      <c r="Y2056" s="23"/>
      <c r="Z2056" s="23"/>
      <c r="AA2056" s="16"/>
      <c r="AB2056" s="23"/>
      <c r="AC2056" s="23"/>
      <c r="AD2056" s="23"/>
      <c r="AE2056" s="16"/>
      <c r="AF2056" s="23"/>
      <c r="AG2056" s="23"/>
      <c r="AH2056" s="23"/>
      <c r="AI2056" s="16"/>
      <c r="AJ2056" s="23"/>
      <c r="AK2056" s="23"/>
      <c r="AL2056" s="23"/>
      <c r="AM2056" s="16"/>
      <c r="AN2056" s="23"/>
      <c r="AO2056" s="23"/>
      <c r="AP2056" s="23"/>
      <c r="AQ2056" s="16"/>
      <c r="AR2056" s="23"/>
      <c r="AS2056" s="23"/>
      <c r="AT2056" s="23"/>
      <c r="AU2056" s="16"/>
      <c r="AV2056" s="23"/>
      <c r="AW2056" s="23"/>
      <c r="AX2056" s="23"/>
      <c r="AY2056" s="16"/>
      <c r="AZ2056" s="23"/>
      <c r="BA2056" s="23"/>
      <c r="BB2056" s="23"/>
      <c r="BC2056" s="16"/>
      <c r="BD2056" s="23"/>
      <c r="BE2056" s="23"/>
      <c r="BF2056" s="23"/>
      <c r="BG2056" s="16"/>
      <c r="BH2056" s="23"/>
      <c r="BI2056" s="23"/>
      <c r="BJ2056" s="23"/>
      <c r="BN2056" s="23"/>
      <c r="BO2056" s="23"/>
      <c r="BP2056" s="16"/>
      <c r="BQ2056" s="16"/>
      <c r="BR2056" s="23"/>
      <c r="BS2056" s="16"/>
      <c r="BT2056" s="16"/>
      <c r="BU2056" s="16"/>
      <c r="BV2056" s="16"/>
      <c r="BW2056" s="16"/>
      <c r="BX2056" s="16"/>
      <c r="BY2056" s="16"/>
    </row>
    <row r="2057">
      <c r="A2057" s="16"/>
      <c r="B2057" s="16"/>
      <c r="C2057" s="22"/>
      <c r="D2057" s="16"/>
      <c r="E2057" s="16"/>
      <c r="F2057" s="16"/>
      <c r="G2057" s="16"/>
      <c r="H2057" s="16"/>
      <c r="I2057" s="23"/>
      <c r="J2057" s="23"/>
      <c r="K2057" s="16"/>
      <c r="L2057" s="23"/>
      <c r="M2057" s="23"/>
      <c r="N2057" s="23"/>
      <c r="O2057" s="16"/>
      <c r="P2057" s="23"/>
      <c r="Q2057" s="23"/>
      <c r="R2057" s="23"/>
      <c r="S2057" s="16"/>
      <c r="T2057" s="23"/>
      <c r="U2057" s="23"/>
      <c r="V2057" s="23"/>
      <c r="W2057" s="16"/>
      <c r="X2057" s="23"/>
      <c r="Y2057" s="23"/>
      <c r="Z2057" s="23"/>
      <c r="AA2057" s="16"/>
      <c r="AB2057" s="23"/>
      <c r="AC2057" s="23"/>
      <c r="AD2057" s="23"/>
      <c r="AE2057" s="16"/>
      <c r="AF2057" s="23"/>
      <c r="AG2057" s="23"/>
      <c r="AH2057" s="23"/>
      <c r="AI2057" s="16"/>
      <c r="AJ2057" s="23"/>
      <c r="AK2057" s="23"/>
      <c r="AL2057" s="23"/>
      <c r="AM2057" s="16"/>
      <c r="AN2057" s="23"/>
      <c r="AO2057" s="23"/>
      <c r="AP2057" s="23"/>
      <c r="AQ2057" s="16"/>
      <c r="AR2057" s="23"/>
      <c r="AS2057" s="23"/>
      <c r="AT2057" s="23"/>
      <c r="AU2057" s="16"/>
      <c r="AV2057" s="23"/>
      <c r="AW2057" s="23"/>
      <c r="AX2057" s="23"/>
      <c r="AY2057" s="16"/>
      <c r="AZ2057" s="23"/>
      <c r="BA2057" s="23"/>
      <c r="BB2057" s="23"/>
      <c r="BC2057" s="16"/>
      <c r="BD2057" s="23"/>
      <c r="BE2057" s="23"/>
      <c r="BF2057" s="23"/>
      <c r="BG2057" s="16"/>
      <c r="BH2057" s="23"/>
      <c r="BI2057" s="23"/>
      <c r="BJ2057" s="23"/>
      <c r="BN2057" s="23"/>
      <c r="BO2057" s="23"/>
      <c r="BP2057" s="16"/>
      <c r="BQ2057" s="16"/>
      <c r="BR2057" s="23"/>
      <c r="BS2057" s="16"/>
      <c r="BT2057" s="16"/>
      <c r="BU2057" s="16"/>
      <c r="BV2057" s="16"/>
      <c r="BW2057" s="16"/>
      <c r="BX2057" s="16"/>
      <c r="BY2057" s="16"/>
    </row>
    <row r="2058">
      <c r="A2058" s="16"/>
      <c r="B2058" s="16"/>
      <c r="C2058" s="22"/>
      <c r="D2058" s="16"/>
      <c r="E2058" s="16"/>
      <c r="F2058" s="16"/>
      <c r="G2058" s="16"/>
      <c r="H2058" s="16"/>
      <c r="I2058" s="23"/>
      <c r="J2058" s="23"/>
      <c r="K2058" s="16"/>
      <c r="L2058" s="23"/>
      <c r="M2058" s="23"/>
      <c r="N2058" s="23"/>
      <c r="O2058" s="16"/>
      <c r="P2058" s="23"/>
      <c r="Q2058" s="23"/>
      <c r="R2058" s="23"/>
      <c r="S2058" s="16"/>
      <c r="T2058" s="23"/>
      <c r="U2058" s="23"/>
      <c r="V2058" s="23"/>
      <c r="W2058" s="16"/>
      <c r="X2058" s="23"/>
      <c r="Y2058" s="23"/>
      <c r="Z2058" s="23"/>
      <c r="AA2058" s="16"/>
      <c r="AB2058" s="23"/>
      <c r="AC2058" s="23"/>
      <c r="AD2058" s="23"/>
      <c r="AE2058" s="16"/>
      <c r="AF2058" s="23"/>
      <c r="AG2058" s="23"/>
      <c r="AH2058" s="23"/>
      <c r="AI2058" s="16"/>
      <c r="AJ2058" s="23"/>
      <c r="AK2058" s="23"/>
      <c r="AL2058" s="23"/>
      <c r="AM2058" s="16"/>
      <c r="AN2058" s="23"/>
      <c r="AO2058" s="23"/>
      <c r="AP2058" s="23"/>
      <c r="AQ2058" s="16"/>
      <c r="AR2058" s="23"/>
      <c r="AS2058" s="23"/>
      <c r="AT2058" s="23"/>
      <c r="AU2058" s="16"/>
      <c r="AV2058" s="23"/>
      <c r="AW2058" s="23"/>
      <c r="AX2058" s="23"/>
      <c r="AY2058" s="16"/>
      <c r="AZ2058" s="23"/>
      <c r="BA2058" s="23"/>
      <c r="BB2058" s="23"/>
      <c r="BC2058" s="16"/>
      <c r="BD2058" s="23"/>
      <c r="BE2058" s="23"/>
      <c r="BF2058" s="23"/>
      <c r="BG2058" s="16"/>
      <c r="BH2058" s="23"/>
      <c r="BI2058" s="23"/>
      <c r="BJ2058" s="23"/>
      <c r="BN2058" s="23"/>
      <c r="BO2058" s="23"/>
      <c r="BP2058" s="16"/>
      <c r="BQ2058" s="16"/>
      <c r="BR2058" s="23"/>
      <c r="BS2058" s="16"/>
      <c r="BT2058" s="16"/>
      <c r="BU2058" s="16"/>
      <c r="BV2058" s="16"/>
      <c r="BW2058" s="16"/>
      <c r="BX2058" s="16"/>
      <c r="BY2058" s="16"/>
    </row>
    <row r="2059">
      <c r="A2059" s="16"/>
      <c r="B2059" s="16"/>
      <c r="C2059" s="22"/>
      <c r="D2059" s="16"/>
      <c r="E2059" s="16"/>
      <c r="F2059" s="16"/>
      <c r="G2059" s="16"/>
      <c r="H2059" s="16"/>
      <c r="I2059" s="23"/>
      <c r="J2059" s="23"/>
      <c r="K2059" s="16"/>
      <c r="L2059" s="23"/>
      <c r="M2059" s="23"/>
      <c r="N2059" s="23"/>
      <c r="O2059" s="16"/>
      <c r="P2059" s="23"/>
      <c r="Q2059" s="23"/>
      <c r="R2059" s="23"/>
      <c r="S2059" s="16"/>
      <c r="T2059" s="23"/>
      <c r="U2059" s="23"/>
      <c r="V2059" s="23"/>
      <c r="W2059" s="16"/>
      <c r="X2059" s="23"/>
      <c r="Y2059" s="23"/>
      <c r="Z2059" s="23"/>
      <c r="AA2059" s="16"/>
      <c r="AB2059" s="23"/>
      <c r="AC2059" s="23"/>
      <c r="AD2059" s="23"/>
      <c r="AE2059" s="16"/>
      <c r="AF2059" s="23"/>
      <c r="AG2059" s="23"/>
      <c r="AH2059" s="23"/>
      <c r="AI2059" s="16"/>
      <c r="AJ2059" s="23"/>
      <c r="AK2059" s="23"/>
      <c r="AL2059" s="23"/>
      <c r="AM2059" s="16"/>
      <c r="AN2059" s="23"/>
      <c r="AO2059" s="23"/>
      <c r="AP2059" s="23"/>
      <c r="AQ2059" s="16"/>
      <c r="AR2059" s="23"/>
      <c r="AS2059" s="23"/>
      <c r="AT2059" s="23"/>
      <c r="AU2059" s="16"/>
      <c r="AV2059" s="23"/>
      <c r="AW2059" s="23"/>
      <c r="AX2059" s="23"/>
      <c r="AY2059" s="16"/>
      <c r="AZ2059" s="23"/>
      <c r="BA2059" s="23"/>
      <c r="BB2059" s="23"/>
      <c r="BC2059" s="16"/>
      <c r="BD2059" s="23"/>
      <c r="BE2059" s="23"/>
      <c r="BF2059" s="23"/>
      <c r="BG2059" s="16"/>
      <c r="BH2059" s="23"/>
      <c r="BI2059" s="23"/>
      <c r="BJ2059" s="23"/>
      <c r="BN2059" s="23"/>
      <c r="BO2059" s="23"/>
      <c r="BP2059" s="16"/>
      <c r="BQ2059" s="16"/>
      <c r="BR2059" s="23"/>
      <c r="BS2059" s="16"/>
      <c r="BT2059" s="16"/>
      <c r="BU2059" s="16"/>
      <c r="BV2059" s="16"/>
      <c r="BW2059" s="16"/>
      <c r="BX2059" s="16"/>
      <c r="BY2059" s="16"/>
    </row>
    <row r="2060">
      <c r="A2060" s="16"/>
      <c r="B2060" s="16"/>
      <c r="C2060" s="22"/>
      <c r="D2060" s="16"/>
      <c r="E2060" s="16"/>
      <c r="F2060" s="16"/>
      <c r="G2060" s="16"/>
      <c r="H2060" s="16"/>
      <c r="I2060" s="23"/>
      <c r="J2060" s="23"/>
      <c r="K2060" s="16"/>
      <c r="L2060" s="23"/>
      <c r="M2060" s="23"/>
      <c r="N2060" s="23"/>
      <c r="O2060" s="16"/>
      <c r="P2060" s="23"/>
      <c r="Q2060" s="23"/>
      <c r="R2060" s="23"/>
      <c r="S2060" s="16"/>
      <c r="T2060" s="23"/>
      <c r="U2060" s="23"/>
      <c r="V2060" s="23"/>
      <c r="W2060" s="16"/>
      <c r="X2060" s="23"/>
      <c r="Y2060" s="23"/>
      <c r="Z2060" s="23"/>
      <c r="AA2060" s="16"/>
      <c r="AB2060" s="23"/>
      <c r="AC2060" s="23"/>
      <c r="AD2060" s="23"/>
      <c r="AE2060" s="16"/>
      <c r="AF2060" s="23"/>
      <c r="AG2060" s="23"/>
      <c r="AH2060" s="23"/>
      <c r="AI2060" s="16"/>
      <c r="AJ2060" s="23"/>
      <c r="AK2060" s="23"/>
      <c r="AL2060" s="23"/>
      <c r="AM2060" s="16"/>
      <c r="AN2060" s="23"/>
      <c r="AO2060" s="23"/>
      <c r="AP2060" s="23"/>
      <c r="AQ2060" s="16"/>
      <c r="AR2060" s="23"/>
      <c r="AS2060" s="23"/>
      <c r="AT2060" s="23"/>
      <c r="AU2060" s="16"/>
      <c r="AV2060" s="23"/>
      <c r="AW2060" s="23"/>
      <c r="AX2060" s="23"/>
      <c r="AY2060" s="16"/>
      <c r="AZ2060" s="23"/>
      <c r="BA2060" s="23"/>
      <c r="BB2060" s="23"/>
      <c r="BC2060" s="16"/>
      <c r="BD2060" s="23"/>
      <c r="BE2060" s="23"/>
      <c r="BF2060" s="23"/>
      <c r="BG2060" s="16"/>
      <c r="BH2060" s="23"/>
      <c r="BI2060" s="23"/>
      <c r="BJ2060" s="23"/>
      <c r="BN2060" s="23"/>
      <c r="BO2060" s="23"/>
      <c r="BP2060" s="16"/>
      <c r="BQ2060" s="16"/>
      <c r="BR2060" s="23"/>
      <c r="BS2060" s="16"/>
      <c r="BT2060" s="16"/>
      <c r="BU2060" s="16"/>
      <c r="BV2060" s="16"/>
      <c r="BW2060" s="16"/>
      <c r="BX2060" s="16"/>
      <c r="BY2060" s="16"/>
    </row>
    <row r="2061">
      <c r="A2061" s="16"/>
      <c r="B2061" s="16"/>
      <c r="C2061" s="22"/>
      <c r="D2061" s="16"/>
      <c r="E2061" s="16"/>
      <c r="F2061" s="16"/>
      <c r="G2061" s="16"/>
      <c r="H2061" s="16"/>
      <c r="I2061" s="23"/>
      <c r="J2061" s="23"/>
      <c r="K2061" s="16"/>
      <c r="L2061" s="23"/>
      <c r="M2061" s="23"/>
      <c r="N2061" s="23"/>
      <c r="O2061" s="16"/>
      <c r="P2061" s="23"/>
      <c r="Q2061" s="23"/>
      <c r="R2061" s="23"/>
      <c r="S2061" s="16"/>
      <c r="T2061" s="23"/>
      <c r="U2061" s="23"/>
      <c r="V2061" s="23"/>
      <c r="W2061" s="16"/>
      <c r="X2061" s="23"/>
      <c r="Y2061" s="23"/>
      <c r="Z2061" s="23"/>
      <c r="AA2061" s="16"/>
      <c r="AB2061" s="23"/>
      <c r="AC2061" s="23"/>
      <c r="AD2061" s="23"/>
      <c r="AE2061" s="16"/>
      <c r="AF2061" s="23"/>
      <c r="AG2061" s="23"/>
      <c r="AH2061" s="23"/>
      <c r="AI2061" s="16"/>
      <c r="AJ2061" s="23"/>
      <c r="AK2061" s="23"/>
      <c r="AL2061" s="23"/>
      <c r="AM2061" s="16"/>
      <c r="AN2061" s="23"/>
      <c r="AO2061" s="23"/>
      <c r="AP2061" s="23"/>
      <c r="AQ2061" s="16"/>
      <c r="AR2061" s="23"/>
      <c r="AS2061" s="23"/>
      <c r="AT2061" s="23"/>
      <c r="AU2061" s="16"/>
      <c r="AV2061" s="23"/>
      <c r="AW2061" s="23"/>
      <c r="AX2061" s="23"/>
      <c r="AY2061" s="16"/>
      <c r="AZ2061" s="23"/>
      <c r="BA2061" s="23"/>
      <c r="BB2061" s="23"/>
      <c r="BC2061" s="16"/>
      <c r="BD2061" s="23"/>
      <c r="BE2061" s="23"/>
      <c r="BF2061" s="23"/>
      <c r="BG2061" s="16"/>
      <c r="BH2061" s="23"/>
      <c r="BI2061" s="23"/>
      <c r="BJ2061" s="23"/>
      <c r="BN2061" s="23"/>
      <c r="BO2061" s="23"/>
      <c r="BP2061" s="16"/>
      <c r="BQ2061" s="16"/>
      <c r="BR2061" s="23"/>
      <c r="BS2061" s="16"/>
      <c r="BT2061" s="16"/>
      <c r="BU2061" s="16"/>
      <c r="BV2061" s="16"/>
      <c r="BW2061" s="16"/>
      <c r="BX2061" s="16"/>
      <c r="BY2061" s="16"/>
    </row>
    <row r="2062">
      <c r="A2062" s="16"/>
      <c r="B2062" s="16"/>
      <c r="C2062" s="22"/>
      <c r="D2062" s="16"/>
      <c r="E2062" s="16"/>
      <c r="F2062" s="16"/>
      <c r="G2062" s="16"/>
      <c r="H2062" s="16"/>
      <c r="I2062" s="23"/>
      <c r="J2062" s="23"/>
      <c r="K2062" s="16"/>
      <c r="L2062" s="23"/>
      <c r="M2062" s="23"/>
      <c r="N2062" s="23"/>
      <c r="O2062" s="16"/>
      <c r="P2062" s="23"/>
      <c r="Q2062" s="23"/>
      <c r="R2062" s="23"/>
      <c r="S2062" s="16"/>
      <c r="T2062" s="23"/>
      <c r="U2062" s="23"/>
      <c r="V2062" s="23"/>
      <c r="W2062" s="16"/>
      <c r="X2062" s="23"/>
      <c r="Y2062" s="23"/>
      <c r="Z2062" s="23"/>
      <c r="AA2062" s="16"/>
      <c r="AB2062" s="23"/>
      <c r="AC2062" s="23"/>
      <c r="AD2062" s="23"/>
      <c r="AE2062" s="16"/>
      <c r="AF2062" s="23"/>
      <c r="AG2062" s="23"/>
      <c r="AH2062" s="23"/>
      <c r="AI2062" s="16"/>
      <c r="AJ2062" s="23"/>
      <c r="AK2062" s="23"/>
      <c r="AL2062" s="23"/>
      <c r="AM2062" s="16"/>
      <c r="AN2062" s="23"/>
      <c r="AO2062" s="23"/>
      <c r="AP2062" s="23"/>
      <c r="AQ2062" s="16"/>
      <c r="AR2062" s="23"/>
      <c r="AS2062" s="23"/>
      <c r="AT2062" s="23"/>
      <c r="AU2062" s="16"/>
      <c r="AV2062" s="23"/>
      <c r="AW2062" s="23"/>
      <c r="AX2062" s="23"/>
      <c r="AY2062" s="16"/>
      <c r="AZ2062" s="23"/>
      <c r="BA2062" s="23"/>
      <c r="BB2062" s="23"/>
      <c r="BC2062" s="16"/>
      <c r="BD2062" s="23"/>
      <c r="BE2062" s="23"/>
      <c r="BF2062" s="23"/>
      <c r="BG2062" s="16"/>
      <c r="BH2062" s="23"/>
      <c r="BI2062" s="23"/>
      <c r="BJ2062" s="23"/>
      <c r="BN2062" s="23"/>
      <c r="BO2062" s="23"/>
      <c r="BP2062" s="16"/>
      <c r="BQ2062" s="16"/>
      <c r="BR2062" s="23"/>
      <c r="BS2062" s="16"/>
      <c r="BT2062" s="16"/>
      <c r="BU2062" s="16"/>
      <c r="BV2062" s="16"/>
      <c r="BW2062" s="16"/>
      <c r="BX2062" s="16"/>
      <c r="BY2062" s="16"/>
    </row>
    <row r="2063">
      <c r="A2063" s="16"/>
      <c r="B2063" s="16"/>
      <c r="C2063" s="22"/>
      <c r="D2063" s="16"/>
      <c r="E2063" s="16"/>
      <c r="F2063" s="16"/>
      <c r="G2063" s="16"/>
      <c r="H2063" s="16"/>
      <c r="I2063" s="23"/>
      <c r="J2063" s="23"/>
      <c r="K2063" s="16"/>
      <c r="L2063" s="23"/>
      <c r="M2063" s="23"/>
      <c r="N2063" s="23"/>
      <c r="O2063" s="16"/>
      <c r="P2063" s="23"/>
      <c r="Q2063" s="23"/>
      <c r="R2063" s="23"/>
      <c r="S2063" s="16"/>
      <c r="T2063" s="23"/>
      <c r="U2063" s="23"/>
      <c r="V2063" s="23"/>
      <c r="W2063" s="16"/>
      <c r="X2063" s="23"/>
      <c r="Y2063" s="23"/>
      <c r="Z2063" s="23"/>
      <c r="AA2063" s="16"/>
      <c r="AB2063" s="23"/>
      <c r="AC2063" s="23"/>
      <c r="AD2063" s="23"/>
      <c r="AE2063" s="16"/>
      <c r="AF2063" s="23"/>
      <c r="AG2063" s="23"/>
      <c r="AH2063" s="23"/>
      <c r="AI2063" s="16"/>
      <c r="AJ2063" s="23"/>
      <c r="AK2063" s="23"/>
      <c r="AL2063" s="23"/>
      <c r="AM2063" s="16"/>
      <c r="AN2063" s="23"/>
      <c r="AO2063" s="23"/>
      <c r="AP2063" s="23"/>
      <c r="AQ2063" s="16"/>
      <c r="AR2063" s="23"/>
      <c r="AS2063" s="23"/>
      <c r="AT2063" s="23"/>
      <c r="AU2063" s="16"/>
      <c r="AV2063" s="23"/>
      <c r="AW2063" s="23"/>
      <c r="AX2063" s="23"/>
      <c r="AY2063" s="16"/>
      <c r="AZ2063" s="23"/>
      <c r="BA2063" s="23"/>
      <c r="BB2063" s="23"/>
      <c r="BC2063" s="16"/>
      <c r="BD2063" s="23"/>
      <c r="BE2063" s="23"/>
      <c r="BF2063" s="23"/>
      <c r="BG2063" s="16"/>
      <c r="BH2063" s="23"/>
      <c r="BI2063" s="23"/>
      <c r="BJ2063" s="23"/>
      <c r="BN2063" s="23"/>
      <c r="BO2063" s="23"/>
      <c r="BP2063" s="16"/>
      <c r="BQ2063" s="16"/>
      <c r="BR2063" s="23"/>
      <c r="BS2063" s="16"/>
      <c r="BT2063" s="16"/>
      <c r="BU2063" s="16"/>
      <c r="BV2063" s="16"/>
      <c r="BW2063" s="16"/>
      <c r="BX2063" s="16"/>
      <c r="BY2063" s="16"/>
    </row>
    <row r="2064">
      <c r="A2064" s="16"/>
      <c r="B2064" s="16"/>
      <c r="C2064" s="22"/>
      <c r="D2064" s="16"/>
      <c r="E2064" s="16"/>
      <c r="F2064" s="16"/>
      <c r="G2064" s="16"/>
      <c r="H2064" s="16"/>
      <c r="I2064" s="23"/>
      <c r="J2064" s="23"/>
      <c r="K2064" s="16"/>
      <c r="L2064" s="23"/>
      <c r="M2064" s="23"/>
      <c r="N2064" s="23"/>
      <c r="O2064" s="16"/>
      <c r="P2064" s="23"/>
      <c r="Q2064" s="23"/>
      <c r="R2064" s="23"/>
      <c r="S2064" s="16"/>
      <c r="T2064" s="23"/>
      <c r="U2064" s="23"/>
      <c r="V2064" s="23"/>
      <c r="W2064" s="16"/>
      <c r="X2064" s="23"/>
      <c r="Y2064" s="23"/>
      <c r="Z2064" s="23"/>
      <c r="AA2064" s="16"/>
      <c r="AB2064" s="23"/>
      <c r="AC2064" s="23"/>
      <c r="AD2064" s="23"/>
      <c r="AE2064" s="16"/>
      <c r="AF2064" s="23"/>
      <c r="AG2064" s="23"/>
      <c r="AH2064" s="23"/>
      <c r="AI2064" s="16"/>
      <c r="AJ2064" s="23"/>
      <c r="AK2064" s="23"/>
      <c r="AL2064" s="23"/>
      <c r="AM2064" s="16"/>
      <c r="AN2064" s="23"/>
      <c r="AO2064" s="23"/>
      <c r="AP2064" s="23"/>
      <c r="AQ2064" s="16"/>
      <c r="AR2064" s="23"/>
      <c r="AS2064" s="23"/>
      <c r="AT2064" s="23"/>
      <c r="AU2064" s="16"/>
      <c r="AV2064" s="23"/>
      <c r="AW2064" s="23"/>
      <c r="AX2064" s="23"/>
      <c r="AY2064" s="16"/>
      <c r="AZ2064" s="23"/>
      <c r="BA2064" s="23"/>
      <c r="BB2064" s="23"/>
      <c r="BC2064" s="16"/>
      <c r="BD2064" s="23"/>
      <c r="BE2064" s="23"/>
      <c r="BF2064" s="23"/>
      <c r="BG2064" s="16"/>
      <c r="BH2064" s="23"/>
      <c r="BI2064" s="23"/>
      <c r="BJ2064" s="23"/>
      <c r="BN2064" s="23"/>
      <c r="BO2064" s="23"/>
      <c r="BP2064" s="16"/>
      <c r="BQ2064" s="16"/>
      <c r="BR2064" s="23"/>
      <c r="BS2064" s="16"/>
      <c r="BT2064" s="16"/>
      <c r="BU2064" s="16"/>
      <c r="BV2064" s="16"/>
      <c r="BW2064" s="16"/>
      <c r="BX2064" s="16"/>
      <c r="BY2064" s="16"/>
    </row>
    <row r="2065">
      <c r="A2065" s="16"/>
      <c r="B2065" s="16"/>
      <c r="C2065" s="22"/>
      <c r="D2065" s="16"/>
      <c r="E2065" s="16"/>
      <c r="F2065" s="16"/>
      <c r="G2065" s="16"/>
      <c r="H2065" s="16"/>
      <c r="I2065" s="23"/>
      <c r="J2065" s="23"/>
      <c r="K2065" s="16"/>
      <c r="L2065" s="23"/>
      <c r="M2065" s="23"/>
      <c r="N2065" s="23"/>
      <c r="O2065" s="16"/>
      <c r="P2065" s="23"/>
      <c r="Q2065" s="23"/>
      <c r="R2065" s="23"/>
      <c r="S2065" s="16"/>
      <c r="T2065" s="23"/>
      <c r="U2065" s="23"/>
      <c r="V2065" s="23"/>
      <c r="W2065" s="16"/>
      <c r="X2065" s="23"/>
      <c r="Y2065" s="23"/>
      <c r="Z2065" s="23"/>
      <c r="AA2065" s="16"/>
      <c r="AB2065" s="23"/>
      <c r="AC2065" s="23"/>
      <c r="AD2065" s="23"/>
      <c r="AE2065" s="16"/>
      <c r="AF2065" s="23"/>
      <c r="AG2065" s="23"/>
      <c r="AH2065" s="23"/>
      <c r="AI2065" s="16"/>
      <c r="AJ2065" s="23"/>
      <c r="AK2065" s="23"/>
      <c r="AL2065" s="23"/>
      <c r="AM2065" s="16"/>
      <c r="AN2065" s="23"/>
      <c r="AO2065" s="23"/>
      <c r="AP2065" s="23"/>
      <c r="AQ2065" s="16"/>
      <c r="AR2065" s="23"/>
      <c r="AS2065" s="23"/>
      <c r="AT2065" s="23"/>
      <c r="AU2065" s="16"/>
      <c r="AV2065" s="23"/>
      <c r="AW2065" s="23"/>
      <c r="AX2065" s="23"/>
      <c r="AY2065" s="16"/>
      <c r="AZ2065" s="23"/>
      <c r="BA2065" s="23"/>
      <c r="BB2065" s="23"/>
      <c r="BC2065" s="16"/>
      <c r="BD2065" s="23"/>
      <c r="BE2065" s="23"/>
      <c r="BF2065" s="23"/>
      <c r="BG2065" s="16"/>
      <c r="BH2065" s="23"/>
      <c r="BI2065" s="23"/>
      <c r="BJ2065" s="23"/>
      <c r="BN2065" s="23"/>
      <c r="BO2065" s="23"/>
      <c r="BP2065" s="16"/>
      <c r="BQ2065" s="16"/>
      <c r="BR2065" s="23"/>
      <c r="BS2065" s="16"/>
      <c r="BT2065" s="16"/>
      <c r="BU2065" s="16"/>
      <c r="BV2065" s="16"/>
      <c r="BW2065" s="16"/>
      <c r="BX2065" s="16"/>
      <c r="BY2065" s="16"/>
    </row>
    <row r="2066">
      <c r="A2066" s="16"/>
      <c r="B2066" s="16"/>
      <c r="C2066" s="22"/>
      <c r="D2066" s="16"/>
      <c r="E2066" s="16"/>
      <c r="F2066" s="16"/>
      <c r="G2066" s="16"/>
      <c r="H2066" s="16"/>
      <c r="I2066" s="23"/>
      <c r="J2066" s="23"/>
      <c r="K2066" s="16"/>
      <c r="L2066" s="23"/>
      <c r="M2066" s="23"/>
      <c r="N2066" s="23"/>
      <c r="O2066" s="16"/>
      <c r="P2066" s="23"/>
      <c r="Q2066" s="23"/>
      <c r="R2066" s="23"/>
      <c r="S2066" s="16"/>
      <c r="T2066" s="23"/>
      <c r="U2066" s="23"/>
      <c r="V2066" s="23"/>
      <c r="W2066" s="16"/>
      <c r="X2066" s="23"/>
      <c r="Y2066" s="23"/>
      <c r="Z2066" s="23"/>
      <c r="AA2066" s="16"/>
      <c r="AB2066" s="23"/>
      <c r="AC2066" s="23"/>
      <c r="AD2066" s="23"/>
      <c r="AE2066" s="16"/>
      <c r="AF2066" s="23"/>
      <c r="AG2066" s="23"/>
      <c r="AH2066" s="23"/>
      <c r="AI2066" s="16"/>
      <c r="AJ2066" s="23"/>
      <c r="AK2066" s="23"/>
      <c r="AL2066" s="23"/>
      <c r="AM2066" s="16"/>
      <c r="AN2066" s="23"/>
      <c r="AO2066" s="23"/>
      <c r="AP2066" s="23"/>
      <c r="AQ2066" s="16"/>
      <c r="AR2066" s="23"/>
      <c r="AS2066" s="23"/>
      <c r="AT2066" s="23"/>
      <c r="AU2066" s="16"/>
      <c r="AV2066" s="23"/>
      <c r="AW2066" s="23"/>
      <c r="AX2066" s="23"/>
      <c r="AY2066" s="16"/>
      <c r="AZ2066" s="23"/>
      <c r="BA2066" s="23"/>
      <c r="BB2066" s="23"/>
      <c r="BC2066" s="16"/>
      <c r="BD2066" s="23"/>
      <c r="BE2066" s="23"/>
      <c r="BF2066" s="23"/>
      <c r="BG2066" s="16"/>
      <c r="BH2066" s="23"/>
      <c r="BI2066" s="23"/>
      <c r="BJ2066" s="23"/>
      <c r="BN2066" s="23"/>
      <c r="BO2066" s="23"/>
      <c r="BP2066" s="16"/>
      <c r="BQ2066" s="16"/>
      <c r="BR2066" s="23"/>
      <c r="BS2066" s="16"/>
      <c r="BT2066" s="16"/>
      <c r="BU2066" s="16"/>
      <c r="BV2066" s="16"/>
      <c r="BW2066" s="16"/>
      <c r="BX2066" s="16"/>
      <c r="BY2066" s="16"/>
    </row>
    <row r="2067">
      <c r="A2067" s="16"/>
      <c r="B2067" s="16"/>
      <c r="C2067" s="22"/>
      <c r="D2067" s="16"/>
      <c r="E2067" s="16"/>
      <c r="F2067" s="16"/>
      <c r="G2067" s="16"/>
      <c r="H2067" s="16"/>
      <c r="I2067" s="23"/>
      <c r="J2067" s="23"/>
      <c r="K2067" s="16"/>
      <c r="L2067" s="23"/>
      <c r="M2067" s="23"/>
      <c r="N2067" s="23"/>
      <c r="O2067" s="16"/>
      <c r="P2067" s="23"/>
      <c r="Q2067" s="23"/>
      <c r="R2067" s="23"/>
      <c r="S2067" s="16"/>
      <c r="T2067" s="23"/>
      <c r="U2067" s="23"/>
      <c r="V2067" s="23"/>
      <c r="W2067" s="16"/>
      <c r="X2067" s="23"/>
      <c r="Y2067" s="23"/>
      <c r="Z2067" s="23"/>
      <c r="AA2067" s="16"/>
      <c r="AB2067" s="23"/>
      <c r="AC2067" s="23"/>
      <c r="AD2067" s="23"/>
      <c r="AE2067" s="16"/>
      <c r="AF2067" s="23"/>
      <c r="AG2067" s="23"/>
      <c r="AH2067" s="23"/>
      <c r="AI2067" s="16"/>
      <c r="AJ2067" s="23"/>
      <c r="AK2067" s="23"/>
      <c r="AL2067" s="23"/>
      <c r="AM2067" s="16"/>
      <c r="AN2067" s="23"/>
      <c r="AO2067" s="23"/>
      <c r="AP2067" s="23"/>
      <c r="AQ2067" s="16"/>
      <c r="AR2067" s="23"/>
      <c r="AS2067" s="23"/>
      <c r="AT2067" s="23"/>
      <c r="AU2067" s="16"/>
      <c r="AV2067" s="23"/>
      <c r="AW2067" s="23"/>
      <c r="AX2067" s="23"/>
      <c r="AY2067" s="16"/>
      <c r="AZ2067" s="23"/>
      <c r="BA2067" s="23"/>
      <c r="BB2067" s="23"/>
      <c r="BC2067" s="16"/>
      <c r="BD2067" s="23"/>
      <c r="BE2067" s="23"/>
      <c r="BF2067" s="23"/>
      <c r="BG2067" s="16"/>
      <c r="BH2067" s="23"/>
      <c r="BI2067" s="23"/>
      <c r="BJ2067" s="23"/>
      <c r="BN2067" s="23"/>
      <c r="BO2067" s="23"/>
      <c r="BP2067" s="16"/>
      <c r="BQ2067" s="16"/>
      <c r="BR2067" s="23"/>
      <c r="BS2067" s="16"/>
      <c r="BT2067" s="16"/>
      <c r="BU2067" s="16"/>
      <c r="BV2067" s="16"/>
      <c r="BW2067" s="16"/>
      <c r="BX2067" s="16"/>
      <c r="BY2067" s="16"/>
    </row>
    <row r="2068">
      <c r="A2068" s="16"/>
      <c r="B2068" s="16"/>
      <c r="C2068" s="22"/>
      <c r="D2068" s="16"/>
      <c r="E2068" s="16"/>
      <c r="F2068" s="16"/>
      <c r="G2068" s="16"/>
      <c r="H2068" s="16"/>
      <c r="I2068" s="23"/>
      <c r="J2068" s="23"/>
      <c r="K2068" s="16"/>
      <c r="L2068" s="23"/>
      <c r="M2068" s="23"/>
      <c r="N2068" s="23"/>
      <c r="O2068" s="16"/>
      <c r="P2068" s="23"/>
      <c r="Q2068" s="23"/>
      <c r="R2068" s="23"/>
      <c r="S2068" s="16"/>
      <c r="T2068" s="23"/>
      <c r="U2068" s="23"/>
      <c r="V2068" s="23"/>
      <c r="W2068" s="16"/>
      <c r="X2068" s="23"/>
      <c r="Y2068" s="23"/>
      <c r="Z2068" s="23"/>
      <c r="AA2068" s="16"/>
      <c r="AB2068" s="23"/>
      <c r="AC2068" s="23"/>
      <c r="AD2068" s="23"/>
      <c r="AE2068" s="16"/>
      <c r="AF2068" s="23"/>
      <c r="AG2068" s="23"/>
      <c r="AH2068" s="23"/>
      <c r="AI2068" s="16"/>
      <c r="AJ2068" s="23"/>
      <c r="AK2068" s="23"/>
      <c r="AL2068" s="23"/>
      <c r="AM2068" s="16"/>
      <c r="AN2068" s="23"/>
      <c r="AO2068" s="23"/>
      <c r="AP2068" s="23"/>
      <c r="AQ2068" s="16"/>
      <c r="AR2068" s="23"/>
      <c r="AS2068" s="23"/>
      <c r="AT2068" s="23"/>
      <c r="AU2068" s="16"/>
      <c r="AV2068" s="23"/>
      <c r="AW2068" s="23"/>
      <c r="AX2068" s="23"/>
      <c r="AY2068" s="16"/>
      <c r="AZ2068" s="23"/>
      <c r="BA2068" s="23"/>
      <c r="BB2068" s="23"/>
      <c r="BC2068" s="16"/>
      <c r="BD2068" s="23"/>
      <c r="BE2068" s="23"/>
      <c r="BF2068" s="23"/>
      <c r="BG2068" s="16"/>
      <c r="BH2068" s="23"/>
      <c r="BI2068" s="23"/>
      <c r="BJ2068" s="23"/>
      <c r="BN2068" s="23"/>
      <c r="BO2068" s="23"/>
      <c r="BP2068" s="16"/>
      <c r="BQ2068" s="16"/>
      <c r="BR2068" s="23"/>
      <c r="BS2068" s="16"/>
      <c r="BT2068" s="16"/>
      <c r="BU2068" s="16"/>
      <c r="BV2068" s="16"/>
      <c r="BW2068" s="16"/>
      <c r="BX2068" s="16"/>
      <c r="BY2068" s="16"/>
    </row>
    <row r="2069">
      <c r="A2069" s="16"/>
      <c r="B2069" s="16"/>
      <c r="C2069" s="22"/>
      <c r="D2069" s="16"/>
      <c r="E2069" s="16"/>
      <c r="F2069" s="16"/>
      <c r="G2069" s="16"/>
      <c r="H2069" s="16"/>
      <c r="I2069" s="23"/>
      <c r="J2069" s="23"/>
      <c r="K2069" s="16"/>
      <c r="L2069" s="23"/>
      <c r="M2069" s="23"/>
      <c r="N2069" s="23"/>
      <c r="O2069" s="16"/>
      <c r="P2069" s="23"/>
      <c r="Q2069" s="23"/>
      <c r="R2069" s="23"/>
      <c r="S2069" s="16"/>
      <c r="T2069" s="23"/>
      <c r="U2069" s="23"/>
      <c r="V2069" s="23"/>
      <c r="W2069" s="16"/>
      <c r="X2069" s="23"/>
      <c r="Y2069" s="23"/>
      <c r="Z2069" s="23"/>
      <c r="AA2069" s="16"/>
      <c r="AB2069" s="23"/>
      <c r="AC2069" s="23"/>
      <c r="AD2069" s="23"/>
      <c r="AE2069" s="16"/>
      <c r="AF2069" s="23"/>
      <c r="AG2069" s="23"/>
      <c r="AH2069" s="23"/>
      <c r="AI2069" s="16"/>
      <c r="AJ2069" s="23"/>
      <c r="AK2069" s="23"/>
      <c r="AL2069" s="23"/>
      <c r="AM2069" s="16"/>
      <c r="AN2069" s="23"/>
      <c r="AO2069" s="23"/>
      <c r="AP2069" s="23"/>
      <c r="AQ2069" s="16"/>
      <c r="AR2069" s="23"/>
      <c r="AS2069" s="23"/>
      <c r="AT2069" s="23"/>
      <c r="AU2069" s="16"/>
      <c r="AV2069" s="23"/>
      <c r="AW2069" s="23"/>
      <c r="AX2069" s="23"/>
      <c r="AY2069" s="16"/>
      <c r="AZ2069" s="23"/>
      <c r="BA2069" s="23"/>
      <c r="BB2069" s="23"/>
      <c r="BC2069" s="16"/>
      <c r="BD2069" s="23"/>
      <c r="BE2069" s="23"/>
      <c r="BF2069" s="23"/>
      <c r="BG2069" s="16"/>
      <c r="BH2069" s="23"/>
      <c r="BI2069" s="23"/>
      <c r="BJ2069" s="23"/>
      <c r="BN2069" s="23"/>
      <c r="BO2069" s="23"/>
      <c r="BP2069" s="16"/>
      <c r="BQ2069" s="16"/>
      <c r="BR2069" s="23"/>
      <c r="BS2069" s="16"/>
      <c r="BT2069" s="16"/>
      <c r="BU2069" s="16"/>
      <c r="BV2069" s="16"/>
      <c r="BW2069" s="16"/>
      <c r="BX2069" s="16"/>
      <c r="BY2069" s="16"/>
    </row>
    <row r="2070">
      <c r="A2070" s="16"/>
      <c r="B2070" s="16"/>
      <c r="C2070" s="22"/>
      <c r="D2070" s="16"/>
      <c r="E2070" s="16"/>
      <c r="F2070" s="16"/>
      <c r="G2070" s="16"/>
      <c r="H2070" s="16"/>
      <c r="I2070" s="23"/>
      <c r="J2070" s="23"/>
      <c r="K2070" s="16"/>
      <c r="L2070" s="23"/>
      <c r="M2070" s="23"/>
      <c r="N2070" s="23"/>
      <c r="O2070" s="16"/>
      <c r="P2070" s="23"/>
      <c r="Q2070" s="23"/>
      <c r="R2070" s="23"/>
      <c r="S2070" s="16"/>
      <c r="T2070" s="23"/>
      <c r="U2070" s="23"/>
      <c r="V2070" s="23"/>
      <c r="W2070" s="16"/>
      <c r="X2070" s="23"/>
      <c r="Y2070" s="23"/>
      <c r="Z2070" s="23"/>
      <c r="AA2070" s="16"/>
      <c r="AB2070" s="23"/>
      <c r="AC2070" s="23"/>
      <c r="AD2070" s="23"/>
      <c r="AE2070" s="16"/>
      <c r="AF2070" s="23"/>
      <c r="AG2070" s="23"/>
      <c r="AH2070" s="23"/>
      <c r="AI2070" s="16"/>
      <c r="AJ2070" s="23"/>
      <c r="AK2070" s="23"/>
      <c r="AL2070" s="23"/>
      <c r="AM2070" s="16"/>
      <c r="AN2070" s="23"/>
      <c r="AO2070" s="23"/>
      <c r="AP2070" s="23"/>
      <c r="AQ2070" s="16"/>
      <c r="AR2070" s="23"/>
      <c r="AS2070" s="23"/>
      <c r="AT2070" s="23"/>
      <c r="AU2070" s="16"/>
      <c r="AV2070" s="23"/>
      <c r="AW2070" s="23"/>
      <c r="AX2070" s="23"/>
      <c r="AY2070" s="16"/>
      <c r="AZ2070" s="23"/>
      <c r="BA2070" s="23"/>
      <c r="BB2070" s="23"/>
      <c r="BC2070" s="16"/>
      <c r="BD2070" s="23"/>
      <c r="BE2070" s="23"/>
      <c r="BF2070" s="23"/>
      <c r="BG2070" s="16"/>
      <c r="BH2070" s="23"/>
      <c r="BI2070" s="23"/>
      <c r="BJ2070" s="23"/>
      <c r="BN2070" s="23"/>
      <c r="BO2070" s="23"/>
      <c r="BP2070" s="16"/>
      <c r="BQ2070" s="16"/>
      <c r="BR2070" s="23"/>
      <c r="BS2070" s="16"/>
      <c r="BT2070" s="16"/>
      <c r="BU2070" s="16"/>
      <c r="BV2070" s="16"/>
      <c r="BW2070" s="16"/>
      <c r="BX2070" s="16"/>
      <c r="BY2070" s="16"/>
    </row>
    <row r="2071">
      <c r="A2071" s="16"/>
      <c r="B2071" s="16"/>
      <c r="C2071" s="22"/>
      <c r="D2071" s="16"/>
      <c r="E2071" s="16"/>
      <c r="F2071" s="16"/>
      <c r="G2071" s="16"/>
      <c r="H2071" s="16"/>
      <c r="I2071" s="23"/>
      <c r="J2071" s="23"/>
      <c r="K2071" s="16"/>
      <c r="L2071" s="23"/>
      <c r="M2071" s="23"/>
      <c r="N2071" s="23"/>
      <c r="O2071" s="16"/>
      <c r="P2071" s="23"/>
      <c r="Q2071" s="23"/>
      <c r="R2071" s="23"/>
      <c r="S2071" s="16"/>
      <c r="T2071" s="23"/>
      <c r="U2071" s="23"/>
      <c r="V2071" s="23"/>
      <c r="W2071" s="16"/>
      <c r="X2071" s="23"/>
      <c r="Y2071" s="23"/>
      <c r="Z2071" s="23"/>
      <c r="AA2071" s="16"/>
      <c r="AB2071" s="23"/>
      <c r="AC2071" s="23"/>
      <c r="AD2071" s="23"/>
      <c r="AE2071" s="16"/>
      <c r="AF2071" s="23"/>
      <c r="AG2071" s="23"/>
      <c r="AH2071" s="23"/>
      <c r="AI2071" s="16"/>
      <c r="AJ2071" s="23"/>
      <c r="AK2071" s="23"/>
      <c r="AL2071" s="23"/>
      <c r="AM2071" s="16"/>
      <c r="AN2071" s="23"/>
      <c r="AO2071" s="23"/>
      <c r="AP2071" s="23"/>
      <c r="AQ2071" s="16"/>
      <c r="AR2071" s="23"/>
      <c r="AS2071" s="23"/>
      <c r="AT2071" s="23"/>
      <c r="AU2071" s="16"/>
      <c r="AV2071" s="23"/>
      <c r="AW2071" s="23"/>
      <c r="AX2071" s="23"/>
      <c r="AY2071" s="16"/>
      <c r="AZ2071" s="23"/>
      <c r="BA2071" s="23"/>
      <c r="BB2071" s="23"/>
      <c r="BC2071" s="16"/>
      <c r="BD2071" s="23"/>
      <c r="BE2071" s="23"/>
      <c r="BF2071" s="23"/>
      <c r="BG2071" s="16"/>
      <c r="BH2071" s="23"/>
      <c r="BI2071" s="23"/>
      <c r="BJ2071" s="23"/>
      <c r="BN2071" s="23"/>
      <c r="BO2071" s="23"/>
      <c r="BP2071" s="16"/>
      <c r="BQ2071" s="16"/>
      <c r="BR2071" s="23"/>
      <c r="BS2071" s="16"/>
      <c r="BT2071" s="16"/>
      <c r="BU2071" s="16"/>
      <c r="BV2071" s="16"/>
      <c r="BW2071" s="16"/>
      <c r="BX2071" s="16"/>
      <c r="BY2071" s="16"/>
    </row>
    <row r="2072">
      <c r="A2072" s="16"/>
      <c r="B2072" s="16"/>
      <c r="C2072" s="22"/>
      <c r="D2072" s="16"/>
      <c r="E2072" s="16"/>
      <c r="F2072" s="16"/>
      <c r="G2072" s="16"/>
      <c r="H2072" s="16"/>
      <c r="I2072" s="23"/>
      <c r="J2072" s="23"/>
      <c r="K2072" s="16"/>
      <c r="L2072" s="23"/>
      <c r="M2072" s="23"/>
      <c r="N2072" s="23"/>
      <c r="O2072" s="16"/>
      <c r="P2072" s="23"/>
      <c r="Q2072" s="23"/>
      <c r="R2072" s="23"/>
      <c r="S2072" s="16"/>
      <c r="T2072" s="23"/>
      <c r="U2072" s="23"/>
      <c r="V2072" s="23"/>
      <c r="W2072" s="16"/>
      <c r="X2072" s="23"/>
      <c r="Y2072" s="23"/>
      <c r="Z2072" s="23"/>
      <c r="AA2072" s="16"/>
      <c r="AB2072" s="23"/>
      <c r="AC2072" s="23"/>
      <c r="AD2072" s="23"/>
      <c r="AE2072" s="16"/>
      <c r="AF2072" s="23"/>
      <c r="AG2072" s="23"/>
      <c r="AH2072" s="23"/>
      <c r="AI2072" s="16"/>
      <c r="AJ2072" s="23"/>
      <c r="AK2072" s="23"/>
      <c r="AL2072" s="23"/>
      <c r="AM2072" s="16"/>
      <c r="AN2072" s="23"/>
      <c r="AO2072" s="23"/>
      <c r="AP2072" s="23"/>
      <c r="AQ2072" s="16"/>
      <c r="AR2072" s="23"/>
      <c r="AS2072" s="23"/>
      <c r="AT2072" s="23"/>
      <c r="AU2072" s="16"/>
      <c r="AV2072" s="23"/>
      <c r="AW2072" s="23"/>
      <c r="AX2072" s="23"/>
      <c r="AY2072" s="16"/>
      <c r="AZ2072" s="23"/>
      <c r="BA2072" s="23"/>
      <c r="BB2072" s="23"/>
      <c r="BC2072" s="16"/>
      <c r="BD2072" s="23"/>
      <c r="BE2072" s="23"/>
      <c r="BF2072" s="23"/>
      <c r="BG2072" s="16"/>
      <c r="BH2072" s="23"/>
      <c r="BI2072" s="23"/>
      <c r="BJ2072" s="23"/>
      <c r="BN2072" s="23"/>
      <c r="BO2072" s="23"/>
      <c r="BP2072" s="16"/>
      <c r="BQ2072" s="16"/>
      <c r="BR2072" s="23"/>
      <c r="BS2072" s="16"/>
      <c r="BT2072" s="16"/>
      <c r="BU2072" s="16"/>
      <c r="BV2072" s="16"/>
      <c r="BW2072" s="16"/>
      <c r="BX2072" s="16"/>
      <c r="BY2072" s="16"/>
    </row>
    <row r="2073">
      <c r="A2073" s="16"/>
      <c r="B2073" s="16"/>
      <c r="C2073" s="22"/>
      <c r="D2073" s="16"/>
      <c r="E2073" s="16"/>
      <c r="F2073" s="16"/>
      <c r="G2073" s="16"/>
      <c r="H2073" s="16"/>
      <c r="I2073" s="23"/>
      <c r="J2073" s="23"/>
      <c r="K2073" s="16"/>
      <c r="L2073" s="23"/>
      <c r="M2073" s="23"/>
      <c r="N2073" s="23"/>
      <c r="O2073" s="16"/>
      <c r="P2073" s="23"/>
      <c r="Q2073" s="23"/>
      <c r="R2073" s="23"/>
      <c r="S2073" s="16"/>
      <c r="T2073" s="23"/>
      <c r="U2073" s="23"/>
      <c r="V2073" s="23"/>
      <c r="W2073" s="16"/>
      <c r="X2073" s="23"/>
      <c r="Y2073" s="23"/>
      <c r="Z2073" s="23"/>
      <c r="AA2073" s="16"/>
      <c r="AB2073" s="23"/>
      <c r="AC2073" s="23"/>
      <c r="AD2073" s="23"/>
      <c r="AE2073" s="16"/>
      <c r="AF2073" s="23"/>
      <c r="AG2073" s="23"/>
      <c r="AH2073" s="23"/>
      <c r="AI2073" s="16"/>
      <c r="AJ2073" s="23"/>
      <c r="AK2073" s="23"/>
      <c r="AL2073" s="23"/>
      <c r="AM2073" s="16"/>
      <c r="AN2073" s="23"/>
      <c r="AO2073" s="23"/>
      <c r="AP2073" s="23"/>
      <c r="AQ2073" s="16"/>
      <c r="AR2073" s="23"/>
      <c r="AS2073" s="23"/>
      <c r="AT2073" s="23"/>
      <c r="AU2073" s="16"/>
      <c r="AV2073" s="23"/>
      <c r="AW2073" s="23"/>
      <c r="AX2073" s="23"/>
      <c r="AY2073" s="16"/>
      <c r="AZ2073" s="23"/>
      <c r="BA2073" s="23"/>
      <c r="BB2073" s="23"/>
      <c r="BC2073" s="16"/>
      <c r="BD2073" s="23"/>
      <c r="BE2073" s="23"/>
      <c r="BF2073" s="23"/>
      <c r="BG2073" s="16"/>
      <c r="BH2073" s="23"/>
      <c r="BI2073" s="23"/>
      <c r="BJ2073" s="23"/>
      <c r="BN2073" s="23"/>
      <c r="BO2073" s="23"/>
      <c r="BP2073" s="16"/>
      <c r="BQ2073" s="16"/>
      <c r="BR2073" s="23"/>
      <c r="BS2073" s="16"/>
      <c r="BT2073" s="16"/>
      <c r="BU2073" s="16"/>
      <c r="BV2073" s="16"/>
      <c r="BW2073" s="16"/>
      <c r="BX2073" s="16"/>
      <c r="BY2073" s="16"/>
    </row>
    <row r="2074">
      <c r="A2074" s="16"/>
      <c r="B2074" s="16"/>
      <c r="C2074" s="22"/>
      <c r="D2074" s="16"/>
      <c r="E2074" s="16"/>
      <c r="F2074" s="16"/>
      <c r="G2074" s="16"/>
      <c r="H2074" s="16"/>
      <c r="I2074" s="23"/>
      <c r="J2074" s="23"/>
      <c r="K2074" s="16"/>
      <c r="L2074" s="23"/>
      <c r="M2074" s="23"/>
      <c r="N2074" s="23"/>
      <c r="O2074" s="16"/>
      <c r="P2074" s="23"/>
      <c r="Q2074" s="23"/>
      <c r="R2074" s="23"/>
      <c r="S2074" s="16"/>
      <c r="T2074" s="23"/>
      <c r="U2074" s="23"/>
      <c r="V2074" s="23"/>
      <c r="W2074" s="16"/>
      <c r="X2074" s="23"/>
      <c r="Y2074" s="23"/>
      <c r="Z2074" s="23"/>
      <c r="AA2074" s="16"/>
      <c r="AB2074" s="23"/>
      <c r="AC2074" s="23"/>
      <c r="AD2074" s="23"/>
      <c r="AE2074" s="16"/>
      <c r="AF2074" s="23"/>
      <c r="AG2074" s="23"/>
      <c r="AH2074" s="23"/>
      <c r="AI2074" s="16"/>
      <c r="AJ2074" s="23"/>
      <c r="AK2074" s="23"/>
      <c r="AL2074" s="23"/>
      <c r="AM2074" s="16"/>
      <c r="AN2074" s="23"/>
      <c r="AO2074" s="23"/>
      <c r="AP2074" s="23"/>
      <c r="AQ2074" s="16"/>
      <c r="AR2074" s="23"/>
      <c r="AS2074" s="23"/>
      <c r="AT2074" s="23"/>
      <c r="AU2074" s="16"/>
      <c r="AV2074" s="23"/>
      <c r="AW2074" s="23"/>
      <c r="AX2074" s="23"/>
      <c r="AY2074" s="16"/>
      <c r="AZ2074" s="23"/>
      <c r="BA2074" s="23"/>
      <c r="BB2074" s="23"/>
      <c r="BC2074" s="16"/>
      <c r="BD2074" s="23"/>
      <c r="BE2074" s="23"/>
      <c r="BF2074" s="23"/>
      <c r="BG2074" s="16"/>
      <c r="BH2074" s="23"/>
      <c r="BI2074" s="23"/>
      <c r="BJ2074" s="23"/>
      <c r="BN2074" s="23"/>
      <c r="BO2074" s="23"/>
      <c r="BP2074" s="16"/>
      <c r="BQ2074" s="16"/>
      <c r="BR2074" s="23"/>
      <c r="BS2074" s="16"/>
      <c r="BT2074" s="16"/>
      <c r="BU2074" s="16"/>
      <c r="BV2074" s="16"/>
      <c r="BW2074" s="16"/>
      <c r="BX2074" s="16"/>
      <c r="BY2074" s="16"/>
    </row>
    <row r="2075">
      <c r="A2075" s="16"/>
      <c r="B2075" s="16"/>
      <c r="C2075" s="22"/>
      <c r="D2075" s="16"/>
      <c r="E2075" s="16"/>
      <c r="F2075" s="16"/>
      <c r="G2075" s="16"/>
      <c r="H2075" s="16"/>
      <c r="I2075" s="23"/>
      <c r="J2075" s="23"/>
      <c r="K2075" s="16"/>
      <c r="L2075" s="23"/>
      <c r="M2075" s="23"/>
      <c r="N2075" s="23"/>
      <c r="O2075" s="16"/>
      <c r="P2075" s="23"/>
      <c r="Q2075" s="23"/>
      <c r="R2075" s="23"/>
      <c r="S2075" s="16"/>
      <c r="T2075" s="23"/>
      <c r="U2075" s="23"/>
      <c r="V2075" s="23"/>
      <c r="W2075" s="16"/>
      <c r="X2075" s="23"/>
      <c r="Y2075" s="23"/>
      <c r="Z2075" s="23"/>
      <c r="AA2075" s="16"/>
      <c r="AB2075" s="23"/>
      <c r="AC2075" s="23"/>
      <c r="AD2075" s="23"/>
      <c r="AE2075" s="16"/>
      <c r="AF2075" s="23"/>
      <c r="AG2075" s="23"/>
      <c r="AH2075" s="23"/>
      <c r="AI2075" s="16"/>
      <c r="AJ2075" s="23"/>
      <c r="AK2075" s="23"/>
      <c r="AL2075" s="23"/>
      <c r="AM2075" s="16"/>
      <c r="AN2075" s="23"/>
      <c r="AO2075" s="23"/>
      <c r="AP2075" s="23"/>
      <c r="AQ2075" s="16"/>
      <c r="AR2075" s="23"/>
      <c r="AS2075" s="23"/>
      <c r="AT2075" s="23"/>
      <c r="AU2075" s="16"/>
      <c r="AV2075" s="23"/>
      <c r="AW2075" s="23"/>
      <c r="AX2075" s="23"/>
      <c r="AY2075" s="16"/>
      <c r="AZ2075" s="23"/>
      <c r="BA2075" s="23"/>
      <c r="BB2075" s="23"/>
      <c r="BC2075" s="16"/>
      <c r="BD2075" s="23"/>
      <c r="BE2075" s="23"/>
      <c r="BF2075" s="23"/>
      <c r="BG2075" s="16"/>
      <c r="BH2075" s="23"/>
      <c r="BI2075" s="23"/>
      <c r="BJ2075" s="23"/>
      <c r="BN2075" s="23"/>
      <c r="BO2075" s="23"/>
      <c r="BP2075" s="16"/>
      <c r="BQ2075" s="16"/>
      <c r="BR2075" s="23"/>
      <c r="BS2075" s="16"/>
      <c r="BT2075" s="16"/>
      <c r="BU2075" s="16"/>
      <c r="BV2075" s="16"/>
      <c r="BW2075" s="16"/>
      <c r="BX2075" s="16"/>
      <c r="BY2075" s="16"/>
    </row>
    <row r="2076">
      <c r="A2076" s="16"/>
      <c r="B2076" s="16"/>
      <c r="C2076" s="22"/>
      <c r="D2076" s="16"/>
      <c r="E2076" s="16"/>
      <c r="F2076" s="16"/>
      <c r="G2076" s="16"/>
      <c r="H2076" s="16"/>
      <c r="I2076" s="23"/>
      <c r="J2076" s="23"/>
      <c r="K2076" s="16"/>
      <c r="L2076" s="23"/>
      <c r="M2076" s="23"/>
      <c r="N2076" s="23"/>
      <c r="O2076" s="16"/>
      <c r="P2076" s="23"/>
      <c r="Q2076" s="23"/>
      <c r="R2076" s="23"/>
      <c r="S2076" s="16"/>
      <c r="T2076" s="23"/>
      <c r="U2076" s="23"/>
      <c r="V2076" s="23"/>
      <c r="W2076" s="16"/>
      <c r="X2076" s="23"/>
      <c r="Y2076" s="23"/>
      <c r="Z2076" s="23"/>
      <c r="AA2076" s="16"/>
      <c r="AB2076" s="23"/>
      <c r="AC2076" s="23"/>
      <c r="AD2076" s="23"/>
      <c r="AE2076" s="16"/>
      <c r="AF2076" s="23"/>
      <c r="AG2076" s="23"/>
      <c r="AH2076" s="23"/>
      <c r="AI2076" s="16"/>
      <c r="AJ2076" s="23"/>
      <c r="AK2076" s="23"/>
      <c r="AL2076" s="23"/>
      <c r="AM2076" s="16"/>
      <c r="AN2076" s="23"/>
      <c r="AO2076" s="23"/>
      <c r="AP2076" s="23"/>
      <c r="AQ2076" s="16"/>
      <c r="AR2076" s="23"/>
      <c r="AS2076" s="23"/>
      <c r="AT2076" s="23"/>
      <c r="AU2076" s="16"/>
      <c r="AV2076" s="23"/>
      <c r="AW2076" s="23"/>
      <c r="AX2076" s="23"/>
      <c r="AY2076" s="16"/>
      <c r="AZ2076" s="23"/>
      <c r="BA2076" s="23"/>
      <c r="BB2076" s="23"/>
      <c r="BC2076" s="16"/>
      <c r="BD2076" s="23"/>
      <c r="BE2076" s="23"/>
      <c r="BF2076" s="23"/>
      <c r="BG2076" s="16"/>
      <c r="BH2076" s="23"/>
      <c r="BI2076" s="23"/>
      <c r="BJ2076" s="23"/>
      <c r="BN2076" s="23"/>
      <c r="BO2076" s="23"/>
      <c r="BP2076" s="16"/>
      <c r="BQ2076" s="16"/>
      <c r="BR2076" s="23"/>
      <c r="BS2076" s="16"/>
      <c r="BT2076" s="16"/>
      <c r="BU2076" s="16"/>
      <c r="BV2076" s="16"/>
      <c r="BW2076" s="16"/>
      <c r="BX2076" s="16"/>
      <c r="BY2076" s="16"/>
    </row>
    <row r="2077">
      <c r="A2077" s="16"/>
      <c r="B2077" s="16"/>
      <c r="C2077" s="22"/>
      <c r="D2077" s="16"/>
      <c r="E2077" s="16"/>
      <c r="F2077" s="16"/>
      <c r="G2077" s="16"/>
      <c r="H2077" s="16"/>
      <c r="I2077" s="23"/>
      <c r="J2077" s="23"/>
      <c r="K2077" s="16"/>
      <c r="L2077" s="23"/>
      <c r="M2077" s="23"/>
      <c r="N2077" s="23"/>
      <c r="O2077" s="16"/>
      <c r="P2077" s="23"/>
      <c r="Q2077" s="23"/>
      <c r="R2077" s="23"/>
      <c r="S2077" s="16"/>
      <c r="T2077" s="23"/>
      <c r="U2077" s="23"/>
      <c r="V2077" s="23"/>
      <c r="W2077" s="16"/>
      <c r="X2077" s="23"/>
      <c r="Y2077" s="23"/>
      <c r="Z2077" s="23"/>
      <c r="AA2077" s="16"/>
      <c r="AB2077" s="23"/>
      <c r="AC2077" s="23"/>
      <c r="AD2077" s="23"/>
      <c r="AE2077" s="16"/>
      <c r="AF2077" s="23"/>
      <c r="AG2077" s="23"/>
      <c r="AH2077" s="23"/>
      <c r="AI2077" s="16"/>
      <c r="AJ2077" s="23"/>
      <c r="AK2077" s="23"/>
      <c r="AL2077" s="23"/>
      <c r="AM2077" s="16"/>
      <c r="AN2077" s="23"/>
      <c r="AO2077" s="23"/>
      <c r="AP2077" s="23"/>
      <c r="AQ2077" s="16"/>
      <c r="AR2077" s="23"/>
      <c r="AS2077" s="23"/>
      <c r="AT2077" s="23"/>
      <c r="AU2077" s="16"/>
      <c r="AV2077" s="23"/>
      <c r="AW2077" s="23"/>
      <c r="AX2077" s="23"/>
      <c r="AY2077" s="16"/>
      <c r="AZ2077" s="23"/>
      <c r="BA2077" s="23"/>
      <c r="BB2077" s="23"/>
      <c r="BC2077" s="16"/>
      <c r="BD2077" s="23"/>
      <c r="BE2077" s="23"/>
      <c r="BF2077" s="23"/>
      <c r="BG2077" s="16"/>
      <c r="BH2077" s="23"/>
      <c r="BI2077" s="23"/>
      <c r="BJ2077" s="23"/>
      <c r="BN2077" s="23"/>
      <c r="BO2077" s="23"/>
      <c r="BP2077" s="16"/>
      <c r="BQ2077" s="16"/>
      <c r="BR2077" s="23"/>
      <c r="BS2077" s="16"/>
      <c r="BT2077" s="16"/>
      <c r="BU2077" s="16"/>
      <c r="BV2077" s="16"/>
      <c r="BW2077" s="16"/>
      <c r="BX2077" s="16"/>
      <c r="BY2077" s="16"/>
    </row>
    <row r="2078">
      <c r="A2078" s="16"/>
      <c r="B2078" s="16"/>
      <c r="C2078" s="22"/>
      <c r="D2078" s="16"/>
      <c r="E2078" s="16"/>
      <c r="F2078" s="16"/>
      <c r="G2078" s="16"/>
      <c r="H2078" s="16"/>
      <c r="I2078" s="23"/>
      <c r="J2078" s="23"/>
      <c r="K2078" s="16"/>
      <c r="L2078" s="23"/>
      <c r="M2078" s="23"/>
      <c r="N2078" s="23"/>
      <c r="O2078" s="16"/>
      <c r="P2078" s="23"/>
      <c r="Q2078" s="23"/>
      <c r="R2078" s="23"/>
      <c r="S2078" s="16"/>
      <c r="T2078" s="23"/>
      <c r="U2078" s="23"/>
      <c r="V2078" s="23"/>
      <c r="W2078" s="16"/>
      <c r="X2078" s="23"/>
      <c r="Y2078" s="23"/>
      <c r="Z2078" s="23"/>
      <c r="AA2078" s="16"/>
      <c r="AB2078" s="23"/>
      <c r="AC2078" s="23"/>
      <c r="AD2078" s="23"/>
      <c r="AE2078" s="16"/>
      <c r="AF2078" s="23"/>
      <c r="AG2078" s="23"/>
      <c r="AH2078" s="23"/>
      <c r="AI2078" s="16"/>
      <c r="AJ2078" s="23"/>
      <c r="AK2078" s="23"/>
      <c r="AL2078" s="23"/>
      <c r="AM2078" s="16"/>
      <c r="AN2078" s="23"/>
      <c r="AO2078" s="23"/>
      <c r="AP2078" s="23"/>
      <c r="AQ2078" s="16"/>
      <c r="AR2078" s="23"/>
      <c r="AS2078" s="23"/>
      <c r="AT2078" s="23"/>
      <c r="AU2078" s="16"/>
      <c r="AV2078" s="23"/>
      <c r="AW2078" s="23"/>
      <c r="AX2078" s="23"/>
      <c r="AY2078" s="16"/>
      <c r="AZ2078" s="23"/>
      <c r="BA2078" s="23"/>
      <c r="BB2078" s="23"/>
      <c r="BC2078" s="16"/>
      <c r="BD2078" s="23"/>
      <c r="BE2078" s="23"/>
      <c r="BF2078" s="23"/>
      <c r="BG2078" s="16"/>
      <c r="BH2078" s="23"/>
      <c r="BI2078" s="23"/>
      <c r="BJ2078" s="23"/>
      <c r="BN2078" s="23"/>
      <c r="BO2078" s="23"/>
      <c r="BP2078" s="16"/>
      <c r="BQ2078" s="16"/>
      <c r="BR2078" s="23"/>
      <c r="BS2078" s="16"/>
      <c r="BT2078" s="16"/>
      <c r="BU2078" s="16"/>
      <c r="BV2078" s="16"/>
      <c r="BW2078" s="16"/>
      <c r="BX2078" s="16"/>
      <c r="BY2078" s="16"/>
    </row>
    <row r="2079">
      <c r="A2079" s="16"/>
      <c r="B2079" s="16"/>
      <c r="C2079" s="22"/>
      <c r="D2079" s="16"/>
      <c r="E2079" s="16"/>
      <c r="F2079" s="16"/>
      <c r="G2079" s="16"/>
      <c r="H2079" s="16"/>
      <c r="I2079" s="23"/>
      <c r="J2079" s="23"/>
      <c r="K2079" s="16"/>
      <c r="L2079" s="23"/>
      <c r="M2079" s="23"/>
      <c r="N2079" s="23"/>
      <c r="O2079" s="16"/>
      <c r="P2079" s="23"/>
      <c r="Q2079" s="23"/>
      <c r="R2079" s="23"/>
      <c r="S2079" s="16"/>
      <c r="T2079" s="23"/>
      <c r="U2079" s="23"/>
      <c r="V2079" s="23"/>
      <c r="W2079" s="16"/>
      <c r="X2079" s="23"/>
      <c r="Y2079" s="23"/>
      <c r="Z2079" s="23"/>
      <c r="AA2079" s="16"/>
      <c r="AB2079" s="23"/>
      <c r="AC2079" s="23"/>
      <c r="AD2079" s="23"/>
      <c r="AE2079" s="16"/>
      <c r="AF2079" s="23"/>
      <c r="AG2079" s="23"/>
      <c r="AH2079" s="23"/>
      <c r="AI2079" s="16"/>
      <c r="AJ2079" s="23"/>
      <c r="AK2079" s="23"/>
      <c r="AL2079" s="23"/>
      <c r="AM2079" s="16"/>
      <c r="AN2079" s="23"/>
      <c r="AO2079" s="23"/>
      <c r="AP2079" s="23"/>
      <c r="AQ2079" s="16"/>
      <c r="AR2079" s="23"/>
      <c r="AS2079" s="23"/>
      <c r="AT2079" s="23"/>
      <c r="AU2079" s="16"/>
      <c r="AV2079" s="23"/>
      <c r="AW2079" s="23"/>
      <c r="AX2079" s="23"/>
      <c r="AY2079" s="16"/>
      <c r="AZ2079" s="23"/>
      <c r="BA2079" s="23"/>
      <c r="BB2079" s="23"/>
      <c r="BC2079" s="16"/>
      <c r="BD2079" s="23"/>
      <c r="BE2079" s="23"/>
      <c r="BF2079" s="23"/>
      <c r="BG2079" s="16"/>
      <c r="BH2079" s="23"/>
      <c r="BI2079" s="23"/>
      <c r="BJ2079" s="23"/>
      <c r="BN2079" s="23"/>
      <c r="BO2079" s="23"/>
      <c r="BP2079" s="16"/>
      <c r="BQ2079" s="16"/>
      <c r="BR2079" s="23"/>
      <c r="BS2079" s="16"/>
      <c r="BT2079" s="16"/>
      <c r="BU2079" s="16"/>
      <c r="BV2079" s="16"/>
      <c r="BW2079" s="16"/>
      <c r="BX2079" s="16"/>
      <c r="BY2079" s="16"/>
    </row>
    <row r="2080">
      <c r="A2080" s="16"/>
      <c r="B2080" s="16"/>
      <c r="C2080" s="22"/>
      <c r="D2080" s="16"/>
      <c r="E2080" s="16"/>
      <c r="F2080" s="16"/>
      <c r="G2080" s="16"/>
      <c r="H2080" s="16"/>
      <c r="I2080" s="23"/>
      <c r="J2080" s="23"/>
      <c r="K2080" s="16"/>
      <c r="L2080" s="23"/>
      <c r="M2080" s="23"/>
      <c r="N2080" s="23"/>
      <c r="O2080" s="16"/>
      <c r="P2080" s="23"/>
      <c r="Q2080" s="23"/>
      <c r="R2080" s="23"/>
      <c r="S2080" s="16"/>
      <c r="T2080" s="23"/>
      <c r="U2080" s="23"/>
      <c r="V2080" s="23"/>
      <c r="W2080" s="16"/>
      <c r="X2080" s="23"/>
      <c r="Y2080" s="23"/>
      <c r="Z2080" s="23"/>
      <c r="AA2080" s="16"/>
      <c r="AB2080" s="23"/>
      <c r="AC2080" s="23"/>
      <c r="AD2080" s="23"/>
      <c r="AE2080" s="16"/>
      <c r="AF2080" s="23"/>
      <c r="AG2080" s="23"/>
      <c r="AH2080" s="23"/>
      <c r="AI2080" s="16"/>
      <c r="AJ2080" s="23"/>
      <c r="AK2080" s="23"/>
      <c r="AL2080" s="23"/>
      <c r="AM2080" s="16"/>
      <c r="AN2080" s="23"/>
      <c r="AO2080" s="23"/>
      <c r="AP2080" s="23"/>
      <c r="AQ2080" s="16"/>
      <c r="AR2080" s="23"/>
      <c r="AS2080" s="23"/>
      <c r="AT2080" s="23"/>
      <c r="AU2080" s="16"/>
      <c r="AV2080" s="23"/>
      <c r="AW2080" s="23"/>
      <c r="AX2080" s="23"/>
      <c r="AY2080" s="16"/>
      <c r="AZ2080" s="23"/>
      <c r="BA2080" s="23"/>
      <c r="BB2080" s="23"/>
      <c r="BC2080" s="16"/>
      <c r="BD2080" s="23"/>
      <c r="BE2080" s="23"/>
      <c r="BF2080" s="23"/>
      <c r="BG2080" s="16"/>
      <c r="BH2080" s="23"/>
      <c r="BI2080" s="23"/>
      <c r="BJ2080" s="23"/>
      <c r="BN2080" s="23"/>
      <c r="BO2080" s="23"/>
      <c r="BP2080" s="16"/>
      <c r="BQ2080" s="16"/>
      <c r="BR2080" s="23"/>
      <c r="BS2080" s="16"/>
      <c r="BT2080" s="16"/>
      <c r="BU2080" s="16"/>
      <c r="BV2080" s="16"/>
      <c r="BW2080" s="16"/>
      <c r="BX2080" s="16"/>
      <c r="BY2080" s="16"/>
    </row>
    <row r="2081">
      <c r="A2081" s="16"/>
      <c r="B2081" s="16"/>
      <c r="C2081" s="22"/>
      <c r="D2081" s="16"/>
      <c r="E2081" s="16"/>
      <c r="F2081" s="16"/>
      <c r="G2081" s="16"/>
      <c r="H2081" s="16"/>
      <c r="I2081" s="23"/>
      <c r="J2081" s="23"/>
      <c r="K2081" s="16"/>
      <c r="L2081" s="23"/>
      <c r="M2081" s="23"/>
      <c r="N2081" s="23"/>
      <c r="O2081" s="16"/>
      <c r="P2081" s="23"/>
      <c r="Q2081" s="23"/>
      <c r="R2081" s="23"/>
      <c r="S2081" s="16"/>
      <c r="T2081" s="23"/>
      <c r="U2081" s="23"/>
      <c r="V2081" s="23"/>
      <c r="W2081" s="16"/>
      <c r="X2081" s="23"/>
      <c r="Y2081" s="23"/>
      <c r="Z2081" s="23"/>
      <c r="AA2081" s="16"/>
      <c r="AB2081" s="23"/>
      <c r="AC2081" s="23"/>
      <c r="AD2081" s="23"/>
      <c r="AE2081" s="16"/>
      <c r="AF2081" s="23"/>
      <c r="AG2081" s="23"/>
      <c r="AH2081" s="23"/>
      <c r="AI2081" s="16"/>
      <c r="AJ2081" s="23"/>
      <c r="AK2081" s="23"/>
      <c r="AL2081" s="23"/>
      <c r="AM2081" s="16"/>
      <c r="AN2081" s="23"/>
      <c r="AO2081" s="23"/>
      <c r="AP2081" s="23"/>
      <c r="AQ2081" s="16"/>
      <c r="AR2081" s="23"/>
      <c r="AS2081" s="23"/>
      <c r="AT2081" s="23"/>
      <c r="AU2081" s="16"/>
      <c r="AV2081" s="23"/>
      <c r="AW2081" s="23"/>
      <c r="AX2081" s="23"/>
      <c r="AY2081" s="16"/>
      <c r="AZ2081" s="23"/>
      <c r="BA2081" s="23"/>
      <c r="BB2081" s="23"/>
      <c r="BC2081" s="16"/>
      <c r="BD2081" s="23"/>
      <c r="BE2081" s="23"/>
      <c r="BF2081" s="23"/>
      <c r="BG2081" s="16"/>
      <c r="BH2081" s="23"/>
      <c r="BI2081" s="23"/>
      <c r="BJ2081" s="23"/>
      <c r="BN2081" s="23"/>
      <c r="BO2081" s="23"/>
      <c r="BP2081" s="16"/>
      <c r="BQ2081" s="16"/>
      <c r="BR2081" s="23"/>
      <c r="BS2081" s="16"/>
      <c r="BT2081" s="16"/>
      <c r="BU2081" s="16"/>
      <c r="BV2081" s="16"/>
      <c r="BW2081" s="16"/>
      <c r="BX2081" s="16"/>
      <c r="BY2081" s="16"/>
    </row>
    <row r="2082">
      <c r="A2082" s="16"/>
      <c r="B2082" s="16"/>
      <c r="C2082" s="22"/>
      <c r="D2082" s="16"/>
      <c r="E2082" s="16"/>
      <c r="F2082" s="16"/>
      <c r="G2082" s="16"/>
      <c r="H2082" s="16"/>
      <c r="I2082" s="23"/>
      <c r="J2082" s="23"/>
      <c r="K2082" s="16"/>
      <c r="L2082" s="23"/>
      <c r="M2082" s="23"/>
      <c r="N2082" s="23"/>
      <c r="O2082" s="16"/>
      <c r="P2082" s="23"/>
      <c r="Q2082" s="23"/>
      <c r="R2082" s="23"/>
      <c r="S2082" s="16"/>
      <c r="T2082" s="23"/>
      <c r="U2082" s="23"/>
      <c r="V2082" s="23"/>
      <c r="W2082" s="16"/>
      <c r="X2082" s="23"/>
      <c r="Y2082" s="23"/>
      <c r="Z2082" s="23"/>
      <c r="AA2082" s="16"/>
      <c r="AB2082" s="23"/>
      <c r="AC2082" s="23"/>
      <c r="AD2082" s="23"/>
      <c r="AE2082" s="16"/>
      <c r="AF2082" s="23"/>
      <c r="AG2082" s="23"/>
      <c r="AH2082" s="23"/>
      <c r="AI2082" s="16"/>
      <c r="AJ2082" s="23"/>
      <c r="AK2082" s="23"/>
      <c r="AL2082" s="23"/>
      <c r="AM2082" s="16"/>
      <c r="AN2082" s="23"/>
      <c r="AO2082" s="23"/>
      <c r="AP2082" s="23"/>
      <c r="AQ2082" s="16"/>
      <c r="AR2082" s="23"/>
      <c r="AS2082" s="23"/>
      <c r="AT2082" s="23"/>
      <c r="AU2082" s="16"/>
      <c r="AV2082" s="23"/>
      <c r="AW2082" s="23"/>
      <c r="AX2082" s="23"/>
      <c r="AY2082" s="16"/>
      <c r="AZ2082" s="23"/>
      <c r="BA2082" s="23"/>
      <c r="BB2082" s="23"/>
      <c r="BC2082" s="16"/>
      <c r="BD2082" s="23"/>
      <c r="BE2082" s="23"/>
      <c r="BF2082" s="23"/>
      <c r="BG2082" s="16"/>
      <c r="BH2082" s="23"/>
      <c r="BI2082" s="23"/>
      <c r="BJ2082" s="23"/>
      <c r="BN2082" s="23"/>
      <c r="BO2082" s="23"/>
      <c r="BP2082" s="16"/>
      <c r="BQ2082" s="16"/>
      <c r="BR2082" s="23"/>
      <c r="BS2082" s="16"/>
      <c r="BT2082" s="16"/>
      <c r="BU2082" s="16"/>
      <c r="BV2082" s="16"/>
      <c r="BW2082" s="16"/>
      <c r="BX2082" s="16"/>
      <c r="BY2082" s="16"/>
    </row>
    <row r="2083">
      <c r="A2083" s="16"/>
      <c r="B2083" s="16"/>
      <c r="C2083" s="22"/>
      <c r="D2083" s="16"/>
      <c r="E2083" s="16"/>
      <c r="F2083" s="16"/>
      <c r="G2083" s="16"/>
      <c r="H2083" s="16"/>
      <c r="I2083" s="23"/>
      <c r="J2083" s="23"/>
      <c r="K2083" s="16"/>
      <c r="L2083" s="23"/>
      <c r="M2083" s="23"/>
      <c r="N2083" s="23"/>
      <c r="O2083" s="16"/>
      <c r="P2083" s="23"/>
      <c r="Q2083" s="23"/>
      <c r="R2083" s="23"/>
      <c r="S2083" s="16"/>
      <c r="T2083" s="23"/>
      <c r="U2083" s="23"/>
      <c r="V2083" s="23"/>
      <c r="W2083" s="16"/>
      <c r="X2083" s="23"/>
      <c r="Y2083" s="23"/>
      <c r="Z2083" s="23"/>
      <c r="AA2083" s="16"/>
      <c r="AB2083" s="23"/>
      <c r="AC2083" s="23"/>
      <c r="AD2083" s="23"/>
      <c r="AE2083" s="16"/>
      <c r="AF2083" s="23"/>
      <c r="AG2083" s="23"/>
      <c r="AH2083" s="23"/>
      <c r="AI2083" s="16"/>
      <c r="AJ2083" s="23"/>
      <c r="AK2083" s="23"/>
      <c r="AL2083" s="23"/>
      <c r="AM2083" s="16"/>
      <c r="AN2083" s="23"/>
      <c r="AO2083" s="23"/>
      <c r="AP2083" s="23"/>
      <c r="AQ2083" s="16"/>
      <c r="AR2083" s="23"/>
      <c r="AS2083" s="23"/>
      <c r="AT2083" s="23"/>
      <c r="AU2083" s="16"/>
      <c r="AV2083" s="23"/>
      <c r="AW2083" s="23"/>
      <c r="AX2083" s="23"/>
      <c r="AY2083" s="16"/>
      <c r="AZ2083" s="23"/>
      <c r="BA2083" s="23"/>
      <c r="BB2083" s="23"/>
      <c r="BC2083" s="16"/>
      <c r="BD2083" s="23"/>
      <c r="BE2083" s="23"/>
      <c r="BF2083" s="23"/>
      <c r="BG2083" s="16"/>
      <c r="BH2083" s="23"/>
      <c r="BI2083" s="23"/>
      <c r="BJ2083" s="23"/>
      <c r="BN2083" s="23"/>
      <c r="BO2083" s="23"/>
      <c r="BP2083" s="16"/>
      <c r="BQ2083" s="16"/>
      <c r="BR2083" s="23"/>
      <c r="BS2083" s="16"/>
      <c r="BT2083" s="16"/>
      <c r="BU2083" s="16"/>
      <c r="BV2083" s="16"/>
      <c r="BW2083" s="16"/>
      <c r="BX2083" s="16"/>
      <c r="BY2083" s="16"/>
    </row>
    <row r="2084">
      <c r="A2084" s="16"/>
      <c r="B2084" s="16"/>
      <c r="C2084" s="22"/>
      <c r="D2084" s="16"/>
      <c r="E2084" s="16"/>
      <c r="F2084" s="16"/>
      <c r="G2084" s="16"/>
      <c r="H2084" s="16"/>
      <c r="I2084" s="23"/>
      <c r="J2084" s="23"/>
      <c r="K2084" s="16"/>
      <c r="L2084" s="23"/>
      <c r="M2084" s="23"/>
      <c r="N2084" s="23"/>
      <c r="O2084" s="16"/>
      <c r="P2084" s="23"/>
      <c r="Q2084" s="23"/>
      <c r="R2084" s="23"/>
      <c r="S2084" s="16"/>
      <c r="T2084" s="23"/>
      <c r="U2084" s="23"/>
      <c r="V2084" s="23"/>
      <c r="W2084" s="16"/>
      <c r="X2084" s="23"/>
      <c r="Y2084" s="23"/>
      <c r="Z2084" s="23"/>
      <c r="AA2084" s="16"/>
      <c r="AB2084" s="23"/>
      <c r="AC2084" s="23"/>
      <c r="AD2084" s="23"/>
      <c r="AE2084" s="16"/>
      <c r="AF2084" s="23"/>
      <c r="AG2084" s="23"/>
      <c r="AH2084" s="23"/>
      <c r="AI2084" s="16"/>
      <c r="AJ2084" s="23"/>
      <c r="AK2084" s="23"/>
      <c r="AL2084" s="23"/>
      <c r="AM2084" s="16"/>
      <c r="AN2084" s="23"/>
      <c r="AO2084" s="23"/>
      <c r="AP2084" s="23"/>
      <c r="AQ2084" s="16"/>
      <c r="AR2084" s="23"/>
      <c r="AS2084" s="23"/>
      <c r="AT2084" s="23"/>
      <c r="AU2084" s="16"/>
      <c r="AV2084" s="23"/>
      <c r="AW2084" s="23"/>
      <c r="AX2084" s="23"/>
      <c r="AY2084" s="16"/>
      <c r="AZ2084" s="23"/>
      <c r="BA2084" s="23"/>
      <c r="BB2084" s="23"/>
      <c r="BC2084" s="16"/>
      <c r="BD2084" s="23"/>
      <c r="BE2084" s="23"/>
      <c r="BF2084" s="23"/>
      <c r="BG2084" s="16"/>
      <c r="BH2084" s="23"/>
      <c r="BI2084" s="23"/>
      <c r="BJ2084" s="23"/>
      <c r="BN2084" s="23"/>
      <c r="BO2084" s="23"/>
      <c r="BP2084" s="16"/>
      <c r="BQ2084" s="16"/>
      <c r="BR2084" s="23"/>
      <c r="BS2084" s="16"/>
      <c r="BT2084" s="16"/>
      <c r="BU2084" s="16"/>
      <c r="BV2084" s="16"/>
      <c r="BW2084" s="16"/>
      <c r="BX2084" s="16"/>
      <c r="BY2084" s="16"/>
    </row>
    <row r="2085">
      <c r="A2085" s="16"/>
      <c r="B2085" s="16"/>
      <c r="C2085" s="22"/>
      <c r="D2085" s="16"/>
      <c r="E2085" s="16"/>
      <c r="F2085" s="16"/>
      <c r="G2085" s="16"/>
      <c r="H2085" s="16"/>
      <c r="I2085" s="23"/>
      <c r="J2085" s="23"/>
      <c r="K2085" s="16"/>
      <c r="L2085" s="23"/>
      <c r="M2085" s="23"/>
      <c r="N2085" s="23"/>
      <c r="O2085" s="16"/>
      <c r="P2085" s="23"/>
      <c r="Q2085" s="23"/>
      <c r="R2085" s="23"/>
      <c r="S2085" s="16"/>
      <c r="T2085" s="23"/>
      <c r="U2085" s="23"/>
      <c r="V2085" s="23"/>
      <c r="W2085" s="16"/>
      <c r="X2085" s="23"/>
      <c r="Y2085" s="23"/>
      <c r="Z2085" s="23"/>
      <c r="AA2085" s="16"/>
      <c r="AB2085" s="23"/>
      <c r="AC2085" s="23"/>
      <c r="AD2085" s="23"/>
      <c r="AE2085" s="16"/>
      <c r="AF2085" s="23"/>
      <c r="AG2085" s="23"/>
      <c r="AH2085" s="23"/>
      <c r="AI2085" s="16"/>
      <c r="AJ2085" s="23"/>
      <c r="AK2085" s="23"/>
      <c r="AL2085" s="23"/>
      <c r="AM2085" s="16"/>
      <c r="AN2085" s="23"/>
      <c r="AO2085" s="23"/>
      <c r="AP2085" s="23"/>
      <c r="AQ2085" s="16"/>
      <c r="AR2085" s="23"/>
      <c r="AS2085" s="23"/>
      <c r="AT2085" s="23"/>
      <c r="AU2085" s="16"/>
      <c r="AV2085" s="23"/>
      <c r="AW2085" s="23"/>
      <c r="AX2085" s="23"/>
      <c r="AY2085" s="16"/>
      <c r="AZ2085" s="23"/>
      <c r="BA2085" s="23"/>
      <c r="BB2085" s="23"/>
      <c r="BC2085" s="16"/>
      <c r="BD2085" s="23"/>
      <c r="BE2085" s="23"/>
      <c r="BF2085" s="23"/>
      <c r="BG2085" s="16"/>
      <c r="BH2085" s="23"/>
      <c r="BI2085" s="23"/>
      <c r="BJ2085" s="23"/>
      <c r="BN2085" s="23"/>
      <c r="BO2085" s="23"/>
      <c r="BP2085" s="16"/>
      <c r="BQ2085" s="16"/>
      <c r="BR2085" s="23"/>
      <c r="BS2085" s="16"/>
      <c r="BT2085" s="16"/>
      <c r="BU2085" s="16"/>
      <c r="BV2085" s="16"/>
      <c r="BW2085" s="16"/>
      <c r="BX2085" s="16"/>
      <c r="BY2085" s="16"/>
    </row>
    <row r="2086">
      <c r="A2086" s="16"/>
      <c r="B2086" s="16"/>
      <c r="C2086" s="22"/>
      <c r="D2086" s="16"/>
      <c r="E2086" s="16"/>
      <c r="F2086" s="16"/>
      <c r="G2086" s="16"/>
      <c r="H2086" s="16"/>
      <c r="I2086" s="23"/>
      <c r="J2086" s="23"/>
      <c r="K2086" s="16"/>
      <c r="L2086" s="23"/>
      <c r="M2086" s="23"/>
      <c r="N2086" s="23"/>
      <c r="O2086" s="16"/>
      <c r="P2086" s="23"/>
      <c r="Q2086" s="23"/>
      <c r="R2086" s="23"/>
      <c r="S2086" s="16"/>
      <c r="T2086" s="23"/>
      <c r="U2086" s="23"/>
      <c r="V2086" s="23"/>
      <c r="W2086" s="16"/>
      <c r="X2086" s="23"/>
      <c r="Y2086" s="23"/>
      <c r="Z2086" s="23"/>
      <c r="AA2086" s="16"/>
      <c r="AB2086" s="23"/>
      <c r="AC2086" s="23"/>
      <c r="AD2086" s="23"/>
      <c r="AE2086" s="16"/>
      <c r="AF2086" s="23"/>
      <c r="AG2086" s="23"/>
      <c r="AH2086" s="23"/>
      <c r="AI2086" s="16"/>
      <c r="AJ2086" s="23"/>
      <c r="AK2086" s="23"/>
      <c r="AL2086" s="23"/>
      <c r="AM2086" s="16"/>
      <c r="AN2086" s="23"/>
      <c r="AO2086" s="23"/>
      <c r="AP2086" s="23"/>
      <c r="AQ2086" s="16"/>
      <c r="AR2086" s="23"/>
      <c r="AS2086" s="23"/>
      <c r="AT2086" s="23"/>
      <c r="AU2086" s="16"/>
      <c r="AV2086" s="23"/>
      <c r="AW2086" s="23"/>
      <c r="AX2086" s="23"/>
      <c r="AY2086" s="16"/>
      <c r="AZ2086" s="23"/>
      <c r="BA2086" s="23"/>
      <c r="BB2086" s="23"/>
      <c r="BC2086" s="16"/>
      <c r="BD2086" s="23"/>
      <c r="BE2086" s="23"/>
      <c r="BF2086" s="23"/>
      <c r="BG2086" s="16"/>
      <c r="BH2086" s="23"/>
      <c r="BI2086" s="23"/>
      <c r="BJ2086" s="23"/>
      <c r="BN2086" s="23"/>
      <c r="BO2086" s="23"/>
      <c r="BP2086" s="16"/>
      <c r="BQ2086" s="16"/>
      <c r="BR2086" s="23"/>
      <c r="BS2086" s="16"/>
      <c r="BT2086" s="16"/>
      <c r="BU2086" s="16"/>
      <c r="BV2086" s="16"/>
      <c r="BW2086" s="16"/>
      <c r="BX2086" s="16"/>
      <c r="BY2086" s="16"/>
    </row>
    <row r="2087">
      <c r="A2087" s="16"/>
      <c r="B2087" s="16"/>
      <c r="C2087" s="22"/>
      <c r="D2087" s="16"/>
      <c r="E2087" s="16"/>
      <c r="F2087" s="16"/>
      <c r="G2087" s="16"/>
      <c r="H2087" s="16"/>
      <c r="I2087" s="23"/>
      <c r="J2087" s="23"/>
      <c r="K2087" s="16"/>
      <c r="L2087" s="23"/>
      <c r="M2087" s="23"/>
      <c r="N2087" s="23"/>
      <c r="O2087" s="16"/>
      <c r="P2087" s="23"/>
      <c r="Q2087" s="23"/>
      <c r="R2087" s="23"/>
      <c r="S2087" s="16"/>
      <c r="T2087" s="23"/>
      <c r="U2087" s="23"/>
      <c r="V2087" s="23"/>
      <c r="W2087" s="16"/>
      <c r="X2087" s="23"/>
      <c r="Y2087" s="23"/>
      <c r="Z2087" s="23"/>
      <c r="AA2087" s="16"/>
      <c r="AB2087" s="23"/>
      <c r="AC2087" s="23"/>
      <c r="AD2087" s="23"/>
      <c r="AE2087" s="16"/>
      <c r="AF2087" s="23"/>
      <c r="AG2087" s="23"/>
      <c r="AH2087" s="23"/>
      <c r="AI2087" s="16"/>
      <c r="AJ2087" s="23"/>
      <c r="AK2087" s="23"/>
      <c r="AL2087" s="23"/>
      <c r="AM2087" s="16"/>
      <c r="AN2087" s="23"/>
      <c r="AO2087" s="23"/>
      <c r="AP2087" s="23"/>
      <c r="AQ2087" s="16"/>
      <c r="AR2087" s="23"/>
      <c r="AS2087" s="23"/>
      <c r="AT2087" s="23"/>
      <c r="AU2087" s="16"/>
      <c r="AV2087" s="23"/>
      <c r="AW2087" s="23"/>
      <c r="AX2087" s="23"/>
      <c r="AY2087" s="16"/>
      <c r="AZ2087" s="23"/>
      <c r="BA2087" s="23"/>
      <c r="BB2087" s="23"/>
      <c r="BC2087" s="16"/>
      <c r="BD2087" s="23"/>
      <c r="BE2087" s="23"/>
      <c r="BF2087" s="23"/>
      <c r="BG2087" s="16"/>
      <c r="BH2087" s="23"/>
      <c r="BI2087" s="23"/>
      <c r="BJ2087" s="23"/>
      <c r="BN2087" s="23"/>
      <c r="BO2087" s="23"/>
      <c r="BP2087" s="16"/>
      <c r="BQ2087" s="16"/>
      <c r="BR2087" s="23"/>
      <c r="BS2087" s="16"/>
      <c r="BT2087" s="16"/>
      <c r="BU2087" s="16"/>
      <c r="BV2087" s="16"/>
      <c r="BW2087" s="16"/>
      <c r="BX2087" s="16"/>
      <c r="BY2087" s="16"/>
    </row>
    <row r="2088">
      <c r="A2088" s="16"/>
      <c r="B2088" s="16"/>
      <c r="C2088" s="22"/>
      <c r="D2088" s="16"/>
      <c r="E2088" s="16"/>
      <c r="F2088" s="16"/>
      <c r="G2088" s="16"/>
      <c r="H2088" s="16"/>
      <c r="I2088" s="23"/>
      <c r="J2088" s="23"/>
      <c r="K2088" s="16"/>
      <c r="L2088" s="23"/>
      <c r="M2088" s="23"/>
      <c r="N2088" s="23"/>
      <c r="O2088" s="16"/>
      <c r="P2088" s="23"/>
      <c r="Q2088" s="23"/>
      <c r="R2088" s="23"/>
      <c r="S2088" s="16"/>
      <c r="T2088" s="23"/>
      <c r="U2088" s="23"/>
      <c r="V2088" s="23"/>
      <c r="W2088" s="16"/>
      <c r="X2088" s="23"/>
      <c r="Y2088" s="23"/>
      <c r="Z2088" s="23"/>
      <c r="AA2088" s="16"/>
      <c r="AB2088" s="23"/>
      <c r="AC2088" s="23"/>
      <c r="AD2088" s="23"/>
      <c r="AE2088" s="16"/>
      <c r="AF2088" s="23"/>
      <c r="AG2088" s="23"/>
      <c r="AH2088" s="23"/>
      <c r="AI2088" s="16"/>
      <c r="AJ2088" s="23"/>
      <c r="AK2088" s="23"/>
      <c r="AL2088" s="23"/>
      <c r="AM2088" s="16"/>
      <c r="AN2088" s="23"/>
      <c r="AO2088" s="23"/>
      <c r="AP2088" s="23"/>
      <c r="AQ2088" s="16"/>
      <c r="AR2088" s="23"/>
      <c r="AS2088" s="23"/>
      <c r="AT2088" s="23"/>
      <c r="AU2088" s="16"/>
      <c r="AV2088" s="23"/>
      <c r="AW2088" s="23"/>
      <c r="AX2088" s="23"/>
      <c r="AY2088" s="16"/>
      <c r="AZ2088" s="23"/>
      <c r="BA2088" s="23"/>
      <c r="BB2088" s="23"/>
      <c r="BC2088" s="16"/>
      <c r="BD2088" s="23"/>
      <c r="BE2088" s="23"/>
      <c r="BF2088" s="23"/>
      <c r="BG2088" s="16"/>
      <c r="BH2088" s="23"/>
      <c r="BI2088" s="23"/>
      <c r="BJ2088" s="23"/>
      <c r="BN2088" s="23"/>
      <c r="BO2088" s="23"/>
      <c r="BP2088" s="16"/>
      <c r="BQ2088" s="16"/>
      <c r="BR2088" s="23"/>
      <c r="BS2088" s="16"/>
      <c r="BT2088" s="16"/>
      <c r="BU2088" s="16"/>
      <c r="BV2088" s="16"/>
      <c r="BW2088" s="16"/>
      <c r="BX2088" s="16"/>
      <c r="BY2088" s="16"/>
    </row>
    <row r="2089">
      <c r="A2089" s="16"/>
      <c r="B2089" s="16"/>
      <c r="C2089" s="22"/>
      <c r="D2089" s="16"/>
      <c r="E2089" s="16"/>
      <c r="F2089" s="16"/>
      <c r="G2089" s="16"/>
      <c r="H2089" s="16"/>
      <c r="I2089" s="23"/>
      <c r="J2089" s="23"/>
      <c r="K2089" s="16"/>
      <c r="L2089" s="23"/>
      <c r="M2089" s="23"/>
      <c r="N2089" s="23"/>
      <c r="O2089" s="16"/>
      <c r="P2089" s="23"/>
      <c r="Q2089" s="23"/>
      <c r="R2089" s="23"/>
      <c r="S2089" s="16"/>
      <c r="T2089" s="23"/>
      <c r="U2089" s="23"/>
      <c r="V2089" s="23"/>
      <c r="W2089" s="16"/>
      <c r="X2089" s="23"/>
      <c r="Y2089" s="23"/>
      <c r="Z2089" s="23"/>
      <c r="AA2089" s="16"/>
      <c r="AB2089" s="23"/>
      <c r="AC2089" s="23"/>
      <c r="AD2089" s="23"/>
      <c r="AE2089" s="16"/>
      <c r="AF2089" s="23"/>
      <c r="AG2089" s="23"/>
      <c r="AH2089" s="23"/>
      <c r="AI2089" s="16"/>
      <c r="AJ2089" s="23"/>
      <c r="AK2089" s="23"/>
      <c r="AL2089" s="23"/>
      <c r="AM2089" s="16"/>
      <c r="AN2089" s="23"/>
      <c r="AO2089" s="23"/>
      <c r="AP2089" s="23"/>
      <c r="AQ2089" s="16"/>
      <c r="AR2089" s="23"/>
      <c r="AS2089" s="23"/>
      <c r="AT2089" s="23"/>
      <c r="AU2089" s="16"/>
      <c r="AV2089" s="23"/>
      <c r="AW2089" s="23"/>
      <c r="AX2089" s="23"/>
      <c r="AY2089" s="16"/>
      <c r="AZ2089" s="23"/>
      <c r="BA2089" s="23"/>
      <c r="BB2089" s="23"/>
      <c r="BC2089" s="16"/>
      <c r="BD2089" s="23"/>
      <c r="BE2089" s="23"/>
      <c r="BF2089" s="23"/>
      <c r="BG2089" s="16"/>
      <c r="BH2089" s="23"/>
      <c r="BI2089" s="23"/>
      <c r="BJ2089" s="23"/>
      <c r="BN2089" s="23"/>
      <c r="BO2089" s="23"/>
      <c r="BP2089" s="16"/>
      <c r="BQ2089" s="16"/>
      <c r="BR2089" s="23"/>
      <c r="BS2089" s="16"/>
      <c r="BT2089" s="16"/>
      <c r="BU2089" s="16"/>
      <c r="BV2089" s="16"/>
      <c r="BW2089" s="16"/>
      <c r="BX2089" s="16"/>
      <c r="BY2089" s="16"/>
    </row>
    <row r="2090">
      <c r="A2090" s="16"/>
      <c r="B2090" s="16"/>
      <c r="C2090" s="22"/>
      <c r="D2090" s="16"/>
      <c r="E2090" s="16"/>
      <c r="F2090" s="16"/>
      <c r="G2090" s="16"/>
      <c r="H2090" s="16"/>
      <c r="I2090" s="23"/>
      <c r="J2090" s="23"/>
      <c r="K2090" s="16"/>
      <c r="L2090" s="23"/>
      <c r="M2090" s="23"/>
      <c r="N2090" s="23"/>
      <c r="O2090" s="16"/>
      <c r="P2090" s="23"/>
      <c r="Q2090" s="23"/>
      <c r="R2090" s="23"/>
      <c r="S2090" s="16"/>
      <c r="T2090" s="23"/>
      <c r="U2090" s="23"/>
      <c r="V2090" s="23"/>
      <c r="W2090" s="16"/>
      <c r="X2090" s="23"/>
      <c r="Y2090" s="23"/>
      <c r="Z2090" s="23"/>
      <c r="AA2090" s="16"/>
      <c r="AB2090" s="23"/>
      <c r="AC2090" s="23"/>
      <c r="AD2090" s="23"/>
      <c r="AE2090" s="16"/>
      <c r="AF2090" s="23"/>
      <c r="AG2090" s="23"/>
      <c r="AH2090" s="23"/>
      <c r="AI2090" s="16"/>
      <c r="AJ2090" s="23"/>
      <c r="AK2090" s="23"/>
      <c r="AL2090" s="23"/>
      <c r="AM2090" s="16"/>
      <c r="AN2090" s="23"/>
      <c r="AO2090" s="23"/>
      <c r="AP2090" s="23"/>
      <c r="AQ2090" s="16"/>
      <c r="AR2090" s="23"/>
      <c r="AS2090" s="23"/>
      <c r="AT2090" s="23"/>
      <c r="AU2090" s="16"/>
      <c r="AV2090" s="23"/>
      <c r="AW2090" s="23"/>
      <c r="AX2090" s="23"/>
      <c r="AY2090" s="16"/>
      <c r="AZ2090" s="23"/>
      <c r="BA2090" s="23"/>
      <c r="BB2090" s="23"/>
      <c r="BC2090" s="16"/>
      <c r="BD2090" s="23"/>
      <c r="BE2090" s="23"/>
      <c r="BF2090" s="23"/>
      <c r="BG2090" s="16"/>
      <c r="BH2090" s="23"/>
      <c r="BI2090" s="23"/>
      <c r="BJ2090" s="23"/>
      <c r="BN2090" s="23"/>
      <c r="BO2090" s="23"/>
      <c r="BP2090" s="16"/>
      <c r="BQ2090" s="16"/>
      <c r="BR2090" s="23"/>
      <c r="BS2090" s="16"/>
      <c r="BT2090" s="16"/>
      <c r="BU2090" s="16"/>
      <c r="BV2090" s="16"/>
      <c r="BW2090" s="16"/>
      <c r="BX2090" s="16"/>
      <c r="BY2090" s="16"/>
    </row>
    <row r="2091">
      <c r="A2091" s="16"/>
      <c r="B2091" s="16"/>
      <c r="C2091" s="22"/>
      <c r="D2091" s="16"/>
      <c r="E2091" s="16"/>
      <c r="F2091" s="16"/>
      <c r="G2091" s="16"/>
      <c r="H2091" s="16"/>
      <c r="I2091" s="23"/>
      <c r="J2091" s="23"/>
      <c r="K2091" s="16"/>
      <c r="L2091" s="23"/>
      <c r="M2091" s="23"/>
      <c r="N2091" s="23"/>
      <c r="O2091" s="16"/>
      <c r="P2091" s="23"/>
      <c r="Q2091" s="23"/>
      <c r="R2091" s="23"/>
      <c r="S2091" s="16"/>
      <c r="T2091" s="23"/>
      <c r="U2091" s="23"/>
      <c r="V2091" s="23"/>
      <c r="W2091" s="16"/>
      <c r="X2091" s="23"/>
      <c r="Y2091" s="23"/>
      <c r="Z2091" s="23"/>
      <c r="AA2091" s="16"/>
      <c r="AB2091" s="23"/>
      <c r="AC2091" s="23"/>
      <c r="AD2091" s="23"/>
      <c r="AE2091" s="16"/>
      <c r="AF2091" s="23"/>
      <c r="AG2091" s="23"/>
      <c r="AH2091" s="23"/>
      <c r="AI2091" s="16"/>
      <c r="AJ2091" s="23"/>
      <c r="AK2091" s="23"/>
      <c r="AL2091" s="23"/>
      <c r="AM2091" s="16"/>
      <c r="AN2091" s="23"/>
      <c r="AO2091" s="23"/>
      <c r="AP2091" s="23"/>
      <c r="AQ2091" s="16"/>
      <c r="AR2091" s="23"/>
      <c r="AS2091" s="23"/>
      <c r="AT2091" s="23"/>
      <c r="AU2091" s="16"/>
      <c r="AV2091" s="23"/>
      <c r="AW2091" s="23"/>
      <c r="AX2091" s="23"/>
      <c r="AY2091" s="16"/>
      <c r="AZ2091" s="23"/>
      <c r="BA2091" s="23"/>
      <c r="BB2091" s="23"/>
      <c r="BC2091" s="16"/>
      <c r="BD2091" s="23"/>
      <c r="BE2091" s="23"/>
      <c r="BF2091" s="23"/>
      <c r="BG2091" s="16"/>
      <c r="BH2091" s="23"/>
      <c r="BI2091" s="23"/>
      <c r="BJ2091" s="23"/>
      <c r="BN2091" s="23"/>
      <c r="BO2091" s="23"/>
      <c r="BP2091" s="16"/>
      <c r="BQ2091" s="16"/>
      <c r="BR2091" s="23"/>
      <c r="BS2091" s="16"/>
      <c r="BT2091" s="16"/>
      <c r="BU2091" s="16"/>
      <c r="BV2091" s="16"/>
      <c r="BW2091" s="16"/>
      <c r="BX2091" s="16"/>
      <c r="BY2091" s="16"/>
    </row>
    <row r="2092">
      <c r="A2092" s="16"/>
      <c r="B2092" s="16"/>
      <c r="C2092" s="22"/>
      <c r="D2092" s="16"/>
      <c r="E2092" s="16"/>
      <c r="F2092" s="16"/>
      <c r="G2092" s="16"/>
      <c r="H2092" s="16"/>
      <c r="I2092" s="23"/>
      <c r="J2092" s="23"/>
      <c r="K2092" s="16"/>
      <c r="L2092" s="23"/>
      <c r="M2092" s="23"/>
      <c r="N2092" s="23"/>
      <c r="O2092" s="16"/>
      <c r="P2092" s="23"/>
      <c r="Q2092" s="23"/>
      <c r="R2092" s="23"/>
      <c r="S2092" s="16"/>
      <c r="T2092" s="23"/>
      <c r="U2092" s="23"/>
      <c r="V2092" s="23"/>
      <c r="W2092" s="16"/>
      <c r="X2092" s="23"/>
      <c r="Y2092" s="23"/>
      <c r="Z2092" s="23"/>
      <c r="AA2092" s="16"/>
      <c r="AB2092" s="23"/>
      <c r="AC2092" s="23"/>
      <c r="AD2092" s="23"/>
      <c r="AE2092" s="16"/>
      <c r="AF2092" s="23"/>
      <c r="AG2092" s="23"/>
      <c r="AH2092" s="23"/>
      <c r="AI2092" s="16"/>
      <c r="AJ2092" s="23"/>
      <c r="AK2092" s="23"/>
      <c r="AL2092" s="23"/>
      <c r="AM2092" s="16"/>
      <c r="AN2092" s="23"/>
      <c r="AO2092" s="23"/>
      <c r="AP2092" s="23"/>
      <c r="AQ2092" s="16"/>
      <c r="AR2092" s="23"/>
      <c r="AS2092" s="23"/>
      <c r="AT2092" s="23"/>
      <c r="AU2092" s="16"/>
      <c r="AV2092" s="23"/>
      <c r="AW2092" s="23"/>
      <c r="AX2092" s="23"/>
      <c r="AY2092" s="16"/>
      <c r="AZ2092" s="23"/>
      <c r="BA2092" s="23"/>
      <c r="BB2092" s="23"/>
      <c r="BC2092" s="16"/>
      <c r="BD2092" s="23"/>
      <c r="BE2092" s="23"/>
      <c r="BF2092" s="23"/>
      <c r="BG2092" s="16"/>
      <c r="BH2092" s="23"/>
      <c r="BI2092" s="23"/>
      <c r="BJ2092" s="23"/>
      <c r="BN2092" s="23"/>
      <c r="BO2092" s="23"/>
      <c r="BP2092" s="16"/>
      <c r="BQ2092" s="16"/>
      <c r="BR2092" s="23"/>
      <c r="BS2092" s="16"/>
      <c r="BT2092" s="16"/>
      <c r="BU2092" s="16"/>
      <c r="BV2092" s="16"/>
      <c r="BW2092" s="16"/>
      <c r="BX2092" s="16"/>
      <c r="BY2092" s="16"/>
    </row>
    <row r="2093">
      <c r="A2093" s="16"/>
      <c r="B2093" s="16"/>
      <c r="C2093" s="22"/>
      <c r="D2093" s="16"/>
      <c r="E2093" s="16"/>
      <c r="F2093" s="16"/>
      <c r="G2093" s="16"/>
      <c r="H2093" s="16"/>
      <c r="I2093" s="23"/>
      <c r="J2093" s="23"/>
      <c r="K2093" s="16"/>
      <c r="L2093" s="23"/>
      <c r="M2093" s="23"/>
      <c r="N2093" s="23"/>
      <c r="O2093" s="16"/>
      <c r="P2093" s="23"/>
      <c r="Q2093" s="23"/>
      <c r="R2093" s="23"/>
      <c r="S2093" s="16"/>
      <c r="T2093" s="23"/>
      <c r="U2093" s="23"/>
      <c r="V2093" s="23"/>
      <c r="W2093" s="16"/>
      <c r="X2093" s="23"/>
      <c r="Y2093" s="23"/>
      <c r="Z2093" s="23"/>
      <c r="AA2093" s="16"/>
      <c r="AB2093" s="23"/>
      <c r="AC2093" s="23"/>
      <c r="AD2093" s="23"/>
      <c r="AE2093" s="16"/>
      <c r="AF2093" s="23"/>
      <c r="AG2093" s="23"/>
      <c r="AH2093" s="23"/>
      <c r="AI2093" s="16"/>
      <c r="AJ2093" s="23"/>
      <c r="AK2093" s="23"/>
      <c r="AL2093" s="23"/>
      <c r="AM2093" s="16"/>
      <c r="AN2093" s="23"/>
      <c r="AO2093" s="23"/>
      <c r="AP2093" s="23"/>
      <c r="AQ2093" s="16"/>
      <c r="AR2093" s="23"/>
      <c r="AS2093" s="23"/>
      <c r="AT2093" s="23"/>
      <c r="AU2093" s="16"/>
      <c r="AV2093" s="23"/>
      <c r="AW2093" s="23"/>
      <c r="AX2093" s="23"/>
      <c r="AY2093" s="16"/>
      <c r="AZ2093" s="23"/>
      <c r="BA2093" s="23"/>
      <c r="BB2093" s="23"/>
      <c r="BC2093" s="16"/>
      <c r="BD2093" s="23"/>
      <c r="BE2093" s="23"/>
      <c r="BF2093" s="23"/>
      <c r="BG2093" s="16"/>
      <c r="BH2093" s="23"/>
      <c r="BI2093" s="23"/>
      <c r="BJ2093" s="23"/>
      <c r="BN2093" s="23"/>
      <c r="BO2093" s="23"/>
      <c r="BP2093" s="16"/>
      <c r="BQ2093" s="16"/>
      <c r="BR2093" s="23"/>
      <c r="BS2093" s="16"/>
      <c r="BT2093" s="16"/>
      <c r="BU2093" s="16"/>
      <c r="BV2093" s="16"/>
      <c r="BW2093" s="16"/>
      <c r="BX2093" s="16"/>
      <c r="BY2093" s="16"/>
    </row>
    <row r="2094">
      <c r="A2094" s="16"/>
      <c r="B2094" s="16"/>
      <c r="C2094" s="22"/>
      <c r="D2094" s="16"/>
      <c r="E2094" s="16"/>
      <c r="F2094" s="16"/>
      <c r="G2094" s="16"/>
      <c r="H2094" s="16"/>
      <c r="I2094" s="23"/>
      <c r="J2094" s="23"/>
      <c r="K2094" s="16"/>
      <c r="L2094" s="23"/>
      <c r="M2094" s="23"/>
      <c r="N2094" s="23"/>
      <c r="O2094" s="16"/>
      <c r="P2094" s="23"/>
      <c r="Q2094" s="23"/>
      <c r="R2094" s="23"/>
      <c r="S2094" s="16"/>
      <c r="T2094" s="23"/>
      <c r="U2094" s="23"/>
      <c r="V2094" s="23"/>
      <c r="W2094" s="16"/>
      <c r="X2094" s="23"/>
      <c r="Y2094" s="23"/>
      <c r="Z2094" s="23"/>
      <c r="AA2094" s="16"/>
      <c r="AB2094" s="23"/>
      <c r="AC2094" s="23"/>
      <c r="AD2094" s="23"/>
      <c r="AE2094" s="16"/>
      <c r="AF2094" s="23"/>
      <c r="AG2094" s="23"/>
      <c r="AH2094" s="23"/>
      <c r="AI2094" s="16"/>
      <c r="AJ2094" s="23"/>
      <c r="AK2094" s="23"/>
      <c r="AL2094" s="23"/>
      <c r="AM2094" s="16"/>
      <c r="AN2094" s="23"/>
      <c r="AO2094" s="23"/>
      <c r="AP2094" s="23"/>
      <c r="AQ2094" s="16"/>
      <c r="AR2094" s="23"/>
      <c r="AS2094" s="23"/>
      <c r="AT2094" s="23"/>
      <c r="AU2094" s="16"/>
      <c r="AV2094" s="23"/>
      <c r="AW2094" s="23"/>
      <c r="AX2094" s="23"/>
      <c r="AY2094" s="16"/>
      <c r="AZ2094" s="23"/>
      <c r="BA2094" s="23"/>
      <c r="BB2094" s="23"/>
      <c r="BC2094" s="16"/>
      <c r="BD2094" s="23"/>
      <c r="BE2094" s="23"/>
      <c r="BF2094" s="23"/>
      <c r="BG2094" s="16"/>
      <c r="BH2094" s="23"/>
      <c r="BI2094" s="23"/>
      <c r="BJ2094" s="23"/>
      <c r="BN2094" s="23"/>
      <c r="BO2094" s="23"/>
      <c r="BP2094" s="16"/>
      <c r="BQ2094" s="16"/>
      <c r="BR2094" s="23"/>
      <c r="BS2094" s="16"/>
      <c r="BT2094" s="16"/>
      <c r="BU2094" s="16"/>
      <c r="BV2094" s="16"/>
      <c r="BW2094" s="16"/>
      <c r="BX2094" s="16"/>
      <c r="BY2094" s="16"/>
    </row>
    <row r="2095">
      <c r="A2095" s="16"/>
      <c r="B2095" s="16"/>
      <c r="C2095" s="22"/>
      <c r="D2095" s="16"/>
      <c r="E2095" s="16"/>
      <c r="F2095" s="16"/>
      <c r="G2095" s="16"/>
      <c r="H2095" s="16"/>
      <c r="I2095" s="23"/>
      <c r="J2095" s="23"/>
      <c r="K2095" s="16"/>
      <c r="L2095" s="23"/>
      <c r="M2095" s="23"/>
      <c r="N2095" s="23"/>
      <c r="O2095" s="16"/>
      <c r="P2095" s="23"/>
      <c r="Q2095" s="23"/>
      <c r="R2095" s="23"/>
      <c r="S2095" s="16"/>
      <c r="T2095" s="23"/>
      <c r="U2095" s="23"/>
      <c r="V2095" s="23"/>
      <c r="W2095" s="16"/>
      <c r="X2095" s="23"/>
      <c r="Y2095" s="23"/>
      <c r="Z2095" s="23"/>
      <c r="AA2095" s="16"/>
      <c r="AB2095" s="23"/>
      <c r="AC2095" s="23"/>
      <c r="AD2095" s="23"/>
      <c r="AE2095" s="16"/>
      <c r="AF2095" s="23"/>
      <c r="AG2095" s="23"/>
      <c r="AH2095" s="23"/>
      <c r="AI2095" s="16"/>
      <c r="AJ2095" s="23"/>
      <c r="AK2095" s="23"/>
      <c r="AL2095" s="23"/>
      <c r="AM2095" s="16"/>
      <c r="AN2095" s="23"/>
      <c r="AO2095" s="23"/>
      <c r="AP2095" s="23"/>
      <c r="AQ2095" s="16"/>
      <c r="AR2095" s="23"/>
      <c r="AS2095" s="23"/>
      <c r="AT2095" s="23"/>
      <c r="AU2095" s="16"/>
      <c r="AV2095" s="23"/>
      <c r="AW2095" s="23"/>
      <c r="AX2095" s="23"/>
      <c r="AY2095" s="16"/>
      <c r="AZ2095" s="23"/>
      <c r="BA2095" s="23"/>
      <c r="BB2095" s="23"/>
      <c r="BC2095" s="16"/>
      <c r="BD2095" s="23"/>
      <c r="BE2095" s="23"/>
      <c r="BF2095" s="23"/>
      <c r="BG2095" s="16"/>
      <c r="BH2095" s="23"/>
      <c r="BI2095" s="23"/>
      <c r="BJ2095" s="23"/>
      <c r="BN2095" s="23"/>
      <c r="BO2095" s="23"/>
      <c r="BP2095" s="16"/>
      <c r="BQ2095" s="16"/>
      <c r="BR2095" s="23"/>
      <c r="BS2095" s="16"/>
      <c r="BT2095" s="16"/>
      <c r="BU2095" s="16"/>
      <c r="BV2095" s="16"/>
      <c r="BW2095" s="16"/>
      <c r="BX2095" s="16"/>
      <c r="BY2095" s="16"/>
    </row>
    <row r="2096">
      <c r="A2096" s="16"/>
      <c r="B2096" s="16"/>
      <c r="C2096" s="22"/>
      <c r="D2096" s="16"/>
      <c r="E2096" s="16"/>
      <c r="F2096" s="16"/>
      <c r="G2096" s="16"/>
      <c r="H2096" s="16"/>
      <c r="I2096" s="23"/>
      <c r="J2096" s="23"/>
      <c r="K2096" s="16"/>
      <c r="L2096" s="23"/>
      <c r="M2096" s="23"/>
      <c r="N2096" s="23"/>
      <c r="O2096" s="16"/>
      <c r="P2096" s="23"/>
      <c r="Q2096" s="23"/>
      <c r="R2096" s="23"/>
      <c r="S2096" s="16"/>
      <c r="T2096" s="23"/>
      <c r="U2096" s="23"/>
      <c r="V2096" s="23"/>
      <c r="W2096" s="16"/>
      <c r="X2096" s="23"/>
      <c r="Y2096" s="23"/>
      <c r="Z2096" s="23"/>
      <c r="AA2096" s="16"/>
      <c r="AB2096" s="23"/>
      <c r="AC2096" s="23"/>
      <c r="AD2096" s="23"/>
      <c r="AE2096" s="16"/>
      <c r="AF2096" s="23"/>
      <c r="AG2096" s="23"/>
      <c r="AH2096" s="23"/>
      <c r="AI2096" s="16"/>
      <c r="AJ2096" s="23"/>
      <c r="AK2096" s="23"/>
      <c r="AL2096" s="23"/>
      <c r="AM2096" s="16"/>
      <c r="AN2096" s="23"/>
      <c r="AO2096" s="23"/>
      <c r="AP2096" s="23"/>
      <c r="AQ2096" s="16"/>
      <c r="AR2096" s="23"/>
      <c r="AS2096" s="23"/>
      <c r="AT2096" s="23"/>
      <c r="AU2096" s="16"/>
      <c r="AV2096" s="23"/>
      <c r="AW2096" s="23"/>
      <c r="AX2096" s="23"/>
      <c r="AY2096" s="16"/>
      <c r="AZ2096" s="23"/>
      <c r="BA2096" s="23"/>
      <c r="BB2096" s="23"/>
      <c r="BC2096" s="16"/>
      <c r="BD2096" s="23"/>
      <c r="BE2096" s="23"/>
      <c r="BF2096" s="23"/>
      <c r="BG2096" s="16"/>
      <c r="BH2096" s="23"/>
      <c r="BI2096" s="23"/>
      <c r="BJ2096" s="23"/>
      <c r="BN2096" s="23"/>
      <c r="BO2096" s="23"/>
      <c r="BP2096" s="16"/>
      <c r="BQ2096" s="16"/>
      <c r="BR2096" s="23"/>
      <c r="BS2096" s="16"/>
      <c r="BT2096" s="16"/>
      <c r="BU2096" s="16"/>
      <c r="BV2096" s="16"/>
      <c r="BW2096" s="16"/>
      <c r="BX2096" s="16"/>
      <c r="BY2096" s="16"/>
    </row>
    <row r="2097">
      <c r="A2097" s="16"/>
      <c r="B2097" s="16"/>
      <c r="C2097" s="22"/>
      <c r="D2097" s="16"/>
      <c r="E2097" s="16"/>
      <c r="F2097" s="16"/>
      <c r="G2097" s="16"/>
      <c r="H2097" s="16"/>
      <c r="I2097" s="23"/>
      <c r="J2097" s="23"/>
      <c r="K2097" s="16"/>
      <c r="L2097" s="23"/>
      <c r="M2097" s="23"/>
      <c r="N2097" s="23"/>
      <c r="O2097" s="16"/>
      <c r="P2097" s="23"/>
      <c r="Q2097" s="23"/>
      <c r="R2097" s="23"/>
      <c r="S2097" s="16"/>
      <c r="T2097" s="23"/>
      <c r="U2097" s="23"/>
      <c r="V2097" s="23"/>
      <c r="W2097" s="16"/>
      <c r="X2097" s="23"/>
      <c r="Y2097" s="23"/>
      <c r="Z2097" s="23"/>
      <c r="AA2097" s="16"/>
      <c r="AB2097" s="23"/>
      <c r="AC2097" s="23"/>
      <c r="AD2097" s="23"/>
      <c r="AE2097" s="16"/>
      <c r="AF2097" s="23"/>
      <c r="AG2097" s="23"/>
      <c r="AH2097" s="23"/>
      <c r="AI2097" s="16"/>
      <c r="AJ2097" s="23"/>
      <c r="AK2097" s="23"/>
      <c r="AL2097" s="23"/>
      <c r="AM2097" s="16"/>
      <c r="AN2097" s="23"/>
      <c r="AO2097" s="23"/>
      <c r="AP2097" s="23"/>
      <c r="AQ2097" s="16"/>
      <c r="AR2097" s="23"/>
      <c r="AS2097" s="23"/>
      <c r="AT2097" s="23"/>
      <c r="AU2097" s="16"/>
      <c r="AV2097" s="23"/>
      <c r="AW2097" s="23"/>
      <c r="AX2097" s="23"/>
      <c r="AY2097" s="16"/>
      <c r="AZ2097" s="23"/>
      <c r="BA2097" s="23"/>
      <c r="BB2097" s="23"/>
      <c r="BC2097" s="16"/>
      <c r="BD2097" s="23"/>
      <c r="BE2097" s="23"/>
      <c r="BF2097" s="23"/>
      <c r="BG2097" s="16"/>
      <c r="BH2097" s="23"/>
      <c r="BI2097" s="23"/>
      <c r="BJ2097" s="23"/>
      <c r="BN2097" s="23"/>
      <c r="BO2097" s="23"/>
      <c r="BP2097" s="16"/>
      <c r="BQ2097" s="16"/>
      <c r="BR2097" s="23"/>
      <c r="BS2097" s="16"/>
      <c r="BT2097" s="16"/>
      <c r="BU2097" s="16"/>
      <c r="BV2097" s="16"/>
      <c r="BW2097" s="16"/>
      <c r="BX2097" s="16"/>
      <c r="BY2097" s="16"/>
    </row>
    <row r="2098">
      <c r="A2098" s="16"/>
      <c r="B2098" s="16"/>
      <c r="C2098" s="22"/>
      <c r="D2098" s="16"/>
      <c r="E2098" s="16"/>
      <c r="F2098" s="16"/>
      <c r="G2098" s="16"/>
      <c r="H2098" s="16"/>
      <c r="I2098" s="23"/>
      <c r="J2098" s="23"/>
      <c r="K2098" s="16"/>
      <c r="L2098" s="23"/>
      <c r="M2098" s="23"/>
      <c r="N2098" s="23"/>
      <c r="O2098" s="16"/>
      <c r="P2098" s="23"/>
      <c r="Q2098" s="23"/>
      <c r="R2098" s="23"/>
      <c r="S2098" s="16"/>
      <c r="T2098" s="23"/>
      <c r="U2098" s="23"/>
      <c r="V2098" s="23"/>
      <c r="W2098" s="16"/>
      <c r="X2098" s="23"/>
      <c r="Y2098" s="23"/>
      <c r="Z2098" s="23"/>
      <c r="AA2098" s="16"/>
      <c r="AB2098" s="23"/>
      <c r="AC2098" s="23"/>
      <c r="AD2098" s="23"/>
      <c r="AE2098" s="16"/>
      <c r="AF2098" s="23"/>
      <c r="AG2098" s="23"/>
      <c r="AH2098" s="23"/>
      <c r="AI2098" s="16"/>
      <c r="AJ2098" s="23"/>
      <c r="AK2098" s="23"/>
      <c r="AL2098" s="23"/>
      <c r="AM2098" s="16"/>
      <c r="AN2098" s="23"/>
      <c r="AO2098" s="23"/>
      <c r="AP2098" s="23"/>
      <c r="AQ2098" s="16"/>
      <c r="AR2098" s="23"/>
      <c r="AS2098" s="23"/>
      <c r="AT2098" s="23"/>
      <c r="AU2098" s="16"/>
      <c r="AV2098" s="23"/>
      <c r="AW2098" s="23"/>
      <c r="AX2098" s="23"/>
      <c r="AY2098" s="16"/>
      <c r="AZ2098" s="23"/>
      <c r="BA2098" s="23"/>
      <c r="BB2098" s="23"/>
      <c r="BC2098" s="16"/>
      <c r="BD2098" s="23"/>
      <c r="BE2098" s="23"/>
      <c r="BF2098" s="23"/>
      <c r="BG2098" s="16"/>
      <c r="BH2098" s="23"/>
      <c r="BI2098" s="23"/>
      <c r="BJ2098" s="23"/>
      <c r="BN2098" s="23"/>
      <c r="BO2098" s="23"/>
      <c r="BP2098" s="16"/>
      <c r="BQ2098" s="16"/>
      <c r="BR2098" s="23"/>
      <c r="BS2098" s="16"/>
      <c r="BT2098" s="16"/>
      <c r="BU2098" s="16"/>
      <c r="BV2098" s="16"/>
      <c r="BW2098" s="16"/>
      <c r="BX2098" s="16"/>
      <c r="BY2098" s="16"/>
    </row>
    <row r="2099">
      <c r="A2099" s="16"/>
      <c r="B2099" s="16"/>
      <c r="C2099" s="22"/>
      <c r="D2099" s="16"/>
      <c r="E2099" s="16"/>
      <c r="F2099" s="16"/>
      <c r="G2099" s="16"/>
      <c r="H2099" s="16"/>
      <c r="I2099" s="23"/>
      <c r="J2099" s="23"/>
      <c r="K2099" s="16"/>
      <c r="L2099" s="23"/>
      <c r="M2099" s="23"/>
      <c r="N2099" s="23"/>
      <c r="O2099" s="16"/>
      <c r="P2099" s="23"/>
      <c r="Q2099" s="23"/>
      <c r="R2099" s="23"/>
      <c r="S2099" s="16"/>
      <c r="T2099" s="23"/>
      <c r="U2099" s="23"/>
      <c r="V2099" s="23"/>
      <c r="W2099" s="16"/>
      <c r="X2099" s="23"/>
      <c r="Y2099" s="23"/>
      <c r="Z2099" s="23"/>
      <c r="AA2099" s="16"/>
      <c r="AB2099" s="23"/>
      <c r="AC2099" s="23"/>
      <c r="AD2099" s="23"/>
      <c r="AE2099" s="16"/>
      <c r="AF2099" s="23"/>
      <c r="AG2099" s="23"/>
      <c r="AH2099" s="23"/>
      <c r="AI2099" s="16"/>
      <c r="AJ2099" s="23"/>
      <c r="AK2099" s="23"/>
      <c r="AL2099" s="23"/>
      <c r="AM2099" s="16"/>
      <c r="AN2099" s="23"/>
      <c r="AO2099" s="23"/>
      <c r="AP2099" s="23"/>
      <c r="AQ2099" s="16"/>
      <c r="AR2099" s="23"/>
      <c r="AS2099" s="23"/>
      <c r="AT2099" s="23"/>
      <c r="AU2099" s="16"/>
      <c r="AV2099" s="23"/>
      <c r="AW2099" s="23"/>
      <c r="AX2099" s="23"/>
      <c r="AY2099" s="16"/>
      <c r="AZ2099" s="23"/>
      <c r="BA2099" s="23"/>
      <c r="BB2099" s="23"/>
      <c r="BC2099" s="16"/>
      <c r="BD2099" s="23"/>
      <c r="BE2099" s="23"/>
      <c r="BF2099" s="23"/>
      <c r="BG2099" s="16"/>
      <c r="BH2099" s="23"/>
      <c r="BI2099" s="23"/>
      <c r="BJ2099" s="23"/>
      <c r="BN2099" s="23"/>
      <c r="BO2099" s="23"/>
      <c r="BP2099" s="16"/>
      <c r="BQ2099" s="16"/>
      <c r="BR2099" s="23"/>
      <c r="BS2099" s="16"/>
      <c r="BT2099" s="16"/>
      <c r="BU2099" s="16"/>
      <c r="BV2099" s="16"/>
      <c r="BW2099" s="16"/>
      <c r="BX2099" s="16"/>
      <c r="BY2099" s="16"/>
    </row>
    <row r="2100">
      <c r="A2100" s="16"/>
      <c r="B2100" s="16"/>
      <c r="C2100" s="22"/>
      <c r="D2100" s="16"/>
      <c r="E2100" s="16"/>
      <c r="F2100" s="16"/>
      <c r="G2100" s="16"/>
      <c r="H2100" s="16"/>
      <c r="I2100" s="23"/>
      <c r="J2100" s="23"/>
      <c r="K2100" s="16"/>
      <c r="L2100" s="23"/>
      <c r="M2100" s="23"/>
      <c r="N2100" s="23"/>
      <c r="O2100" s="16"/>
      <c r="P2100" s="23"/>
      <c r="Q2100" s="23"/>
      <c r="R2100" s="23"/>
      <c r="S2100" s="16"/>
      <c r="T2100" s="23"/>
      <c r="U2100" s="23"/>
      <c r="V2100" s="23"/>
      <c r="W2100" s="16"/>
      <c r="X2100" s="23"/>
      <c r="Y2100" s="23"/>
      <c r="Z2100" s="23"/>
      <c r="AA2100" s="16"/>
      <c r="AB2100" s="23"/>
      <c r="AC2100" s="23"/>
      <c r="AD2100" s="23"/>
      <c r="AE2100" s="16"/>
      <c r="AF2100" s="23"/>
      <c r="AG2100" s="23"/>
      <c r="AH2100" s="23"/>
      <c r="AI2100" s="16"/>
      <c r="AJ2100" s="23"/>
      <c r="AK2100" s="23"/>
      <c r="AL2100" s="23"/>
      <c r="AM2100" s="16"/>
      <c r="AN2100" s="23"/>
      <c r="AO2100" s="23"/>
      <c r="AP2100" s="23"/>
      <c r="AQ2100" s="16"/>
      <c r="AR2100" s="23"/>
      <c r="AS2100" s="23"/>
      <c r="AT2100" s="23"/>
      <c r="AU2100" s="16"/>
      <c r="AV2100" s="23"/>
      <c r="AW2100" s="23"/>
      <c r="AX2100" s="23"/>
      <c r="AY2100" s="16"/>
      <c r="AZ2100" s="23"/>
      <c r="BA2100" s="23"/>
      <c r="BB2100" s="23"/>
      <c r="BC2100" s="16"/>
      <c r="BD2100" s="23"/>
      <c r="BE2100" s="23"/>
      <c r="BF2100" s="23"/>
      <c r="BG2100" s="16"/>
      <c r="BH2100" s="23"/>
      <c r="BI2100" s="23"/>
      <c r="BJ2100" s="23"/>
      <c r="BN2100" s="23"/>
      <c r="BO2100" s="23"/>
      <c r="BP2100" s="16"/>
      <c r="BQ2100" s="16"/>
      <c r="BR2100" s="23"/>
      <c r="BS2100" s="16"/>
      <c r="BT2100" s="16"/>
      <c r="BU2100" s="16"/>
      <c r="BV2100" s="16"/>
      <c r="BW2100" s="16"/>
      <c r="BX2100" s="16"/>
      <c r="BY2100" s="16"/>
    </row>
    <row r="2101">
      <c r="A2101" s="16"/>
      <c r="B2101" s="16"/>
      <c r="C2101" s="22"/>
      <c r="D2101" s="16"/>
      <c r="E2101" s="16"/>
      <c r="F2101" s="16"/>
      <c r="G2101" s="16"/>
      <c r="H2101" s="16"/>
      <c r="I2101" s="23"/>
      <c r="J2101" s="23"/>
      <c r="K2101" s="16"/>
      <c r="L2101" s="23"/>
      <c r="M2101" s="23"/>
      <c r="N2101" s="23"/>
      <c r="O2101" s="16"/>
      <c r="P2101" s="23"/>
      <c r="Q2101" s="23"/>
      <c r="R2101" s="23"/>
      <c r="S2101" s="16"/>
      <c r="T2101" s="23"/>
      <c r="U2101" s="23"/>
      <c r="V2101" s="23"/>
      <c r="W2101" s="16"/>
      <c r="X2101" s="23"/>
      <c r="Y2101" s="23"/>
      <c r="Z2101" s="23"/>
      <c r="AA2101" s="16"/>
      <c r="AB2101" s="23"/>
      <c r="AC2101" s="23"/>
      <c r="AD2101" s="23"/>
      <c r="AE2101" s="16"/>
      <c r="AF2101" s="23"/>
      <c r="AG2101" s="23"/>
      <c r="AH2101" s="23"/>
      <c r="AI2101" s="16"/>
      <c r="AJ2101" s="23"/>
      <c r="AK2101" s="23"/>
      <c r="AL2101" s="23"/>
      <c r="AM2101" s="16"/>
      <c r="AN2101" s="23"/>
      <c r="AO2101" s="23"/>
      <c r="AP2101" s="23"/>
      <c r="AQ2101" s="16"/>
      <c r="AR2101" s="23"/>
      <c r="AS2101" s="23"/>
      <c r="AT2101" s="23"/>
      <c r="AU2101" s="16"/>
      <c r="AV2101" s="23"/>
      <c r="AW2101" s="23"/>
      <c r="AX2101" s="23"/>
      <c r="AY2101" s="16"/>
      <c r="AZ2101" s="23"/>
      <c r="BA2101" s="23"/>
      <c r="BB2101" s="23"/>
      <c r="BC2101" s="16"/>
      <c r="BD2101" s="23"/>
      <c r="BE2101" s="23"/>
      <c r="BF2101" s="23"/>
      <c r="BG2101" s="16"/>
      <c r="BH2101" s="23"/>
      <c r="BI2101" s="23"/>
      <c r="BJ2101" s="23"/>
      <c r="BN2101" s="23"/>
      <c r="BO2101" s="23"/>
      <c r="BP2101" s="16"/>
      <c r="BQ2101" s="16"/>
      <c r="BR2101" s="23"/>
      <c r="BS2101" s="16"/>
      <c r="BT2101" s="16"/>
      <c r="BU2101" s="16"/>
      <c r="BV2101" s="16"/>
      <c r="BW2101" s="16"/>
      <c r="BX2101" s="16"/>
      <c r="BY2101" s="16"/>
    </row>
    <row r="2102">
      <c r="A2102" s="16"/>
      <c r="B2102" s="16"/>
      <c r="C2102" s="22"/>
      <c r="D2102" s="16"/>
      <c r="E2102" s="16"/>
      <c r="F2102" s="16"/>
      <c r="G2102" s="16"/>
      <c r="H2102" s="16"/>
      <c r="I2102" s="23"/>
      <c r="J2102" s="23"/>
      <c r="K2102" s="16"/>
      <c r="L2102" s="23"/>
      <c r="M2102" s="23"/>
      <c r="N2102" s="23"/>
      <c r="O2102" s="16"/>
      <c r="P2102" s="23"/>
      <c r="Q2102" s="23"/>
      <c r="R2102" s="23"/>
      <c r="S2102" s="16"/>
      <c r="T2102" s="23"/>
      <c r="U2102" s="23"/>
      <c r="V2102" s="23"/>
      <c r="W2102" s="16"/>
      <c r="X2102" s="23"/>
      <c r="Y2102" s="23"/>
      <c r="Z2102" s="23"/>
      <c r="AA2102" s="16"/>
      <c r="AB2102" s="23"/>
      <c r="AC2102" s="23"/>
      <c r="AD2102" s="23"/>
      <c r="AE2102" s="16"/>
      <c r="AF2102" s="23"/>
      <c r="AG2102" s="23"/>
      <c r="AH2102" s="23"/>
      <c r="AI2102" s="16"/>
      <c r="AJ2102" s="23"/>
      <c r="AK2102" s="23"/>
      <c r="AL2102" s="23"/>
      <c r="AM2102" s="16"/>
      <c r="AN2102" s="23"/>
      <c r="AO2102" s="23"/>
      <c r="AP2102" s="23"/>
      <c r="AQ2102" s="16"/>
      <c r="AR2102" s="23"/>
      <c r="AS2102" s="23"/>
      <c r="AT2102" s="23"/>
      <c r="AU2102" s="16"/>
      <c r="AV2102" s="23"/>
      <c r="AW2102" s="23"/>
      <c r="AX2102" s="23"/>
      <c r="AY2102" s="16"/>
      <c r="AZ2102" s="23"/>
      <c r="BA2102" s="23"/>
      <c r="BB2102" s="23"/>
      <c r="BC2102" s="16"/>
      <c r="BD2102" s="23"/>
      <c r="BE2102" s="23"/>
      <c r="BF2102" s="23"/>
      <c r="BG2102" s="16"/>
      <c r="BH2102" s="23"/>
      <c r="BI2102" s="23"/>
      <c r="BJ2102" s="23"/>
      <c r="BN2102" s="23"/>
      <c r="BO2102" s="23"/>
      <c r="BP2102" s="16"/>
      <c r="BQ2102" s="16"/>
      <c r="BR2102" s="23"/>
      <c r="BS2102" s="16"/>
      <c r="BT2102" s="16"/>
      <c r="BU2102" s="16"/>
      <c r="BV2102" s="16"/>
      <c r="BW2102" s="16"/>
      <c r="BX2102" s="16"/>
      <c r="BY2102" s="16"/>
    </row>
    <row r="2103">
      <c r="A2103" s="16"/>
      <c r="B2103" s="16"/>
      <c r="C2103" s="22"/>
      <c r="D2103" s="16"/>
      <c r="E2103" s="16"/>
      <c r="F2103" s="16"/>
      <c r="G2103" s="16"/>
      <c r="H2103" s="16"/>
      <c r="I2103" s="23"/>
      <c r="J2103" s="23"/>
      <c r="K2103" s="16"/>
      <c r="L2103" s="23"/>
      <c r="M2103" s="23"/>
      <c r="N2103" s="23"/>
      <c r="O2103" s="16"/>
      <c r="P2103" s="23"/>
      <c r="Q2103" s="23"/>
      <c r="R2103" s="23"/>
      <c r="S2103" s="16"/>
      <c r="T2103" s="23"/>
      <c r="U2103" s="23"/>
      <c r="V2103" s="23"/>
      <c r="W2103" s="16"/>
      <c r="X2103" s="23"/>
      <c r="Y2103" s="23"/>
      <c r="Z2103" s="23"/>
      <c r="AA2103" s="16"/>
      <c r="AB2103" s="23"/>
      <c r="AC2103" s="23"/>
      <c r="AD2103" s="23"/>
      <c r="AE2103" s="16"/>
      <c r="AF2103" s="23"/>
      <c r="AG2103" s="23"/>
      <c r="AH2103" s="23"/>
      <c r="AI2103" s="16"/>
      <c r="AJ2103" s="23"/>
      <c r="AK2103" s="23"/>
      <c r="AL2103" s="23"/>
      <c r="AM2103" s="16"/>
      <c r="AN2103" s="23"/>
      <c r="AO2103" s="23"/>
      <c r="AP2103" s="23"/>
      <c r="AQ2103" s="16"/>
      <c r="AR2103" s="23"/>
      <c r="AS2103" s="23"/>
      <c r="AT2103" s="23"/>
      <c r="AU2103" s="16"/>
      <c r="AV2103" s="23"/>
      <c r="AW2103" s="23"/>
      <c r="AX2103" s="23"/>
      <c r="AY2103" s="16"/>
      <c r="AZ2103" s="23"/>
      <c r="BA2103" s="23"/>
      <c r="BB2103" s="23"/>
      <c r="BC2103" s="16"/>
      <c r="BD2103" s="23"/>
      <c r="BE2103" s="23"/>
      <c r="BF2103" s="23"/>
      <c r="BG2103" s="16"/>
      <c r="BH2103" s="23"/>
      <c r="BI2103" s="23"/>
      <c r="BJ2103" s="23"/>
      <c r="BN2103" s="23"/>
      <c r="BO2103" s="23"/>
      <c r="BP2103" s="16"/>
      <c r="BQ2103" s="16"/>
      <c r="BR2103" s="23"/>
      <c r="BS2103" s="16"/>
      <c r="BT2103" s="16"/>
      <c r="BU2103" s="16"/>
      <c r="BV2103" s="16"/>
      <c r="BW2103" s="16"/>
      <c r="BX2103" s="16"/>
      <c r="BY2103" s="16"/>
    </row>
    <row r="2104">
      <c r="A2104" s="16"/>
      <c r="B2104" s="16"/>
      <c r="C2104" s="22"/>
      <c r="D2104" s="16"/>
      <c r="E2104" s="16"/>
      <c r="F2104" s="16"/>
      <c r="G2104" s="16"/>
      <c r="H2104" s="16"/>
      <c r="I2104" s="23"/>
      <c r="J2104" s="23"/>
      <c r="K2104" s="16"/>
      <c r="L2104" s="23"/>
      <c r="M2104" s="23"/>
      <c r="N2104" s="23"/>
      <c r="O2104" s="16"/>
      <c r="P2104" s="23"/>
      <c r="Q2104" s="23"/>
      <c r="R2104" s="23"/>
      <c r="S2104" s="16"/>
      <c r="T2104" s="23"/>
      <c r="U2104" s="23"/>
      <c r="V2104" s="23"/>
      <c r="W2104" s="16"/>
      <c r="X2104" s="23"/>
      <c r="Y2104" s="23"/>
      <c r="Z2104" s="23"/>
      <c r="AA2104" s="16"/>
      <c r="AB2104" s="23"/>
      <c r="AC2104" s="23"/>
      <c r="AD2104" s="23"/>
      <c r="AE2104" s="16"/>
      <c r="AF2104" s="23"/>
      <c r="AG2104" s="23"/>
      <c r="AH2104" s="23"/>
      <c r="AI2104" s="16"/>
      <c r="AJ2104" s="23"/>
      <c r="AK2104" s="23"/>
      <c r="AL2104" s="23"/>
      <c r="AM2104" s="16"/>
      <c r="AN2104" s="23"/>
      <c r="AO2104" s="23"/>
      <c r="AP2104" s="23"/>
      <c r="AQ2104" s="16"/>
      <c r="AR2104" s="23"/>
      <c r="AS2104" s="23"/>
      <c r="AT2104" s="23"/>
      <c r="AU2104" s="16"/>
      <c r="AV2104" s="23"/>
      <c r="AW2104" s="23"/>
      <c r="AX2104" s="23"/>
      <c r="AY2104" s="16"/>
      <c r="AZ2104" s="23"/>
      <c r="BA2104" s="23"/>
      <c r="BB2104" s="23"/>
      <c r="BC2104" s="16"/>
      <c r="BD2104" s="23"/>
      <c r="BE2104" s="23"/>
      <c r="BF2104" s="23"/>
      <c r="BG2104" s="16"/>
      <c r="BH2104" s="23"/>
      <c r="BI2104" s="23"/>
      <c r="BJ2104" s="23"/>
      <c r="BN2104" s="23"/>
      <c r="BO2104" s="23"/>
      <c r="BP2104" s="16"/>
      <c r="BQ2104" s="16"/>
      <c r="BR2104" s="23"/>
      <c r="BS2104" s="16"/>
      <c r="BT2104" s="16"/>
      <c r="BU2104" s="16"/>
      <c r="BV2104" s="16"/>
      <c r="BW2104" s="16"/>
      <c r="BX2104" s="16"/>
      <c r="BY2104" s="16"/>
    </row>
    <row r="2105">
      <c r="A2105" s="16"/>
      <c r="B2105" s="16"/>
      <c r="C2105" s="22"/>
      <c r="D2105" s="16"/>
      <c r="E2105" s="16"/>
      <c r="F2105" s="16"/>
      <c r="G2105" s="16"/>
      <c r="H2105" s="16"/>
      <c r="I2105" s="23"/>
      <c r="J2105" s="23"/>
      <c r="K2105" s="16"/>
      <c r="L2105" s="23"/>
      <c r="M2105" s="23"/>
      <c r="N2105" s="23"/>
      <c r="O2105" s="16"/>
      <c r="P2105" s="23"/>
      <c r="Q2105" s="23"/>
      <c r="R2105" s="23"/>
      <c r="S2105" s="16"/>
      <c r="T2105" s="23"/>
      <c r="U2105" s="23"/>
      <c r="V2105" s="23"/>
      <c r="W2105" s="16"/>
      <c r="X2105" s="23"/>
      <c r="Y2105" s="23"/>
      <c r="Z2105" s="23"/>
      <c r="AA2105" s="16"/>
      <c r="AB2105" s="23"/>
      <c r="AC2105" s="23"/>
      <c r="AD2105" s="23"/>
      <c r="AE2105" s="16"/>
      <c r="AF2105" s="23"/>
      <c r="AG2105" s="23"/>
      <c r="AH2105" s="23"/>
      <c r="AI2105" s="16"/>
      <c r="AJ2105" s="23"/>
      <c r="AK2105" s="23"/>
      <c r="AL2105" s="23"/>
      <c r="AM2105" s="16"/>
      <c r="AN2105" s="23"/>
      <c r="AO2105" s="23"/>
      <c r="AP2105" s="23"/>
      <c r="AQ2105" s="16"/>
      <c r="AR2105" s="23"/>
      <c r="AS2105" s="23"/>
      <c r="AT2105" s="23"/>
      <c r="AU2105" s="16"/>
      <c r="AV2105" s="23"/>
      <c r="AW2105" s="23"/>
      <c r="AX2105" s="23"/>
      <c r="AY2105" s="16"/>
      <c r="AZ2105" s="23"/>
      <c r="BA2105" s="23"/>
      <c r="BB2105" s="23"/>
      <c r="BC2105" s="16"/>
      <c r="BD2105" s="23"/>
      <c r="BE2105" s="23"/>
      <c r="BF2105" s="23"/>
      <c r="BG2105" s="16"/>
      <c r="BH2105" s="23"/>
      <c r="BI2105" s="23"/>
      <c r="BJ2105" s="23"/>
      <c r="BN2105" s="23"/>
      <c r="BO2105" s="23"/>
      <c r="BP2105" s="16"/>
      <c r="BQ2105" s="16"/>
      <c r="BR2105" s="23"/>
      <c r="BS2105" s="16"/>
      <c r="BT2105" s="16"/>
      <c r="BU2105" s="16"/>
      <c r="BV2105" s="16"/>
      <c r="BW2105" s="16"/>
      <c r="BX2105" s="16"/>
      <c r="BY2105" s="16"/>
    </row>
    <row r="2106">
      <c r="A2106" s="16"/>
      <c r="B2106" s="16"/>
      <c r="C2106" s="22"/>
      <c r="D2106" s="16"/>
      <c r="E2106" s="16"/>
      <c r="F2106" s="16"/>
      <c r="G2106" s="16"/>
      <c r="H2106" s="16"/>
      <c r="I2106" s="23"/>
      <c r="J2106" s="23"/>
      <c r="K2106" s="16"/>
      <c r="L2106" s="23"/>
      <c r="M2106" s="23"/>
      <c r="N2106" s="23"/>
      <c r="O2106" s="16"/>
      <c r="P2106" s="23"/>
      <c r="Q2106" s="23"/>
      <c r="R2106" s="23"/>
      <c r="S2106" s="16"/>
      <c r="T2106" s="23"/>
      <c r="U2106" s="23"/>
      <c r="V2106" s="23"/>
      <c r="W2106" s="16"/>
      <c r="X2106" s="23"/>
      <c r="Y2106" s="23"/>
      <c r="Z2106" s="23"/>
      <c r="AA2106" s="16"/>
      <c r="AB2106" s="23"/>
      <c r="AC2106" s="23"/>
      <c r="AD2106" s="23"/>
      <c r="AE2106" s="16"/>
      <c r="AF2106" s="23"/>
      <c r="AG2106" s="23"/>
      <c r="AH2106" s="23"/>
      <c r="AI2106" s="16"/>
      <c r="AJ2106" s="23"/>
      <c r="AK2106" s="23"/>
      <c r="AL2106" s="23"/>
      <c r="AM2106" s="16"/>
      <c r="AN2106" s="23"/>
      <c r="AO2106" s="23"/>
      <c r="AP2106" s="23"/>
      <c r="AQ2106" s="16"/>
      <c r="AR2106" s="23"/>
      <c r="AS2106" s="23"/>
      <c r="AT2106" s="23"/>
      <c r="AU2106" s="16"/>
      <c r="AV2106" s="23"/>
      <c r="AW2106" s="23"/>
      <c r="AX2106" s="23"/>
      <c r="AY2106" s="16"/>
      <c r="AZ2106" s="23"/>
      <c r="BA2106" s="23"/>
      <c r="BB2106" s="23"/>
      <c r="BC2106" s="16"/>
      <c r="BD2106" s="23"/>
      <c r="BE2106" s="23"/>
      <c r="BF2106" s="23"/>
      <c r="BG2106" s="16"/>
      <c r="BH2106" s="23"/>
      <c r="BI2106" s="23"/>
      <c r="BJ2106" s="23"/>
      <c r="BN2106" s="23"/>
      <c r="BO2106" s="23"/>
      <c r="BP2106" s="16"/>
      <c r="BQ2106" s="16"/>
      <c r="BR2106" s="23"/>
      <c r="BS2106" s="16"/>
      <c r="BT2106" s="16"/>
      <c r="BU2106" s="16"/>
      <c r="BV2106" s="16"/>
      <c r="BW2106" s="16"/>
      <c r="BX2106" s="16"/>
      <c r="BY2106" s="16"/>
    </row>
    <row r="2107">
      <c r="A2107" s="16"/>
      <c r="B2107" s="16"/>
      <c r="C2107" s="22"/>
      <c r="D2107" s="16"/>
      <c r="E2107" s="16"/>
      <c r="F2107" s="16"/>
      <c r="G2107" s="16"/>
      <c r="H2107" s="16"/>
      <c r="I2107" s="23"/>
      <c r="J2107" s="23"/>
      <c r="K2107" s="16"/>
      <c r="L2107" s="23"/>
      <c r="M2107" s="23"/>
      <c r="N2107" s="23"/>
      <c r="O2107" s="16"/>
      <c r="P2107" s="23"/>
      <c r="Q2107" s="23"/>
      <c r="R2107" s="23"/>
      <c r="S2107" s="16"/>
      <c r="T2107" s="23"/>
      <c r="U2107" s="23"/>
      <c r="V2107" s="23"/>
      <c r="W2107" s="16"/>
      <c r="X2107" s="23"/>
      <c r="Y2107" s="23"/>
      <c r="Z2107" s="23"/>
      <c r="AA2107" s="16"/>
      <c r="AB2107" s="23"/>
      <c r="AC2107" s="23"/>
      <c r="AD2107" s="23"/>
      <c r="AE2107" s="16"/>
      <c r="AF2107" s="23"/>
      <c r="AG2107" s="23"/>
      <c r="AH2107" s="23"/>
      <c r="AI2107" s="16"/>
      <c r="AJ2107" s="23"/>
      <c r="AK2107" s="23"/>
      <c r="AL2107" s="23"/>
      <c r="AM2107" s="16"/>
      <c r="AN2107" s="23"/>
      <c r="AO2107" s="23"/>
      <c r="AP2107" s="23"/>
      <c r="AQ2107" s="16"/>
      <c r="AR2107" s="23"/>
      <c r="AS2107" s="23"/>
      <c r="AT2107" s="23"/>
      <c r="AU2107" s="16"/>
      <c r="AV2107" s="23"/>
      <c r="AW2107" s="23"/>
      <c r="AX2107" s="23"/>
      <c r="AY2107" s="16"/>
      <c r="AZ2107" s="23"/>
      <c r="BA2107" s="23"/>
      <c r="BB2107" s="23"/>
      <c r="BC2107" s="16"/>
      <c r="BD2107" s="23"/>
      <c r="BE2107" s="23"/>
      <c r="BF2107" s="23"/>
      <c r="BG2107" s="16"/>
      <c r="BH2107" s="23"/>
      <c r="BI2107" s="23"/>
      <c r="BJ2107" s="23"/>
      <c r="BN2107" s="23"/>
      <c r="BO2107" s="23"/>
      <c r="BP2107" s="16"/>
      <c r="BQ2107" s="16"/>
      <c r="BR2107" s="23"/>
      <c r="BS2107" s="16"/>
      <c r="BT2107" s="16"/>
      <c r="BU2107" s="16"/>
      <c r="BV2107" s="16"/>
      <c r="BW2107" s="16"/>
      <c r="BX2107" s="16"/>
      <c r="BY2107" s="16"/>
    </row>
    <row r="2108">
      <c r="A2108" s="16"/>
      <c r="B2108" s="16"/>
      <c r="C2108" s="22"/>
      <c r="D2108" s="16"/>
      <c r="E2108" s="16"/>
      <c r="F2108" s="16"/>
      <c r="G2108" s="16"/>
      <c r="H2108" s="16"/>
      <c r="I2108" s="23"/>
      <c r="J2108" s="23"/>
      <c r="K2108" s="16"/>
      <c r="L2108" s="23"/>
      <c r="M2108" s="23"/>
      <c r="N2108" s="23"/>
      <c r="O2108" s="16"/>
      <c r="P2108" s="23"/>
      <c r="Q2108" s="23"/>
      <c r="R2108" s="23"/>
      <c r="S2108" s="16"/>
      <c r="T2108" s="23"/>
      <c r="U2108" s="23"/>
      <c r="V2108" s="23"/>
      <c r="W2108" s="16"/>
      <c r="X2108" s="23"/>
      <c r="Y2108" s="23"/>
      <c r="Z2108" s="23"/>
      <c r="AA2108" s="16"/>
      <c r="AB2108" s="23"/>
      <c r="AC2108" s="23"/>
      <c r="AD2108" s="23"/>
      <c r="AE2108" s="16"/>
      <c r="AF2108" s="23"/>
      <c r="AG2108" s="23"/>
      <c r="AH2108" s="23"/>
      <c r="AI2108" s="16"/>
      <c r="AJ2108" s="23"/>
      <c r="AK2108" s="23"/>
      <c r="AL2108" s="23"/>
      <c r="AM2108" s="16"/>
      <c r="AN2108" s="23"/>
      <c r="AO2108" s="23"/>
      <c r="AP2108" s="23"/>
      <c r="AQ2108" s="16"/>
      <c r="AR2108" s="23"/>
      <c r="AS2108" s="23"/>
      <c r="AT2108" s="23"/>
      <c r="AU2108" s="16"/>
      <c r="AV2108" s="23"/>
      <c r="AW2108" s="23"/>
      <c r="AX2108" s="23"/>
      <c r="AY2108" s="16"/>
      <c r="AZ2108" s="23"/>
      <c r="BA2108" s="23"/>
      <c r="BB2108" s="23"/>
      <c r="BC2108" s="16"/>
      <c r="BD2108" s="23"/>
      <c r="BE2108" s="23"/>
      <c r="BF2108" s="23"/>
      <c r="BG2108" s="16"/>
      <c r="BH2108" s="23"/>
      <c r="BI2108" s="23"/>
      <c r="BJ2108" s="23"/>
      <c r="BN2108" s="23"/>
      <c r="BO2108" s="23"/>
      <c r="BP2108" s="16"/>
      <c r="BQ2108" s="16"/>
      <c r="BR2108" s="23"/>
      <c r="BS2108" s="16"/>
      <c r="BT2108" s="16"/>
      <c r="BU2108" s="16"/>
      <c r="BV2108" s="16"/>
      <c r="BW2108" s="16"/>
      <c r="BX2108" s="16"/>
      <c r="BY2108" s="16"/>
    </row>
    <row r="2109">
      <c r="A2109" s="16"/>
      <c r="B2109" s="16"/>
      <c r="C2109" s="22"/>
      <c r="D2109" s="16"/>
      <c r="E2109" s="16"/>
      <c r="F2109" s="16"/>
      <c r="G2109" s="16"/>
      <c r="H2109" s="16"/>
      <c r="I2109" s="23"/>
      <c r="J2109" s="23"/>
      <c r="K2109" s="16"/>
      <c r="L2109" s="23"/>
      <c r="M2109" s="23"/>
      <c r="N2109" s="23"/>
      <c r="O2109" s="16"/>
      <c r="P2109" s="23"/>
      <c r="Q2109" s="23"/>
      <c r="R2109" s="23"/>
      <c r="S2109" s="16"/>
      <c r="T2109" s="23"/>
      <c r="U2109" s="23"/>
      <c r="V2109" s="23"/>
      <c r="W2109" s="16"/>
      <c r="X2109" s="23"/>
      <c r="Y2109" s="23"/>
      <c r="Z2109" s="23"/>
      <c r="AA2109" s="16"/>
      <c r="AB2109" s="23"/>
      <c r="AC2109" s="23"/>
      <c r="AD2109" s="23"/>
      <c r="AE2109" s="16"/>
      <c r="AF2109" s="23"/>
      <c r="AG2109" s="23"/>
      <c r="AH2109" s="23"/>
      <c r="AI2109" s="16"/>
      <c r="AJ2109" s="23"/>
      <c r="AK2109" s="23"/>
      <c r="AL2109" s="23"/>
      <c r="AM2109" s="16"/>
      <c r="AN2109" s="23"/>
      <c r="AO2109" s="23"/>
      <c r="AP2109" s="23"/>
      <c r="AQ2109" s="16"/>
      <c r="AR2109" s="23"/>
      <c r="AS2109" s="23"/>
      <c r="AT2109" s="23"/>
      <c r="AU2109" s="16"/>
      <c r="AV2109" s="23"/>
      <c r="AW2109" s="23"/>
      <c r="AX2109" s="23"/>
      <c r="AY2109" s="16"/>
      <c r="AZ2109" s="23"/>
      <c r="BA2109" s="23"/>
      <c r="BB2109" s="23"/>
      <c r="BC2109" s="16"/>
      <c r="BD2109" s="23"/>
      <c r="BE2109" s="23"/>
      <c r="BF2109" s="23"/>
      <c r="BG2109" s="16"/>
      <c r="BH2109" s="23"/>
      <c r="BI2109" s="23"/>
      <c r="BJ2109" s="23"/>
      <c r="BN2109" s="23"/>
      <c r="BO2109" s="23"/>
      <c r="BP2109" s="16"/>
      <c r="BQ2109" s="16"/>
      <c r="BR2109" s="23"/>
      <c r="BS2109" s="16"/>
      <c r="BT2109" s="16"/>
      <c r="BU2109" s="16"/>
      <c r="BV2109" s="16"/>
      <c r="BW2109" s="16"/>
      <c r="BX2109" s="16"/>
      <c r="BY2109" s="16"/>
    </row>
    <row r="2110">
      <c r="A2110" s="16"/>
      <c r="B2110" s="16"/>
      <c r="C2110" s="22"/>
      <c r="D2110" s="16"/>
      <c r="E2110" s="16"/>
      <c r="F2110" s="16"/>
      <c r="G2110" s="16"/>
      <c r="H2110" s="16"/>
      <c r="I2110" s="23"/>
      <c r="J2110" s="23"/>
      <c r="K2110" s="16"/>
      <c r="L2110" s="23"/>
      <c r="M2110" s="23"/>
      <c r="N2110" s="23"/>
      <c r="O2110" s="16"/>
      <c r="P2110" s="23"/>
      <c r="Q2110" s="23"/>
      <c r="R2110" s="23"/>
      <c r="S2110" s="16"/>
      <c r="T2110" s="23"/>
      <c r="U2110" s="23"/>
      <c r="V2110" s="23"/>
      <c r="W2110" s="16"/>
      <c r="X2110" s="23"/>
      <c r="Y2110" s="23"/>
      <c r="Z2110" s="23"/>
      <c r="AA2110" s="16"/>
      <c r="AB2110" s="23"/>
      <c r="AC2110" s="23"/>
      <c r="AD2110" s="23"/>
      <c r="AE2110" s="16"/>
      <c r="AF2110" s="23"/>
      <c r="AG2110" s="23"/>
      <c r="AH2110" s="23"/>
      <c r="AI2110" s="16"/>
      <c r="AJ2110" s="23"/>
      <c r="AK2110" s="23"/>
      <c r="AL2110" s="23"/>
      <c r="AM2110" s="16"/>
      <c r="AN2110" s="23"/>
      <c r="AO2110" s="23"/>
      <c r="AP2110" s="23"/>
      <c r="AQ2110" s="16"/>
      <c r="AR2110" s="23"/>
      <c r="AS2110" s="23"/>
      <c r="AT2110" s="23"/>
      <c r="AU2110" s="16"/>
      <c r="AV2110" s="23"/>
      <c r="AW2110" s="23"/>
      <c r="AX2110" s="23"/>
      <c r="AY2110" s="16"/>
      <c r="AZ2110" s="23"/>
      <c r="BA2110" s="23"/>
      <c r="BB2110" s="23"/>
      <c r="BC2110" s="16"/>
      <c r="BD2110" s="23"/>
      <c r="BE2110" s="23"/>
      <c r="BF2110" s="23"/>
      <c r="BG2110" s="16"/>
      <c r="BH2110" s="23"/>
      <c r="BI2110" s="23"/>
      <c r="BJ2110" s="23"/>
      <c r="BN2110" s="23"/>
      <c r="BO2110" s="23"/>
      <c r="BP2110" s="16"/>
      <c r="BQ2110" s="16"/>
      <c r="BR2110" s="23"/>
      <c r="BS2110" s="16"/>
      <c r="BT2110" s="16"/>
      <c r="BU2110" s="16"/>
      <c r="BV2110" s="16"/>
      <c r="BW2110" s="16"/>
      <c r="BX2110" s="16"/>
      <c r="BY2110" s="16"/>
    </row>
    <row r="2111">
      <c r="A2111" s="16"/>
      <c r="B2111" s="16"/>
      <c r="C2111" s="22"/>
      <c r="D2111" s="16"/>
      <c r="E2111" s="16"/>
      <c r="F2111" s="16"/>
      <c r="G2111" s="16"/>
      <c r="H2111" s="16"/>
      <c r="I2111" s="23"/>
      <c r="J2111" s="23"/>
      <c r="K2111" s="16"/>
      <c r="L2111" s="23"/>
      <c r="M2111" s="23"/>
      <c r="N2111" s="23"/>
      <c r="O2111" s="16"/>
      <c r="P2111" s="23"/>
      <c r="Q2111" s="23"/>
      <c r="R2111" s="23"/>
      <c r="S2111" s="16"/>
      <c r="T2111" s="23"/>
      <c r="U2111" s="23"/>
      <c r="V2111" s="23"/>
      <c r="W2111" s="16"/>
      <c r="X2111" s="23"/>
      <c r="Y2111" s="23"/>
      <c r="Z2111" s="23"/>
      <c r="AA2111" s="16"/>
      <c r="AB2111" s="23"/>
      <c r="AC2111" s="23"/>
      <c r="AD2111" s="23"/>
      <c r="AE2111" s="16"/>
      <c r="AF2111" s="23"/>
      <c r="AG2111" s="23"/>
      <c r="AH2111" s="23"/>
      <c r="AI2111" s="16"/>
      <c r="AJ2111" s="23"/>
      <c r="AK2111" s="23"/>
      <c r="AL2111" s="23"/>
      <c r="AM2111" s="16"/>
      <c r="AN2111" s="23"/>
      <c r="AO2111" s="23"/>
      <c r="AP2111" s="23"/>
      <c r="AQ2111" s="16"/>
      <c r="AR2111" s="23"/>
      <c r="AS2111" s="23"/>
      <c r="AT2111" s="23"/>
      <c r="AU2111" s="16"/>
      <c r="AV2111" s="23"/>
      <c r="AW2111" s="23"/>
      <c r="AX2111" s="23"/>
      <c r="AY2111" s="16"/>
      <c r="AZ2111" s="23"/>
      <c r="BA2111" s="23"/>
      <c r="BB2111" s="23"/>
      <c r="BC2111" s="16"/>
      <c r="BD2111" s="23"/>
      <c r="BE2111" s="23"/>
      <c r="BF2111" s="23"/>
      <c r="BG2111" s="16"/>
      <c r="BH2111" s="23"/>
      <c r="BI2111" s="23"/>
      <c r="BJ2111" s="23"/>
      <c r="BN2111" s="23"/>
      <c r="BO2111" s="23"/>
      <c r="BP2111" s="16"/>
      <c r="BQ2111" s="16"/>
      <c r="BR2111" s="23"/>
      <c r="BS2111" s="16"/>
      <c r="BT2111" s="16"/>
      <c r="BU2111" s="16"/>
      <c r="BV2111" s="16"/>
      <c r="BW2111" s="16"/>
      <c r="BX2111" s="16"/>
      <c r="BY2111" s="16"/>
    </row>
    <row r="2112">
      <c r="A2112" s="16"/>
      <c r="B2112" s="16"/>
      <c r="C2112" s="22"/>
      <c r="D2112" s="16"/>
      <c r="E2112" s="16"/>
      <c r="F2112" s="16"/>
      <c r="G2112" s="16"/>
      <c r="H2112" s="16"/>
      <c r="I2112" s="23"/>
      <c r="J2112" s="23"/>
      <c r="K2112" s="16"/>
      <c r="L2112" s="23"/>
      <c r="M2112" s="23"/>
      <c r="N2112" s="23"/>
      <c r="O2112" s="16"/>
      <c r="P2112" s="23"/>
      <c r="Q2112" s="23"/>
      <c r="R2112" s="23"/>
      <c r="S2112" s="16"/>
      <c r="T2112" s="23"/>
      <c r="U2112" s="23"/>
      <c r="V2112" s="23"/>
      <c r="W2112" s="16"/>
      <c r="X2112" s="23"/>
      <c r="Y2112" s="23"/>
      <c r="Z2112" s="23"/>
      <c r="AA2112" s="16"/>
      <c r="AB2112" s="23"/>
      <c r="AC2112" s="23"/>
      <c r="AD2112" s="23"/>
      <c r="AE2112" s="16"/>
      <c r="AF2112" s="23"/>
      <c r="AG2112" s="23"/>
      <c r="AH2112" s="23"/>
      <c r="AI2112" s="16"/>
      <c r="AJ2112" s="23"/>
      <c r="AK2112" s="23"/>
      <c r="AL2112" s="23"/>
      <c r="AM2112" s="16"/>
      <c r="AN2112" s="23"/>
      <c r="AO2112" s="23"/>
      <c r="AP2112" s="23"/>
      <c r="AQ2112" s="16"/>
      <c r="AR2112" s="23"/>
      <c r="AS2112" s="23"/>
      <c r="AT2112" s="23"/>
      <c r="AU2112" s="16"/>
      <c r="AV2112" s="23"/>
      <c r="AW2112" s="23"/>
      <c r="AX2112" s="23"/>
      <c r="AY2112" s="16"/>
      <c r="AZ2112" s="23"/>
      <c r="BA2112" s="23"/>
      <c r="BB2112" s="23"/>
      <c r="BC2112" s="16"/>
      <c r="BD2112" s="23"/>
      <c r="BE2112" s="23"/>
      <c r="BF2112" s="23"/>
      <c r="BG2112" s="16"/>
      <c r="BH2112" s="23"/>
      <c r="BI2112" s="23"/>
      <c r="BJ2112" s="23"/>
      <c r="BN2112" s="23"/>
      <c r="BO2112" s="23"/>
      <c r="BP2112" s="16"/>
      <c r="BQ2112" s="16"/>
      <c r="BR2112" s="23"/>
      <c r="BS2112" s="16"/>
      <c r="BT2112" s="16"/>
      <c r="BU2112" s="16"/>
      <c r="BV2112" s="16"/>
      <c r="BW2112" s="16"/>
      <c r="BX2112" s="16"/>
      <c r="BY2112" s="16"/>
    </row>
    <row r="2113">
      <c r="A2113" s="16"/>
      <c r="B2113" s="16"/>
      <c r="C2113" s="22"/>
      <c r="D2113" s="16"/>
      <c r="E2113" s="16"/>
      <c r="F2113" s="16"/>
      <c r="G2113" s="16"/>
      <c r="H2113" s="16"/>
      <c r="I2113" s="23"/>
      <c r="J2113" s="23"/>
      <c r="K2113" s="16"/>
      <c r="L2113" s="23"/>
      <c r="M2113" s="23"/>
      <c r="N2113" s="23"/>
      <c r="O2113" s="16"/>
      <c r="P2113" s="23"/>
      <c r="Q2113" s="23"/>
      <c r="R2113" s="23"/>
      <c r="S2113" s="16"/>
      <c r="T2113" s="23"/>
      <c r="U2113" s="23"/>
      <c r="V2113" s="23"/>
      <c r="W2113" s="16"/>
      <c r="X2113" s="23"/>
      <c r="Y2113" s="23"/>
      <c r="Z2113" s="23"/>
      <c r="AA2113" s="16"/>
      <c r="AB2113" s="23"/>
      <c r="AC2113" s="23"/>
      <c r="AD2113" s="23"/>
      <c r="AE2113" s="16"/>
      <c r="AF2113" s="23"/>
      <c r="AG2113" s="23"/>
      <c r="AH2113" s="23"/>
      <c r="AI2113" s="16"/>
      <c r="AJ2113" s="23"/>
      <c r="AK2113" s="23"/>
      <c r="AL2113" s="23"/>
      <c r="AM2113" s="16"/>
      <c r="AN2113" s="23"/>
      <c r="AO2113" s="23"/>
      <c r="AP2113" s="23"/>
      <c r="AQ2113" s="16"/>
      <c r="AR2113" s="23"/>
      <c r="AS2113" s="23"/>
      <c r="AT2113" s="23"/>
      <c r="AU2113" s="16"/>
      <c r="AV2113" s="23"/>
      <c r="AW2113" s="23"/>
      <c r="AX2113" s="23"/>
      <c r="AY2113" s="16"/>
      <c r="AZ2113" s="23"/>
      <c r="BA2113" s="23"/>
      <c r="BB2113" s="23"/>
      <c r="BC2113" s="16"/>
      <c r="BD2113" s="23"/>
      <c r="BE2113" s="23"/>
      <c r="BF2113" s="23"/>
      <c r="BG2113" s="16"/>
      <c r="BH2113" s="23"/>
      <c r="BI2113" s="23"/>
      <c r="BJ2113" s="23"/>
      <c r="BN2113" s="23"/>
      <c r="BO2113" s="23"/>
      <c r="BP2113" s="16"/>
      <c r="BQ2113" s="16"/>
      <c r="BR2113" s="23"/>
      <c r="BS2113" s="16"/>
      <c r="BT2113" s="16"/>
      <c r="BU2113" s="16"/>
      <c r="BV2113" s="16"/>
      <c r="BW2113" s="16"/>
      <c r="BX2113" s="16"/>
      <c r="BY2113" s="16"/>
    </row>
    <row r="2114">
      <c r="A2114" s="16"/>
      <c r="B2114" s="16"/>
      <c r="C2114" s="22"/>
      <c r="D2114" s="16"/>
      <c r="E2114" s="16"/>
      <c r="F2114" s="16"/>
      <c r="G2114" s="16"/>
      <c r="H2114" s="16"/>
      <c r="I2114" s="23"/>
      <c r="J2114" s="23"/>
      <c r="K2114" s="16"/>
      <c r="L2114" s="23"/>
      <c r="M2114" s="23"/>
      <c r="N2114" s="23"/>
      <c r="O2114" s="16"/>
      <c r="P2114" s="23"/>
      <c r="Q2114" s="23"/>
      <c r="R2114" s="23"/>
      <c r="S2114" s="16"/>
      <c r="T2114" s="23"/>
      <c r="U2114" s="23"/>
      <c r="V2114" s="23"/>
      <c r="W2114" s="16"/>
      <c r="X2114" s="23"/>
      <c r="Y2114" s="23"/>
      <c r="Z2114" s="23"/>
      <c r="AA2114" s="16"/>
      <c r="AB2114" s="23"/>
      <c r="AC2114" s="23"/>
      <c r="AD2114" s="23"/>
      <c r="AE2114" s="16"/>
      <c r="AF2114" s="23"/>
      <c r="AG2114" s="23"/>
      <c r="AH2114" s="23"/>
      <c r="AI2114" s="16"/>
      <c r="AJ2114" s="23"/>
      <c r="AK2114" s="23"/>
      <c r="AL2114" s="23"/>
      <c r="AM2114" s="16"/>
      <c r="AN2114" s="23"/>
      <c r="AO2114" s="23"/>
      <c r="AP2114" s="23"/>
      <c r="AQ2114" s="16"/>
      <c r="AR2114" s="23"/>
      <c r="AS2114" s="23"/>
      <c r="AT2114" s="23"/>
      <c r="AU2114" s="16"/>
      <c r="AV2114" s="23"/>
      <c r="AW2114" s="23"/>
      <c r="AX2114" s="23"/>
      <c r="AY2114" s="16"/>
      <c r="AZ2114" s="23"/>
      <c r="BA2114" s="23"/>
      <c r="BB2114" s="23"/>
      <c r="BC2114" s="16"/>
      <c r="BD2114" s="23"/>
      <c r="BE2114" s="23"/>
      <c r="BF2114" s="23"/>
      <c r="BG2114" s="16"/>
      <c r="BH2114" s="23"/>
      <c r="BI2114" s="23"/>
      <c r="BJ2114" s="23"/>
      <c r="BN2114" s="23"/>
      <c r="BO2114" s="23"/>
      <c r="BP2114" s="16"/>
      <c r="BQ2114" s="16"/>
      <c r="BR2114" s="23"/>
      <c r="BS2114" s="16"/>
      <c r="BT2114" s="16"/>
      <c r="BU2114" s="16"/>
      <c r="BV2114" s="16"/>
      <c r="BW2114" s="16"/>
      <c r="BX2114" s="16"/>
      <c r="BY2114" s="16"/>
    </row>
    <row r="2115">
      <c r="A2115" s="16"/>
      <c r="B2115" s="16"/>
      <c r="C2115" s="22"/>
      <c r="D2115" s="16"/>
      <c r="E2115" s="16"/>
      <c r="F2115" s="16"/>
      <c r="G2115" s="16"/>
      <c r="H2115" s="16"/>
      <c r="I2115" s="23"/>
      <c r="J2115" s="23"/>
      <c r="K2115" s="16"/>
      <c r="L2115" s="23"/>
      <c r="M2115" s="23"/>
      <c r="N2115" s="23"/>
      <c r="O2115" s="16"/>
      <c r="P2115" s="23"/>
      <c r="Q2115" s="23"/>
      <c r="R2115" s="23"/>
      <c r="S2115" s="16"/>
      <c r="T2115" s="23"/>
      <c r="U2115" s="23"/>
      <c r="V2115" s="23"/>
      <c r="W2115" s="16"/>
      <c r="X2115" s="23"/>
      <c r="Y2115" s="23"/>
      <c r="Z2115" s="23"/>
      <c r="AA2115" s="16"/>
      <c r="AB2115" s="23"/>
      <c r="AC2115" s="23"/>
      <c r="AD2115" s="23"/>
      <c r="AE2115" s="16"/>
      <c r="AF2115" s="23"/>
      <c r="AG2115" s="23"/>
      <c r="AH2115" s="23"/>
      <c r="AI2115" s="16"/>
      <c r="AJ2115" s="23"/>
      <c r="AK2115" s="23"/>
      <c r="AL2115" s="23"/>
      <c r="AM2115" s="16"/>
      <c r="AN2115" s="23"/>
      <c r="AO2115" s="23"/>
      <c r="AP2115" s="23"/>
      <c r="AQ2115" s="16"/>
      <c r="AR2115" s="23"/>
      <c r="AS2115" s="23"/>
      <c r="AT2115" s="23"/>
      <c r="AU2115" s="16"/>
      <c r="AV2115" s="23"/>
      <c r="AW2115" s="23"/>
      <c r="AX2115" s="23"/>
      <c r="AY2115" s="16"/>
      <c r="AZ2115" s="23"/>
      <c r="BA2115" s="23"/>
      <c r="BB2115" s="23"/>
      <c r="BC2115" s="16"/>
      <c r="BD2115" s="23"/>
      <c r="BE2115" s="23"/>
      <c r="BF2115" s="23"/>
      <c r="BG2115" s="16"/>
      <c r="BH2115" s="23"/>
      <c r="BI2115" s="23"/>
      <c r="BJ2115" s="23"/>
      <c r="BN2115" s="23"/>
      <c r="BO2115" s="23"/>
      <c r="BP2115" s="16"/>
      <c r="BQ2115" s="16"/>
      <c r="BR2115" s="23"/>
      <c r="BS2115" s="16"/>
      <c r="BT2115" s="16"/>
      <c r="BU2115" s="16"/>
      <c r="BV2115" s="16"/>
      <c r="BW2115" s="16"/>
      <c r="BX2115" s="16"/>
      <c r="BY2115" s="16"/>
    </row>
    <row r="2116">
      <c r="A2116" s="16"/>
      <c r="B2116" s="16"/>
      <c r="C2116" s="22"/>
      <c r="D2116" s="16"/>
      <c r="E2116" s="16"/>
      <c r="F2116" s="16"/>
      <c r="G2116" s="16"/>
      <c r="H2116" s="16"/>
      <c r="I2116" s="23"/>
      <c r="J2116" s="23"/>
      <c r="K2116" s="16"/>
      <c r="L2116" s="23"/>
      <c r="M2116" s="23"/>
      <c r="N2116" s="23"/>
      <c r="O2116" s="16"/>
      <c r="P2116" s="23"/>
      <c r="Q2116" s="23"/>
      <c r="R2116" s="23"/>
      <c r="S2116" s="16"/>
      <c r="T2116" s="23"/>
      <c r="U2116" s="23"/>
      <c r="V2116" s="23"/>
      <c r="W2116" s="16"/>
      <c r="X2116" s="23"/>
      <c r="Y2116" s="23"/>
      <c r="Z2116" s="23"/>
      <c r="AA2116" s="16"/>
      <c r="AB2116" s="23"/>
      <c r="AC2116" s="23"/>
      <c r="AD2116" s="23"/>
      <c r="AE2116" s="16"/>
      <c r="AF2116" s="23"/>
      <c r="AG2116" s="23"/>
      <c r="AH2116" s="23"/>
      <c r="AI2116" s="16"/>
      <c r="AJ2116" s="23"/>
      <c r="AK2116" s="23"/>
      <c r="AL2116" s="23"/>
      <c r="AM2116" s="16"/>
      <c r="AN2116" s="23"/>
      <c r="AO2116" s="23"/>
      <c r="AP2116" s="23"/>
      <c r="AQ2116" s="16"/>
      <c r="AR2116" s="23"/>
      <c r="AS2116" s="23"/>
      <c r="AT2116" s="23"/>
      <c r="AU2116" s="16"/>
      <c r="AV2116" s="23"/>
      <c r="AW2116" s="23"/>
      <c r="AX2116" s="23"/>
      <c r="AY2116" s="16"/>
      <c r="AZ2116" s="23"/>
      <c r="BA2116" s="23"/>
      <c r="BB2116" s="23"/>
      <c r="BC2116" s="16"/>
      <c r="BD2116" s="23"/>
      <c r="BE2116" s="23"/>
      <c r="BF2116" s="23"/>
      <c r="BG2116" s="16"/>
      <c r="BH2116" s="23"/>
      <c r="BI2116" s="23"/>
      <c r="BJ2116" s="23"/>
      <c r="BN2116" s="23"/>
      <c r="BO2116" s="23"/>
      <c r="BP2116" s="16"/>
      <c r="BQ2116" s="16"/>
      <c r="BR2116" s="23"/>
      <c r="BS2116" s="16"/>
      <c r="BT2116" s="16"/>
      <c r="BU2116" s="16"/>
      <c r="BV2116" s="16"/>
      <c r="BW2116" s="16"/>
      <c r="BX2116" s="16"/>
      <c r="BY2116" s="16"/>
    </row>
    <row r="2117">
      <c r="A2117" s="16"/>
      <c r="B2117" s="16"/>
      <c r="C2117" s="22"/>
      <c r="D2117" s="16"/>
      <c r="E2117" s="16"/>
      <c r="F2117" s="16"/>
      <c r="G2117" s="16"/>
      <c r="H2117" s="16"/>
      <c r="I2117" s="23"/>
      <c r="J2117" s="23"/>
      <c r="K2117" s="16"/>
      <c r="L2117" s="23"/>
      <c r="M2117" s="23"/>
      <c r="N2117" s="23"/>
      <c r="O2117" s="16"/>
      <c r="P2117" s="23"/>
      <c r="Q2117" s="23"/>
      <c r="R2117" s="23"/>
      <c r="S2117" s="16"/>
      <c r="T2117" s="23"/>
      <c r="U2117" s="23"/>
      <c r="V2117" s="23"/>
      <c r="W2117" s="16"/>
      <c r="X2117" s="23"/>
      <c r="Y2117" s="23"/>
      <c r="Z2117" s="23"/>
      <c r="AA2117" s="16"/>
      <c r="AB2117" s="23"/>
      <c r="AC2117" s="23"/>
      <c r="AD2117" s="23"/>
      <c r="AE2117" s="16"/>
      <c r="AF2117" s="23"/>
      <c r="AG2117" s="23"/>
      <c r="AH2117" s="23"/>
      <c r="AI2117" s="16"/>
      <c r="AJ2117" s="23"/>
      <c r="AK2117" s="23"/>
      <c r="AL2117" s="23"/>
      <c r="AM2117" s="16"/>
      <c r="AN2117" s="23"/>
      <c r="AO2117" s="23"/>
      <c r="AP2117" s="23"/>
      <c r="AQ2117" s="16"/>
      <c r="AR2117" s="23"/>
      <c r="AS2117" s="23"/>
      <c r="AT2117" s="23"/>
      <c r="AU2117" s="16"/>
      <c r="AV2117" s="23"/>
      <c r="AW2117" s="23"/>
      <c r="AX2117" s="23"/>
      <c r="AY2117" s="16"/>
      <c r="AZ2117" s="23"/>
      <c r="BA2117" s="23"/>
      <c r="BB2117" s="23"/>
      <c r="BC2117" s="16"/>
      <c r="BD2117" s="23"/>
      <c r="BE2117" s="23"/>
      <c r="BF2117" s="23"/>
      <c r="BG2117" s="16"/>
      <c r="BH2117" s="23"/>
      <c r="BI2117" s="23"/>
      <c r="BJ2117" s="23"/>
      <c r="BN2117" s="23"/>
      <c r="BO2117" s="23"/>
      <c r="BP2117" s="16"/>
      <c r="BQ2117" s="16"/>
      <c r="BR2117" s="23"/>
      <c r="BS2117" s="16"/>
      <c r="BT2117" s="16"/>
      <c r="BU2117" s="16"/>
      <c r="BV2117" s="16"/>
      <c r="BW2117" s="16"/>
      <c r="BX2117" s="16"/>
      <c r="BY2117" s="16"/>
    </row>
    <row r="2118">
      <c r="A2118" s="16"/>
      <c r="B2118" s="16"/>
      <c r="C2118" s="22"/>
      <c r="D2118" s="16"/>
      <c r="E2118" s="16"/>
      <c r="F2118" s="16"/>
      <c r="G2118" s="16"/>
      <c r="H2118" s="16"/>
      <c r="I2118" s="23"/>
      <c r="J2118" s="23"/>
      <c r="K2118" s="16"/>
      <c r="L2118" s="23"/>
      <c r="M2118" s="23"/>
      <c r="N2118" s="23"/>
      <c r="O2118" s="16"/>
      <c r="P2118" s="23"/>
      <c r="Q2118" s="23"/>
      <c r="R2118" s="23"/>
      <c r="S2118" s="16"/>
      <c r="T2118" s="23"/>
      <c r="U2118" s="23"/>
      <c r="V2118" s="23"/>
      <c r="W2118" s="16"/>
      <c r="X2118" s="23"/>
      <c r="Y2118" s="23"/>
      <c r="Z2118" s="23"/>
      <c r="AA2118" s="16"/>
      <c r="AB2118" s="23"/>
      <c r="AC2118" s="23"/>
      <c r="AD2118" s="23"/>
      <c r="AE2118" s="16"/>
      <c r="AF2118" s="23"/>
      <c r="AG2118" s="23"/>
      <c r="AH2118" s="23"/>
      <c r="AI2118" s="16"/>
      <c r="AJ2118" s="23"/>
      <c r="AK2118" s="23"/>
      <c r="AL2118" s="23"/>
      <c r="AM2118" s="16"/>
      <c r="AN2118" s="23"/>
      <c r="AO2118" s="23"/>
      <c r="AP2118" s="23"/>
      <c r="AQ2118" s="16"/>
      <c r="AR2118" s="23"/>
      <c r="AS2118" s="23"/>
      <c r="AT2118" s="23"/>
      <c r="AU2118" s="16"/>
      <c r="AV2118" s="23"/>
      <c r="AW2118" s="23"/>
      <c r="AX2118" s="23"/>
      <c r="AY2118" s="16"/>
      <c r="AZ2118" s="23"/>
      <c r="BA2118" s="23"/>
      <c r="BB2118" s="23"/>
      <c r="BC2118" s="16"/>
      <c r="BD2118" s="23"/>
      <c r="BE2118" s="23"/>
      <c r="BF2118" s="23"/>
      <c r="BG2118" s="16"/>
      <c r="BH2118" s="23"/>
      <c r="BI2118" s="23"/>
      <c r="BJ2118" s="23"/>
      <c r="BN2118" s="23"/>
      <c r="BO2118" s="23"/>
      <c r="BP2118" s="16"/>
      <c r="BQ2118" s="16"/>
      <c r="BR2118" s="23"/>
      <c r="BS2118" s="16"/>
      <c r="BT2118" s="16"/>
      <c r="BU2118" s="16"/>
      <c r="BV2118" s="16"/>
      <c r="BW2118" s="16"/>
      <c r="BX2118" s="16"/>
      <c r="BY2118" s="16"/>
    </row>
    <row r="2119">
      <c r="A2119" s="16"/>
      <c r="B2119" s="16"/>
      <c r="C2119" s="22"/>
      <c r="D2119" s="16"/>
      <c r="E2119" s="16"/>
      <c r="F2119" s="16"/>
      <c r="G2119" s="16"/>
      <c r="H2119" s="16"/>
      <c r="I2119" s="23"/>
      <c r="J2119" s="23"/>
      <c r="K2119" s="16"/>
      <c r="L2119" s="23"/>
      <c r="M2119" s="23"/>
      <c r="N2119" s="23"/>
      <c r="O2119" s="16"/>
      <c r="P2119" s="23"/>
      <c r="Q2119" s="23"/>
      <c r="R2119" s="23"/>
      <c r="S2119" s="16"/>
      <c r="T2119" s="23"/>
      <c r="U2119" s="23"/>
      <c r="V2119" s="23"/>
      <c r="W2119" s="16"/>
      <c r="X2119" s="23"/>
      <c r="Y2119" s="23"/>
      <c r="Z2119" s="23"/>
      <c r="AA2119" s="16"/>
      <c r="AB2119" s="23"/>
      <c r="AC2119" s="23"/>
      <c r="AD2119" s="23"/>
      <c r="AE2119" s="16"/>
      <c r="AF2119" s="23"/>
      <c r="AG2119" s="23"/>
      <c r="AH2119" s="23"/>
      <c r="AI2119" s="16"/>
      <c r="AJ2119" s="23"/>
      <c r="AK2119" s="23"/>
      <c r="AL2119" s="23"/>
      <c r="AM2119" s="16"/>
      <c r="AN2119" s="23"/>
      <c r="AO2119" s="23"/>
      <c r="AP2119" s="23"/>
      <c r="AQ2119" s="16"/>
      <c r="AR2119" s="23"/>
      <c r="AS2119" s="23"/>
      <c r="AT2119" s="23"/>
      <c r="AU2119" s="16"/>
      <c r="AV2119" s="23"/>
      <c r="AW2119" s="23"/>
      <c r="AX2119" s="23"/>
      <c r="AY2119" s="16"/>
      <c r="AZ2119" s="23"/>
      <c r="BA2119" s="23"/>
      <c r="BB2119" s="23"/>
      <c r="BC2119" s="16"/>
      <c r="BD2119" s="23"/>
      <c r="BE2119" s="23"/>
      <c r="BF2119" s="23"/>
      <c r="BG2119" s="16"/>
      <c r="BH2119" s="23"/>
      <c r="BI2119" s="23"/>
      <c r="BJ2119" s="23"/>
      <c r="BN2119" s="23"/>
      <c r="BO2119" s="23"/>
      <c r="BP2119" s="16"/>
      <c r="BQ2119" s="16"/>
      <c r="BR2119" s="23"/>
      <c r="BS2119" s="16"/>
      <c r="BT2119" s="16"/>
      <c r="BU2119" s="16"/>
      <c r="BV2119" s="16"/>
      <c r="BW2119" s="16"/>
      <c r="BX2119" s="16"/>
      <c r="BY2119" s="16"/>
    </row>
    <row r="2120">
      <c r="A2120" s="16"/>
      <c r="B2120" s="16"/>
      <c r="C2120" s="22"/>
      <c r="D2120" s="16"/>
      <c r="E2120" s="16"/>
      <c r="F2120" s="16"/>
      <c r="G2120" s="16"/>
      <c r="H2120" s="16"/>
      <c r="I2120" s="23"/>
      <c r="J2120" s="23"/>
      <c r="K2120" s="16"/>
      <c r="L2120" s="23"/>
      <c r="M2120" s="23"/>
      <c r="N2120" s="23"/>
      <c r="O2120" s="16"/>
      <c r="P2120" s="23"/>
      <c r="Q2120" s="23"/>
      <c r="R2120" s="23"/>
      <c r="S2120" s="16"/>
      <c r="T2120" s="23"/>
      <c r="U2120" s="23"/>
      <c r="V2120" s="23"/>
      <c r="W2120" s="16"/>
      <c r="X2120" s="23"/>
      <c r="Y2120" s="23"/>
      <c r="Z2120" s="23"/>
      <c r="AA2120" s="16"/>
      <c r="AB2120" s="23"/>
      <c r="AC2120" s="23"/>
      <c r="AD2120" s="23"/>
      <c r="AE2120" s="16"/>
      <c r="AF2120" s="23"/>
      <c r="AG2120" s="23"/>
      <c r="AH2120" s="23"/>
      <c r="AI2120" s="16"/>
      <c r="AJ2120" s="23"/>
      <c r="AK2120" s="23"/>
      <c r="AL2120" s="23"/>
      <c r="AM2120" s="16"/>
      <c r="AN2120" s="23"/>
      <c r="AO2120" s="23"/>
      <c r="AP2120" s="23"/>
      <c r="AQ2120" s="16"/>
      <c r="AR2120" s="23"/>
      <c r="AS2120" s="23"/>
      <c r="AT2120" s="23"/>
      <c r="AU2120" s="16"/>
      <c r="AV2120" s="23"/>
      <c r="AW2120" s="23"/>
      <c r="AX2120" s="23"/>
      <c r="AY2120" s="16"/>
      <c r="AZ2120" s="23"/>
      <c r="BA2120" s="23"/>
      <c r="BB2120" s="23"/>
      <c r="BC2120" s="16"/>
      <c r="BD2120" s="23"/>
      <c r="BE2120" s="23"/>
      <c r="BF2120" s="23"/>
      <c r="BG2120" s="16"/>
      <c r="BH2120" s="23"/>
      <c r="BI2120" s="23"/>
      <c r="BJ2120" s="23"/>
      <c r="BN2120" s="23"/>
      <c r="BO2120" s="23"/>
      <c r="BP2120" s="16"/>
      <c r="BQ2120" s="16"/>
      <c r="BR2120" s="23"/>
      <c r="BS2120" s="16"/>
      <c r="BT2120" s="16"/>
      <c r="BU2120" s="16"/>
      <c r="BV2120" s="16"/>
      <c r="BW2120" s="16"/>
      <c r="BX2120" s="16"/>
      <c r="BY2120" s="16"/>
    </row>
    <row r="2121">
      <c r="A2121" s="16"/>
      <c r="B2121" s="16"/>
      <c r="C2121" s="22"/>
      <c r="D2121" s="16"/>
      <c r="E2121" s="16"/>
      <c r="F2121" s="16"/>
      <c r="G2121" s="16"/>
      <c r="H2121" s="16"/>
      <c r="I2121" s="23"/>
      <c r="J2121" s="23"/>
      <c r="K2121" s="16"/>
      <c r="L2121" s="23"/>
      <c r="M2121" s="23"/>
      <c r="N2121" s="23"/>
      <c r="O2121" s="16"/>
      <c r="P2121" s="23"/>
      <c r="Q2121" s="23"/>
      <c r="R2121" s="23"/>
      <c r="S2121" s="16"/>
      <c r="T2121" s="23"/>
      <c r="U2121" s="23"/>
      <c r="V2121" s="23"/>
      <c r="W2121" s="16"/>
      <c r="X2121" s="23"/>
      <c r="Y2121" s="23"/>
      <c r="Z2121" s="23"/>
      <c r="AA2121" s="16"/>
      <c r="AB2121" s="23"/>
      <c r="AC2121" s="23"/>
      <c r="AD2121" s="23"/>
      <c r="AE2121" s="16"/>
      <c r="AF2121" s="23"/>
      <c r="AG2121" s="23"/>
      <c r="AH2121" s="23"/>
      <c r="AI2121" s="16"/>
      <c r="AJ2121" s="23"/>
      <c r="AK2121" s="23"/>
      <c r="AL2121" s="23"/>
      <c r="AM2121" s="16"/>
      <c r="AN2121" s="23"/>
      <c r="AO2121" s="23"/>
      <c r="AP2121" s="23"/>
      <c r="AQ2121" s="16"/>
      <c r="AR2121" s="23"/>
      <c r="AS2121" s="23"/>
      <c r="AT2121" s="23"/>
      <c r="AU2121" s="16"/>
      <c r="AV2121" s="23"/>
      <c r="AW2121" s="23"/>
      <c r="AX2121" s="23"/>
      <c r="AY2121" s="16"/>
      <c r="AZ2121" s="23"/>
      <c r="BA2121" s="23"/>
      <c r="BB2121" s="23"/>
      <c r="BC2121" s="16"/>
      <c r="BD2121" s="23"/>
      <c r="BE2121" s="23"/>
      <c r="BF2121" s="23"/>
      <c r="BG2121" s="16"/>
      <c r="BH2121" s="23"/>
      <c r="BI2121" s="23"/>
      <c r="BJ2121" s="23"/>
      <c r="BN2121" s="23"/>
      <c r="BO2121" s="23"/>
      <c r="BP2121" s="16"/>
      <c r="BQ2121" s="16"/>
      <c r="BR2121" s="23"/>
      <c r="BS2121" s="16"/>
      <c r="BT2121" s="16"/>
      <c r="BU2121" s="16"/>
      <c r="BV2121" s="16"/>
      <c r="BW2121" s="16"/>
      <c r="BX2121" s="16"/>
      <c r="BY2121" s="16"/>
    </row>
    <row r="2122">
      <c r="A2122" s="16"/>
      <c r="B2122" s="16"/>
      <c r="C2122" s="22"/>
      <c r="D2122" s="16"/>
      <c r="E2122" s="16"/>
      <c r="F2122" s="16"/>
      <c r="G2122" s="16"/>
      <c r="H2122" s="16"/>
      <c r="I2122" s="23"/>
      <c r="J2122" s="23"/>
      <c r="K2122" s="16"/>
      <c r="L2122" s="23"/>
      <c r="M2122" s="23"/>
      <c r="N2122" s="23"/>
      <c r="O2122" s="16"/>
      <c r="P2122" s="23"/>
      <c r="Q2122" s="23"/>
      <c r="R2122" s="23"/>
      <c r="S2122" s="16"/>
      <c r="T2122" s="23"/>
      <c r="U2122" s="23"/>
      <c r="V2122" s="23"/>
      <c r="W2122" s="16"/>
      <c r="X2122" s="23"/>
      <c r="Y2122" s="23"/>
      <c r="Z2122" s="23"/>
      <c r="AA2122" s="16"/>
      <c r="AB2122" s="23"/>
      <c r="AC2122" s="23"/>
      <c r="AD2122" s="23"/>
      <c r="AE2122" s="16"/>
      <c r="AF2122" s="23"/>
      <c r="AG2122" s="23"/>
      <c r="AH2122" s="23"/>
      <c r="AI2122" s="16"/>
      <c r="AJ2122" s="23"/>
      <c r="AK2122" s="23"/>
      <c r="AL2122" s="23"/>
      <c r="AM2122" s="16"/>
      <c r="AN2122" s="23"/>
      <c r="AO2122" s="23"/>
      <c r="AP2122" s="23"/>
      <c r="AQ2122" s="16"/>
      <c r="AR2122" s="23"/>
      <c r="AS2122" s="23"/>
      <c r="AT2122" s="23"/>
      <c r="AU2122" s="16"/>
      <c r="AV2122" s="23"/>
      <c r="AW2122" s="23"/>
      <c r="AX2122" s="23"/>
      <c r="AY2122" s="16"/>
      <c r="AZ2122" s="23"/>
      <c r="BA2122" s="23"/>
      <c r="BB2122" s="23"/>
      <c r="BC2122" s="16"/>
      <c r="BD2122" s="23"/>
      <c r="BE2122" s="23"/>
      <c r="BF2122" s="23"/>
      <c r="BG2122" s="16"/>
      <c r="BH2122" s="23"/>
      <c r="BI2122" s="23"/>
      <c r="BJ2122" s="23"/>
      <c r="BN2122" s="23"/>
      <c r="BO2122" s="23"/>
      <c r="BP2122" s="16"/>
      <c r="BQ2122" s="16"/>
      <c r="BR2122" s="23"/>
      <c r="BS2122" s="16"/>
      <c r="BT2122" s="16"/>
      <c r="BU2122" s="16"/>
      <c r="BV2122" s="16"/>
      <c r="BW2122" s="16"/>
      <c r="BX2122" s="16"/>
      <c r="BY2122" s="16"/>
    </row>
    <row r="2123">
      <c r="A2123" s="16"/>
      <c r="B2123" s="16"/>
      <c r="C2123" s="22"/>
      <c r="D2123" s="16"/>
      <c r="E2123" s="16"/>
      <c r="F2123" s="16"/>
      <c r="G2123" s="16"/>
      <c r="H2123" s="16"/>
      <c r="I2123" s="23"/>
      <c r="J2123" s="23"/>
      <c r="K2123" s="16"/>
      <c r="L2123" s="23"/>
      <c r="M2123" s="23"/>
      <c r="N2123" s="23"/>
      <c r="O2123" s="16"/>
      <c r="P2123" s="23"/>
      <c r="Q2123" s="23"/>
      <c r="R2123" s="23"/>
      <c r="S2123" s="16"/>
      <c r="T2123" s="23"/>
      <c r="U2123" s="23"/>
      <c r="V2123" s="23"/>
      <c r="W2123" s="16"/>
      <c r="X2123" s="23"/>
      <c r="Y2123" s="23"/>
      <c r="Z2123" s="23"/>
      <c r="AA2123" s="16"/>
      <c r="AB2123" s="23"/>
      <c r="AC2123" s="23"/>
      <c r="AD2123" s="23"/>
      <c r="AE2123" s="16"/>
      <c r="AF2123" s="23"/>
      <c r="AG2123" s="23"/>
      <c r="AH2123" s="23"/>
      <c r="AI2123" s="16"/>
      <c r="AJ2123" s="23"/>
      <c r="AK2123" s="23"/>
      <c r="AL2123" s="23"/>
      <c r="AM2123" s="16"/>
      <c r="AN2123" s="23"/>
      <c r="AO2123" s="23"/>
      <c r="AP2123" s="23"/>
      <c r="AQ2123" s="16"/>
      <c r="AR2123" s="23"/>
      <c r="AS2123" s="23"/>
      <c r="AT2123" s="23"/>
      <c r="AU2123" s="16"/>
      <c r="AV2123" s="23"/>
      <c r="AW2123" s="23"/>
      <c r="AX2123" s="23"/>
      <c r="AY2123" s="16"/>
      <c r="AZ2123" s="23"/>
      <c r="BA2123" s="23"/>
      <c r="BB2123" s="23"/>
      <c r="BC2123" s="16"/>
      <c r="BD2123" s="23"/>
      <c r="BE2123" s="23"/>
      <c r="BF2123" s="23"/>
      <c r="BG2123" s="16"/>
      <c r="BH2123" s="23"/>
      <c r="BI2123" s="23"/>
      <c r="BJ2123" s="23"/>
      <c r="BN2123" s="23"/>
      <c r="BO2123" s="23"/>
      <c r="BP2123" s="16"/>
      <c r="BQ2123" s="16"/>
      <c r="BR2123" s="23"/>
      <c r="BS2123" s="16"/>
      <c r="BT2123" s="16"/>
      <c r="BU2123" s="16"/>
      <c r="BV2123" s="16"/>
      <c r="BW2123" s="16"/>
      <c r="BX2123" s="16"/>
      <c r="BY2123" s="16"/>
    </row>
    <row r="2124">
      <c r="A2124" s="16"/>
      <c r="B2124" s="16"/>
      <c r="C2124" s="22"/>
      <c r="D2124" s="16"/>
      <c r="E2124" s="16"/>
      <c r="F2124" s="16"/>
      <c r="G2124" s="16"/>
      <c r="H2124" s="16"/>
      <c r="I2124" s="23"/>
      <c r="J2124" s="23"/>
      <c r="K2124" s="16"/>
      <c r="L2124" s="23"/>
      <c r="M2124" s="23"/>
      <c r="N2124" s="23"/>
      <c r="O2124" s="16"/>
      <c r="P2124" s="23"/>
      <c r="Q2124" s="23"/>
      <c r="R2124" s="23"/>
      <c r="S2124" s="16"/>
      <c r="T2124" s="23"/>
      <c r="U2124" s="23"/>
      <c r="V2124" s="23"/>
      <c r="W2124" s="16"/>
      <c r="X2124" s="23"/>
      <c r="Y2124" s="23"/>
      <c r="Z2124" s="23"/>
      <c r="AA2124" s="16"/>
      <c r="AB2124" s="23"/>
      <c r="AC2124" s="23"/>
      <c r="AD2124" s="23"/>
      <c r="AE2124" s="16"/>
      <c r="AF2124" s="23"/>
      <c r="AG2124" s="23"/>
      <c r="AH2124" s="23"/>
      <c r="AI2124" s="16"/>
      <c r="AJ2124" s="23"/>
      <c r="AK2124" s="23"/>
      <c r="AL2124" s="23"/>
      <c r="AM2124" s="16"/>
      <c r="AN2124" s="23"/>
      <c r="AO2124" s="23"/>
      <c r="AP2124" s="23"/>
      <c r="AQ2124" s="16"/>
      <c r="AR2124" s="23"/>
      <c r="AS2124" s="23"/>
      <c r="AT2124" s="23"/>
      <c r="AU2124" s="16"/>
      <c r="AV2124" s="23"/>
      <c r="AW2124" s="23"/>
      <c r="AX2124" s="23"/>
      <c r="AY2124" s="16"/>
      <c r="AZ2124" s="23"/>
      <c r="BA2124" s="23"/>
      <c r="BB2124" s="23"/>
      <c r="BC2124" s="16"/>
      <c r="BD2124" s="23"/>
      <c r="BE2124" s="23"/>
      <c r="BF2124" s="23"/>
      <c r="BG2124" s="16"/>
      <c r="BH2124" s="23"/>
      <c r="BI2124" s="23"/>
      <c r="BJ2124" s="23"/>
      <c r="BN2124" s="23"/>
      <c r="BO2124" s="23"/>
      <c r="BP2124" s="16"/>
      <c r="BQ2124" s="16"/>
      <c r="BR2124" s="23"/>
      <c r="BS2124" s="16"/>
      <c r="BT2124" s="16"/>
      <c r="BU2124" s="16"/>
      <c r="BV2124" s="16"/>
      <c r="BW2124" s="16"/>
      <c r="BX2124" s="16"/>
      <c r="BY2124" s="16"/>
    </row>
    <row r="2125">
      <c r="A2125" s="16"/>
      <c r="B2125" s="16"/>
      <c r="C2125" s="22"/>
      <c r="D2125" s="16"/>
      <c r="E2125" s="16"/>
      <c r="F2125" s="16"/>
      <c r="G2125" s="16"/>
      <c r="H2125" s="16"/>
      <c r="I2125" s="23"/>
      <c r="J2125" s="23"/>
      <c r="K2125" s="16"/>
      <c r="L2125" s="23"/>
      <c r="M2125" s="23"/>
      <c r="N2125" s="23"/>
      <c r="O2125" s="16"/>
      <c r="P2125" s="23"/>
      <c r="Q2125" s="23"/>
      <c r="R2125" s="23"/>
      <c r="S2125" s="16"/>
      <c r="T2125" s="23"/>
      <c r="U2125" s="23"/>
      <c r="V2125" s="23"/>
      <c r="W2125" s="16"/>
      <c r="X2125" s="23"/>
      <c r="Y2125" s="23"/>
      <c r="Z2125" s="23"/>
      <c r="AA2125" s="16"/>
      <c r="AB2125" s="23"/>
      <c r="AC2125" s="23"/>
      <c r="AD2125" s="23"/>
      <c r="AE2125" s="16"/>
      <c r="AF2125" s="23"/>
      <c r="AG2125" s="23"/>
      <c r="AH2125" s="23"/>
      <c r="AI2125" s="16"/>
      <c r="AJ2125" s="23"/>
      <c r="AK2125" s="23"/>
      <c r="AL2125" s="23"/>
      <c r="AM2125" s="16"/>
      <c r="AN2125" s="23"/>
      <c r="AO2125" s="23"/>
      <c r="AP2125" s="23"/>
      <c r="AQ2125" s="16"/>
      <c r="AR2125" s="23"/>
      <c r="AS2125" s="23"/>
      <c r="AT2125" s="23"/>
      <c r="AU2125" s="16"/>
      <c r="AV2125" s="23"/>
      <c r="AW2125" s="23"/>
      <c r="AX2125" s="23"/>
      <c r="AY2125" s="16"/>
      <c r="AZ2125" s="23"/>
      <c r="BA2125" s="23"/>
      <c r="BB2125" s="23"/>
      <c r="BC2125" s="16"/>
      <c r="BD2125" s="23"/>
      <c r="BE2125" s="23"/>
      <c r="BF2125" s="23"/>
      <c r="BG2125" s="16"/>
      <c r="BH2125" s="23"/>
      <c r="BI2125" s="23"/>
      <c r="BJ2125" s="23"/>
      <c r="BN2125" s="23"/>
      <c r="BO2125" s="23"/>
      <c r="BP2125" s="16"/>
      <c r="BQ2125" s="16"/>
      <c r="BR2125" s="23"/>
      <c r="BS2125" s="16"/>
      <c r="BT2125" s="16"/>
      <c r="BU2125" s="16"/>
      <c r="BV2125" s="16"/>
      <c r="BW2125" s="16"/>
      <c r="BX2125" s="16"/>
      <c r="BY2125" s="16"/>
    </row>
    <row r="2126">
      <c r="A2126" s="16"/>
      <c r="B2126" s="16"/>
      <c r="C2126" s="22"/>
      <c r="D2126" s="16"/>
      <c r="E2126" s="16"/>
      <c r="F2126" s="16"/>
      <c r="G2126" s="16"/>
      <c r="H2126" s="16"/>
      <c r="I2126" s="23"/>
      <c r="J2126" s="23"/>
      <c r="K2126" s="16"/>
      <c r="L2126" s="23"/>
      <c r="M2126" s="23"/>
      <c r="N2126" s="23"/>
      <c r="O2126" s="16"/>
      <c r="P2126" s="23"/>
      <c r="Q2126" s="23"/>
      <c r="R2126" s="23"/>
      <c r="S2126" s="16"/>
      <c r="T2126" s="23"/>
      <c r="U2126" s="23"/>
      <c r="V2126" s="23"/>
      <c r="W2126" s="16"/>
      <c r="X2126" s="23"/>
      <c r="Y2126" s="23"/>
      <c r="Z2126" s="23"/>
      <c r="AA2126" s="16"/>
      <c r="AB2126" s="23"/>
      <c r="AC2126" s="23"/>
      <c r="AD2126" s="23"/>
      <c r="AE2126" s="16"/>
      <c r="AF2126" s="23"/>
      <c r="AG2126" s="23"/>
      <c r="AH2126" s="23"/>
      <c r="AI2126" s="16"/>
      <c r="AJ2126" s="23"/>
      <c r="AK2126" s="23"/>
      <c r="AL2126" s="23"/>
      <c r="AM2126" s="16"/>
      <c r="AN2126" s="23"/>
      <c r="AO2126" s="23"/>
      <c r="AP2126" s="23"/>
      <c r="AQ2126" s="16"/>
      <c r="AR2126" s="23"/>
      <c r="AS2126" s="23"/>
      <c r="AT2126" s="23"/>
      <c r="AU2126" s="16"/>
      <c r="AV2126" s="23"/>
      <c r="AW2126" s="23"/>
      <c r="AX2126" s="23"/>
      <c r="AY2126" s="16"/>
      <c r="AZ2126" s="23"/>
      <c r="BA2126" s="23"/>
      <c r="BB2126" s="23"/>
      <c r="BC2126" s="16"/>
      <c r="BD2126" s="23"/>
      <c r="BE2126" s="23"/>
      <c r="BF2126" s="23"/>
      <c r="BG2126" s="16"/>
      <c r="BH2126" s="23"/>
      <c r="BI2126" s="23"/>
      <c r="BJ2126" s="23"/>
      <c r="BN2126" s="23"/>
      <c r="BO2126" s="23"/>
      <c r="BP2126" s="16"/>
      <c r="BQ2126" s="16"/>
      <c r="BR2126" s="23"/>
      <c r="BS2126" s="16"/>
      <c r="BT2126" s="16"/>
      <c r="BU2126" s="16"/>
      <c r="BV2126" s="16"/>
      <c r="BW2126" s="16"/>
      <c r="BX2126" s="16"/>
      <c r="BY2126" s="16"/>
    </row>
    <row r="2127">
      <c r="A2127" s="16"/>
      <c r="B2127" s="16"/>
      <c r="C2127" s="22"/>
      <c r="D2127" s="16"/>
      <c r="E2127" s="16"/>
      <c r="F2127" s="16"/>
      <c r="G2127" s="16"/>
      <c r="H2127" s="16"/>
      <c r="I2127" s="23"/>
      <c r="J2127" s="23"/>
      <c r="K2127" s="16"/>
      <c r="L2127" s="23"/>
      <c r="M2127" s="23"/>
      <c r="N2127" s="23"/>
      <c r="O2127" s="16"/>
      <c r="P2127" s="23"/>
      <c r="Q2127" s="23"/>
      <c r="R2127" s="23"/>
      <c r="S2127" s="16"/>
      <c r="T2127" s="23"/>
      <c r="U2127" s="23"/>
      <c r="V2127" s="23"/>
      <c r="W2127" s="16"/>
      <c r="X2127" s="23"/>
      <c r="Y2127" s="23"/>
      <c r="Z2127" s="23"/>
      <c r="AA2127" s="16"/>
      <c r="AB2127" s="23"/>
      <c r="AC2127" s="23"/>
      <c r="AD2127" s="23"/>
      <c r="AE2127" s="16"/>
      <c r="AF2127" s="23"/>
      <c r="AG2127" s="23"/>
      <c r="AH2127" s="23"/>
      <c r="AI2127" s="16"/>
      <c r="AJ2127" s="23"/>
      <c r="AK2127" s="23"/>
      <c r="AL2127" s="23"/>
      <c r="AM2127" s="16"/>
      <c r="AN2127" s="23"/>
      <c r="AO2127" s="23"/>
      <c r="AP2127" s="23"/>
      <c r="AQ2127" s="16"/>
      <c r="AR2127" s="23"/>
      <c r="AS2127" s="23"/>
      <c r="AT2127" s="23"/>
      <c r="AU2127" s="16"/>
      <c r="AV2127" s="23"/>
      <c r="AW2127" s="23"/>
      <c r="AX2127" s="23"/>
      <c r="AY2127" s="16"/>
      <c r="AZ2127" s="23"/>
      <c r="BA2127" s="23"/>
      <c r="BB2127" s="23"/>
      <c r="BC2127" s="16"/>
      <c r="BD2127" s="23"/>
      <c r="BE2127" s="23"/>
      <c r="BF2127" s="23"/>
      <c r="BG2127" s="16"/>
      <c r="BH2127" s="23"/>
      <c r="BI2127" s="23"/>
      <c r="BJ2127" s="23"/>
      <c r="BN2127" s="23"/>
      <c r="BO2127" s="23"/>
      <c r="BP2127" s="16"/>
      <c r="BQ2127" s="16"/>
      <c r="BR2127" s="23"/>
      <c r="BS2127" s="16"/>
      <c r="BT2127" s="16"/>
      <c r="BU2127" s="16"/>
      <c r="BV2127" s="16"/>
      <c r="BW2127" s="16"/>
      <c r="BX2127" s="16"/>
      <c r="BY2127" s="16"/>
    </row>
    <row r="2128">
      <c r="A2128" s="16"/>
      <c r="B2128" s="16"/>
      <c r="C2128" s="22"/>
      <c r="D2128" s="16"/>
      <c r="E2128" s="16"/>
      <c r="F2128" s="16"/>
      <c r="G2128" s="16"/>
      <c r="H2128" s="16"/>
      <c r="I2128" s="23"/>
      <c r="J2128" s="23"/>
      <c r="K2128" s="16"/>
      <c r="L2128" s="23"/>
      <c r="M2128" s="23"/>
      <c r="N2128" s="23"/>
      <c r="O2128" s="16"/>
      <c r="P2128" s="23"/>
      <c r="Q2128" s="23"/>
      <c r="R2128" s="23"/>
      <c r="S2128" s="16"/>
      <c r="T2128" s="23"/>
      <c r="U2128" s="23"/>
      <c r="V2128" s="23"/>
      <c r="W2128" s="16"/>
      <c r="X2128" s="23"/>
      <c r="Y2128" s="23"/>
      <c r="Z2128" s="23"/>
      <c r="AA2128" s="16"/>
      <c r="AB2128" s="23"/>
      <c r="AC2128" s="23"/>
      <c r="AD2128" s="23"/>
      <c r="AE2128" s="16"/>
      <c r="AF2128" s="23"/>
      <c r="AG2128" s="23"/>
      <c r="AH2128" s="23"/>
      <c r="AI2128" s="16"/>
      <c r="AJ2128" s="23"/>
      <c r="AK2128" s="23"/>
      <c r="AL2128" s="23"/>
      <c r="AM2128" s="16"/>
      <c r="AN2128" s="23"/>
      <c r="AO2128" s="23"/>
      <c r="AP2128" s="23"/>
      <c r="AQ2128" s="16"/>
      <c r="AR2128" s="23"/>
      <c r="AS2128" s="23"/>
      <c r="AT2128" s="23"/>
      <c r="AU2128" s="16"/>
      <c r="AV2128" s="23"/>
      <c r="AW2128" s="23"/>
      <c r="AX2128" s="23"/>
      <c r="AY2128" s="16"/>
      <c r="AZ2128" s="23"/>
      <c r="BA2128" s="23"/>
      <c r="BB2128" s="23"/>
      <c r="BC2128" s="16"/>
      <c r="BD2128" s="23"/>
      <c r="BE2128" s="23"/>
      <c r="BF2128" s="23"/>
      <c r="BG2128" s="16"/>
      <c r="BH2128" s="23"/>
      <c r="BI2128" s="23"/>
      <c r="BJ2128" s="23"/>
      <c r="BN2128" s="23"/>
      <c r="BO2128" s="23"/>
      <c r="BP2128" s="16"/>
      <c r="BQ2128" s="16"/>
      <c r="BR2128" s="23"/>
      <c r="BS2128" s="16"/>
      <c r="BT2128" s="16"/>
      <c r="BU2128" s="16"/>
      <c r="BV2128" s="16"/>
      <c r="BW2128" s="16"/>
      <c r="BX2128" s="16"/>
      <c r="BY2128" s="16"/>
    </row>
    <row r="2129">
      <c r="A2129" s="16"/>
      <c r="B2129" s="16"/>
      <c r="C2129" s="22"/>
      <c r="D2129" s="16"/>
      <c r="E2129" s="16"/>
      <c r="F2129" s="16"/>
      <c r="G2129" s="16"/>
      <c r="H2129" s="16"/>
      <c r="I2129" s="23"/>
      <c r="J2129" s="23"/>
      <c r="K2129" s="16"/>
      <c r="L2129" s="23"/>
      <c r="M2129" s="23"/>
      <c r="N2129" s="23"/>
      <c r="O2129" s="16"/>
      <c r="P2129" s="23"/>
      <c r="Q2129" s="23"/>
      <c r="R2129" s="23"/>
      <c r="S2129" s="16"/>
      <c r="T2129" s="23"/>
      <c r="U2129" s="23"/>
      <c r="V2129" s="23"/>
      <c r="W2129" s="16"/>
      <c r="X2129" s="23"/>
      <c r="Y2129" s="23"/>
      <c r="Z2129" s="23"/>
      <c r="AA2129" s="16"/>
      <c r="AB2129" s="23"/>
      <c r="AC2129" s="23"/>
      <c r="AD2129" s="23"/>
      <c r="AE2129" s="16"/>
      <c r="AF2129" s="23"/>
      <c r="AG2129" s="23"/>
      <c r="AH2129" s="23"/>
      <c r="AI2129" s="16"/>
      <c r="AJ2129" s="23"/>
      <c r="AK2129" s="23"/>
      <c r="AL2129" s="23"/>
      <c r="AM2129" s="16"/>
      <c r="AN2129" s="23"/>
      <c r="AO2129" s="23"/>
      <c r="AP2129" s="23"/>
      <c r="AQ2129" s="16"/>
      <c r="AR2129" s="23"/>
      <c r="AS2129" s="23"/>
      <c r="AT2129" s="23"/>
      <c r="AU2129" s="16"/>
      <c r="AV2129" s="23"/>
      <c r="AW2129" s="23"/>
      <c r="AX2129" s="23"/>
      <c r="AY2129" s="16"/>
      <c r="AZ2129" s="23"/>
      <c r="BA2129" s="23"/>
      <c r="BB2129" s="23"/>
      <c r="BC2129" s="16"/>
      <c r="BD2129" s="23"/>
      <c r="BE2129" s="23"/>
      <c r="BF2129" s="23"/>
      <c r="BG2129" s="16"/>
      <c r="BH2129" s="23"/>
      <c r="BI2129" s="23"/>
      <c r="BJ2129" s="23"/>
      <c r="BN2129" s="23"/>
      <c r="BO2129" s="23"/>
      <c r="BP2129" s="16"/>
      <c r="BQ2129" s="16"/>
      <c r="BR2129" s="23"/>
      <c r="BS2129" s="16"/>
      <c r="BT2129" s="16"/>
      <c r="BU2129" s="16"/>
      <c r="BV2129" s="16"/>
      <c r="BW2129" s="16"/>
      <c r="BX2129" s="16"/>
      <c r="BY2129" s="16"/>
    </row>
    <row r="2130">
      <c r="A2130" s="16"/>
      <c r="B2130" s="16"/>
      <c r="C2130" s="22"/>
      <c r="D2130" s="16"/>
      <c r="E2130" s="16"/>
      <c r="F2130" s="16"/>
      <c r="G2130" s="16"/>
      <c r="H2130" s="16"/>
      <c r="I2130" s="23"/>
      <c r="J2130" s="23"/>
      <c r="K2130" s="16"/>
      <c r="L2130" s="23"/>
      <c r="M2130" s="23"/>
      <c r="N2130" s="23"/>
      <c r="O2130" s="16"/>
      <c r="P2130" s="23"/>
      <c r="Q2130" s="23"/>
      <c r="R2130" s="23"/>
      <c r="S2130" s="16"/>
      <c r="T2130" s="23"/>
      <c r="U2130" s="23"/>
      <c r="V2130" s="23"/>
      <c r="W2130" s="16"/>
      <c r="X2130" s="23"/>
      <c r="Y2130" s="23"/>
      <c r="Z2130" s="23"/>
      <c r="AA2130" s="16"/>
      <c r="AB2130" s="23"/>
      <c r="AC2130" s="23"/>
      <c r="AD2130" s="23"/>
      <c r="AE2130" s="16"/>
      <c r="AF2130" s="23"/>
      <c r="AG2130" s="23"/>
      <c r="AH2130" s="23"/>
      <c r="AI2130" s="16"/>
      <c r="AJ2130" s="23"/>
      <c r="AK2130" s="23"/>
      <c r="AL2130" s="23"/>
      <c r="AM2130" s="16"/>
      <c r="AN2130" s="23"/>
      <c r="AO2130" s="23"/>
      <c r="AP2130" s="23"/>
      <c r="AQ2130" s="16"/>
      <c r="AR2130" s="23"/>
      <c r="AS2130" s="23"/>
      <c r="AT2130" s="23"/>
      <c r="AU2130" s="16"/>
      <c r="AV2130" s="23"/>
      <c r="AW2130" s="23"/>
      <c r="AX2130" s="23"/>
      <c r="AY2130" s="16"/>
      <c r="AZ2130" s="23"/>
      <c r="BA2130" s="23"/>
      <c r="BB2130" s="23"/>
      <c r="BC2130" s="16"/>
      <c r="BD2130" s="23"/>
      <c r="BE2130" s="23"/>
      <c r="BF2130" s="23"/>
      <c r="BG2130" s="16"/>
      <c r="BH2130" s="23"/>
      <c r="BI2130" s="23"/>
      <c r="BJ2130" s="23"/>
      <c r="BN2130" s="23"/>
      <c r="BO2130" s="23"/>
      <c r="BP2130" s="16"/>
      <c r="BQ2130" s="16"/>
      <c r="BR2130" s="23"/>
      <c r="BS2130" s="16"/>
      <c r="BT2130" s="16"/>
      <c r="BU2130" s="16"/>
      <c r="BV2130" s="16"/>
      <c r="BW2130" s="16"/>
      <c r="BX2130" s="16"/>
      <c r="BY2130" s="16"/>
    </row>
    <row r="2131">
      <c r="A2131" s="16"/>
      <c r="B2131" s="16"/>
      <c r="C2131" s="22"/>
      <c r="D2131" s="16"/>
      <c r="E2131" s="16"/>
      <c r="F2131" s="16"/>
      <c r="G2131" s="16"/>
      <c r="H2131" s="16"/>
      <c r="I2131" s="23"/>
      <c r="J2131" s="23"/>
      <c r="K2131" s="16"/>
      <c r="L2131" s="23"/>
      <c r="M2131" s="23"/>
      <c r="N2131" s="23"/>
      <c r="O2131" s="16"/>
      <c r="P2131" s="23"/>
      <c r="Q2131" s="23"/>
      <c r="R2131" s="23"/>
      <c r="S2131" s="16"/>
      <c r="T2131" s="23"/>
      <c r="U2131" s="23"/>
      <c r="V2131" s="23"/>
      <c r="W2131" s="16"/>
      <c r="X2131" s="23"/>
      <c r="Y2131" s="23"/>
      <c r="Z2131" s="23"/>
      <c r="AA2131" s="16"/>
      <c r="AB2131" s="23"/>
      <c r="AC2131" s="23"/>
      <c r="AD2131" s="23"/>
      <c r="AE2131" s="16"/>
      <c r="AF2131" s="23"/>
      <c r="AG2131" s="23"/>
      <c r="AH2131" s="23"/>
      <c r="AI2131" s="16"/>
      <c r="AJ2131" s="23"/>
      <c r="AK2131" s="23"/>
      <c r="AL2131" s="23"/>
      <c r="AM2131" s="16"/>
      <c r="AN2131" s="23"/>
      <c r="AO2131" s="23"/>
      <c r="AP2131" s="23"/>
      <c r="AQ2131" s="16"/>
      <c r="AR2131" s="23"/>
      <c r="AS2131" s="23"/>
      <c r="AT2131" s="23"/>
      <c r="AU2131" s="16"/>
      <c r="AV2131" s="23"/>
      <c r="AW2131" s="23"/>
      <c r="AX2131" s="23"/>
      <c r="AY2131" s="16"/>
      <c r="AZ2131" s="23"/>
      <c r="BA2131" s="23"/>
      <c r="BB2131" s="23"/>
      <c r="BC2131" s="16"/>
      <c r="BD2131" s="23"/>
      <c r="BE2131" s="23"/>
      <c r="BF2131" s="23"/>
      <c r="BG2131" s="16"/>
      <c r="BH2131" s="23"/>
      <c r="BI2131" s="23"/>
      <c r="BJ2131" s="23"/>
      <c r="BN2131" s="23"/>
      <c r="BO2131" s="23"/>
      <c r="BP2131" s="16"/>
      <c r="BQ2131" s="16"/>
      <c r="BR2131" s="23"/>
      <c r="BS2131" s="16"/>
      <c r="BT2131" s="16"/>
      <c r="BU2131" s="16"/>
      <c r="BV2131" s="16"/>
      <c r="BW2131" s="16"/>
      <c r="BX2131" s="16"/>
      <c r="BY2131" s="16"/>
    </row>
    <row r="2132">
      <c r="A2132" s="16"/>
      <c r="B2132" s="16"/>
      <c r="C2132" s="22"/>
      <c r="D2132" s="16"/>
      <c r="E2132" s="16"/>
      <c r="F2132" s="16"/>
      <c r="G2132" s="16"/>
      <c r="H2132" s="16"/>
      <c r="I2132" s="23"/>
      <c r="J2132" s="23"/>
      <c r="K2132" s="16"/>
      <c r="L2132" s="23"/>
      <c r="M2132" s="23"/>
      <c r="N2132" s="23"/>
      <c r="O2132" s="16"/>
      <c r="P2132" s="23"/>
      <c r="Q2132" s="23"/>
      <c r="R2132" s="23"/>
      <c r="S2132" s="16"/>
      <c r="T2132" s="23"/>
      <c r="U2132" s="23"/>
      <c r="V2132" s="23"/>
      <c r="W2132" s="16"/>
      <c r="X2132" s="23"/>
      <c r="Y2132" s="23"/>
      <c r="Z2132" s="23"/>
      <c r="AA2132" s="16"/>
      <c r="AB2132" s="23"/>
      <c r="AC2132" s="23"/>
      <c r="AD2132" s="23"/>
      <c r="AE2132" s="16"/>
      <c r="AF2132" s="23"/>
      <c r="AG2132" s="23"/>
      <c r="AH2132" s="23"/>
      <c r="AI2132" s="16"/>
      <c r="AJ2132" s="23"/>
      <c r="AK2132" s="23"/>
      <c r="AL2132" s="23"/>
      <c r="AM2132" s="16"/>
      <c r="AN2132" s="23"/>
      <c r="AO2132" s="23"/>
      <c r="AP2132" s="23"/>
      <c r="AQ2132" s="16"/>
      <c r="AR2132" s="23"/>
      <c r="AS2132" s="23"/>
      <c r="AT2132" s="23"/>
      <c r="AU2132" s="16"/>
      <c r="AV2132" s="23"/>
      <c r="AW2132" s="23"/>
      <c r="AX2132" s="23"/>
      <c r="AY2132" s="16"/>
      <c r="AZ2132" s="23"/>
      <c r="BA2132" s="23"/>
      <c r="BB2132" s="23"/>
      <c r="BC2132" s="16"/>
      <c r="BD2132" s="23"/>
      <c r="BE2132" s="23"/>
      <c r="BF2132" s="23"/>
      <c r="BG2132" s="16"/>
      <c r="BH2132" s="23"/>
      <c r="BI2132" s="23"/>
      <c r="BJ2132" s="23"/>
      <c r="BN2132" s="23"/>
      <c r="BO2132" s="23"/>
      <c r="BP2132" s="16"/>
      <c r="BQ2132" s="16"/>
      <c r="BR2132" s="23"/>
      <c r="BS2132" s="16"/>
      <c r="BT2132" s="16"/>
      <c r="BU2132" s="16"/>
      <c r="BV2132" s="16"/>
      <c r="BW2132" s="16"/>
      <c r="BX2132" s="16"/>
      <c r="BY2132" s="16"/>
    </row>
    <row r="2133">
      <c r="A2133" s="16"/>
      <c r="B2133" s="16"/>
      <c r="C2133" s="22"/>
      <c r="D2133" s="16"/>
      <c r="E2133" s="16"/>
      <c r="F2133" s="16"/>
      <c r="G2133" s="16"/>
      <c r="H2133" s="16"/>
      <c r="I2133" s="23"/>
      <c r="J2133" s="23"/>
      <c r="K2133" s="16"/>
      <c r="L2133" s="23"/>
      <c r="M2133" s="23"/>
      <c r="N2133" s="23"/>
      <c r="O2133" s="16"/>
      <c r="P2133" s="23"/>
      <c r="Q2133" s="23"/>
      <c r="R2133" s="23"/>
      <c r="S2133" s="16"/>
      <c r="T2133" s="23"/>
      <c r="U2133" s="23"/>
      <c r="V2133" s="23"/>
      <c r="W2133" s="16"/>
      <c r="X2133" s="23"/>
      <c r="Y2133" s="23"/>
      <c r="Z2133" s="23"/>
      <c r="AA2133" s="16"/>
      <c r="AB2133" s="23"/>
      <c r="AC2133" s="23"/>
      <c r="AD2133" s="23"/>
      <c r="AE2133" s="16"/>
      <c r="AF2133" s="23"/>
      <c r="AG2133" s="23"/>
      <c r="AH2133" s="23"/>
      <c r="AI2133" s="16"/>
      <c r="AJ2133" s="23"/>
      <c r="AK2133" s="23"/>
      <c r="AL2133" s="23"/>
      <c r="AM2133" s="16"/>
      <c r="AN2133" s="23"/>
      <c r="AO2133" s="23"/>
      <c r="AP2133" s="23"/>
      <c r="AQ2133" s="16"/>
      <c r="AR2133" s="23"/>
      <c r="AS2133" s="23"/>
      <c r="AT2133" s="23"/>
      <c r="AU2133" s="16"/>
      <c r="AV2133" s="23"/>
      <c r="AW2133" s="23"/>
      <c r="AX2133" s="23"/>
      <c r="AY2133" s="16"/>
      <c r="AZ2133" s="23"/>
      <c r="BA2133" s="23"/>
      <c r="BB2133" s="23"/>
      <c r="BC2133" s="16"/>
      <c r="BD2133" s="23"/>
      <c r="BE2133" s="23"/>
      <c r="BF2133" s="23"/>
      <c r="BG2133" s="16"/>
      <c r="BH2133" s="23"/>
      <c r="BI2133" s="23"/>
      <c r="BJ2133" s="23"/>
      <c r="BN2133" s="23"/>
      <c r="BO2133" s="23"/>
      <c r="BP2133" s="16"/>
      <c r="BQ2133" s="16"/>
      <c r="BR2133" s="23"/>
      <c r="BS2133" s="16"/>
      <c r="BT2133" s="16"/>
      <c r="BU2133" s="16"/>
      <c r="BV2133" s="16"/>
      <c r="BW2133" s="16"/>
      <c r="BX2133" s="16"/>
      <c r="BY2133" s="16"/>
    </row>
    <row r="2134">
      <c r="A2134" s="16"/>
      <c r="B2134" s="16"/>
      <c r="C2134" s="22"/>
      <c r="D2134" s="16"/>
      <c r="E2134" s="16"/>
      <c r="F2134" s="16"/>
      <c r="G2134" s="16"/>
      <c r="H2134" s="16"/>
      <c r="I2134" s="23"/>
      <c r="J2134" s="23"/>
      <c r="K2134" s="16"/>
      <c r="L2134" s="23"/>
      <c r="M2134" s="23"/>
      <c r="N2134" s="23"/>
      <c r="O2134" s="16"/>
      <c r="P2134" s="23"/>
      <c r="Q2134" s="23"/>
      <c r="R2134" s="23"/>
      <c r="S2134" s="16"/>
      <c r="T2134" s="23"/>
      <c r="U2134" s="23"/>
      <c r="V2134" s="23"/>
      <c r="W2134" s="16"/>
      <c r="X2134" s="23"/>
      <c r="Y2134" s="23"/>
      <c r="Z2134" s="23"/>
      <c r="AA2134" s="16"/>
      <c r="AB2134" s="23"/>
      <c r="AC2134" s="23"/>
      <c r="AD2134" s="23"/>
      <c r="AE2134" s="16"/>
      <c r="AF2134" s="23"/>
      <c r="AG2134" s="23"/>
      <c r="AH2134" s="23"/>
      <c r="AI2134" s="16"/>
      <c r="AJ2134" s="23"/>
      <c r="AK2134" s="23"/>
      <c r="AL2134" s="23"/>
      <c r="AM2134" s="16"/>
      <c r="AN2134" s="23"/>
      <c r="AO2134" s="23"/>
      <c r="AP2134" s="23"/>
      <c r="AQ2134" s="16"/>
      <c r="AR2134" s="23"/>
      <c r="AS2134" s="23"/>
      <c r="AT2134" s="23"/>
      <c r="AU2134" s="16"/>
      <c r="AV2134" s="23"/>
      <c r="AW2134" s="23"/>
      <c r="AX2134" s="23"/>
      <c r="AY2134" s="16"/>
      <c r="AZ2134" s="23"/>
      <c r="BA2134" s="23"/>
      <c r="BB2134" s="23"/>
      <c r="BC2134" s="16"/>
      <c r="BD2134" s="23"/>
      <c r="BE2134" s="23"/>
      <c r="BF2134" s="23"/>
      <c r="BG2134" s="16"/>
      <c r="BH2134" s="23"/>
      <c r="BI2134" s="23"/>
      <c r="BJ2134" s="23"/>
      <c r="BN2134" s="23"/>
      <c r="BO2134" s="23"/>
      <c r="BP2134" s="16"/>
      <c r="BQ2134" s="16"/>
      <c r="BR2134" s="23"/>
      <c r="BS2134" s="16"/>
      <c r="BT2134" s="16"/>
      <c r="BU2134" s="16"/>
      <c r="BV2134" s="16"/>
      <c r="BW2134" s="16"/>
      <c r="BX2134" s="16"/>
      <c r="BY2134" s="16"/>
    </row>
    <row r="2135">
      <c r="A2135" s="16"/>
      <c r="B2135" s="16"/>
      <c r="C2135" s="22"/>
      <c r="D2135" s="16"/>
      <c r="E2135" s="16"/>
      <c r="F2135" s="16"/>
      <c r="G2135" s="16"/>
      <c r="H2135" s="16"/>
      <c r="I2135" s="23"/>
      <c r="J2135" s="23"/>
      <c r="K2135" s="16"/>
      <c r="L2135" s="23"/>
      <c r="M2135" s="23"/>
      <c r="N2135" s="23"/>
      <c r="O2135" s="16"/>
      <c r="P2135" s="23"/>
      <c r="Q2135" s="23"/>
      <c r="R2135" s="23"/>
      <c r="S2135" s="16"/>
      <c r="T2135" s="23"/>
      <c r="U2135" s="23"/>
      <c r="V2135" s="23"/>
      <c r="W2135" s="16"/>
      <c r="X2135" s="23"/>
      <c r="Y2135" s="23"/>
      <c r="Z2135" s="23"/>
      <c r="AA2135" s="16"/>
      <c r="AB2135" s="23"/>
      <c r="AC2135" s="23"/>
      <c r="AD2135" s="23"/>
      <c r="AE2135" s="16"/>
      <c r="AF2135" s="23"/>
      <c r="AG2135" s="23"/>
      <c r="AH2135" s="23"/>
      <c r="AI2135" s="16"/>
      <c r="AJ2135" s="23"/>
      <c r="AK2135" s="23"/>
      <c r="AL2135" s="23"/>
      <c r="AM2135" s="16"/>
      <c r="AN2135" s="23"/>
      <c r="AO2135" s="23"/>
      <c r="AP2135" s="23"/>
      <c r="AQ2135" s="16"/>
      <c r="AR2135" s="23"/>
      <c r="AS2135" s="23"/>
      <c r="AT2135" s="23"/>
      <c r="AU2135" s="16"/>
      <c r="AV2135" s="23"/>
      <c r="AW2135" s="23"/>
      <c r="AX2135" s="23"/>
      <c r="AY2135" s="16"/>
      <c r="AZ2135" s="23"/>
      <c r="BA2135" s="23"/>
      <c r="BB2135" s="23"/>
      <c r="BC2135" s="16"/>
      <c r="BD2135" s="23"/>
      <c r="BE2135" s="23"/>
      <c r="BF2135" s="23"/>
      <c r="BG2135" s="16"/>
      <c r="BH2135" s="23"/>
      <c r="BI2135" s="23"/>
      <c r="BJ2135" s="23"/>
      <c r="BN2135" s="23"/>
      <c r="BO2135" s="23"/>
      <c r="BP2135" s="16"/>
      <c r="BQ2135" s="16"/>
      <c r="BR2135" s="23"/>
      <c r="BS2135" s="16"/>
      <c r="BT2135" s="16"/>
      <c r="BU2135" s="16"/>
      <c r="BV2135" s="16"/>
      <c r="BW2135" s="16"/>
      <c r="BX2135" s="16"/>
      <c r="BY2135" s="16"/>
    </row>
    <row r="2136">
      <c r="A2136" s="16"/>
      <c r="B2136" s="16"/>
      <c r="C2136" s="22"/>
      <c r="D2136" s="16"/>
      <c r="E2136" s="16"/>
      <c r="F2136" s="16"/>
      <c r="G2136" s="16"/>
      <c r="H2136" s="16"/>
      <c r="I2136" s="23"/>
      <c r="J2136" s="23"/>
      <c r="K2136" s="16"/>
      <c r="L2136" s="23"/>
      <c r="M2136" s="23"/>
      <c r="N2136" s="23"/>
      <c r="O2136" s="16"/>
      <c r="P2136" s="23"/>
      <c r="Q2136" s="23"/>
      <c r="R2136" s="23"/>
      <c r="S2136" s="16"/>
      <c r="T2136" s="23"/>
      <c r="U2136" s="23"/>
      <c r="V2136" s="23"/>
      <c r="W2136" s="16"/>
      <c r="X2136" s="23"/>
      <c r="Y2136" s="23"/>
      <c r="Z2136" s="23"/>
      <c r="AA2136" s="16"/>
      <c r="AB2136" s="23"/>
      <c r="AC2136" s="23"/>
      <c r="AD2136" s="23"/>
      <c r="AE2136" s="16"/>
      <c r="AF2136" s="23"/>
      <c r="AG2136" s="23"/>
      <c r="AH2136" s="23"/>
      <c r="AI2136" s="16"/>
      <c r="AJ2136" s="23"/>
      <c r="AK2136" s="23"/>
      <c r="AL2136" s="23"/>
      <c r="AM2136" s="16"/>
      <c r="AN2136" s="23"/>
      <c r="AO2136" s="23"/>
      <c r="AP2136" s="23"/>
      <c r="AQ2136" s="16"/>
      <c r="AR2136" s="23"/>
      <c r="AS2136" s="23"/>
      <c r="AT2136" s="23"/>
      <c r="AU2136" s="16"/>
      <c r="AV2136" s="23"/>
      <c r="AW2136" s="23"/>
      <c r="AX2136" s="23"/>
      <c r="AY2136" s="16"/>
      <c r="AZ2136" s="23"/>
      <c r="BA2136" s="23"/>
      <c r="BB2136" s="23"/>
      <c r="BC2136" s="16"/>
      <c r="BD2136" s="23"/>
      <c r="BE2136" s="23"/>
      <c r="BF2136" s="23"/>
      <c r="BG2136" s="16"/>
      <c r="BH2136" s="23"/>
      <c r="BI2136" s="23"/>
      <c r="BJ2136" s="23"/>
      <c r="BN2136" s="23"/>
      <c r="BO2136" s="23"/>
      <c r="BP2136" s="16"/>
      <c r="BQ2136" s="16"/>
      <c r="BR2136" s="23"/>
      <c r="BS2136" s="16"/>
      <c r="BT2136" s="16"/>
      <c r="BU2136" s="16"/>
      <c r="BV2136" s="16"/>
      <c r="BW2136" s="16"/>
      <c r="BX2136" s="16"/>
      <c r="BY2136" s="16"/>
    </row>
    <row r="2137">
      <c r="A2137" s="16"/>
      <c r="B2137" s="16"/>
      <c r="C2137" s="22"/>
      <c r="D2137" s="16"/>
      <c r="E2137" s="16"/>
      <c r="F2137" s="16"/>
      <c r="G2137" s="16"/>
      <c r="H2137" s="16"/>
      <c r="I2137" s="23"/>
      <c r="J2137" s="23"/>
      <c r="K2137" s="16"/>
      <c r="L2137" s="23"/>
      <c r="M2137" s="23"/>
      <c r="N2137" s="23"/>
      <c r="O2137" s="16"/>
      <c r="P2137" s="23"/>
      <c r="Q2137" s="23"/>
      <c r="R2137" s="23"/>
      <c r="S2137" s="16"/>
      <c r="T2137" s="23"/>
      <c r="U2137" s="23"/>
      <c r="V2137" s="23"/>
      <c r="W2137" s="16"/>
      <c r="X2137" s="23"/>
      <c r="Y2137" s="23"/>
      <c r="Z2137" s="23"/>
      <c r="AA2137" s="16"/>
      <c r="AB2137" s="23"/>
      <c r="AC2137" s="23"/>
      <c r="AD2137" s="23"/>
      <c r="AE2137" s="16"/>
      <c r="AF2137" s="23"/>
      <c r="AG2137" s="23"/>
      <c r="AH2137" s="23"/>
      <c r="AI2137" s="16"/>
      <c r="AJ2137" s="23"/>
      <c r="AK2137" s="23"/>
      <c r="AL2137" s="23"/>
      <c r="AM2137" s="16"/>
      <c r="AN2137" s="23"/>
      <c r="AO2137" s="23"/>
      <c r="AP2137" s="23"/>
      <c r="AQ2137" s="16"/>
      <c r="AR2137" s="23"/>
      <c r="AS2137" s="23"/>
      <c r="AT2137" s="23"/>
      <c r="AU2137" s="16"/>
      <c r="AV2137" s="23"/>
      <c r="AW2137" s="23"/>
      <c r="AX2137" s="23"/>
      <c r="AY2137" s="16"/>
      <c r="AZ2137" s="23"/>
      <c r="BA2137" s="23"/>
      <c r="BB2137" s="23"/>
      <c r="BC2137" s="16"/>
      <c r="BD2137" s="23"/>
      <c r="BE2137" s="23"/>
      <c r="BF2137" s="23"/>
      <c r="BG2137" s="16"/>
      <c r="BH2137" s="23"/>
      <c r="BI2137" s="23"/>
      <c r="BJ2137" s="23"/>
      <c r="BN2137" s="23"/>
      <c r="BO2137" s="23"/>
      <c r="BP2137" s="16"/>
      <c r="BQ2137" s="16"/>
      <c r="BR2137" s="23"/>
      <c r="BS2137" s="16"/>
      <c r="BT2137" s="16"/>
      <c r="BU2137" s="16"/>
      <c r="BV2137" s="16"/>
      <c r="BW2137" s="16"/>
      <c r="BX2137" s="16"/>
      <c r="BY2137" s="16"/>
    </row>
    <row r="2138">
      <c r="A2138" s="16"/>
      <c r="B2138" s="16"/>
      <c r="C2138" s="22"/>
      <c r="D2138" s="16"/>
      <c r="E2138" s="16"/>
      <c r="F2138" s="16"/>
      <c r="G2138" s="16"/>
      <c r="H2138" s="16"/>
      <c r="I2138" s="23"/>
      <c r="J2138" s="23"/>
      <c r="K2138" s="16"/>
      <c r="L2138" s="23"/>
      <c r="M2138" s="23"/>
      <c r="N2138" s="23"/>
      <c r="O2138" s="16"/>
      <c r="P2138" s="23"/>
      <c r="Q2138" s="23"/>
      <c r="R2138" s="23"/>
      <c r="S2138" s="16"/>
      <c r="T2138" s="23"/>
      <c r="U2138" s="23"/>
      <c r="V2138" s="23"/>
      <c r="W2138" s="16"/>
      <c r="X2138" s="23"/>
      <c r="Y2138" s="23"/>
      <c r="Z2138" s="23"/>
      <c r="AA2138" s="16"/>
      <c r="AB2138" s="23"/>
      <c r="AC2138" s="23"/>
      <c r="AD2138" s="23"/>
      <c r="AE2138" s="16"/>
      <c r="AF2138" s="23"/>
      <c r="AG2138" s="23"/>
      <c r="AH2138" s="23"/>
      <c r="AI2138" s="16"/>
      <c r="AJ2138" s="23"/>
      <c r="AK2138" s="23"/>
      <c r="AL2138" s="23"/>
      <c r="AM2138" s="16"/>
      <c r="AN2138" s="23"/>
      <c r="AO2138" s="23"/>
      <c r="AP2138" s="23"/>
      <c r="AQ2138" s="16"/>
      <c r="AR2138" s="23"/>
      <c r="AS2138" s="23"/>
      <c r="AT2138" s="23"/>
      <c r="AU2138" s="16"/>
      <c r="AV2138" s="23"/>
      <c r="AW2138" s="23"/>
      <c r="AX2138" s="23"/>
      <c r="AY2138" s="16"/>
      <c r="AZ2138" s="23"/>
      <c r="BA2138" s="23"/>
      <c r="BB2138" s="23"/>
      <c r="BC2138" s="16"/>
      <c r="BD2138" s="23"/>
      <c r="BE2138" s="23"/>
      <c r="BF2138" s="23"/>
      <c r="BG2138" s="16"/>
      <c r="BH2138" s="23"/>
      <c r="BI2138" s="23"/>
      <c r="BJ2138" s="23"/>
      <c r="BN2138" s="23"/>
      <c r="BO2138" s="23"/>
      <c r="BP2138" s="16"/>
      <c r="BQ2138" s="16"/>
      <c r="BR2138" s="23"/>
      <c r="BS2138" s="16"/>
      <c r="BT2138" s="16"/>
      <c r="BU2138" s="16"/>
      <c r="BV2138" s="16"/>
      <c r="BW2138" s="16"/>
      <c r="BX2138" s="16"/>
      <c r="BY2138" s="16"/>
    </row>
    <row r="2139">
      <c r="A2139" s="16"/>
      <c r="B2139" s="16"/>
      <c r="C2139" s="22"/>
      <c r="D2139" s="16"/>
      <c r="E2139" s="16"/>
      <c r="F2139" s="16"/>
      <c r="G2139" s="16"/>
      <c r="H2139" s="16"/>
      <c r="I2139" s="23"/>
      <c r="J2139" s="23"/>
      <c r="K2139" s="16"/>
      <c r="L2139" s="23"/>
      <c r="M2139" s="23"/>
      <c r="N2139" s="23"/>
      <c r="O2139" s="16"/>
      <c r="P2139" s="23"/>
      <c r="Q2139" s="23"/>
      <c r="R2139" s="23"/>
      <c r="S2139" s="16"/>
      <c r="T2139" s="23"/>
      <c r="U2139" s="23"/>
      <c r="V2139" s="23"/>
      <c r="W2139" s="16"/>
      <c r="X2139" s="23"/>
      <c r="Y2139" s="23"/>
      <c r="Z2139" s="23"/>
      <c r="AA2139" s="16"/>
      <c r="AB2139" s="23"/>
      <c r="AC2139" s="23"/>
      <c r="AD2139" s="23"/>
      <c r="AE2139" s="16"/>
      <c r="AF2139" s="23"/>
      <c r="AG2139" s="23"/>
      <c r="AH2139" s="23"/>
      <c r="AI2139" s="16"/>
      <c r="AJ2139" s="23"/>
      <c r="AK2139" s="23"/>
      <c r="AL2139" s="23"/>
      <c r="AM2139" s="16"/>
      <c r="AN2139" s="23"/>
      <c r="AO2139" s="23"/>
      <c r="AP2139" s="23"/>
      <c r="AQ2139" s="16"/>
      <c r="AR2139" s="23"/>
      <c r="AS2139" s="23"/>
      <c r="AT2139" s="23"/>
      <c r="AU2139" s="16"/>
      <c r="AV2139" s="23"/>
      <c r="AW2139" s="23"/>
      <c r="AX2139" s="23"/>
      <c r="AY2139" s="16"/>
      <c r="AZ2139" s="23"/>
      <c r="BA2139" s="23"/>
      <c r="BB2139" s="23"/>
      <c r="BC2139" s="16"/>
      <c r="BD2139" s="23"/>
      <c r="BE2139" s="23"/>
      <c r="BF2139" s="23"/>
      <c r="BG2139" s="16"/>
      <c r="BH2139" s="23"/>
      <c r="BI2139" s="23"/>
      <c r="BJ2139" s="23"/>
      <c r="BN2139" s="23"/>
      <c r="BO2139" s="23"/>
      <c r="BP2139" s="16"/>
      <c r="BQ2139" s="16"/>
      <c r="BR2139" s="23"/>
      <c r="BS2139" s="16"/>
      <c r="BT2139" s="16"/>
      <c r="BU2139" s="16"/>
      <c r="BV2139" s="16"/>
      <c r="BW2139" s="16"/>
      <c r="BX2139" s="16"/>
      <c r="BY2139" s="16"/>
    </row>
    <row r="2140">
      <c r="A2140" s="16"/>
      <c r="B2140" s="16"/>
      <c r="C2140" s="22"/>
      <c r="D2140" s="16"/>
      <c r="E2140" s="16"/>
      <c r="F2140" s="16"/>
      <c r="G2140" s="16"/>
      <c r="H2140" s="16"/>
      <c r="I2140" s="23"/>
      <c r="J2140" s="23"/>
      <c r="K2140" s="16"/>
      <c r="L2140" s="23"/>
      <c r="M2140" s="23"/>
      <c r="N2140" s="23"/>
      <c r="O2140" s="16"/>
      <c r="P2140" s="23"/>
      <c r="Q2140" s="23"/>
      <c r="R2140" s="23"/>
      <c r="S2140" s="16"/>
      <c r="T2140" s="23"/>
      <c r="U2140" s="23"/>
      <c r="V2140" s="23"/>
      <c r="W2140" s="16"/>
      <c r="X2140" s="23"/>
      <c r="Y2140" s="23"/>
      <c r="Z2140" s="23"/>
      <c r="AA2140" s="16"/>
      <c r="AB2140" s="23"/>
      <c r="AC2140" s="23"/>
      <c r="AD2140" s="23"/>
      <c r="AE2140" s="16"/>
      <c r="AF2140" s="23"/>
      <c r="AG2140" s="23"/>
      <c r="AH2140" s="23"/>
      <c r="AI2140" s="16"/>
      <c r="AJ2140" s="23"/>
      <c r="AK2140" s="23"/>
      <c r="AL2140" s="23"/>
      <c r="AM2140" s="16"/>
      <c r="AN2140" s="23"/>
      <c r="AO2140" s="23"/>
      <c r="AP2140" s="23"/>
      <c r="AQ2140" s="16"/>
      <c r="AR2140" s="23"/>
      <c r="AS2140" s="23"/>
      <c r="AT2140" s="23"/>
      <c r="AU2140" s="16"/>
      <c r="AV2140" s="23"/>
      <c r="AW2140" s="23"/>
      <c r="AX2140" s="23"/>
      <c r="AY2140" s="16"/>
      <c r="AZ2140" s="23"/>
      <c r="BA2140" s="23"/>
      <c r="BB2140" s="23"/>
      <c r="BC2140" s="16"/>
      <c r="BD2140" s="23"/>
      <c r="BE2140" s="23"/>
      <c r="BF2140" s="23"/>
      <c r="BG2140" s="16"/>
      <c r="BH2140" s="23"/>
      <c r="BI2140" s="23"/>
      <c r="BJ2140" s="23"/>
      <c r="BN2140" s="23"/>
      <c r="BO2140" s="23"/>
      <c r="BP2140" s="16"/>
      <c r="BQ2140" s="16"/>
      <c r="BR2140" s="23"/>
      <c r="BS2140" s="16"/>
      <c r="BT2140" s="16"/>
      <c r="BU2140" s="16"/>
      <c r="BV2140" s="16"/>
      <c r="BW2140" s="16"/>
      <c r="BX2140" s="16"/>
      <c r="BY2140" s="16"/>
    </row>
    <row r="2141">
      <c r="A2141" s="16"/>
      <c r="B2141" s="16"/>
      <c r="C2141" s="22"/>
      <c r="D2141" s="16"/>
      <c r="E2141" s="16"/>
      <c r="F2141" s="16"/>
      <c r="G2141" s="16"/>
      <c r="H2141" s="16"/>
      <c r="I2141" s="23"/>
      <c r="J2141" s="23"/>
      <c r="K2141" s="16"/>
      <c r="L2141" s="23"/>
      <c r="M2141" s="23"/>
      <c r="N2141" s="23"/>
      <c r="O2141" s="16"/>
      <c r="P2141" s="23"/>
      <c r="Q2141" s="23"/>
      <c r="R2141" s="23"/>
      <c r="S2141" s="16"/>
      <c r="T2141" s="23"/>
      <c r="U2141" s="23"/>
      <c r="V2141" s="23"/>
      <c r="W2141" s="16"/>
      <c r="X2141" s="23"/>
      <c r="Y2141" s="23"/>
      <c r="Z2141" s="23"/>
      <c r="AA2141" s="16"/>
      <c r="AB2141" s="23"/>
      <c r="AC2141" s="23"/>
      <c r="AD2141" s="23"/>
      <c r="AE2141" s="16"/>
      <c r="AF2141" s="23"/>
      <c r="AG2141" s="23"/>
      <c r="AH2141" s="23"/>
      <c r="AI2141" s="16"/>
      <c r="AJ2141" s="23"/>
      <c r="AK2141" s="23"/>
      <c r="AL2141" s="23"/>
      <c r="AM2141" s="16"/>
      <c r="AN2141" s="23"/>
      <c r="AO2141" s="23"/>
      <c r="AP2141" s="23"/>
      <c r="AQ2141" s="16"/>
      <c r="AR2141" s="23"/>
      <c r="AS2141" s="23"/>
      <c r="AT2141" s="23"/>
      <c r="AU2141" s="16"/>
      <c r="AV2141" s="23"/>
      <c r="AW2141" s="23"/>
      <c r="AX2141" s="23"/>
      <c r="AY2141" s="16"/>
      <c r="AZ2141" s="23"/>
      <c r="BA2141" s="23"/>
      <c r="BB2141" s="23"/>
      <c r="BC2141" s="16"/>
      <c r="BD2141" s="23"/>
      <c r="BE2141" s="23"/>
      <c r="BF2141" s="23"/>
      <c r="BG2141" s="16"/>
      <c r="BH2141" s="23"/>
      <c r="BI2141" s="23"/>
      <c r="BJ2141" s="23"/>
      <c r="BN2141" s="23"/>
      <c r="BO2141" s="23"/>
      <c r="BP2141" s="16"/>
      <c r="BQ2141" s="16"/>
      <c r="BR2141" s="23"/>
      <c r="BS2141" s="16"/>
      <c r="BT2141" s="16"/>
      <c r="BU2141" s="16"/>
      <c r="BV2141" s="16"/>
      <c r="BW2141" s="16"/>
      <c r="BX2141" s="16"/>
      <c r="BY2141" s="16"/>
    </row>
    <row r="2142">
      <c r="A2142" s="16"/>
      <c r="B2142" s="16"/>
      <c r="C2142" s="22"/>
      <c r="D2142" s="16"/>
      <c r="E2142" s="16"/>
      <c r="F2142" s="16"/>
      <c r="G2142" s="16"/>
      <c r="H2142" s="16"/>
      <c r="I2142" s="23"/>
      <c r="J2142" s="23"/>
      <c r="K2142" s="16"/>
      <c r="L2142" s="23"/>
      <c r="M2142" s="23"/>
      <c r="N2142" s="23"/>
      <c r="O2142" s="16"/>
      <c r="P2142" s="23"/>
      <c r="Q2142" s="23"/>
      <c r="R2142" s="23"/>
      <c r="S2142" s="16"/>
      <c r="T2142" s="23"/>
      <c r="U2142" s="23"/>
      <c r="V2142" s="23"/>
      <c r="W2142" s="16"/>
      <c r="X2142" s="23"/>
      <c r="Y2142" s="23"/>
      <c r="Z2142" s="23"/>
      <c r="AA2142" s="16"/>
      <c r="AB2142" s="23"/>
      <c r="AC2142" s="23"/>
      <c r="AD2142" s="23"/>
      <c r="AE2142" s="16"/>
      <c r="AF2142" s="23"/>
      <c r="AG2142" s="23"/>
      <c r="AH2142" s="23"/>
      <c r="AI2142" s="16"/>
      <c r="AJ2142" s="23"/>
      <c r="AK2142" s="23"/>
      <c r="AL2142" s="23"/>
      <c r="AM2142" s="16"/>
      <c r="AN2142" s="23"/>
      <c r="AO2142" s="23"/>
      <c r="AP2142" s="23"/>
      <c r="AQ2142" s="16"/>
      <c r="AR2142" s="23"/>
      <c r="AS2142" s="23"/>
      <c r="AT2142" s="23"/>
      <c r="AU2142" s="16"/>
      <c r="AV2142" s="23"/>
      <c r="AW2142" s="23"/>
      <c r="AX2142" s="23"/>
      <c r="AY2142" s="16"/>
      <c r="AZ2142" s="23"/>
      <c r="BA2142" s="23"/>
      <c r="BB2142" s="23"/>
      <c r="BC2142" s="16"/>
      <c r="BD2142" s="23"/>
      <c r="BE2142" s="23"/>
      <c r="BF2142" s="23"/>
      <c r="BG2142" s="16"/>
      <c r="BH2142" s="23"/>
      <c r="BI2142" s="23"/>
      <c r="BJ2142" s="23"/>
      <c r="BN2142" s="23"/>
      <c r="BO2142" s="23"/>
      <c r="BP2142" s="16"/>
      <c r="BQ2142" s="16"/>
      <c r="BR2142" s="23"/>
      <c r="BS2142" s="16"/>
      <c r="BT2142" s="16"/>
      <c r="BU2142" s="16"/>
      <c r="BV2142" s="16"/>
      <c r="BW2142" s="16"/>
      <c r="BX2142" s="16"/>
      <c r="BY2142" s="16"/>
    </row>
    <row r="2143">
      <c r="A2143" s="16"/>
      <c r="B2143" s="16"/>
      <c r="C2143" s="22"/>
      <c r="D2143" s="16"/>
      <c r="E2143" s="16"/>
      <c r="F2143" s="16"/>
      <c r="G2143" s="16"/>
      <c r="H2143" s="16"/>
      <c r="I2143" s="23"/>
      <c r="J2143" s="23"/>
      <c r="K2143" s="16"/>
      <c r="L2143" s="23"/>
      <c r="M2143" s="23"/>
      <c r="N2143" s="23"/>
      <c r="O2143" s="16"/>
      <c r="P2143" s="23"/>
      <c r="Q2143" s="23"/>
      <c r="R2143" s="23"/>
      <c r="S2143" s="16"/>
      <c r="T2143" s="23"/>
      <c r="U2143" s="23"/>
      <c r="V2143" s="23"/>
      <c r="W2143" s="16"/>
      <c r="X2143" s="23"/>
      <c r="Y2143" s="23"/>
      <c r="Z2143" s="23"/>
      <c r="AA2143" s="16"/>
      <c r="AB2143" s="23"/>
      <c r="AC2143" s="23"/>
      <c r="AD2143" s="23"/>
      <c r="AE2143" s="16"/>
      <c r="AF2143" s="23"/>
      <c r="AG2143" s="23"/>
      <c r="AH2143" s="23"/>
      <c r="AI2143" s="16"/>
      <c r="AJ2143" s="23"/>
      <c r="AK2143" s="23"/>
      <c r="AL2143" s="23"/>
      <c r="AM2143" s="16"/>
      <c r="AN2143" s="23"/>
      <c r="AO2143" s="23"/>
      <c r="AP2143" s="23"/>
      <c r="AQ2143" s="16"/>
      <c r="AR2143" s="23"/>
      <c r="AS2143" s="23"/>
      <c r="AT2143" s="23"/>
      <c r="AU2143" s="16"/>
      <c r="AV2143" s="23"/>
      <c r="AW2143" s="23"/>
      <c r="AX2143" s="23"/>
      <c r="AY2143" s="16"/>
      <c r="AZ2143" s="23"/>
      <c r="BA2143" s="23"/>
      <c r="BB2143" s="23"/>
      <c r="BC2143" s="16"/>
      <c r="BD2143" s="23"/>
      <c r="BE2143" s="23"/>
      <c r="BF2143" s="23"/>
      <c r="BG2143" s="16"/>
      <c r="BH2143" s="23"/>
      <c r="BI2143" s="23"/>
      <c r="BJ2143" s="23"/>
      <c r="BN2143" s="23"/>
      <c r="BO2143" s="23"/>
      <c r="BP2143" s="16"/>
      <c r="BQ2143" s="16"/>
      <c r="BR2143" s="23"/>
      <c r="BS2143" s="16"/>
      <c r="BT2143" s="16"/>
      <c r="BU2143" s="16"/>
      <c r="BV2143" s="16"/>
      <c r="BW2143" s="16"/>
      <c r="BX2143" s="16"/>
      <c r="BY2143" s="16"/>
    </row>
    <row r="2144">
      <c r="A2144" s="16"/>
      <c r="B2144" s="16"/>
      <c r="C2144" s="22"/>
      <c r="D2144" s="16"/>
      <c r="E2144" s="16"/>
      <c r="F2144" s="16"/>
      <c r="G2144" s="16"/>
      <c r="H2144" s="16"/>
      <c r="I2144" s="23"/>
      <c r="J2144" s="23"/>
      <c r="K2144" s="16"/>
      <c r="L2144" s="23"/>
      <c r="M2144" s="23"/>
      <c r="N2144" s="23"/>
      <c r="O2144" s="16"/>
      <c r="P2144" s="23"/>
      <c r="Q2144" s="23"/>
      <c r="R2144" s="23"/>
      <c r="S2144" s="16"/>
      <c r="T2144" s="23"/>
      <c r="U2144" s="23"/>
      <c r="V2144" s="23"/>
      <c r="W2144" s="16"/>
      <c r="X2144" s="23"/>
      <c r="Y2144" s="23"/>
      <c r="Z2144" s="23"/>
      <c r="AA2144" s="16"/>
      <c r="AB2144" s="23"/>
      <c r="AC2144" s="23"/>
      <c r="AD2144" s="23"/>
      <c r="AE2144" s="16"/>
      <c r="AF2144" s="23"/>
      <c r="AG2144" s="23"/>
      <c r="AH2144" s="23"/>
      <c r="AI2144" s="16"/>
      <c r="AJ2144" s="23"/>
      <c r="AK2144" s="23"/>
      <c r="AL2144" s="23"/>
      <c r="AM2144" s="16"/>
      <c r="AN2144" s="23"/>
      <c r="AO2144" s="23"/>
      <c r="AP2144" s="23"/>
      <c r="AQ2144" s="16"/>
      <c r="AR2144" s="23"/>
      <c r="AS2144" s="23"/>
      <c r="AT2144" s="23"/>
      <c r="AU2144" s="16"/>
      <c r="AV2144" s="23"/>
      <c r="AW2144" s="23"/>
      <c r="AX2144" s="23"/>
      <c r="AY2144" s="16"/>
      <c r="AZ2144" s="23"/>
      <c r="BA2144" s="23"/>
      <c r="BB2144" s="23"/>
      <c r="BC2144" s="16"/>
      <c r="BD2144" s="23"/>
      <c r="BE2144" s="23"/>
      <c r="BF2144" s="23"/>
      <c r="BG2144" s="16"/>
      <c r="BH2144" s="23"/>
      <c r="BI2144" s="23"/>
      <c r="BJ2144" s="23"/>
      <c r="BN2144" s="23"/>
      <c r="BO2144" s="23"/>
      <c r="BP2144" s="16"/>
      <c r="BQ2144" s="16"/>
      <c r="BR2144" s="23"/>
      <c r="BS2144" s="16"/>
      <c r="BT2144" s="16"/>
      <c r="BU2144" s="16"/>
      <c r="BV2144" s="16"/>
      <c r="BW2144" s="16"/>
      <c r="BX2144" s="16"/>
      <c r="BY2144" s="16"/>
    </row>
    <row r="2145">
      <c r="A2145" s="16"/>
      <c r="B2145" s="16"/>
      <c r="C2145" s="22"/>
      <c r="D2145" s="16"/>
      <c r="E2145" s="16"/>
      <c r="F2145" s="16"/>
      <c r="G2145" s="16"/>
      <c r="H2145" s="16"/>
      <c r="I2145" s="23"/>
      <c r="J2145" s="23"/>
      <c r="K2145" s="16"/>
      <c r="L2145" s="23"/>
      <c r="M2145" s="23"/>
      <c r="N2145" s="23"/>
      <c r="O2145" s="16"/>
      <c r="P2145" s="23"/>
      <c r="Q2145" s="23"/>
      <c r="R2145" s="23"/>
      <c r="S2145" s="16"/>
      <c r="T2145" s="23"/>
      <c r="U2145" s="23"/>
      <c r="V2145" s="23"/>
      <c r="W2145" s="16"/>
      <c r="X2145" s="23"/>
      <c r="Y2145" s="23"/>
      <c r="Z2145" s="23"/>
      <c r="AA2145" s="16"/>
      <c r="AB2145" s="23"/>
      <c r="AC2145" s="23"/>
      <c r="AD2145" s="23"/>
      <c r="AE2145" s="16"/>
      <c r="AF2145" s="23"/>
      <c r="AG2145" s="23"/>
      <c r="AH2145" s="23"/>
      <c r="AI2145" s="16"/>
      <c r="AJ2145" s="23"/>
      <c r="AK2145" s="23"/>
      <c r="AL2145" s="23"/>
      <c r="AM2145" s="16"/>
      <c r="AN2145" s="23"/>
      <c r="AO2145" s="23"/>
      <c r="AP2145" s="23"/>
      <c r="AQ2145" s="16"/>
      <c r="AR2145" s="23"/>
      <c r="AS2145" s="23"/>
      <c r="AT2145" s="23"/>
      <c r="AU2145" s="16"/>
      <c r="AV2145" s="23"/>
      <c r="AW2145" s="23"/>
      <c r="AX2145" s="23"/>
      <c r="AY2145" s="16"/>
      <c r="AZ2145" s="23"/>
      <c r="BA2145" s="23"/>
      <c r="BB2145" s="23"/>
      <c r="BC2145" s="16"/>
      <c r="BD2145" s="23"/>
      <c r="BE2145" s="23"/>
      <c r="BF2145" s="23"/>
      <c r="BG2145" s="16"/>
      <c r="BH2145" s="23"/>
      <c r="BI2145" s="23"/>
      <c r="BJ2145" s="23"/>
      <c r="BN2145" s="23"/>
      <c r="BO2145" s="23"/>
      <c r="BP2145" s="16"/>
      <c r="BQ2145" s="16"/>
      <c r="BR2145" s="23"/>
      <c r="BS2145" s="16"/>
      <c r="BT2145" s="16"/>
      <c r="BU2145" s="16"/>
      <c r="BV2145" s="16"/>
      <c r="BW2145" s="16"/>
      <c r="BX2145" s="16"/>
      <c r="BY2145" s="16"/>
    </row>
    <row r="2146">
      <c r="A2146" s="16"/>
      <c r="B2146" s="16"/>
      <c r="C2146" s="22"/>
      <c r="D2146" s="16"/>
      <c r="E2146" s="16"/>
      <c r="F2146" s="16"/>
      <c r="G2146" s="16"/>
      <c r="H2146" s="16"/>
      <c r="I2146" s="23"/>
      <c r="J2146" s="23"/>
      <c r="K2146" s="16"/>
      <c r="L2146" s="23"/>
      <c r="M2146" s="23"/>
      <c r="N2146" s="23"/>
      <c r="O2146" s="16"/>
      <c r="P2146" s="23"/>
      <c r="Q2146" s="23"/>
      <c r="R2146" s="23"/>
      <c r="S2146" s="16"/>
      <c r="T2146" s="23"/>
      <c r="U2146" s="23"/>
      <c r="V2146" s="23"/>
      <c r="W2146" s="16"/>
      <c r="X2146" s="23"/>
      <c r="Y2146" s="23"/>
      <c r="Z2146" s="23"/>
      <c r="AA2146" s="16"/>
      <c r="AB2146" s="23"/>
      <c r="AC2146" s="23"/>
      <c r="AD2146" s="23"/>
      <c r="AE2146" s="16"/>
      <c r="AF2146" s="23"/>
      <c r="AG2146" s="23"/>
      <c r="AH2146" s="23"/>
      <c r="AI2146" s="16"/>
      <c r="AJ2146" s="23"/>
      <c r="AK2146" s="23"/>
      <c r="AL2146" s="23"/>
      <c r="AM2146" s="16"/>
      <c r="AN2146" s="23"/>
      <c r="AO2146" s="23"/>
      <c r="AP2146" s="23"/>
      <c r="AQ2146" s="16"/>
      <c r="AR2146" s="23"/>
      <c r="AS2146" s="23"/>
      <c r="AT2146" s="23"/>
      <c r="AU2146" s="16"/>
      <c r="AV2146" s="23"/>
      <c r="AW2146" s="23"/>
      <c r="AX2146" s="23"/>
      <c r="AY2146" s="16"/>
      <c r="AZ2146" s="23"/>
      <c r="BA2146" s="23"/>
      <c r="BB2146" s="23"/>
      <c r="BC2146" s="16"/>
      <c r="BD2146" s="23"/>
      <c r="BE2146" s="23"/>
      <c r="BF2146" s="23"/>
      <c r="BG2146" s="16"/>
      <c r="BH2146" s="23"/>
      <c r="BI2146" s="23"/>
      <c r="BJ2146" s="23"/>
      <c r="BN2146" s="23"/>
      <c r="BO2146" s="23"/>
      <c r="BP2146" s="16"/>
      <c r="BQ2146" s="16"/>
      <c r="BR2146" s="23"/>
      <c r="BS2146" s="16"/>
      <c r="BT2146" s="16"/>
      <c r="BU2146" s="16"/>
      <c r="BV2146" s="16"/>
      <c r="BW2146" s="16"/>
      <c r="BX2146" s="16"/>
      <c r="BY2146" s="16"/>
    </row>
    <row r="2147">
      <c r="A2147" s="16"/>
      <c r="B2147" s="16"/>
      <c r="C2147" s="22"/>
      <c r="D2147" s="16"/>
      <c r="E2147" s="16"/>
      <c r="F2147" s="16"/>
      <c r="G2147" s="16"/>
      <c r="H2147" s="16"/>
      <c r="I2147" s="23"/>
      <c r="J2147" s="23"/>
      <c r="K2147" s="16"/>
      <c r="L2147" s="23"/>
      <c r="M2147" s="23"/>
      <c r="N2147" s="23"/>
      <c r="O2147" s="16"/>
      <c r="P2147" s="23"/>
      <c r="Q2147" s="23"/>
      <c r="R2147" s="23"/>
      <c r="S2147" s="16"/>
      <c r="T2147" s="23"/>
      <c r="U2147" s="23"/>
      <c r="V2147" s="23"/>
      <c r="W2147" s="16"/>
      <c r="X2147" s="23"/>
      <c r="Y2147" s="23"/>
      <c r="Z2147" s="23"/>
      <c r="AA2147" s="16"/>
      <c r="AB2147" s="23"/>
      <c r="AC2147" s="23"/>
      <c r="AD2147" s="23"/>
      <c r="AE2147" s="16"/>
      <c r="AF2147" s="23"/>
      <c r="AG2147" s="23"/>
      <c r="AH2147" s="23"/>
      <c r="AI2147" s="16"/>
      <c r="AJ2147" s="23"/>
      <c r="AK2147" s="23"/>
      <c r="AL2147" s="23"/>
      <c r="AM2147" s="16"/>
      <c r="AN2147" s="23"/>
      <c r="AO2147" s="23"/>
      <c r="AP2147" s="23"/>
      <c r="AQ2147" s="16"/>
      <c r="AR2147" s="23"/>
      <c r="AS2147" s="23"/>
      <c r="AT2147" s="23"/>
      <c r="AU2147" s="16"/>
      <c r="AV2147" s="23"/>
      <c r="AW2147" s="23"/>
      <c r="AX2147" s="23"/>
      <c r="AY2147" s="16"/>
      <c r="AZ2147" s="23"/>
      <c r="BA2147" s="23"/>
      <c r="BB2147" s="23"/>
      <c r="BC2147" s="16"/>
      <c r="BD2147" s="23"/>
      <c r="BE2147" s="23"/>
      <c r="BF2147" s="23"/>
      <c r="BG2147" s="16"/>
      <c r="BH2147" s="23"/>
      <c r="BI2147" s="23"/>
      <c r="BJ2147" s="23"/>
      <c r="BN2147" s="23"/>
      <c r="BO2147" s="23"/>
      <c r="BP2147" s="16"/>
      <c r="BQ2147" s="16"/>
      <c r="BR2147" s="23"/>
      <c r="BS2147" s="16"/>
      <c r="BT2147" s="16"/>
      <c r="BU2147" s="16"/>
      <c r="BV2147" s="16"/>
      <c r="BW2147" s="16"/>
      <c r="BX2147" s="16"/>
      <c r="BY2147" s="16"/>
    </row>
    <row r="2148">
      <c r="A2148" s="16"/>
      <c r="B2148" s="16"/>
      <c r="C2148" s="22"/>
      <c r="D2148" s="16"/>
      <c r="E2148" s="16"/>
      <c r="F2148" s="16"/>
      <c r="G2148" s="16"/>
      <c r="H2148" s="16"/>
      <c r="I2148" s="23"/>
      <c r="J2148" s="23"/>
      <c r="K2148" s="16"/>
      <c r="L2148" s="23"/>
      <c r="M2148" s="23"/>
      <c r="N2148" s="23"/>
      <c r="O2148" s="16"/>
      <c r="P2148" s="23"/>
      <c r="Q2148" s="23"/>
      <c r="R2148" s="23"/>
      <c r="S2148" s="16"/>
      <c r="T2148" s="23"/>
      <c r="U2148" s="23"/>
      <c r="V2148" s="23"/>
      <c r="W2148" s="16"/>
      <c r="X2148" s="23"/>
      <c r="Y2148" s="23"/>
      <c r="Z2148" s="23"/>
      <c r="AA2148" s="16"/>
      <c r="AB2148" s="23"/>
      <c r="AC2148" s="23"/>
      <c r="AD2148" s="23"/>
      <c r="AE2148" s="16"/>
      <c r="AF2148" s="23"/>
      <c r="AG2148" s="23"/>
      <c r="AH2148" s="23"/>
      <c r="AI2148" s="16"/>
      <c r="AJ2148" s="23"/>
      <c r="AK2148" s="23"/>
      <c r="AL2148" s="23"/>
      <c r="AM2148" s="16"/>
      <c r="AN2148" s="23"/>
      <c r="AO2148" s="23"/>
      <c r="AP2148" s="23"/>
      <c r="AQ2148" s="16"/>
      <c r="AR2148" s="23"/>
      <c r="AS2148" s="23"/>
      <c r="AT2148" s="23"/>
      <c r="AU2148" s="16"/>
      <c r="AV2148" s="23"/>
      <c r="AW2148" s="23"/>
      <c r="AX2148" s="23"/>
      <c r="AY2148" s="16"/>
      <c r="AZ2148" s="23"/>
      <c r="BA2148" s="23"/>
      <c r="BB2148" s="23"/>
      <c r="BC2148" s="16"/>
      <c r="BD2148" s="23"/>
      <c r="BE2148" s="23"/>
      <c r="BF2148" s="23"/>
      <c r="BG2148" s="16"/>
      <c r="BH2148" s="23"/>
      <c r="BI2148" s="23"/>
      <c r="BJ2148" s="23"/>
      <c r="BN2148" s="23"/>
      <c r="BO2148" s="23"/>
      <c r="BP2148" s="16"/>
      <c r="BQ2148" s="16"/>
      <c r="BR2148" s="23"/>
      <c r="BS2148" s="16"/>
      <c r="BT2148" s="16"/>
      <c r="BU2148" s="16"/>
      <c r="BV2148" s="16"/>
      <c r="BW2148" s="16"/>
      <c r="BX2148" s="16"/>
      <c r="BY2148" s="16"/>
    </row>
    <row r="2149">
      <c r="A2149" s="16"/>
      <c r="B2149" s="16"/>
      <c r="C2149" s="22"/>
      <c r="D2149" s="16"/>
      <c r="E2149" s="16"/>
      <c r="F2149" s="16"/>
      <c r="G2149" s="16"/>
      <c r="H2149" s="16"/>
      <c r="I2149" s="23"/>
      <c r="J2149" s="23"/>
      <c r="K2149" s="16"/>
      <c r="L2149" s="23"/>
      <c r="M2149" s="23"/>
      <c r="N2149" s="23"/>
      <c r="O2149" s="16"/>
      <c r="P2149" s="23"/>
      <c r="Q2149" s="23"/>
      <c r="R2149" s="23"/>
      <c r="S2149" s="16"/>
      <c r="T2149" s="23"/>
      <c r="U2149" s="23"/>
      <c r="V2149" s="23"/>
      <c r="W2149" s="16"/>
      <c r="X2149" s="23"/>
      <c r="Y2149" s="23"/>
      <c r="Z2149" s="23"/>
      <c r="AA2149" s="16"/>
      <c r="AB2149" s="23"/>
      <c r="AC2149" s="23"/>
      <c r="AD2149" s="23"/>
      <c r="AE2149" s="16"/>
      <c r="AF2149" s="23"/>
      <c r="AG2149" s="23"/>
      <c r="AH2149" s="23"/>
      <c r="AI2149" s="16"/>
      <c r="AJ2149" s="23"/>
      <c r="AK2149" s="23"/>
      <c r="AL2149" s="23"/>
      <c r="AM2149" s="16"/>
      <c r="AN2149" s="23"/>
      <c r="AO2149" s="23"/>
      <c r="AP2149" s="23"/>
      <c r="AQ2149" s="16"/>
      <c r="AR2149" s="23"/>
      <c r="AS2149" s="23"/>
      <c r="AT2149" s="23"/>
      <c r="AU2149" s="16"/>
      <c r="AV2149" s="23"/>
      <c r="AW2149" s="23"/>
      <c r="AX2149" s="23"/>
      <c r="AY2149" s="16"/>
      <c r="AZ2149" s="23"/>
      <c r="BA2149" s="23"/>
      <c r="BB2149" s="23"/>
      <c r="BC2149" s="16"/>
      <c r="BD2149" s="23"/>
      <c r="BE2149" s="23"/>
      <c r="BF2149" s="23"/>
      <c r="BG2149" s="16"/>
      <c r="BH2149" s="23"/>
      <c r="BI2149" s="23"/>
      <c r="BJ2149" s="23"/>
      <c r="BN2149" s="23"/>
      <c r="BO2149" s="23"/>
      <c r="BP2149" s="16"/>
      <c r="BQ2149" s="16"/>
      <c r="BR2149" s="23"/>
      <c r="BS2149" s="16"/>
      <c r="BT2149" s="16"/>
      <c r="BU2149" s="16"/>
      <c r="BV2149" s="16"/>
      <c r="BW2149" s="16"/>
      <c r="BX2149" s="16"/>
      <c r="BY2149" s="16"/>
    </row>
    <row r="2150">
      <c r="A2150" s="16"/>
      <c r="B2150" s="16"/>
      <c r="C2150" s="22"/>
      <c r="D2150" s="16"/>
      <c r="E2150" s="16"/>
      <c r="F2150" s="16"/>
      <c r="G2150" s="16"/>
      <c r="H2150" s="16"/>
      <c r="I2150" s="23"/>
      <c r="J2150" s="23"/>
      <c r="K2150" s="16"/>
      <c r="L2150" s="23"/>
      <c r="M2150" s="23"/>
      <c r="N2150" s="23"/>
      <c r="O2150" s="16"/>
      <c r="P2150" s="23"/>
      <c r="Q2150" s="23"/>
      <c r="R2150" s="23"/>
      <c r="S2150" s="16"/>
      <c r="T2150" s="23"/>
      <c r="U2150" s="23"/>
      <c r="V2150" s="23"/>
      <c r="W2150" s="16"/>
      <c r="X2150" s="23"/>
      <c r="Y2150" s="23"/>
      <c r="Z2150" s="23"/>
      <c r="AA2150" s="16"/>
      <c r="AB2150" s="23"/>
      <c r="AC2150" s="23"/>
      <c r="AD2150" s="23"/>
      <c r="AE2150" s="16"/>
      <c r="AF2150" s="23"/>
      <c r="AG2150" s="23"/>
      <c r="AH2150" s="23"/>
      <c r="AI2150" s="16"/>
      <c r="AJ2150" s="23"/>
      <c r="AK2150" s="23"/>
      <c r="AL2150" s="23"/>
      <c r="AM2150" s="16"/>
      <c r="AN2150" s="23"/>
      <c r="AO2150" s="23"/>
      <c r="AP2150" s="23"/>
      <c r="AQ2150" s="16"/>
      <c r="AR2150" s="23"/>
      <c r="AS2150" s="23"/>
      <c r="AT2150" s="23"/>
      <c r="AU2150" s="16"/>
      <c r="AV2150" s="23"/>
      <c r="AW2150" s="23"/>
      <c r="AX2150" s="23"/>
      <c r="AY2150" s="16"/>
      <c r="AZ2150" s="23"/>
      <c r="BA2150" s="23"/>
      <c r="BB2150" s="23"/>
      <c r="BC2150" s="16"/>
      <c r="BD2150" s="23"/>
      <c r="BE2150" s="23"/>
      <c r="BF2150" s="23"/>
      <c r="BG2150" s="16"/>
      <c r="BH2150" s="23"/>
      <c r="BI2150" s="23"/>
      <c r="BJ2150" s="23"/>
      <c r="BN2150" s="23"/>
      <c r="BO2150" s="23"/>
      <c r="BP2150" s="16"/>
      <c r="BQ2150" s="16"/>
      <c r="BR2150" s="23"/>
      <c r="BS2150" s="16"/>
      <c r="BT2150" s="16"/>
      <c r="BU2150" s="16"/>
      <c r="BV2150" s="16"/>
      <c r="BW2150" s="16"/>
      <c r="BX2150" s="16"/>
      <c r="BY2150" s="16"/>
    </row>
    <row r="2151">
      <c r="A2151" s="16"/>
      <c r="B2151" s="16"/>
      <c r="C2151" s="22"/>
      <c r="D2151" s="16"/>
      <c r="E2151" s="16"/>
      <c r="F2151" s="16"/>
      <c r="G2151" s="16"/>
      <c r="H2151" s="16"/>
      <c r="I2151" s="23"/>
      <c r="J2151" s="23"/>
      <c r="K2151" s="16"/>
      <c r="L2151" s="23"/>
      <c r="M2151" s="23"/>
      <c r="N2151" s="23"/>
      <c r="O2151" s="16"/>
      <c r="P2151" s="23"/>
      <c r="Q2151" s="23"/>
      <c r="R2151" s="23"/>
      <c r="S2151" s="16"/>
      <c r="T2151" s="23"/>
      <c r="U2151" s="23"/>
      <c r="V2151" s="23"/>
      <c r="W2151" s="16"/>
      <c r="X2151" s="23"/>
      <c r="Y2151" s="23"/>
      <c r="Z2151" s="23"/>
      <c r="AA2151" s="16"/>
      <c r="AB2151" s="23"/>
      <c r="AC2151" s="23"/>
      <c r="AD2151" s="23"/>
      <c r="AE2151" s="16"/>
      <c r="AF2151" s="23"/>
      <c r="AG2151" s="23"/>
      <c r="AH2151" s="23"/>
      <c r="AI2151" s="16"/>
      <c r="AJ2151" s="23"/>
      <c r="AK2151" s="23"/>
      <c r="AL2151" s="23"/>
      <c r="AM2151" s="16"/>
      <c r="AN2151" s="23"/>
      <c r="AO2151" s="23"/>
      <c r="AP2151" s="23"/>
      <c r="AQ2151" s="16"/>
      <c r="AR2151" s="23"/>
      <c r="AS2151" s="23"/>
      <c r="AT2151" s="23"/>
      <c r="AU2151" s="16"/>
      <c r="AV2151" s="23"/>
      <c r="AW2151" s="23"/>
      <c r="AX2151" s="23"/>
      <c r="AY2151" s="16"/>
      <c r="AZ2151" s="23"/>
      <c r="BA2151" s="23"/>
      <c r="BB2151" s="23"/>
      <c r="BC2151" s="16"/>
      <c r="BD2151" s="23"/>
      <c r="BE2151" s="23"/>
      <c r="BF2151" s="23"/>
      <c r="BG2151" s="16"/>
      <c r="BH2151" s="23"/>
      <c r="BI2151" s="23"/>
      <c r="BJ2151" s="23"/>
      <c r="BN2151" s="23"/>
      <c r="BO2151" s="23"/>
      <c r="BP2151" s="16"/>
      <c r="BQ2151" s="16"/>
      <c r="BR2151" s="23"/>
      <c r="BS2151" s="16"/>
      <c r="BT2151" s="16"/>
      <c r="BU2151" s="16"/>
      <c r="BV2151" s="16"/>
      <c r="BW2151" s="16"/>
      <c r="BX2151" s="16"/>
      <c r="BY2151" s="16"/>
    </row>
    <row r="2152">
      <c r="A2152" s="16"/>
      <c r="B2152" s="16"/>
      <c r="C2152" s="22"/>
      <c r="D2152" s="16"/>
      <c r="E2152" s="16"/>
      <c r="F2152" s="16"/>
      <c r="G2152" s="16"/>
      <c r="H2152" s="16"/>
      <c r="I2152" s="23"/>
      <c r="J2152" s="23"/>
      <c r="K2152" s="16"/>
      <c r="L2152" s="23"/>
      <c r="M2152" s="23"/>
      <c r="N2152" s="23"/>
      <c r="O2152" s="16"/>
      <c r="P2152" s="23"/>
      <c r="Q2152" s="23"/>
      <c r="R2152" s="23"/>
      <c r="S2152" s="16"/>
      <c r="T2152" s="23"/>
      <c r="U2152" s="23"/>
      <c r="V2152" s="23"/>
      <c r="W2152" s="16"/>
      <c r="X2152" s="23"/>
      <c r="Y2152" s="23"/>
      <c r="Z2152" s="23"/>
      <c r="AA2152" s="16"/>
      <c r="AB2152" s="23"/>
      <c r="AC2152" s="23"/>
      <c r="AD2152" s="23"/>
      <c r="AE2152" s="16"/>
      <c r="AF2152" s="23"/>
      <c r="AG2152" s="23"/>
      <c r="AH2152" s="23"/>
      <c r="AI2152" s="16"/>
      <c r="AJ2152" s="23"/>
      <c r="AK2152" s="23"/>
      <c r="AL2152" s="23"/>
      <c r="AM2152" s="16"/>
      <c r="AN2152" s="23"/>
      <c r="AO2152" s="23"/>
      <c r="AP2152" s="23"/>
      <c r="AQ2152" s="16"/>
      <c r="AR2152" s="23"/>
      <c r="AS2152" s="23"/>
      <c r="AT2152" s="23"/>
      <c r="AU2152" s="16"/>
      <c r="AV2152" s="23"/>
      <c r="AW2152" s="23"/>
      <c r="AX2152" s="23"/>
      <c r="AY2152" s="16"/>
      <c r="AZ2152" s="23"/>
      <c r="BA2152" s="23"/>
      <c r="BB2152" s="23"/>
      <c r="BC2152" s="16"/>
      <c r="BD2152" s="23"/>
      <c r="BE2152" s="23"/>
      <c r="BF2152" s="23"/>
      <c r="BG2152" s="16"/>
      <c r="BH2152" s="23"/>
      <c r="BI2152" s="23"/>
      <c r="BJ2152" s="23"/>
      <c r="BN2152" s="23"/>
      <c r="BO2152" s="23"/>
      <c r="BP2152" s="16"/>
      <c r="BQ2152" s="16"/>
      <c r="BR2152" s="23"/>
      <c r="BS2152" s="16"/>
      <c r="BT2152" s="16"/>
      <c r="BU2152" s="16"/>
      <c r="BV2152" s="16"/>
      <c r="BW2152" s="16"/>
      <c r="BX2152" s="16"/>
      <c r="BY2152" s="16"/>
    </row>
    <row r="2153">
      <c r="A2153" s="16"/>
      <c r="B2153" s="16"/>
      <c r="C2153" s="22"/>
      <c r="D2153" s="16"/>
      <c r="E2153" s="16"/>
      <c r="F2153" s="16"/>
      <c r="G2153" s="16"/>
      <c r="H2153" s="16"/>
      <c r="I2153" s="23"/>
      <c r="J2153" s="23"/>
      <c r="K2153" s="16"/>
      <c r="L2153" s="23"/>
      <c r="M2153" s="23"/>
      <c r="N2153" s="23"/>
      <c r="O2153" s="16"/>
      <c r="P2153" s="23"/>
      <c r="Q2153" s="23"/>
      <c r="R2153" s="23"/>
      <c r="S2153" s="16"/>
      <c r="T2153" s="23"/>
      <c r="U2153" s="23"/>
      <c r="V2153" s="23"/>
      <c r="W2153" s="16"/>
      <c r="X2153" s="23"/>
      <c r="Y2153" s="23"/>
      <c r="Z2153" s="23"/>
      <c r="AA2153" s="16"/>
      <c r="AB2153" s="23"/>
      <c r="AC2153" s="23"/>
      <c r="AD2153" s="23"/>
      <c r="AE2153" s="16"/>
      <c r="AF2153" s="23"/>
      <c r="AG2153" s="23"/>
      <c r="AH2153" s="23"/>
      <c r="AI2153" s="16"/>
      <c r="AJ2153" s="23"/>
      <c r="AK2153" s="23"/>
      <c r="AL2153" s="23"/>
      <c r="AM2153" s="16"/>
      <c r="AN2153" s="23"/>
      <c r="AO2153" s="23"/>
      <c r="AP2153" s="23"/>
      <c r="AQ2153" s="16"/>
      <c r="AR2153" s="23"/>
      <c r="AS2153" s="23"/>
      <c r="AT2153" s="23"/>
      <c r="AU2153" s="16"/>
      <c r="AV2153" s="23"/>
      <c r="AW2153" s="23"/>
      <c r="AX2153" s="23"/>
      <c r="AY2153" s="16"/>
      <c r="AZ2153" s="23"/>
      <c r="BA2153" s="23"/>
      <c r="BB2153" s="23"/>
      <c r="BC2153" s="16"/>
      <c r="BD2153" s="23"/>
      <c r="BE2153" s="23"/>
      <c r="BF2153" s="23"/>
      <c r="BG2153" s="16"/>
      <c r="BH2153" s="23"/>
      <c r="BI2153" s="23"/>
      <c r="BJ2153" s="23"/>
      <c r="BN2153" s="23"/>
      <c r="BO2153" s="23"/>
      <c r="BP2153" s="16"/>
      <c r="BQ2153" s="16"/>
      <c r="BR2153" s="23"/>
      <c r="BS2153" s="16"/>
      <c r="BT2153" s="16"/>
      <c r="BU2153" s="16"/>
      <c r="BV2153" s="16"/>
      <c r="BW2153" s="16"/>
      <c r="BX2153" s="16"/>
      <c r="BY2153" s="16"/>
    </row>
    <row r="2154">
      <c r="A2154" s="16"/>
      <c r="B2154" s="16"/>
      <c r="C2154" s="22"/>
      <c r="D2154" s="16"/>
      <c r="E2154" s="16"/>
      <c r="F2154" s="16"/>
      <c r="G2154" s="16"/>
      <c r="H2154" s="16"/>
      <c r="I2154" s="23"/>
      <c r="J2154" s="23"/>
      <c r="K2154" s="16"/>
      <c r="L2154" s="23"/>
      <c r="M2154" s="23"/>
      <c r="N2154" s="23"/>
      <c r="O2154" s="16"/>
      <c r="P2154" s="23"/>
      <c r="Q2154" s="23"/>
      <c r="R2154" s="23"/>
      <c r="S2154" s="16"/>
      <c r="T2154" s="23"/>
      <c r="U2154" s="23"/>
      <c r="V2154" s="23"/>
      <c r="W2154" s="16"/>
      <c r="X2154" s="23"/>
      <c r="Y2154" s="23"/>
      <c r="Z2154" s="23"/>
      <c r="AA2154" s="16"/>
      <c r="AB2154" s="23"/>
      <c r="AC2154" s="23"/>
      <c r="AD2154" s="23"/>
      <c r="AE2154" s="16"/>
      <c r="AF2154" s="23"/>
      <c r="AG2154" s="23"/>
      <c r="AH2154" s="23"/>
      <c r="AI2154" s="16"/>
      <c r="AJ2154" s="23"/>
      <c r="AK2154" s="23"/>
      <c r="AL2154" s="23"/>
      <c r="AM2154" s="16"/>
      <c r="AN2154" s="23"/>
      <c r="AO2154" s="23"/>
      <c r="AP2154" s="23"/>
      <c r="AQ2154" s="16"/>
      <c r="AR2154" s="23"/>
      <c r="AS2154" s="23"/>
      <c r="AT2154" s="23"/>
      <c r="AU2154" s="16"/>
      <c r="AV2154" s="23"/>
      <c r="AW2154" s="23"/>
      <c r="AX2154" s="23"/>
      <c r="AY2154" s="16"/>
      <c r="AZ2154" s="23"/>
      <c r="BA2154" s="23"/>
      <c r="BB2154" s="23"/>
      <c r="BC2154" s="16"/>
      <c r="BD2154" s="23"/>
      <c r="BE2154" s="23"/>
      <c r="BF2154" s="23"/>
      <c r="BG2154" s="16"/>
      <c r="BH2154" s="23"/>
      <c r="BI2154" s="23"/>
      <c r="BJ2154" s="23"/>
      <c r="BN2154" s="23"/>
      <c r="BO2154" s="23"/>
      <c r="BP2154" s="16"/>
      <c r="BQ2154" s="16"/>
      <c r="BR2154" s="23"/>
      <c r="BS2154" s="16"/>
      <c r="BT2154" s="16"/>
      <c r="BU2154" s="16"/>
      <c r="BV2154" s="16"/>
      <c r="BW2154" s="16"/>
      <c r="BX2154" s="16"/>
      <c r="BY2154" s="16"/>
    </row>
    <row r="2155">
      <c r="A2155" s="16"/>
      <c r="B2155" s="16"/>
      <c r="C2155" s="22"/>
      <c r="D2155" s="16"/>
      <c r="E2155" s="16"/>
      <c r="F2155" s="16"/>
      <c r="G2155" s="16"/>
      <c r="H2155" s="16"/>
      <c r="I2155" s="23"/>
      <c r="J2155" s="23"/>
      <c r="K2155" s="16"/>
      <c r="L2155" s="23"/>
      <c r="M2155" s="23"/>
      <c r="N2155" s="23"/>
      <c r="O2155" s="16"/>
      <c r="P2155" s="23"/>
      <c r="Q2155" s="23"/>
      <c r="R2155" s="23"/>
      <c r="S2155" s="16"/>
      <c r="T2155" s="23"/>
      <c r="U2155" s="23"/>
      <c r="V2155" s="23"/>
      <c r="W2155" s="16"/>
      <c r="X2155" s="23"/>
      <c r="Y2155" s="23"/>
      <c r="Z2155" s="23"/>
      <c r="AA2155" s="16"/>
      <c r="AB2155" s="23"/>
      <c r="AC2155" s="23"/>
      <c r="AD2155" s="23"/>
      <c r="AE2155" s="16"/>
      <c r="AF2155" s="23"/>
      <c r="AG2155" s="23"/>
      <c r="AH2155" s="23"/>
      <c r="AI2155" s="16"/>
      <c r="AJ2155" s="23"/>
      <c r="AK2155" s="23"/>
      <c r="AL2155" s="23"/>
      <c r="AM2155" s="16"/>
      <c r="AN2155" s="23"/>
      <c r="AO2155" s="23"/>
      <c r="AP2155" s="23"/>
      <c r="AQ2155" s="16"/>
      <c r="AR2155" s="23"/>
      <c r="AS2155" s="23"/>
      <c r="AT2155" s="23"/>
      <c r="AU2155" s="16"/>
      <c r="AV2155" s="23"/>
      <c r="AW2155" s="23"/>
      <c r="AX2155" s="23"/>
      <c r="AY2155" s="16"/>
      <c r="AZ2155" s="23"/>
      <c r="BA2155" s="23"/>
      <c r="BB2155" s="23"/>
      <c r="BC2155" s="16"/>
      <c r="BD2155" s="23"/>
      <c r="BE2155" s="23"/>
      <c r="BF2155" s="23"/>
      <c r="BG2155" s="16"/>
      <c r="BH2155" s="23"/>
      <c r="BI2155" s="23"/>
      <c r="BJ2155" s="23"/>
      <c r="BN2155" s="23"/>
      <c r="BO2155" s="23"/>
      <c r="BP2155" s="16"/>
      <c r="BQ2155" s="16"/>
      <c r="BR2155" s="23"/>
      <c r="BS2155" s="16"/>
      <c r="BT2155" s="16"/>
      <c r="BU2155" s="16"/>
      <c r="BV2155" s="16"/>
      <c r="BW2155" s="16"/>
      <c r="BX2155" s="16"/>
      <c r="BY2155" s="16"/>
    </row>
    <row r="2156">
      <c r="A2156" s="16"/>
      <c r="B2156" s="16"/>
      <c r="C2156" s="22"/>
      <c r="D2156" s="16"/>
      <c r="E2156" s="16"/>
      <c r="F2156" s="16"/>
      <c r="G2156" s="16"/>
      <c r="H2156" s="16"/>
      <c r="I2156" s="23"/>
      <c r="J2156" s="23"/>
      <c r="K2156" s="16"/>
      <c r="L2156" s="23"/>
      <c r="M2156" s="23"/>
      <c r="N2156" s="23"/>
      <c r="O2156" s="16"/>
      <c r="P2156" s="23"/>
      <c r="Q2156" s="23"/>
      <c r="R2156" s="23"/>
      <c r="S2156" s="16"/>
      <c r="T2156" s="23"/>
      <c r="U2156" s="23"/>
      <c r="V2156" s="23"/>
      <c r="W2156" s="16"/>
      <c r="X2156" s="23"/>
      <c r="Y2156" s="23"/>
      <c r="Z2156" s="23"/>
      <c r="AA2156" s="16"/>
      <c r="AB2156" s="23"/>
      <c r="AC2156" s="23"/>
      <c r="AD2156" s="23"/>
      <c r="AE2156" s="16"/>
      <c r="AF2156" s="23"/>
      <c r="AG2156" s="23"/>
      <c r="AH2156" s="23"/>
      <c r="AI2156" s="16"/>
      <c r="AJ2156" s="23"/>
      <c r="AK2156" s="23"/>
      <c r="AL2156" s="23"/>
      <c r="AM2156" s="16"/>
      <c r="AN2156" s="23"/>
      <c r="AO2156" s="23"/>
      <c r="AP2156" s="23"/>
      <c r="AQ2156" s="16"/>
      <c r="AR2156" s="23"/>
      <c r="AS2156" s="23"/>
      <c r="AT2156" s="23"/>
      <c r="AU2156" s="16"/>
      <c r="AV2156" s="23"/>
      <c r="AW2156" s="23"/>
      <c r="AX2156" s="23"/>
      <c r="AY2156" s="16"/>
      <c r="AZ2156" s="23"/>
      <c r="BA2156" s="23"/>
      <c r="BB2156" s="23"/>
      <c r="BC2156" s="16"/>
      <c r="BD2156" s="23"/>
      <c r="BE2156" s="23"/>
      <c r="BF2156" s="23"/>
      <c r="BG2156" s="16"/>
      <c r="BH2156" s="23"/>
      <c r="BI2156" s="23"/>
      <c r="BJ2156" s="23"/>
      <c r="BN2156" s="23"/>
      <c r="BO2156" s="23"/>
      <c r="BP2156" s="16"/>
      <c r="BQ2156" s="16"/>
      <c r="BR2156" s="23"/>
      <c r="BS2156" s="16"/>
      <c r="BT2156" s="16"/>
      <c r="BU2156" s="16"/>
      <c r="BV2156" s="16"/>
      <c r="BW2156" s="16"/>
      <c r="BX2156" s="16"/>
      <c r="BY2156" s="16"/>
    </row>
    <row r="2157">
      <c r="A2157" s="16"/>
      <c r="B2157" s="16"/>
      <c r="C2157" s="22"/>
      <c r="D2157" s="16"/>
      <c r="E2157" s="16"/>
      <c r="F2157" s="16"/>
      <c r="G2157" s="16"/>
      <c r="H2157" s="16"/>
      <c r="I2157" s="23"/>
      <c r="J2157" s="23"/>
      <c r="K2157" s="16"/>
      <c r="L2157" s="23"/>
      <c r="M2157" s="23"/>
      <c r="N2157" s="23"/>
      <c r="O2157" s="16"/>
      <c r="P2157" s="23"/>
      <c r="Q2157" s="23"/>
      <c r="R2157" s="23"/>
      <c r="S2157" s="16"/>
      <c r="T2157" s="23"/>
      <c r="U2157" s="23"/>
      <c r="V2157" s="23"/>
      <c r="W2157" s="16"/>
      <c r="X2157" s="23"/>
      <c r="Y2157" s="23"/>
      <c r="Z2157" s="23"/>
      <c r="AA2157" s="16"/>
      <c r="AB2157" s="23"/>
      <c r="AC2157" s="23"/>
      <c r="AD2157" s="23"/>
      <c r="AE2157" s="16"/>
      <c r="AF2157" s="23"/>
      <c r="AG2157" s="23"/>
      <c r="AH2157" s="23"/>
      <c r="AI2157" s="16"/>
      <c r="AJ2157" s="23"/>
      <c r="AK2157" s="23"/>
      <c r="AL2157" s="23"/>
      <c r="AM2157" s="16"/>
      <c r="AN2157" s="23"/>
      <c r="AO2157" s="23"/>
      <c r="AP2157" s="23"/>
      <c r="AQ2157" s="16"/>
      <c r="AR2157" s="23"/>
      <c r="AS2157" s="23"/>
      <c r="AT2157" s="23"/>
      <c r="AU2157" s="16"/>
      <c r="AV2157" s="23"/>
      <c r="AW2157" s="23"/>
      <c r="AX2157" s="23"/>
      <c r="AY2157" s="16"/>
      <c r="AZ2157" s="23"/>
      <c r="BA2157" s="23"/>
      <c r="BB2157" s="23"/>
      <c r="BC2157" s="16"/>
      <c r="BD2157" s="23"/>
      <c r="BE2157" s="23"/>
      <c r="BF2157" s="23"/>
      <c r="BG2157" s="16"/>
      <c r="BH2157" s="23"/>
      <c r="BI2157" s="23"/>
      <c r="BJ2157" s="23"/>
      <c r="BN2157" s="23"/>
      <c r="BO2157" s="23"/>
      <c r="BP2157" s="16"/>
      <c r="BQ2157" s="16"/>
      <c r="BR2157" s="23"/>
      <c r="BS2157" s="16"/>
      <c r="BT2157" s="16"/>
      <c r="BU2157" s="16"/>
      <c r="BV2157" s="16"/>
      <c r="BW2157" s="16"/>
      <c r="BX2157" s="16"/>
      <c r="BY2157" s="16"/>
    </row>
    <row r="2158">
      <c r="A2158" s="16"/>
      <c r="B2158" s="16"/>
      <c r="C2158" s="22"/>
      <c r="D2158" s="16"/>
      <c r="E2158" s="16"/>
      <c r="F2158" s="16"/>
      <c r="G2158" s="16"/>
      <c r="H2158" s="16"/>
      <c r="I2158" s="23"/>
      <c r="J2158" s="23"/>
      <c r="K2158" s="16"/>
      <c r="L2158" s="23"/>
      <c r="M2158" s="23"/>
      <c r="N2158" s="23"/>
      <c r="O2158" s="16"/>
      <c r="P2158" s="23"/>
      <c r="Q2158" s="23"/>
      <c r="R2158" s="23"/>
      <c r="S2158" s="16"/>
      <c r="T2158" s="23"/>
      <c r="U2158" s="23"/>
      <c r="V2158" s="23"/>
      <c r="W2158" s="16"/>
      <c r="X2158" s="23"/>
      <c r="Y2158" s="23"/>
      <c r="Z2158" s="23"/>
      <c r="AA2158" s="16"/>
      <c r="AB2158" s="23"/>
      <c r="AC2158" s="23"/>
      <c r="AD2158" s="23"/>
      <c r="AE2158" s="16"/>
      <c r="AF2158" s="23"/>
      <c r="AG2158" s="23"/>
      <c r="AH2158" s="23"/>
      <c r="AI2158" s="16"/>
      <c r="AJ2158" s="23"/>
      <c r="AK2158" s="23"/>
      <c r="AL2158" s="23"/>
      <c r="AM2158" s="16"/>
      <c r="AN2158" s="23"/>
      <c r="AO2158" s="23"/>
      <c r="AP2158" s="23"/>
      <c r="AQ2158" s="16"/>
      <c r="AR2158" s="23"/>
      <c r="AS2158" s="23"/>
      <c r="AT2158" s="23"/>
      <c r="AU2158" s="16"/>
      <c r="AV2158" s="23"/>
      <c r="AW2158" s="23"/>
      <c r="AX2158" s="23"/>
      <c r="AY2158" s="16"/>
      <c r="AZ2158" s="23"/>
      <c r="BA2158" s="23"/>
      <c r="BB2158" s="23"/>
      <c r="BC2158" s="16"/>
      <c r="BD2158" s="23"/>
      <c r="BE2158" s="23"/>
      <c r="BF2158" s="23"/>
      <c r="BG2158" s="16"/>
      <c r="BH2158" s="23"/>
      <c r="BI2158" s="23"/>
      <c r="BJ2158" s="23"/>
      <c r="BN2158" s="23"/>
      <c r="BO2158" s="23"/>
      <c r="BP2158" s="16"/>
      <c r="BQ2158" s="16"/>
      <c r="BR2158" s="23"/>
      <c r="BS2158" s="16"/>
      <c r="BT2158" s="16"/>
      <c r="BU2158" s="16"/>
      <c r="BV2158" s="16"/>
      <c r="BW2158" s="16"/>
      <c r="BX2158" s="16"/>
      <c r="BY2158" s="16"/>
    </row>
    <row r="2159">
      <c r="A2159" s="16"/>
      <c r="B2159" s="16"/>
      <c r="C2159" s="22"/>
      <c r="D2159" s="16"/>
      <c r="E2159" s="16"/>
      <c r="F2159" s="16"/>
      <c r="G2159" s="16"/>
      <c r="H2159" s="16"/>
      <c r="I2159" s="23"/>
      <c r="J2159" s="23"/>
      <c r="K2159" s="16"/>
      <c r="L2159" s="23"/>
      <c r="M2159" s="23"/>
      <c r="N2159" s="23"/>
      <c r="O2159" s="16"/>
      <c r="P2159" s="23"/>
      <c r="Q2159" s="23"/>
      <c r="R2159" s="23"/>
      <c r="S2159" s="16"/>
      <c r="T2159" s="23"/>
      <c r="U2159" s="23"/>
      <c r="V2159" s="23"/>
      <c r="W2159" s="16"/>
      <c r="X2159" s="23"/>
      <c r="Y2159" s="23"/>
      <c r="Z2159" s="23"/>
      <c r="AA2159" s="16"/>
      <c r="AB2159" s="23"/>
      <c r="AC2159" s="23"/>
      <c r="AD2159" s="23"/>
      <c r="AE2159" s="16"/>
      <c r="AF2159" s="23"/>
      <c r="AG2159" s="23"/>
      <c r="AH2159" s="23"/>
      <c r="AI2159" s="16"/>
      <c r="AJ2159" s="23"/>
      <c r="AK2159" s="23"/>
      <c r="AL2159" s="23"/>
      <c r="AM2159" s="16"/>
      <c r="AN2159" s="23"/>
      <c r="AO2159" s="23"/>
      <c r="AP2159" s="23"/>
      <c r="AQ2159" s="16"/>
      <c r="AR2159" s="23"/>
      <c r="AS2159" s="23"/>
      <c r="AT2159" s="23"/>
      <c r="AU2159" s="16"/>
      <c r="AV2159" s="23"/>
      <c r="AW2159" s="23"/>
      <c r="AX2159" s="23"/>
      <c r="AY2159" s="16"/>
      <c r="AZ2159" s="23"/>
      <c r="BA2159" s="23"/>
      <c r="BB2159" s="23"/>
      <c r="BC2159" s="16"/>
      <c r="BD2159" s="23"/>
      <c r="BE2159" s="23"/>
      <c r="BF2159" s="23"/>
      <c r="BG2159" s="16"/>
      <c r="BH2159" s="23"/>
      <c r="BI2159" s="23"/>
      <c r="BJ2159" s="23"/>
      <c r="BN2159" s="23"/>
      <c r="BO2159" s="23"/>
      <c r="BP2159" s="16"/>
      <c r="BQ2159" s="16"/>
      <c r="BR2159" s="23"/>
      <c r="BS2159" s="16"/>
      <c r="BT2159" s="16"/>
      <c r="BU2159" s="16"/>
      <c r="BV2159" s="16"/>
      <c r="BW2159" s="16"/>
      <c r="BX2159" s="16"/>
      <c r="BY2159" s="16"/>
    </row>
    <row r="2160">
      <c r="A2160" s="16"/>
      <c r="B2160" s="16"/>
      <c r="C2160" s="22"/>
      <c r="D2160" s="16"/>
      <c r="E2160" s="16"/>
      <c r="F2160" s="16"/>
      <c r="G2160" s="16"/>
      <c r="H2160" s="16"/>
      <c r="I2160" s="23"/>
      <c r="J2160" s="23"/>
      <c r="K2160" s="16"/>
      <c r="L2160" s="23"/>
      <c r="M2160" s="23"/>
      <c r="N2160" s="23"/>
      <c r="O2160" s="16"/>
      <c r="P2160" s="23"/>
      <c r="Q2160" s="23"/>
      <c r="R2160" s="23"/>
      <c r="S2160" s="16"/>
      <c r="T2160" s="23"/>
      <c r="U2160" s="23"/>
      <c r="V2160" s="23"/>
      <c r="W2160" s="16"/>
      <c r="X2160" s="23"/>
      <c r="Y2160" s="23"/>
      <c r="Z2160" s="23"/>
      <c r="AA2160" s="16"/>
      <c r="AB2160" s="23"/>
      <c r="AC2160" s="23"/>
      <c r="AD2160" s="23"/>
      <c r="AE2160" s="16"/>
      <c r="AF2160" s="23"/>
      <c r="AG2160" s="23"/>
      <c r="AH2160" s="23"/>
      <c r="AI2160" s="16"/>
      <c r="AJ2160" s="23"/>
      <c r="AK2160" s="23"/>
      <c r="AL2160" s="23"/>
      <c r="AM2160" s="16"/>
      <c r="AN2160" s="23"/>
      <c r="AO2160" s="23"/>
      <c r="AP2160" s="23"/>
      <c r="AQ2160" s="16"/>
      <c r="AR2160" s="23"/>
      <c r="AS2160" s="23"/>
      <c r="AT2160" s="23"/>
      <c r="AU2160" s="16"/>
      <c r="AV2160" s="23"/>
      <c r="AW2160" s="23"/>
      <c r="AX2160" s="23"/>
      <c r="AY2160" s="16"/>
      <c r="AZ2160" s="23"/>
      <c r="BA2160" s="23"/>
      <c r="BB2160" s="23"/>
      <c r="BC2160" s="16"/>
      <c r="BD2160" s="23"/>
      <c r="BE2160" s="23"/>
      <c r="BF2160" s="23"/>
      <c r="BG2160" s="16"/>
      <c r="BH2160" s="23"/>
      <c r="BI2160" s="23"/>
      <c r="BJ2160" s="23"/>
      <c r="BN2160" s="23"/>
      <c r="BO2160" s="23"/>
      <c r="BP2160" s="16"/>
      <c r="BQ2160" s="16"/>
      <c r="BR2160" s="23"/>
      <c r="BS2160" s="16"/>
      <c r="BT2160" s="16"/>
      <c r="BU2160" s="16"/>
      <c r="BV2160" s="16"/>
      <c r="BW2160" s="16"/>
      <c r="BX2160" s="16"/>
      <c r="BY2160" s="16"/>
    </row>
    <row r="2161">
      <c r="A2161" s="16"/>
      <c r="B2161" s="16"/>
      <c r="C2161" s="22"/>
      <c r="D2161" s="16"/>
      <c r="E2161" s="16"/>
      <c r="F2161" s="16"/>
      <c r="G2161" s="16"/>
      <c r="H2161" s="16"/>
      <c r="I2161" s="23"/>
      <c r="J2161" s="23"/>
      <c r="K2161" s="16"/>
      <c r="L2161" s="23"/>
      <c r="M2161" s="23"/>
      <c r="N2161" s="23"/>
      <c r="O2161" s="16"/>
      <c r="P2161" s="23"/>
      <c r="Q2161" s="23"/>
      <c r="R2161" s="23"/>
      <c r="S2161" s="16"/>
      <c r="T2161" s="23"/>
      <c r="U2161" s="23"/>
      <c r="V2161" s="23"/>
      <c r="W2161" s="16"/>
      <c r="X2161" s="23"/>
      <c r="Y2161" s="23"/>
      <c r="Z2161" s="23"/>
      <c r="AA2161" s="16"/>
      <c r="AB2161" s="23"/>
      <c r="AC2161" s="23"/>
      <c r="AD2161" s="23"/>
      <c r="AE2161" s="16"/>
      <c r="AF2161" s="23"/>
      <c r="AG2161" s="23"/>
      <c r="AH2161" s="23"/>
      <c r="AI2161" s="16"/>
      <c r="AJ2161" s="23"/>
      <c r="AK2161" s="23"/>
      <c r="AL2161" s="23"/>
      <c r="AM2161" s="16"/>
      <c r="AN2161" s="23"/>
      <c r="AO2161" s="23"/>
      <c r="AP2161" s="23"/>
      <c r="AQ2161" s="16"/>
      <c r="AR2161" s="23"/>
      <c r="AS2161" s="23"/>
      <c r="AT2161" s="23"/>
      <c r="AU2161" s="16"/>
      <c r="AV2161" s="23"/>
      <c r="AW2161" s="23"/>
      <c r="AX2161" s="23"/>
      <c r="AY2161" s="16"/>
      <c r="AZ2161" s="23"/>
      <c r="BA2161" s="23"/>
      <c r="BB2161" s="23"/>
      <c r="BC2161" s="16"/>
      <c r="BD2161" s="23"/>
      <c r="BE2161" s="23"/>
      <c r="BF2161" s="23"/>
      <c r="BG2161" s="16"/>
      <c r="BH2161" s="23"/>
      <c r="BI2161" s="23"/>
      <c r="BJ2161" s="23"/>
      <c r="BN2161" s="23"/>
      <c r="BO2161" s="23"/>
      <c r="BP2161" s="16"/>
      <c r="BQ2161" s="16"/>
      <c r="BR2161" s="23"/>
      <c r="BS2161" s="16"/>
      <c r="BT2161" s="16"/>
      <c r="BU2161" s="16"/>
      <c r="BV2161" s="16"/>
      <c r="BW2161" s="16"/>
      <c r="BX2161" s="16"/>
      <c r="BY2161" s="16"/>
    </row>
    <row r="2162">
      <c r="A2162" s="16"/>
      <c r="B2162" s="16"/>
      <c r="C2162" s="22"/>
      <c r="D2162" s="16"/>
      <c r="E2162" s="16"/>
      <c r="F2162" s="16"/>
      <c r="G2162" s="16"/>
      <c r="H2162" s="16"/>
      <c r="I2162" s="23"/>
      <c r="J2162" s="23"/>
      <c r="K2162" s="16"/>
      <c r="L2162" s="23"/>
      <c r="M2162" s="23"/>
      <c r="N2162" s="23"/>
      <c r="O2162" s="16"/>
      <c r="P2162" s="23"/>
      <c r="Q2162" s="23"/>
      <c r="R2162" s="23"/>
      <c r="S2162" s="16"/>
      <c r="T2162" s="23"/>
      <c r="U2162" s="23"/>
      <c r="V2162" s="23"/>
      <c r="W2162" s="16"/>
      <c r="X2162" s="23"/>
      <c r="Y2162" s="23"/>
      <c r="Z2162" s="23"/>
      <c r="AA2162" s="16"/>
      <c r="AB2162" s="23"/>
      <c r="AC2162" s="23"/>
      <c r="AD2162" s="23"/>
      <c r="AE2162" s="16"/>
      <c r="AF2162" s="23"/>
      <c r="AG2162" s="23"/>
      <c r="AH2162" s="23"/>
      <c r="AI2162" s="16"/>
      <c r="AJ2162" s="23"/>
      <c r="AK2162" s="23"/>
      <c r="AL2162" s="23"/>
      <c r="AM2162" s="16"/>
      <c r="AN2162" s="23"/>
      <c r="AO2162" s="23"/>
      <c r="AP2162" s="23"/>
      <c r="AQ2162" s="16"/>
      <c r="AR2162" s="23"/>
      <c r="AS2162" s="23"/>
      <c r="AT2162" s="23"/>
      <c r="AU2162" s="16"/>
      <c r="AV2162" s="23"/>
      <c r="AW2162" s="23"/>
      <c r="AX2162" s="23"/>
      <c r="AY2162" s="16"/>
      <c r="AZ2162" s="23"/>
      <c r="BA2162" s="23"/>
      <c r="BB2162" s="23"/>
      <c r="BC2162" s="16"/>
      <c r="BD2162" s="23"/>
      <c r="BE2162" s="23"/>
      <c r="BF2162" s="23"/>
      <c r="BG2162" s="16"/>
      <c r="BH2162" s="23"/>
      <c r="BI2162" s="23"/>
      <c r="BJ2162" s="23"/>
      <c r="BN2162" s="23"/>
      <c r="BO2162" s="23"/>
      <c r="BP2162" s="16"/>
      <c r="BQ2162" s="16"/>
      <c r="BR2162" s="23"/>
      <c r="BS2162" s="16"/>
      <c r="BT2162" s="16"/>
      <c r="BU2162" s="16"/>
      <c r="BV2162" s="16"/>
      <c r="BW2162" s="16"/>
      <c r="BX2162" s="16"/>
      <c r="BY2162" s="16"/>
    </row>
    <row r="2163">
      <c r="A2163" s="16"/>
      <c r="B2163" s="16"/>
      <c r="C2163" s="22"/>
      <c r="D2163" s="16"/>
      <c r="E2163" s="16"/>
      <c r="F2163" s="16"/>
      <c r="G2163" s="16"/>
      <c r="H2163" s="16"/>
      <c r="I2163" s="23"/>
      <c r="J2163" s="23"/>
      <c r="K2163" s="16"/>
      <c r="L2163" s="23"/>
      <c r="M2163" s="23"/>
      <c r="N2163" s="23"/>
      <c r="O2163" s="16"/>
      <c r="P2163" s="23"/>
      <c r="Q2163" s="23"/>
      <c r="R2163" s="23"/>
      <c r="S2163" s="16"/>
      <c r="T2163" s="23"/>
      <c r="U2163" s="23"/>
      <c r="V2163" s="23"/>
      <c r="W2163" s="16"/>
      <c r="X2163" s="23"/>
      <c r="Y2163" s="23"/>
      <c r="Z2163" s="23"/>
      <c r="AA2163" s="16"/>
      <c r="AB2163" s="23"/>
      <c r="AC2163" s="23"/>
      <c r="AD2163" s="23"/>
      <c r="AE2163" s="16"/>
      <c r="AF2163" s="23"/>
      <c r="AG2163" s="23"/>
      <c r="AH2163" s="23"/>
      <c r="AI2163" s="16"/>
      <c r="AJ2163" s="23"/>
      <c r="AK2163" s="23"/>
      <c r="AL2163" s="23"/>
      <c r="AM2163" s="16"/>
      <c r="AN2163" s="23"/>
      <c r="AO2163" s="23"/>
      <c r="AP2163" s="23"/>
      <c r="AQ2163" s="16"/>
      <c r="AR2163" s="23"/>
      <c r="AS2163" s="23"/>
      <c r="AT2163" s="23"/>
      <c r="AU2163" s="16"/>
      <c r="AV2163" s="23"/>
      <c r="AW2163" s="23"/>
      <c r="AX2163" s="23"/>
      <c r="AY2163" s="16"/>
      <c r="AZ2163" s="23"/>
      <c r="BA2163" s="23"/>
      <c r="BB2163" s="23"/>
      <c r="BC2163" s="16"/>
      <c r="BD2163" s="23"/>
      <c r="BE2163" s="23"/>
      <c r="BF2163" s="23"/>
      <c r="BG2163" s="16"/>
      <c r="BH2163" s="23"/>
      <c r="BI2163" s="23"/>
      <c r="BJ2163" s="23"/>
      <c r="BN2163" s="23"/>
      <c r="BO2163" s="23"/>
      <c r="BP2163" s="16"/>
      <c r="BQ2163" s="16"/>
      <c r="BR2163" s="23"/>
      <c r="BS2163" s="16"/>
      <c r="BT2163" s="16"/>
      <c r="BU2163" s="16"/>
      <c r="BV2163" s="16"/>
      <c r="BW2163" s="16"/>
      <c r="BX2163" s="16"/>
      <c r="BY2163" s="16"/>
    </row>
    <row r="2164">
      <c r="A2164" s="16"/>
      <c r="B2164" s="16"/>
      <c r="C2164" s="22"/>
      <c r="D2164" s="16"/>
      <c r="E2164" s="16"/>
      <c r="F2164" s="16"/>
      <c r="G2164" s="16"/>
      <c r="H2164" s="16"/>
      <c r="I2164" s="23"/>
      <c r="J2164" s="23"/>
      <c r="K2164" s="16"/>
      <c r="L2164" s="23"/>
      <c r="M2164" s="23"/>
      <c r="N2164" s="23"/>
      <c r="O2164" s="16"/>
      <c r="P2164" s="23"/>
      <c r="Q2164" s="23"/>
      <c r="R2164" s="23"/>
      <c r="S2164" s="16"/>
      <c r="T2164" s="23"/>
      <c r="U2164" s="23"/>
      <c r="V2164" s="23"/>
      <c r="W2164" s="16"/>
      <c r="X2164" s="23"/>
      <c r="Y2164" s="23"/>
      <c r="Z2164" s="23"/>
      <c r="AA2164" s="16"/>
      <c r="AB2164" s="23"/>
      <c r="AC2164" s="23"/>
      <c r="AD2164" s="23"/>
      <c r="AE2164" s="16"/>
      <c r="AF2164" s="23"/>
      <c r="AG2164" s="23"/>
      <c r="AH2164" s="23"/>
      <c r="AI2164" s="16"/>
      <c r="AJ2164" s="23"/>
      <c r="AK2164" s="23"/>
      <c r="AL2164" s="23"/>
      <c r="AM2164" s="16"/>
      <c r="AN2164" s="23"/>
      <c r="AO2164" s="23"/>
      <c r="AP2164" s="23"/>
      <c r="AQ2164" s="16"/>
      <c r="AR2164" s="23"/>
      <c r="AS2164" s="23"/>
      <c r="AT2164" s="23"/>
      <c r="AU2164" s="16"/>
      <c r="AV2164" s="23"/>
      <c r="AW2164" s="23"/>
      <c r="AX2164" s="23"/>
      <c r="AY2164" s="16"/>
      <c r="AZ2164" s="23"/>
      <c r="BA2164" s="23"/>
      <c r="BB2164" s="23"/>
      <c r="BC2164" s="16"/>
      <c r="BD2164" s="23"/>
      <c r="BE2164" s="23"/>
      <c r="BF2164" s="23"/>
      <c r="BG2164" s="16"/>
      <c r="BH2164" s="23"/>
      <c r="BI2164" s="23"/>
      <c r="BJ2164" s="23"/>
      <c r="BN2164" s="23"/>
      <c r="BO2164" s="23"/>
      <c r="BP2164" s="16"/>
      <c r="BQ2164" s="16"/>
      <c r="BR2164" s="23"/>
      <c r="BS2164" s="16"/>
      <c r="BT2164" s="16"/>
      <c r="BU2164" s="16"/>
      <c r="BV2164" s="16"/>
      <c r="BW2164" s="16"/>
      <c r="BX2164" s="16"/>
      <c r="BY2164" s="16"/>
    </row>
    <row r="2165">
      <c r="A2165" s="16"/>
      <c r="B2165" s="16"/>
      <c r="C2165" s="22"/>
      <c r="D2165" s="16"/>
      <c r="E2165" s="16"/>
      <c r="F2165" s="16"/>
      <c r="G2165" s="16"/>
      <c r="H2165" s="16"/>
      <c r="I2165" s="23"/>
      <c r="J2165" s="23"/>
      <c r="K2165" s="16"/>
      <c r="L2165" s="23"/>
      <c r="M2165" s="23"/>
      <c r="N2165" s="23"/>
      <c r="O2165" s="16"/>
      <c r="P2165" s="23"/>
      <c r="Q2165" s="23"/>
      <c r="R2165" s="23"/>
      <c r="S2165" s="16"/>
      <c r="T2165" s="23"/>
      <c r="U2165" s="23"/>
      <c r="V2165" s="23"/>
      <c r="W2165" s="16"/>
      <c r="X2165" s="23"/>
      <c r="Y2165" s="23"/>
      <c r="Z2165" s="23"/>
      <c r="AA2165" s="16"/>
      <c r="AB2165" s="23"/>
      <c r="AC2165" s="23"/>
      <c r="AD2165" s="23"/>
      <c r="AE2165" s="16"/>
      <c r="AF2165" s="23"/>
      <c r="AG2165" s="23"/>
      <c r="AH2165" s="23"/>
      <c r="AI2165" s="16"/>
      <c r="AJ2165" s="23"/>
      <c r="AK2165" s="23"/>
      <c r="AL2165" s="23"/>
      <c r="AM2165" s="16"/>
      <c r="AN2165" s="23"/>
      <c r="AO2165" s="23"/>
      <c r="AP2165" s="23"/>
      <c r="AQ2165" s="16"/>
      <c r="AR2165" s="23"/>
      <c r="AS2165" s="23"/>
      <c r="AT2165" s="23"/>
      <c r="AU2165" s="16"/>
      <c r="AV2165" s="23"/>
      <c r="AW2165" s="23"/>
      <c r="AX2165" s="23"/>
      <c r="AY2165" s="16"/>
      <c r="AZ2165" s="23"/>
      <c r="BA2165" s="23"/>
      <c r="BB2165" s="23"/>
      <c r="BC2165" s="16"/>
      <c r="BD2165" s="23"/>
      <c r="BE2165" s="23"/>
      <c r="BF2165" s="23"/>
      <c r="BG2165" s="16"/>
      <c r="BH2165" s="23"/>
      <c r="BI2165" s="23"/>
      <c r="BJ2165" s="23"/>
      <c r="BN2165" s="23"/>
      <c r="BO2165" s="23"/>
      <c r="BP2165" s="16"/>
      <c r="BQ2165" s="16"/>
      <c r="BR2165" s="23"/>
      <c r="BS2165" s="16"/>
      <c r="BT2165" s="16"/>
      <c r="BU2165" s="16"/>
      <c r="BV2165" s="16"/>
      <c r="BW2165" s="16"/>
      <c r="BX2165" s="16"/>
      <c r="BY2165" s="16"/>
    </row>
    <row r="2166">
      <c r="A2166" s="16"/>
      <c r="B2166" s="16"/>
      <c r="C2166" s="22"/>
      <c r="D2166" s="16"/>
      <c r="E2166" s="16"/>
      <c r="F2166" s="16"/>
      <c r="G2166" s="16"/>
      <c r="H2166" s="16"/>
      <c r="I2166" s="23"/>
      <c r="J2166" s="23"/>
      <c r="K2166" s="16"/>
      <c r="L2166" s="23"/>
      <c r="M2166" s="23"/>
      <c r="N2166" s="23"/>
      <c r="O2166" s="16"/>
      <c r="P2166" s="23"/>
      <c r="Q2166" s="23"/>
      <c r="R2166" s="23"/>
      <c r="S2166" s="16"/>
      <c r="T2166" s="23"/>
      <c r="U2166" s="23"/>
      <c r="V2166" s="23"/>
      <c r="W2166" s="16"/>
      <c r="X2166" s="23"/>
      <c r="Y2166" s="23"/>
      <c r="Z2166" s="23"/>
      <c r="AA2166" s="16"/>
      <c r="AB2166" s="23"/>
      <c r="AC2166" s="23"/>
      <c r="AD2166" s="23"/>
      <c r="AE2166" s="16"/>
      <c r="AF2166" s="23"/>
      <c r="AG2166" s="23"/>
      <c r="AH2166" s="23"/>
      <c r="AI2166" s="16"/>
      <c r="AJ2166" s="23"/>
      <c r="AK2166" s="23"/>
      <c r="AL2166" s="23"/>
      <c r="AM2166" s="16"/>
      <c r="AN2166" s="23"/>
      <c r="AO2166" s="23"/>
      <c r="AP2166" s="23"/>
      <c r="AQ2166" s="16"/>
      <c r="AR2166" s="23"/>
      <c r="AS2166" s="23"/>
      <c r="AT2166" s="23"/>
      <c r="AU2166" s="16"/>
      <c r="AV2166" s="23"/>
      <c r="AW2166" s="23"/>
      <c r="AX2166" s="23"/>
      <c r="AY2166" s="16"/>
      <c r="AZ2166" s="23"/>
      <c r="BA2166" s="23"/>
      <c r="BB2166" s="23"/>
      <c r="BC2166" s="16"/>
      <c r="BD2166" s="23"/>
      <c r="BE2166" s="23"/>
      <c r="BF2166" s="23"/>
      <c r="BG2166" s="16"/>
      <c r="BH2166" s="23"/>
      <c r="BI2166" s="23"/>
      <c r="BJ2166" s="23"/>
      <c r="BN2166" s="23"/>
      <c r="BO2166" s="23"/>
      <c r="BP2166" s="16"/>
      <c r="BQ2166" s="16"/>
      <c r="BR2166" s="23"/>
      <c r="BS2166" s="16"/>
      <c r="BT2166" s="16"/>
      <c r="BU2166" s="16"/>
      <c r="BV2166" s="16"/>
      <c r="BW2166" s="16"/>
      <c r="BX2166" s="16"/>
      <c r="BY2166" s="16"/>
    </row>
    <row r="2167">
      <c r="A2167" s="16"/>
      <c r="B2167" s="16"/>
      <c r="C2167" s="22"/>
      <c r="D2167" s="16"/>
      <c r="E2167" s="16"/>
      <c r="F2167" s="16"/>
      <c r="G2167" s="16"/>
      <c r="H2167" s="16"/>
      <c r="I2167" s="23"/>
      <c r="J2167" s="23"/>
      <c r="K2167" s="16"/>
      <c r="L2167" s="23"/>
      <c r="M2167" s="23"/>
      <c r="N2167" s="23"/>
      <c r="O2167" s="16"/>
      <c r="P2167" s="23"/>
      <c r="Q2167" s="23"/>
      <c r="R2167" s="23"/>
      <c r="S2167" s="16"/>
      <c r="T2167" s="23"/>
      <c r="U2167" s="23"/>
      <c r="V2167" s="23"/>
      <c r="W2167" s="16"/>
      <c r="X2167" s="23"/>
      <c r="Y2167" s="23"/>
      <c r="Z2167" s="23"/>
      <c r="AA2167" s="16"/>
      <c r="AB2167" s="23"/>
      <c r="AC2167" s="23"/>
      <c r="AD2167" s="23"/>
      <c r="AE2167" s="16"/>
      <c r="AF2167" s="23"/>
      <c r="AG2167" s="23"/>
      <c r="AH2167" s="23"/>
      <c r="AI2167" s="16"/>
      <c r="AJ2167" s="23"/>
      <c r="AK2167" s="23"/>
      <c r="AL2167" s="23"/>
      <c r="AM2167" s="16"/>
      <c r="AN2167" s="23"/>
      <c r="AO2167" s="23"/>
      <c r="AP2167" s="23"/>
      <c r="AQ2167" s="16"/>
      <c r="AR2167" s="23"/>
      <c r="AS2167" s="23"/>
      <c r="AT2167" s="23"/>
      <c r="AU2167" s="16"/>
      <c r="AV2167" s="23"/>
      <c r="AW2167" s="23"/>
      <c r="AX2167" s="23"/>
      <c r="AY2167" s="16"/>
      <c r="AZ2167" s="23"/>
      <c r="BA2167" s="23"/>
      <c r="BB2167" s="23"/>
      <c r="BC2167" s="16"/>
      <c r="BD2167" s="23"/>
      <c r="BE2167" s="23"/>
      <c r="BF2167" s="23"/>
      <c r="BG2167" s="16"/>
      <c r="BH2167" s="23"/>
      <c r="BI2167" s="23"/>
      <c r="BJ2167" s="23"/>
      <c r="BN2167" s="23"/>
      <c r="BO2167" s="23"/>
      <c r="BP2167" s="16"/>
      <c r="BQ2167" s="16"/>
      <c r="BR2167" s="23"/>
      <c r="BS2167" s="16"/>
      <c r="BT2167" s="16"/>
      <c r="BU2167" s="16"/>
      <c r="BV2167" s="16"/>
      <c r="BW2167" s="16"/>
      <c r="BX2167" s="16"/>
      <c r="BY2167" s="16"/>
    </row>
    <row r="2168">
      <c r="A2168" s="16"/>
      <c r="B2168" s="16"/>
      <c r="C2168" s="22"/>
      <c r="D2168" s="16"/>
      <c r="E2168" s="16"/>
      <c r="F2168" s="16"/>
      <c r="G2168" s="16"/>
      <c r="H2168" s="16"/>
      <c r="I2168" s="23"/>
      <c r="J2168" s="23"/>
      <c r="K2168" s="16"/>
      <c r="L2168" s="23"/>
      <c r="M2168" s="23"/>
      <c r="N2168" s="23"/>
      <c r="O2168" s="16"/>
      <c r="P2168" s="23"/>
      <c r="Q2168" s="23"/>
      <c r="R2168" s="23"/>
      <c r="S2168" s="16"/>
      <c r="T2168" s="23"/>
      <c r="U2168" s="23"/>
      <c r="V2168" s="23"/>
      <c r="W2168" s="16"/>
      <c r="X2168" s="23"/>
      <c r="Y2168" s="23"/>
      <c r="Z2168" s="23"/>
      <c r="AA2168" s="16"/>
      <c r="AB2168" s="23"/>
      <c r="AC2168" s="23"/>
      <c r="AD2168" s="23"/>
      <c r="AE2168" s="16"/>
      <c r="AF2168" s="23"/>
      <c r="AG2168" s="23"/>
      <c r="AH2168" s="23"/>
      <c r="AI2168" s="16"/>
      <c r="AJ2168" s="23"/>
      <c r="AK2168" s="23"/>
      <c r="AL2168" s="23"/>
      <c r="AM2168" s="16"/>
      <c r="AN2168" s="23"/>
      <c r="AO2168" s="23"/>
      <c r="AP2168" s="23"/>
      <c r="AQ2168" s="16"/>
      <c r="AR2168" s="23"/>
      <c r="AS2168" s="23"/>
      <c r="AT2168" s="23"/>
      <c r="AU2168" s="16"/>
      <c r="AV2168" s="23"/>
      <c r="AW2168" s="23"/>
      <c r="AX2168" s="23"/>
      <c r="AY2168" s="16"/>
      <c r="AZ2168" s="23"/>
      <c r="BA2168" s="23"/>
      <c r="BB2168" s="23"/>
      <c r="BC2168" s="16"/>
      <c r="BD2168" s="23"/>
      <c r="BE2168" s="23"/>
      <c r="BF2168" s="23"/>
      <c r="BG2168" s="16"/>
      <c r="BH2168" s="23"/>
      <c r="BI2168" s="23"/>
      <c r="BJ2168" s="23"/>
      <c r="BN2168" s="23"/>
      <c r="BO2168" s="23"/>
      <c r="BP2168" s="16"/>
      <c r="BQ2168" s="16"/>
      <c r="BR2168" s="23"/>
      <c r="BS2168" s="16"/>
      <c r="BT2168" s="16"/>
      <c r="BU2168" s="16"/>
      <c r="BV2168" s="16"/>
      <c r="BW2168" s="16"/>
      <c r="BX2168" s="16"/>
      <c r="BY2168" s="16"/>
    </row>
    <row r="2169">
      <c r="A2169" s="16"/>
      <c r="B2169" s="16"/>
      <c r="C2169" s="22"/>
      <c r="D2169" s="16"/>
      <c r="E2169" s="16"/>
      <c r="F2169" s="16"/>
      <c r="G2169" s="16"/>
      <c r="H2169" s="16"/>
      <c r="I2169" s="23"/>
      <c r="J2169" s="23"/>
      <c r="K2169" s="16"/>
      <c r="L2169" s="23"/>
      <c r="M2169" s="23"/>
      <c r="N2169" s="23"/>
      <c r="O2169" s="16"/>
      <c r="P2169" s="23"/>
      <c r="Q2169" s="23"/>
      <c r="R2169" s="23"/>
      <c r="S2169" s="16"/>
      <c r="T2169" s="23"/>
      <c r="U2169" s="23"/>
      <c r="V2169" s="23"/>
      <c r="W2169" s="16"/>
      <c r="X2169" s="23"/>
      <c r="Y2169" s="23"/>
      <c r="Z2169" s="23"/>
      <c r="AA2169" s="16"/>
      <c r="AB2169" s="23"/>
      <c r="AC2169" s="23"/>
      <c r="AD2169" s="23"/>
      <c r="AE2169" s="16"/>
      <c r="AF2169" s="23"/>
      <c r="AG2169" s="23"/>
      <c r="AH2169" s="23"/>
      <c r="AI2169" s="16"/>
      <c r="AJ2169" s="23"/>
      <c r="AK2169" s="23"/>
      <c r="AL2169" s="23"/>
      <c r="AM2169" s="16"/>
      <c r="AN2169" s="23"/>
      <c r="AO2169" s="23"/>
      <c r="AP2169" s="23"/>
      <c r="AQ2169" s="16"/>
      <c r="AR2169" s="23"/>
      <c r="AS2169" s="23"/>
      <c r="AT2169" s="23"/>
      <c r="AU2169" s="16"/>
      <c r="AV2169" s="23"/>
      <c r="AW2169" s="23"/>
      <c r="AX2169" s="23"/>
      <c r="AY2169" s="16"/>
      <c r="AZ2169" s="23"/>
      <c r="BA2169" s="23"/>
      <c r="BB2169" s="23"/>
      <c r="BC2169" s="16"/>
      <c r="BD2169" s="23"/>
      <c r="BE2169" s="23"/>
      <c r="BF2169" s="23"/>
      <c r="BG2169" s="16"/>
      <c r="BH2169" s="23"/>
      <c r="BI2169" s="23"/>
      <c r="BJ2169" s="23"/>
      <c r="BN2169" s="23"/>
      <c r="BO2169" s="23"/>
      <c r="BP2169" s="16"/>
      <c r="BQ2169" s="16"/>
      <c r="BR2169" s="23"/>
      <c r="BS2169" s="16"/>
      <c r="BT2169" s="16"/>
      <c r="BU2169" s="16"/>
      <c r="BV2169" s="16"/>
      <c r="BW2169" s="16"/>
      <c r="BX2169" s="16"/>
      <c r="BY2169" s="16"/>
    </row>
    <row r="2170">
      <c r="A2170" s="16"/>
      <c r="B2170" s="16"/>
      <c r="C2170" s="22"/>
      <c r="D2170" s="16"/>
      <c r="E2170" s="16"/>
      <c r="F2170" s="16"/>
      <c r="G2170" s="16"/>
      <c r="H2170" s="16"/>
      <c r="I2170" s="23"/>
      <c r="J2170" s="23"/>
      <c r="K2170" s="16"/>
      <c r="L2170" s="23"/>
      <c r="M2170" s="23"/>
      <c r="N2170" s="23"/>
      <c r="O2170" s="16"/>
      <c r="P2170" s="23"/>
      <c r="Q2170" s="23"/>
      <c r="R2170" s="23"/>
      <c r="S2170" s="16"/>
      <c r="T2170" s="23"/>
      <c r="U2170" s="23"/>
      <c r="V2170" s="23"/>
      <c r="W2170" s="16"/>
      <c r="X2170" s="23"/>
      <c r="Y2170" s="23"/>
      <c r="Z2170" s="23"/>
      <c r="AA2170" s="16"/>
      <c r="AB2170" s="23"/>
      <c r="AC2170" s="23"/>
      <c r="AD2170" s="23"/>
      <c r="AE2170" s="16"/>
      <c r="AF2170" s="23"/>
      <c r="AG2170" s="23"/>
      <c r="AH2170" s="23"/>
      <c r="AI2170" s="16"/>
      <c r="AJ2170" s="23"/>
      <c r="AK2170" s="23"/>
      <c r="AL2170" s="23"/>
      <c r="AM2170" s="16"/>
      <c r="AN2170" s="23"/>
      <c r="AO2170" s="23"/>
      <c r="AP2170" s="23"/>
      <c r="AQ2170" s="16"/>
      <c r="AR2170" s="23"/>
      <c r="AS2170" s="23"/>
      <c r="AT2170" s="23"/>
      <c r="AU2170" s="16"/>
      <c r="AV2170" s="23"/>
      <c r="AW2170" s="23"/>
      <c r="AX2170" s="23"/>
      <c r="AY2170" s="16"/>
      <c r="AZ2170" s="23"/>
      <c r="BA2170" s="23"/>
      <c r="BB2170" s="23"/>
      <c r="BC2170" s="16"/>
      <c r="BD2170" s="23"/>
      <c r="BE2170" s="23"/>
      <c r="BF2170" s="23"/>
      <c r="BG2170" s="16"/>
      <c r="BH2170" s="23"/>
      <c r="BI2170" s="23"/>
      <c r="BJ2170" s="23"/>
      <c r="BN2170" s="23"/>
      <c r="BO2170" s="23"/>
      <c r="BP2170" s="16"/>
      <c r="BQ2170" s="16"/>
      <c r="BR2170" s="23"/>
      <c r="BS2170" s="16"/>
      <c r="BT2170" s="16"/>
      <c r="BU2170" s="16"/>
      <c r="BV2170" s="16"/>
      <c r="BW2170" s="16"/>
      <c r="BX2170" s="16"/>
      <c r="BY2170" s="16"/>
    </row>
    <row r="2171">
      <c r="A2171" s="16"/>
      <c r="B2171" s="16"/>
      <c r="C2171" s="22"/>
      <c r="D2171" s="16"/>
      <c r="E2171" s="16"/>
      <c r="F2171" s="16"/>
      <c r="G2171" s="16"/>
      <c r="H2171" s="16"/>
      <c r="I2171" s="23"/>
      <c r="J2171" s="23"/>
      <c r="K2171" s="16"/>
      <c r="L2171" s="23"/>
      <c r="M2171" s="23"/>
      <c r="N2171" s="23"/>
      <c r="O2171" s="16"/>
      <c r="P2171" s="23"/>
      <c r="Q2171" s="23"/>
      <c r="R2171" s="23"/>
      <c r="S2171" s="16"/>
      <c r="T2171" s="23"/>
      <c r="U2171" s="23"/>
      <c r="V2171" s="23"/>
      <c r="W2171" s="16"/>
      <c r="X2171" s="23"/>
      <c r="Y2171" s="23"/>
      <c r="Z2171" s="23"/>
      <c r="AA2171" s="16"/>
      <c r="AB2171" s="23"/>
      <c r="AC2171" s="23"/>
      <c r="AD2171" s="23"/>
      <c r="AE2171" s="16"/>
      <c r="AF2171" s="23"/>
      <c r="AG2171" s="23"/>
      <c r="AH2171" s="23"/>
      <c r="AI2171" s="16"/>
      <c r="AJ2171" s="23"/>
      <c r="AK2171" s="23"/>
      <c r="AL2171" s="23"/>
      <c r="AM2171" s="16"/>
      <c r="AN2171" s="23"/>
      <c r="AO2171" s="23"/>
      <c r="AP2171" s="23"/>
      <c r="AQ2171" s="16"/>
      <c r="AR2171" s="23"/>
      <c r="AS2171" s="23"/>
      <c r="AT2171" s="23"/>
      <c r="AU2171" s="16"/>
      <c r="AV2171" s="23"/>
      <c r="AW2171" s="23"/>
      <c r="AX2171" s="23"/>
      <c r="AY2171" s="16"/>
      <c r="AZ2171" s="23"/>
      <c r="BA2171" s="23"/>
      <c r="BB2171" s="23"/>
      <c r="BC2171" s="16"/>
      <c r="BD2171" s="23"/>
      <c r="BE2171" s="23"/>
      <c r="BF2171" s="23"/>
      <c r="BG2171" s="16"/>
      <c r="BH2171" s="23"/>
      <c r="BI2171" s="23"/>
      <c r="BJ2171" s="23"/>
      <c r="BN2171" s="23"/>
      <c r="BO2171" s="23"/>
      <c r="BP2171" s="16"/>
      <c r="BQ2171" s="16"/>
      <c r="BR2171" s="23"/>
      <c r="BS2171" s="16"/>
      <c r="BT2171" s="16"/>
      <c r="BU2171" s="16"/>
      <c r="BV2171" s="16"/>
      <c r="BW2171" s="16"/>
      <c r="BX2171" s="16"/>
      <c r="BY2171" s="16"/>
    </row>
    <row r="2172">
      <c r="A2172" s="16"/>
      <c r="B2172" s="16"/>
      <c r="C2172" s="22"/>
      <c r="D2172" s="16"/>
      <c r="E2172" s="16"/>
      <c r="F2172" s="16"/>
      <c r="G2172" s="16"/>
      <c r="H2172" s="16"/>
      <c r="I2172" s="23"/>
      <c r="J2172" s="23"/>
      <c r="K2172" s="16"/>
      <c r="L2172" s="23"/>
      <c r="M2172" s="23"/>
      <c r="N2172" s="23"/>
      <c r="O2172" s="16"/>
      <c r="P2172" s="23"/>
      <c r="Q2172" s="23"/>
      <c r="R2172" s="23"/>
      <c r="S2172" s="16"/>
      <c r="T2172" s="23"/>
      <c r="U2172" s="23"/>
      <c r="V2172" s="23"/>
      <c r="W2172" s="16"/>
      <c r="X2172" s="23"/>
      <c r="Y2172" s="23"/>
      <c r="Z2172" s="23"/>
      <c r="AA2172" s="16"/>
      <c r="AB2172" s="23"/>
      <c r="AC2172" s="23"/>
      <c r="AD2172" s="23"/>
      <c r="AE2172" s="16"/>
      <c r="AF2172" s="23"/>
      <c r="AG2172" s="23"/>
      <c r="AH2172" s="23"/>
      <c r="AI2172" s="16"/>
      <c r="AJ2172" s="23"/>
      <c r="AK2172" s="23"/>
      <c r="AL2172" s="23"/>
      <c r="AM2172" s="16"/>
      <c r="AN2172" s="23"/>
      <c r="AO2172" s="23"/>
      <c r="AP2172" s="23"/>
      <c r="AQ2172" s="16"/>
      <c r="AR2172" s="23"/>
      <c r="AS2172" s="23"/>
      <c r="AT2172" s="23"/>
      <c r="AU2172" s="16"/>
      <c r="AV2172" s="23"/>
      <c r="AW2172" s="23"/>
      <c r="AX2172" s="23"/>
      <c r="AY2172" s="16"/>
      <c r="AZ2172" s="23"/>
      <c r="BA2172" s="23"/>
      <c r="BB2172" s="23"/>
      <c r="BC2172" s="16"/>
      <c r="BD2172" s="23"/>
      <c r="BE2172" s="23"/>
      <c r="BF2172" s="23"/>
      <c r="BG2172" s="16"/>
      <c r="BH2172" s="23"/>
      <c r="BI2172" s="23"/>
      <c r="BJ2172" s="23"/>
      <c r="BN2172" s="23"/>
      <c r="BO2172" s="23"/>
      <c r="BP2172" s="16"/>
      <c r="BQ2172" s="16"/>
      <c r="BR2172" s="23"/>
      <c r="BS2172" s="16"/>
      <c r="BT2172" s="16"/>
      <c r="BU2172" s="16"/>
      <c r="BV2172" s="16"/>
      <c r="BW2172" s="16"/>
      <c r="BX2172" s="16"/>
      <c r="BY2172" s="16"/>
    </row>
    <row r="2173">
      <c r="A2173" s="16"/>
      <c r="B2173" s="16"/>
      <c r="C2173" s="22"/>
      <c r="D2173" s="16"/>
      <c r="E2173" s="16"/>
      <c r="F2173" s="16"/>
      <c r="G2173" s="16"/>
      <c r="H2173" s="16"/>
      <c r="I2173" s="23"/>
      <c r="J2173" s="23"/>
      <c r="K2173" s="16"/>
      <c r="L2173" s="23"/>
      <c r="M2173" s="23"/>
      <c r="N2173" s="23"/>
      <c r="O2173" s="16"/>
      <c r="P2173" s="23"/>
      <c r="Q2173" s="23"/>
      <c r="R2173" s="23"/>
      <c r="S2173" s="16"/>
      <c r="T2173" s="23"/>
      <c r="U2173" s="23"/>
      <c r="V2173" s="23"/>
      <c r="W2173" s="16"/>
      <c r="X2173" s="23"/>
      <c r="Y2173" s="23"/>
      <c r="Z2173" s="23"/>
      <c r="AA2173" s="16"/>
      <c r="AB2173" s="23"/>
      <c r="AC2173" s="23"/>
      <c r="AD2173" s="23"/>
      <c r="AE2173" s="16"/>
      <c r="AF2173" s="23"/>
      <c r="AG2173" s="23"/>
      <c r="AH2173" s="23"/>
      <c r="AI2173" s="16"/>
      <c r="AJ2173" s="23"/>
      <c r="AK2173" s="23"/>
      <c r="AL2173" s="23"/>
      <c r="AM2173" s="16"/>
      <c r="AN2173" s="23"/>
      <c r="AO2173" s="23"/>
      <c r="AP2173" s="23"/>
      <c r="AQ2173" s="16"/>
      <c r="AR2173" s="23"/>
      <c r="AS2173" s="23"/>
      <c r="AT2173" s="23"/>
      <c r="AU2173" s="16"/>
      <c r="AV2173" s="23"/>
      <c r="AW2173" s="23"/>
      <c r="AX2173" s="23"/>
      <c r="AY2173" s="16"/>
      <c r="AZ2173" s="23"/>
      <c r="BA2173" s="23"/>
      <c r="BB2173" s="23"/>
      <c r="BC2173" s="16"/>
      <c r="BD2173" s="23"/>
      <c r="BE2173" s="23"/>
      <c r="BF2173" s="23"/>
      <c r="BG2173" s="16"/>
      <c r="BH2173" s="23"/>
      <c r="BI2173" s="23"/>
      <c r="BJ2173" s="23"/>
      <c r="BN2173" s="23"/>
      <c r="BO2173" s="23"/>
      <c r="BP2173" s="16"/>
      <c r="BQ2173" s="16"/>
      <c r="BR2173" s="23"/>
      <c r="BS2173" s="16"/>
      <c r="BT2173" s="16"/>
      <c r="BU2173" s="16"/>
      <c r="BV2173" s="16"/>
      <c r="BW2173" s="16"/>
      <c r="BX2173" s="16"/>
      <c r="BY2173" s="16"/>
    </row>
    <row r="2174">
      <c r="A2174" s="16"/>
      <c r="B2174" s="16"/>
      <c r="C2174" s="22"/>
      <c r="D2174" s="16"/>
      <c r="E2174" s="16"/>
      <c r="F2174" s="16"/>
      <c r="G2174" s="16"/>
      <c r="H2174" s="16"/>
      <c r="I2174" s="23"/>
      <c r="J2174" s="23"/>
      <c r="K2174" s="16"/>
      <c r="L2174" s="23"/>
      <c r="M2174" s="23"/>
      <c r="N2174" s="23"/>
      <c r="O2174" s="16"/>
      <c r="P2174" s="23"/>
      <c r="Q2174" s="23"/>
      <c r="R2174" s="23"/>
      <c r="S2174" s="16"/>
      <c r="T2174" s="23"/>
      <c r="U2174" s="23"/>
      <c r="V2174" s="23"/>
      <c r="W2174" s="16"/>
      <c r="X2174" s="23"/>
      <c r="Y2174" s="23"/>
      <c r="Z2174" s="23"/>
      <c r="AA2174" s="16"/>
      <c r="AB2174" s="23"/>
      <c r="AC2174" s="23"/>
      <c r="AD2174" s="23"/>
      <c r="AE2174" s="16"/>
      <c r="AF2174" s="23"/>
      <c r="AG2174" s="23"/>
      <c r="AH2174" s="23"/>
      <c r="AI2174" s="16"/>
      <c r="AJ2174" s="23"/>
      <c r="AK2174" s="23"/>
      <c r="AL2174" s="23"/>
      <c r="AM2174" s="16"/>
      <c r="AN2174" s="23"/>
      <c r="AO2174" s="23"/>
      <c r="AP2174" s="23"/>
      <c r="AQ2174" s="16"/>
      <c r="AR2174" s="23"/>
      <c r="AS2174" s="23"/>
      <c r="AT2174" s="23"/>
      <c r="AU2174" s="16"/>
      <c r="AV2174" s="23"/>
      <c r="AW2174" s="23"/>
      <c r="AX2174" s="23"/>
      <c r="AY2174" s="16"/>
      <c r="AZ2174" s="23"/>
      <c r="BA2174" s="23"/>
      <c r="BB2174" s="23"/>
      <c r="BC2174" s="16"/>
      <c r="BD2174" s="23"/>
      <c r="BE2174" s="23"/>
      <c r="BF2174" s="23"/>
      <c r="BG2174" s="16"/>
      <c r="BH2174" s="23"/>
      <c r="BI2174" s="23"/>
      <c r="BJ2174" s="23"/>
      <c r="BN2174" s="23"/>
      <c r="BO2174" s="23"/>
      <c r="BP2174" s="16"/>
      <c r="BQ2174" s="16"/>
      <c r="BR2174" s="23"/>
      <c r="BS2174" s="16"/>
      <c r="BT2174" s="16"/>
      <c r="BU2174" s="16"/>
      <c r="BV2174" s="16"/>
      <c r="BW2174" s="16"/>
      <c r="BX2174" s="16"/>
      <c r="BY2174" s="16"/>
    </row>
    <row r="2175">
      <c r="A2175" s="16"/>
      <c r="B2175" s="16"/>
      <c r="C2175" s="22"/>
      <c r="D2175" s="16"/>
      <c r="E2175" s="16"/>
      <c r="F2175" s="16"/>
      <c r="G2175" s="16"/>
      <c r="H2175" s="16"/>
      <c r="I2175" s="23"/>
      <c r="J2175" s="23"/>
      <c r="K2175" s="16"/>
      <c r="L2175" s="23"/>
      <c r="M2175" s="23"/>
      <c r="N2175" s="23"/>
      <c r="O2175" s="16"/>
      <c r="P2175" s="23"/>
      <c r="Q2175" s="23"/>
      <c r="R2175" s="23"/>
      <c r="S2175" s="16"/>
      <c r="T2175" s="23"/>
      <c r="U2175" s="23"/>
      <c r="V2175" s="23"/>
      <c r="W2175" s="16"/>
      <c r="X2175" s="23"/>
      <c r="Y2175" s="23"/>
      <c r="Z2175" s="23"/>
      <c r="AA2175" s="16"/>
      <c r="AB2175" s="23"/>
      <c r="AC2175" s="23"/>
      <c r="AD2175" s="23"/>
      <c r="AE2175" s="16"/>
      <c r="AF2175" s="23"/>
      <c r="AG2175" s="23"/>
      <c r="AH2175" s="23"/>
      <c r="AI2175" s="16"/>
      <c r="AJ2175" s="23"/>
      <c r="AK2175" s="23"/>
      <c r="AL2175" s="23"/>
      <c r="AM2175" s="16"/>
      <c r="AN2175" s="23"/>
      <c r="AO2175" s="23"/>
      <c r="AP2175" s="23"/>
      <c r="AQ2175" s="16"/>
      <c r="AR2175" s="23"/>
      <c r="AS2175" s="23"/>
      <c r="AT2175" s="23"/>
      <c r="AU2175" s="16"/>
      <c r="AV2175" s="23"/>
      <c r="AW2175" s="23"/>
      <c r="AX2175" s="23"/>
      <c r="AY2175" s="16"/>
      <c r="AZ2175" s="23"/>
      <c r="BA2175" s="23"/>
      <c r="BB2175" s="23"/>
      <c r="BC2175" s="16"/>
      <c r="BD2175" s="23"/>
      <c r="BE2175" s="23"/>
      <c r="BF2175" s="23"/>
      <c r="BG2175" s="16"/>
      <c r="BH2175" s="23"/>
      <c r="BI2175" s="23"/>
      <c r="BJ2175" s="23"/>
      <c r="BN2175" s="23"/>
      <c r="BO2175" s="23"/>
      <c r="BP2175" s="16"/>
      <c r="BQ2175" s="16"/>
      <c r="BR2175" s="23"/>
      <c r="BS2175" s="16"/>
      <c r="BT2175" s="16"/>
      <c r="BU2175" s="16"/>
      <c r="BV2175" s="16"/>
      <c r="BW2175" s="16"/>
      <c r="BX2175" s="16"/>
      <c r="BY2175" s="16"/>
    </row>
    <row r="2176">
      <c r="A2176" s="16"/>
      <c r="B2176" s="16"/>
      <c r="C2176" s="22"/>
      <c r="D2176" s="16"/>
      <c r="E2176" s="16"/>
      <c r="F2176" s="16"/>
      <c r="G2176" s="16"/>
      <c r="H2176" s="16"/>
      <c r="I2176" s="23"/>
      <c r="J2176" s="23"/>
      <c r="K2176" s="16"/>
      <c r="L2176" s="23"/>
      <c r="M2176" s="23"/>
      <c r="N2176" s="23"/>
      <c r="O2176" s="16"/>
      <c r="P2176" s="23"/>
      <c r="Q2176" s="23"/>
      <c r="R2176" s="23"/>
      <c r="S2176" s="16"/>
      <c r="T2176" s="23"/>
      <c r="U2176" s="23"/>
      <c r="V2176" s="23"/>
      <c r="W2176" s="16"/>
      <c r="X2176" s="23"/>
      <c r="Y2176" s="23"/>
      <c r="Z2176" s="23"/>
      <c r="AA2176" s="16"/>
      <c r="AB2176" s="23"/>
      <c r="AC2176" s="23"/>
      <c r="AD2176" s="23"/>
      <c r="AE2176" s="16"/>
      <c r="AF2176" s="23"/>
      <c r="AG2176" s="23"/>
      <c r="AH2176" s="23"/>
      <c r="AI2176" s="16"/>
      <c r="AJ2176" s="23"/>
      <c r="AK2176" s="23"/>
      <c r="AL2176" s="23"/>
      <c r="AM2176" s="16"/>
      <c r="AN2176" s="23"/>
      <c r="AO2176" s="23"/>
      <c r="AP2176" s="23"/>
      <c r="AQ2176" s="16"/>
      <c r="AR2176" s="23"/>
      <c r="AS2176" s="23"/>
      <c r="AT2176" s="23"/>
      <c r="AU2176" s="16"/>
      <c r="AV2176" s="23"/>
      <c r="AW2176" s="23"/>
      <c r="AX2176" s="23"/>
      <c r="AY2176" s="16"/>
      <c r="AZ2176" s="23"/>
      <c r="BA2176" s="23"/>
      <c r="BB2176" s="23"/>
      <c r="BC2176" s="16"/>
      <c r="BD2176" s="23"/>
      <c r="BE2176" s="23"/>
      <c r="BF2176" s="23"/>
      <c r="BG2176" s="16"/>
      <c r="BH2176" s="23"/>
      <c r="BI2176" s="23"/>
      <c r="BJ2176" s="23"/>
      <c r="BN2176" s="23"/>
      <c r="BO2176" s="23"/>
      <c r="BP2176" s="16"/>
      <c r="BQ2176" s="16"/>
      <c r="BR2176" s="23"/>
      <c r="BS2176" s="16"/>
      <c r="BT2176" s="16"/>
      <c r="BU2176" s="16"/>
      <c r="BV2176" s="16"/>
      <c r="BW2176" s="16"/>
      <c r="BX2176" s="16"/>
      <c r="BY2176" s="16"/>
    </row>
    <row r="2177">
      <c r="A2177" s="16"/>
      <c r="B2177" s="16"/>
      <c r="C2177" s="22"/>
      <c r="D2177" s="16"/>
      <c r="E2177" s="16"/>
      <c r="F2177" s="16"/>
      <c r="G2177" s="16"/>
      <c r="H2177" s="16"/>
      <c r="I2177" s="23"/>
      <c r="J2177" s="23"/>
      <c r="K2177" s="16"/>
      <c r="L2177" s="23"/>
      <c r="M2177" s="23"/>
      <c r="N2177" s="23"/>
      <c r="O2177" s="16"/>
      <c r="P2177" s="23"/>
      <c r="Q2177" s="23"/>
      <c r="R2177" s="23"/>
      <c r="S2177" s="16"/>
      <c r="T2177" s="23"/>
      <c r="U2177" s="23"/>
      <c r="V2177" s="23"/>
      <c r="W2177" s="16"/>
      <c r="X2177" s="23"/>
      <c r="Y2177" s="23"/>
      <c r="Z2177" s="23"/>
      <c r="AA2177" s="16"/>
      <c r="AB2177" s="23"/>
      <c r="AC2177" s="23"/>
      <c r="AD2177" s="23"/>
      <c r="AE2177" s="16"/>
      <c r="AF2177" s="23"/>
      <c r="AG2177" s="23"/>
      <c r="AH2177" s="23"/>
      <c r="AI2177" s="16"/>
      <c r="AJ2177" s="23"/>
      <c r="AK2177" s="23"/>
      <c r="AL2177" s="23"/>
      <c r="AM2177" s="16"/>
      <c r="AN2177" s="23"/>
      <c r="AO2177" s="23"/>
      <c r="AP2177" s="23"/>
      <c r="AQ2177" s="16"/>
      <c r="AR2177" s="23"/>
      <c r="AS2177" s="23"/>
      <c r="AT2177" s="23"/>
      <c r="AU2177" s="16"/>
      <c r="AV2177" s="23"/>
      <c r="AW2177" s="23"/>
      <c r="AX2177" s="23"/>
      <c r="AY2177" s="16"/>
      <c r="AZ2177" s="23"/>
      <c r="BA2177" s="23"/>
      <c r="BB2177" s="23"/>
      <c r="BC2177" s="16"/>
      <c r="BD2177" s="23"/>
      <c r="BE2177" s="23"/>
      <c r="BF2177" s="23"/>
      <c r="BG2177" s="16"/>
      <c r="BH2177" s="23"/>
      <c r="BI2177" s="23"/>
      <c r="BJ2177" s="23"/>
      <c r="BN2177" s="23"/>
      <c r="BO2177" s="23"/>
      <c r="BP2177" s="16"/>
      <c r="BQ2177" s="16"/>
      <c r="BR2177" s="23"/>
      <c r="BS2177" s="16"/>
      <c r="BT2177" s="16"/>
      <c r="BU2177" s="16"/>
      <c r="BV2177" s="16"/>
      <c r="BW2177" s="16"/>
      <c r="BX2177" s="16"/>
      <c r="BY2177" s="16"/>
    </row>
    <row r="2178">
      <c r="A2178" s="16"/>
      <c r="B2178" s="16"/>
      <c r="C2178" s="22"/>
      <c r="D2178" s="16"/>
      <c r="E2178" s="16"/>
      <c r="F2178" s="16"/>
      <c r="G2178" s="16"/>
      <c r="H2178" s="16"/>
      <c r="I2178" s="23"/>
      <c r="J2178" s="23"/>
      <c r="K2178" s="16"/>
      <c r="L2178" s="23"/>
      <c r="M2178" s="23"/>
      <c r="N2178" s="23"/>
      <c r="O2178" s="16"/>
      <c r="P2178" s="23"/>
      <c r="Q2178" s="23"/>
      <c r="R2178" s="23"/>
      <c r="S2178" s="16"/>
      <c r="T2178" s="23"/>
      <c r="U2178" s="23"/>
      <c r="V2178" s="23"/>
      <c r="W2178" s="16"/>
      <c r="X2178" s="23"/>
      <c r="Y2178" s="23"/>
      <c r="Z2178" s="23"/>
      <c r="AA2178" s="16"/>
      <c r="AB2178" s="23"/>
      <c r="AC2178" s="23"/>
      <c r="AD2178" s="23"/>
      <c r="AE2178" s="16"/>
      <c r="AF2178" s="23"/>
      <c r="AG2178" s="23"/>
      <c r="AH2178" s="23"/>
      <c r="AI2178" s="16"/>
      <c r="AJ2178" s="23"/>
      <c r="AK2178" s="23"/>
      <c r="AL2178" s="23"/>
      <c r="AM2178" s="16"/>
      <c r="AN2178" s="23"/>
      <c r="AO2178" s="23"/>
      <c r="AP2178" s="23"/>
      <c r="AQ2178" s="16"/>
      <c r="AR2178" s="23"/>
      <c r="AS2178" s="23"/>
      <c r="AT2178" s="23"/>
      <c r="AU2178" s="16"/>
      <c r="AV2178" s="23"/>
      <c r="AW2178" s="23"/>
      <c r="AX2178" s="23"/>
      <c r="AY2178" s="16"/>
      <c r="AZ2178" s="23"/>
      <c r="BA2178" s="23"/>
      <c r="BB2178" s="23"/>
      <c r="BC2178" s="16"/>
      <c r="BD2178" s="23"/>
      <c r="BE2178" s="23"/>
      <c r="BF2178" s="23"/>
      <c r="BG2178" s="16"/>
      <c r="BH2178" s="23"/>
      <c r="BI2178" s="23"/>
      <c r="BJ2178" s="23"/>
      <c r="BN2178" s="23"/>
      <c r="BO2178" s="23"/>
      <c r="BP2178" s="16"/>
      <c r="BQ2178" s="16"/>
      <c r="BR2178" s="23"/>
      <c r="BS2178" s="16"/>
      <c r="BT2178" s="16"/>
      <c r="BU2178" s="16"/>
      <c r="BV2178" s="16"/>
      <c r="BW2178" s="16"/>
      <c r="BX2178" s="16"/>
      <c r="BY2178" s="16"/>
    </row>
    <row r="2179">
      <c r="A2179" s="16"/>
      <c r="B2179" s="16"/>
      <c r="C2179" s="22"/>
      <c r="D2179" s="16"/>
      <c r="E2179" s="16"/>
      <c r="F2179" s="16"/>
      <c r="G2179" s="16"/>
      <c r="H2179" s="16"/>
      <c r="I2179" s="23"/>
      <c r="J2179" s="23"/>
      <c r="K2179" s="16"/>
      <c r="L2179" s="23"/>
      <c r="M2179" s="23"/>
      <c r="N2179" s="23"/>
      <c r="O2179" s="16"/>
      <c r="P2179" s="23"/>
      <c r="Q2179" s="23"/>
      <c r="R2179" s="23"/>
      <c r="S2179" s="16"/>
      <c r="T2179" s="23"/>
      <c r="U2179" s="23"/>
      <c r="V2179" s="23"/>
      <c r="W2179" s="16"/>
      <c r="X2179" s="23"/>
      <c r="Y2179" s="23"/>
      <c r="Z2179" s="23"/>
      <c r="AA2179" s="16"/>
      <c r="AB2179" s="23"/>
      <c r="AC2179" s="23"/>
      <c r="AD2179" s="23"/>
      <c r="AE2179" s="16"/>
      <c r="AF2179" s="23"/>
      <c r="AG2179" s="23"/>
      <c r="AH2179" s="23"/>
      <c r="AI2179" s="16"/>
      <c r="AJ2179" s="23"/>
      <c r="AK2179" s="23"/>
      <c r="AL2179" s="23"/>
      <c r="AM2179" s="16"/>
      <c r="AN2179" s="23"/>
      <c r="AO2179" s="23"/>
      <c r="AP2179" s="23"/>
      <c r="AQ2179" s="16"/>
      <c r="AR2179" s="23"/>
      <c r="AS2179" s="23"/>
      <c r="AT2179" s="23"/>
      <c r="AU2179" s="16"/>
      <c r="AV2179" s="23"/>
      <c r="AW2179" s="23"/>
      <c r="AX2179" s="23"/>
      <c r="AY2179" s="16"/>
      <c r="AZ2179" s="23"/>
      <c r="BA2179" s="23"/>
      <c r="BB2179" s="23"/>
      <c r="BC2179" s="16"/>
      <c r="BD2179" s="23"/>
      <c r="BE2179" s="23"/>
      <c r="BF2179" s="23"/>
      <c r="BG2179" s="16"/>
      <c r="BH2179" s="23"/>
      <c r="BI2179" s="23"/>
      <c r="BJ2179" s="23"/>
      <c r="BN2179" s="23"/>
      <c r="BO2179" s="23"/>
      <c r="BP2179" s="16"/>
      <c r="BQ2179" s="16"/>
      <c r="BR2179" s="23"/>
      <c r="BS2179" s="16"/>
      <c r="BT2179" s="16"/>
      <c r="BU2179" s="16"/>
      <c r="BV2179" s="16"/>
      <c r="BW2179" s="16"/>
      <c r="BX2179" s="16"/>
      <c r="BY2179" s="16"/>
    </row>
    <row r="2180">
      <c r="A2180" s="16"/>
      <c r="B2180" s="16"/>
      <c r="C2180" s="22"/>
      <c r="D2180" s="16"/>
      <c r="E2180" s="16"/>
      <c r="F2180" s="16"/>
      <c r="G2180" s="16"/>
      <c r="H2180" s="16"/>
      <c r="I2180" s="23"/>
      <c r="J2180" s="23"/>
      <c r="K2180" s="16"/>
      <c r="L2180" s="23"/>
      <c r="M2180" s="23"/>
      <c r="N2180" s="23"/>
      <c r="O2180" s="16"/>
      <c r="P2180" s="23"/>
      <c r="Q2180" s="23"/>
      <c r="R2180" s="23"/>
      <c r="S2180" s="16"/>
      <c r="T2180" s="23"/>
      <c r="U2180" s="23"/>
      <c r="V2180" s="23"/>
      <c r="W2180" s="16"/>
      <c r="X2180" s="23"/>
      <c r="Y2180" s="23"/>
      <c r="Z2180" s="23"/>
      <c r="AA2180" s="16"/>
      <c r="AB2180" s="23"/>
      <c r="AC2180" s="23"/>
      <c r="AD2180" s="23"/>
      <c r="AE2180" s="16"/>
      <c r="AF2180" s="23"/>
      <c r="AG2180" s="23"/>
      <c r="AH2180" s="23"/>
      <c r="AI2180" s="16"/>
      <c r="AJ2180" s="23"/>
      <c r="AK2180" s="23"/>
      <c r="AL2180" s="23"/>
      <c r="AM2180" s="16"/>
      <c r="AN2180" s="23"/>
      <c r="AO2180" s="23"/>
      <c r="AP2180" s="23"/>
      <c r="AQ2180" s="16"/>
      <c r="AR2180" s="23"/>
      <c r="AS2180" s="23"/>
      <c r="AT2180" s="23"/>
      <c r="AU2180" s="16"/>
      <c r="AV2180" s="23"/>
      <c r="AW2180" s="23"/>
      <c r="AX2180" s="23"/>
      <c r="AY2180" s="16"/>
      <c r="AZ2180" s="23"/>
      <c r="BA2180" s="23"/>
      <c r="BB2180" s="23"/>
      <c r="BC2180" s="16"/>
      <c r="BD2180" s="23"/>
      <c r="BE2180" s="23"/>
      <c r="BF2180" s="23"/>
      <c r="BG2180" s="16"/>
      <c r="BH2180" s="23"/>
      <c r="BI2180" s="23"/>
      <c r="BJ2180" s="23"/>
      <c r="BN2180" s="23"/>
      <c r="BO2180" s="23"/>
      <c r="BP2180" s="16"/>
      <c r="BQ2180" s="16"/>
      <c r="BR2180" s="23"/>
      <c r="BS2180" s="16"/>
      <c r="BT2180" s="16"/>
      <c r="BU2180" s="16"/>
      <c r="BV2180" s="16"/>
      <c r="BW2180" s="16"/>
      <c r="BX2180" s="16"/>
      <c r="BY2180" s="16"/>
    </row>
    <row r="2181">
      <c r="A2181" s="16"/>
      <c r="B2181" s="16"/>
      <c r="C2181" s="22"/>
      <c r="D2181" s="16"/>
      <c r="E2181" s="16"/>
      <c r="F2181" s="16"/>
      <c r="G2181" s="16"/>
      <c r="H2181" s="16"/>
      <c r="I2181" s="23"/>
      <c r="J2181" s="23"/>
      <c r="K2181" s="16"/>
      <c r="L2181" s="23"/>
      <c r="M2181" s="23"/>
      <c r="N2181" s="23"/>
      <c r="O2181" s="16"/>
      <c r="P2181" s="23"/>
      <c r="Q2181" s="23"/>
      <c r="R2181" s="23"/>
      <c r="S2181" s="16"/>
      <c r="T2181" s="23"/>
      <c r="U2181" s="23"/>
      <c r="V2181" s="23"/>
      <c r="W2181" s="16"/>
      <c r="X2181" s="23"/>
      <c r="Y2181" s="23"/>
      <c r="Z2181" s="23"/>
      <c r="AA2181" s="16"/>
      <c r="AB2181" s="23"/>
      <c r="AC2181" s="23"/>
      <c r="AD2181" s="23"/>
      <c r="AE2181" s="16"/>
      <c r="AF2181" s="23"/>
      <c r="AG2181" s="23"/>
      <c r="AH2181" s="23"/>
      <c r="AI2181" s="16"/>
      <c r="AJ2181" s="23"/>
      <c r="AK2181" s="23"/>
      <c r="AL2181" s="23"/>
      <c r="AM2181" s="16"/>
      <c r="AN2181" s="23"/>
      <c r="AO2181" s="23"/>
      <c r="AP2181" s="23"/>
      <c r="AQ2181" s="16"/>
      <c r="AR2181" s="23"/>
      <c r="AS2181" s="23"/>
      <c r="AT2181" s="23"/>
      <c r="AU2181" s="16"/>
      <c r="AV2181" s="23"/>
      <c r="AW2181" s="23"/>
      <c r="AX2181" s="23"/>
      <c r="AY2181" s="16"/>
      <c r="AZ2181" s="23"/>
      <c r="BA2181" s="23"/>
      <c r="BB2181" s="23"/>
      <c r="BC2181" s="16"/>
      <c r="BD2181" s="23"/>
      <c r="BE2181" s="23"/>
      <c r="BF2181" s="23"/>
      <c r="BG2181" s="16"/>
      <c r="BH2181" s="23"/>
      <c r="BI2181" s="23"/>
      <c r="BJ2181" s="23"/>
      <c r="BN2181" s="23"/>
      <c r="BO2181" s="23"/>
      <c r="BP2181" s="16"/>
      <c r="BQ2181" s="16"/>
      <c r="BR2181" s="23"/>
      <c r="BS2181" s="16"/>
      <c r="BT2181" s="16"/>
      <c r="BU2181" s="16"/>
      <c r="BV2181" s="16"/>
      <c r="BW2181" s="16"/>
      <c r="BX2181" s="16"/>
      <c r="BY2181" s="16"/>
    </row>
    <row r="2182">
      <c r="A2182" s="16"/>
      <c r="B2182" s="16"/>
      <c r="C2182" s="22"/>
      <c r="D2182" s="16"/>
      <c r="E2182" s="16"/>
      <c r="F2182" s="16"/>
      <c r="G2182" s="16"/>
      <c r="H2182" s="16"/>
      <c r="I2182" s="23"/>
      <c r="J2182" s="23"/>
      <c r="K2182" s="16"/>
      <c r="L2182" s="23"/>
      <c r="M2182" s="23"/>
      <c r="N2182" s="23"/>
      <c r="O2182" s="16"/>
      <c r="P2182" s="23"/>
      <c r="Q2182" s="23"/>
      <c r="R2182" s="23"/>
      <c r="S2182" s="16"/>
      <c r="T2182" s="23"/>
      <c r="U2182" s="23"/>
      <c r="V2182" s="23"/>
      <c r="W2182" s="16"/>
      <c r="X2182" s="23"/>
      <c r="Y2182" s="23"/>
      <c r="Z2182" s="23"/>
      <c r="AA2182" s="16"/>
      <c r="AB2182" s="23"/>
      <c r="AC2182" s="23"/>
      <c r="AD2182" s="23"/>
      <c r="AE2182" s="16"/>
      <c r="AF2182" s="23"/>
      <c r="AG2182" s="23"/>
      <c r="AH2182" s="23"/>
      <c r="AI2182" s="16"/>
      <c r="AJ2182" s="23"/>
      <c r="AK2182" s="23"/>
      <c r="AL2182" s="23"/>
      <c r="AM2182" s="16"/>
      <c r="AN2182" s="23"/>
      <c r="AO2182" s="23"/>
      <c r="AP2182" s="23"/>
      <c r="AQ2182" s="16"/>
      <c r="AR2182" s="23"/>
      <c r="AS2182" s="23"/>
      <c r="AT2182" s="23"/>
      <c r="AU2182" s="16"/>
      <c r="AV2182" s="23"/>
      <c r="AW2182" s="23"/>
      <c r="AX2182" s="23"/>
      <c r="AY2182" s="16"/>
      <c r="AZ2182" s="23"/>
      <c r="BA2182" s="23"/>
      <c r="BB2182" s="23"/>
      <c r="BC2182" s="16"/>
      <c r="BD2182" s="23"/>
      <c r="BE2182" s="23"/>
      <c r="BF2182" s="23"/>
      <c r="BG2182" s="16"/>
      <c r="BH2182" s="23"/>
      <c r="BI2182" s="23"/>
      <c r="BJ2182" s="23"/>
      <c r="BN2182" s="23"/>
      <c r="BO2182" s="23"/>
      <c r="BP2182" s="16"/>
      <c r="BQ2182" s="16"/>
      <c r="BR2182" s="23"/>
      <c r="BS2182" s="16"/>
      <c r="BT2182" s="16"/>
      <c r="BU2182" s="16"/>
      <c r="BV2182" s="16"/>
      <c r="BW2182" s="16"/>
      <c r="BX2182" s="16"/>
      <c r="BY2182" s="16"/>
    </row>
    <row r="2183">
      <c r="A2183" s="16"/>
      <c r="B2183" s="16"/>
      <c r="C2183" s="22"/>
      <c r="D2183" s="16"/>
      <c r="E2183" s="16"/>
      <c r="F2183" s="16"/>
      <c r="G2183" s="16"/>
      <c r="H2183" s="16"/>
      <c r="I2183" s="23"/>
      <c r="J2183" s="23"/>
      <c r="K2183" s="16"/>
      <c r="L2183" s="23"/>
      <c r="M2183" s="23"/>
      <c r="N2183" s="23"/>
      <c r="O2183" s="16"/>
      <c r="P2183" s="23"/>
      <c r="Q2183" s="23"/>
      <c r="R2183" s="23"/>
      <c r="S2183" s="16"/>
      <c r="T2183" s="23"/>
      <c r="U2183" s="23"/>
      <c r="V2183" s="23"/>
      <c r="W2183" s="16"/>
      <c r="X2183" s="23"/>
      <c r="Y2183" s="23"/>
      <c r="Z2183" s="23"/>
      <c r="AA2183" s="16"/>
      <c r="AB2183" s="23"/>
      <c r="AC2183" s="23"/>
      <c r="AD2183" s="23"/>
      <c r="AE2183" s="16"/>
      <c r="AF2183" s="23"/>
      <c r="AG2183" s="23"/>
      <c r="AH2183" s="23"/>
      <c r="AI2183" s="16"/>
      <c r="AJ2183" s="23"/>
      <c r="AK2183" s="23"/>
      <c r="AL2183" s="23"/>
      <c r="AM2183" s="16"/>
      <c r="AN2183" s="23"/>
      <c r="AO2183" s="23"/>
      <c r="AP2183" s="23"/>
      <c r="AQ2183" s="16"/>
      <c r="AR2183" s="23"/>
      <c r="AS2183" s="23"/>
      <c r="AT2183" s="23"/>
      <c r="AU2183" s="16"/>
      <c r="AV2183" s="23"/>
      <c r="AW2183" s="23"/>
      <c r="AX2183" s="23"/>
      <c r="AY2183" s="16"/>
      <c r="AZ2183" s="23"/>
      <c r="BA2183" s="23"/>
      <c r="BB2183" s="23"/>
      <c r="BC2183" s="16"/>
      <c r="BD2183" s="23"/>
      <c r="BE2183" s="23"/>
      <c r="BF2183" s="23"/>
      <c r="BG2183" s="16"/>
      <c r="BH2183" s="23"/>
      <c r="BI2183" s="23"/>
      <c r="BJ2183" s="23"/>
      <c r="BN2183" s="23"/>
      <c r="BO2183" s="23"/>
      <c r="BP2183" s="16"/>
      <c r="BQ2183" s="16"/>
      <c r="BR2183" s="23"/>
      <c r="BS2183" s="16"/>
      <c r="BT2183" s="16"/>
      <c r="BU2183" s="16"/>
      <c r="BV2183" s="16"/>
      <c r="BW2183" s="16"/>
      <c r="BX2183" s="16"/>
      <c r="BY2183" s="16"/>
    </row>
    <row r="2184">
      <c r="A2184" s="16"/>
      <c r="B2184" s="16"/>
      <c r="C2184" s="22"/>
      <c r="D2184" s="16"/>
      <c r="E2184" s="16"/>
      <c r="F2184" s="16"/>
      <c r="G2184" s="16"/>
      <c r="H2184" s="16"/>
      <c r="I2184" s="23"/>
      <c r="J2184" s="23"/>
      <c r="K2184" s="16"/>
      <c r="L2184" s="23"/>
      <c r="M2184" s="23"/>
      <c r="N2184" s="23"/>
      <c r="O2184" s="16"/>
      <c r="P2184" s="23"/>
      <c r="Q2184" s="23"/>
      <c r="R2184" s="23"/>
      <c r="S2184" s="16"/>
      <c r="T2184" s="23"/>
      <c r="U2184" s="23"/>
      <c r="V2184" s="23"/>
      <c r="W2184" s="16"/>
      <c r="X2184" s="23"/>
      <c r="Y2184" s="23"/>
      <c r="Z2184" s="23"/>
      <c r="AA2184" s="16"/>
      <c r="AB2184" s="23"/>
      <c r="AC2184" s="23"/>
      <c r="AD2184" s="23"/>
      <c r="AE2184" s="16"/>
      <c r="AF2184" s="23"/>
      <c r="AG2184" s="23"/>
      <c r="AH2184" s="23"/>
      <c r="AI2184" s="16"/>
      <c r="AJ2184" s="23"/>
      <c r="AK2184" s="23"/>
      <c r="AL2184" s="23"/>
      <c r="AM2184" s="16"/>
      <c r="AN2184" s="23"/>
      <c r="AO2184" s="23"/>
      <c r="AP2184" s="23"/>
      <c r="AQ2184" s="16"/>
      <c r="AR2184" s="23"/>
      <c r="AS2184" s="23"/>
      <c r="AT2184" s="23"/>
      <c r="AU2184" s="16"/>
      <c r="AV2184" s="23"/>
      <c r="AW2184" s="23"/>
      <c r="AX2184" s="23"/>
      <c r="AY2184" s="16"/>
      <c r="AZ2184" s="23"/>
      <c r="BA2184" s="23"/>
      <c r="BB2184" s="23"/>
      <c r="BC2184" s="16"/>
      <c r="BD2184" s="23"/>
      <c r="BE2184" s="23"/>
      <c r="BF2184" s="23"/>
      <c r="BG2184" s="16"/>
      <c r="BH2184" s="23"/>
      <c r="BI2184" s="23"/>
      <c r="BJ2184" s="23"/>
      <c r="BN2184" s="23"/>
      <c r="BO2184" s="23"/>
      <c r="BP2184" s="16"/>
      <c r="BQ2184" s="16"/>
      <c r="BR2184" s="23"/>
      <c r="BS2184" s="16"/>
      <c r="BT2184" s="16"/>
      <c r="BU2184" s="16"/>
      <c r="BV2184" s="16"/>
      <c r="BW2184" s="16"/>
      <c r="BX2184" s="16"/>
      <c r="BY2184" s="16"/>
    </row>
    <row r="2185">
      <c r="A2185" s="16"/>
      <c r="B2185" s="16"/>
      <c r="C2185" s="22"/>
      <c r="D2185" s="16"/>
      <c r="E2185" s="16"/>
      <c r="F2185" s="16"/>
      <c r="G2185" s="16"/>
      <c r="H2185" s="16"/>
      <c r="I2185" s="23"/>
      <c r="J2185" s="23"/>
      <c r="K2185" s="16"/>
      <c r="L2185" s="23"/>
      <c r="M2185" s="23"/>
      <c r="N2185" s="23"/>
      <c r="O2185" s="16"/>
      <c r="P2185" s="23"/>
      <c r="Q2185" s="23"/>
      <c r="R2185" s="23"/>
      <c r="S2185" s="16"/>
      <c r="T2185" s="23"/>
      <c r="U2185" s="23"/>
      <c r="V2185" s="23"/>
      <c r="W2185" s="16"/>
      <c r="X2185" s="23"/>
      <c r="Y2185" s="23"/>
      <c r="Z2185" s="23"/>
      <c r="AA2185" s="16"/>
      <c r="AB2185" s="23"/>
      <c r="AC2185" s="23"/>
      <c r="AD2185" s="23"/>
      <c r="AE2185" s="16"/>
      <c r="AF2185" s="23"/>
      <c r="AG2185" s="23"/>
      <c r="AH2185" s="23"/>
      <c r="AI2185" s="16"/>
      <c r="AJ2185" s="23"/>
      <c r="AK2185" s="23"/>
      <c r="AL2185" s="23"/>
      <c r="AM2185" s="16"/>
      <c r="AN2185" s="23"/>
      <c r="AO2185" s="23"/>
      <c r="AP2185" s="23"/>
      <c r="AQ2185" s="16"/>
      <c r="AR2185" s="23"/>
      <c r="AS2185" s="23"/>
      <c r="AT2185" s="23"/>
      <c r="AU2185" s="16"/>
      <c r="AV2185" s="23"/>
      <c r="AW2185" s="23"/>
      <c r="AX2185" s="23"/>
      <c r="AY2185" s="16"/>
      <c r="AZ2185" s="23"/>
      <c r="BA2185" s="23"/>
      <c r="BB2185" s="23"/>
      <c r="BC2185" s="16"/>
      <c r="BD2185" s="23"/>
      <c r="BE2185" s="23"/>
      <c r="BF2185" s="23"/>
      <c r="BG2185" s="16"/>
      <c r="BH2185" s="23"/>
      <c r="BI2185" s="23"/>
      <c r="BJ2185" s="23"/>
      <c r="BN2185" s="23"/>
      <c r="BO2185" s="23"/>
      <c r="BP2185" s="16"/>
      <c r="BQ2185" s="16"/>
      <c r="BR2185" s="23"/>
      <c r="BS2185" s="16"/>
      <c r="BT2185" s="16"/>
      <c r="BU2185" s="16"/>
      <c r="BV2185" s="16"/>
      <c r="BW2185" s="16"/>
      <c r="BX2185" s="16"/>
      <c r="BY2185" s="16"/>
    </row>
    <row r="2186">
      <c r="A2186" s="16"/>
      <c r="B2186" s="16"/>
      <c r="C2186" s="22"/>
      <c r="D2186" s="16"/>
      <c r="E2186" s="16"/>
      <c r="F2186" s="16"/>
      <c r="G2186" s="16"/>
      <c r="H2186" s="16"/>
      <c r="I2186" s="23"/>
      <c r="J2186" s="23"/>
      <c r="K2186" s="16"/>
      <c r="L2186" s="23"/>
      <c r="M2186" s="23"/>
      <c r="N2186" s="23"/>
      <c r="O2186" s="16"/>
      <c r="P2186" s="23"/>
      <c r="Q2186" s="23"/>
      <c r="R2186" s="23"/>
      <c r="S2186" s="16"/>
      <c r="T2186" s="23"/>
      <c r="U2186" s="23"/>
      <c r="V2186" s="23"/>
      <c r="W2186" s="16"/>
      <c r="X2186" s="23"/>
      <c r="Y2186" s="23"/>
      <c r="Z2186" s="23"/>
      <c r="AA2186" s="16"/>
      <c r="AB2186" s="23"/>
      <c r="AC2186" s="23"/>
      <c r="AD2186" s="23"/>
      <c r="AE2186" s="16"/>
      <c r="AF2186" s="23"/>
      <c r="AG2186" s="23"/>
      <c r="AH2186" s="23"/>
      <c r="AI2186" s="16"/>
      <c r="AJ2186" s="23"/>
      <c r="AK2186" s="23"/>
      <c r="AL2186" s="23"/>
      <c r="AM2186" s="16"/>
      <c r="AN2186" s="23"/>
      <c r="AO2186" s="23"/>
      <c r="AP2186" s="23"/>
      <c r="AQ2186" s="16"/>
      <c r="AR2186" s="23"/>
      <c r="AS2186" s="23"/>
      <c r="AT2186" s="23"/>
      <c r="AU2186" s="16"/>
      <c r="AV2186" s="23"/>
      <c r="AW2186" s="23"/>
      <c r="AX2186" s="23"/>
      <c r="AY2186" s="16"/>
      <c r="AZ2186" s="23"/>
      <c r="BA2186" s="23"/>
      <c r="BB2186" s="23"/>
      <c r="BC2186" s="16"/>
      <c r="BD2186" s="23"/>
      <c r="BE2186" s="23"/>
      <c r="BF2186" s="23"/>
      <c r="BG2186" s="16"/>
      <c r="BH2186" s="23"/>
      <c r="BI2186" s="23"/>
      <c r="BJ2186" s="23"/>
      <c r="BN2186" s="23"/>
      <c r="BO2186" s="23"/>
      <c r="BP2186" s="16"/>
      <c r="BQ2186" s="16"/>
      <c r="BR2186" s="23"/>
      <c r="BS2186" s="16"/>
      <c r="BT2186" s="16"/>
      <c r="BU2186" s="16"/>
      <c r="BV2186" s="16"/>
      <c r="BW2186" s="16"/>
      <c r="BX2186" s="16"/>
      <c r="BY2186" s="16"/>
    </row>
    <row r="2187">
      <c r="A2187" s="16"/>
      <c r="B2187" s="16"/>
      <c r="C2187" s="22"/>
      <c r="D2187" s="16"/>
      <c r="E2187" s="16"/>
      <c r="F2187" s="16"/>
      <c r="G2187" s="16"/>
      <c r="H2187" s="16"/>
      <c r="I2187" s="23"/>
      <c r="J2187" s="23"/>
      <c r="K2187" s="16"/>
      <c r="L2187" s="23"/>
      <c r="M2187" s="23"/>
      <c r="N2187" s="23"/>
      <c r="O2187" s="16"/>
      <c r="P2187" s="23"/>
      <c r="Q2187" s="23"/>
      <c r="R2187" s="23"/>
      <c r="S2187" s="16"/>
      <c r="T2187" s="23"/>
      <c r="U2187" s="23"/>
      <c r="V2187" s="23"/>
      <c r="W2187" s="16"/>
      <c r="X2187" s="23"/>
      <c r="Y2187" s="23"/>
      <c r="Z2187" s="23"/>
      <c r="AA2187" s="16"/>
      <c r="AB2187" s="23"/>
      <c r="AC2187" s="23"/>
      <c r="AD2187" s="23"/>
      <c r="AE2187" s="16"/>
      <c r="AF2187" s="23"/>
      <c r="AG2187" s="23"/>
      <c r="AH2187" s="23"/>
      <c r="AI2187" s="16"/>
      <c r="AJ2187" s="23"/>
      <c r="AK2187" s="23"/>
      <c r="AL2187" s="23"/>
      <c r="AM2187" s="16"/>
      <c r="AN2187" s="23"/>
      <c r="AO2187" s="23"/>
      <c r="AP2187" s="23"/>
      <c r="AQ2187" s="16"/>
      <c r="AR2187" s="23"/>
      <c r="AS2187" s="23"/>
      <c r="AT2187" s="23"/>
      <c r="AU2187" s="16"/>
      <c r="AV2187" s="23"/>
      <c r="AW2187" s="23"/>
      <c r="AX2187" s="23"/>
      <c r="AY2187" s="16"/>
      <c r="AZ2187" s="23"/>
      <c r="BA2187" s="23"/>
      <c r="BB2187" s="23"/>
      <c r="BC2187" s="16"/>
      <c r="BD2187" s="23"/>
      <c r="BE2187" s="23"/>
      <c r="BF2187" s="23"/>
      <c r="BG2187" s="16"/>
      <c r="BH2187" s="23"/>
      <c r="BI2187" s="23"/>
      <c r="BJ2187" s="23"/>
      <c r="BN2187" s="23"/>
      <c r="BO2187" s="23"/>
      <c r="BP2187" s="16"/>
      <c r="BQ2187" s="16"/>
      <c r="BR2187" s="23"/>
      <c r="BS2187" s="16"/>
      <c r="BT2187" s="16"/>
      <c r="BU2187" s="16"/>
      <c r="BV2187" s="16"/>
      <c r="BW2187" s="16"/>
      <c r="BX2187" s="16"/>
      <c r="BY2187" s="16"/>
    </row>
    <row r="2188">
      <c r="A2188" s="16"/>
      <c r="B2188" s="16"/>
      <c r="C2188" s="22"/>
      <c r="D2188" s="16"/>
      <c r="E2188" s="16"/>
      <c r="F2188" s="16"/>
      <c r="G2188" s="16"/>
      <c r="H2188" s="16"/>
      <c r="I2188" s="23"/>
      <c r="J2188" s="23"/>
      <c r="K2188" s="16"/>
      <c r="L2188" s="23"/>
      <c r="M2188" s="23"/>
      <c r="N2188" s="23"/>
      <c r="O2188" s="16"/>
      <c r="P2188" s="23"/>
      <c r="Q2188" s="23"/>
      <c r="R2188" s="23"/>
      <c r="S2188" s="16"/>
      <c r="T2188" s="23"/>
      <c r="U2188" s="23"/>
      <c r="V2188" s="23"/>
      <c r="W2188" s="16"/>
      <c r="X2188" s="23"/>
      <c r="Y2188" s="23"/>
      <c r="Z2188" s="23"/>
      <c r="AA2188" s="16"/>
      <c r="AB2188" s="23"/>
      <c r="AC2188" s="23"/>
      <c r="AD2188" s="23"/>
      <c r="AE2188" s="16"/>
      <c r="AF2188" s="23"/>
      <c r="AG2188" s="23"/>
      <c r="AH2188" s="23"/>
      <c r="AI2188" s="16"/>
      <c r="AJ2188" s="23"/>
      <c r="AK2188" s="23"/>
      <c r="AL2188" s="23"/>
      <c r="AM2188" s="16"/>
      <c r="AN2188" s="23"/>
      <c r="AO2188" s="23"/>
      <c r="AP2188" s="23"/>
      <c r="AQ2188" s="16"/>
      <c r="AR2188" s="23"/>
      <c r="AS2188" s="23"/>
      <c r="AT2188" s="23"/>
      <c r="AU2188" s="16"/>
      <c r="AV2188" s="23"/>
      <c r="AW2188" s="23"/>
      <c r="AX2188" s="23"/>
      <c r="AY2188" s="16"/>
      <c r="AZ2188" s="23"/>
      <c r="BA2188" s="23"/>
      <c r="BB2188" s="23"/>
      <c r="BC2188" s="16"/>
      <c r="BD2188" s="23"/>
      <c r="BE2188" s="23"/>
      <c r="BF2188" s="23"/>
      <c r="BG2188" s="16"/>
      <c r="BH2188" s="23"/>
      <c r="BI2188" s="23"/>
      <c r="BJ2188" s="23"/>
      <c r="BN2188" s="23"/>
      <c r="BO2188" s="23"/>
      <c r="BP2188" s="16"/>
      <c r="BQ2188" s="16"/>
      <c r="BR2188" s="23"/>
      <c r="BS2188" s="16"/>
      <c r="BT2188" s="16"/>
      <c r="BU2188" s="16"/>
      <c r="BV2188" s="16"/>
      <c r="BW2188" s="16"/>
      <c r="BX2188" s="16"/>
      <c r="BY2188" s="16"/>
    </row>
    <row r="2189">
      <c r="A2189" s="16"/>
      <c r="B2189" s="16"/>
      <c r="C2189" s="22"/>
      <c r="D2189" s="16"/>
      <c r="E2189" s="16"/>
      <c r="F2189" s="16"/>
      <c r="G2189" s="16"/>
      <c r="H2189" s="16"/>
      <c r="I2189" s="23"/>
      <c r="J2189" s="23"/>
      <c r="K2189" s="16"/>
      <c r="L2189" s="23"/>
      <c r="M2189" s="23"/>
      <c r="N2189" s="23"/>
      <c r="O2189" s="16"/>
      <c r="P2189" s="23"/>
      <c r="Q2189" s="23"/>
      <c r="R2189" s="23"/>
      <c r="S2189" s="16"/>
      <c r="T2189" s="23"/>
      <c r="U2189" s="23"/>
      <c r="V2189" s="23"/>
      <c r="W2189" s="16"/>
      <c r="X2189" s="23"/>
      <c r="Y2189" s="23"/>
      <c r="Z2189" s="23"/>
      <c r="AA2189" s="16"/>
      <c r="AB2189" s="23"/>
      <c r="AC2189" s="23"/>
      <c r="AD2189" s="23"/>
      <c r="AE2189" s="16"/>
      <c r="AF2189" s="23"/>
      <c r="AG2189" s="23"/>
      <c r="AH2189" s="23"/>
      <c r="AI2189" s="16"/>
      <c r="AJ2189" s="23"/>
      <c r="AK2189" s="23"/>
      <c r="AL2189" s="23"/>
      <c r="AM2189" s="16"/>
      <c r="AN2189" s="23"/>
      <c r="AO2189" s="23"/>
      <c r="AP2189" s="23"/>
      <c r="AQ2189" s="16"/>
      <c r="AR2189" s="23"/>
      <c r="AS2189" s="23"/>
      <c r="AT2189" s="23"/>
      <c r="AU2189" s="16"/>
      <c r="AV2189" s="23"/>
      <c r="AW2189" s="23"/>
      <c r="AX2189" s="23"/>
      <c r="AY2189" s="16"/>
      <c r="AZ2189" s="23"/>
      <c r="BA2189" s="23"/>
      <c r="BB2189" s="23"/>
      <c r="BC2189" s="16"/>
      <c r="BD2189" s="23"/>
      <c r="BE2189" s="23"/>
      <c r="BF2189" s="23"/>
      <c r="BG2189" s="16"/>
      <c r="BH2189" s="23"/>
      <c r="BI2189" s="23"/>
      <c r="BJ2189" s="23"/>
      <c r="BN2189" s="23"/>
      <c r="BO2189" s="23"/>
      <c r="BP2189" s="16"/>
      <c r="BQ2189" s="16"/>
      <c r="BR2189" s="23"/>
      <c r="BS2189" s="16"/>
      <c r="BT2189" s="16"/>
      <c r="BU2189" s="16"/>
      <c r="BV2189" s="16"/>
      <c r="BW2189" s="16"/>
      <c r="BX2189" s="16"/>
      <c r="BY2189" s="16"/>
    </row>
    <row r="2190">
      <c r="A2190" s="16"/>
      <c r="B2190" s="16"/>
      <c r="C2190" s="22"/>
      <c r="D2190" s="16"/>
      <c r="E2190" s="16"/>
      <c r="F2190" s="16"/>
      <c r="G2190" s="16"/>
      <c r="H2190" s="16"/>
      <c r="I2190" s="23"/>
      <c r="J2190" s="23"/>
      <c r="K2190" s="16"/>
      <c r="L2190" s="23"/>
      <c r="M2190" s="23"/>
      <c r="N2190" s="23"/>
      <c r="O2190" s="16"/>
      <c r="P2190" s="23"/>
      <c r="Q2190" s="23"/>
      <c r="R2190" s="23"/>
      <c r="S2190" s="16"/>
      <c r="T2190" s="23"/>
      <c r="U2190" s="23"/>
      <c r="V2190" s="23"/>
      <c r="W2190" s="16"/>
      <c r="X2190" s="23"/>
      <c r="Y2190" s="23"/>
      <c r="Z2190" s="23"/>
      <c r="AA2190" s="16"/>
      <c r="AB2190" s="23"/>
      <c r="AC2190" s="23"/>
      <c r="AD2190" s="23"/>
      <c r="AE2190" s="16"/>
      <c r="AF2190" s="23"/>
      <c r="AG2190" s="23"/>
      <c r="AH2190" s="23"/>
      <c r="AI2190" s="16"/>
      <c r="AJ2190" s="23"/>
      <c r="AK2190" s="23"/>
      <c r="AL2190" s="23"/>
      <c r="AM2190" s="16"/>
      <c r="AN2190" s="23"/>
      <c r="AO2190" s="23"/>
      <c r="AP2190" s="23"/>
      <c r="AQ2190" s="16"/>
      <c r="AR2190" s="23"/>
      <c r="AS2190" s="23"/>
      <c r="AT2190" s="23"/>
      <c r="AU2190" s="16"/>
      <c r="AV2190" s="23"/>
      <c r="AW2190" s="23"/>
      <c r="AX2190" s="23"/>
      <c r="AY2190" s="16"/>
      <c r="AZ2190" s="23"/>
      <c r="BA2190" s="23"/>
      <c r="BB2190" s="23"/>
      <c r="BC2190" s="16"/>
      <c r="BD2190" s="23"/>
      <c r="BE2190" s="23"/>
      <c r="BF2190" s="23"/>
      <c r="BG2190" s="16"/>
      <c r="BH2190" s="23"/>
      <c r="BI2190" s="23"/>
      <c r="BJ2190" s="23"/>
      <c r="BN2190" s="23"/>
      <c r="BO2190" s="23"/>
      <c r="BP2190" s="16"/>
      <c r="BQ2190" s="16"/>
      <c r="BR2190" s="23"/>
      <c r="BS2190" s="16"/>
      <c r="BT2190" s="16"/>
      <c r="BU2190" s="16"/>
      <c r="BV2190" s="16"/>
      <c r="BW2190" s="16"/>
      <c r="BX2190" s="16"/>
      <c r="BY2190" s="16"/>
    </row>
    <row r="2191">
      <c r="A2191" s="16"/>
      <c r="B2191" s="16"/>
      <c r="C2191" s="22"/>
      <c r="D2191" s="16"/>
      <c r="E2191" s="16"/>
      <c r="F2191" s="16"/>
      <c r="G2191" s="16"/>
      <c r="H2191" s="16"/>
      <c r="I2191" s="23"/>
      <c r="J2191" s="23"/>
      <c r="K2191" s="16"/>
      <c r="L2191" s="23"/>
      <c r="M2191" s="23"/>
      <c r="N2191" s="23"/>
      <c r="O2191" s="16"/>
      <c r="P2191" s="23"/>
      <c r="Q2191" s="23"/>
      <c r="R2191" s="23"/>
      <c r="S2191" s="16"/>
      <c r="T2191" s="23"/>
      <c r="U2191" s="23"/>
      <c r="V2191" s="23"/>
      <c r="W2191" s="16"/>
      <c r="X2191" s="23"/>
      <c r="Y2191" s="23"/>
      <c r="Z2191" s="23"/>
      <c r="AA2191" s="16"/>
      <c r="AB2191" s="23"/>
      <c r="AC2191" s="23"/>
      <c r="AD2191" s="23"/>
      <c r="AE2191" s="16"/>
      <c r="AF2191" s="23"/>
      <c r="AG2191" s="23"/>
      <c r="AH2191" s="23"/>
      <c r="AI2191" s="16"/>
      <c r="AJ2191" s="23"/>
      <c r="AK2191" s="23"/>
      <c r="AL2191" s="23"/>
      <c r="AM2191" s="16"/>
      <c r="AN2191" s="23"/>
      <c r="AO2191" s="23"/>
      <c r="AP2191" s="23"/>
      <c r="AQ2191" s="16"/>
      <c r="AR2191" s="23"/>
      <c r="AS2191" s="23"/>
      <c r="AT2191" s="23"/>
      <c r="AU2191" s="16"/>
      <c r="AV2191" s="23"/>
      <c r="AW2191" s="23"/>
      <c r="AX2191" s="23"/>
      <c r="AY2191" s="16"/>
      <c r="AZ2191" s="23"/>
      <c r="BA2191" s="23"/>
      <c r="BB2191" s="23"/>
      <c r="BC2191" s="16"/>
      <c r="BD2191" s="23"/>
      <c r="BE2191" s="23"/>
      <c r="BF2191" s="23"/>
      <c r="BG2191" s="16"/>
      <c r="BH2191" s="23"/>
      <c r="BI2191" s="23"/>
      <c r="BJ2191" s="23"/>
      <c r="BN2191" s="23"/>
      <c r="BO2191" s="23"/>
      <c r="BP2191" s="16"/>
      <c r="BQ2191" s="16"/>
      <c r="BR2191" s="23"/>
      <c r="BS2191" s="16"/>
      <c r="BT2191" s="16"/>
      <c r="BU2191" s="16"/>
      <c r="BV2191" s="16"/>
      <c r="BW2191" s="16"/>
      <c r="BX2191" s="16"/>
      <c r="BY2191" s="16"/>
    </row>
    <row r="2192">
      <c r="A2192" s="16"/>
      <c r="B2192" s="16"/>
      <c r="C2192" s="22"/>
      <c r="D2192" s="16"/>
      <c r="E2192" s="16"/>
      <c r="F2192" s="16"/>
      <c r="G2192" s="16"/>
      <c r="H2192" s="16"/>
      <c r="I2192" s="23"/>
      <c r="J2192" s="23"/>
      <c r="K2192" s="16"/>
      <c r="L2192" s="23"/>
      <c r="M2192" s="23"/>
      <c r="N2192" s="23"/>
      <c r="O2192" s="16"/>
      <c r="P2192" s="23"/>
      <c r="Q2192" s="23"/>
      <c r="R2192" s="23"/>
      <c r="S2192" s="16"/>
      <c r="T2192" s="23"/>
      <c r="U2192" s="23"/>
      <c r="V2192" s="23"/>
      <c r="W2192" s="16"/>
      <c r="X2192" s="23"/>
      <c r="Y2192" s="23"/>
      <c r="Z2192" s="23"/>
      <c r="AA2192" s="16"/>
      <c r="AB2192" s="23"/>
      <c r="AC2192" s="23"/>
      <c r="AD2192" s="23"/>
      <c r="AE2192" s="16"/>
      <c r="AF2192" s="23"/>
      <c r="AG2192" s="23"/>
      <c r="AH2192" s="23"/>
      <c r="AI2192" s="16"/>
      <c r="AJ2192" s="23"/>
      <c r="AK2192" s="23"/>
      <c r="AL2192" s="23"/>
      <c r="AM2192" s="16"/>
      <c r="AN2192" s="23"/>
      <c r="AO2192" s="23"/>
      <c r="AP2192" s="23"/>
      <c r="AQ2192" s="16"/>
      <c r="AR2192" s="23"/>
      <c r="AS2192" s="23"/>
      <c r="AT2192" s="23"/>
      <c r="AU2192" s="16"/>
      <c r="AV2192" s="23"/>
      <c r="AW2192" s="23"/>
      <c r="AX2192" s="23"/>
      <c r="AY2192" s="16"/>
      <c r="AZ2192" s="23"/>
      <c r="BA2192" s="23"/>
      <c r="BB2192" s="23"/>
      <c r="BC2192" s="16"/>
      <c r="BD2192" s="23"/>
      <c r="BE2192" s="23"/>
      <c r="BF2192" s="23"/>
      <c r="BG2192" s="16"/>
      <c r="BH2192" s="23"/>
      <c r="BI2192" s="23"/>
      <c r="BJ2192" s="23"/>
      <c r="BN2192" s="23"/>
      <c r="BO2192" s="23"/>
      <c r="BP2192" s="16"/>
      <c r="BQ2192" s="16"/>
      <c r="BR2192" s="23"/>
      <c r="BS2192" s="16"/>
      <c r="BT2192" s="16"/>
      <c r="BU2192" s="16"/>
      <c r="BV2192" s="16"/>
      <c r="BW2192" s="16"/>
      <c r="BX2192" s="16"/>
      <c r="BY2192" s="16"/>
    </row>
    <row r="2193">
      <c r="A2193" s="16"/>
      <c r="B2193" s="16"/>
      <c r="C2193" s="22"/>
      <c r="D2193" s="16"/>
      <c r="E2193" s="16"/>
      <c r="F2193" s="16"/>
      <c r="G2193" s="16"/>
      <c r="H2193" s="16"/>
      <c r="I2193" s="23"/>
      <c r="J2193" s="23"/>
      <c r="K2193" s="16"/>
      <c r="L2193" s="23"/>
      <c r="M2193" s="23"/>
      <c r="N2193" s="23"/>
      <c r="O2193" s="16"/>
      <c r="P2193" s="23"/>
      <c r="Q2193" s="23"/>
      <c r="R2193" s="23"/>
      <c r="S2193" s="16"/>
      <c r="T2193" s="23"/>
      <c r="U2193" s="23"/>
      <c r="V2193" s="23"/>
      <c r="W2193" s="16"/>
      <c r="X2193" s="23"/>
      <c r="Y2193" s="23"/>
      <c r="Z2193" s="23"/>
      <c r="AA2193" s="16"/>
      <c r="AB2193" s="23"/>
      <c r="AC2193" s="23"/>
      <c r="AD2193" s="23"/>
      <c r="AE2193" s="16"/>
      <c r="AF2193" s="23"/>
      <c r="AG2193" s="23"/>
      <c r="AH2193" s="23"/>
      <c r="AI2193" s="16"/>
      <c r="AJ2193" s="23"/>
      <c r="AK2193" s="23"/>
      <c r="AL2193" s="23"/>
      <c r="AM2193" s="16"/>
      <c r="AN2193" s="23"/>
      <c r="AO2193" s="23"/>
      <c r="AP2193" s="23"/>
      <c r="AQ2193" s="16"/>
      <c r="AR2193" s="23"/>
      <c r="AS2193" s="23"/>
      <c r="AT2193" s="23"/>
      <c r="AU2193" s="16"/>
      <c r="AV2193" s="23"/>
      <c r="AW2193" s="23"/>
      <c r="AX2193" s="23"/>
      <c r="AY2193" s="16"/>
      <c r="AZ2193" s="23"/>
      <c r="BA2193" s="23"/>
      <c r="BB2193" s="23"/>
      <c r="BC2193" s="16"/>
      <c r="BD2193" s="23"/>
      <c r="BE2193" s="23"/>
      <c r="BF2193" s="23"/>
      <c r="BG2193" s="16"/>
      <c r="BH2193" s="23"/>
      <c r="BI2193" s="23"/>
      <c r="BJ2193" s="23"/>
      <c r="BN2193" s="23"/>
      <c r="BO2193" s="23"/>
      <c r="BP2193" s="16"/>
      <c r="BQ2193" s="16"/>
      <c r="BR2193" s="23"/>
      <c r="BS2193" s="16"/>
      <c r="BT2193" s="16"/>
      <c r="BU2193" s="16"/>
      <c r="BV2193" s="16"/>
      <c r="BW2193" s="16"/>
      <c r="BX2193" s="16"/>
      <c r="BY2193" s="16"/>
    </row>
    <row r="2194">
      <c r="A2194" s="16"/>
      <c r="B2194" s="16"/>
      <c r="C2194" s="22"/>
      <c r="D2194" s="16"/>
      <c r="E2194" s="16"/>
      <c r="F2194" s="16"/>
      <c r="G2194" s="16"/>
      <c r="H2194" s="16"/>
      <c r="I2194" s="23"/>
      <c r="J2194" s="23"/>
      <c r="K2194" s="16"/>
      <c r="L2194" s="23"/>
      <c r="M2194" s="23"/>
      <c r="N2194" s="23"/>
      <c r="O2194" s="16"/>
      <c r="P2194" s="23"/>
      <c r="Q2194" s="23"/>
      <c r="R2194" s="23"/>
      <c r="S2194" s="16"/>
      <c r="T2194" s="23"/>
      <c r="U2194" s="23"/>
      <c r="V2194" s="23"/>
      <c r="W2194" s="16"/>
      <c r="X2194" s="23"/>
      <c r="Y2194" s="23"/>
      <c r="Z2194" s="23"/>
      <c r="AA2194" s="16"/>
      <c r="AB2194" s="23"/>
      <c r="AC2194" s="23"/>
      <c r="AD2194" s="23"/>
      <c r="AE2194" s="16"/>
      <c r="AF2194" s="23"/>
      <c r="AG2194" s="23"/>
      <c r="AH2194" s="23"/>
      <c r="AI2194" s="16"/>
      <c r="AJ2194" s="23"/>
      <c r="AK2194" s="23"/>
      <c r="AL2194" s="23"/>
      <c r="AM2194" s="16"/>
      <c r="AN2194" s="23"/>
      <c r="AO2194" s="23"/>
      <c r="AP2194" s="23"/>
      <c r="AQ2194" s="16"/>
      <c r="AR2194" s="23"/>
      <c r="AS2194" s="23"/>
      <c r="AT2194" s="23"/>
      <c r="AU2194" s="16"/>
      <c r="AV2194" s="23"/>
      <c r="AW2194" s="23"/>
      <c r="AX2194" s="23"/>
      <c r="AY2194" s="16"/>
      <c r="AZ2194" s="23"/>
      <c r="BA2194" s="23"/>
      <c r="BB2194" s="23"/>
      <c r="BC2194" s="16"/>
      <c r="BD2194" s="23"/>
      <c r="BE2194" s="23"/>
      <c r="BF2194" s="23"/>
      <c r="BG2194" s="16"/>
      <c r="BH2194" s="23"/>
      <c r="BI2194" s="23"/>
      <c r="BJ2194" s="23"/>
      <c r="BN2194" s="23"/>
      <c r="BO2194" s="23"/>
      <c r="BP2194" s="16"/>
      <c r="BQ2194" s="16"/>
      <c r="BR2194" s="23"/>
      <c r="BS2194" s="16"/>
      <c r="BT2194" s="16"/>
      <c r="BU2194" s="16"/>
      <c r="BV2194" s="16"/>
      <c r="BW2194" s="16"/>
      <c r="BX2194" s="16"/>
      <c r="BY2194" s="16"/>
    </row>
    <row r="2195">
      <c r="A2195" s="16"/>
      <c r="B2195" s="16"/>
      <c r="C2195" s="22"/>
      <c r="D2195" s="16"/>
      <c r="E2195" s="16"/>
      <c r="F2195" s="16"/>
      <c r="G2195" s="16"/>
      <c r="H2195" s="16"/>
      <c r="I2195" s="23"/>
      <c r="J2195" s="23"/>
      <c r="K2195" s="16"/>
      <c r="L2195" s="23"/>
      <c r="M2195" s="23"/>
      <c r="N2195" s="23"/>
      <c r="O2195" s="16"/>
      <c r="P2195" s="23"/>
      <c r="Q2195" s="23"/>
      <c r="R2195" s="23"/>
      <c r="S2195" s="16"/>
      <c r="T2195" s="23"/>
      <c r="U2195" s="23"/>
      <c r="V2195" s="23"/>
      <c r="W2195" s="16"/>
      <c r="X2195" s="23"/>
      <c r="Y2195" s="23"/>
      <c r="Z2195" s="23"/>
      <c r="AA2195" s="16"/>
      <c r="AB2195" s="23"/>
      <c r="AC2195" s="23"/>
      <c r="AD2195" s="23"/>
      <c r="AE2195" s="16"/>
      <c r="AF2195" s="23"/>
      <c r="AG2195" s="23"/>
      <c r="AH2195" s="23"/>
      <c r="AI2195" s="16"/>
      <c r="AJ2195" s="23"/>
      <c r="AK2195" s="23"/>
      <c r="AL2195" s="23"/>
      <c r="AM2195" s="16"/>
      <c r="AN2195" s="23"/>
      <c r="AO2195" s="23"/>
      <c r="AP2195" s="23"/>
      <c r="AQ2195" s="16"/>
      <c r="AR2195" s="23"/>
      <c r="AS2195" s="23"/>
      <c r="AT2195" s="23"/>
      <c r="AU2195" s="16"/>
      <c r="AV2195" s="23"/>
      <c r="AW2195" s="23"/>
      <c r="AX2195" s="23"/>
      <c r="AY2195" s="16"/>
      <c r="AZ2195" s="23"/>
      <c r="BA2195" s="23"/>
      <c r="BB2195" s="23"/>
      <c r="BC2195" s="16"/>
      <c r="BD2195" s="23"/>
      <c r="BE2195" s="23"/>
      <c r="BF2195" s="23"/>
      <c r="BG2195" s="16"/>
      <c r="BH2195" s="23"/>
      <c r="BI2195" s="23"/>
      <c r="BJ2195" s="23"/>
      <c r="BN2195" s="23"/>
      <c r="BO2195" s="23"/>
      <c r="BP2195" s="16"/>
      <c r="BQ2195" s="16"/>
      <c r="BR2195" s="23"/>
      <c r="BS2195" s="16"/>
      <c r="BT2195" s="16"/>
      <c r="BU2195" s="16"/>
      <c r="BV2195" s="16"/>
      <c r="BW2195" s="16"/>
      <c r="BX2195" s="16"/>
      <c r="BY2195" s="16"/>
    </row>
    <row r="2196">
      <c r="A2196" s="16"/>
      <c r="B2196" s="16"/>
      <c r="C2196" s="22"/>
      <c r="D2196" s="16"/>
      <c r="E2196" s="16"/>
      <c r="F2196" s="16"/>
      <c r="G2196" s="16"/>
      <c r="H2196" s="16"/>
      <c r="I2196" s="23"/>
      <c r="J2196" s="23"/>
      <c r="K2196" s="16"/>
      <c r="L2196" s="23"/>
      <c r="M2196" s="23"/>
      <c r="N2196" s="23"/>
      <c r="O2196" s="16"/>
      <c r="P2196" s="23"/>
      <c r="Q2196" s="23"/>
      <c r="R2196" s="23"/>
      <c r="S2196" s="16"/>
      <c r="T2196" s="23"/>
      <c r="U2196" s="23"/>
      <c r="V2196" s="23"/>
      <c r="W2196" s="16"/>
      <c r="X2196" s="23"/>
      <c r="Y2196" s="23"/>
      <c r="Z2196" s="23"/>
      <c r="AA2196" s="16"/>
      <c r="AB2196" s="23"/>
      <c r="AC2196" s="23"/>
      <c r="AD2196" s="23"/>
      <c r="AE2196" s="16"/>
      <c r="AF2196" s="23"/>
      <c r="AG2196" s="23"/>
      <c r="AH2196" s="23"/>
      <c r="AI2196" s="16"/>
      <c r="AJ2196" s="23"/>
      <c r="AK2196" s="23"/>
      <c r="AL2196" s="23"/>
      <c r="AM2196" s="16"/>
      <c r="AN2196" s="23"/>
      <c r="AO2196" s="23"/>
      <c r="AP2196" s="23"/>
      <c r="AQ2196" s="16"/>
      <c r="AR2196" s="23"/>
      <c r="AS2196" s="23"/>
      <c r="AT2196" s="23"/>
      <c r="AU2196" s="16"/>
      <c r="AV2196" s="23"/>
      <c r="AW2196" s="23"/>
      <c r="AX2196" s="23"/>
      <c r="AY2196" s="16"/>
      <c r="AZ2196" s="23"/>
      <c r="BA2196" s="23"/>
      <c r="BB2196" s="23"/>
      <c r="BC2196" s="16"/>
      <c r="BD2196" s="23"/>
      <c r="BE2196" s="23"/>
      <c r="BF2196" s="23"/>
      <c r="BG2196" s="16"/>
      <c r="BH2196" s="23"/>
      <c r="BI2196" s="23"/>
      <c r="BJ2196" s="23"/>
      <c r="BN2196" s="23"/>
      <c r="BO2196" s="23"/>
      <c r="BP2196" s="16"/>
      <c r="BQ2196" s="16"/>
      <c r="BR2196" s="23"/>
      <c r="BS2196" s="16"/>
      <c r="BT2196" s="16"/>
      <c r="BU2196" s="16"/>
      <c r="BV2196" s="16"/>
      <c r="BW2196" s="16"/>
      <c r="BX2196" s="16"/>
      <c r="BY2196" s="16"/>
    </row>
    <row r="2197">
      <c r="A2197" s="16"/>
      <c r="B2197" s="16"/>
      <c r="C2197" s="22"/>
      <c r="D2197" s="16"/>
      <c r="E2197" s="16"/>
      <c r="F2197" s="16"/>
      <c r="G2197" s="16"/>
      <c r="H2197" s="16"/>
      <c r="I2197" s="23"/>
      <c r="J2197" s="23"/>
      <c r="K2197" s="16"/>
      <c r="L2197" s="23"/>
      <c r="M2197" s="23"/>
      <c r="N2197" s="23"/>
      <c r="O2197" s="16"/>
      <c r="P2197" s="23"/>
      <c r="Q2197" s="23"/>
      <c r="R2197" s="23"/>
      <c r="S2197" s="16"/>
      <c r="T2197" s="23"/>
      <c r="U2197" s="23"/>
      <c r="V2197" s="23"/>
      <c r="W2197" s="16"/>
      <c r="X2197" s="23"/>
      <c r="Y2197" s="23"/>
      <c r="Z2197" s="23"/>
      <c r="AA2197" s="16"/>
      <c r="AB2197" s="23"/>
      <c r="AC2197" s="23"/>
      <c r="AD2197" s="23"/>
      <c r="AE2197" s="16"/>
      <c r="AF2197" s="23"/>
      <c r="AG2197" s="23"/>
      <c r="AH2197" s="23"/>
      <c r="AI2197" s="16"/>
      <c r="AJ2197" s="23"/>
      <c r="AK2197" s="23"/>
      <c r="AL2197" s="23"/>
      <c r="AM2197" s="16"/>
      <c r="AN2197" s="23"/>
      <c r="AO2197" s="23"/>
      <c r="AP2197" s="23"/>
      <c r="AQ2197" s="16"/>
      <c r="AR2197" s="23"/>
      <c r="AS2197" s="23"/>
      <c r="AT2197" s="23"/>
      <c r="AU2197" s="16"/>
      <c r="AV2197" s="23"/>
      <c r="AW2197" s="23"/>
      <c r="AX2197" s="23"/>
      <c r="AY2197" s="16"/>
      <c r="AZ2197" s="23"/>
      <c r="BA2197" s="23"/>
      <c r="BB2197" s="23"/>
      <c r="BC2197" s="16"/>
      <c r="BD2197" s="23"/>
      <c r="BE2197" s="23"/>
      <c r="BF2197" s="23"/>
      <c r="BG2197" s="16"/>
      <c r="BH2197" s="23"/>
      <c r="BI2197" s="23"/>
      <c r="BJ2197" s="23"/>
      <c r="BN2197" s="23"/>
      <c r="BO2197" s="23"/>
      <c r="BP2197" s="16"/>
      <c r="BQ2197" s="16"/>
      <c r="BR2197" s="23"/>
      <c r="BS2197" s="16"/>
      <c r="BT2197" s="16"/>
      <c r="BU2197" s="16"/>
      <c r="BV2197" s="16"/>
      <c r="BW2197" s="16"/>
      <c r="BX2197" s="16"/>
      <c r="BY2197" s="16"/>
    </row>
    <row r="2198">
      <c r="A2198" s="16"/>
      <c r="B2198" s="16"/>
      <c r="C2198" s="22"/>
      <c r="D2198" s="16"/>
      <c r="E2198" s="16"/>
      <c r="F2198" s="16"/>
      <c r="G2198" s="16"/>
      <c r="H2198" s="16"/>
      <c r="I2198" s="23"/>
      <c r="J2198" s="23"/>
      <c r="K2198" s="16"/>
      <c r="L2198" s="23"/>
      <c r="M2198" s="23"/>
      <c r="N2198" s="23"/>
      <c r="O2198" s="16"/>
      <c r="P2198" s="23"/>
      <c r="Q2198" s="23"/>
      <c r="R2198" s="23"/>
      <c r="S2198" s="16"/>
      <c r="T2198" s="23"/>
      <c r="U2198" s="23"/>
      <c r="V2198" s="23"/>
      <c r="W2198" s="16"/>
      <c r="X2198" s="23"/>
      <c r="Y2198" s="23"/>
      <c r="Z2198" s="23"/>
      <c r="AA2198" s="16"/>
      <c r="AB2198" s="23"/>
      <c r="AC2198" s="23"/>
      <c r="AD2198" s="23"/>
      <c r="AE2198" s="16"/>
      <c r="AF2198" s="23"/>
      <c r="AG2198" s="23"/>
      <c r="AH2198" s="23"/>
      <c r="AI2198" s="16"/>
      <c r="AJ2198" s="23"/>
      <c r="AK2198" s="23"/>
      <c r="AL2198" s="23"/>
      <c r="AM2198" s="16"/>
      <c r="AN2198" s="23"/>
      <c r="AO2198" s="23"/>
      <c r="AP2198" s="23"/>
      <c r="AQ2198" s="16"/>
      <c r="AR2198" s="23"/>
      <c r="AS2198" s="23"/>
      <c r="AT2198" s="23"/>
      <c r="AU2198" s="16"/>
      <c r="AV2198" s="23"/>
      <c r="AW2198" s="23"/>
      <c r="AX2198" s="23"/>
      <c r="AY2198" s="16"/>
      <c r="AZ2198" s="23"/>
      <c r="BA2198" s="23"/>
      <c r="BB2198" s="23"/>
      <c r="BC2198" s="16"/>
      <c r="BD2198" s="23"/>
      <c r="BE2198" s="23"/>
      <c r="BF2198" s="23"/>
      <c r="BG2198" s="16"/>
      <c r="BH2198" s="23"/>
      <c r="BI2198" s="23"/>
      <c r="BJ2198" s="23"/>
      <c r="BN2198" s="23"/>
      <c r="BO2198" s="23"/>
      <c r="BP2198" s="16"/>
      <c r="BQ2198" s="16"/>
      <c r="BR2198" s="23"/>
      <c r="BS2198" s="16"/>
      <c r="BT2198" s="16"/>
      <c r="BU2198" s="16"/>
      <c r="BV2198" s="16"/>
      <c r="BW2198" s="16"/>
      <c r="BX2198" s="16"/>
      <c r="BY2198" s="16"/>
    </row>
    <row r="2199">
      <c r="A2199" s="16"/>
      <c r="B2199" s="16"/>
      <c r="C2199" s="22"/>
      <c r="D2199" s="16"/>
      <c r="E2199" s="16"/>
      <c r="F2199" s="16"/>
      <c r="G2199" s="16"/>
      <c r="H2199" s="16"/>
      <c r="I2199" s="23"/>
      <c r="J2199" s="23"/>
      <c r="K2199" s="16"/>
      <c r="L2199" s="23"/>
      <c r="M2199" s="23"/>
      <c r="N2199" s="23"/>
      <c r="O2199" s="16"/>
      <c r="P2199" s="23"/>
      <c r="Q2199" s="23"/>
      <c r="R2199" s="23"/>
      <c r="S2199" s="16"/>
      <c r="T2199" s="23"/>
      <c r="U2199" s="23"/>
      <c r="V2199" s="23"/>
      <c r="W2199" s="16"/>
      <c r="X2199" s="23"/>
      <c r="Y2199" s="23"/>
      <c r="Z2199" s="23"/>
      <c r="AA2199" s="16"/>
      <c r="AB2199" s="23"/>
      <c r="AC2199" s="23"/>
      <c r="AD2199" s="23"/>
      <c r="AE2199" s="16"/>
      <c r="AF2199" s="23"/>
      <c r="AG2199" s="23"/>
      <c r="AH2199" s="23"/>
      <c r="AI2199" s="16"/>
      <c r="AJ2199" s="23"/>
      <c r="AK2199" s="23"/>
      <c r="AL2199" s="23"/>
      <c r="AM2199" s="16"/>
      <c r="AN2199" s="23"/>
      <c r="AO2199" s="23"/>
      <c r="AP2199" s="23"/>
      <c r="AQ2199" s="16"/>
      <c r="AR2199" s="23"/>
      <c r="AS2199" s="23"/>
      <c r="AT2199" s="23"/>
      <c r="AU2199" s="16"/>
      <c r="AV2199" s="23"/>
      <c r="AW2199" s="23"/>
      <c r="AX2199" s="23"/>
      <c r="AY2199" s="16"/>
      <c r="AZ2199" s="23"/>
      <c r="BA2199" s="23"/>
      <c r="BB2199" s="23"/>
      <c r="BC2199" s="16"/>
      <c r="BD2199" s="23"/>
      <c r="BE2199" s="23"/>
      <c r="BF2199" s="23"/>
      <c r="BG2199" s="16"/>
      <c r="BH2199" s="23"/>
      <c r="BI2199" s="23"/>
      <c r="BJ2199" s="23"/>
      <c r="BN2199" s="23"/>
      <c r="BO2199" s="23"/>
      <c r="BP2199" s="16"/>
      <c r="BQ2199" s="16"/>
      <c r="BR2199" s="23"/>
      <c r="BS2199" s="16"/>
      <c r="BT2199" s="16"/>
      <c r="BU2199" s="16"/>
      <c r="BV2199" s="16"/>
      <c r="BW2199" s="16"/>
      <c r="BX2199" s="16"/>
      <c r="BY2199" s="16"/>
    </row>
    <row r="2200">
      <c r="A2200" s="16"/>
      <c r="B2200" s="16"/>
      <c r="C2200" s="22"/>
      <c r="D2200" s="16"/>
      <c r="E2200" s="16"/>
      <c r="F2200" s="16"/>
      <c r="G2200" s="16"/>
      <c r="H2200" s="16"/>
      <c r="I2200" s="23"/>
      <c r="J2200" s="23"/>
      <c r="K2200" s="16"/>
      <c r="L2200" s="23"/>
      <c r="M2200" s="23"/>
      <c r="N2200" s="23"/>
      <c r="O2200" s="16"/>
      <c r="P2200" s="23"/>
      <c r="Q2200" s="23"/>
      <c r="R2200" s="23"/>
      <c r="S2200" s="16"/>
      <c r="T2200" s="23"/>
      <c r="U2200" s="23"/>
      <c r="V2200" s="23"/>
      <c r="W2200" s="16"/>
      <c r="X2200" s="23"/>
      <c r="Y2200" s="23"/>
      <c r="Z2200" s="23"/>
      <c r="AA2200" s="16"/>
      <c r="AB2200" s="23"/>
      <c r="AC2200" s="23"/>
      <c r="AD2200" s="23"/>
      <c r="AE2200" s="16"/>
      <c r="AF2200" s="23"/>
      <c r="AG2200" s="23"/>
      <c r="AH2200" s="23"/>
      <c r="AI2200" s="16"/>
      <c r="AJ2200" s="23"/>
      <c r="AK2200" s="23"/>
      <c r="AL2200" s="23"/>
      <c r="AM2200" s="16"/>
      <c r="AN2200" s="23"/>
      <c r="AO2200" s="23"/>
      <c r="AP2200" s="23"/>
      <c r="AQ2200" s="16"/>
      <c r="AR2200" s="23"/>
      <c r="AS2200" s="23"/>
      <c r="AT2200" s="23"/>
      <c r="AU2200" s="16"/>
      <c r="AV2200" s="23"/>
      <c r="AW2200" s="23"/>
      <c r="AX2200" s="23"/>
      <c r="AY2200" s="16"/>
      <c r="AZ2200" s="23"/>
      <c r="BA2200" s="23"/>
      <c r="BB2200" s="23"/>
      <c r="BC2200" s="16"/>
      <c r="BD2200" s="23"/>
      <c r="BE2200" s="23"/>
      <c r="BF2200" s="23"/>
      <c r="BG2200" s="16"/>
      <c r="BH2200" s="23"/>
      <c r="BI2200" s="23"/>
      <c r="BJ2200" s="23"/>
      <c r="BN2200" s="23"/>
      <c r="BO2200" s="23"/>
      <c r="BP2200" s="16"/>
      <c r="BQ2200" s="16"/>
      <c r="BR2200" s="23"/>
      <c r="BS2200" s="16"/>
      <c r="BT2200" s="16"/>
      <c r="BU2200" s="16"/>
      <c r="BV2200" s="16"/>
      <c r="BW2200" s="16"/>
      <c r="BX2200" s="16"/>
      <c r="BY2200" s="16"/>
    </row>
    <row r="2201">
      <c r="A2201" s="16"/>
      <c r="B2201" s="16"/>
      <c r="C2201" s="22"/>
      <c r="D2201" s="16"/>
      <c r="E2201" s="16"/>
      <c r="F2201" s="16"/>
      <c r="G2201" s="16"/>
      <c r="H2201" s="16"/>
      <c r="I2201" s="23"/>
      <c r="J2201" s="23"/>
      <c r="K2201" s="16"/>
      <c r="L2201" s="23"/>
      <c r="M2201" s="23"/>
      <c r="N2201" s="23"/>
      <c r="O2201" s="16"/>
      <c r="P2201" s="23"/>
      <c r="Q2201" s="23"/>
      <c r="R2201" s="23"/>
      <c r="S2201" s="16"/>
      <c r="T2201" s="23"/>
      <c r="U2201" s="23"/>
      <c r="V2201" s="23"/>
      <c r="W2201" s="16"/>
      <c r="X2201" s="23"/>
      <c r="Y2201" s="23"/>
      <c r="Z2201" s="23"/>
      <c r="AA2201" s="16"/>
      <c r="AB2201" s="23"/>
      <c r="AC2201" s="23"/>
      <c r="AD2201" s="23"/>
      <c r="AE2201" s="16"/>
      <c r="AF2201" s="23"/>
      <c r="AG2201" s="23"/>
      <c r="AH2201" s="23"/>
      <c r="AI2201" s="16"/>
      <c r="AJ2201" s="23"/>
      <c r="AK2201" s="23"/>
      <c r="AL2201" s="23"/>
      <c r="AM2201" s="16"/>
      <c r="AN2201" s="23"/>
      <c r="AO2201" s="23"/>
      <c r="AP2201" s="23"/>
      <c r="AQ2201" s="16"/>
      <c r="AR2201" s="23"/>
      <c r="AS2201" s="23"/>
      <c r="AT2201" s="23"/>
      <c r="AU2201" s="16"/>
      <c r="AV2201" s="23"/>
      <c r="AW2201" s="23"/>
      <c r="AX2201" s="23"/>
      <c r="AY2201" s="16"/>
      <c r="AZ2201" s="23"/>
      <c r="BA2201" s="23"/>
      <c r="BB2201" s="23"/>
      <c r="BC2201" s="16"/>
      <c r="BD2201" s="23"/>
      <c r="BE2201" s="23"/>
      <c r="BF2201" s="23"/>
      <c r="BG2201" s="16"/>
      <c r="BH2201" s="23"/>
      <c r="BI2201" s="23"/>
      <c r="BJ2201" s="23"/>
      <c r="BN2201" s="23"/>
      <c r="BO2201" s="23"/>
      <c r="BP2201" s="16"/>
      <c r="BQ2201" s="16"/>
      <c r="BR2201" s="23"/>
      <c r="BS2201" s="16"/>
      <c r="BT2201" s="16"/>
      <c r="BU2201" s="16"/>
      <c r="BV2201" s="16"/>
      <c r="BW2201" s="16"/>
      <c r="BX2201" s="16"/>
      <c r="BY2201" s="16"/>
    </row>
    <row r="2202">
      <c r="A2202" s="16"/>
      <c r="B2202" s="16"/>
      <c r="C2202" s="22"/>
      <c r="D2202" s="16"/>
      <c r="E2202" s="16"/>
      <c r="F2202" s="16"/>
      <c r="G2202" s="16"/>
      <c r="H2202" s="16"/>
      <c r="I2202" s="23"/>
      <c r="J2202" s="23"/>
      <c r="K2202" s="16"/>
      <c r="L2202" s="23"/>
      <c r="M2202" s="23"/>
      <c r="N2202" s="23"/>
      <c r="O2202" s="16"/>
      <c r="P2202" s="23"/>
      <c r="Q2202" s="23"/>
      <c r="R2202" s="23"/>
      <c r="S2202" s="16"/>
      <c r="T2202" s="23"/>
      <c r="U2202" s="23"/>
      <c r="V2202" s="23"/>
      <c r="W2202" s="16"/>
      <c r="X2202" s="23"/>
      <c r="Y2202" s="23"/>
      <c r="Z2202" s="23"/>
      <c r="AA2202" s="16"/>
      <c r="AB2202" s="23"/>
      <c r="AC2202" s="23"/>
      <c r="AD2202" s="23"/>
      <c r="AE2202" s="16"/>
      <c r="AF2202" s="23"/>
      <c r="AG2202" s="23"/>
      <c r="AH2202" s="23"/>
      <c r="AI2202" s="16"/>
      <c r="AJ2202" s="23"/>
      <c r="AK2202" s="23"/>
      <c r="AL2202" s="23"/>
      <c r="AM2202" s="16"/>
      <c r="AN2202" s="23"/>
      <c r="AO2202" s="23"/>
      <c r="AP2202" s="23"/>
      <c r="AQ2202" s="16"/>
      <c r="AR2202" s="23"/>
      <c r="AS2202" s="23"/>
      <c r="AT2202" s="23"/>
      <c r="AU2202" s="16"/>
      <c r="AV2202" s="23"/>
      <c r="AW2202" s="23"/>
      <c r="AX2202" s="23"/>
      <c r="AY2202" s="16"/>
      <c r="AZ2202" s="23"/>
      <c r="BA2202" s="23"/>
      <c r="BB2202" s="23"/>
      <c r="BC2202" s="16"/>
      <c r="BD2202" s="23"/>
      <c r="BE2202" s="23"/>
      <c r="BF2202" s="23"/>
      <c r="BG2202" s="16"/>
      <c r="BH2202" s="23"/>
      <c r="BI2202" s="23"/>
      <c r="BJ2202" s="23"/>
      <c r="BN2202" s="23"/>
      <c r="BO2202" s="23"/>
      <c r="BP2202" s="16"/>
      <c r="BQ2202" s="16"/>
      <c r="BR2202" s="23"/>
      <c r="BS2202" s="16"/>
      <c r="BT2202" s="16"/>
      <c r="BU2202" s="16"/>
      <c r="BV2202" s="16"/>
      <c r="BW2202" s="16"/>
      <c r="BX2202" s="16"/>
      <c r="BY2202" s="16"/>
    </row>
    <row r="2203">
      <c r="A2203" s="16"/>
      <c r="B2203" s="16"/>
      <c r="C2203" s="22"/>
      <c r="D2203" s="16"/>
      <c r="E2203" s="16"/>
      <c r="F2203" s="16"/>
      <c r="G2203" s="16"/>
      <c r="H2203" s="16"/>
      <c r="I2203" s="23"/>
      <c r="J2203" s="23"/>
      <c r="K2203" s="16"/>
      <c r="L2203" s="23"/>
      <c r="M2203" s="23"/>
      <c r="N2203" s="23"/>
      <c r="O2203" s="16"/>
      <c r="P2203" s="23"/>
      <c r="Q2203" s="23"/>
      <c r="R2203" s="23"/>
      <c r="S2203" s="16"/>
      <c r="T2203" s="23"/>
      <c r="U2203" s="23"/>
      <c r="V2203" s="23"/>
      <c r="W2203" s="16"/>
      <c r="X2203" s="23"/>
      <c r="Y2203" s="23"/>
      <c r="Z2203" s="23"/>
      <c r="AA2203" s="16"/>
      <c r="AB2203" s="23"/>
      <c r="AC2203" s="23"/>
      <c r="AD2203" s="23"/>
      <c r="AE2203" s="16"/>
      <c r="AF2203" s="23"/>
      <c r="AG2203" s="23"/>
      <c r="AH2203" s="23"/>
      <c r="AI2203" s="16"/>
      <c r="AJ2203" s="23"/>
      <c r="AK2203" s="23"/>
      <c r="AL2203" s="23"/>
      <c r="AM2203" s="16"/>
      <c r="AN2203" s="23"/>
      <c r="AO2203" s="23"/>
      <c r="AP2203" s="23"/>
      <c r="AQ2203" s="16"/>
      <c r="AR2203" s="23"/>
      <c r="AS2203" s="23"/>
      <c r="AT2203" s="23"/>
      <c r="AU2203" s="16"/>
      <c r="AV2203" s="23"/>
      <c r="AW2203" s="23"/>
      <c r="AX2203" s="23"/>
      <c r="AY2203" s="16"/>
      <c r="AZ2203" s="23"/>
      <c r="BA2203" s="23"/>
      <c r="BB2203" s="23"/>
      <c r="BC2203" s="16"/>
      <c r="BD2203" s="23"/>
      <c r="BE2203" s="23"/>
      <c r="BF2203" s="23"/>
      <c r="BG2203" s="16"/>
      <c r="BH2203" s="23"/>
      <c r="BI2203" s="23"/>
      <c r="BJ2203" s="23"/>
      <c r="BN2203" s="23"/>
      <c r="BO2203" s="23"/>
      <c r="BP2203" s="16"/>
      <c r="BQ2203" s="16"/>
      <c r="BR2203" s="23"/>
      <c r="BS2203" s="16"/>
      <c r="BT2203" s="16"/>
      <c r="BU2203" s="16"/>
      <c r="BV2203" s="16"/>
      <c r="BW2203" s="16"/>
      <c r="BX2203" s="16"/>
      <c r="BY2203" s="16"/>
    </row>
    <row r="2204">
      <c r="A2204" s="16"/>
      <c r="B2204" s="16"/>
      <c r="C2204" s="22"/>
      <c r="D2204" s="16"/>
      <c r="E2204" s="16"/>
      <c r="F2204" s="16"/>
      <c r="G2204" s="16"/>
      <c r="H2204" s="16"/>
      <c r="I2204" s="23"/>
      <c r="J2204" s="23"/>
      <c r="K2204" s="16"/>
      <c r="L2204" s="23"/>
      <c r="M2204" s="23"/>
      <c r="N2204" s="23"/>
      <c r="O2204" s="16"/>
      <c r="P2204" s="23"/>
      <c r="Q2204" s="23"/>
      <c r="R2204" s="23"/>
      <c r="S2204" s="16"/>
      <c r="T2204" s="23"/>
      <c r="U2204" s="23"/>
      <c r="V2204" s="23"/>
      <c r="W2204" s="16"/>
      <c r="X2204" s="23"/>
      <c r="Y2204" s="23"/>
      <c r="Z2204" s="23"/>
      <c r="AA2204" s="16"/>
      <c r="AB2204" s="23"/>
      <c r="AC2204" s="23"/>
      <c r="AD2204" s="23"/>
      <c r="AE2204" s="16"/>
      <c r="AF2204" s="23"/>
      <c r="AG2204" s="23"/>
      <c r="AH2204" s="23"/>
      <c r="AI2204" s="16"/>
      <c r="AJ2204" s="23"/>
      <c r="AK2204" s="23"/>
      <c r="AL2204" s="23"/>
      <c r="AM2204" s="16"/>
      <c r="AN2204" s="23"/>
      <c r="AO2204" s="23"/>
      <c r="AP2204" s="23"/>
      <c r="AQ2204" s="16"/>
      <c r="AR2204" s="23"/>
      <c r="AS2204" s="23"/>
      <c r="AT2204" s="23"/>
      <c r="AU2204" s="16"/>
      <c r="AV2204" s="23"/>
      <c r="AW2204" s="23"/>
      <c r="AX2204" s="23"/>
      <c r="AY2204" s="16"/>
      <c r="AZ2204" s="23"/>
      <c r="BA2204" s="23"/>
      <c r="BB2204" s="23"/>
      <c r="BC2204" s="16"/>
      <c r="BD2204" s="23"/>
      <c r="BE2204" s="23"/>
      <c r="BF2204" s="23"/>
      <c r="BG2204" s="16"/>
      <c r="BH2204" s="23"/>
      <c r="BI2204" s="23"/>
      <c r="BJ2204" s="23"/>
      <c r="BN2204" s="23"/>
      <c r="BO2204" s="23"/>
      <c r="BP2204" s="16"/>
      <c r="BQ2204" s="16"/>
      <c r="BR2204" s="23"/>
      <c r="BS2204" s="16"/>
      <c r="BT2204" s="16"/>
      <c r="BU2204" s="16"/>
      <c r="BV2204" s="16"/>
      <c r="BW2204" s="16"/>
      <c r="BX2204" s="16"/>
      <c r="BY2204" s="16"/>
    </row>
    <row r="2205">
      <c r="A2205" s="16"/>
      <c r="B2205" s="16"/>
      <c r="C2205" s="22"/>
      <c r="D2205" s="16"/>
      <c r="E2205" s="16"/>
      <c r="F2205" s="16"/>
      <c r="G2205" s="16"/>
      <c r="H2205" s="16"/>
      <c r="I2205" s="23"/>
      <c r="J2205" s="23"/>
      <c r="K2205" s="16"/>
      <c r="L2205" s="23"/>
      <c r="M2205" s="23"/>
      <c r="N2205" s="23"/>
      <c r="O2205" s="16"/>
      <c r="P2205" s="23"/>
      <c r="Q2205" s="23"/>
      <c r="R2205" s="23"/>
      <c r="S2205" s="16"/>
      <c r="T2205" s="23"/>
      <c r="U2205" s="23"/>
      <c r="V2205" s="23"/>
      <c r="W2205" s="16"/>
      <c r="X2205" s="23"/>
      <c r="Y2205" s="23"/>
      <c r="Z2205" s="23"/>
      <c r="AA2205" s="16"/>
      <c r="AB2205" s="23"/>
      <c r="AC2205" s="23"/>
      <c r="AD2205" s="23"/>
      <c r="AE2205" s="16"/>
      <c r="AF2205" s="23"/>
      <c r="AG2205" s="23"/>
      <c r="AH2205" s="23"/>
      <c r="AI2205" s="16"/>
      <c r="AJ2205" s="23"/>
      <c r="AK2205" s="23"/>
      <c r="AL2205" s="23"/>
      <c r="AM2205" s="16"/>
      <c r="AN2205" s="23"/>
      <c r="AO2205" s="23"/>
      <c r="AP2205" s="23"/>
      <c r="AQ2205" s="16"/>
      <c r="AR2205" s="23"/>
      <c r="AS2205" s="23"/>
      <c r="AT2205" s="23"/>
      <c r="AU2205" s="16"/>
      <c r="AV2205" s="23"/>
      <c r="AW2205" s="23"/>
      <c r="AX2205" s="23"/>
      <c r="AY2205" s="16"/>
      <c r="AZ2205" s="23"/>
      <c r="BA2205" s="23"/>
      <c r="BB2205" s="23"/>
      <c r="BC2205" s="16"/>
      <c r="BD2205" s="23"/>
      <c r="BE2205" s="23"/>
      <c r="BF2205" s="23"/>
      <c r="BG2205" s="16"/>
      <c r="BH2205" s="23"/>
      <c r="BI2205" s="23"/>
      <c r="BJ2205" s="23"/>
      <c r="BN2205" s="23"/>
      <c r="BO2205" s="23"/>
      <c r="BP2205" s="16"/>
      <c r="BQ2205" s="16"/>
      <c r="BR2205" s="23"/>
      <c r="BS2205" s="16"/>
      <c r="BT2205" s="16"/>
      <c r="BU2205" s="16"/>
      <c r="BV2205" s="16"/>
      <c r="BW2205" s="16"/>
      <c r="BX2205" s="16"/>
      <c r="BY2205" s="16"/>
    </row>
    <row r="2206">
      <c r="A2206" s="16"/>
      <c r="B2206" s="16"/>
      <c r="C2206" s="22"/>
      <c r="D2206" s="16"/>
      <c r="E2206" s="16"/>
      <c r="F2206" s="16"/>
      <c r="G2206" s="16"/>
      <c r="H2206" s="16"/>
      <c r="I2206" s="23"/>
      <c r="J2206" s="23"/>
      <c r="K2206" s="16"/>
      <c r="L2206" s="23"/>
      <c r="M2206" s="23"/>
      <c r="N2206" s="23"/>
      <c r="O2206" s="16"/>
      <c r="P2206" s="23"/>
      <c r="Q2206" s="23"/>
      <c r="R2206" s="23"/>
      <c r="S2206" s="16"/>
      <c r="T2206" s="23"/>
      <c r="U2206" s="23"/>
      <c r="V2206" s="23"/>
      <c r="W2206" s="16"/>
      <c r="X2206" s="23"/>
      <c r="Y2206" s="23"/>
      <c r="Z2206" s="23"/>
      <c r="AA2206" s="16"/>
      <c r="AB2206" s="23"/>
      <c r="AC2206" s="23"/>
      <c r="AD2206" s="23"/>
      <c r="AE2206" s="16"/>
      <c r="AF2206" s="23"/>
      <c r="AG2206" s="23"/>
      <c r="AH2206" s="23"/>
      <c r="AI2206" s="16"/>
      <c r="AJ2206" s="23"/>
      <c r="AK2206" s="23"/>
      <c r="AL2206" s="23"/>
      <c r="AM2206" s="16"/>
      <c r="AN2206" s="23"/>
      <c r="AO2206" s="23"/>
      <c r="AP2206" s="23"/>
      <c r="AQ2206" s="16"/>
      <c r="AR2206" s="23"/>
      <c r="AS2206" s="23"/>
      <c r="AT2206" s="23"/>
      <c r="AU2206" s="16"/>
      <c r="AV2206" s="23"/>
      <c r="AW2206" s="23"/>
      <c r="AX2206" s="23"/>
      <c r="AY2206" s="16"/>
      <c r="AZ2206" s="23"/>
      <c r="BA2206" s="23"/>
      <c r="BB2206" s="23"/>
      <c r="BC2206" s="16"/>
      <c r="BD2206" s="23"/>
      <c r="BE2206" s="23"/>
      <c r="BF2206" s="23"/>
      <c r="BG2206" s="16"/>
      <c r="BH2206" s="23"/>
      <c r="BI2206" s="23"/>
      <c r="BJ2206" s="23"/>
      <c r="BN2206" s="23"/>
      <c r="BO2206" s="23"/>
      <c r="BP2206" s="16"/>
      <c r="BQ2206" s="16"/>
      <c r="BR2206" s="23"/>
      <c r="BS2206" s="16"/>
      <c r="BT2206" s="16"/>
      <c r="BU2206" s="16"/>
      <c r="BV2206" s="16"/>
      <c r="BW2206" s="16"/>
      <c r="BX2206" s="16"/>
      <c r="BY2206" s="16"/>
    </row>
    <row r="2207">
      <c r="A2207" s="16"/>
      <c r="B2207" s="16"/>
      <c r="C2207" s="22"/>
      <c r="D2207" s="16"/>
      <c r="E2207" s="16"/>
      <c r="F2207" s="16"/>
      <c r="G2207" s="16"/>
      <c r="H2207" s="16"/>
      <c r="I2207" s="23"/>
      <c r="J2207" s="23"/>
      <c r="K2207" s="16"/>
      <c r="L2207" s="23"/>
      <c r="M2207" s="23"/>
      <c r="N2207" s="23"/>
      <c r="O2207" s="16"/>
      <c r="P2207" s="23"/>
      <c r="Q2207" s="23"/>
      <c r="R2207" s="23"/>
      <c r="S2207" s="16"/>
      <c r="T2207" s="23"/>
      <c r="U2207" s="23"/>
      <c r="V2207" s="23"/>
      <c r="W2207" s="16"/>
      <c r="X2207" s="23"/>
      <c r="Y2207" s="23"/>
      <c r="Z2207" s="23"/>
      <c r="AA2207" s="16"/>
      <c r="AB2207" s="23"/>
      <c r="AC2207" s="23"/>
      <c r="AD2207" s="23"/>
      <c r="AE2207" s="16"/>
      <c r="AF2207" s="23"/>
      <c r="AG2207" s="23"/>
      <c r="AH2207" s="23"/>
      <c r="AI2207" s="16"/>
      <c r="AJ2207" s="23"/>
      <c r="AK2207" s="23"/>
      <c r="AL2207" s="23"/>
      <c r="AM2207" s="16"/>
      <c r="AN2207" s="23"/>
      <c r="AO2207" s="23"/>
      <c r="AP2207" s="23"/>
      <c r="AQ2207" s="16"/>
      <c r="AR2207" s="23"/>
      <c r="AS2207" s="23"/>
      <c r="AT2207" s="23"/>
      <c r="AU2207" s="16"/>
      <c r="AV2207" s="23"/>
      <c r="AW2207" s="23"/>
      <c r="AX2207" s="23"/>
      <c r="AY2207" s="16"/>
      <c r="AZ2207" s="23"/>
      <c r="BA2207" s="23"/>
      <c r="BB2207" s="23"/>
      <c r="BC2207" s="16"/>
      <c r="BD2207" s="23"/>
      <c r="BE2207" s="23"/>
      <c r="BF2207" s="23"/>
      <c r="BG2207" s="16"/>
      <c r="BH2207" s="23"/>
      <c r="BI2207" s="23"/>
      <c r="BJ2207" s="23"/>
      <c r="BN2207" s="23"/>
      <c r="BO2207" s="23"/>
      <c r="BP2207" s="16"/>
      <c r="BQ2207" s="16"/>
      <c r="BR2207" s="23"/>
      <c r="BS2207" s="16"/>
      <c r="BT2207" s="16"/>
      <c r="BU2207" s="16"/>
      <c r="BV2207" s="16"/>
      <c r="BW2207" s="16"/>
      <c r="BX2207" s="16"/>
      <c r="BY2207" s="16"/>
    </row>
    <row r="2208">
      <c r="A2208" s="16"/>
      <c r="B2208" s="16"/>
      <c r="C2208" s="22"/>
      <c r="D2208" s="16"/>
      <c r="E2208" s="16"/>
      <c r="F2208" s="16"/>
      <c r="G2208" s="16"/>
      <c r="H2208" s="16"/>
      <c r="I2208" s="23"/>
      <c r="J2208" s="23"/>
      <c r="K2208" s="16"/>
      <c r="L2208" s="23"/>
      <c r="M2208" s="23"/>
      <c r="N2208" s="23"/>
      <c r="O2208" s="16"/>
      <c r="P2208" s="23"/>
      <c r="Q2208" s="23"/>
      <c r="R2208" s="23"/>
      <c r="S2208" s="16"/>
      <c r="T2208" s="23"/>
      <c r="U2208" s="23"/>
      <c r="V2208" s="23"/>
      <c r="W2208" s="16"/>
      <c r="X2208" s="23"/>
      <c r="Y2208" s="23"/>
      <c r="Z2208" s="23"/>
      <c r="AA2208" s="16"/>
      <c r="AB2208" s="23"/>
      <c r="AC2208" s="23"/>
      <c r="AD2208" s="23"/>
      <c r="AE2208" s="16"/>
      <c r="AF2208" s="23"/>
      <c r="AG2208" s="23"/>
      <c r="AH2208" s="23"/>
      <c r="AI2208" s="16"/>
      <c r="AJ2208" s="23"/>
      <c r="AK2208" s="23"/>
      <c r="AL2208" s="23"/>
      <c r="AM2208" s="16"/>
      <c r="AN2208" s="23"/>
      <c r="AO2208" s="23"/>
      <c r="AP2208" s="23"/>
      <c r="AQ2208" s="16"/>
      <c r="AR2208" s="23"/>
      <c r="AS2208" s="23"/>
      <c r="AT2208" s="23"/>
      <c r="AU2208" s="16"/>
      <c r="AV2208" s="23"/>
      <c r="AW2208" s="23"/>
      <c r="AX2208" s="23"/>
      <c r="AY2208" s="16"/>
      <c r="AZ2208" s="23"/>
      <c r="BA2208" s="23"/>
      <c r="BB2208" s="23"/>
      <c r="BC2208" s="16"/>
      <c r="BD2208" s="23"/>
      <c r="BE2208" s="23"/>
      <c r="BF2208" s="23"/>
      <c r="BG2208" s="16"/>
      <c r="BH2208" s="23"/>
      <c r="BI2208" s="23"/>
      <c r="BJ2208" s="23"/>
      <c r="BN2208" s="23"/>
      <c r="BO2208" s="23"/>
      <c r="BP2208" s="16"/>
      <c r="BQ2208" s="16"/>
      <c r="BR2208" s="23"/>
      <c r="BS2208" s="16"/>
      <c r="BT2208" s="16"/>
      <c r="BU2208" s="16"/>
      <c r="BV2208" s="16"/>
      <c r="BW2208" s="16"/>
      <c r="BX2208" s="16"/>
      <c r="BY2208" s="16"/>
    </row>
    <row r="2209">
      <c r="A2209" s="16"/>
      <c r="B2209" s="16"/>
      <c r="C2209" s="22"/>
      <c r="D2209" s="16"/>
      <c r="E2209" s="16"/>
      <c r="F2209" s="16"/>
      <c r="G2209" s="16"/>
      <c r="H2209" s="16"/>
      <c r="I2209" s="23"/>
      <c r="J2209" s="23"/>
      <c r="K2209" s="16"/>
      <c r="L2209" s="23"/>
      <c r="M2209" s="23"/>
      <c r="N2209" s="23"/>
      <c r="O2209" s="16"/>
      <c r="P2209" s="23"/>
      <c r="Q2209" s="23"/>
      <c r="R2209" s="23"/>
      <c r="S2209" s="16"/>
      <c r="T2209" s="23"/>
      <c r="U2209" s="23"/>
      <c r="V2209" s="23"/>
      <c r="W2209" s="16"/>
      <c r="X2209" s="23"/>
      <c r="Y2209" s="23"/>
      <c r="Z2209" s="23"/>
      <c r="AA2209" s="16"/>
      <c r="AB2209" s="23"/>
      <c r="AC2209" s="23"/>
      <c r="AD2209" s="23"/>
      <c r="AE2209" s="16"/>
      <c r="AF2209" s="23"/>
      <c r="AG2209" s="23"/>
      <c r="AH2209" s="23"/>
      <c r="AI2209" s="16"/>
      <c r="AJ2209" s="23"/>
      <c r="AK2209" s="23"/>
      <c r="AL2209" s="23"/>
      <c r="AM2209" s="16"/>
      <c r="AN2209" s="23"/>
      <c r="AO2209" s="23"/>
      <c r="AP2209" s="23"/>
      <c r="AQ2209" s="16"/>
      <c r="AR2209" s="23"/>
      <c r="AS2209" s="23"/>
      <c r="AT2209" s="23"/>
      <c r="AU2209" s="16"/>
      <c r="AV2209" s="23"/>
      <c r="AW2209" s="23"/>
      <c r="AX2209" s="23"/>
      <c r="AY2209" s="16"/>
      <c r="AZ2209" s="23"/>
      <c r="BA2209" s="23"/>
      <c r="BB2209" s="23"/>
      <c r="BC2209" s="16"/>
      <c r="BD2209" s="23"/>
      <c r="BE2209" s="23"/>
      <c r="BF2209" s="23"/>
      <c r="BG2209" s="16"/>
      <c r="BH2209" s="23"/>
      <c r="BI2209" s="23"/>
      <c r="BJ2209" s="23"/>
      <c r="BN2209" s="23"/>
      <c r="BO2209" s="23"/>
      <c r="BP2209" s="16"/>
      <c r="BQ2209" s="16"/>
      <c r="BR2209" s="23"/>
      <c r="BS2209" s="16"/>
      <c r="BT2209" s="16"/>
      <c r="BU2209" s="16"/>
      <c r="BV2209" s="16"/>
      <c r="BW2209" s="16"/>
      <c r="BX2209" s="16"/>
      <c r="BY2209" s="16"/>
    </row>
    <row r="2210">
      <c r="A2210" s="16"/>
      <c r="B2210" s="16"/>
      <c r="C2210" s="22"/>
      <c r="D2210" s="16"/>
      <c r="E2210" s="16"/>
      <c r="F2210" s="16"/>
      <c r="G2210" s="16"/>
      <c r="H2210" s="16"/>
      <c r="I2210" s="23"/>
      <c r="J2210" s="23"/>
      <c r="K2210" s="16"/>
      <c r="L2210" s="23"/>
      <c r="M2210" s="23"/>
      <c r="N2210" s="23"/>
      <c r="O2210" s="16"/>
      <c r="P2210" s="23"/>
      <c r="Q2210" s="23"/>
      <c r="R2210" s="23"/>
      <c r="S2210" s="16"/>
      <c r="T2210" s="23"/>
      <c r="U2210" s="23"/>
      <c r="V2210" s="23"/>
      <c r="W2210" s="16"/>
      <c r="X2210" s="23"/>
      <c r="Y2210" s="23"/>
      <c r="Z2210" s="23"/>
      <c r="AA2210" s="16"/>
      <c r="AB2210" s="23"/>
      <c r="AC2210" s="23"/>
      <c r="AD2210" s="23"/>
      <c r="AE2210" s="16"/>
      <c r="AF2210" s="23"/>
      <c r="AG2210" s="23"/>
      <c r="AH2210" s="23"/>
      <c r="AI2210" s="16"/>
      <c r="AJ2210" s="23"/>
      <c r="AK2210" s="23"/>
      <c r="AL2210" s="23"/>
      <c r="AM2210" s="16"/>
      <c r="AN2210" s="23"/>
      <c r="AO2210" s="23"/>
      <c r="AP2210" s="23"/>
      <c r="AQ2210" s="16"/>
      <c r="AR2210" s="23"/>
      <c r="AS2210" s="23"/>
      <c r="AT2210" s="23"/>
      <c r="AU2210" s="16"/>
      <c r="AV2210" s="23"/>
      <c r="AW2210" s="23"/>
      <c r="AX2210" s="23"/>
      <c r="AY2210" s="16"/>
      <c r="AZ2210" s="23"/>
      <c r="BA2210" s="23"/>
      <c r="BB2210" s="23"/>
      <c r="BC2210" s="16"/>
      <c r="BD2210" s="23"/>
      <c r="BE2210" s="23"/>
      <c r="BF2210" s="23"/>
      <c r="BG2210" s="16"/>
      <c r="BH2210" s="23"/>
      <c r="BI2210" s="23"/>
      <c r="BJ2210" s="23"/>
      <c r="BN2210" s="23"/>
      <c r="BO2210" s="23"/>
      <c r="BP2210" s="16"/>
      <c r="BQ2210" s="16"/>
      <c r="BR2210" s="23"/>
      <c r="BS2210" s="16"/>
      <c r="BT2210" s="16"/>
      <c r="BU2210" s="16"/>
      <c r="BV2210" s="16"/>
      <c r="BW2210" s="16"/>
      <c r="BX2210" s="16"/>
      <c r="BY2210" s="16"/>
    </row>
    <row r="2211">
      <c r="A2211" s="16"/>
      <c r="B2211" s="16"/>
      <c r="C2211" s="22"/>
      <c r="D2211" s="16"/>
      <c r="E2211" s="16"/>
      <c r="F2211" s="16"/>
      <c r="G2211" s="16"/>
      <c r="H2211" s="16"/>
      <c r="I2211" s="23"/>
      <c r="J2211" s="23"/>
      <c r="K2211" s="16"/>
      <c r="L2211" s="23"/>
      <c r="M2211" s="23"/>
      <c r="N2211" s="23"/>
      <c r="O2211" s="16"/>
      <c r="P2211" s="23"/>
      <c r="Q2211" s="23"/>
      <c r="R2211" s="23"/>
      <c r="S2211" s="16"/>
      <c r="T2211" s="23"/>
      <c r="U2211" s="23"/>
      <c r="V2211" s="23"/>
      <c r="W2211" s="16"/>
      <c r="X2211" s="23"/>
      <c r="Y2211" s="23"/>
      <c r="Z2211" s="23"/>
      <c r="AA2211" s="16"/>
      <c r="AB2211" s="23"/>
      <c r="AC2211" s="23"/>
      <c r="AD2211" s="23"/>
      <c r="AE2211" s="16"/>
      <c r="AF2211" s="23"/>
      <c r="AG2211" s="23"/>
      <c r="AH2211" s="23"/>
      <c r="AI2211" s="16"/>
      <c r="AJ2211" s="23"/>
      <c r="AK2211" s="23"/>
      <c r="AL2211" s="23"/>
      <c r="AM2211" s="16"/>
      <c r="AN2211" s="23"/>
      <c r="AO2211" s="23"/>
      <c r="AP2211" s="23"/>
      <c r="AQ2211" s="16"/>
      <c r="AR2211" s="23"/>
      <c r="AS2211" s="23"/>
      <c r="AT2211" s="23"/>
      <c r="AU2211" s="16"/>
      <c r="AV2211" s="23"/>
      <c r="AW2211" s="23"/>
      <c r="AX2211" s="23"/>
      <c r="AY2211" s="16"/>
      <c r="AZ2211" s="23"/>
      <c r="BA2211" s="23"/>
      <c r="BB2211" s="23"/>
      <c r="BC2211" s="16"/>
      <c r="BD2211" s="23"/>
      <c r="BE2211" s="23"/>
      <c r="BF2211" s="23"/>
      <c r="BG2211" s="16"/>
      <c r="BH2211" s="23"/>
      <c r="BI2211" s="23"/>
      <c r="BJ2211" s="23"/>
      <c r="BN2211" s="23"/>
      <c r="BO2211" s="23"/>
      <c r="BP2211" s="16"/>
      <c r="BQ2211" s="16"/>
      <c r="BR2211" s="23"/>
      <c r="BS2211" s="16"/>
      <c r="BT2211" s="16"/>
      <c r="BU2211" s="16"/>
      <c r="BV2211" s="16"/>
      <c r="BW2211" s="16"/>
      <c r="BX2211" s="16"/>
      <c r="BY2211" s="16"/>
    </row>
    <row r="2212">
      <c r="A2212" s="16"/>
      <c r="B2212" s="16"/>
      <c r="C2212" s="22"/>
      <c r="D2212" s="16"/>
      <c r="E2212" s="16"/>
      <c r="F2212" s="16"/>
      <c r="G2212" s="16"/>
      <c r="H2212" s="16"/>
      <c r="I2212" s="23"/>
      <c r="J2212" s="23"/>
      <c r="K2212" s="16"/>
      <c r="L2212" s="23"/>
      <c r="M2212" s="23"/>
      <c r="N2212" s="23"/>
      <c r="O2212" s="16"/>
      <c r="P2212" s="23"/>
      <c r="Q2212" s="23"/>
      <c r="R2212" s="23"/>
      <c r="S2212" s="16"/>
      <c r="T2212" s="23"/>
      <c r="U2212" s="23"/>
      <c r="V2212" s="23"/>
      <c r="W2212" s="16"/>
      <c r="X2212" s="23"/>
      <c r="Y2212" s="23"/>
      <c r="Z2212" s="23"/>
      <c r="AA2212" s="16"/>
      <c r="AB2212" s="23"/>
      <c r="AC2212" s="23"/>
      <c r="AD2212" s="23"/>
      <c r="AE2212" s="16"/>
      <c r="AF2212" s="23"/>
      <c r="AG2212" s="23"/>
      <c r="AH2212" s="23"/>
      <c r="AI2212" s="16"/>
      <c r="AJ2212" s="23"/>
      <c r="AK2212" s="23"/>
      <c r="AL2212" s="23"/>
      <c r="AM2212" s="16"/>
      <c r="AN2212" s="23"/>
      <c r="AO2212" s="23"/>
      <c r="AP2212" s="23"/>
      <c r="AQ2212" s="16"/>
      <c r="AR2212" s="23"/>
      <c r="AS2212" s="23"/>
      <c r="AT2212" s="23"/>
      <c r="AU2212" s="16"/>
      <c r="AV2212" s="23"/>
      <c r="AW2212" s="23"/>
      <c r="AX2212" s="23"/>
      <c r="AY2212" s="16"/>
      <c r="AZ2212" s="23"/>
      <c r="BA2212" s="23"/>
      <c r="BB2212" s="23"/>
      <c r="BC2212" s="16"/>
      <c r="BD2212" s="23"/>
      <c r="BE2212" s="23"/>
      <c r="BF2212" s="23"/>
      <c r="BG2212" s="16"/>
      <c r="BH2212" s="23"/>
      <c r="BI2212" s="23"/>
      <c r="BJ2212" s="23"/>
      <c r="BN2212" s="23"/>
      <c r="BO2212" s="23"/>
      <c r="BP2212" s="16"/>
      <c r="BQ2212" s="16"/>
      <c r="BR2212" s="23"/>
      <c r="BS2212" s="16"/>
      <c r="BT2212" s="16"/>
      <c r="BU2212" s="16"/>
      <c r="BV2212" s="16"/>
      <c r="BW2212" s="16"/>
      <c r="BX2212" s="16"/>
      <c r="BY2212" s="16"/>
    </row>
    <row r="2213">
      <c r="A2213" s="16"/>
      <c r="B2213" s="16"/>
      <c r="C2213" s="22"/>
      <c r="D2213" s="16"/>
      <c r="E2213" s="16"/>
      <c r="F2213" s="16"/>
      <c r="G2213" s="16"/>
      <c r="H2213" s="16"/>
      <c r="I2213" s="23"/>
      <c r="J2213" s="23"/>
      <c r="K2213" s="16"/>
      <c r="L2213" s="23"/>
      <c r="M2213" s="23"/>
      <c r="N2213" s="23"/>
      <c r="O2213" s="16"/>
      <c r="P2213" s="23"/>
      <c r="Q2213" s="23"/>
      <c r="R2213" s="23"/>
      <c r="S2213" s="16"/>
      <c r="T2213" s="23"/>
      <c r="U2213" s="23"/>
      <c r="V2213" s="23"/>
      <c r="W2213" s="16"/>
      <c r="X2213" s="23"/>
      <c r="Y2213" s="23"/>
      <c r="Z2213" s="23"/>
      <c r="AA2213" s="16"/>
      <c r="AB2213" s="23"/>
      <c r="AC2213" s="23"/>
      <c r="AD2213" s="23"/>
      <c r="AE2213" s="16"/>
      <c r="AF2213" s="23"/>
      <c r="AG2213" s="23"/>
      <c r="AH2213" s="23"/>
      <c r="AI2213" s="16"/>
      <c r="AJ2213" s="23"/>
      <c r="AK2213" s="23"/>
      <c r="AL2213" s="23"/>
      <c r="AM2213" s="16"/>
      <c r="AN2213" s="23"/>
      <c r="AO2213" s="23"/>
      <c r="AP2213" s="23"/>
      <c r="AQ2213" s="16"/>
      <c r="AR2213" s="23"/>
      <c r="AS2213" s="23"/>
      <c r="AT2213" s="23"/>
      <c r="AU2213" s="16"/>
      <c r="AV2213" s="23"/>
      <c r="AW2213" s="23"/>
      <c r="AX2213" s="23"/>
      <c r="AY2213" s="16"/>
      <c r="AZ2213" s="23"/>
      <c r="BA2213" s="23"/>
      <c r="BB2213" s="23"/>
      <c r="BC2213" s="16"/>
      <c r="BD2213" s="23"/>
      <c r="BE2213" s="23"/>
      <c r="BF2213" s="23"/>
      <c r="BG2213" s="16"/>
      <c r="BH2213" s="23"/>
      <c r="BI2213" s="23"/>
      <c r="BJ2213" s="23"/>
      <c r="BN2213" s="23"/>
      <c r="BO2213" s="23"/>
      <c r="BP2213" s="16"/>
      <c r="BQ2213" s="16"/>
      <c r="BR2213" s="23"/>
      <c r="BS2213" s="16"/>
      <c r="BT2213" s="16"/>
      <c r="BU2213" s="16"/>
      <c r="BV2213" s="16"/>
      <c r="BW2213" s="16"/>
      <c r="BX2213" s="16"/>
      <c r="BY2213" s="16"/>
    </row>
    <row r="2214">
      <c r="A2214" s="16"/>
      <c r="B2214" s="16"/>
      <c r="C2214" s="22"/>
      <c r="D2214" s="16"/>
      <c r="E2214" s="16"/>
      <c r="F2214" s="16"/>
      <c r="G2214" s="16"/>
      <c r="H2214" s="16"/>
      <c r="I2214" s="23"/>
      <c r="J2214" s="23"/>
      <c r="K2214" s="16"/>
      <c r="L2214" s="23"/>
      <c r="M2214" s="23"/>
      <c r="N2214" s="23"/>
      <c r="O2214" s="16"/>
      <c r="P2214" s="23"/>
      <c r="Q2214" s="23"/>
      <c r="R2214" s="23"/>
      <c r="S2214" s="16"/>
      <c r="T2214" s="23"/>
      <c r="U2214" s="23"/>
      <c r="V2214" s="23"/>
      <c r="W2214" s="16"/>
      <c r="X2214" s="23"/>
      <c r="Y2214" s="23"/>
      <c r="Z2214" s="23"/>
      <c r="AA2214" s="16"/>
      <c r="AB2214" s="23"/>
      <c r="AC2214" s="23"/>
      <c r="AD2214" s="23"/>
      <c r="AE2214" s="16"/>
      <c r="AF2214" s="23"/>
      <c r="AG2214" s="23"/>
      <c r="AH2214" s="23"/>
      <c r="AI2214" s="16"/>
      <c r="AJ2214" s="23"/>
      <c r="AK2214" s="23"/>
      <c r="AL2214" s="23"/>
      <c r="AM2214" s="16"/>
      <c r="AN2214" s="23"/>
      <c r="AO2214" s="23"/>
      <c r="AP2214" s="23"/>
      <c r="AQ2214" s="16"/>
      <c r="AR2214" s="23"/>
      <c r="AS2214" s="23"/>
      <c r="AT2214" s="23"/>
      <c r="AU2214" s="16"/>
      <c r="AV2214" s="23"/>
      <c r="AW2214" s="23"/>
      <c r="AX2214" s="23"/>
      <c r="AY2214" s="16"/>
      <c r="AZ2214" s="23"/>
      <c r="BA2214" s="23"/>
      <c r="BB2214" s="23"/>
      <c r="BC2214" s="16"/>
      <c r="BD2214" s="23"/>
      <c r="BE2214" s="23"/>
      <c r="BF2214" s="23"/>
      <c r="BG2214" s="16"/>
      <c r="BH2214" s="23"/>
      <c r="BI2214" s="23"/>
      <c r="BJ2214" s="23"/>
      <c r="BN2214" s="23"/>
      <c r="BO2214" s="23"/>
      <c r="BP2214" s="16"/>
      <c r="BQ2214" s="16"/>
      <c r="BR2214" s="23"/>
      <c r="BS2214" s="16"/>
      <c r="BT2214" s="16"/>
      <c r="BU2214" s="16"/>
      <c r="BV2214" s="16"/>
      <c r="BW2214" s="16"/>
      <c r="BX2214" s="16"/>
      <c r="BY2214" s="16"/>
    </row>
    <row r="2215">
      <c r="A2215" s="16"/>
      <c r="B2215" s="16"/>
      <c r="C2215" s="22"/>
      <c r="D2215" s="16"/>
      <c r="E2215" s="16"/>
      <c r="F2215" s="16"/>
      <c r="G2215" s="16"/>
      <c r="H2215" s="16"/>
      <c r="I2215" s="23"/>
      <c r="J2215" s="23"/>
      <c r="K2215" s="16"/>
      <c r="L2215" s="23"/>
      <c r="M2215" s="23"/>
      <c r="N2215" s="23"/>
      <c r="O2215" s="16"/>
      <c r="P2215" s="23"/>
      <c r="Q2215" s="23"/>
      <c r="R2215" s="23"/>
      <c r="S2215" s="16"/>
      <c r="T2215" s="23"/>
      <c r="U2215" s="23"/>
      <c r="V2215" s="23"/>
      <c r="W2215" s="16"/>
      <c r="X2215" s="23"/>
      <c r="Y2215" s="23"/>
      <c r="Z2215" s="23"/>
      <c r="AA2215" s="16"/>
      <c r="AB2215" s="23"/>
      <c r="AC2215" s="23"/>
      <c r="AD2215" s="23"/>
      <c r="AE2215" s="16"/>
      <c r="AF2215" s="23"/>
      <c r="AG2215" s="23"/>
      <c r="AH2215" s="23"/>
      <c r="AI2215" s="16"/>
      <c r="AJ2215" s="23"/>
      <c r="AK2215" s="23"/>
      <c r="AL2215" s="23"/>
      <c r="AM2215" s="16"/>
      <c r="AN2215" s="23"/>
      <c r="AO2215" s="23"/>
      <c r="AP2215" s="23"/>
      <c r="AQ2215" s="16"/>
      <c r="AR2215" s="23"/>
      <c r="AS2215" s="23"/>
      <c r="AT2215" s="23"/>
      <c r="AU2215" s="16"/>
      <c r="AV2215" s="23"/>
      <c r="AW2215" s="23"/>
      <c r="AX2215" s="23"/>
      <c r="AY2215" s="16"/>
      <c r="AZ2215" s="23"/>
      <c r="BA2215" s="23"/>
      <c r="BB2215" s="23"/>
      <c r="BC2215" s="16"/>
      <c r="BD2215" s="23"/>
      <c r="BE2215" s="23"/>
      <c r="BF2215" s="23"/>
      <c r="BG2215" s="16"/>
      <c r="BH2215" s="23"/>
      <c r="BI2215" s="23"/>
      <c r="BJ2215" s="23"/>
      <c r="BN2215" s="23"/>
      <c r="BO2215" s="23"/>
      <c r="BP2215" s="16"/>
      <c r="BQ2215" s="16"/>
      <c r="BR2215" s="23"/>
      <c r="BS2215" s="16"/>
      <c r="BT2215" s="16"/>
      <c r="BU2215" s="16"/>
      <c r="BV2215" s="16"/>
      <c r="BW2215" s="16"/>
      <c r="BX2215" s="16"/>
      <c r="BY2215" s="16"/>
    </row>
    <row r="2216">
      <c r="A2216" s="16"/>
      <c r="B2216" s="16"/>
      <c r="C2216" s="22"/>
      <c r="D2216" s="16"/>
      <c r="E2216" s="16"/>
      <c r="F2216" s="16"/>
      <c r="G2216" s="16"/>
      <c r="H2216" s="16"/>
      <c r="I2216" s="23"/>
      <c r="J2216" s="23"/>
      <c r="K2216" s="16"/>
      <c r="L2216" s="23"/>
      <c r="M2216" s="23"/>
      <c r="N2216" s="23"/>
      <c r="O2216" s="16"/>
      <c r="P2216" s="23"/>
      <c r="Q2216" s="23"/>
      <c r="R2216" s="23"/>
      <c r="S2216" s="16"/>
      <c r="T2216" s="23"/>
      <c r="U2216" s="23"/>
      <c r="V2216" s="23"/>
      <c r="W2216" s="16"/>
      <c r="X2216" s="23"/>
      <c r="Y2216" s="23"/>
      <c r="Z2216" s="23"/>
      <c r="AA2216" s="16"/>
      <c r="AB2216" s="23"/>
      <c r="AC2216" s="23"/>
      <c r="AD2216" s="23"/>
      <c r="AE2216" s="16"/>
      <c r="AF2216" s="23"/>
      <c r="AG2216" s="23"/>
      <c r="AH2216" s="23"/>
      <c r="AI2216" s="16"/>
      <c r="AJ2216" s="23"/>
      <c r="AK2216" s="23"/>
      <c r="AL2216" s="23"/>
      <c r="AM2216" s="16"/>
      <c r="AN2216" s="23"/>
      <c r="AO2216" s="23"/>
      <c r="AP2216" s="23"/>
      <c r="AQ2216" s="16"/>
      <c r="AR2216" s="23"/>
      <c r="AS2216" s="23"/>
      <c r="AT2216" s="23"/>
      <c r="AU2216" s="16"/>
      <c r="AV2216" s="23"/>
      <c r="AW2216" s="23"/>
      <c r="AX2216" s="23"/>
      <c r="AY2216" s="16"/>
      <c r="AZ2216" s="23"/>
      <c r="BA2216" s="23"/>
      <c r="BB2216" s="23"/>
      <c r="BC2216" s="16"/>
      <c r="BD2216" s="23"/>
      <c r="BE2216" s="23"/>
      <c r="BF2216" s="23"/>
      <c r="BG2216" s="16"/>
      <c r="BH2216" s="23"/>
      <c r="BI2216" s="23"/>
      <c r="BJ2216" s="23"/>
      <c r="BN2216" s="23"/>
      <c r="BO2216" s="23"/>
      <c r="BP2216" s="16"/>
      <c r="BQ2216" s="16"/>
      <c r="BR2216" s="23"/>
      <c r="BS2216" s="16"/>
      <c r="BT2216" s="16"/>
      <c r="BU2216" s="16"/>
      <c r="BV2216" s="16"/>
      <c r="BW2216" s="16"/>
      <c r="BX2216" s="16"/>
      <c r="BY2216" s="16"/>
    </row>
    <row r="2217">
      <c r="A2217" s="16"/>
      <c r="B2217" s="16"/>
      <c r="C2217" s="22"/>
      <c r="D2217" s="16"/>
      <c r="E2217" s="16"/>
      <c r="F2217" s="16"/>
      <c r="G2217" s="16"/>
      <c r="H2217" s="16"/>
      <c r="I2217" s="23"/>
      <c r="J2217" s="23"/>
      <c r="K2217" s="16"/>
      <c r="L2217" s="23"/>
      <c r="M2217" s="23"/>
      <c r="N2217" s="23"/>
      <c r="O2217" s="16"/>
      <c r="P2217" s="23"/>
      <c r="Q2217" s="23"/>
      <c r="R2217" s="23"/>
      <c r="S2217" s="16"/>
      <c r="T2217" s="23"/>
      <c r="U2217" s="23"/>
      <c r="V2217" s="23"/>
      <c r="W2217" s="16"/>
      <c r="X2217" s="23"/>
      <c r="Y2217" s="23"/>
      <c r="Z2217" s="23"/>
      <c r="AA2217" s="16"/>
      <c r="AB2217" s="23"/>
      <c r="AC2217" s="23"/>
      <c r="AD2217" s="23"/>
      <c r="AE2217" s="16"/>
      <c r="AF2217" s="23"/>
      <c r="AG2217" s="23"/>
      <c r="AH2217" s="23"/>
      <c r="AI2217" s="16"/>
      <c r="AJ2217" s="23"/>
      <c r="AK2217" s="23"/>
      <c r="AL2217" s="23"/>
      <c r="AM2217" s="16"/>
      <c r="AN2217" s="23"/>
      <c r="AO2217" s="23"/>
      <c r="AP2217" s="23"/>
      <c r="AQ2217" s="16"/>
      <c r="AR2217" s="23"/>
      <c r="AS2217" s="23"/>
      <c r="AT2217" s="23"/>
      <c r="AU2217" s="16"/>
      <c r="AV2217" s="23"/>
      <c r="AW2217" s="23"/>
      <c r="AX2217" s="23"/>
      <c r="AY2217" s="16"/>
      <c r="AZ2217" s="23"/>
      <c r="BA2217" s="23"/>
      <c r="BB2217" s="23"/>
      <c r="BC2217" s="16"/>
      <c r="BD2217" s="23"/>
      <c r="BE2217" s="23"/>
      <c r="BF2217" s="23"/>
      <c r="BG2217" s="16"/>
      <c r="BH2217" s="23"/>
      <c r="BI2217" s="23"/>
      <c r="BJ2217" s="23"/>
      <c r="BN2217" s="23"/>
      <c r="BO2217" s="23"/>
      <c r="BP2217" s="16"/>
      <c r="BQ2217" s="16"/>
      <c r="BR2217" s="23"/>
      <c r="BS2217" s="16"/>
      <c r="BT2217" s="16"/>
      <c r="BU2217" s="16"/>
      <c r="BV2217" s="16"/>
      <c r="BW2217" s="16"/>
      <c r="BX2217" s="16"/>
      <c r="BY2217" s="16"/>
    </row>
    <row r="2218">
      <c r="A2218" s="16"/>
      <c r="B2218" s="16"/>
      <c r="C2218" s="22"/>
      <c r="D2218" s="16"/>
      <c r="E2218" s="16"/>
      <c r="F2218" s="16"/>
      <c r="G2218" s="16"/>
      <c r="H2218" s="16"/>
      <c r="I2218" s="23"/>
      <c r="J2218" s="23"/>
      <c r="K2218" s="16"/>
      <c r="L2218" s="23"/>
      <c r="M2218" s="23"/>
      <c r="N2218" s="23"/>
      <c r="O2218" s="16"/>
      <c r="P2218" s="23"/>
      <c r="Q2218" s="23"/>
      <c r="R2218" s="23"/>
      <c r="S2218" s="16"/>
      <c r="T2218" s="23"/>
      <c r="U2218" s="23"/>
      <c r="V2218" s="23"/>
      <c r="W2218" s="16"/>
      <c r="X2218" s="23"/>
      <c r="Y2218" s="23"/>
      <c r="Z2218" s="23"/>
      <c r="AA2218" s="16"/>
      <c r="AB2218" s="23"/>
      <c r="AC2218" s="23"/>
      <c r="AD2218" s="23"/>
      <c r="AE2218" s="16"/>
      <c r="AF2218" s="23"/>
      <c r="AG2218" s="23"/>
      <c r="AH2218" s="23"/>
      <c r="AI2218" s="16"/>
      <c r="AJ2218" s="23"/>
      <c r="AK2218" s="23"/>
      <c r="AL2218" s="23"/>
      <c r="AM2218" s="16"/>
      <c r="AN2218" s="23"/>
      <c r="AO2218" s="23"/>
      <c r="AP2218" s="23"/>
      <c r="AQ2218" s="16"/>
      <c r="AR2218" s="23"/>
      <c r="AS2218" s="23"/>
      <c r="AT2218" s="23"/>
      <c r="AU2218" s="16"/>
      <c r="AV2218" s="23"/>
      <c r="AW2218" s="23"/>
      <c r="AX2218" s="23"/>
      <c r="AY2218" s="16"/>
      <c r="AZ2218" s="23"/>
      <c r="BA2218" s="23"/>
      <c r="BB2218" s="23"/>
      <c r="BC2218" s="16"/>
      <c r="BD2218" s="23"/>
      <c r="BE2218" s="23"/>
      <c r="BF2218" s="23"/>
      <c r="BG2218" s="16"/>
      <c r="BH2218" s="23"/>
      <c r="BI2218" s="23"/>
      <c r="BJ2218" s="23"/>
      <c r="BN2218" s="23"/>
      <c r="BO2218" s="23"/>
      <c r="BP2218" s="16"/>
      <c r="BQ2218" s="16"/>
      <c r="BR2218" s="23"/>
      <c r="BS2218" s="16"/>
      <c r="BT2218" s="16"/>
      <c r="BU2218" s="16"/>
      <c r="BV2218" s="16"/>
      <c r="BW2218" s="16"/>
      <c r="BX2218" s="16"/>
      <c r="BY2218" s="16"/>
    </row>
    <row r="2219">
      <c r="A2219" s="16"/>
      <c r="B2219" s="16"/>
      <c r="C2219" s="22"/>
      <c r="D2219" s="16"/>
      <c r="E2219" s="16"/>
      <c r="F2219" s="16"/>
      <c r="G2219" s="16"/>
      <c r="H2219" s="16"/>
      <c r="I2219" s="23"/>
      <c r="J2219" s="23"/>
      <c r="K2219" s="16"/>
      <c r="L2219" s="23"/>
      <c r="M2219" s="23"/>
      <c r="N2219" s="23"/>
      <c r="O2219" s="16"/>
      <c r="P2219" s="23"/>
      <c r="Q2219" s="23"/>
      <c r="R2219" s="23"/>
      <c r="S2219" s="16"/>
      <c r="T2219" s="23"/>
      <c r="U2219" s="23"/>
      <c r="V2219" s="23"/>
      <c r="W2219" s="16"/>
      <c r="X2219" s="23"/>
      <c r="Y2219" s="23"/>
      <c r="Z2219" s="23"/>
      <c r="AA2219" s="16"/>
      <c r="AB2219" s="23"/>
      <c r="AC2219" s="23"/>
      <c r="AD2219" s="23"/>
      <c r="AE2219" s="16"/>
      <c r="AF2219" s="23"/>
      <c r="AG2219" s="23"/>
      <c r="AH2219" s="23"/>
      <c r="AI2219" s="16"/>
      <c r="AJ2219" s="23"/>
      <c r="AK2219" s="23"/>
      <c r="AL2219" s="23"/>
      <c r="AM2219" s="16"/>
      <c r="AN2219" s="23"/>
      <c r="AO2219" s="23"/>
      <c r="AP2219" s="23"/>
      <c r="AQ2219" s="16"/>
      <c r="AR2219" s="23"/>
      <c r="AS2219" s="23"/>
      <c r="AT2219" s="23"/>
      <c r="AU2219" s="16"/>
      <c r="AV2219" s="23"/>
      <c r="AW2219" s="23"/>
      <c r="AX2219" s="23"/>
      <c r="AY2219" s="16"/>
      <c r="AZ2219" s="23"/>
      <c r="BA2219" s="23"/>
      <c r="BB2219" s="23"/>
      <c r="BC2219" s="16"/>
      <c r="BD2219" s="23"/>
      <c r="BE2219" s="23"/>
      <c r="BF2219" s="23"/>
      <c r="BG2219" s="16"/>
      <c r="BH2219" s="23"/>
      <c r="BI2219" s="23"/>
      <c r="BJ2219" s="23"/>
      <c r="BN2219" s="23"/>
      <c r="BO2219" s="23"/>
      <c r="BP2219" s="16"/>
      <c r="BQ2219" s="16"/>
      <c r="BR2219" s="23"/>
      <c r="BS2219" s="16"/>
      <c r="BT2219" s="16"/>
      <c r="BU2219" s="16"/>
      <c r="BV2219" s="16"/>
      <c r="BW2219" s="16"/>
      <c r="BX2219" s="16"/>
      <c r="BY2219" s="16"/>
    </row>
    <row r="2220">
      <c r="A2220" s="16"/>
      <c r="B2220" s="16"/>
      <c r="C2220" s="22"/>
      <c r="D2220" s="16"/>
      <c r="E2220" s="16"/>
      <c r="F2220" s="16"/>
      <c r="G2220" s="16"/>
      <c r="H2220" s="16"/>
      <c r="I2220" s="23"/>
      <c r="J2220" s="23"/>
      <c r="K2220" s="16"/>
      <c r="L2220" s="23"/>
      <c r="M2220" s="23"/>
      <c r="N2220" s="23"/>
      <c r="O2220" s="16"/>
      <c r="P2220" s="23"/>
      <c r="Q2220" s="23"/>
      <c r="R2220" s="23"/>
      <c r="S2220" s="16"/>
      <c r="T2220" s="23"/>
      <c r="U2220" s="23"/>
      <c r="V2220" s="23"/>
      <c r="W2220" s="16"/>
      <c r="X2220" s="23"/>
      <c r="Y2220" s="23"/>
      <c r="Z2220" s="23"/>
      <c r="AA2220" s="16"/>
      <c r="AB2220" s="23"/>
      <c r="AC2220" s="23"/>
      <c r="AD2220" s="23"/>
      <c r="AE2220" s="16"/>
      <c r="AF2220" s="23"/>
      <c r="AG2220" s="23"/>
      <c r="AH2220" s="23"/>
      <c r="AI2220" s="16"/>
      <c r="AJ2220" s="23"/>
      <c r="AK2220" s="23"/>
      <c r="AL2220" s="23"/>
      <c r="AM2220" s="16"/>
      <c r="AN2220" s="23"/>
      <c r="AO2220" s="23"/>
      <c r="AP2220" s="23"/>
      <c r="AQ2220" s="16"/>
      <c r="AR2220" s="23"/>
      <c r="AS2220" s="23"/>
      <c r="AT2220" s="23"/>
      <c r="AU2220" s="16"/>
      <c r="AV2220" s="23"/>
      <c r="AW2220" s="23"/>
      <c r="AX2220" s="23"/>
      <c r="AY2220" s="16"/>
      <c r="AZ2220" s="23"/>
      <c r="BA2220" s="23"/>
      <c r="BB2220" s="23"/>
      <c r="BC2220" s="16"/>
      <c r="BD2220" s="23"/>
      <c r="BE2220" s="23"/>
      <c r="BF2220" s="23"/>
      <c r="BG2220" s="16"/>
      <c r="BH2220" s="23"/>
      <c r="BI2220" s="23"/>
      <c r="BJ2220" s="23"/>
      <c r="BN2220" s="23"/>
      <c r="BO2220" s="23"/>
      <c r="BP2220" s="16"/>
      <c r="BQ2220" s="16"/>
      <c r="BR2220" s="23"/>
      <c r="BS2220" s="16"/>
      <c r="BT2220" s="16"/>
      <c r="BU2220" s="16"/>
      <c r="BV2220" s="16"/>
      <c r="BW2220" s="16"/>
      <c r="BX2220" s="16"/>
      <c r="BY2220" s="16"/>
    </row>
    <row r="2221">
      <c r="A2221" s="16"/>
      <c r="B2221" s="16"/>
      <c r="C2221" s="22"/>
      <c r="D2221" s="16"/>
      <c r="E2221" s="16"/>
      <c r="F2221" s="16"/>
      <c r="G2221" s="16"/>
      <c r="H2221" s="16"/>
      <c r="I2221" s="23"/>
      <c r="J2221" s="23"/>
      <c r="K2221" s="16"/>
      <c r="L2221" s="23"/>
      <c r="M2221" s="23"/>
      <c r="N2221" s="23"/>
      <c r="O2221" s="16"/>
      <c r="P2221" s="23"/>
      <c r="Q2221" s="23"/>
      <c r="R2221" s="23"/>
      <c r="S2221" s="16"/>
      <c r="T2221" s="23"/>
      <c r="U2221" s="23"/>
      <c r="V2221" s="23"/>
      <c r="W2221" s="16"/>
      <c r="X2221" s="23"/>
      <c r="Y2221" s="23"/>
      <c r="Z2221" s="23"/>
      <c r="AA2221" s="16"/>
      <c r="AB2221" s="23"/>
      <c r="AC2221" s="23"/>
      <c r="AD2221" s="23"/>
      <c r="AE2221" s="16"/>
      <c r="AF2221" s="23"/>
      <c r="AG2221" s="23"/>
      <c r="AH2221" s="23"/>
      <c r="AI2221" s="16"/>
      <c r="AJ2221" s="23"/>
      <c r="AK2221" s="23"/>
      <c r="AL2221" s="23"/>
      <c r="AM2221" s="16"/>
      <c r="AN2221" s="23"/>
      <c r="AO2221" s="23"/>
      <c r="AP2221" s="23"/>
      <c r="AQ2221" s="16"/>
      <c r="AR2221" s="23"/>
      <c r="AS2221" s="23"/>
      <c r="AT2221" s="23"/>
      <c r="AU2221" s="16"/>
      <c r="AV2221" s="23"/>
      <c r="AW2221" s="23"/>
      <c r="AX2221" s="23"/>
      <c r="AY2221" s="16"/>
      <c r="AZ2221" s="23"/>
      <c r="BA2221" s="23"/>
      <c r="BB2221" s="23"/>
      <c r="BC2221" s="16"/>
      <c r="BD2221" s="23"/>
      <c r="BE2221" s="23"/>
      <c r="BF2221" s="23"/>
      <c r="BG2221" s="16"/>
      <c r="BH2221" s="23"/>
      <c r="BI2221" s="23"/>
      <c r="BJ2221" s="23"/>
      <c r="BN2221" s="23"/>
      <c r="BO2221" s="23"/>
      <c r="BP2221" s="16"/>
      <c r="BQ2221" s="16"/>
      <c r="BR2221" s="23"/>
      <c r="BS2221" s="16"/>
      <c r="BT2221" s="16"/>
      <c r="BU2221" s="16"/>
      <c r="BV2221" s="16"/>
      <c r="BW2221" s="16"/>
      <c r="BX2221" s="16"/>
      <c r="BY2221" s="16"/>
    </row>
    <row r="2222">
      <c r="A2222" s="16"/>
      <c r="B2222" s="16"/>
      <c r="C2222" s="22"/>
      <c r="D2222" s="16"/>
      <c r="E2222" s="16"/>
      <c r="F2222" s="16"/>
      <c r="G2222" s="16"/>
      <c r="H2222" s="16"/>
      <c r="I2222" s="23"/>
      <c r="J2222" s="23"/>
      <c r="K2222" s="16"/>
      <c r="L2222" s="23"/>
      <c r="M2222" s="23"/>
      <c r="N2222" s="23"/>
      <c r="O2222" s="16"/>
      <c r="P2222" s="23"/>
      <c r="Q2222" s="23"/>
      <c r="R2222" s="23"/>
      <c r="S2222" s="16"/>
      <c r="T2222" s="23"/>
      <c r="U2222" s="23"/>
      <c r="V2222" s="23"/>
      <c r="W2222" s="16"/>
      <c r="X2222" s="23"/>
      <c r="Y2222" s="23"/>
      <c r="Z2222" s="23"/>
      <c r="AA2222" s="16"/>
      <c r="AB2222" s="23"/>
      <c r="AC2222" s="23"/>
      <c r="AD2222" s="23"/>
      <c r="AE2222" s="16"/>
      <c r="AF2222" s="23"/>
      <c r="AG2222" s="23"/>
      <c r="AH2222" s="23"/>
      <c r="AI2222" s="16"/>
      <c r="AJ2222" s="23"/>
      <c r="AK2222" s="23"/>
      <c r="AL2222" s="23"/>
      <c r="AM2222" s="16"/>
      <c r="AN2222" s="23"/>
      <c r="AO2222" s="23"/>
      <c r="AP2222" s="23"/>
      <c r="AQ2222" s="16"/>
      <c r="AR2222" s="23"/>
      <c r="AS2222" s="23"/>
      <c r="AT2222" s="23"/>
      <c r="AU2222" s="16"/>
      <c r="AV2222" s="23"/>
      <c r="AW2222" s="23"/>
      <c r="AX2222" s="23"/>
      <c r="AY2222" s="16"/>
      <c r="AZ2222" s="23"/>
      <c r="BA2222" s="23"/>
      <c r="BB2222" s="23"/>
      <c r="BC2222" s="16"/>
      <c r="BD2222" s="23"/>
      <c r="BE2222" s="23"/>
      <c r="BF2222" s="23"/>
      <c r="BG2222" s="16"/>
      <c r="BH2222" s="23"/>
      <c r="BI2222" s="23"/>
      <c r="BJ2222" s="23"/>
      <c r="BN2222" s="23"/>
      <c r="BO2222" s="23"/>
      <c r="BP2222" s="16"/>
      <c r="BQ2222" s="16"/>
      <c r="BR2222" s="23"/>
      <c r="BS2222" s="16"/>
      <c r="BT2222" s="16"/>
      <c r="BU2222" s="16"/>
      <c r="BV2222" s="16"/>
      <c r="BW2222" s="16"/>
      <c r="BX2222" s="16"/>
      <c r="BY2222" s="16"/>
    </row>
    <row r="2223">
      <c r="A2223" s="16"/>
      <c r="B2223" s="16"/>
      <c r="C2223" s="22"/>
      <c r="D2223" s="16"/>
      <c r="E2223" s="16"/>
      <c r="F2223" s="16"/>
      <c r="G2223" s="16"/>
      <c r="H2223" s="16"/>
      <c r="I2223" s="23"/>
      <c r="J2223" s="23"/>
      <c r="K2223" s="16"/>
      <c r="L2223" s="23"/>
      <c r="M2223" s="23"/>
      <c r="N2223" s="23"/>
      <c r="O2223" s="16"/>
      <c r="P2223" s="23"/>
      <c r="Q2223" s="23"/>
      <c r="R2223" s="23"/>
      <c r="S2223" s="16"/>
      <c r="T2223" s="23"/>
      <c r="U2223" s="23"/>
      <c r="V2223" s="23"/>
      <c r="W2223" s="16"/>
      <c r="X2223" s="23"/>
      <c r="Y2223" s="23"/>
      <c r="Z2223" s="23"/>
      <c r="AA2223" s="16"/>
      <c r="AB2223" s="23"/>
      <c r="AC2223" s="23"/>
      <c r="AD2223" s="23"/>
      <c r="AE2223" s="16"/>
      <c r="AF2223" s="23"/>
      <c r="AG2223" s="23"/>
      <c r="AH2223" s="23"/>
      <c r="AI2223" s="16"/>
      <c r="AJ2223" s="23"/>
      <c r="AK2223" s="23"/>
      <c r="AL2223" s="23"/>
      <c r="AM2223" s="16"/>
      <c r="AN2223" s="23"/>
      <c r="AO2223" s="23"/>
      <c r="AP2223" s="23"/>
      <c r="AQ2223" s="16"/>
      <c r="AR2223" s="23"/>
      <c r="AS2223" s="23"/>
      <c r="AT2223" s="23"/>
      <c r="AU2223" s="16"/>
      <c r="AV2223" s="23"/>
      <c r="AW2223" s="23"/>
      <c r="AX2223" s="23"/>
      <c r="AY2223" s="16"/>
      <c r="AZ2223" s="23"/>
      <c r="BA2223" s="23"/>
      <c r="BB2223" s="23"/>
      <c r="BC2223" s="16"/>
      <c r="BD2223" s="23"/>
      <c r="BE2223" s="23"/>
      <c r="BF2223" s="23"/>
      <c r="BG2223" s="16"/>
      <c r="BH2223" s="23"/>
      <c r="BI2223" s="23"/>
      <c r="BJ2223" s="23"/>
      <c r="BN2223" s="23"/>
      <c r="BO2223" s="23"/>
      <c r="BP2223" s="16"/>
      <c r="BQ2223" s="16"/>
      <c r="BR2223" s="23"/>
      <c r="BS2223" s="16"/>
      <c r="BT2223" s="16"/>
      <c r="BU2223" s="16"/>
      <c r="BV2223" s="16"/>
      <c r="BW2223" s="16"/>
      <c r="BX2223" s="16"/>
      <c r="BY2223" s="16"/>
    </row>
    <row r="2224">
      <c r="A2224" s="16"/>
      <c r="B2224" s="16"/>
      <c r="C2224" s="22"/>
      <c r="D2224" s="16"/>
      <c r="E2224" s="16"/>
      <c r="F2224" s="16"/>
      <c r="G2224" s="16"/>
      <c r="H2224" s="16"/>
      <c r="I2224" s="23"/>
      <c r="J2224" s="23"/>
      <c r="K2224" s="16"/>
      <c r="L2224" s="23"/>
      <c r="M2224" s="23"/>
      <c r="N2224" s="23"/>
      <c r="O2224" s="16"/>
      <c r="P2224" s="23"/>
      <c r="Q2224" s="23"/>
      <c r="R2224" s="23"/>
      <c r="S2224" s="16"/>
      <c r="T2224" s="23"/>
      <c r="U2224" s="23"/>
      <c r="V2224" s="23"/>
      <c r="W2224" s="16"/>
      <c r="X2224" s="23"/>
      <c r="Y2224" s="23"/>
      <c r="Z2224" s="23"/>
      <c r="AA2224" s="16"/>
      <c r="AB2224" s="23"/>
      <c r="AC2224" s="23"/>
      <c r="AD2224" s="23"/>
      <c r="AE2224" s="16"/>
      <c r="AF2224" s="23"/>
      <c r="AG2224" s="23"/>
      <c r="AH2224" s="23"/>
      <c r="AI2224" s="16"/>
      <c r="AJ2224" s="23"/>
      <c r="AK2224" s="23"/>
      <c r="AL2224" s="23"/>
      <c r="AM2224" s="16"/>
      <c r="AN2224" s="23"/>
      <c r="AO2224" s="23"/>
      <c r="AP2224" s="23"/>
      <c r="AQ2224" s="16"/>
      <c r="AR2224" s="23"/>
      <c r="AS2224" s="23"/>
      <c r="AT2224" s="23"/>
      <c r="AU2224" s="16"/>
      <c r="AV2224" s="23"/>
      <c r="AW2224" s="23"/>
      <c r="AX2224" s="23"/>
      <c r="AY2224" s="16"/>
      <c r="AZ2224" s="23"/>
      <c r="BA2224" s="23"/>
      <c r="BB2224" s="23"/>
      <c r="BC2224" s="16"/>
      <c r="BD2224" s="23"/>
      <c r="BE2224" s="23"/>
      <c r="BF2224" s="23"/>
      <c r="BG2224" s="16"/>
      <c r="BH2224" s="23"/>
      <c r="BI2224" s="23"/>
      <c r="BJ2224" s="23"/>
      <c r="BN2224" s="23"/>
      <c r="BO2224" s="23"/>
      <c r="BP2224" s="16"/>
      <c r="BQ2224" s="16"/>
      <c r="BR2224" s="23"/>
      <c r="BS2224" s="16"/>
      <c r="BT2224" s="16"/>
      <c r="BU2224" s="16"/>
      <c r="BV2224" s="16"/>
      <c r="BW2224" s="16"/>
      <c r="BX2224" s="16"/>
      <c r="BY2224" s="16"/>
    </row>
    <row r="2225">
      <c r="A2225" s="16"/>
      <c r="B2225" s="16"/>
      <c r="C2225" s="22"/>
      <c r="D2225" s="16"/>
      <c r="E2225" s="16"/>
      <c r="F2225" s="16"/>
      <c r="G2225" s="16"/>
      <c r="H2225" s="16"/>
      <c r="I2225" s="23"/>
      <c r="J2225" s="23"/>
      <c r="K2225" s="16"/>
      <c r="L2225" s="23"/>
      <c r="M2225" s="23"/>
      <c r="N2225" s="23"/>
      <c r="O2225" s="16"/>
      <c r="P2225" s="23"/>
      <c r="Q2225" s="23"/>
      <c r="R2225" s="23"/>
      <c r="S2225" s="16"/>
      <c r="T2225" s="23"/>
      <c r="U2225" s="23"/>
      <c r="V2225" s="23"/>
      <c r="W2225" s="16"/>
      <c r="X2225" s="23"/>
      <c r="Y2225" s="23"/>
      <c r="Z2225" s="23"/>
      <c r="AA2225" s="16"/>
      <c r="AB2225" s="23"/>
      <c r="AC2225" s="23"/>
      <c r="AD2225" s="23"/>
      <c r="AE2225" s="16"/>
      <c r="AF2225" s="23"/>
      <c r="AG2225" s="23"/>
      <c r="AH2225" s="23"/>
      <c r="AI2225" s="16"/>
      <c r="AJ2225" s="23"/>
      <c r="AK2225" s="23"/>
      <c r="AL2225" s="23"/>
      <c r="AM2225" s="16"/>
      <c r="AN2225" s="23"/>
      <c r="AO2225" s="23"/>
      <c r="AP2225" s="23"/>
      <c r="AQ2225" s="16"/>
      <c r="AR2225" s="23"/>
      <c r="AS2225" s="23"/>
      <c r="AT2225" s="23"/>
      <c r="AU2225" s="16"/>
      <c r="AV2225" s="23"/>
      <c r="AW2225" s="23"/>
      <c r="AX2225" s="23"/>
      <c r="AY2225" s="16"/>
      <c r="AZ2225" s="23"/>
      <c r="BA2225" s="23"/>
      <c r="BB2225" s="23"/>
      <c r="BC2225" s="16"/>
      <c r="BD2225" s="23"/>
      <c r="BE2225" s="23"/>
      <c r="BF2225" s="23"/>
      <c r="BG2225" s="16"/>
      <c r="BH2225" s="23"/>
      <c r="BI2225" s="23"/>
      <c r="BJ2225" s="23"/>
      <c r="BN2225" s="23"/>
      <c r="BO2225" s="23"/>
      <c r="BP2225" s="16"/>
      <c r="BQ2225" s="16"/>
      <c r="BR2225" s="23"/>
      <c r="BS2225" s="16"/>
      <c r="BT2225" s="16"/>
      <c r="BU2225" s="16"/>
      <c r="BV2225" s="16"/>
      <c r="BW2225" s="16"/>
      <c r="BX2225" s="16"/>
      <c r="BY2225" s="16"/>
    </row>
    <row r="2226">
      <c r="A2226" s="16"/>
      <c r="B2226" s="16"/>
      <c r="C2226" s="22"/>
      <c r="D2226" s="16"/>
      <c r="E2226" s="16"/>
      <c r="F2226" s="16"/>
      <c r="G2226" s="16"/>
      <c r="H2226" s="16"/>
      <c r="I2226" s="23"/>
      <c r="J2226" s="23"/>
      <c r="K2226" s="16"/>
      <c r="L2226" s="23"/>
      <c r="M2226" s="23"/>
      <c r="N2226" s="23"/>
      <c r="O2226" s="16"/>
      <c r="P2226" s="23"/>
      <c r="Q2226" s="23"/>
      <c r="R2226" s="23"/>
      <c r="S2226" s="16"/>
      <c r="T2226" s="23"/>
      <c r="U2226" s="23"/>
      <c r="V2226" s="23"/>
      <c r="W2226" s="16"/>
      <c r="X2226" s="23"/>
      <c r="Y2226" s="23"/>
      <c r="Z2226" s="23"/>
      <c r="AA2226" s="16"/>
      <c r="AB2226" s="23"/>
      <c r="AC2226" s="23"/>
      <c r="AD2226" s="23"/>
      <c r="AE2226" s="16"/>
      <c r="AF2226" s="23"/>
      <c r="AG2226" s="23"/>
      <c r="AH2226" s="23"/>
      <c r="AI2226" s="16"/>
      <c r="AJ2226" s="23"/>
      <c r="AK2226" s="23"/>
      <c r="AL2226" s="23"/>
      <c r="AM2226" s="16"/>
      <c r="AN2226" s="23"/>
      <c r="AO2226" s="23"/>
      <c r="AP2226" s="23"/>
      <c r="AQ2226" s="16"/>
      <c r="AR2226" s="23"/>
      <c r="AS2226" s="23"/>
      <c r="AT2226" s="23"/>
      <c r="AU2226" s="16"/>
      <c r="AV2226" s="23"/>
      <c r="AW2226" s="23"/>
      <c r="AX2226" s="23"/>
      <c r="AY2226" s="16"/>
      <c r="AZ2226" s="23"/>
      <c r="BA2226" s="23"/>
      <c r="BB2226" s="23"/>
      <c r="BC2226" s="16"/>
      <c r="BD2226" s="23"/>
      <c r="BE2226" s="23"/>
      <c r="BF2226" s="23"/>
      <c r="BG2226" s="16"/>
      <c r="BH2226" s="23"/>
      <c r="BI2226" s="23"/>
      <c r="BJ2226" s="23"/>
      <c r="BN2226" s="23"/>
      <c r="BO2226" s="23"/>
      <c r="BP2226" s="16"/>
      <c r="BQ2226" s="16"/>
      <c r="BR2226" s="23"/>
      <c r="BS2226" s="16"/>
      <c r="BT2226" s="16"/>
      <c r="BU2226" s="16"/>
      <c r="BV2226" s="16"/>
      <c r="BW2226" s="16"/>
      <c r="BX2226" s="16"/>
      <c r="BY2226" s="16"/>
    </row>
    <row r="2227">
      <c r="A2227" s="16"/>
      <c r="B2227" s="16"/>
      <c r="C2227" s="22"/>
      <c r="D2227" s="16"/>
      <c r="E2227" s="16"/>
      <c r="F2227" s="16"/>
      <c r="G2227" s="16"/>
      <c r="H2227" s="16"/>
      <c r="I2227" s="23"/>
      <c r="J2227" s="23"/>
      <c r="K2227" s="16"/>
      <c r="L2227" s="23"/>
      <c r="M2227" s="23"/>
      <c r="N2227" s="23"/>
      <c r="O2227" s="16"/>
      <c r="P2227" s="23"/>
      <c r="Q2227" s="23"/>
      <c r="R2227" s="23"/>
      <c r="S2227" s="16"/>
      <c r="T2227" s="23"/>
      <c r="U2227" s="23"/>
      <c r="V2227" s="23"/>
      <c r="W2227" s="16"/>
      <c r="X2227" s="23"/>
      <c r="Y2227" s="23"/>
      <c r="Z2227" s="23"/>
      <c r="AA2227" s="16"/>
      <c r="AB2227" s="23"/>
      <c r="AC2227" s="23"/>
      <c r="AD2227" s="23"/>
      <c r="AE2227" s="16"/>
      <c r="AF2227" s="23"/>
      <c r="AG2227" s="23"/>
      <c r="AH2227" s="23"/>
      <c r="AI2227" s="16"/>
      <c r="AJ2227" s="23"/>
      <c r="AK2227" s="23"/>
      <c r="AL2227" s="23"/>
      <c r="AM2227" s="16"/>
      <c r="AN2227" s="23"/>
      <c r="AO2227" s="23"/>
      <c r="AP2227" s="23"/>
      <c r="AQ2227" s="16"/>
      <c r="AR2227" s="23"/>
      <c r="AS2227" s="23"/>
      <c r="AT2227" s="23"/>
      <c r="AU2227" s="16"/>
      <c r="AV2227" s="23"/>
      <c r="AW2227" s="23"/>
      <c r="AX2227" s="23"/>
      <c r="AY2227" s="16"/>
      <c r="AZ2227" s="23"/>
      <c r="BA2227" s="23"/>
      <c r="BB2227" s="23"/>
      <c r="BC2227" s="16"/>
      <c r="BD2227" s="23"/>
      <c r="BE2227" s="23"/>
      <c r="BF2227" s="23"/>
      <c r="BG2227" s="16"/>
      <c r="BH2227" s="23"/>
      <c r="BI2227" s="23"/>
      <c r="BJ2227" s="23"/>
      <c r="BN2227" s="23"/>
      <c r="BO2227" s="23"/>
      <c r="BP2227" s="16"/>
      <c r="BQ2227" s="16"/>
      <c r="BR2227" s="23"/>
      <c r="BS2227" s="16"/>
      <c r="BT2227" s="16"/>
      <c r="BU2227" s="16"/>
      <c r="BV2227" s="16"/>
      <c r="BW2227" s="16"/>
      <c r="BX2227" s="16"/>
      <c r="BY2227" s="16"/>
    </row>
    <row r="2228">
      <c r="A2228" s="16"/>
      <c r="B2228" s="16"/>
      <c r="C2228" s="22"/>
      <c r="D2228" s="16"/>
      <c r="E2228" s="16"/>
      <c r="F2228" s="16"/>
      <c r="G2228" s="16"/>
      <c r="H2228" s="16"/>
      <c r="I2228" s="23"/>
      <c r="J2228" s="23"/>
      <c r="K2228" s="16"/>
      <c r="L2228" s="23"/>
      <c r="M2228" s="23"/>
      <c r="N2228" s="23"/>
      <c r="O2228" s="16"/>
      <c r="P2228" s="23"/>
      <c r="Q2228" s="23"/>
      <c r="R2228" s="23"/>
      <c r="S2228" s="16"/>
      <c r="T2228" s="23"/>
      <c r="U2228" s="23"/>
      <c r="V2228" s="23"/>
      <c r="W2228" s="16"/>
      <c r="X2228" s="23"/>
      <c r="Y2228" s="23"/>
      <c r="Z2228" s="23"/>
      <c r="AA2228" s="16"/>
      <c r="AB2228" s="23"/>
      <c r="AC2228" s="23"/>
      <c r="AD2228" s="23"/>
      <c r="AE2228" s="16"/>
      <c r="AF2228" s="23"/>
      <c r="AG2228" s="23"/>
      <c r="AH2228" s="23"/>
      <c r="AI2228" s="16"/>
      <c r="AJ2228" s="23"/>
      <c r="AK2228" s="23"/>
      <c r="AL2228" s="23"/>
      <c r="AM2228" s="16"/>
      <c r="AN2228" s="23"/>
      <c r="AO2228" s="23"/>
      <c r="AP2228" s="23"/>
      <c r="AQ2228" s="16"/>
      <c r="AR2228" s="23"/>
      <c r="AS2228" s="23"/>
      <c r="AT2228" s="23"/>
      <c r="AU2228" s="16"/>
      <c r="AV2228" s="23"/>
      <c r="AW2228" s="23"/>
      <c r="AX2228" s="23"/>
      <c r="AY2228" s="16"/>
      <c r="AZ2228" s="23"/>
      <c r="BA2228" s="23"/>
      <c r="BB2228" s="23"/>
      <c r="BC2228" s="16"/>
      <c r="BD2228" s="23"/>
      <c r="BE2228" s="23"/>
      <c r="BF2228" s="23"/>
      <c r="BG2228" s="16"/>
      <c r="BH2228" s="23"/>
      <c r="BI2228" s="23"/>
      <c r="BJ2228" s="23"/>
      <c r="BN2228" s="23"/>
      <c r="BO2228" s="23"/>
      <c r="BP2228" s="16"/>
      <c r="BQ2228" s="16"/>
      <c r="BR2228" s="23"/>
      <c r="BS2228" s="16"/>
      <c r="BT2228" s="16"/>
      <c r="BU2228" s="16"/>
      <c r="BV2228" s="16"/>
      <c r="BW2228" s="16"/>
      <c r="BX2228" s="16"/>
      <c r="BY2228" s="16"/>
    </row>
    <row r="2229">
      <c r="A2229" s="16"/>
      <c r="B2229" s="16"/>
      <c r="C2229" s="22"/>
      <c r="D2229" s="16"/>
      <c r="E2229" s="16"/>
      <c r="F2229" s="16"/>
      <c r="G2229" s="16"/>
      <c r="H2229" s="16"/>
      <c r="I2229" s="23"/>
      <c r="J2229" s="23"/>
      <c r="K2229" s="16"/>
      <c r="L2229" s="23"/>
      <c r="M2229" s="23"/>
      <c r="N2229" s="23"/>
      <c r="O2229" s="16"/>
      <c r="P2229" s="23"/>
      <c r="Q2229" s="23"/>
      <c r="R2229" s="23"/>
      <c r="S2229" s="16"/>
      <c r="T2229" s="23"/>
      <c r="U2229" s="23"/>
      <c r="V2229" s="23"/>
      <c r="W2229" s="16"/>
      <c r="X2229" s="23"/>
      <c r="Y2229" s="23"/>
      <c r="Z2229" s="23"/>
      <c r="AA2229" s="16"/>
      <c r="AB2229" s="23"/>
      <c r="AC2229" s="23"/>
      <c r="AD2229" s="23"/>
      <c r="AE2229" s="16"/>
      <c r="AF2229" s="23"/>
      <c r="AG2229" s="23"/>
      <c r="AH2229" s="23"/>
      <c r="AI2229" s="16"/>
      <c r="AJ2229" s="23"/>
      <c r="AK2229" s="23"/>
      <c r="AL2229" s="23"/>
      <c r="AM2229" s="16"/>
      <c r="AN2229" s="23"/>
      <c r="AO2229" s="23"/>
      <c r="AP2229" s="23"/>
      <c r="AQ2229" s="16"/>
      <c r="AR2229" s="23"/>
      <c r="AS2229" s="23"/>
      <c r="AT2229" s="23"/>
      <c r="AU2229" s="16"/>
      <c r="AV2229" s="23"/>
      <c r="AW2229" s="23"/>
      <c r="AX2229" s="23"/>
      <c r="AY2229" s="16"/>
      <c r="AZ2229" s="23"/>
      <c r="BA2229" s="23"/>
      <c r="BB2229" s="23"/>
      <c r="BC2229" s="16"/>
      <c r="BD2229" s="23"/>
      <c r="BE2229" s="23"/>
      <c r="BF2229" s="23"/>
      <c r="BG2229" s="16"/>
      <c r="BH2229" s="23"/>
      <c r="BI2229" s="23"/>
      <c r="BJ2229" s="23"/>
      <c r="BN2229" s="23"/>
      <c r="BO2229" s="23"/>
      <c r="BP2229" s="16"/>
      <c r="BQ2229" s="16"/>
      <c r="BR2229" s="23"/>
      <c r="BS2229" s="16"/>
      <c r="BT2229" s="16"/>
      <c r="BU2229" s="16"/>
      <c r="BV2229" s="16"/>
      <c r="BW2229" s="16"/>
      <c r="BX2229" s="16"/>
      <c r="BY2229" s="16"/>
    </row>
    <row r="2230">
      <c r="A2230" s="16"/>
      <c r="B2230" s="16"/>
      <c r="C2230" s="22"/>
      <c r="D2230" s="16"/>
      <c r="E2230" s="16"/>
      <c r="F2230" s="16"/>
      <c r="G2230" s="16"/>
      <c r="H2230" s="16"/>
      <c r="I2230" s="23"/>
      <c r="J2230" s="23"/>
      <c r="K2230" s="16"/>
      <c r="L2230" s="23"/>
      <c r="M2230" s="23"/>
      <c r="N2230" s="23"/>
      <c r="O2230" s="16"/>
      <c r="P2230" s="23"/>
      <c r="Q2230" s="23"/>
      <c r="R2230" s="23"/>
      <c r="S2230" s="16"/>
      <c r="T2230" s="23"/>
      <c r="U2230" s="23"/>
      <c r="V2230" s="23"/>
      <c r="W2230" s="16"/>
      <c r="X2230" s="23"/>
      <c r="Y2230" s="23"/>
      <c r="Z2230" s="23"/>
      <c r="AA2230" s="16"/>
      <c r="AB2230" s="23"/>
      <c r="AC2230" s="23"/>
      <c r="AD2230" s="23"/>
      <c r="AE2230" s="16"/>
      <c r="AF2230" s="23"/>
      <c r="AG2230" s="23"/>
      <c r="AH2230" s="23"/>
      <c r="AI2230" s="16"/>
      <c r="AJ2230" s="23"/>
      <c r="AK2230" s="23"/>
      <c r="AL2230" s="23"/>
      <c r="AM2230" s="16"/>
      <c r="AN2230" s="23"/>
      <c r="AO2230" s="23"/>
      <c r="AP2230" s="23"/>
      <c r="AQ2230" s="16"/>
      <c r="AR2230" s="23"/>
      <c r="AS2230" s="23"/>
      <c r="AT2230" s="23"/>
      <c r="AU2230" s="16"/>
      <c r="AV2230" s="23"/>
      <c r="AW2230" s="23"/>
      <c r="AX2230" s="23"/>
      <c r="AY2230" s="16"/>
      <c r="AZ2230" s="23"/>
      <c r="BA2230" s="23"/>
      <c r="BB2230" s="23"/>
      <c r="BC2230" s="16"/>
      <c r="BD2230" s="23"/>
      <c r="BE2230" s="23"/>
      <c r="BF2230" s="23"/>
      <c r="BG2230" s="16"/>
      <c r="BH2230" s="23"/>
      <c r="BI2230" s="23"/>
      <c r="BJ2230" s="23"/>
      <c r="BN2230" s="23"/>
      <c r="BO2230" s="23"/>
      <c r="BP2230" s="16"/>
      <c r="BQ2230" s="16"/>
      <c r="BR2230" s="23"/>
      <c r="BS2230" s="16"/>
      <c r="BT2230" s="16"/>
      <c r="BU2230" s="16"/>
      <c r="BV2230" s="16"/>
      <c r="BW2230" s="16"/>
      <c r="BX2230" s="16"/>
      <c r="BY2230" s="16"/>
    </row>
    <row r="2231">
      <c r="A2231" s="16"/>
      <c r="B2231" s="16"/>
      <c r="C2231" s="22"/>
      <c r="D2231" s="16"/>
      <c r="E2231" s="16"/>
      <c r="F2231" s="16"/>
      <c r="G2231" s="16"/>
      <c r="H2231" s="16"/>
      <c r="I2231" s="23"/>
      <c r="J2231" s="23"/>
      <c r="K2231" s="16"/>
      <c r="L2231" s="23"/>
      <c r="M2231" s="23"/>
      <c r="N2231" s="23"/>
      <c r="O2231" s="16"/>
      <c r="P2231" s="23"/>
      <c r="Q2231" s="23"/>
      <c r="R2231" s="23"/>
      <c r="S2231" s="16"/>
      <c r="T2231" s="23"/>
      <c r="U2231" s="23"/>
      <c r="V2231" s="23"/>
      <c r="W2231" s="16"/>
      <c r="X2231" s="23"/>
      <c r="Y2231" s="23"/>
      <c r="Z2231" s="23"/>
      <c r="AA2231" s="16"/>
      <c r="AB2231" s="23"/>
      <c r="AC2231" s="23"/>
      <c r="AD2231" s="23"/>
      <c r="AE2231" s="16"/>
      <c r="AF2231" s="23"/>
      <c r="AG2231" s="23"/>
      <c r="AH2231" s="23"/>
      <c r="AI2231" s="16"/>
      <c r="AJ2231" s="23"/>
      <c r="AK2231" s="23"/>
      <c r="AL2231" s="23"/>
      <c r="AM2231" s="16"/>
      <c r="AN2231" s="23"/>
      <c r="AO2231" s="23"/>
      <c r="AP2231" s="23"/>
      <c r="AQ2231" s="16"/>
      <c r="AR2231" s="23"/>
      <c r="AS2231" s="23"/>
      <c r="AT2231" s="23"/>
      <c r="AU2231" s="16"/>
      <c r="AV2231" s="23"/>
      <c r="AW2231" s="23"/>
      <c r="AX2231" s="23"/>
      <c r="AY2231" s="16"/>
      <c r="AZ2231" s="23"/>
      <c r="BA2231" s="23"/>
      <c r="BB2231" s="23"/>
      <c r="BC2231" s="16"/>
      <c r="BD2231" s="23"/>
      <c r="BE2231" s="23"/>
      <c r="BF2231" s="23"/>
      <c r="BG2231" s="16"/>
      <c r="BH2231" s="23"/>
      <c r="BI2231" s="23"/>
      <c r="BJ2231" s="23"/>
      <c r="BN2231" s="23"/>
      <c r="BO2231" s="23"/>
      <c r="BP2231" s="16"/>
      <c r="BQ2231" s="16"/>
      <c r="BR2231" s="23"/>
      <c r="BS2231" s="16"/>
      <c r="BT2231" s="16"/>
      <c r="BU2231" s="16"/>
      <c r="BV2231" s="16"/>
      <c r="BW2231" s="16"/>
      <c r="BX2231" s="16"/>
      <c r="BY2231" s="16"/>
    </row>
    <row r="2232">
      <c r="A2232" s="16"/>
      <c r="B2232" s="16"/>
      <c r="C2232" s="22"/>
      <c r="D2232" s="16"/>
      <c r="E2232" s="16"/>
      <c r="F2232" s="16"/>
      <c r="G2232" s="16"/>
      <c r="H2232" s="16"/>
      <c r="I2232" s="23"/>
      <c r="J2232" s="23"/>
      <c r="K2232" s="16"/>
      <c r="L2232" s="23"/>
      <c r="M2232" s="23"/>
      <c r="N2232" s="23"/>
      <c r="O2232" s="16"/>
      <c r="P2232" s="23"/>
      <c r="Q2232" s="23"/>
      <c r="R2232" s="23"/>
      <c r="S2232" s="16"/>
      <c r="T2232" s="23"/>
      <c r="U2232" s="23"/>
      <c r="V2232" s="23"/>
      <c r="W2232" s="16"/>
      <c r="X2232" s="23"/>
      <c r="Y2232" s="23"/>
      <c r="Z2232" s="23"/>
      <c r="AA2232" s="16"/>
      <c r="AB2232" s="23"/>
      <c r="AC2232" s="23"/>
      <c r="AD2232" s="23"/>
      <c r="AE2232" s="16"/>
      <c r="AF2232" s="23"/>
      <c r="AG2232" s="23"/>
      <c r="AH2232" s="23"/>
      <c r="AI2232" s="16"/>
      <c r="AJ2232" s="23"/>
      <c r="AK2232" s="23"/>
      <c r="AL2232" s="23"/>
      <c r="AM2232" s="16"/>
      <c r="AN2232" s="23"/>
      <c r="AO2232" s="23"/>
      <c r="AP2232" s="23"/>
      <c r="AQ2232" s="16"/>
      <c r="AR2232" s="23"/>
      <c r="AS2232" s="23"/>
      <c r="AT2232" s="23"/>
      <c r="AU2232" s="16"/>
      <c r="AV2232" s="23"/>
      <c r="AW2232" s="23"/>
      <c r="AX2232" s="23"/>
      <c r="AY2232" s="16"/>
      <c r="AZ2232" s="23"/>
      <c r="BA2232" s="23"/>
      <c r="BB2232" s="23"/>
      <c r="BC2232" s="16"/>
      <c r="BD2232" s="23"/>
      <c r="BE2232" s="23"/>
      <c r="BF2232" s="23"/>
      <c r="BG2232" s="16"/>
      <c r="BH2232" s="23"/>
      <c r="BI2232" s="23"/>
      <c r="BJ2232" s="23"/>
      <c r="BN2232" s="23"/>
      <c r="BO2232" s="23"/>
      <c r="BP2232" s="16"/>
      <c r="BQ2232" s="16"/>
      <c r="BR2232" s="23"/>
      <c r="BS2232" s="16"/>
      <c r="BT2232" s="16"/>
      <c r="BU2232" s="16"/>
      <c r="BV2232" s="16"/>
      <c r="BW2232" s="16"/>
      <c r="BX2232" s="16"/>
      <c r="BY2232" s="16"/>
    </row>
    <row r="2233">
      <c r="A2233" s="16"/>
      <c r="B2233" s="16"/>
      <c r="C2233" s="22"/>
      <c r="D2233" s="16"/>
      <c r="E2233" s="16"/>
      <c r="F2233" s="16"/>
      <c r="G2233" s="16"/>
      <c r="H2233" s="16"/>
      <c r="I2233" s="23"/>
      <c r="J2233" s="23"/>
      <c r="K2233" s="16"/>
      <c r="L2233" s="23"/>
      <c r="M2233" s="23"/>
      <c r="N2233" s="23"/>
      <c r="O2233" s="16"/>
      <c r="P2233" s="23"/>
      <c r="Q2233" s="23"/>
      <c r="R2233" s="23"/>
      <c r="S2233" s="16"/>
      <c r="T2233" s="23"/>
      <c r="U2233" s="23"/>
      <c r="V2233" s="23"/>
      <c r="W2233" s="16"/>
      <c r="X2233" s="23"/>
      <c r="Y2233" s="23"/>
      <c r="Z2233" s="23"/>
      <c r="AA2233" s="16"/>
      <c r="AB2233" s="23"/>
      <c r="AC2233" s="23"/>
      <c r="AD2233" s="23"/>
      <c r="AE2233" s="16"/>
      <c r="AF2233" s="23"/>
      <c r="AG2233" s="23"/>
      <c r="AH2233" s="23"/>
      <c r="AI2233" s="16"/>
      <c r="AJ2233" s="23"/>
      <c r="AK2233" s="23"/>
      <c r="AL2233" s="23"/>
      <c r="AM2233" s="16"/>
      <c r="AN2233" s="23"/>
      <c r="AO2233" s="23"/>
      <c r="AP2233" s="23"/>
      <c r="AQ2233" s="16"/>
      <c r="AR2233" s="23"/>
      <c r="AS2233" s="23"/>
      <c r="AT2233" s="23"/>
      <c r="AU2233" s="16"/>
      <c r="AV2233" s="23"/>
      <c r="AW2233" s="23"/>
      <c r="AX2233" s="23"/>
      <c r="AY2233" s="16"/>
      <c r="AZ2233" s="23"/>
      <c r="BA2233" s="23"/>
      <c r="BB2233" s="23"/>
      <c r="BC2233" s="16"/>
      <c r="BD2233" s="23"/>
      <c r="BE2233" s="23"/>
      <c r="BF2233" s="23"/>
      <c r="BG2233" s="16"/>
      <c r="BH2233" s="23"/>
      <c r="BI2233" s="23"/>
      <c r="BJ2233" s="23"/>
      <c r="BN2233" s="23"/>
      <c r="BO2233" s="23"/>
      <c r="BP2233" s="16"/>
      <c r="BQ2233" s="16"/>
      <c r="BR2233" s="23"/>
      <c r="BS2233" s="16"/>
      <c r="BT2233" s="16"/>
      <c r="BU2233" s="16"/>
      <c r="BV2233" s="16"/>
      <c r="BW2233" s="16"/>
      <c r="BX2233" s="16"/>
      <c r="BY2233" s="16"/>
    </row>
    <row r="2234">
      <c r="A2234" s="16"/>
      <c r="B2234" s="16"/>
      <c r="C2234" s="22"/>
      <c r="D2234" s="16"/>
      <c r="E2234" s="16"/>
      <c r="F2234" s="16"/>
      <c r="G2234" s="16"/>
      <c r="H2234" s="16"/>
      <c r="I2234" s="23"/>
      <c r="J2234" s="23"/>
      <c r="K2234" s="16"/>
      <c r="L2234" s="23"/>
      <c r="M2234" s="23"/>
      <c r="N2234" s="23"/>
      <c r="O2234" s="16"/>
      <c r="P2234" s="23"/>
      <c r="Q2234" s="23"/>
      <c r="R2234" s="23"/>
      <c r="S2234" s="16"/>
      <c r="T2234" s="23"/>
      <c r="U2234" s="23"/>
      <c r="V2234" s="23"/>
      <c r="W2234" s="16"/>
      <c r="X2234" s="23"/>
      <c r="Y2234" s="23"/>
      <c r="Z2234" s="23"/>
      <c r="AA2234" s="16"/>
      <c r="AB2234" s="23"/>
      <c r="AC2234" s="23"/>
      <c r="AD2234" s="23"/>
      <c r="AE2234" s="16"/>
      <c r="AF2234" s="23"/>
      <c r="AG2234" s="23"/>
      <c r="AH2234" s="23"/>
      <c r="AI2234" s="16"/>
      <c r="AJ2234" s="23"/>
      <c r="AK2234" s="23"/>
      <c r="AL2234" s="23"/>
      <c r="AM2234" s="16"/>
      <c r="AN2234" s="23"/>
      <c r="AO2234" s="23"/>
      <c r="AP2234" s="23"/>
      <c r="AQ2234" s="16"/>
      <c r="AR2234" s="23"/>
      <c r="AS2234" s="23"/>
      <c r="AT2234" s="23"/>
      <c r="AU2234" s="16"/>
      <c r="AV2234" s="23"/>
      <c r="AW2234" s="23"/>
      <c r="AX2234" s="23"/>
      <c r="AY2234" s="16"/>
      <c r="AZ2234" s="23"/>
      <c r="BA2234" s="23"/>
      <c r="BB2234" s="23"/>
      <c r="BC2234" s="16"/>
      <c r="BD2234" s="23"/>
      <c r="BE2234" s="23"/>
      <c r="BF2234" s="23"/>
      <c r="BG2234" s="16"/>
      <c r="BH2234" s="23"/>
      <c r="BI2234" s="23"/>
      <c r="BJ2234" s="23"/>
      <c r="BN2234" s="23"/>
      <c r="BO2234" s="23"/>
      <c r="BP2234" s="16"/>
      <c r="BQ2234" s="16"/>
      <c r="BR2234" s="23"/>
      <c r="BS2234" s="16"/>
      <c r="BT2234" s="16"/>
      <c r="BU2234" s="16"/>
      <c r="BV2234" s="16"/>
      <c r="BW2234" s="16"/>
      <c r="BX2234" s="16"/>
      <c r="BY2234" s="16"/>
    </row>
    <row r="2235">
      <c r="A2235" s="16"/>
      <c r="B2235" s="16"/>
      <c r="C2235" s="22"/>
      <c r="D2235" s="16"/>
      <c r="E2235" s="16"/>
      <c r="F2235" s="16"/>
      <c r="G2235" s="16"/>
      <c r="H2235" s="16"/>
      <c r="I2235" s="23"/>
      <c r="J2235" s="23"/>
      <c r="K2235" s="16"/>
      <c r="L2235" s="23"/>
      <c r="M2235" s="23"/>
      <c r="N2235" s="23"/>
      <c r="O2235" s="16"/>
      <c r="P2235" s="23"/>
      <c r="Q2235" s="23"/>
      <c r="R2235" s="23"/>
      <c r="S2235" s="16"/>
      <c r="T2235" s="23"/>
      <c r="U2235" s="23"/>
      <c r="V2235" s="23"/>
      <c r="W2235" s="16"/>
      <c r="X2235" s="23"/>
      <c r="Y2235" s="23"/>
      <c r="Z2235" s="23"/>
      <c r="AA2235" s="16"/>
      <c r="AB2235" s="23"/>
      <c r="AC2235" s="23"/>
      <c r="AD2235" s="23"/>
      <c r="AE2235" s="16"/>
      <c r="AF2235" s="23"/>
      <c r="AG2235" s="23"/>
      <c r="AH2235" s="23"/>
      <c r="AI2235" s="16"/>
      <c r="AJ2235" s="23"/>
      <c r="AK2235" s="23"/>
      <c r="AL2235" s="23"/>
      <c r="AM2235" s="16"/>
      <c r="AN2235" s="23"/>
      <c r="AO2235" s="23"/>
      <c r="AP2235" s="23"/>
      <c r="AQ2235" s="16"/>
      <c r="AR2235" s="23"/>
      <c r="AS2235" s="23"/>
      <c r="AT2235" s="23"/>
      <c r="AU2235" s="16"/>
      <c r="AV2235" s="23"/>
      <c r="AW2235" s="23"/>
      <c r="AX2235" s="23"/>
      <c r="AY2235" s="16"/>
      <c r="AZ2235" s="23"/>
      <c r="BA2235" s="23"/>
      <c r="BB2235" s="23"/>
      <c r="BC2235" s="16"/>
      <c r="BD2235" s="23"/>
      <c r="BE2235" s="23"/>
      <c r="BF2235" s="23"/>
      <c r="BG2235" s="16"/>
      <c r="BH2235" s="23"/>
      <c r="BI2235" s="23"/>
      <c r="BJ2235" s="23"/>
      <c r="BN2235" s="23"/>
      <c r="BO2235" s="23"/>
      <c r="BP2235" s="16"/>
      <c r="BQ2235" s="16"/>
      <c r="BR2235" s="23"/>
      <c r="BS2235" s="16"/>
      <c r="BT2235" s="16"/>
      <c r="BU2235" s="16"/>
      <c r="BV2235" s="16"/>
      <c r="BW2235" s="16"/>
      <c r="BX2235" s="16"/>
      <c r="BY2235" s="16"/>
    </row>
    <row r="2236">
      <c r="A2236" s="16"/>
      <c r="B2236" s="16"/>
      <c r="C2236" s="22"/>
      <c r="D2236" s="16"/>
      <c r="E2236" s="16"/>
      <c r="F2236" s="16"/>
      <c r="G2236" s="16"/>
      <c r="H2236" s="16"/>
      <c r="I2236" s="23"/>
      <c r="J2236" s="23"/>
      <c r="K2236" s="16"/>
      <c r="L2236" s="23"/>
      <c r="M2236" s="23"/>
      <c r="N2236" s="23"/>
      <c r="O2236" s="16"/>
      <c r="P2236" s="23"/>
      <c r="Q2236" s="23"/>
      <c r="R2236" s="23"/>
      <c r="S2236" s="16"/>
      <c r="T2236" s="23"/>
      <c r="U2236" s="23"/>
      <c r="V2236" s="23"/>
      <c r="W2236" s="16"/>
      <c r="X2236" s="23"/>
      <c r="Y2236" s="23"/>
      <c r="Z2236" s="23"/>
      <c r="AA2236" s="16"/>
      <c r="AB2236" s="23"/>
      <c r="AC2236" s="23"/>
      <c r="AD2236" s="23"/>
      <c r="AE2236" s="16"/>
      <c r="AF2236" s="23"/>
      <c r="AG2236" s="23"/>
      <c r="AH2236" s="23"/>
      <c r="AI2236" s="16"/>
      <c r="AJ2236" s="23"/>
      <c r="AK2236" s="23"/>
      <c r="AL2236" s="23"/>
      <c r="AM2236" s="16"/>
      <c r="AN2236" s="23"/>
      <c r="AO2236" s="23"/>
      <c r="AP2236" s="23"/>
      <c r="AQ2236" s="16"/>
      <c r="AR2236" s="23"/>
      <c r="AS2236" s="23"/>
      <c r="AT2236" s="23"/>
      <c r="AU2236" s="16"/>
      <c r="AV2236" s="23"/>
      <c r="AW2236" s="23"/>
      <c r="AX2236" s="23"/>
      <c r="AY2236" s="16"/>
      <c r="AZ2236" s="23"/>
      <c r="BA2236" s="23"/>
      <c r="BB2236" s="23"/>
      <c r="BC2236" s="16"/>
      <c r="BD2236" s="23"/>
      <c r="BE2236" s="23"/>
      <c r="BF2236" s="23"/>
      <c r="BG2236" s="16"/>
      <c r="BH2236" s="23"/>
      <c r="BI2236" s="23"/>
      <c r="BJ2236" s="23"/>
      <c r="BN2236" s="23"/>
      <c r="BO2236" s="23"/>
      <c r="BP2236" s="16"/>
      <c r="BQ2236" s="16"/>
      <c r="BR2236" s="23"/>
      <c r="BS2236" s="16"/>
      <c r="BT2236" s="16"/>
      <c r="BU2236" s="16"/>
      <c r="BV2236" s="16"/>
      <c r="BW2236" s="16"/>
      <c r="BX2236" s="16"/>
      <c r="BY2236" s="16"/>
    </row>
    <row r="2237">
      <c r="A2237" s="16"/>
      <c r="B2237" s="16"/>
      <c r="C2237" s="22"/>
      <c r="D2237" s="16"/>
      <c r="E2237" s="16"/>
      <c r="F2237" s="16"/>
      <c r="G2237" s="16"/>
      <c r="H2237" s="16"/>
      <c r="I2237" s="23"/>
      <c r="J2237" s="23"/>
      <c r="K2237" s="16"/>
      <c r="L2237" s="23"/>
      <c r="M2237" s="23"/>
      <c r="N2237" s="23"/>
      <c r="O2237" s="16"/>
      <c r="P2237" s="23"/>
      <c r="Q2237" s="23"/>
      <c r="R2237" s="23"/>
      <c r="S2237" s="16"/>
      <c r="T2237" s="23"/>
      <c r="U2237" s="23"/>
      <c r="V2237" s="23"/>
      <c r="W2237" s="16"/>
      <c r="X2237" s="23"/>
      <c r="Y2237" s="23"/>
      <c r="Z2237" s="23"/>
      <c r="AA2237" s="16"/>
      <c r="AB2237" s="23"/>
      <c r="AC2237" s="23"/>
      <c r="AD2237" s="23"/>
      <c r="AE2237" s="16"/>
      <c r="AF2237" s="23"/>
      <c r="AG2237" s="23"/>
      <c r="AH2237" s="23"/>
      <c r="AI2237" s="16"/>
      <c r="AJ2237" s="23"/>
      <c r="AK2237" s="23"/>
      <c r="AL2237" s="23"/>
      <c r="AM2237" s="16"/>
      <c r="AN2237" s="23"/>
      <c r="AO2237" s="23"/>
      <c r="AP2237" s="23"/>
      <c r="AQ2237" s="16"/>
      <c r="AR2237" s="23"/>
      <c r="AS2237" s="23"/>
      <c r="AT2237" s="23"/>
      <c r="AU2237" s="16"/>
      <c r="AV2237" s="23"/>
      <c r="AW2237" s="23"/>
      <c r="AX2237" s="23"/>
      <c r="AY2237" s="16"/>
      <c r="AZ2237" s="23"/>
      <c r="BA2237" s="23"/>
      <c r="BB2237" s="23"/>
      <c r="BC2237" s="16"/>
      <c r="BD2237" s="23"/>
      <c r="BE2237" s="23"/>
      <c r="BF2237" s="23"/>
      <c r="BG2237" s="16"/>
      <c r="BH2237" s="23"/>
      <c r="BI2237" s="23"/>
      <c r="BJ2237" s="23"/>
      <c r="BN2237" s="23"/>
      <c r="BO2237" s="23"/>
      <c r="BP2237" s="16"/>
      <c r="BQ2237" s="16"/>
      <c r="BR2237" s="23"/>
      <c r="BS2237" s="16"/>
      <c r="BT2237" s="16"/>
      <c r="BU2237" s="16"/>
      <c r="BV2237" s="16"/>
      <c r="BW2237" s="16"/>
      <c r="BX2237" s="16"/>
      <c r="BY2237" s="16"/>
    </row>
    <row r="2238">
      <c r="A2238" s="16"/>
      <c r="B2238" s="16"/>
      <c r="C2238" s="22"/>
      <c r="D2238" s="16"/>
      <c r="E2238" s="16"/>
      <c r="F2238" s="16"/>
      <c r="G2238" s="16"/>
      <c r="H2238" s="16"/>
      <c r="I2238" s="23"/>
      <c r="J2238" s="23"/>
      <c r="K2238" s="16"/>
      <c r="L2238" s="23"/>
      <c r="M2238" s="23"/>
      <c r="N2238" s="23"/>
      <c r="O2238" s="16"/>
      <c r="P2238" s="23"/>
      <c r="Q2238" s="23"/>
      <c r="R2238" s="23"/>
      <c r="S2238" s="16"/>
      <c r="T2238" s="23"/>
      <c r="U2238" s="23"/>
      <c r="V2238" s="23"/>
      <c r="W2238" s="16"/>
      <c r="X2238" s="23"/>
      <c r="Y2238" s="23"/>
      <c r="Z2238" s="23"/>
      <c r="AA2238" s="16"/>
      <c r="AB2238" s="23"/>
      <c r="AC2238" s="23"/>
      <c r="AD2238" s="23"/>
      <c r="AE2238" s="16"/>
      <c r="AF2238" s="23"/>
      <c r="AG2238" s="23"/>
      <c r="AH2238" s="23"/>
      <c r="AI2238" s="16"/>
      <c r="AJ2238" s="23"/>
      <c r="AK2238" s="23"/>
      <c r="AL2238" s="23"/>
      <c r="AM2238" s="16"/>
      <c r="AN2238" s="23"/>
      <c r="AO2238" s="23"/>
      <c r="AP2238" s="23"/>
      <c r="AQ2238" s="16"/>
      <c r="AR2238" s="23"/>
      <c r="AS2238" s="23"/>
      <c r="AT2238" s="23"/>
      <c r="AU2238" s="16"/>
      <c r="AV2238" s="23"/>
      <c r="AW2238" s="23"/>
      <c r="AX2238" s="23"/>
      <c r="AY2238" s="16"/>
      <c r="AZ2238" s="23"/>
      <c r="BA2238" s="23"/>
      <c r="BB2238" s="23"/>
      <c r="BC2238" s="16"/>
      <c r="BD2238" s="23"/>
      <c r="BE2238" s="23"/>
      <c r="BF2238" s="23"/>
      <c r="BG2238" s="16"/>
      <c r="BH2238" s="23"/>
      <c r="BI2238" s="23"/>
      <c r="BJ2238" s="23"/>
      <c r="BN2238" s="23"/>
      <c r="BO2238" s="23"/>
      <c r="BP2238" s="16"/>
      <c r="BQ2238" s="16"/>
      <c r="BR2238" s="23"/>
      <c r="BS2238" s="16"/>
      <c r="BT2238" s="16"/>
      <c r="BU2238" s="16"/>
      <c r="BV2238" s="16"/>
      <c r="BW2238" s="16"/>
      <c r="BX2238" s="16"/>
      <c r="BY2238" s="16"/>
    </row>
    <row r="2239">
      <c r="A2239" s="16"/>
      <c r="B2239" s="16"/>
      <c r="C2239" s="22"/>
      <c r="D2239" s="16"/>
      <c r="E2239" s="16"/>
      <c r="F2239" s="16"/>
      <c r="G2239" s="16"/>
      <c r="H2239" s="16"/>
      <c r="I2239" s="23"/>
      <c r="J2239" s="23"/>
      <c r="K2239" s="16"/>
      <c r="L2239" s="23"/>
      <c r="M2239" s="23"/>
      <c r="N2239" s="23"/>
      <c r="O2239" s="16"/>
      <c r="P2239" s="23"/>
      <c r="Q2239" s="23"/>
      <c r="R2239" s="23"/>
      <c r="S2239" s="16"/>
      <c r="T2239" s="23"/>
      <c r="U2239" s="23"/>
      <c r="V2239" s="23"/>
      <c r="W2239" s="16"/>
      <c r="X2239" s="23"/>
      <c r="Y2239" s="23"/>
      <c r="Z2239" s="23"/>
      <c r="AA2239" s="16"/>
      <c r="AB2239" s="23"/>
      <c r="AC2239" s="23"/>
      <c r="AD2239" s="23"/>
      <c r="AE2239" s="16"/>
      <c r="AF2239" s="23"/>
      <c r="AG2239" s="23"/>
      <c r="AH2239" s="23"/>
      <c r="AI2239" s="16"/>
      <c r="AJ2239" s="23"/>
      <c r="AK2239" s="23"/>
      <c r="AL2239" s="23"/>
      <c r="AM2239" s="16"/>
      <c r="AN2239" s="23"/>
      <c r="AO2239" s="23"/>
      <c r="AP2239" s="23"/>
      <c r="AQ2239" s="16"/>
      <c r="AR2239" s="23"/>
      <c r="AS2239" s="23"/>
      <c r="AT2239" s="23"/>
      <c r="AU2239" s="16"/>
      <c r="AV2239" s="23"/>
      <c r="AW2239" s="23"/>
      <c r="AX2239" s="23"/>
      <c r="AY2239" s="16"/>
      <c r="AZ2239" s="23"/>
      <c r="BA2239" s="23"/>
      <c r="BB2239" s="23"/>
      <c r="BC2239" s="16"/>
      <c r="BD2239" s="23"/>
      <c r="BE2239" s="23"/>
      <c r="BF2239" s="23"/>
      <c r="BG2239" s="16"/>
      <c r="BH2239" s="23"/>
      <c r="BI2239" s="23"/>
      <c r="BJ2239" s="23"/>
      <c r="BN2239" s="23"/>
      <c r="BO2239" s="23"/>
      <c r="BP2239" s="16"/>
      <c r="BQ2239" s="16"/>
      <c r="BR2239" s="23"/>
      <c r="BS2239" s="16"/>
      <c r="BT2239" s="16"/>
      <c r="BU2239" s="16"/>
      <c r="BV2239" s="16"/>
      <c r="BW2239" s="16"/>
      <c r="BX2239" s="16"/>
      <c r="BY2239" s="16"/>
    </row>
    <row r="2240">
      <c r="A2240" s="16"/>
      <c r="B2240" s="16"/>
      <c r="C2240" s="22"/>
      <c r="D2240" s="16"/>
      <c r="E2240" s="16"/>
      <c r="F2240" s="16"/>
      <c r="G2240" s="16"/>
      <c r="H2240" s="16"/>
      <c r="I2240" s="23"/>
      <c r="J2240" s="23"/>
      <c r="K2240" s="16"/>
      <c r="L2240" s="23"/>
      <c r="M2240" s="23"/>
      <c r="N2240" s="23"/>
      <c r="O2240" s="16"/>
      <c r="P2240" s="23"/>
      <c r="Q2240" s="23"/>
      <c r="R2240" s="23"/>
      <c r="S2240" s="16"/>
      <c r="T2240" s="23"/>
      <c r="U2240" s="23"/>
      <c r="V2240" s="23"/>
      <c r="W2240" s="16"/>
      <c r="X2240" s="23"/>
      <c r="Y2240" s="23"/>
      <c r="Z2240" s="23"/>
      <c r="AA2240" s="16"/>
      <c r="AB2240" s="23"/>
      <c r="AC2240" s="23"/>
      <c r="AD2240" s="23"/>
      <c r="AE2240" s="16"/>
      <c r="AF2240" s="23"/>
      <c r="AG2240" s="23"/>
      <c r="AH2240" s="23"/>
      <c r="AI2240" s="16"/>
      <c r="AJ2240" s="23"/>
      <c r="AK2240" s="23"/>
      <c r="AL2240" s="23"/>
      <c r="AM2240" s="16"/>
      <c r="AN2240" s="23"/>
      <c r="AO2240" s="23"/>
      <c r="AP2240" s="23"/>
      <c r="AQ2240" s="16"/>
      <c r="AR2240" s="23"/>
      <c r="AS2240" s="23"/>
      <c r="AT2240" s="23"/>
      <c r="AU2240" s="16"/>
      <c r="AV2240" s="23"/>
      <c r="AW2240" s="23"/>
      <c r="AX2240" s="23"/>
      <c r="AY2240" s="16"/>
      <c r="AZ2240" s="23"/>
      <c r="BA2240" s="23"/>
      <c r="BB2240" s="23"/>
      <c r="BC2240" s="16"/>
      <c r="BD2240" s="23"/>
      <c r="BE2240" s="23"/>
      <c r="BF2240" s="23"/>
      <c r="BG2240" s="16"/>
      <c r="BH2240" s="23"/>
      <c r="BI2240" s="23"/>
      <c r="BJ2240" s="23"/>
      <c r="BN2240" s="23"/>
      <c r="BO2240" s="23"/>
      <c r="BP2240" s="16"/>
      <c r="BQ2240" s="16"/>
      <c r="BR2240" s="23"/>
      <c r="BS2240" s="16"/>
      <c r="BT2240" s="16"/>
      <c r="BU2240" s="16"/>
      <c r="BV2240" s="16"/>
      <c r="BW2240" s="16"/>
      <c r="BX2240" s="16"/>
      <c r="BY2240" s="16"/>
    </row>
    <row r="2241">
      <c r="A2241" s="16"/>
      <c r="B2241" s="16"/>
      <c r="C2241" s="22"/>
      <c r="D2241" s="16"/>
      <c r="E2241" s="16"/>
      <c r="F2241" s="16"/>
      <c r="G2241" s="16"/>
      <c r="H2241" s="16"/>
      <c r="I2241" s="23"/>
      <c r="J2241" s="23"/>
      <c r="K2241" s="16"/>
      <c r="L2241" s="23"/>
      <c r="M2241" s="23"/>
      <c r="N2241" s="23"/>
      <c r="O2241" s="16"/>
      <c r="P2241" s="23"/>
      <c r="Q2241" s="23"/>
      <c r="R2241" s="23"/>
      <c r="S2241" s="16"/>
      <c r="T2241" s="23"/>
      <c r="U2241" s="23"/>
      <c r="V2241" s="23"/>
      <c r="W2241" s="16"/>
      <c r="X2241" s="23"/>
      <c r="Y2241" s="23"/>
      <c r="Z2241" s="23"/>
      <c r="AA2241" s="16"/>
      <c r="AB2241" s="23"/>
      <c r="AC2241" s="23"/>
      <c r="AD2241" s="23"/>
      <c r="AE2241" s="16"/>
      <c r="AF2241" s="23"/>
      <c r="AG2241" s="23"/>
      <c r="AH2241" s="23"/>
      <c r="AI2241" s="16"/>
      <c r="AJ2241" s="23"/>
      <c r="AK2241" s="23"/>
      <c r="AL2241" s="23"/>
      <c r="AM2241" s="16"/>
      <c r="AN2241" s="23"/>
      <c r="AO2241" s="23"/>
      <c r="AP2241" s="23"/>
      <c r="AQ2241" s="16"/>
      <c r="AR2241" s="23"/>
      <c r="AS2241" s="23"/>
      <c r="AT2241" s="23"/>
      <c r="AU2241" s="16"/>
      <c r="AV2241" s="23"/>
      <c r="AW2241" s="23"/>
      <c r="AX2241" s="23"/>
      <c r="AY2241" s="16"/>
      <c r="AZ2241" s="23"/>
      <c r="BA2241" s="23"/>
      <c r="BB2241" s="23"/>
      <c r="BC2241" s="16"/>
      <c r="BD2241" s="23"/>
      <c r="BE2241" s="23"/>
      <c r="BF2241" s="23"/>
      <c r="BG2241" s="16"/>
      <c r="BH2241" s="23"/>
      <c r="BI2241" s="23"/>
      <c r="BJ2241" s="23"/>
      <c r="BN2241" s="23"/>
      <c r="BO2241" s="23"/>
      <c r="BP2241" s="16"/>
      <c r="BQ2241" s="16"/>
      <c r="BR2241" s="23"/>
      <c r="BS2241" s="16"/>
      <c r="BT2241" s="16"/>
      <c r="BU2241" s="16"/>
      <c r="BV2241" s="16"/>
      <c r="BW2241" s="16"/>
      <c r="BX2241" s="16"/>
      <c r="BY2241" s="16"/>
    </row>
    <row r="2242">
      <c r="A2242" s="16"/>
      <c r="B2242" s="16"/>
      <c r="C2242" s="22"/>
      <c r="D2242" s="16"/>
      <c r="E2242" s="16"/>
      <c r="F2242" s="16"/>
      <c r="G2242" s="16"/>
      <c r="H2242" s="16"/>
      <c r="I2242" s="23"/>
      <c r="J2242" s="23"/>
      <c r="K2242" s="16"/>
      <c r="L2242" s="23"/>
      <c r="M2242" s="23"/>
      <c r="N2242" s="23"/>
      <c r="O2242" s="16"/>
      <c r="P2242" s="23"/>
      <c r="Q2242" s="23"/>
      <c r="R2242" s="23"/>
      <c r="S2242" s="16"/>
      <c r="T2242" s="23"/>
      <c r="U2242" s="23"/>
      <c r="V2242" s="23"/>
      <c r="W2242" s="16"/>
      <c r="X2242" s="23"/>
      <c r="Y2242" s="23"/>
      <c r="Z2242" s="23"/>
      <c r="AA2242" s="16"/>
      <c r="AB2242" s="23"/>
      <c r="AC2242" s="23"/>
      <c r="AD2242" s="23"/>
      <c r="AE2242" s="16"/>
      <c r="AF2242" s="23"/>
      <c r="AG2242" s="23"/>
      <c r="AH2242" s="23"/>
      <c r="AI2242" s="16"/>
      <c r="AJ2242" s="23"/>
      <c r="AK2242" s="23"/>
      <c r="AL2242" s="23"/>
      <c r="AM2242" s="16"/>
      <c r="AN2242" s="23"/>
      <c r="AO2242" s="23"/>
      <c r="AP2242" s="23"/>
      <c r="AQ2242" s="16"/>
      <c r="AR2242" s="23"/>
      <c r="AS2242" s="23"/>
      <c r="AT2242" s="23"/>
      <c r="AU2242" s="16"/>
      <c r="AV2242" s="23"/>
      <c r="AW2242" s="23"/>
      <c r="AX2242" s="23"/>
      <c r="AY2242" s="16"/>
      <c r="AZ2242" s="23"/>
      <c r="BA2242" s="23"/>
      <c r="BB2242" s="23"/>
      <c r="BC2242" s="16"/>
      <c r="BD2242" s="23"/>
      <c r="BE2242" s="23"/>
      <c r="BF2242" s="23"/>
      <c r="BG2242" s="16"/>
      <c r="BH2242" s="23"/>
      <c r="BI2242" s="23"/>
      <c r="BJ2242" s="23"/>
      <c r="BN2242" s="23"/>
      <c r="BO2242" s="23"/>
      <c r="BP2242" s="16"/>
      <c r="BQ2242" s="16"/>
      <c r="BR2242" s="23"/>
      <c r="BS2242" s="16"/>
      <c r="BT2242" s="16"/>
      <c r="BU2242" s="16"/>
      <c r="BV2242" s="16"/>
      <c r="BW2242" s="16"/>
      <c r="BX2242" s="16"/>
      <c r="BY2242" s="16"/>
    </row>
    <row r="2243">
      <c r="A2243" s="16"/>
      <c r="B2243" s="16"/>
      <c r="C2243" s="22"/>
      <c r="D2243" s="16"/>
      <c r="E2243" s="16"/>
      <c r="F2243" s="16"/>
      <c r="G2243" s="16"/>
      <c r="H2243" s="16"/>
      <c r="I2243" s="23"/>
      <c r="J2243" s="23"/>
      <c r="K2243" s="16"/>
      <c r="L2243" s="23"/>
      <c r="M2243" s="23"/>
      <c r="N2243" s="23"/>
      <c r="O2243" s="16"/>
      <c r="P2243" s="23"/>
      <c r="Q2243" s="23"/>
      <c r="R2243" s="23"/>
      <c r="S2243" s="16"/>
      <c r="T2243" s="23"/>
      <c r="U2243" s="23"/>
      <c r="V2243" s="23"/>
      <c r="W2243" s="16"/>
      <c r="X2243" s="23"/>
      <c r="Y2243" s="23"/>
      <c r="Z2243" s="23"/>
      <c r="AA2243" s="16"/>
      <c r="AB2243" s="23"/>
      <c r="AC2243" s="23"/>
      <c r="AD2243" s="23"/>
      <c r="AE2243" s="16"/>
      <c r="AF2243" s="23"/>
      <c r="AG2243" s="23"/>
      <c r="AH2243" s="23"/>
      <c r="AI2243" s="16"/>
      <c r="AJ2243" s="23"/>
      <c r="AK2243" s="23"/>
      <c r="AL2243" s="23"/>
      <c r="AM2243" s="16"/>
      <c r="AN2243" s="23"/>
      <c r="AO2243" s="23"/>
      <c r="AP2243" s="23"/>
      <c r="AQ2243" s="16"/>
      <c r="AR2243" s="23"/>
      <c r="AS2243" s="23"/>
      <c r="AT2243" s="23"/>
      <c r="AU2243" s="16"/>
      <c r="AV2243" s="23"/>
      <c r="AW2243" s="23"/>
      <c r="AX2243" s="23"/>
      <c r="AY2243" s="16"/>
      <c r="AZ2243" s="23"/>
      <c r="BA2243" s="23"/>
      <c r="BB2243" s="23"/>
      <c r="BC2243" s="16"/>
      <c r="BD2243" s="23"/>
      <c r="BE2243" s="23"/>
      <c r="BF2243" s="23"/>
      <c r="BG2243" s="16"/>
      <c r="BH2243" s="23"/>
      <c r="BI2243" s="23"/>
      <c r="BJ2243" s="23"/>
      <c r="BN2243" s="23"/>
      <c r="BO2243" s="23"/>
      <c r="BP2243" s="16"/>
      <c r="BQ2243" s="16"/>
      <c r="BR2243" s="23"/>
      <c r="BS2243" s="16"/>
      <c r="BT2243" s="16"/>
      <c r="BU2243" s="16"/>
      <c r="BV2243" s="16"/>
      <c r="BW2243" s="16"/>
      <c r="BX2243" s="16"/>
      <c r="BY2243" s="16"/>
    </row>
    <row r="2244">
      <c r="A2244" s="16"/>
      <c r="B2244" s="16"/>
      <c r="C2244" s="22"/>
      <c r="D2244" s="16"/>
      <c r="E2244" s="16"/>
      <c r="F2244" s="16"/>
      <c r="G2244" s="16"/>
      <c r="H2244" s="16"/>
      <c r="I2244" s="23"/>
      <c r="J2244" s="23"/>
      <c r="K2244" s="16"/>
      <c r="L2244" s="23"/>
      <c r="M2244" s="23"/>
      <c r="N2244" s="23"/>
      <c r="O2244" s="16"/>
      <c r="P2244" s="23"/>
      <c r="Q2244" s="23"/>
      <c r="R2244" s="23"/>
      <c r="S2244" s="16"/>
      <c r="T2244" s="23"/>
      <c r="U2244" s="23"/>
      <c r="V2244" s="23"/>
      <c r="W2244" s="16"/>
      <c r="X2244" s="23"/>
      <c r="Y2244" s="23"/>
      <c r="Z2244" s="23"/>
      <c r="AA2244" s="16"/>
      <c r="AB2244" s="23"/>
      <c r="AC2244" s="23"/>
      <c r="AD2244" s="23"/>
      <c r="AE2244" s="16"/>
      <c r="AF2244" s="23"/>
      <c r="AG2244" s="23"/>
      <c r="AH2244" s="23"/>
      <c r="AI2244" s="16"/>
      <c r="AJ2244" s="23"/>
      <c r="AK2244" s="23"/>
      <c r="AL2244" s="23"/>
      <c r="AM2244" s="16"/>
      <c r="AN2244" s="23"/>
      <c r="AO2244" s="23"/>
      <c r="AP2244" s="23"/>
      <c r="AQ2244" s="16"/>
      <c r="AR2244" s="23"/>
      <c r="AS2244" s="23"/>
      <c r="AT2244" s="23"/>
      <c r="AU2244" s="16"/>
      <c r="AV2244" s="23"/>
      <c r="AW2244" s="23"/>
      <c r="AX2244" s="23"/>
      <c r="AY2244" s="16"/>
      <c r="AZ2244" s="23"/>
      <c r="BA2244" s="23"/>
      <c r="BB2244" s="23"/>
      <c r="BC2244" s="16"/>
      <c r="BD2244" s="23"/>
      <c r="BE2244" s="23"/>
      <c r="BF2244" s="23"/>
      <c r="BG2244" s="16"/>
      <c r="BH2244" s="23"/>
      <c r="BI2244" s="23"/>
      <c r="BJ2244" s="23"/>
      <c r="BN2244" s="23"/>
      <c r="BO2244" s="23"/>
      <c r="BP2244" s="16"/>
      <c r="BQ2244" s="16"/>
      <c r="BR2244" s="23"/>
      <c r="BS2244" s="16"/>
      <c r="BT2244" s="16"/>
      <c r="BU2244" s="16"/>
      <c r="BV2244" s="16"/>
      <c r="BW2244" s="16"/>
      <c r="BX2244" s="16"/>
      <c r="BY2244" s="16"/>
    </row>
    <row r="2245">
      <c r="A2245" s="16"/>
      <c r="B2245" s="16"/>
      <c r="C2245" s="22"/>
      <c r="D2245" s="16"/>
      <c r="E2245" s="16"/>
      <c r="F2245" s="16"/>
      <c r="G2245" s="16"/>
      <c r="H2245" s="16"/>
      <c r="I2245" s="23"/>
      <c r="J2245" s="23"/>
      <c r="K2245" s="16"/>
      <c r="L2245" s="23"/>
      <c r="M2245" s="23"/>
      <c r="N2245" s="23"/>
      <c r="O2245" s="16"/>
      <c r="P2245" s="23"/>
      <c r="Q2245" s="23"/>
      <c r="R2245" s="23"/>
      <c r="S2245" s="16"/>
      <c r="T2245" s="23"/>
      <c r="U2245" s="23"/>
      <c r="V2245" s="23"/>
      <c r="W2245" s="16"/>
      <c r="X2245" s="23"/>
      <c r="Y2245" s="23"/>
      <c r="Z2245" s="23"/>
      <c r="AA2245" s="16"/>
      <c r="AB2245" s="23"/>
      <c r="AC2245" s="23"/>
      <c r="AD2245" s="23"/>
      <c r="AE2245" s="16"/>
      <c r="AF2245" s="23"/>
      <c r="AG2245" s="23"/>
      <c r="AH2245" s="23"/>
      <c r="AI2245" s="16"/>
      <c r="AJ2245" s="23"/>
      <c r="AK2245" s="23"/>
      <c r="AL2245" s="23"/>
      <c r="AM2245" s="16"/>
      <c r="AN2245" s="23"/>
      <c r="AO2245" s="23"/>
      <c r="AP2245" s="23"/>
      <c r="AQ2245" s="16"/>
      <c r="AR2245" s="23"/>
      <c r="AS2245" s="23"/>
      <c r="AT2245" s="23"/>
      <c r="AU2245" s="16"/>
      <c r="AV2245" s="23"/>
      <c r="AW2245" s="23"/>
      <c r="AX2245" s="23"/>
      <c r="AY2245" s="16"/>
      <c r="AZ2245" s="23"/>
      <c r="BA2245" s="23"/>
      <c r="BB2245" s="23"/>
      <c r="BC2245" s="16"/>
      <c r="BD2245" s="23"/>
      <c r="BE2245" s="23"/>
      <c r="BF2245" s="23"/>
      <c r="BG2245" s="16"/>
      <c r="BH2245" s="23"/>
      <c r="BI2245" s="23"/>
      <c r="BJ2245" s="23"/>
      <c r="BN2245" s="23"/>
      <c r="BO2245" s="23"/>
      <c r="BP2245" s="16"/>
      <c r="BQ2245" s="16"/>
      <c r="BR2245" s="23"/>
      <c r="BS2245" s="16"/>
      <c r="BT2245" s="16"/>
      <c r="BU2245" s="16"/>
      <c r="BV2245" s="16"/>
      <c r="BW2245" s="16"/>
      <c r="BX2245" s="16"/>
      <c r="BY2245" s="16"/>
    </row>
    <row r="2246">
      <c r="A2246" s="16"/>
      <c r="B2246" s="16"/>
      <c r="C2246" s="22"/>
      <c r="D2246" s="16"/>
      <c r="E2246" s="16"/>
      <c r="F2246" s="16"/>
      <c r="G2246" s="16"/>
      <c r="H2246" s="16"/>
      <c r="I2246" s="23"/>
      <c r="J2246" s="23"/>
      <c r="K2246" s="16"/>
      <c r="L2246" s="23"/>
      <c r="M2246" s="23"/>
      <c r="N2246" s="23"/>
      <c r="O2246" s="16"/>
      <c r="P2246" s="23"/>
      <c r="Q2246" s="23"/>
      <c r="R2246" s="23"/>
      <c r="S2246" s="16"/>
      <c r="T2246" s="23"/>
      <c r="U2246" s="23"/>
      <c r="V2246" s="23"/>
      <c r="W2246" s="16"/>
      <c r="X2246" s="23"/>
      <c r="Y2246" s="23"/>
      <c r="Z2246" s="23"/>
      <c r="AA2246" s="16"/>
      <c r="AB2246" s="23"/>
      <c r="AC2246" s="23"/>
      <c r="AD2246" s="23"/>
      <c r="AE2246" s="16"/>
      <c r="AF2246" s="23"/>
      <c r="AG2246" s="23"/>
      <c r="AH2246" s="23"/>
      <c r="AI2246" s="16"/>
      <c r="AJ2246" s="23"/>
      <c r="AK2246" s="23"/>
      <c r="AL2246" s="23"/>
      <c r="AM2246" s="16"/>
      <c r="AN2246" s="23"/>
      <c r="AO2246" s="23"/>
      <c r="AP2246" s="23"/>
      <c r="AQ2246" s="16"/>
      <c r="AR2246" s="23"/>
      <c r="AS2246" s="23"/>
      <c r="AT2246" s="23"/>
      <c r="AU2246" s="16"/>
      <c r="AV2246" s="23"/>
      <c r="AW2246" s="23"/>
      <c r="AX2246" s="23"/>
      <c r="AY2246" s="16"/>
      <c r="AZ2246" s="23"/>
      <c r="BA2246" s="23"/>
      <c r="BB2246" s="23"/>
      <c r="BC2246" s="16"/>
      <c r="BD2246" s="23"/>
      <c r="BE2246" s="23"/>
      <c r="BF2246" s="23"/>
      <c r="BG2246" s="16"/>
      <c r="BH2246" s="23"/>
      <c r="BI2246" s="23"/>
      <c r="BJ2246" s="23"/>
      <c r="BN2246" s="23"/>
      <c r="BO2246" s="23"/>
      <c r="BP2246" s="16"/>
      <c r="BQ2246" s="16"/>
      <c r="BR2246" s="23"/>
      <c r="BS2246" s="16"/>
      <c r="BT2246" s="16"/>
      <c r="BU2246" s="16"/>
      <c r="BV2246" s="16"/>
      <c r="BW2246" s="16"/>
      <c r="BX2246" s="16"/>
      <c r="BY2246" s="16"/>
    </row>
    <row r="2247">
      <c r="A2247" s="16"/>
      <c r="B2247" s="16"/>
      <c r="C2247" s="22"/>
      <c r="D2247" s="16"/>
      <c r="E2247" s="16"/>
      <c r="F2247" s="16"/>
      <c r="G2247" s="16"/>
      <c r="H2247" s="16"/>
      <c r="I2247" s="23"/>
      <c r="J2247" s="23"/>
      <c r="K2247" s="16"/>
      <c r="L2247" s="23"/>
      <c r="M2247" s="23"/>
      <c r="N2247" s="23"/>
      <c r="O2247" s="16"/>
      <c r="P2247" s="23"/>
      <c r="Q2247" s="23"/>
      <c r="R2247" s="23"/>
      <c r="S2247" s="16"/>
      <c r="T2247" s="23"/>
      <c r="U2247" s="23"/>
      <c r="V2247" s="23"/>
      <c r="W2247" s="16"/>
      <c r="X2247" s="23"/>
      <c r="Y2247" s="23"/>
      <c r="Z2247" s="23"/>
      <c r="AA2247" s="16"/>
      <c r="AB2247" s="23"/>
      <c r="AC2247" s="23"/>
      <c r="AD2247" s="23"/>
      <c r="AE2247" s="16"/>
      <c r="AF2247" s="23"/>
      <c r="AG2247" s="23"/>
      <c r="AH2247" s="23"/>
      <c r="AI2247" s="16"/>
      <c r="AJ2247" s="23"/>
      <c r="AK2247" s="23"/>
      <c r="AL2247" s="23"/>
      <c r="AM2247" s="16"/>
      <c r="AN2247" s="23"/>
      <c r="AO2247" s="23"/>
      <c r="AP2247" s="23"/>
      <c r="AQ2247" s="16"/>
      <c r="AR2247" s="23"/>
      <c r="AS2247" s="23"/>
      <c r="AT2247" s="23"/>
      <c r="AU2247" s="16"/>
      <c r="AV2247" s="23"/>
      <c r="AW2247" s="23"/>
      <c r="AX2247" s="23"/>
      <c r="AY2247" s="16"/>
      <c r="AZ2247" s="23"/>
      <c r="BA2247" s="23"/>
      <c r="BB2247" s="23"/>
      <c r="BC2247" s="16"/>
      <c r="BD2247" s="23"/>
      <c r="BE2247" s="23"/>
      <c r="BF2247" s="23"/>
      <c r="BG2247" s="16"/>
      <c r="BH2247" s="23"/>
      <c r="BI2247" s="23"/>
      <c r="BJ2247" s="23"/>
      <c r="BN2247" s="23"/>
      <c r="BO2247" s="23"/>
      <c r="BP2247" s="16"/>
      <c r="BQ2247" s="16"/>
      <c r="BR2247" s="23"/>
      <c r="BS2247" s="16"/>
      <c r="BT2247" s="16"/>
      <c r="BU2247" s="16"/>
      <c r="BV2247" s="16"/>
      <c r="BW2247" s="16"/>
      <c r="BX2247" s="16"/>
      <c r="BY2247" s="16"/>
    </row>
    <row r="2248">
      <c r="A2248" s="16"/>
      <c r="B2248" s="16"/>
      <c r="C2248" s="22"/>
      <c r="D2248" s="16"/>
      <c r="E2248" s="16"/>
      <c r="F2248" s="16"/>
      <c r="G2248" s="16"/>
      <c r="H2248" s="16"/>
      <c r="I2248" s="23"/>
      <c r="J2248" s="23"/>
      <c r="K2248" s="16"/>
      <c r="L2248" s="23"/>
      <c r="M2248" s="23"/>
      <c r="N2248" s="23"/>
      <c r="O2248" s="16"/>
      <c r="P2248" s="23"/>
      <c r="Q2248" s="23"/>
      <c r="R2248" s="23"/>
      <c r="S2248" s="16"/>
      <c r="T2248" s="23"/>
      <c r="U2248" s="23"/>
      <c r="V2248" s="23"/>
      <c r="W2248" s="16"/>
      <c r="X2248" s="23"/>
      <c r="Y2248" s="23"/>
      <c r="Z2248" s="23"/>
      <c r="AA2248" s="16"/>
      <c r="AB2248" s="23"/>
      <c r="AC2248" s="23"/>
      <c r="AD2248" s="23"/>
      <c r="AE2248" s="16"/>
      <c r="AF2248" s="23"/>
      <c r="AG2248" s="23"/>
      <c r="AH2248" s="23"/>
      <c r="AI2248" s="16"/>
      <c r="AJ2248" s="23"/>
      <c r="AK2248" s="23"/>
      <c r="AL2248" s="23"/>
      <c r="AM2248" s="16"/>
      <c r="AN2248" s="23"/>
      <c r="AO2248" s="23"/>
      <c r="AP2248" s="23"/>
      <c r="AQ2248" s="16"/>
      <c r="AR2248" s="23"/>
      <c r="AS2248" s="23"/>
      <c r="AT2248" s="23"/>
      <c r="AU2248" s="16"/>
      <c r="AV2248" s="23"/>
      <c r="AW2248" s="23"/>
      <c r="AX2248" s="23"/>
      <c r="AY2248" s="16"/>
      <c r="AZ2248" s="23"/>
      <c r="BA2248" s="23"/>
      <c r="BB2248" s="23"/>
      <c r="BC2248" s="16"/>
      <c r="BD2248" s="23"/>
      <c r="BE2248" s="23"/>
      <c r="BF2248" s="23"/>
      <c r="BG2248" s="16"/>
      <c r="BH2248" s="23"/>
      <c r="BI2248" s="23"/>
      <c r="BJ2248" s="23"/>
      <c r="BN2248" s="23"/>
      <c r="BO2248" s="23"/>
      <c r="BP2248" s="16"/>
      <c r="BQ2248" s="16"/>
      <c r="BR2248" s="23"/>
      <c r="BS2248" s="16"/>
      <c r="BT2248" s="16"/>
      <c r="BU2248" s="16"/>
      <c r="BV2248" s="16"/>
      <c r="BW2248" s="16"/>
      <c r="BX2248" s="16"/>
      <c r="BY2248" s="16"/>
    </row>
    <row r="2249">
      <c r="A2249" s="16"/>
      <c r="B2249" s="16"/>
      <c r="C2249" s="22"/>
      <c r="D2249" s="16"/>
      <c r="E2249" s="16"/>
      <c r="F2249" s="16"/>
      <c r="G2249" s="16"/>
      <c r="H2249" s="16"/>
      <c r="I2249" s="23"/>
      <c r="J2249" s="23"/>
      <c r="K2249" s="16"/>
      <c r="L2249" s="23"/>
      <c r="M2249" s="23"/>
      <c r="N2249" s="23"/>
      <c r="O2249" s="16"/>
      <c r="P2249" s="23"/>
      <c r="Q2249" s="23"/>
      <c r="R2249" s="23"/>
      <c r="S2249" s="16"/>
      <c r="T2249" s="23"/>
      <c r="U2249" s="23"/>
      <c r="V2249" s="23"/>
      <c r="W2249" s="16"/>
      <c r="X2249" s="23"/>
      <c r="Y2249" s="23"/>
      <c r="Z2249" s="23"/>
      <c r="AA2249" s="16"/>
      <c r="AB2249" s="23"/>
      <c r="AC2249" s="23"/>
      <c r="AD2249" s="23"/>
      <c r="AE2249" s="16"/>
      <c r="AF2249" s="23"/>
      <c r="AG2249" s="23"/>
      <c r="AH2249" s="23"/>
      <c r="AI2249" s="16"/>
      <c r="AJ2249" s="23"/>
      <c r="AK2249" s="23"/>
      <c r="AL2249" s="23"/>
      <c r="AM2249" s="16"/>
      <c r="AN2249" s="23"/>
      <c r="AO2249" s="23"/>
      <c r="AP2249" s="23"/>
      <c r="AQ2249" s="16"/>
      <c r="AR2249" s="23"/>
      <c r="AS2249" s="23"/>
      <c r="AT2249" s="23"/>
      <c r="AU2249" s="16"/>
      <c r="AV2249" s="23"/>
      <c r="AW2249" s="23"/>
      <c r="AX2249" s="23"/>
      <c r="AY2249" s="16"/>
      <c r="AZ2249" s="23"/>
      <c r="BA2249" s="23"/>
      <c r="BB2249" s="23"/>
      <c r="BC2249" s="16"/>
      <c r="BD2249" s="23"/>
      <c r="BE2249" s="23"/>
      <c r="BF2249" s="23"/>
      <c r="BG2249" s="16"/>
      <c r="BH2249" s="23"/>
      <c r="BI2249" s="23"/>
      <c r="BJ2249" s="23"/>
      <c r="BN2249" s="23"/>
      <c r="BO2249" s="23"/>
      <c r="BP2249" s="16"/>
      <c r="BQ2249" s="16"/>
      <c r="BR2249" s="23"/>
      <c r="BS2249" s="16"/>
      <c r="BT2249" s="16"/>
      <c r="BU2249" s="16"/>
      <c r="BV2249" s="16"/>
      <c r="BW2249" s="16"/>
      <c r="BX2249" s="16"/>
      <c r="BY2249" s="16"/>
    </row>
    <row r="2250">
      <c r="A2250" s="16"/>
      <c r="B2250" s="16"/>
      <c r="C2250" s="22"/>
      <c r="D2250" s="16"/>
      <c r="E2250" s="16"/>
      <c r="F2250" s="16"/>
      <c r="G2250" s="16"/>
      <c r="H2250" s="16"/>
      <c r="I2250" s="23"/>
      <c r="J2250" s="23"/>
      <c r="K2250" s="16"/>
      <c r="L2250" s="23"/>
      <c r="M2250" s="23"/>
      <c r="N2250" s="23"/>
      <c r="O2250" s="16"/>
      <c r="P2250" s="23"/>
      <c r="Q2250" s="23"/>
      <c r="R2250" s="23"/>
      <c r="S2250" s="16"/>
      <c r="T2250" s="23"/>
      <c r="U2250" s="23"/>
      <c r="V2250" s="23"/>
      <c r="W2250" s="16"/>
      <c r="X2250" s="23"/>
      <c r="Y2250" s="23"/>
      <c r="Z2250" s="23"/>
      <c r="AA2250" s="16"/>
      <c r="AB2250" s="23"/>
      <c r="AC2250" s="23"/>
      <c r="AD2250" s="23"/>
      <c r="AE2250" s="16"/>
      <c r="AF2250" s="23"/>
      <c r="AG2250" s="23"/>
      <c r="AH2250" s="23"/>
      <c r="AI2250" s="16"/>
      <c r="AJ2250" s="23"/>
      <c r="AK2250" s="23"/>
      <c r="AL2250" s="23"/>
      <c r="AM2250" s="16"/>
      <c r="AN2250" s="23"/>
      <c r="AO2250" s="23"/>
      <c r="AP2250" s="23"/>
      <c r="AQ2250" s="16"/>
      <c r="AR2250" s="23"/>
      <c r="AS2250" s="23"/>
      <c r="AT2250" s="23"/>
      <c r="AU2250" s="16"/>
      <c r="AV2250" s="23"/>
      <c r="AW2250" s="23"/>
      <c r="AX2250" s="23"/>
      <c r="AY2250" s="16"/>
      <c r="AZ2250" s="23"/>
      <c r="BA2250" s="23"/>
      <c r="BB2250" s="23"/>
      <c r="BC2250" s="16"/>
      <c r="BD2250" s="23"/>
      <c r="BE2250" s="23"/>
      <c r="BF2250" s="23"/>
      <c r="BG2250" s="16"/>
      <c r="BH2250" s="23"/>
      <c r="BI2250" s="23"/>
      <c r="BJ2250" s="23"/>
      <c r="BN2250" s="23"/>
      <c r="BO2250" s="23"/>
      <c r="BP2250" s="16"/>
      <c r="BQ2250" s="16"/>
      <c r="BR2250" s="23"/>
      <c r="BS2250" s="16"/>
      <c r="BT2250" s="16"/>
      <c r="BU2250" s="16"/>
      <c r="BV2250" s="16"/>
      <c r="BW2250" s="16"/>
      <c r="BX2250" s="16"/>
      <c r="BY2250" s="16"/>
    </row>
    <row r="2251">
      <c r="A2251" s="16"/>
      <c r="B2251" s="16"/>
      <c r="C2251" s="22"/>
      <c r="D2251" s="16"/>
      <c r="E2251" s="16"/>
      <c r="F2251" s="16"/>
      <c r="G2251" s="16"/>
      <c r="H2251" s="16"/>
      <c r="I2251" s="23"/>
      <c r="J2251" s="23"/>
      <c r="K2251" s="16"/>
      <c r="L2251" s="23"/>
      <c r="M2251" s="23"/>
      <c r="N2251" s="23"/>
      <c r="O2251" s="16"/>
      <c r="P2251" s="23"/>
      <c r="Q2251" s="23"/>
      <c r="R2251" s="23"/>
      <c r="S2251" s="16"/>
      <c r="T2251" s="23"/>
      <c r="U2251" s="23"/>
      <c r="V2251" s="23"/>
      <c r="W2251" s="16"/>
      <c r="X2251" s="23"/>
      <c r="Y2251" s="23"/>
      <c r="Z2251" s="23"/>
      <c r="AA2251" s="16"/>
      <c r="AB2251" s="23"/>
      <c r="AC2251" s="23"/>
      <c r="AD2251" s="23"/>
      <c r="AE2251" s="16"/>
      <c r="AF2251" s="23"/>
      <c r="AG2251" s="23"/>
      <c r="AH2251" s="23"/>
      <c r="AI2251" s="16"/>
      <c r="AJ2251" s="23"/>
      <c r="AK2251" s="23"/>
      <c r="AL2251" s="23"/>
      <c r="AM2251" s="16"/>
      <c r="AN2251" s="23"/>
      <c r="AO2251" s="23"/>
      <c r="AP2251" s="23"/>
      <c r="AQ2251" s="16"/>
      <c r="AR2251" s="23"/>
      <c r="AS2251" s="23"/>
      <c r="AT2251" s="23"/>
      <c r="AU2251" s="16"/>
      <c r="AV2251" s="23"/>
      <c r="AW2251" s="23"/>
      <c r="AX2251" s="23"/>
      <c r="AY2251" s="16"/>
      <c r="AZ2251" s="23"/>
      <c r="BA2251" s="23"/>
      <c r="BB2251" s="23"/>
      <c r="BC2251" s="16"/>
      <c r="BD2251" s="23"/>
      <c r="BE2251" s="23"/>
      <c r="BF2251" s="23"/>
      <c r="BG2251" s="16"/>
      <c r="BH2251" s="23"/>
      <c r="BI2251" s="23"/>
      <c r="BJ2251" s="23"/>
      <c r="BN2251" s="23"/>
      <c r="BO2251" s="23"/>
      <c r="BP2251" s="16"/>
      <c r="BQ2251" s="16"/>
      <c r="BR2251" s="23"/>
      <c r="BS2251" s="16"/>
      <c r="BT2251" s="16"/>
      <c r="BU2251" s="16"/>
      <c r="BV2251" s="16"/>
      <c r="BW2251" s="16"/>
      <c r="BX2251" s="16"/>
      <c r="BY2251" s="16"/>
    </row>
    <row r="2252">
      <c r="A2252" s="16"/>
      <c r="B2252" s="16"/>
      <c r="C2252" s="22"/>
      <c r="D2252" s="16"/>
      <c r="E2252" s="16"/>
      <c r="F2252" s="16"/>
      <c r="G2252" s="16"/>
      <c r="H2252" s="16"/>
      <c r="I2252" s="23"/>
      <c r="J2252" s="23"/>
      <c r="K2252" s="16"/>
      <c r="L2252" s="23"/>
      <c r="M2252" s="23"/>
      <c r="N2252" s="23"/>
      <c r="O2252" s="16"/>
      <c r="P2252" s="23"/>
      <c r="Q2252" s="23"/>
      <c r="R2252" s="23"/>
      <c r="S2252" s="16"/>
      <c r="T2252" s="23"/>
      <c r="U2252" s="23"/>
      <c r="V2252" s="23"/>
      <c r="W2252" s="16"/>
      <c r="X2252" s="23"/>
      <c r="Y2252" s="23"/>
      <c r="Z2252" s="23"/>
      <c r="AA2252" s="16"/>
      <c r="AB2252" s="23"/>
      <c r="AC2252" s="23"/>
      <c r="AD2252" s="23"/>
      <c r="AE2252" s="16"/>
      <c r="AF2252" s="23"/>
      <c r="AG2252" s="23"/>
      <c r="AH2252" s="23"/>
      <c r="AI2252" s="16"/>
      <c r="AJ2252" s="23"/>
      <c r="AK2252" s="23"/>
      <c r="AL2252" s="23"/>
      <c r="AM2252" s="16"/>
      <c r="AN2252" s="23"/>
      <c r="AO2252" s="23"/>
      <c r="AP2252" s="23"/>
      <c r="AQ2252" s="16"/>
      <c r="AR2252" s="23"/>
      <c r="AS2252" s="23"/>
      <c r="AT2252" s="23"/>
      <c r="AU2252" s="16"/>
      <c r="AV2252" s="23"/>
      <c r="AW2252" s="23"/>
      <c r="AX2252" s="23"/>
      <c r="AY2252" s="16"/>
      <c r="AZ2252" s="23"/>
      <c r="BA2252" s="23"/>
      <c r="BB2252" s="23"/>
      <c r="BC2252" s="16"/>
      <c r="BD2252" s="23"/>
      <c r="BE2252" s="23"/>
      <c r="BF2252" s="23"/>
      <c r="BG2252" s="16"/>
      <c r="BH2252" s="23"/>
      <c r="BI2252" s="23"/>
      <c r="BJ2252" s="23"/>
      <c r="BN2252" s="23"/>
      <c r="BO2252" s="23"/>
      <c r="BP2252" s="16"/>
      <c r="BQ2252" s="16"/>
      <c r="BR2252" s="23"/>
      <c r="BS2252" s="16"/>
      <c r="BT2252" s="16"/>
      <c r="BU2252" s="16"/>
      <c r="BV2252" s="16"/>
      <c r="BW2252" s="16"/>
      <c r="BX2252" s="16"/>
      <c r="BY2252" s="16"/>
    </row>
    <row r="2253">
      <c r="A2253" s="16"/>
      <c r="B2253" s="16"/>
      <c r="C2253" s="22"/>
      <c r="D2253" s="16"/>
      <c r="E2253" s="16"/>
      <c r="F2253" s="16"/>
      <c r="G2253" s="16"/>
      <c r="H2253" s="16"/>
      <c r="I2253" s="23"/>
      <c r="J2253" s="23"/>
      <c r="K2253" s="16"/>
      <c r="L2253" s="23"/>
      <c r="M2253" s="23"/>
      <c r="N2253" s="23"/>
      <c r="O2253" s="16"/>
      <c r="P2253" s="23"/>
      <c r="Q2253" s="23"/>
      <c r="R2253" s="23"/>
      <c r="S2253" s="16"/>
      <c r="T2253" s="23"/>
      <c r="U2253" s="23"/>
      <c r="V2253" s="23"/>
      <c r="W2253" s="16"/>
      <c r="X2253" s="23"/>
      <c r="Y2253" s="23"/>
      <c r="Z2253" s="23"/>
      <c r="AA2253" s="16"/>
      <c r="AB2253" s="23"/>
      <c r="AC2253" s="23"/>
      <c r="AD2253" s="23"/>
      <c r="AE2253" s="16"/>
      <c r="AF2253" s="23"/>
      <c r="AG2253" s="23"/>
      <c r="AH2253" s="23"/>
      <c r="AI2253" s="16"/>
      <c r="AJ2253" s="23"/>
      <c r="AK2253" s="23"/>
      <c r="AL2253" s="23"/>
      <c r="AM2253" s="16"/>
      <c r="AN2253" s="23"/>
      <c r="AO2253" s="23"/>
      <c r="AP2253" s="23"/>
      <c r="AQ2253" s="16"/>
      <c r="AR2253" s="23"/>
      <c r="AS2253" s="23"/>
      <c r="AT2253" s="23"/>
      <c r="AU2253" s="16"/>
      <c r="AV2253" s="23"/>
      <c r="AW2253" s="23"/>
      <c r="AX2253" s="23"/>
      <c r="AY2253" s="16"/>
      <c r="AZ2253" s="23"/>
      <c r="BA2253" s="23"/>
      <c r="BB2253" s="23"/>
      <c r="BC2253" s="16"/>
      <c r="BD2253" s="23"/>
      <c r="BE2253" s="23"/>
      <c r="BF2253" s="23"/>
      <c r="BG2253" s="16"/>
      <c r="BH2253" s="23"/>
      <c r="BI2253" s="23"/>
      <c r="BJ2253" s="23"/>
      <c r="BN2253" s="23"/>
      <c r="BO2253" s="23"/>
      <c r="BP2253" s="16"/>
      <c r="BQ2253" s="16"/>
      <c r="BR2253" s="23"/>
      <c r="BS2253" s="16"/>
      <c r="BT2253" s="16"/>
      <c r="BU2253" s="16"/>
      <c r="BV2253" s="16"/>
      <c r="BW2253" s="16"/>
      <c r="BX2253" s="16"/>
      <c r="BY2253" s="16"/>
    </row>
    <row r="2254">
      <c r="A2254" s="16"/>
      <c r="B2254" s="16"/>
      <c r="C2254" s="22"/>
      <c r="D2254" s="16"/>
      <c r="E2254" s="16"/>
      <c r="F2254" s="16"/>
      <c r="G2254" s="16"/>
      <c r="H2254" s="16"/>
      <c r="I2254" s="23"/>
      <c r="J2254" s="23"/>
      <c r="K2254" s="16"/>
      <c r="L2254" s="23"/>
      <c r="M2254" s="23"/>
      <c r="N2254" s="23"/>
      <c r="O2254" s="16"/>
      <c r="P2254" s="23"/>
      <c r="Q2254" s="23"/>
      <c r="R2254" s="23"/>
      <c r="S2254" s="16"/>
      <c r="T2254" s="23"/>
      <c r="U2254" s="23"/>
      <c r="V2254" s="23"/>
      <c r="W2254" s="16"/>
      <c r="X2254" s="23"/>
      <c r="Y2254" s="23"/>
      <c r="Z2254" s="23"/>
      <c r="AA2254" s="16"/>
      <c r="AB2254" s="23"/>
      <c r="AC2254" s="23"/>
      <c r="AD2254" s="23"/>
      <c r="AE2254" s="16"/>
      <c r="AF2254" s="23"/>
      <c r="AG2254" s="23"/>
      <c r="AH2254" s="23"/>
      <c r="AI2254" s="16"/>
      <c r="AJ2254" s="23"/>
      <c r="AK2254" s="23"/>
      <c r="AL2254" s="23"/>
      <c r="AM2254" s="16"/>
      <c r="AN2254" s="23"/>
      <c r="AO2254" s="23"/>
      <c r="AP2254" s="23"/>
      <c r="AQ2254" s="16"/>
      <c r="AR2254" s="23"/>
      <c r="AS2254" s="23"/>
      <c r="AT2254" s="23"/>
      <c r="AU2254" s="16"/>
      <c r="AV2254" s="23"/>
      <c r="AW2254" s="23"/>
      <c r="AX2254" s="23"/>
      <c r="AY2254" s="16"/>
      <c r="AZ2254" s="23"/>
      <c r="BA2254" s="23"/>
      <c r="BB2254" s="23"/>
      <c r="BC2254" s="16"/>
      <c r="BD2254" s="23"/>
      <c r="BE2254" s="23"/>
      <c r="BF2254" s="23"/>
      <c r="BG2254" s="16"/>
      <c r="BH2254" s="23"/>
      <c r="BI2254" s="23"/>
      <c r="BJ2254" s="23"/>
      <c r="BN2254" s="23"/>
      <c r="BO2254" s="23"/>
      <c r="BP2254" s="16"/>
      <c r="BQ2254" s="16"/>
      <c r="BR2254" s="23"/>
      <c r="BS2254" s="16"/>
      <c r="BT2254" s="16"/>
      <c r="BU2254" s="16"/>
      <c r="BV2254" s="16"/>
      <c r="BW2254" s="16"/>
      <c r="BX2254" s="16"/>
      <c r="BY2254" s="16"/>
    </row>
    <row r="2255">
      <c r="A2255" s="16"/>
      <c r="B2255" s="16"/>
      <c r="C2255" s="22"/>
      <c r="D2255" s="16"/>
      <c r="E2255" s="16"/>
      <c r="F2255" s="16"/>
      <c r="G2255" s="16"/>
      <c r="H2255" s="16"/>
      <c r="I2255" s="23"/>
      <c r="J2255" s="23"/>
      <c r="K2255" s="16"/>
      <c r="L2255" s="23"/>
      <c r="M2255" s="23"/>
      <c r="N2255" s="23"/>
      <c r="O2255" s="16"/>
      <c r="P2255" s="23"/>
      <c r="Q2255" s="23"/>
      <c r="R2255" s="23"/>
      <c r="S2255" s="16"/>
      <c r="T2255" s="23"/>
      <c r="U2255" s="23"/>
      <c r="V2255" s="23"/>
      <c r="W2255" s="16"/>
      <c r="X2255" s="23"/>
      <c r="Y2255" s="23"/>
      <c r="Z2255" s="23"/>
      <c r="AA2255" s="16"/>
      <c r="AB2255" s="23"/>
      <c r="AC2255" s="23"/>
      <c r="AD2255" s="23"/>
      <c r="AE2255" s="16"/>
      <c r="AF2255" s="23"/>
      <c r="AG2255" s="23"/>
      <c r="AH2255" s="23"/>
      <c r="AI2255" s="16"/>
      <c r="AJ2255" s="23"/>
      <c r="AK2255" s="23"/>
      <c r="AL2255" s="23"/>
      <c r="AM2255" s="16"/>
      <c r="AN2255" s="23"/>
      <c r="AO2255" s="23"/>
      <c r="AP2255" s="23"/>
      <c r="AQ2255" s="16"/>
      <c r="AR2255" s="23"/>
      <c r="AS2255" s="23"/>
      <c r="AT2255" s="23"/>
      <c r="AU2255" s="16"/>
      <c r="AV2255" s="23"/>
      <c r="AW2255" s="23"/>
      <c r="AX2255" s="23"/>
      <c r="AY2255" s="16"/>
      <c r="AZ2255" s="23"/>
      <c r="BA2255" s="23"/>
      <c r="BB2255" s="23"/>
      <c r="BC2255" s="16"/>
      <c r="BD2255" s="23"/>
      <c r="BE2255" s="23"/>
      <c r="BF2255" s="23"/>
      <c r="BG2255" s="16"/>
      <c r="BH2255" s="23"/>
      <c r="BI2255" s="23"/>
      <c r="BJ2255" s="23"/>
      <c r="BN2255" s="23"/>
      <c r="BO2255" s="23"/>
      <c r="BP2255" s="16"/>
      <c r="BQ2255" s="16"/>
      <c r="BR2255" s="23"/>
      <c r="BS2255" s="16"/>
      <c r="BT2255" s="16"/>
      <c r="BU2255" s="16"/>
      <c r="BV2255" s="16"/>
      <c r="BW2255" s="16"/>
      <c r="BX2255" s="16"/>
      <c r="BY2255" s="16"/>
    </row>
    <row r="2256">
      <c r="A2256" s="16"/>
      <c r="B2256" s="16"/>
      <c r="C2256" s="22"/>
      <c r="D2256" s="16"/>
      <c r="E2256" s="16"/>
      <c r="F2256" s="16"/>
      <c r="G2256" s="16"/>
      <c r="H2256" s="16"/>
      <c r="I2256" s="23"/>
      <c r="J2256" s="23"/>
      <c r="K2256" s="16"/>
      <c r="L2256" s="23"/>
      <c r="M2256" s="23"/>
      <c r="N2256" s="23"/>
      <c r="O2256" s="16"/>
      <c r="P2256" s="23"/>
      <c r="Q2256" s="23"/>
      <c r="R2256" s="23"/>
      <c r="S2256" s="16"/>
      <c r="T2256" s="23"/>
      <c r="U2256" s="23"/>
      <c r="V2256" s="23"/>
      <c r="W2256" s="16"/>
      <c r="X2256" s="23"/>
      <c r="Y2256" s="23"/>
      <c r="Z2256" s="23"/>
      <c r="AA2256" s="16"/>
      <c r="AB2256" s="23"/>
      <c r="AC2256" s="23"/>
      <c r="AD2256" s="23"/>
      <c r="AE2256" s="16"/>
      <c r="AF2256" s="23"/>
      <c r="AG2256" s="23"/>
      <c r="AH2256" s="23"/>
      <c r="AI2256" s="16"/>
      <c r="AJ2256" s="23"/>
      <c r="AK2256" s="23"/>
      <c r="AL2256" s="23"/>
      <c r="AM2256" s="16"/>
      <c r="AN2256" s="23"/>
      <c r="AO2256" s="23"/>
      <c r="AP2256" s="23"/>
      <c r="AQ2256" s="16"/>
      <c r="AR2256" s="23"/>
      <c r="AS2256" s="23"/>
      <c r="AT2256" s="23"/>
      <c r="AU2256" s="16"/>
      <c r="AV2256" s="23"/>
      <c r="AW2256" s="23"/>
      <c r="AX2256" s="23"/>
      <c r="AY2256" s="16"/>
      <c r="AZ2256" s="23"/>
      <c r="BA2256" s="23"/>
      <c r="BB2256" s="23"/>
      <c r="BC2256" s="16"/>
      <c r="BD2256" s="23"/>
      <c r="BE2256" s="23"/>
      <c r="BF2256" s="23"/>
      <c r="BG2256" s="16"/>
      <c r="BH2256" s="23"/>
      <c r="BI2256" s="23"/>
      <c r="BJ2256" s="23"/>
      <c r="BN2256" s="23"/>
      <c r="BO2256" s="23"/>
      <c r="BP2256" s="16"/>
      <c r="BQ2256" s="16"/>
      <c r="BR2256" s="23"/>
      <c r="BS2256" s="16"/>
      <c r="BT2256" s="16"/>
      <c r="BU2256" s="16"/>
      <c r="BV2256" s="16"/>
      <c r="BW2256" s="16"/>
      <c r="BX2256" s="16"/>
      <c r="BY2256" s="16"/>
    </row>
    <row r="2257">
      <c r="A2257" s="16"/>
      <c r="B2257" s="16"/>
      <c r="C2257" s="22"/>
      <c r="D2257" s="16"/>
      <c r="E2257" s="16"/>
      <c r="F2257" s="16"/>
      <c r="G2257" s="16"/>
      <c r="H2257" s="16"/>
      <c r="I2257" s="23"/>
      <c r="J2257" s="23"/>
      <c r="K2257" s="16"/>
      <c r="L2257" s="23"/>
      <c r="M2257" s="23"/>
      <c r="N2257" s="23"/>
      <c r="O2257" s="16"/>
      <c r="P2257" s="23"/>
      <c r="Q2257" s="23"/>
      <c r="R2257" s="23"/>
      <c r="S2257" s="16"/>
      <c r="T2257" s="23"/>
      <c r="U2257" s="23"/>
      <c r="V2257" s="23"/>
      <c r="W2257" s="16"/>
      <c r="X2257" s="23"/>
      <c r="Y2257" s="23"/>
      <c r="Z2257" s="23"/>
      <c r="AA2257" s="16"/>
      <c r="AB2257" s="23"/>
      <c r="AC2257" s="23"/>
      <c r="AD2257" s="23"/>
      <c r="AE2257" s="16"/>
      <c r="AF2257" s="23"/>
      <c r="AG2257" s="23"/>
      <c r="AH2257" s="23"/>
      <c r="AI2257" s="16"/>
      <c r="AJ2257" s="23"/>
      <c r="AK2257" s="23"/>
      <c r="AL2257" s="23"/>
      <c r="AM2257" s="16"/>
      <c r="AN2257" s="23"/>
      <c r="AO2257" s="23"/>
      <c r="AP2257" s="23"/>
      <c r="AQ2257" s="16"/>
      <c r="AR2257" s="23"/>
      <c r="AS2257" s="23"/>
      <c r="AT2257" s="23"/>
      <c r="AU2257" s="16"/>
      <c r="AV2257" s="23"/>
      <c r="AW2257" s="23"/>
      <c r="AX2257" s="23"/>
      <c r="AY2257" s="16"/>
      <c r="AZ2257" s="23"/>
      <c r="BA2257" s="23"/>
      <c r="BB2257" s="23"/>
      <c r="BC2257" s="16"/>
      <c r="BD2257" s="23"/>
      <c r="BE2257" s="23"/>
      <c r="BF2257" s="23"/>
      <c r="BG2257" s="16"/>
      <c r="BH2257" s="23"/>
      <c r="BI2257" s="23"/>
      <c r="BJ2257" s="23"/>
      <c r="BN2257" s="23"/>
      <c r="BO2257" s="23"/>
      <c r="BP2257" s="16"/>
      <c r="BQ2257" s="16"/>
      <c r="BR2257" s="23"/>
      <c r="BS2257" s="16"/>
      <c r="BT2257" s="16"/>
      <c r="BU2257" s="16"/>
      <c r="BV2257" s="16"/>
      <c r="BW2257" s="16"/>
      <c r="BX2257" s="16"/>
      <c r="BY2257" s="16"/>
    </row>
    <row r="2258">
      <c r="A2258" s="16"/>
      <c r="B2258" s="16"/>
      <c r="C2258" s="22"/>
      <c r="D2258" s="16"/>
      <c r="E2258" s="16"/>
      <c r="F2258" s="16"/>
      <c r="G2258" s="16"/>
      <c r="H2258" s="16"/>
      <c r="I2258" s="23"/>
      <c r="J2258" s="23"/>
      <c r="K2258" s="16"/>
      <c r="L2258" s="23"/>
      <c r="M2258" s="23"/>
      <c r="N2258" s="23"/>
      <c r="O2258" s="16"/>
      <c r="P2258" s="23"/>
      <c r="Q2258" s="23"/>
      <c r="R2258" s="23"/>
      <c r="S2258" s="16"/>
      <c r="T2258" s="23"/>
      <c r="U2258" s="23"/>
      <c r="V2258" s="23"/>
      <c r="W2258" s="16"/>
      <c r="X2258" s="23"/>
      <c r="Y2258" s="23"/>
      <c r="Z2258" s="23"/>
      <c r="AA2258" s="16"/>
      <c r="AB2258" s="23"/>
      <c r="AC2258" s="23"/>
      <c r="AD2258" s="23"/>
      <c r="AE2258" s="16"/>
      <c r="AF2258" s="23"/>
      <c r="AG2258" s="23"/>
      <c r="AH2258" s="23"/>
      <c r="AI2258" s="16"/>
      <c r="AJ2258" s="23"/>
      <c r="AK2258" s="23"/>
      <c r="AL2258" s="23"/>
      <c r="AM2258" s="16"/>
      <c r="AN2258" s="23"/>
      <c r="AO2258" s="23"/>
      <c r="AP2258" s="23"/>
      <c r="AQ2258" s="16"/>
      <c r="AR2258" s="23"/>
      <c r="AS2258" s="23"/>
      <c r="AT2258" s="23"/>
      <c r="AU2258" s="16"/>
      <c r="AV2258" s="23"/>
      <c r="AW2258" s="23"/>
      <c r="AX2258" s="23"/>
      <c r="AY2258" s="16"/>
      <c r="AZ2258" s="23"/>
      <c r="BA2258" s="23"/>
      <c r="BB2258" s="23"/>
      <c r="BC2258" s="16"/>
      <c r="BD2258" s="23"/>
      <c r="BE2258" s="23"/>
      <c r="BF2258" s="23"/>
      <c r="BG2258" s="16"/>
      <c r="BH2258" s="23"/>
      <c r="BI2258" s="23"/>
      <c r="BJ2258" s="23"/>
      <c r="BN2258" s="23"/>
      <c r="BO2258" s="23"/>
      <c r="BP2258" s="16"/>
      <c r="BQ2258" s="16"/>
      <c r="BR2258" s="23"/>
      <c r="BS2258" s="16"/>
      <c r="BT2258" s="16"/>
      <c r="BU2258" s="16"/>
      <c r="BV2258" s="16"/>
      <c r="BW2258" s="16"/>
      <c r="BX2258" s="16"/>
      <c r="BY2258" s="16"/>
    </row>
    <row r="2259">
      <c r="A2259" s="16"/>
      <c r="B2259" s="16"/>
      <c r="C2259" s="22"/>
      <c r="D2259" s="16"/>
      <c r="E2259" s="16"/>
      <c r="F2259" s="16"/>
      <c r="G2259" s="16"/>
      <c r="H2259" s="16"/>
      <c r="I2259" s="23"/>
      <c r="J2259" s="23"/>
      <c r="K2259" s="16"/>
      <c r="L2259" s="23"/>
      <c r="M2259" s="23"/>
      <c r="N2259" s="23"/>
      <c r="O2259" s="16"/>
      <c r="P2259" s="23"/>
      <c r="Q2259" s="23"/>
      <c r="R2259" s="23"/>
      <c r="S2259" s="16"/>
      <c r="T2259" s="23"/>
      <c r="U2259" s="23"/>
      <c r="V2259" s="23"/>
      <c r="W2259" s="16"/>
      <c r="X2259" s="23"/>
      <c r="Y2259" s="23"/>
      <c r="Z2259" s="23"/>
      <c r="AA2259" s="16"/>
      <c r="AB2259" s="23"/>
      <c r="AC2259" s="23"/>
      <c r="AD2259" s="23"/>
      <c r="AE2259" s="16"/>
      <c r="AF2259" s="23"/>
      <c r="AG2259" s="23"/>
      <c r="AH2259" s="23"/>
      <c r="AI2259" s="16"/>
      <c r="AJ2259" s="23"/>
      <c r="AK2259" s="23"/>
      <c r="AL2259" s="23"/>
      <c r="AM2259" s="16"/>
      <c r="AN2259" s="23"/>
      <c r="AO2259" s="23"/>
      <c r="AP2259" s="23"/>
      <c r="AQ2259" s="16"/>
      <c r="AR2259" s="23"/>
      <c r="AS2259" s="23"/>
      <c r="AT2259" s="23"/>
      <c r="AU2259" s="16"/>
      <c r="AV2259" s="23"/>
      <c r="AW2259" s="23"/>
      <c r="AX2259" s="23"/>
      <c r="AY2259" s="16"/>
      <c r="AZ2259" s="23"/>
      <c r="BA2259" s="23"/>
      <c r="BB2259" s="23"/>
      <c r="BC2259" s="16"/>
      <c r="BD2259" s="23"/>
      <c r="BE2259" s="23"/>
      <c r="BF2259" s="23"/>
      <c r="BG2259" s="16"/>
      <c r="BH2259" s="23"/>
      <c r="BI2259" s="23"/>
      <c r="BJ2259" s="23"/>
      <c r="BN2259" s="23"/>
      <c r="BO2259" s="23"/>
      <c r="BP2259" s="16"/>
      <c r="BQ2259" s="16"/>
      <c r="BR2259" s="23"/>
      <c r="BS2259" s="16"/>
      <c r="BT2259" s="16"/>
      <c r="BU2259" s="16"/>
      <c r="BV2259" s="16"/>
      <c r="BW2259" s="16"/>
      <c r="BX2259" s="16"/>
      <c r="BY2259" s="16"/>
    </row>
    <row r="2260">
      <c r="A2260" s="16"/>
      <c r="B2260" s="16"/>
      <c r="C2260" s="22"/>
      <c r="D2260" s="16"/>
      <c r="E2260" s="16"/>
      <c r="F2260" s="16"/>
      <c r="G2260" s="16"/>
      <c r="H2260" s="16"/>
      <c r="I2260" s="23"/>
      <c r="J2260" s="23"/>
      <c r="K2260" s="16"/>
      <c r="L2260" s="23"/>
      <c r="M2260" s="23"/>
      <c r="N2260" s="23"/>
      <c r="O2260" s="16"/>
      <c r="P2260" s="23"/>
      <c r="Q2260" s="23"/>
      <c r="R2260" s="23"/>
      <c r="S2260" s="16"/>
      <c r="T2260" s="23"/>
      <c r="U2260" s="23"/>
      <c r="V2260" s="23"/>
      <c r="W2260" s="16"/>
      <c r="X2260" s="23"/>
      <c r="Y2260" s="23"/>
      <c r="Z2260" s="23"/>
      <c r="AA2260" s="16"/>
      <c r="AB2260" s="23"/>
      <c r="AC2260" s="23"/>
      <c r="AD2260" s="23"/>
      <c r="AE2260" s="16"/>
      <c r="AF2260" s="23"/>
      <c r="AG2260" s="23"/>
      <c r="AH2260" s="23"/>
      <c r="AI2260" s="16"/>
      <c r="AJ2260" s="23"/>
      <c r="AK2260" s="23"/>
      <c r="AL2260" s="23"/>
      <c r="AM2260" s="16"/>
      <c r="AN2260" s="23"/>
      <c r="AO2260" s="23"/>
      <c r="AP2260" s="23"/>
      <c r="AQ2260" s="16"/>
      <c r="AR2260" s="23"/>
      <c r="AS2260" s="23"/>
      <c r="AT2260" s="23"/>
      <c r="AU2260" s="16"/>
      <c r="AV2260" s="23"/>
      <c r="AW2260" s="23"/>
      <c r="AX2260" s="23"/>
      <c r="AY2260" s="16"/>
      <c r="AZ2260" s="23"/>
      <c r="BA2260" s="23"/>
      <c r="BB2260" s="23"/>
      <c r="BC2260" s="16"/>
      <c r="BD2260" s="23"/>
      <c r="BE2260" s="23"/>
      <c r="BF2260" s="23"/>
      <c r="BG2260" s="16"/>
      <c r="BH2260" s="23"/>
      <c r="BI2260" s="23"/>
      <c r="BJ2260" s="23"/>
      <c r="BN2260" s="23"/>
      <c r="BO2260" s="23"/>
      <c r="BP2260" s="16"/>
      <c r="BQ2260" s="16"/>
      <c r="BR2260" s="23"/>
      <c r="BS2260" s="16"/>
      <c r="BT2260" s="16"/>
      <c r="BU2260" s="16"/>
      <c r="BV2260" s="16"/>
      <c r="BW2260" s="16"/>
      <c r="BX2260" s="16"/>
      <c r="BY2260" s="16"/>
    </row>
    <row r="2261">
      <c r="A2261" s="16"/>
      <c r="B2261" s="16"/>
      <c r="C2261" s="22"/>
      <c r="D2261" s="16"/>
      <c r="E2261" s="16"/>
      <c r="F2261" s="16"/>
      <c r="G2261" s="16"/>
      <c r="H2261" s="16"/>
      <c r="I2261" s="23"/>
      <c r="J2261" s="23"/>
      <c r="K2261" s="16"/>
      <c r="L2261" s="23"/>
      <c r="M2261" s="23"/>
      <c r="N2261" s="23"/>
      <c r="O2261" s="16"/>
      <c r="P2261" s="23"/>
      <c r="Q2261" s="23"/>
      <c r="R2261" s="23"/>
      <c r="S2261" s="16"/>
      <c r="T2261" s="23"/>
      <c r="U2261" s="23"/>
      <c r="V2261" s="23"/>
      <c r="W2261" s="16"/>
      <c r="X2261" s="23"/>
      <c r="Y2261" s="23"/>
      <c r="Z2261" s="23"/>
      <c r="AA2261" s="16"/>
      <c r="AB2261" s="23"/>
      <c r="AC2261" s="23"/>
      <c r="AD2261" s="23"/>
      <c r="AE2261" s="16"/>
      <c r="AF2261" s="23"/>
      <c r="AG2261" s="23"/>
      <c r="AH2261" s="23"/>
      <c r="AI2261" s="16"/>
      <c r="AJ2261" s="23"/>
      <c r="AK2261" s="23"/>
      <c r="AL2261" s="23"/>
      <c r="AM2261" s="16"/>
      <c r="AN2261" s="23"/>
      <c r="AO2261" s="23"/>
      <c r="AP2261" s="23"/>
      <c r="AQ2261" s="16"/>
      <c r="AR2261" s="23"/>
      <c r="AS2261" s="23"/>
      <c r="AT2261" s="23"/>
      <c r="AU2261" s="16"/>
      <c r="AV2261" s="23"/>
      <c r="AW2261" s="23"/>
      <c r="AX2261" s="23"/>
      <c r="AY2261" s="16"/>
      <c r="AZ2261" s="23"/>
      <c r="BA2261" s="23"/>
      <c r="BB2261" s="23"/>
      <c r="BC2261" s="16"/>
      <c r="BD2261" s="23"/>
      <c r="BE2261" s="23"/>
      <c r="BF2261" s="23"/>
      <c r="BG2261" s="16"/>
      <c r="BH2261" s="23"/>
      <c r="BI2261" s="23"/>
      <c r="BJ2261" s="23"/>
      <c r="BN2261" s="23"/>
      <c r="BO2261" s="23"/>
      <c r="BP2261" s="16"/>
      <c r="BQ2261" s="16"/>
      <c r="BR2261" s="23"/>
      <c r="BS2261" s="16"/>
      <c r="BT2261" s="16"/>
      <c r="BU2261" s="16"/>
      <c r="BV2261" s="16"/>
      <c r="BW2261" s="16"/>
      <c r="BX2261" s="16"/>
      <c r="BY2261" s="16"/>
    </row>
    <row r="2262">
      <c r="A2262" s="16"/>
      <c r="B2262" s="16"/>
      <c r="C2262" s="22"/>
      <c r="D2262" s="16"/>
      <c r="E2262" s="16"/>
      <c r="F2262" s="16"/>
      <c r="G2262" s="16"/>
      <c r="H2262" s="16"/>
      <c r="I2262" s="23"/>
      <c r="J2262" s="23"/>
      <c r="K2262" s="16"/>
      <c r="L2262" s="23"/>
      <c r="M2262" s="23"/>
      <c r="N2262" s="23"/>
      <c r="O2262" s="16"/>
      <c r="P2262" s="23"/>
      <c r="Q2262" s="23"/>
      <c r="R2262" s="23"/>
      <c r="S2262" s="16"/>
      <c r="T2262" s="23"/>
      <c r="U2262" s="23"/>
      <c r="V2262" s="23"/>
      <c r="W2262" s="16"/>
      <c r="X2262" s="23"/>
      <c r="Y2262" s="23"/>
      <c r="Z2262" s="23"/>
      <c r="AA2262" s="16"/>
      <c r="AB2262" s="23"/>
      <c r="AC2262" s="23"/>
      <c r="AD2262" s="23"/>
      <c r="AE2262" s="16"/>
      <c r="AF2262" s="23"/>
      <c r="AG2262" s="23"/>
      <c r="AH2262" s="23"/>
      <c r="AI2262" s="16"/>
      <c r="AJ2262" s="23"/>
      <c r="AK2262" s="23"/>
      <c r="AL2262" s="23"/>
      <c r="AM2262" s="16"/>
      <c r="AN2262" s="23"/>
      <c r="AO2262" s="23"/>
      <c r="AP2262" s="23"/>
      <c r="AQ2262" s="16"/>
      <c r="AR2262" s="23"/>
      <c r="AS2262" s="23"/>
      <c r="AT2262" s="23"/>
      <c r="AU2262" s="16"/>
      <c r="AV2262" s="23"/>
      <c r="AW2262" s="23"/>
      <c r="AX2262" s="23"/>
      <c r="AY2262" s="16"/>
      <c r="AZ2262" s="23"/>
      <c r="BA2262" s="23"/>
      <c r="BB2262" s="23"/>
      <c r="BC2262" s="16"/>
      <c r="BD2262" s="23"/>
      <c r="BE2262" s="23"/>
      <c r="BF2262" s="23"/>
      <c r="BG2262" s="16"/>
      <c r="BH2262" s="23"/>
      <c r="BI2262" s="23"/>
      <c r="BJ2262" s="23"/>
      <c r="BN2262" s="23"/>
      <c r="BO2262" s="23"/>
      <c r="BP2262" s="16"/>
      <c r="BQ2262" s="16"/>
      <c r="BR2262" s="23"/>
      <c r="BS2262" s="16"/>
      <c r="BT2262" s="16"/>
      <c r="BU2262" s="16"/>
      <c r="BV2262" s="16"/>
      <c r="BW2262" s="16"/>
      <c r="BX2262" s="16"/>
      <c r="BY2262" s="16"/>
    </row>
    <row r="2263">
      <c r="A2263" s="16"/>
      <c r="B2263" s="16"/>
      <c r="C2263" s="22"/>
      <c r="D2263" s="16"/>
      <c r="E2263" s="16"/>
      <c r="F2263" s="16"/>
      <c r="G2263" s="16"/>
      <c r="H2263" s="16"/>
      <c r="I2263" s="23"/>
      <c r="J2263" s="23"/>
      <c r="K2263" s="16"/>
      <c r="L2263" s="23"/>
      <c r="M2263" s="23"/>
      <c r="N2263" s="23"/>
      <c r="O2263" s="16"/>
      <c r="P2263" s="23"/>
      <c r="Q2263" s="23"/>
      <c r="R2263" s="23"/>
      <c r="S2263" s="16"/>
      <c r="T2263" s="23"/>
      <c r="U2263" s="23"/>
      <c r="V2263" s="23"/>
      <c r="W2263" s="16"/>
      <c r="X2263" s="23"/>
      <c r="Y2263" s="23"/>
      <c r="Z2263" s="23"/>
      <c r="AA2263" s="16"/>
      <c r="AB2263" s="23"/>
      <c r="AC2263" s="23"/>
      <c r="AD2263" s="23"/>
      <c r="AE2263" s="16"/>
      <c r="AF2263" s="23"/>
      <c r="AG2263" s="23"/>
      <c r="AH2263" s="23"/>
      <c r="AI2263" s="16"/>
      <c r="AJ2263" s="23"/>
      <c r="AK2263" s="23"/>
      <c r="AL2263" s="23"/>
      <c r="AM2263" s="16"/>
      <c r="AN2263" s="23"/>
      <c r="AO2263" s="23"/>
      <c r="AP2263" s="23"/>
      <c r="AQ2263" s="16"/>
      <c r="AR2263" s="23"/>
      <c r="AS2263" s="23"/>
      <c r="AT2263" s="23"/>
      <c r="AU2263" s="16"/>
      <c r="AV2263" s="23"/>
      <c r="AW2263" s="23"/>
      <c r="AX2263" s="23"/>
      <c r="AY2263" s="16"/>
      <c r="AZ2263" s="23"/>
      <c r="BA2263" s="23"/>
      <c r="BB2263" s="23"/>
      <c r="BC2263" s="16"/>
      <c r="BD2263" s="23"/>
      <c r="BE2263" s="23"/>
      <c r="BF2263" s="23"/>
      <c r="BG2263" s="16"/>
      <c r="BH2263" s="23"/>
      <c r="BI2263" s="23"/>
      <c r="BJ2263" s="23"/>
      <c r="BN2263" s="23"/>
      <c r="BO2263" s="23"/>
      <c r="BP2263" s="16"/>
      <c r="BQ2263" s="16"/>
      <c r="BR2263" s="23"/>
      <c r="BS2263" s="16"/>
      <c r="BT2263" s="16"/>
      <c r="BU2263" s="16"/>
      <c r="BV2263" s="16"/>
      <c r="BW2263" s="16"/>
      <c r="BX2263" s="16"/>
      <c r="BY2263" s="16"/>
    </row>
    <row r="2264">
      <c r="A2264" s="16"/>
      <c r="B2264" s="16"/>
      <c r="C2264" s="22"/>
      <c r="D2264" s="16"/>
      <c r="E2264" s="16"/>
      <c r="F2264" s="16"/>
      <c r="G2264" s="16"/>
      <c r="H2264" s="16"/>
      <c r="I2264" s="23"/>
      <c r="J2264" s="23"/>
      <c r="K2264" s="16"/>
      <c r="L2264" s="23"/>
      <c r="M2264" s="23"/>
      <c r="N2264" s="23"/>
      <c r="O2264" s="16"/>
      <c r="P2264" s="23"/>
      <c r="Q2264" s="23"/>
      <c r="R2264" s="23"/>
      <c r="S2264" s="16"/>
      <c r="T2264" s="23"/>
      <c r="U2264" s="23"/>
      <c r="V2264" s="23"/>
      <c r="W2264" s="16"/>
      <c r="X2264" s="23"/>
      <c r="Y2264" s="23"/>
      <c r="Z2264" s="23"/>
      <c r="AA2264" s="16"/>
      <c r="AB2264" s="23"/>
      <c r="AC2264" s="23"/>
      <c r="AD2264" s="23"/>
      <c r="AE2264" s="16"/>
      <c r="AF2264" s="23"/>
      <c r="AG2264" s="23"/>
      <c r="AH2264" s="23"/>
      <c r="AI2264" s="16"/>
      <c r="AJ2264" s="23"/>
      <c r="AK2264" s="23"/>
      <c r="AL2264" s="23"/>
      <c r="AM2264" s="16"/>
      <c r="AN2264" s="23"/>
      <c r="AO2264" s="23"/>
      <c r="AP2264" s="23"/>
      <c r="AQ2264" s="16"/>
      <c r="AR2264" s="23"/>
      <c r="AS2264" s="23"/>
      <c r="AT2264" s="23"/>
      <c r="AU2264" s="16"/>
      <c r="AV2264" s="23"/>
      <c r="AW2264" s="23"/>
      <c r="AX2264" s="23"/>
      <c r="AY2264" s="16"/>
      <c r="AZ2264" s="23"/>
      <c r="BA2264" s="23"/>
      <c r="BB2264" s="23"/>
      <c r="BC2264" s="16"/>
      <c r="BD2264" s="23"/>
      <c r="BE2264" s="23"/>
      <c r="BF2264" s="23"/>
      <c r="BG2264" s="16"/>
      <c r="BH2264" s="23"/>
      <c r="BI2264" s="23"/>
      <c r="BJ2264" s="23"/>
      <c r="BN2264" s="23"/>
      <c r="BO2264" s="23"/>
      <c r="BP2264" s="16"/>
      <c r="BQ2264" s="16"/>
      <c r="BR2264" s="23"/>
      <c r="BS2264" s="16"/>
      <c r="BT2264" s="16"/>
      <c r="BU2264" s="16"/>
      <c r="BV2264" s="16"/>
      <c r="BW2264" s="16"/>
      <c r="BX2264" s="16"/>
      <c r="BY2264" s="16"/>
    </row>
    <row r="2265">
      <c r="A2265" s="16"/>
      <c r="B2265" s="16"/>
      <c r="C2265" s="22"/>
      <c r="D2265" s="16"/>
      <c r="E2265" s="16"/>
      <c r="F2265" s="16"/>
      <c r="G2265" s="16"/>
      <c r="H2265" s="16"/>
      <c r="I2265" s="23"/>
      <c r="J2265" s="23"/>
      <c r="K2265" s="16"/>
      <c r="L2265" s="23"/>
      <c r="M2265" s="23"/>
      <c r="N2265" s="23"/>
      <c r="O2265" s="16"/>
      <c r="P2265" s="23"/>
      <c r="Q2265" s="23"/>
      <c r="R2265" s="23"/>
      <c r="S2265" s="16"/>
      <c r="T2265" s="23"/>
      <c r="U2265" s="23"/>
      <c r="V2265" s="23"/>
      <c r="W2265" s="16"/>
      <c r="X2265" s="23"/>
      <c r="Y2265" s="23"/>
      <c r="Z2265" s="23"/>
      <c r="AA2265" s="16"/>
      <c r="AB2265" s="23"/>
      <c r="AC2265" s="23"/>
      <c r="AD2265" s="23"/>
      <c r="AE2265" s="16"/>
      <c r="AF2265" s="23"/>
      <c r="AG2265" s="23"/>
      <c r="AH2265" s="23"/>
      <c r="AI2265" s="16"/>
      <c r="AJ2265" s="23"/>
      <c r="AK2265" s="23"/>
      <c r="AL2265" s="23"/>
      <c r="AM2265" s="16"/>
      <c r="AN2265" s="23"/>
      <c r="AO2265" s="23"/>
      <c r="AP2265" s="23"/>
      <c r="AQ2265" s="16"/>
      <c r="AR2265" s="23"/>
      <c r="AS2265" s="23"/>
      <c r="AT2265" s="23"/>
      <c r="AU2265" s="16"/>
      <c r="AV2265" s="23"/>
      <c r="AW2265" s="23"/>
      <c r="AX2265" s="23"/>
      <c r="AY2265" s="16"/>
      <c r="AZ2265" s="23"/>
      <c r="BA2265" s="23"/>
      <c r="BB2265" s="23"/>
      <c r="BC2265" s="16"/>
      <c r="BD2265" s="23"/>
      <c r="BE2265" s="23"/>
      <c r="BF2265" s="23"/>
      <c r="BG2265" s="16"/>
      <c r="BH2265" s="23"/>
      <c r="BI2265" s="23"/>
      <c r="BJ2265" s="23"/>
      <c r="BN2265" s="23"/>
      <c r="BO2265" s="23"/>
      <c r="BP2265" s="16"/>
      <c r="BQ2265" s="16"/>
      <c r="BR2265" s="23"/>
      <c r="BS2265" s="16"/>
      <c r="BT2265" s="16"/>
      <c r="BU2265" s="16"/>
      <c r="BV2265" s="16"/>
      <c r="BW2265" s="16"/>
      <c r="BX2265" s="16"/>
      <c r="BY2265" s="16"/>
    </row>
    <row r="2266">
      <c r="A2266" s="16"/>
      <c r="B2266" s="16"/>
      <c r="C2266" s="22"/>
      <c r="D2266" s="16"/>
      <c r="E2266" s="16"/>
      <c r="F2266" s="16"/>
      <c r="G2266" s="16"/>
      <c r="H2266" s="16"/>
      <c r="I2266" s="23"/>
      <c r="J2266" s="23"/>
      <c r="K2266" s="16"/>
      <c r="L2266" s="23"/>
      <c r="M2266" s="23"/>
      <c r="N2266" s="23"/>
      <c r="O2266" s="16"/>
      <c r="P2266" s="23"/>
      <c r="Q2266" s="23"/>
      <c r="R2266" s="23"/>
      <c r="S2266" s="16"/>
      <c r="T2266" s="23"/>
      <c r="U2266" s="23"/>
      <c r="V2266" s="23"/>
      <c r="W2266" s="16"/>
      <c r="X2266" s="23"/>
      <c r="Y2266" s="23"/>
      <c r="Z2266" s="23"/>
      <c r="AA2266" s="16"/>
      <c r="AB2266" s="23"/>
      <c r="AC2266" s="23"/>
      <c r="AD2266" s="23"/>
      <c r="AE2266" s="16"/>
      <c r="AF2266" s="23"/>
      <c r="AG2266" s="23"/>
      <c r="AH2266" s="23"/>
      <c r="AI2266" s="16"/>
      <c r="AJ2266" s="23"/>
      <c r="AK2266" s="23"/>
      <c r="AL2266" s="23"/>
      <c r="AM2266" s="16"/>
      <c r="AN2266" s="23"/>
      <c r="AO2266" s="23"/>
      <c r="AP2266" s="23"/>
      <c r="AQ2266" s="16"/>
      <c r="AR2266" s="23"/>
      <c r="AS2266" s="23"/>
      <c r="AT2266" s="23"/>
      <c r="AU2266" s="16"/>
      <c r="AV2266" s="23"/>
      <c r="AW2266" s="23"/>
      <c r="AX2266" s="23"/>
      <c r="AY2266" s="16"/>
      <c r="AZ2266" s="23"/>
      <c r="BA2266" s="23"/>
      <c r="BB2266" s="23"/>
      <c r="BC2266" s="16"/>
      <c r="BD2266" s="23"/>
      <c r="BE2266" s="23"/>
      <c r="BF2266" s="23"/>
      <c r="BG2266" s="16"/>
      <c r="BH2266" s="23"/>
      <c r="BI2266" s="23"/>
      <c r="BJ2266" s="23"/>
      <c r="BN2266" s="23"/>
      <c r="BO2266" s="23"/>
      <c r="BP2266" s="16"/>
      <c r="BQ2266" s="16"/>
      <c r="BR2266" s="23"/>
      <c r="BS2266" s="16"/>
      <c r="BT2266" s="16"/>
      <c r="BU2266" s="16"/>
      <c r="BV2266" s="16"/>
      <c r="BW2266" s="16"/>
      <c r="BX2266" s="16"/>
      <c r="BY2266" s="16"/>
    </row>
    <row r="2267">
      <c r="A2267" s="16"/>
      <c r="B2267" s="16"/>
      <c r="C2267" s="22"/>
      <c r="D2267" s="16"/>
      <c r="E2267" s="16"/>
      <c r="F2267" s="16"/>
      <c r="G2267" s="16"/>
      <c r="H2267" s="16"/>
      <c r="I2267" s="23"/>
      <c r="J2267" s="23"/>
      <c r="K2267" s="16"/>
      <c r="L2267" s="23"/>
      <c r="M2267" s="23"/>
      <c r="N2267" s="23"/>
      <c r="O2267" s="16"/>
      <c r="P2267" s="23"/>
      <c r="Q2267" s="23"/>
      <c r="R2267" s="23"/>
      <c r="S2267" s="16"/>
      <c r="T2267" s="23"/>
      <c r="U2267" s="23"/>
      <c r="V2267" s="23"/>
      <c r="W2267" s="16"/>
      <c r="X2267" s="23"/>
      <c r="Y2267" s="23"/>
      <c r="Z2267" s="23"/>
      <c r="AA2267" s="16"/>
      <c r="AB2267" s="23"/>
      <c r="AC2267" s="23"/>
      <c r="AD2267" s="23"/>
      <c r="AE2267" s="16"/>
      <c r="AF2267" s="23"/>
      <c r="AG2267" s="23"/>
      <c r="AH2267" s="23"/>
      <c r="AI2267" s="16"/>
      <c r="AJ2267" s="23"/>
      <c r="AK2267" s="23"/>
      <c r="AL2267" s="23"/>
      <c r="AM2267" s="16"/>
      <c r="AN2267" s="23"/>
      <c r="AO2267" s="23"/>
      <c r="AP2267" s="23"/>
      <c r="AQ2267" s="16"/>
      <c r="AR2267" s="23"/>
      <c r="AS2267" s="23"/>
      <c r="AT2267" s="23"/>
      <c r="AU2267" s="16"/>
      <c r="AV2267" s="23"/>
      <c r="AW2267" s="23"/>
      <c r="AX2267" s="23"/>
      <c r="AY2267" s="16"/>
      <c r="AZ2267" s="23"/>
      <c r="BA2267" s="23"/>
      <c r="BB2267" s="23"/>
      <c r="BC2267" s="16"/>
      <c r="BD2267" s="23"/>
      <c r="BE2267" s="23"/>
      <c r="BF2267" s="23"/>
      <c r="BG2267" s="16"/>
      <c r="BH2267" s="23"/>
      <c r="BI2267" s="23"/>
      <c r="BJ2267" s="23"/>
      <c r="BN2267" s="23"/>
      <c r="BO2267" s="23"/>
      <c r="BP2267" s="16"/>
      <c r="BQ2267" s="16"/>
      <c r="BR2267" s="23"/>
      <c r="BS2267" s="16"/>
      <c r="BT2267" s="16"/>
      <c r="BU2267" s="16"/>
      <c r="BV2267" s="16"/>
      <c r="BW2267" s="16"/>
      <c r="BX2267" s="16"/>
      <c r="BY2267" s="16"/>
    </row>
    <row r="2268">
      <c r="A2268" s="16"/>
      <c r="B2268" s="16"/>
      <c r="C2268" s="22"/>
      <c r="D2268" s="16"/>
      <c r="E2268" s="16"/>
      <c r="F2268" s="16"/>
      <c r="G2268" s="16"/>
      <c r="H2268" s="16"/>
      <c r="I2268" s="23"/>
      <c r="J2268" s="23"/>
      <c r="K2268" s="16"/>
      <c r="L2268" s="23"/>
      <c r="M2268" s="23"/>
      <c r="N2268" s="23"/>
      <c r="O2268" s="16"/>
      <c r="P2268" s="23"/>
      <c r="Q2268" s="23"/>
      <c r="R2268" s="23"/>
      <c r="S2268" s="16"/>
      <c r="T2268" s="23"/>
      <c r="U2268" s="23"/>
      <c r="V2268" s="23"/>
      <c r="W2268" s="16"/>
      <c r="X2268" s="23"/>
      <c r="Y2268" s="23"/>
      <c r="Z2268" s="23"/>
      <c r="AA2268" s="16"/>
      <c r="AB2268" s="23"/>
      <c r="AC2268" s="23"/>
      <c r="AD2268" s="23"/>
      <c r="AE2268" s="16"/>
      <c r="AF2268" s="23"/>
      <c r="AG2268" s="23"/>
      <c r="AH2268" s="23"/>
      <c r="AI2268" s="16"/>
      <c r="AJ2268" s="23"/>
      <c r="AK2268" s="23"/>
      <c r="AL2268" s="23"/>
      <c r="AM2268" s="16"/>
      <c r="AN2268" s="23"/>
      <c r="AO2268" s="23"/>
      <c r="AP2268" s="23"/>
      <c r="AQ2268" s="16"/>
      <c r="AR2268" s="23"/>
      <c r="AS2268" s="23"/>
      <c r="AT2268" s="23"/>
      <c r="AU2268" s="16"/>
      <c r="AV2268" s="23"/>
      <c r="AW2268" s="23"/>
      <c r="AX2268" s="23"/>
      <c r="AY2268" s="16"/>
      <c r="AZ2268" s="23"/>
      <c r="BA2268" s="23"/>
      <c r="BB2268" s="23"/>
      <c r="BC2268" s="16"/>
      <c r="BD2268" s="23"/>
      <c r="BE2268" s="23"/>
      <c r="BF2268" s="23"/>
      <c r="BG2268" s="16"/>
      <c r="BH2268" s="23"/>
      <c r="BI2268" s="23"/>
      <c r="BJ2268" s="23"/>
      <c r="BN2268" s="23"/>
      <c r="BO2268" s="23"/>
      <c r="BP2268" s="16"/>
      <c r="BQ2268" s="16"/>
      <c r="BR2268" s="23"/>
      <c r="BS2268" s="16"/>
      <c r="BT2268" s="16"/>
      <c r="BU2268" s="16"/>
      <c r="BV2268" s="16"/>
      <c r="BW2268" s="16"/>
      <c r="BX2268" s="16"/>
      <c r="BY2268" s="16"/>
    </row>
    <row r="2269">
      <c r="A2269" s="16"/>
      <c r="B2269" s="16"/>
      <c r="C2269" s="22"/>
      <c r="D2269" s="16"/>
      <c r="E2269" s="16"/>
      <c r="F2269" s="16"/>
      <c r="G2269" s="16"/>
      <c r="H2269" s="16"/>
      <c r="I2269" s="23"/>
      <c r="J2269" s="23"/>
      <c r="K2269" s="16"/>
      <c r="L2269" s="23"/>
      <c r="M2269" s="23"/>
      <c r="N2269" s="23"/>
      <c r="O2269" s="16"/>
      <c r="P2269" s="23"/>
      <c r="Q2269" s="23"/>
      <c r="R2269" s="23"/>
      <c r="S2269" s="16"/>
      <c r="T2269" s="23"/>
      <c r="U2269" s="23"/>
      <c r="V2269" s="23"/>
      <c r="W2269" s="16"/>
      <c r="X2269" s="23"/>
      <c r="Y2269" s="23"/>
      <c r="Z2269" s="23"/>
      <c r="AA2269" s="16"/>
      <c r="AB2269" s="23"/>
      <c r="AC2269" s="23"/>
      <c r="AD2269" s="23"/>
      <c r="AE2269" s="16"/>
      <c r="AF2269" s="23"/>
      <c r="AG2269" s="23"/>
      <c r="AH2269" s="23"/>
      <c r="AI2269" s="16"/>
      <c r="AJ2269" s="23"/>
      <c r="AK2269" s="23"/>
      <c r="AL2269" s="23"/>
      <c r="AM2269" s="16"/>
      <c r="AN2269" s="23"/>
      <c r="AO2269" s="23"/>
      <c r="AP2269" s="23"/>
      <c r="AQ2269" s="16"/>
      <c r="AR2269" s="23"/>
      <c r="AS2269" s="23"/>
      <c r="AT2269" s="23"/>
      <c r="AU2269" s="16"/>
      <c r="AV2269" s="23"/>
      <c r="AW2269" s="23"/>
      <c r="AX2269" s="23"/>
      <c r="AY2269" s="16"/>
      <c r="AZ2269" s="23"/>
      <c r="BA2269" s="23"/>
      <c r="BB2269" s="23"/>
      <c r="BC2269" s="16"/>
      <c r="BD2269" s="23"/>
      <c r="BE2269" s="23"/>
      <c r="BF2269" s="23"/>
      <c r="BG2269" s="16"/>
      <c r="BH2269" s="23"/>
      <c r="BI2269" s="23"/>
      <c r="BJ2269" s="23"/>
      <c r="BN2269" s="23"/>
      <c r="BO2269" s="23"/>
      <c r="BP2269" s="16"/>
      <c r="BQ2269" s="16"/>
      <c r="BR2269" s="23"/>
      <c r="BS2269" s="16"/>
      <c r="BT2269" s="16"/>
      <c r="BU2269" s="16"/>
      <c r="BV2269" s="16"/>
      <c r="BW2269" s="16"/>
      <c r="BX2269" s="16"/>
      <c r="BY2269" s="16"/>
    </row>
    <row r="2270">
      <c r="A2270" s="16"/>
      <c r="B2270" s="16"/>
      <c r="C2270" s="22"/>
      <c r="D2270" s="16"/>
      <c r="E2270" s="16"/>
      <c r="F2270" s="16"/>
      <c r="G2270" s="16"/>
      <c r="H2270" s="16"/>
      <c r="I2270" s="23"/>
      <c r="J2270" s="23"/>
      <c r="K2270" s="16"/>
      <c r="L2270" s="23"/>
      <c r="M2270" s="23"/>
      <c r="N2270" s="23"/>
      <c r="O2270" s="16"/>
      <c r="P2270" s="23"/>
      <c r="Q2270" s="23"/>
      <c r="R2270" s="23"/>
      <c r="S2270" s="16"/>
      <c r="T2270" s="23"/>
      <c r="U2270" s="23"/>
      <c r="V2270" s="23"/>
      <c r="W2270" s="16"/>
      <c r="X2270" s="23"/>
      <c r="Y2270" s="23"/>
      <c r="Z2270" s="23"/>
      <c r="AA2270" s="16"/>
      <c r="AB2270" s="23"/>
      <c r="AC2270" s="23"/>
      <c r="AD2270" s="23"/>
      <c r="AE2270" s="16"/>
      <c r="AF2270" s="23"/>
      <c r="AG2270" s="23"/>
      <c r="AH2270" s="23"/>
      <c r="AI2270" s="16"/>
      <c r="AJ2270" s="23"/>
      <c r="AK2270" s="23"/>
      <c r="AL2270" s="23"/>
      <c r="AM2270" s="16"/>
      <c r="AN2270" s="23"/>
      <c r="AO2270" s="23"/>
      <c r="AP2270" s="23"/>
      <c r="AQ2270" s="16"/>
      <c r="AR2270" s="23"/>
      <c r="AS2270" s="23"/>
      <c r="AT2270" s="23"/>
      <c r="AU2270" s="16"/>
      <c r="AV2270" s="23"/>
      <c r="AW2270" s="23"/>
      <c r="AX2270" s="23"/>
      <c r="AY2270" s="16"/>
      <c r="AZ2270" s="23"/>
      <c r="BA2270" s="23"/>
      <c r="BB2270" s="23"/>
      <c r="BC2270" s="16"/>
      <c r="BD2270" s="23"/>
      <c r="BE2270" s="23"/>
      <c r="BF2270" s="23"/>
      <c r="BG2270" s="16"/>
      <c r="BH2270" s="23"/>
      <c r="BI2270" s="23"/>
      <c r="BJ2270" s="23"/>
      <c r="BN2270" s="23"/>
      <c r="BO2270" s="23"/>
      <c r="BP2270" s="16"/>
      <c r="BQ2270" s="16"/>
      <c r="BR2270" s="23"/>
      <c r="BS2270" s="16"/>
      <c r="BT2270" s="16"/>
      <c r="BU2270" s="16"/>
      <c r="BV2270" s="16"/>
      <c r="BW2270" s="16"/>
      <c r="BX2270" s="16"/>
      <c r="BY2270" s="16"/>
    </row>
    <row r="2271">
      <c r="A2271" s="16"/>
      <c r="B2271" s="16"/>
      <c r="C2271" s="22"/>
      <c r="D2271" s="16"/>
      <c r="E2271" s="16"/>
      <c r="F2271" s="16"/>
      <c r="G2271" s="16"/>
      <c r="H2271" s="16"/>
      <c r="I2271" s="23"/>
      <c r="J2271" s="23"/>
      <c r="K2271" s="16"/>
      <c r="L2271" s="23"/>
      <c r="M2271" s="23"/>
      <c r="N2271" s="23"/>
      <c r="O2271" s="16"/>
      <c r="P2271" s="23"/>
      <c r="Q2271" s="23"/>
      <c r="R2271" s="23"/>
      <c r="S2271" s="16"/>
      <c r="T2271" s="23"/>
      <c r="U2271" s="23"/>
      <c r="V2271" s="23"/>
      <c r="W2271" s="16"/>
      <c r="X2271" s="23"/>
      <c r="Y2271" s="23"/>
      <c r="Z2271" s="23"/>
      <c r="AA2271" s="16"/>
      <c r="AB2271" s="23"/>
      <c r="AC2271" s="23"/>
      <c r="AD2271" s="23"/>
      <c r="AE2271" s="16"/>
      <c r="AF2271" s="23"/>
      <c r="AG2271" s="23"/>
      <c r="AH2271" s="23"/>
      <c r="AI2271" s="16"/>
      <c r="AJ2271" s="23"/>
      <c r="AK2271" s="23"/>
      <c r="AL2271" s="23"/>
      <c r="AM2271" s="16"/>
      <c r="AN2271" s="23"/>
      <c r="AO2271" s="23"/>
      <c r="AP2271" s="23"/>
      <c r="AQ2271" s="16"/>
      <c r="AR2271" s="23"/>
      <c r="AS2271" s="23"/>
      <c r="AT2271" s="23"/>
      <c r="AU2271" s="16"/>
      <c r="AV2271" s="23"/>
      <c r="AW2271" s="23"/>
      <c r="AX2271" s="23"/>
      <c r="AY2271" s="16"/>
      <c r="AZ2271" s="23"/>
      <c r="BA2271" s="23"/>
      <c r="BB2271" s="23"/>
      <c r="BC2271" s="16"/>
      <c r="BD2271" s="23"/>
      <c r="BE2271" s="23"/>
      <c r="BF2271" s="23"/>
      <c r="BG2271" s="16"/>
      <c r="BH2271" s="23"/>
      <c r="BI2271" s="23"/>
      <c r="BJ2271" s="23"/>
      <c r="BN2271" s="23"/>
      <c r="BO2271" s="23"/>
      <c r="BP2271" s="16"/>
      <c r="BQ2271" s="16"/>
      <c r="BR2271" s="23"/>
      <c r="BS2271" s="16"/>
      <c r="BT2271" s="16"/>
      <c r="BU2271" s="16"/>
      <c r="BV2271" s="16"/>
      <c r="BW2271" s="16"/>
      <c r="BX2271" s="16"/>
      <c r="BY2271" s="16"/>
    </row>
    <row r="2272">
      <c r="A2272" s="16"/>
      <c r="B2272" s="16"/>
      <c r="C2272" s="22"/>
      <c r="D2272" s="16"/>
      <c r="E2272" s="16"/>
      <c r="F2272" s="16"/>
      <c r="G2272" s="16"/>
      <c r="H2272" s="16"/>
      <c r="I2272" s="23"/>
      <c r="J2272" s="23"/>
      <c r="K2272" s="16"/>
      <c r="L2272" s="23"/>
      <c r="M2272" s="23"/>
      <c r="N2272" s="23"/>
      <c r="O2272" s="16"/>
      <c r="P2272" s="23"/>
      <c r="Q2272" s="23"/>
      <c r="R2272" s="23"/>
      <c r="S2272" s="16"/>
      <c r="T2272" s="23"/>
      <c r="U2272" s="23"/>
      <c r="V2272" s="23"/>
      <c r="W2272" s="16"/>
      <c r="X2272" s="23"/>
      <c r="Y2272" s="23"/>
      <c r="Z2272" s="23"/>
      <c r="AA2272" s="16"/>
      <c r="AB2272" s="23"/>
      <c r="AC2272" s="23"/>
      <c r="AD2272" s="23"/>
      <c r="AE2272" s="16"/>
      <c r="AF2272" s="23"/>
      <c r="AG2272" s="23"/>
      <c r="AH2272" s="23"/>
      <c r="AI2272" s="16"/>
      <c r="AJ2272" s="23"/>
      <c r="AK2272" s="23"/>
      <c r="AL2272" s="23"/>
      <c r="AM2272" s="16"/>
      <c r="AN2272" s="23"/>
      <c r="AO2272" s="23"/>
      <c r="AP2272" s="23"/>
      <c r="AQ2272" s="16"/>
      <c r="AR2272" s="23"/>
      <c r="AS2272" s="23"/>
      <c r="AT2272" s="23"/>
      <c r="AU2272" s="16"/>
      <c r="AV2272" s="23"/>
      <c r="AW2272" s="23"/>
      <c r="AX2272" s="23"/>
      <c r="AY2272" s="16"/>
      <c r="AZ2272" s="23"/>
      <c r="BA2272" s="23"/>
      <c r="BB2272" s="23"/>
      <c r="BC2272" s="16"/>
      <c r="BD2272" s="23"/>
      <c r="BE2272" s="23"/>
      <c r="BF2272" s="23"/>
      <c r="BG2272" s="16"/>
      <c r="BH2272" s="23"/>
      <c r="BI2272" s="23"/>
      <c r="BJ2272" s="23"/>
      <c r="BN2272" s="23"/>
      <c r="BO2272" s="23"/>
      <c r="BP2272" s="16"/>
      <c r="BQ2272" s="16"/>
      <c r="BR2272" s="23"/>
      <c r="BS2272" s="16"/>
      <c r="BT2272" s="16"/>
      <c r="BU2272" s="16"/>
      <c r="BV2272" s="16"/>
      <c r="BW2272" s="16"/>
      <c r="BX2272" s="16"/>
      <c r="BY2272" s="16"/>
    </row>
    <row r="2273">
      <c r="A2273" s="16"/>
      <c r="B2273" s="16"/>
      <c r="C2273" s="22"/>
      <c r="D2273" s="16"/>
      <c r="E2273" s="16"/>
      <c r="F2273" s="16"/>
      <c r="G2273" s="16"/>
      <c r="H2273" s="16"/>
      <c r="I2273" s="23"/>
      <c r="J2273" s="23"/>
      <c r="K2273" s="16"/>
      <c r="L2273" s="23"/>
      <c r="M2273" s="23"/>
      <c r="N2273" s="23"/>
      <c r="O2273" s="16"/>
      <c r="P2273" s="23"/>
      <c r="Q2273" s="23"/>
      <c r="R2273" s="23"/>
      <c r="S2273" s="16"/>
      <c r="T2273" s="23"/>
      <c r="U2273" s="23"/>
      <c r="V2273" s="23"/>
      <c r="W2273" s="16"/>
      <c r="X2273" s="23"/>
      <c r="Y2273" s="23"/>
      <c r="Z2273" s="23"/>
      <c r="AA2273" s="16"/>
      <c r="AB2273" s="23"/>
      <c r="AC2273" s="23"/>
      <c r="AD2273" s="23"/>
      <c r="AE2273" s="16"/>
      <c r="AF2273" s="23"/>
      <c r="AG2273" s="23"/>
      <c r="AH2273" s="23"/>
      <c r="AI2273" s="16"/>
      <c r="AJ2273" s="23"/>
      <c r="AK2273" s="23"/>
      <c r="AL2273" s="23"/>
      <c r="AM2273" s="16"/>
      <c r="AN2273" s="23"/>
      <c r="AO2273" s="23"/>
      <c r="AP2273" s="23"/>
      <c r="AQ2273" s="16"/>
      <c r="AR2273" s="23"/>
      <c r="AS2273" s="23"/>
      <c r="AT2273" s="23"/>
      <c r="AU2273" s="16"/>
      <c r="AV2273" s="23"/>
      <c r="AW2273" s="23"/>
      <c r="AX2273" s="23"/>
      <c r="AY2273" s="16"/>
      <c r="AZ2273" s="23"/>
      <c r="BA2273" s="23"/>
      <c r="BB2273" s="23"/>
      <c r="BC2273" s="16"/>
      <c r="BD2273" s="23"/>
      <c r="BE2273" s="23"/>
      <c r="BF2273" s="23"/>
      <c r="BG2273" s="16"/>
      <c r="BH2273" s="23"/>
      <c r="BI2273" s="23"/>
      <c r="BJ2273" s="23"/>
      <c r="BN2273" s="23"/>
      <c r="BO2273" s="23"/>
      <c r="BP2273" s="16"/>
      <c r="BQ2273" s="16"/>
      <c r="BR2273" s="23"/>
      <c r="BS2273" s="16"/>
      <c r="BT2273" s="16"/>
      <c r="BU2273" s="16"/>
      <c r="BV2273" s="16"/>
      <c r="BW2273" s="16"/>
      <c r="BX2273" s="16"/>
      <c r="BY2273" s="16"/>
    </row>
    <row r="2274">
      <c r="A2274" s="16"/>
      <c r="B2274" s="16"/>
      <c r="C2274" s="22"/>
      <c r="D2274" s="16"/>
      <c r="E2274" s="16"/>
      <c r="F2274" s="16"/>
      <c r="G2274" s="16"/>
      <c r="H2274" s="16"/>
      <c r="I2274" s="23"/>
      <c r="J2274" s="23"/>
      <c r="K2274" s="16"/>
      <c r="L2274" s="23"/>
      <c r="M2274" s="23"/>
      <c r="N2274" s="23"/>
      <c r="O2274" s="16"/>
      <c r="P2274" s="23"/>
      <c r="Q2274" s="23"/>
      <c r="R2274" s="23"/>
      <c r="S2274" s="16"/>
      <c r="T2274" s="23"/>
      <c r="U2274" s="23"/>
      <c r="V2274" s="23"/>
      <c r="W2274" s="16"/>
      <c r="X2274" s="23"/>
      <c r="Y2274" s="23"/>
      <c r="Z2274" s="23"/>
      <c r="AA2274" s="16"/>
      <c r="AB2274" s="23"/>
      <c r="AC2274" s="23"/>
      <c r="AD2274" s="23"/>
      <c r="AE2274" s="16"/>
      <c r="AF2274" s="23"/>
      <c r="AG2274" s="23"/>
      <c r="AH2274" s="23"/>
      <c r="AI2274" s="16"/>
      <c r="AJ2274" s="23"/>
      <c r="AK2274" s="23"/>
      <c r="AL2274" s="23"/>
      <c r="AM2274" s="16"/>
      <c r="AN2274" s="23"/>
      <c r="AO2274" s="23"/>
      <c r="AP2274" s="23"/>
      <c r="AQ2274" s="16"/>
      <c r="AR2274" s="23"/>
      <c r="AS2274" s="23"/>
      <c r="AT2274" s="23"/>
      <c r="AU2274" s="16"/>
      <c r="AV2274" s="23"/>
      <c r="AW2274" s="23"/>
      <c r="AX2274" s="23"/>
      <c r="AY2274" s="16"/>
      <c r="AZ2274" s="23"/>
      <c r="BA2274" s="23"/>
      <c r="BB2274" s="23"/>
      <c r="BC2274" s="16"/>
      <c r="BD2274" s="23"/>
      <c r="BE2274" s="23"/>
      <c r="BF2274" s="23"/>
      <c r="BG2274" s="16"/>
      <c r="BH2274" s="23"/>
      <c r="BI2274" s="23"/>
      <c r="BJ2274" s="23"/>
      <c r="BN2274" s="23"/>
      <c r="BO2274" s="23"/>
      <c r="BP2274" s="16"/>
      <c r="BQ2274" s="16"/>
      <c r="BR2274" s="23"/>
      <c r="BS2274" s="16"/>
      <c r="BT2274" s="16"/>
      <c r="BU2274" s="16"/>
      <c r="BV2274" s="16"/>
      <c r="BW2274" s="16"/>
      <c r="BX2274" s="16"/>
      <c r="BY2274" s="16"/>
    </row>
    <row r="2275">
      <c r="A2275" s="16"/>
      <c r="B2275" s="16"/>
      <c r="C2275" s="22"/>
      <c r="D2275" s="16"/>
      <c r="E2275" s="16"/>
      <c r="F2275" s="16"/>
      <c r="G2275" s="16"/>
      <c r="H2275" s="16"/>
      <c r="I2275" s="23"/>
      <c r="J2275" s="23"/>
      <c r="K2275" s="16"/>
      <c r="L2275" s="23"/>
      <c r="M2275" s="23"/>
      <c r="N2275" s="23"/>
      <c r="O2275" s="16"/>
      <c r="P2275" s="23"/>
      <c r="Q2275" s="23"/>
      <c r="R2275" s="23"/>
      <c r="S2275" s="16"/>
      <c r="T2275" s="23"/>
      <c r="U2275" s="23"/>
      <c r="V2275" s="23"/>
      <c r="W2275" s="16"/>
      <c r="X2275" s="23"/>
      <c r="Y2275" s="23"/>
      <c r="Z2275" s="23"/>
      <c r="AA2275" s="16"/>
      <c r="AB2275" s="23"/>
      <c r="AC2275" s="23"/>
      <c r="AD2275" s="23"/>
      <c r="AE2275" s="16"/>
      <c r="AF2275" s="23"/>
      <c r="AG2275" s="23"/>
      <c r="AH2275" s="23"/>
      <c r="AI2275" s="16"/>
      <c r="AJ2275" s="23"/>
      <c r="AK2275" s="23"/>
      <c r="AL2275" s="23"/>
      <c r="AM2275" s="16"/>
      <c r="AN2275" s="23"/>
      <c r="AO2275" s="23"/>
      <c r="AP2275" s="23"/>
      <c r="AQ2275" s="16"/>
      <c r="AR2275" s="23"/>
      <c r="AS2275" s="23"/>
      <c r="AT2275" s="23"/>
      <c r="AU2275" s="16"/>
      <c r="AV2275" s="23"/>
      <c r="AW2275" s="23"/>
      <c r="AX2275" s="23"/>
      <c r="AY2275" s="16"/>
      <c r="AZ2275" s="23"/>
      <c r="BA2275" s="23"/>
      <c r="BB2275" s="23"/>
      <c r="BC2275" s="16"/>
      <c r="BD2275" s="23"/>
      <c r="BE2275" s="23"/>
      <c r="BF2275" s="23"/>
      <c r="BG2275" s="16"/>
      <c r="BH2275" s="23"/>
      <c r="BI2275" s="23"/>
      <c r="BJ2275" s="23"/>
      <c r="BN2275" s="23"/>
      <c r="BO2275" s="23"/>
      <c r="BP2275" s="16"/>
      <c r="BQ2275" s="16"/>
      <c r="BR2275" s="23"/>
      <c r="BS2275" s="16"/>
      <c r="BT2275" s="16"/>
      <c r="BU2275" s="16"/>
      <c r="BV2275" s="16"/>
      <c r="BW2275" s="16"/>
      <c r="BX2275" s="16"/>
      <c r="BY2275" s="16"/>
    </row>
    <row r="2276">
      <c r="A2276" s="16"/>
      <c r="B2276" s="16"/>
      <c r="C2276" s="22"/>
      <c r="D2276" s="16"/>
      <c r="E2276" s="16"/>
      <c r="F2276" s="16"/>
      <c r="G2276" s="16"/>
      <c r="H2276" s="16"/>
      <c r="I2276" s="23"/>
      <c r="J2276" s="23"/>
      <c r="K2276" s="16"/>
      <c r="L2276" s="23"/>
      <c r="M2276" s="23"/>
      <c r="N2276" s="23"/>
      <c r="O2276" s="16"/>
      <c r="P2276" s="23"/>
      <c r="Q2276" s="23"/>
      <c r="R2276" s="23"/>
      <c r="S2276" s="16"/>
      <c r="T2276" s="23"/>
      <c r="U2276" s="23"/>
      <c r="V2276" s="23"/>
      <c r="W2276" s="16"/>
      <c r="X2276" s="23"/>
      <c r="Y2276" s="23"/>
      <c r="Z2276" s="23"/>
      <c r="AA2276" s="16"/>
      <c r="AB2276" s="23"/>
      <c r="AC2276" s="23"/>
      <c r="AD2276" s="23"/>
      <c r="AE2276" s="16"/>
      <c r="AF2276" s="23"/>
      <c r="AG2276" s="23"/>
      <c r="AH2276" s="23"/>
      <c r="AI2276" s="16"/>
      <c r="AJ2276" s="23"/>
      <c r="AK2276" s="23"/>
      <c r="AL2276" s="23"/>
      <c r="AM2276" s="16"/>
      <c r="AN2276" s="23"/>
      <c r="AO2276" s="23"/>
      <c r="AP2276" s="23"/>
      <c r="AQ2276" s="16"/>
      <c r="AR2276" s="23"/>
      <c r="AS2276" s="23"/>
      <c r="AT2276" s="23"/>
      <c r="AU2276" s="16"/>
      <c r="AV2276" s="23"/>
      <c r="AW2276" s="23"/>
      <c r="AX2276" s="23"/>
      <c r="AY2276" s="16"/>
      <c r="AZ2276" s="23"/>
      <c r="BA2276" s="23"/>
      <c r="BB2276" s="23"/>
      <c r="BC2276" s="16"/>
      <c r="BD2276" s="23"/>
      <c r="BE2276" s="23"/>
      <c r="BF2276" s="23"/>
      <c r="BG2276" s="16"/>
      <c r="BH2276" s="23"/>
      <c r="BI2276" s="23"/>
      <c r="BJ2276" s="23"/>
      <c r="BN2276" s="23"/>
      <c r="BO2276" s="23"/>
      <c r="BP2276" s="16"/>
      <c r="BQ2276" s="16"/>
      <c r="BR2276" s="23"/>
      <c r="BS2276" s="16"/>
      <c r="BT2276" s="16"/>
      <c r="BU2276" s="16"/>
      <c r="BV2276" s="16"/>
      <c r="BW2276" s="16"/>
      <c r="BX2276" s="16"/>
      <c r="BY2276" s="16"/>
    </row>
    <row r="2277">
      <c r="A2277" s="16"/>
      <c r="B2277" s="16"/>
      <c r="C2277" s="22"/>
      <c r="D2277" s="16"/>
      <c r="E2277" s="16"/>
      <c r="F2277" s="16"/>
      <c r="G2277" s="16"/>
      <c r="H2277" s="16"/>
      <c r="I2277" s="23"/>
      <c r="J2277" s="23"/>
      <c r="K2277" s="16"/>
      <c r="L2277" s="23"/>
      <c r="M2277" s="23"/>
      <c r="N2277" s="23"/>
      <c r="O2277" s="16"/>
      <c r="P2277" s="23"/>
      <c r="Q2277" s="23"/>
      <c r="R2277" s="23"/>
      <c r="S2277" s="16"/>
      <c r="T2277" s="23"/>
      <c r="U2277" s="23"/>
      <c r="V2277" s="23"/>
      <c r="W2277" s="16"/>
      <c r="X2277" s="23"/>
      <c r="Y2277" s="23"/>
      <c r="Z2277" s="23"/>
      <c r="AA2277" s="16"/>
      <c r="AB2277" s="23"/>
      <c r="AC2277" s="23"/>
      <c r="AD2277" s="23"/>
      <c r="AE2277" s="16"/>
      <c r="AF2277" s="23"/>
      <c r="AG2277" s="23"/>
      <c r="AH2277" s="23"/>
      <c r="AI2277" s="16"/>
      <c r="AJ2277" s="23"/>
      <c r="AK2277" s="23"/>
      <c r="AL2277" s="23"/>
      <c r="AM2277" s="16"/>
      <c r="AN2277" s="23"/>
      <c r="AO2277" s="23"/>
      <c r="AP2277" s="23"/>
      <c r="AQ2277" s="16"/>
      <c r="AR2277" s="23"/>
      <c r="AS2277" s="23"/>
      <c r="AT2277" s="23"/>
      <c r="AU2277" s="16"/>
      <c r="AV2277" s="23"/>
      <c r="AW2277" s="23"/>
      <c r="AX2277" s="23"/>
      <c r="AY2277" s="16"/>
      <c r="AZ2277" s="23"/>
      <c r="BA2277" s="23"/>
      <c r="BB2277" s="23"/>
      <c r="BC2277" s="16"/>
      <c r="BD2277" s="23"/>
      <c r="BE2277" s="23"/>
      <c r="BF2277" s="23"/>
      <c r="BG2277" s="16"/>
      <c r="BH2277" s="23"/>
      <c r="BI2277" s="23"/>
      <c r="BJ2277" s="23"/>
      <c r="BN2277" s="23"/>
      <c r="BO2277" s="23"/>
      <c r="BP2277" s="16"/>
      <c r="BQ2277" s="16"/>
      <c r="BR2277" s="23"/>
      <c r="BS2277" s="16"/>
      <c r="BT2277" s="16"/>
      <c r="BU2277" s="16"/>
      <c r="BV2277" s="16"/>
      <c r="BW2277" s="16"/>
      <c r="BX2277" s="16"/>
      <c r="BY2277" s="16"/>
    </row>
    <row r="2278">
      <c r="A2278" s="16"/>
      <c r="B2278" s="16"/>
      <c r="C2278" s="22"/>
      <c r="D2278" s="16"/>
      <c r="E2278" s="16"/>
      <c r="F2278" s="16"/>
      <c r="G2278" s="16"/>
      <c r="H2278" s="16"/>
      <c r="I2278" s="23"/>
      <c r="J2278" s="23"/>
      <c r="K2278" s="16"/>
      <c r="L2278" s="23"/>
      <c r="M2278" s="23"/>
      <c r="N2278" s="23"/>
      <c r="O2278" s="16"/>
      <c r="P2278" s="23"/>
      <c r="Q2278" s="23"/>
      <c r="R2278" s="23"/>
      <c r="S2278" s="16"/>
      <c r="T2278" s="23"/>
      <c r="U2278" s="23"/>
      <c r="V2278" s="23"/>
      <c r="W2278" s="16"/>
      <c r="X2278" s="23"/>
      <c r="Y2278" s="23"/>
      <c r="Z2278" s="23"/>
      <c r="AA2278" s="16"/>
      <c r="AB2278" s="23"/>
      <c r="AC2278" s="23"/>
      <c r="AD2278" s="23"/>
      <c r="AE2278" s="16"/>
      <c r="AF2278" s="23"/>
      <c r="AG2278" s="23"/>
      <c r="AH2278" s="23"/>
      <c r="AI2278" s="16"/>
      <c r="AJ2278" s="23"/>
      <c r="AK2278" s="23"/>
      <c r="AL2278" s="23"/>
      <c r="AM2278" s="16"/>
      <c r="AN2278" s="23"/>
      <c r="AO2278" s="23"/>
      <c r="AP2278" s="23"/>
      <c r="AQ2278" s="16"/>
      <c r="AR2278" s="23"/>
      <c r="AS2278" s="23"/>
      <c r="AT2278" s="23"/>
      <c r="AU2278" s="16"/>
      <c r="AV2278" s="23"/>
      <c r="AW2278" s="23"/>
      <c r="AX2278" s="23"/>
      <c r="AY2278" s="16"/>
      <c r="AZ2278" s="23"/>
      <c r="BA2278" s="23"/>
      <c r="BB2278" s="23"/>
      <c r="BC2278" s="16"/>
      <c r="BD2278" s="23"/>
      <c r="BE2278" s="23"/>
      <c r="BF2278" s="23"/>
      <c r="BG2278" s="16"/>
      <c r="BH2278" s="23"/>
      <c r="BI2278" s="23"/>
      <c r="BJ2278" s="23"/>
      <c r="BN2278" s="23"/>
      <c r="BO2278" s="23"/>
      <c r="BP2278" s="16"/>
      <c r="BQ2278" s="16"/>
      <c r="BR2278" s="23"/>
      <c r="BS2278" s="16"/>
      <c r="BT2278" s="16"/>
      <c r="BU2278" s="16"/>
      <c r="BV2278" s="16"/>
      <c r="BW2278" s="16"/>
      <c r="BX2278" s="16"/>
      <c r="BY2278" s="16"/>
    </row>
    <row r="2279">
      <c r="A2279" s="16"/>
      <c r="B2279" s="16"/>
      <c r="C2279" s="22"/>
      <c r="D2279" s="16"/>
      <c r="E2279" s="16"/>
      <c r="F2279" s="16"/>
      <c r="G2279" s="16"/>
      <c r="H2279" s="16"/>
      <c r="I2279" s="23"/>
      <c r="J2279" s="23"/>
      <c r="K2279" s="16"/>
      <c r="L2279" s="23"/>
      <c r="M2279" s="23"/>
      <c r="N2279" s="23"/>
      <c r="O2279" s="16"/>
      <c r="P2279" s="23"/>
      <c r="Q2279" s="23"/>
      <c r="R2279" s="23"/>
      <c r="S2279" s="16"/>
      <c r="T2279" s="23"/>
      <c r="U2279" s="23"/>
      <c r="V2279" s="23"/>
      <c r="W2279" s="16"/>
      <c r="X2279" s="23"/>
      <c r="Y2279" s="23"/>
      <c r="Z2279" s="23"/>
      <c r="AA2279" s="16"/>
      <c r="AB2279" s="23"/>
      <c r="AC2279" s="23"/>
      <c r="AD2279" s="23"/>
      <c r="AE2279" s="16"/>
      <c r="AF2279" s="23"/>
      <c r="AG2279" s="23"/>
      <c r="AH2279" s="23"/>
      <c r="AI2279" s="16"/>
      <c r="AJ2279" s="23"/>
      <c r="AK2279" s="23"/>
      <c r="AL2279" s="23"/>
      <c r="AM2279" s="16"/>
      <c r="AN2279" s="23"/>
      <c r="AO2279" s="23"/>
      <c r="AP2279" s="23"/>
      <c r="AQ2279" s="16"/>
      <c r="AR2279" s="23"/>
      <c r="AS2279" s="23"/>
      <c r="AT2279" s="23"/>
      <c r="AU2279" s="16"/>
      <c r="AV2279" s="23"/>
      <c r="AW2279" s="23"/>
      <c r="AX2279" s="23"/>
      <c r="AY2279" s="16"/>
      <c r="AZ2279" s="23"/>
      <c r="BA2279" s="23"/>
      <c r="BB2279" s="23"/>
      <c r="BC2279" s="16"/>
      <c r="BD2279" s="23"/>
      <c r="BE2279" s="23"/>
      <c r="BF2279" s="23"/>
      <c r="BG2279" s="16"/>
      <c r="BH2279" s="23"/>
      <c r="BI2279" s="23"/>
      <c r="BJ2279" s="23"/>
      <c r="BN2279" s="23"/>
      <c r="BO2279" s="23"/>
      <c r="BP2279" s="16"/>
      <c r="BQ2279" s="16"/>
      <c r="BR2279" s="23"/>
      <c r="BS2279" s="16"/>
      <c r="BT2279" s="16"/>
      <c r="BU2279" s="16"/>
      <c r="BV2279" s="16"/>
      <c r="BW2279" s="16"/>
      <c r="BX2279" s="16"/>
      <c r="BY2279" s="16"/>
    </row>
    <row r="2280">
      <c r="A2280" s="16"/>
      <c r="B2280" s="16"/>
      <c r="C2280" s="22"/>
      <c r="D2280" s="16"/>
      <c r="E2280" s="16"/>
      <c r="F2280" s="16"/>
      <c r="G2280" s="16"/>
      <c r="H2280" s="16"/>
      <c r="I2280" s="23"/>
      <c r="J2280" s="23"/>
      <c r="K2280" s="16"/>
      <c r="L2280" s="23"/>
      <c r="M2280" s="23"/>
      <c r="N2280" s="23"/>
      <c r="O2280" s="16"/>
      <c r="P2280" s="23"/>
      <c r="Q2280" s="23"/>
      <c r="R2280" s="23"/>
      <c r="S2280" s="16"/>
      <c r="T2280" s="23"/>
      <c r="U2280" s="23"/>
      <c r="V2280" s="23"/>
      <c r="W2280" s="16"/>
      <c r="X2280" s="23"/>
      <c r="Y2280" s="23"/>
      <c r="Z2280" s="23"/>
      <c r="AA2280" s="16"/>
      <c r="AB2280" s="23"/>
      <c r="AC2280" s="23"/>
      <c r="AD2280" s="23"/>
      <c r="AE2280" s="16"/>
      <c r="AF2280" s="23"/>
      <c r="AG2280" s="23"/>
      <c r="AH2280" s="23"/>
      <c r="AI2280" s="16"/>
      <c r="AJ2280" s="23"/>
      <c r="AK2280" s="23"/>
      <c r="AL2280" s="23"/>
      <c r="AM2280" s="16"/>
      <c r="AN2280" s="23"/>
      <c r="AO2280" s="23"/>
      <c r="AP2280" s="23"/>
      <c r="AQ2280" s="16"/>
      <c r="AR2280" s="23"/>
      <c r="AS2280" s="23"/>
      <c r="AT2280" s="23"/>
      <c r="AU2280" s="16"/>
      <c r="AV2280" s="23"/>
      <c r="AW2280" s="23"/>
      <c r="AX2280" s="23"/>
      <c r="AY2280" s="16"/>
      <c r="AZ2280" s="23"/>
      <c r="BA2280" s="23"/>
      <c r="BB2280" s="23"/>
      <c r="BC2280" s="16"/>
      <c r="BD2280" s="23"/>
      <c r="BE2280" s="23"/>
      <c r="BF2280" s="23"/>
      <c r="BG2280" s="16"/>
      <c r="BH2280" s="23"/>
      <c r="BI2280" s="23"/>
      <c r="BJ2280" s="23"/>
      <c r="BN2280" s="23"/>
      <c r="BO2280" s="23"/>
      <c r="BP2280" s="16"/>
      <c r="BQ2280" s="16"/>
      <c r="BR2280" s="23"/>
      <c r="BS2280" s="16"/>
      <c r="BT2280" s="16"/>
      <c r="BU2280" s="16"/>
      <c r="BV2280" s="16"/>
      <c r="BW2280" s="16"/>
      <c r="BX2280" s="16"/>
      <c r="BY2280" s="16"/>
    </row>
    <row r="2281">
      <c r="A2281" s="16"/>
      <c r="B2281" s="16"/>
      <c r="C2281" s="22"/>
      <c r="D2281" s="16"/>
      <c r="E2281" s="16"/>
      <c r="F2281" s="16"/>
      <c r="G2281" s="16"/>
      <c r="H2281" s="16"/>
      <c r="I2281" s="23"/>
      <c r="J2281" s="23"/>
      <c r="K2281" s="16"/>
      <c r="L2281" s="23"/>
      <c r="M2281" s="23"/>
      <c r="N2281" s="23"/>
      <c r="O2281" s="16"/>
      <c r="P2281" s="23"/>
      <c r="Q2281" s="23"/>
      <c r="R2281" s="23"/>
      <c r="S2281" s="16"/>
      <c r="T2281" s="23"/>
      <c r="U2281" s="23"/>
      <c r="V2281" s="23"/>
      <c r="W2281" s="16"/>
      <c r="X2281" s="23"/>
      <c r="Y2281" s="23"/>
      <c r="Z2281" s="23"/>
      <c r="AA2281" s="16"/>
      <c r="AB2281" s="23"/>
      <c r="AC2281" s="23"/>
      <c r="AD2281" s="23"/>
      <c r="AE2281" s="16"/>
      <c r="AF2281" s="23"/>
      <c r="AG2281" s="23"/>
      <c r="AH2281" s="23"/>
      <c r="AI2281" s="16"/>
      <c r="AJ2281" s="23"/>
      <c r="AK2281" s="23"/>
      <c r="AL2281" s="23"/>
      <c r="AM2281" s="16"/>
      <c r="AN2281" s="23"/>
      <c r="AO2281" s="23"/>
      <c r="AP2281" s="23"/>
      <c r="AQ2281" s="16"/>
      <c r="AR2281" s="23"/>
      <c r="AS2281" s="23"/>
      <c r="AT2281" s="23"/>
      <c r="AU2281" s="16"/>
      <c r="AV2281" s="23"/>
      <c r="AW2281" s="23"/>
      <c r="AX2281" s="23"/>
      <c r="AY2281" s="16"/>
      <c r="AZ2281" s="23"/>
      <c r="BA2281" s="23"/>
      <c r="BB2281" s="23"/>
      <c r="BC2281" s="16"/>
      <c r="BD2281" s="23"/>
      <c r="BE2281" s="23"/>
      <c r="BF2281" s="23"/>
      <c r="BG2281" s="16"/>
      <c r="BH2281" s="23"/>
      <c r="BI2281" s="23"/>
      <c r="BJ2281" s="23"/>
      <c r="BN2281" s="23"/>
      <c r="BO2281" s="23"/>
      <c r="BP2281" s="16"/>
      <c r="BQ2281" s="16"/>
      <c r="BR2281" s="23"/>
      <c r="BS2281" s="16"/>
      <c r="BT2281" s="16"/>
      <c r="BU2281" s="16"/>
      <c r="BV2281" s="16"/>
      <c r="BW2281" s="16"/>
      <c r="BX2281" s="16"/>
      <c r="BY2281" s="16"/>
    </row>
    <row r="2282">
      <c r="A2282" s="16"/>
      <c r="B2282" s="16"/>
      <c r="C2282" s="22"/>
      <c r="D2282" s="16"/>
      <c r="E2282" s="16"/>
      <c r="F2282" s="16"/>
      <c r="G2282" s="16"/>
      <c r="H2282" s="16"/>
      <c r="I2282" s="23"/>
      <c r="J2282" s="23"/>
      <c r="K2282" s="16"/>
      <c r="L2282" s="23"/>
      <c r="M2282" s="23"/>
      <c r="N2282" s="23"/>
      <c r="O2282" s="16"/>
      <c r="P2282" s="23"/>
      <c r="Q2282" s="23"/>
      <c r="R2282" s="23"/>
      <c r="S2282" s="16"/>
      <c r="T2282" s="23"/>
      <c r="U2282" s="23"/>
      <c r="V2282" s="23"/>
      <c r="W2282" s="16"/>
      <c r="X2282" s="23"/>
      <c r="Y2282" s="23"/>
      <c r="Z2282" s="23"/>
      <c r="AA2282" s="16"/>
      <c r="AB2282" s="23"/>
      <c r="AC2282" s="23"/>
      <c r="AD2282" s="23"/>
      <c r="AE2282" s="16"/>
      <c r="AF2282" s="23"/>
      <c r="AG2282" s="23"/>
      <c r="AH2282" s="23"/>
      <c r="AI2282" s="16"/>
      <c r="AJ2282" s="23"/>
      <c r="AK2282" s="23"/>
      <c r="AL2282" s="23"/>
      <c r="AM2282" s="16"/>
      <c r="AN2282" s="23"/>
      <c r="AO2282" s="23"/>
      <c r="AP2282" s="23"/>
      <c r="AQ2282" s="16"/>
      <c r="AR2282" s="23"/>
      <c r="AS2282" s="23"/>
      <c r="AT2282" s="23"/>
      <c r="AU2282" s="16"/>
      <c r="AV2282" s="23"/>
      <c r="AW2282" s="23"/>
      <c r="AX2282" s="23"/>
      <c r="AY2282" s="16"/>
      <c r="AZ2282" s="23"/>
      <c r="BA2282" s="23"/>
      <c r="BB2282" s="23"/>
      <c r="BC2282" s="16"/>
      <c r="BD2282" s="23"/>
      <c r="BE2282" s="23"/>
      <c r="BF2282" s="23"/>
      <c r="BG2282" s="16"/>
      <c r="BH2282" s="23"/>
      <c r="BI2282" s="23"/>
      <c r="BJ2282" s="23"/>
      <c r="BN2282" s="23"/>
      <c r="BO2282" s="23"/>
      <c r="BP2282" s="16"/>
      <c r="BQ2282" s="16"/>
      <c r="BR2282" s="23"/>
      <c r="BS2282" s="16"/>
      <c r="BT2282" s="16"/>
      <c r="BU2282" s="16"/>
      <c r="BV2282" s="16"/>
      <c r="BW2282" s="16"/>
      <c r="BX2282" s="16"/>
      <c r="BY2282" s="16"/>
    </row>
    <row r="2283">
      <c r="A2283" s="16"/>
      <c r="B2283" s="16"/>
      <c r="C2283" s="22"/>
      <c r="D2283" s="16"/>
      <c r="E2283" s="16"/>
      <c r="F2283" s="16"/>
      <c r="G2283" s="16"/>
      <c r="H2283" s="16"/>
      <c r="I2283" s="23"/>
      <c r="J2283" s="23"/>
      <c r="K2283" s="16"/>
      <c r="L2283" s="23"/>
      <c r="M2283" s="23"/>
      <c r="N2283" s="23"/>
      <c r="O2283" s="16"/>
      <c r="P2283" s="23"/>
      <c r="Q2283" s="23"/>
      <c r="R2283" s="23"/>
      <c r="S2283" s="16"/>
      <c r="T2283" s="23"/>
      <c r="U2283" s="23"/>
      <c r="V2283" s="23"/>
      <c r="W2283" s="16"/>
      <c r="X2283" s="23"/>
      <c r="Y2283" s="23"/>
      <c r="Z2283" s="23"/>
      <c r="AA2283" s="16"/>
      <c r="AB2283" s="23"/>
      <c r="AC2283" s="23"/>
      <c r="AD2283" s="23"/>
      <c r="AE2283" s="16"/>
      <c r="AF2283" s="23"/>
      <c r="AG2283" s="23"/>
      <c r="AH2283" s="23"/>
      <c r="AI2283" s="16"/>
      <c r="AJ2283" s="23"/>
      <c r="AK2283" s="23"/>
      <c r="AL2283" s="23"/>
      <c r="AM2283" s="16"/>
      <c r="AN2283" s="23"/>
      <c r="AO2283" s="23"/>
      <c r="AP2283" s="23"/>
      <c r="AQ2283" s="16"/>
      <c r="AR2283" s="23"/>
      <c r="AS2283" s="23"/>
      <c r="AT2283" s="23"/>
      <c r="AU2283" s="16"/>
      <c r="AV2283" s="23"/>
      <c r="AW2283" s="23"/>
      <c r="AX2283" s="23"/>
      <c r="AY2283" s="16"/>
      <c r="AZ2283" s="23"/>
      <c r="BA2283" s="23"/>
      <c r="BB2283" s="23"/>
      <c r="BC2283" s="16"/>
      <c r="BD2283" s="23"/>
      <c r="BE2283" s="23"/>
      <c r="BF2283" s="23"/>
      <c r="BG2283" s="16"/>
      <c r="BH2283" s="23"/>
      <c r="BI2283" s="23"/>
      <c r="BJ2283" s="23"/>
      <c r="BN2283" s="23"/>
      <c r="BO2283" s="23"/>
      <c r="BP2283" s="16"/>
      <c r="BQ2283" s="16"/>
      <c r="BR2283" s="23"/>
      <c r="BS2283" s="16"/>
      <c r="BT2283" s="16"/>
      <c r="BU2283" s="16"/>
      <c r="BV2283" s="16"/>
      <c r="BW2283" s="16"/>
      <c r="BX2283" s="16"/>
      <c r="BY2283" s="16"/>
    </row>
    <row r="2284">
      <c r="A2284" s="16"/>
      <c r="B2284" s="16"/>
      <c r="C2284" s="22"/>
      <c r="D2284" s="16"/>
      <c r="E2284" s="16"/>
      <c r="F2284" s="16"/>
      <c r="G2284" s="16"/>
      <c r="H2284" s="16"/>
      <c r="I2284" s="23"/>
      <c r="J2284" s="23"/>
      <c r="K2284" s="16"/>
      <c r="L2284" s="23"/>
      <c r="M2284" s="23"/>
      <c r="N2284" s="23"/>
      <c r="O2284" s="16"/>
      <c r="P2284" s="23"/>
      <c r="Q2284" s="23"/>
      <c r="R2284" s="23"/>
      <c r="S2284" s="16"/>
      <c r="T2284" s="23"/>
      <c r="U2284" s="23"/>
      <c r="V2284" s="23"/>
      <c r="W2284" s="16"/>
      <c r="X2284" s="23"/>
      <c r="Y2284" s="23"/>
      <c r="Z2284" s="23"/>
      <c r="AA2284" s="16"/>
      <c r="AB2284" s="23"/>
      <c r="AC2284" s="23"/>
      <c r="AD2284" s="23"/>
      <c r="AE2284" s="16"/>
      <c r="AF2284" s="23"/>
      <c r="AG2284" s="23"/>
      <c r="AH2284" s="23"/>
      <c r="AI2284" s="16"/>
      <c r="AJ2284" s="23"/>
      <c r="AK2284" s="23"/>
      <c r="AL2284" s="23"/>
      <c r="AM2284" s="16"/>
      <c r="AN2284" s="23"/>
      <c r="AO2284" s="23"/>
      <c r="AP2284" s="23"/>
      <c r="AQ2284" s="16"/>
      <c r="AR2284" s="23"/>
      <c r="AS2284" s="23"/>
      <c r="AT2284" s="23"/>
      <c r="AU2284" s="16"/>
      <c r="AV2284" s="23"/>
      <c r="AW2284" s="23"/>
      <c r="AX2284" s="23"/>
      <c r="AY2284" s="16"/>
      <c r="AZ2284" s="23"/>
      <c r="BA2284" s="23"/>
      <c r="BB2284" s="23"/>
      <c r="BC2284" s="16"/>
      <c r="BD2284" s="23"/>
      <c r="BE2284" s="23"/>
      <c r="BF2284" s="23"/>
      <c r="BG2284" s="16"/>
      <c r="BH2284" s="23"/>
      <c r="BI2284" s="23"/>
      <c r="BJ2284" s="23"/>
      <c r="BN2284" s="23"/>
      <c r="BO2284" s="23"/>
      <c r="BP2284" s="16"/>
      <c r="BQ2284" s="16"/>
      <c r="BR2284" s="23"/>
      <c r="BS2284" s="16"/>
      <c r="BT2284" s="16"/>
      <c r="BU2284" s="16"/>
      <c r="BV2284" s="16"/>
      <c r="BW2284" s="16"/>
      <c r="BX2284" s="16"/>
      <c r="BY2284" s="16"/>
    </row>
    <row r="2285">
      <c r="A2285" s="16"/>
      <c r="B2285" s="16"/>
      <c r="C2285" s="22"/>
      <c r="D2285" s="16"/>
      <c r="E2285" s="16"/>
      <c r="F2285" s="16"/>
      <c r="G2285" s="16"/>
      <c r="H2285" s="16"/>
      <c r="I2285" s="23"/>
      <c r="J2285" s="23"/>
      <c r="K2285" s="16"/>
      <c r="L2285" s="23"/>
      <c r="M2285" s="23"/>
      <c r="N2285" s="23"/>
      <c r="O2285" s="16"/>
      <c r="P2285" s="23"/>
      <c r="Q2285" s="23"/>
      <c r="R2285" s="23"/>
      <c r="S2285" s="16"/>
      <c r="T2285" s="23"/>
      <c r="U2285" s="23"/>
      <c r="V2285" s="23"/>
      <c r="W2285" s="16"/>
      <c r="X2285" s="23"/>
      <c r="Y2285" s="23"/>
      <c r="Z2285" s="23"/>
      <c r="AA2285" s="16"/>
      <c r="AB2285" s="23"/>
      <c r="AC2285" s="23"/>
      <c r="AD2285" s="23"/>
      <c r="AE2285" s="16"/>
      <c r="AF2285" s="23"/>
      <c r="AG2285" s="23"/>
      <c r="AH2285" s="23"/>
      <c r="AI2285" s="16"/>
      <c r="AJ2285" s="23"/>
      <c r="AK2285" s="23"/>
      <c r="AL2285" s="23"/>
      <c r="AM2285" s="16"/>
      <c r="AN2285" s="23"/>
      <c r="AO2285" s="23"/>
      <c r="AP2285" s="23"/>
      <c r="AQ2285" s="16"/>
      <c r="AR2285" s="23"/>
      <c r="AS2285" s="23"/>
      <c r="AT2285" s="23"/>
      <c r="AU2285" s="16"/>
      <c r="AV2285" s="23"/>
      <c r="AW2285" s="23"/>
      <c r="AX2285" s="23"/>
      <c r="AY2285" s="16"/>
      <c r="AZ2285" s="23"/>
      <c r="BA2285" s="23"/>
      <c r="BB2285" s="23"/>
      <c r="BC2285" s="16"/>
      <c r="BD2285" s="23"/>
      <c r="BE2285" s="23"/>
      <c r="BF2285" s="23"/>
      <c r="BG2285" s="16"/>
      <c r="BH2285" s="23"/>
      <c r="BI2285" s="23"/>
      <c r="BJ2285" s="23"/>
      <c r="BN2285" s="23"/>
      <c r="BO2285" s="23"/>
      <c r="BP2285" s="16"/>
      <c r="BQ2285" s="16"/>
      <c r="BR2285" s="23"/>
      <c r="BS2285" s="16"/>
      <c r="BT2285" s="16"/>
      <c r="BU2285" s="16"/>
      <c r="BV2285" s="16"/>
      <c r="BW2285" s="16"/>
      <c r="BX2285" s="16"/>
      <c r="BY2285" s="16"/>
    </row>
    <row r="2286">
      <c r="A2286" s="16"/>
      <c r="B2286" s="16"/>
      <c r="C2286" s="22"/>
      <c r="D2286" s="16"/>
      <c r="E2286" s="16"/>
      <c r="F2286" s="16"/>
      <c r="G2286" s="16"/>
      <c r="H2286" s="16"/>
      <c r="I2286" s="23"/>
      <c r="J2286" s="23"/>
      <c r="K2286" s="16"/>
      <c r="L2286" s="23"/>
      <c r="M2286" s="23"/>
      <c r="N2286" s="23"/>
      <c r="O2286" s="16"/>
      <c r="P2286" s="23"/>
      <c r="Q2286" s="23"/>
      <c r="R2286" s="23"/>
      <c r="S2286" s="16"/>
      <c r="T2286" s="23"/>
      <c r="U2286" s="23"/>
      <c r="V2286" s="23"/>
      <c r="W2286" s="16"/>
      <c r="X2286" s="23"/>
      <c r="Y2286" s="23"/>
      <c r="Z2286" s="23"/>
      <c r="AA2286" s="16"/>
      <c r="AB2286" s="23"/>
      <c r="AC2286" s="23"/>
      <c r="AD2286" s="23"/>
      <c r="AE2286" s="16"/>
      <c r="AF2286" s="23"/>
      <c r="AG2286" s="23"/>
      <c r="AH2286" s="23"/>
      <c r="AI2286" s="16"/>
      <c r="AJ2286" s="23"/>
      <c r="AK2286" s="23"/>
      <c r="AL2286" s="23"/>
      <c r="AM2286" s="16"/>
      <c r="AN2286" s="23"/>
      <c r="AO2286" s="23"/>
      <c r="AP2286" s="23"/>
      <c r="AQ2286" s="16"/>
      <c r="AR2286" s="23"/>
      <c r="AS2286" s="23"/>
      <c r="AT2286" s="23"/>
      <c r="AU2286" s="16"/>
      <c r="AV2286" s="23"/>
      <c r="AW2286" s="23"/>
      <c r="AX2286" s="23"/>
      <c r="AY2286" s="16"/>
      <c r="AZ2286" s="23"/>
      <c r="BA2286" s="23"/>
      <c r="BB2286" s="23"/>
      <c r="BC2286" s="16"/>
      <c r="BD2286" s="23"/>
      <c r="BE2286" s="23"/>
      <c r="BF2286" s="23"/>
      <c r="BG2286" s="16"/>
      <c r="BH2286" s="23"/>
      <c r="BI2286" s="23"/>
      <c r="BJ2286" s="23"/>
      <c r="BN2286" s="23"/>
      <c r="BO2286" s="23"/>
      <c r="BP2286" s="16"/>
      <c r="BQ2286" s="16"/>
      <c r="BR2286" s="23"/>
      <c r="BS2286" s="16"/>
      <c r="BT2286" s="16"/>
      <c r="BU2286" s="16"/>
      <c r="BV2286" s="16"/>
      <c r="BW2286" s="16"/>
      <c r="BX2286" s="16"/>
      <c r="BY2286" s="16"/>
    </row>
    <row r="2287">
      <c r="A2287" s="16"/>
      <c r="B2287" s="16"/>
      <c r="C2287" s="22"/>
      <c r="D2287" s="16"/>
      <c r="E2287" s="16"/>
      <c r="F2287" s="16"/>
      <c r="G2287" s="16"/>
      <c r="H2287" s="16"/>
      <c r="I2287" s="23"/>
      <c r="J2287" s="23"/>
      <c r="K2287" s="16"/>
      <c r="L2287" s="23"/>
      <c r="M2287" s="23"/>
      <c r="N2287" s="23"/>
      <c r="O2287" s="16"/>
      <c r="P2287" s="23"/>
      <c r="Q2287" s="23"/>
      <c r="R2287" s="23"/>
      <c r="S2287" s="16"/>
      <c r="T2287" s="23"/>
      <c r="U2287" s="23"/>
      <c r="V2287" s="23"/>
      <c r="W2287" s="16"/>
      <c r="X2287" s="23"/>
      <c r="Y2287" s="23"/>
      <c r="Z2287" s="23"/>
      <c r="AA2287" s="16"/>
      <c r="AB2287" s="23"/>
      <c r="AC2287" s="23"/>
      <c r="AD2287" s="23"/>
      <c r="AE2287" s="16"/>
      <c r="AF2287" s="23"/>
      <c r="AG2287" s="23"/>
      <c r="AH2287" s="23"/>
      <c r="AI2287" s="16"/>
      <c r="AJ2287" s="23"/>
      <c r="AK2287" s="23"/>
      <c r="AL2287" s="23"/>
      <c r="AM2287" s="16"/>
      <c r="AN2287" s="23"/>
      <c r="AO2287" s="23"/>
      <c r="AP2287" s="23"/>
      <c r="AQ2287" s="16"/>
      <c r="AR2287" s="23"/>
      <c r="AS2287" s="23"/>
      <c r="AT2287" s="23"/>
      <c r="AU2287" s="16"/>
      <c r="AV2287" s="23"/>
      <c r="AW2287" s="23"/>
      <c r="AX2287" s="23"/>
      <c r="AY2287" s="16"/>
      <c r="AZ2287" s="23"/>
      <c r="BA2287" s="23"/>
      <c r="BB2287" s="23"/>
      <c r="BC2287" s="16"/>
      <c r="BD2287" s="23"/>
      <c r="BE2287" s="23"/>
      <c r="BF2287" s="23"/>
      <c r="BG2287" s="16"/>
      <c r="BH2287" s="23"/>
      <c r="BI2287" s="23"/>
      <c r="BJ2287" s="23"/>
      <c r="BN2287" s="23"/>
      <c r="BO2287" s="23"/>
      <c r="BP2287" s="16"/>
      <c r="BQ2287" s="16"/>
      <c r="BR2287" s="23"/>
      <c r="BS2287" s="16"/>
      <c r="BT2287" s="16"/>
      <c r="BU2287" s="16"/>
      <c r="BV2287" s="16"/>
      <c r="BW2287" s="16"/>
      <c r="BX2287" s="16"/>
      <c r="BY2287" s="16"/>
    </row>
    <row r="2288">
      <c r="A2288" s="16"/>
      <c r="B2288" s="16"/>
      <c r="C2288" s="22"/>
      <c r="D2288" s="16"/>
      <c r="E2288" s="16"/>
      <c r="F2288" s="16"/>
      <c r="G2288" s="16"/>
      <c r="H2288" s="16"/>
      <c r="I2288" s="23"/>
      <c r="J2288" s="23"/>
      <c r="K2288" s="16"/>
      <c r="L2288" s="23"/>
      <c r="M2288" s="23"/>
      <c r="N2288" s="23"/>
      <c r="O2288" s="16"/>
      <c r="P2288" s="23"/>
      <c r="Q2288" s="23"/>
      <c r="R2288" s="23"/>
      <c r="S2288" s="16"/>
      <c r="T2288" s="23"/>
      <c r="U2288" s="23"/>
      <c r="V2288" s="23"/>
      <c r="W2288" s="16"/>
      <c r="X2288" s="23"/>
      <c r="Y2288" s="23"/>
      <c r="Z2288" s="23"/>
      <c r="AA2288" s="16"/>
      <c r="AB2288" s="23"/>
      <c r="AC2288" s="23"/>
      <c r="AD2288" s="23"/>
      <c r="AE2288" s="16"/>
      <c r="AF2288" s="23"/>
      <c r="AG2288" s="23"/>
      <c r="AH2288" s="23"/>
      <c r="AI2288" s="16"/>
      <c r="AJ2288" s="23"/>
      <c r="AK2288" s="23"/>
      <c r="AL2288" s="23"/>
      <c r="AM2288" s="16"/>
      <c r="AN2288" s="23"/>
      <c r="AO2288" s="23"/>
      <c r="AP2288" s="23"/>
      <c r="AQ2288" s="16"/>
      <c r="AR2288" s="23"/>
      <c r="AS2288" s="23"/>
      <c r="AT2288" s="23"/>
      <c r="AU2288" s="16"/>
      <c r="AV2288" s="23"/>
      <c r="AW2288" s="23"/>
      <c r="AX2288" s="23"/>
      <c r="AY2288" s="16"/>
      <c r="AZ2288" s="23"/>
      <c r="BA2288" s="23"/>
      <c r="BB2288" s="23"/>
      <c r="BC2288" s="16"/>
      <c r="BD2288" s="23"/>
      <c r="BE2288" s="23"/>
      <c r="BF2288" s="23"/>
      <c r="BG2288" s="16"/>
      <c r="BH2288" s="23"/>
      <c r="BI2288" s="23"/>
      <c r="BJ2288" s="23"/>
      <c r="BN2288" s="23"/>
      <c r="BO2288" s="23"/>
      <c r="BP2288" s="16"/>
      <c r="BQ2288" s="16"/>
      <c r="BR2288" s="23"/>
      <c r="BS2288" s="16"/>
      <c r="BT2288" s="16"/>
      <c r="BU2288" s="16"/>
      <c r="BV2288" s="16"/>
      <c r="BW2288" s="16"/>
      <c r="BX2288" s="16"/>
      <c r="BY2288" s="16"/>
    </row>
    <row r="2289">
      <c r="A2289" s="16"/>
      <c r="B2289" s="16"/>
      <c r="C2289" s="22"/>
      <c r="D2289" s="16"/>
      <c r="E2289" s="16"/>
      <c r="F2289" s="16"/>
      <c r="G2289" s="16"/>
      <c r="H2289" s="16"/>
      <c r="I2289" s="23"/>
      <c r="J2289" s="23"/>
      <c r="K2289" s="16"/>
      <c r="L2289" s="23"/>
      <c r="M2289" s="23"/>
      <c r="N2289" s="23"/>
      <c r="O2289" s="16"/>
      <c r="P2289" s="23"/>
      <c r="Q2289" s="23"/>
      <c r="R2289" s="23"/>
      <c r="S2289" s="16"/>
      <c r="T2289" s="23"/>
      <c r="U2289" s="23"/>
      <c r="V2289" s="23"/>
      <c r="W2289" s="16"/>
      <c r="X2289" s="23"/>
      <c r="Y2289" s="23"/>
      <c r="Z2289" s="23"/>
      <c r="AA2289" s="16"/>
      <c r="AB2289" s="23"/>
      <c r="AC2289" s="23"/>
      <c r="AD2289" s="23"/>
      <c r="AE2289" s="16"/>
      <c r="AF2289" s="23"/>
      <c r="AG2289" s="23"/>
      <c r="AH2289" s="23"/>
      <c r="AI2289" s="16"/>
      <c r="AJ2289" s="23"/>
      <c r="AK2289" s="23"/>
      <c r="AL2289" s="23"/>
      <c r="AM2289" s="16"/>
      <c r="AN2289" s="23"/>
      <c r="AO2289" s="23"/>
      <c r="AP2289" s="23"/>
      <c r="AQ2289" s="16"/>
      <c r="AR2289" s="23"/>
      <c r="AS2289" s="23"/>
      <c r="AT2289" s="23"/>
      <c r="AU2289" s="16"/>
      <c r="AV2289" s="23"/>
      <c r="AW2289" s="23"/>
      <c r="AX2289" s="23"/>
      <c r="AY2289" s="16"/>
      <c r="AZ2289" s="23"/>
      <c r="BA2289" s="23"/>
      <c r="BB2289" s="23"/>
      <c r="BC2289" s="16"/>
      <c r="BD2289" s="23"/>
      <c r="BE2289" s="23"/>
      <c r="BF2289" s="23"/>
      <c r="BG2289" s="16"/>
      <c r="BH2289" s="23"/>
      <c r="BI2289" s="23"/>
      <c r="BJ2289" s="23"/>
      <c r="BN2289" s="23"/>
      <c r="BO2289" s="23"/>
      <c r="BP2289" s="16"/>
      <c r="BQ2289" s="16"/>
      <c r="BR2289" s="23"/>
      <c r="BS2289" s="16"/>
      <c r="BT2289" s="16"/>
      <c r="BU2289" s="16"/>
      <c r="BV2289" s="16"/>
      <c r="BW2289" s="16"/>
      <c r="BX2289" s="16"/>
      <c r="BY2289" s="16"/>
    </row>
    <row r="2290">
      <c r="A2290" s="16"/>
      <c r="B2290" s="16"/>
      <c r="C2290" s="22"/>
      <c r="D2290" s="16"/>
      <c r="E2290" s="16"/>
      <c r="F2290" s="16"/>
      <c r="G2290" s="16"/>
      <c r="H2290" s="16"/>
      <c r="I2290" s="23"/>
      <c r="J2290" s="23"/>
      <c r="K2290" s="16"/>
      <c r="L2290" s="23"/>
      <c r="M2290" s="23"/>
      <c r="N2290" s="23"/>
      <c r="O2290" s="16"/>
      <c r="P2290" s="23"/>
      <c r="Q2290" s="23"/>
      <c r="R2290" s="23"/>
      <c r="S2290" s="16"/>
      <c r="T2290" s="23"/>
      <c r="U2290" s="23"/>
      <c r="V2290" s="23"/>
      <c r="W2290" s="16"/>
      <c r="X2290" s="23"/>
      <c r="Y2290" s="23"/>
      <c r="Z2290" s="23"/>
      <c r="AA2290" s="16"/>
      <c r="AB2290" s="23"/>
      <c r="AC2290" s="23"/>
      <c r="AD2290" s="23"/>
      <c r="AE2290" s="16"/>
      <c r="AF2290" s="23"/>
      <c r="AG2290" s="23"/>
      <c r="AH2290" s="23"/>
      <c r="AI2290" s="16"/>
      <c r="AJ2290" s="23"/>
      <c r="AK2290" s="23"/>
      <c r="AL2290" s="23"/>
      <c r="AM2290" s="16"/>
      <c r="AN2290" s="23"/>
      <c r="AO2290" s="23"/>
      <c r="AP2290" s="23"/>
      <c r="AQ2290" s="16"/>
      <c r="AR2290" s="23"/>
      <c r="AS2290" s="23"/>
      <c r="AT2290" s="23"/>
      <c r="AU2290" s="16"/>
      <c r="AV2290" s="23"/>
      <c r="AW2290" s="23"/>
      <c r="AX2290" s="23"/>
      <c r="AY2290" s="16"/>
      <c r="AZ2290" s="23"/>
      <c r="BA2290" s="23"/>
      <c r="BB2290" s="23"/>
      <c r="BC2290" s="16"/>
      <c r="BD2290" s="23"/>
      <c r="BE2290" s="23"/>
      <c r="BF2290" s="23"/>
      <c r="BG2290" s="16"/>
      <c r="BH2290" s="23"/>
      <c r="BI2290" s="23"/>
      <c r="BJ2290" s="23"/>
      <c r="BN2290" s="23"/>
      <c r="BO2290" s="23"/>
      <c r="BP2290" s="16"/>
      <c r="BQ2290" s="16"/>
      <c r="BR2290" s="23"/>
      <c r="BS2290" s="16"/>
      <c r="BT2290" s="16"/>
      <c r="BU2290" s="16"/>
      <c r="BV2290" s="16"/>
      <c r="BW2290" s="16"/>
      <c r="BX2290" s="16"/>
      <c r="BY2290" s="16"/>
    </row>
    <row r="2291">
      <c r="A2291" s="16"/>
      <c r="B2291" s="16"/>
      <c r="C2291" s="22"/>
      <c r="D2291" s="16"/>
      <c r="E2291" s="16"/>
      <c r="F2291" s="16"/>
      <c r="G2291" s="16"/>
      <c r="H2291" s="16"/>
      <c r="I2291" s="23"/>
      <c r="J2291" s="23"/>
      <c r="K2291" s="16"/>
      <c r="L2291" s="23"/>
      <c r="M2291" s="23"/>
      <c r="N2291" s="23"/>
      <c r="O2291" s="16"/>
      <c r="P2291" s="23"/>
      <c r="Q2291" s="23"/>
      <c r="R2291" s="23"/>
      <c r="S2291" s="16"/>
      <c r="T2291" s="23"/>
      <c r="U2291" s="23"/>
      <c r="V2291" s="23"/>
      <c r="W2291" s="16"/>
      <c r="X2291" s="23"/>
      <c r="Y2291" s="23"/>
      <c r="Z2291" s="23"/>
      <c r="AA2291" s="16"/>
      <c r="AB2291" s="23"/>
      <c r="AC2291" s="23"/>
      <c r="AD2291" s="23"/>
      <c r="AE2291" s="16"/>
      <c r="AF2291" s="23"/>
      <c r="AG2291" s="23"/>
      <c r="AH2291" s="23"/>
      <c r="AI2291" s="16"/>
      <c r="AJ2291" s="23"/>
      <c r="AK2291" s="23"/>
      <c r="AL2291" s="23"/>
      <c r="AM2291" s="16"/>
      <c r="AN2291" s="23"/>
      <c r="AO2291" s="23"/>
      <c r="AP2291" s="23"/>
      <c r="AQ2291" s="16"/>
      <c r="AR2291" s="23"/>
      <c r="AS2291" s="23"/>
      <c r="AT2291" s="23"/>
      <c r="AU2291" s="16"/>
      <c r="AV2291" s="23"/>
      <c r="AW2291" s="23"/>
      <c r="AX2291" s="23"/>
      <c r="AY2291" s="16"/>
      <c r="AZ2291" s="23"/>
      <c r="BA2291" s="23"/>
      <c r="BB2291" s="23"/>
      <c r="BC2291" s="16"/>
      <c r="BD2291" s="23"/>
      <c r="BE2291" s="23"/>
      <c r="BF2291" s="23"/>
      <c r="BG2291" s="16"/>
      <c r="BH2291" s="23"/>
      <c r="BI2291" s="23"/>
      <c r="BJ2291" s="23"/>
      <c r="BN2291" s="23"/>
      <c r="BO2291" s="23"/>
      <c r="BP2291" s="16"/>
      <c r="BQ2291" s="16"/>
      <c r="BR2291" s="23"/>
      <c r="BS2291" s="16"/>
      <c r="BT2291" s="16"/>
      <c r="BU2291" s="16"/>
      <c r="BV2291" s="16"/>
      <c r="BW2291" s="16"/>
      <c r="BX2291" s="16"/>
      <c r="BY2291" s="16"/>
    </row>
    <row r="2292">
      <c r="A2292" s="16"/>
      <c r="B2292" s="16"/>
      <c r="C2292" s="22"/>
      <c r="D2292" s="16"/>
      <c r="E2292" s="16"/>
      <c r="F2292" s="16"/>
      <c r="G2292" s="16"/>
      <c r="H2292" s="16"/>
      <c r="I2292" s="23"/>
      <c r="J2292" s="23"/>
      <c r="K2292" s="16"/>
      <c r="L2292" s="23"/>
      <c r="M2292" s="23"/>
      <c r="N2292" s="23"/>
      <c r="O2292" s="16"/>
      <c r="P2292" s="23"/>
      <c r="Q2292" s="23"/>
      <c r="R2292" s="23"/>
      <c r="S2292" s="16"/>
      <c r="T2292" s="23"/>
      <c r="U2292" s="23"/>
      <c r="V2292" s="23"/>
      <c r="W2292" s="16"/>
      <c r="X2292" s="23"/>
      <c r="Y2292" s="23"/>
      <c r="Z2292" s="23"/>
      <c r="AA2292" s="16"/>
      <c r="AB2292" s="23"/>
      <c r="AC2292" s="23"/>
      <c r="AD2292" s="23"/>
      <c r="AE2292" s="16"/>
      <c r="AF2292" s="23"/>
      <c r="AG2292" s="23"/>
      <c r="AH2292" s="23"/>
      <c r="AI2292" s="16"/>
      <c r="AJ2292" s="23"/>
      <c r="AK2292" s="23"/>
      <c r="AL2292" s="23"/>
      <c r="AM2292" s="16"/>
      <c r="AN2292" s="23"/>
      <c r="AO2292" s="23"/>
      <c r="AP2292" s="23"/>
      <c r="AQ2292" s="16"/>
      <c r="AR2292" s="23"/>
      <c r="AS2292" s="23"/>
      <c r="AT2292" s="23"/>
      <c r="AU2292" s="16"/>
      <c r="AV2292" s="23"/>
      <c r="AW2292" s="23"/>
      <c r="AX2292" s="23"/>
      <c r="AY2292" s="16"/>
      <c r="AZ2292" s="23"/>
      <c r="BA2292" s="23"/>
      <c r="BB2292" s="23"/>
      <c r="BC2292" s="16"/>
      <c r="BD2292" s="23"/>
      <c r="BE2292" s="23"/>
      <c r="BF2292" s="23"/>
      <c r="BG2292" s="16"/>
      <c r="BH2292" s="23"/>
      <c r="BI2292" s="23"/>
      <c r="BJ2292" s="23"/>
      <c r="BN2292" s="23"/>
      <c r="BO2292" s="23"/>
      <c r="BP2292" s="16"/>
      <c r="BQ2292" s="16"/>
      <c r="BR2292" s="23"/>
      <c r="BS2292" s="16"/>
      <c r="BT2292" s="16"/>
      <c r="BU2292" s="16"/>
      <c r="BV2292" s="16"/>
      <c r="BW2292" s="16"/>
      <c r="BX2292" s="16"/>
      <c r="BY2292" s="16"/>
    </row>
    <row r="2293">
      <c r="A2293" s="16"/>
      <c r="B2293" s="16"/>
      <c r="C2293" s="22"/>
      <c r="D2293" s="16"/>
      <c r="E2293" s="16"/>
      <c r="F2293" s="16"/>
      <c r="G2293" s="16"/>
      <c r="H2293" s="16"/>
      <c r="I2293" s="23"/>
      <c r="J2293" s="23"/>
      <c r="K2293" s="16"/>
      <c r="L2293" s="23"/>
      <c r="M2293" s="23"/>
      <c r="N2293" s="23"/>
      <c r="O2293" s="16"/>
      <c r="P2293" s="23"/>
      <c r="Q2293" s="23"/>
      <c r="R2293" s="23"/>
      <c r="S2293" s="16"/>
      <c r="T2293" s="23"/>
      <c r="U2293" s="23"/>
      <c r="V2293" s="23"/>
      <c r="W2293" s="16"/>
      <c r="X2293" s="23"/>
      <c r="Y2293" s="23"/>
      <c r="Z2293" s="23"/>
      <c r="AA2293" s="16"/>
      <c r="AB2293" s="23"/>
      <c r="AC2293" s="23"/>
      <c r="AD2293" s="23"/>
      <c r="AE2293" s="16"/>
      <c r="AF2293" s="23"/>
      <c r="AG2293" s="23"/>
      <c r="AH2293" s="23"/>
      <c r="AI2293" s="16"/>
      <c r="AJ2293" s="23"/>
      <c r="AK2293" s="23"/>
      <c r="AL2293" s="23"/>
      <c r="AM2293" s="16"/>
      <c r="AN2293" s="23"/>
      <c r="AO2293" s="23"/>
      <c r="AP2293" s="23"/>
      <c r="AQ2293" s="16"/>
      <c r="AR2293" s="23"/>
      <c r="AS2293" s="23"/>
      <c r="AT2293" s="23"/>
      <c r="AU2293" s="16"/>
      <c r="AV2293" s="23"/>
      <c r="AW2293" s="23"/>
      <c r="AX2293" s="23"/>
      <c r="AY2293" s="16"/>
      <c r="AZ2293" s="23"/>
      <c r="BA2293" s="23"/>
      <c r="BB2293" s="23"/>
      <c r="BC2293" s="16"/>
      <c r="BD2293" s="23"/>
      <c r="BE2293" s="23"/>
      <c r="BF2293" s="23"/>
      <c r="BG2293" s="16"/>
      <c r="BH2293" s="23"/>
      <c r="BI2293" s="23"/>
      <c r="BJ2293" s="23"/>
      <c r="BN2293" s="23"/>
      <c r="BO2293" s="23"/>
      <c r="BP2293" s="16"/>
      <c r="BQ2293" s="16"/>
      <c r="BR2293" s="23"/>
      <c r="BS2293" s="16"/>
      <c r="BT2293" s="16"/>
      <c r="BU2293" s="16"/>
      <c r="BV2293" s="16"/>
      <c r="BW2293" s="16"/>
      <c r="BX2293" s="16"/>
      <c r="BY2293" s="16"/>
    </row>
    <row r="2294">
      <c r="A2294" s="16"/>
      <c r="B2294" s="16"/>
      <c r="C2294" s="22"/>
      <c r="D2294" s="16"/>
      <c r="E2294" s="16"/>
      <c r="F2294" s="16"/>
      <c r="G2294" s="16"/>
      <c r="H2294" s="16"/>
      <c r="I2294" s="23"/>
      <c r="J2294" s="23"/>
      <c r="K2294" s="16"/>
      <c r="L2294" s="23"/>
      <c r="M2294" s="23"/>
      <c r="N2294" s="23"/>
      <c r="O2294" s="16"/>
      <c r="P2294" s="23"/>
      <c r="Q2294" s="23"/>
      <c r="R2294" s="23"/>
      <c r="S2294" s="16"/>
      <c r="T2294" s="23"/>
      <c r="U2294" s="23"/>
      <c r="V2294" s="23"/>
      <c r="W2294" s="16"/>
      <c r="X2294" s="23"/>
      <c r="Y2294" s="23"/>
      <c r="Z2294" s="23"/>
      <c r="AA2294" s="16"/>
      <c r="AB2294" s="23"/>
      <c r="AC2294" s="23"/>
      <c r="AD2294" s="23"/>
      <c r="AE2294" s="16"/>
      <c r="AF2294" s="23"/>
      <c r="AG2294" s="23"/>
      <c r="AH2294" s="23"/>
      <c r="AI2294" s="16"/>
      <c r="AJ2294" s="23"/>
      <c r="AK2294" s="23"/>
      <c r="AL2294" s="23"/>
      <c r="AM2294" s="16"/>
      <c r="AN2294" s="23"/>
      <c r="AO2294" s="23"/>
      <c r="AP2294" s="23"/>
      <c r="AQ2294" s="16"/>
      <c r="AR2294" s="23"/>
      <c r="AS2294" s="23"/>
      <c r="AT2294" s="23"/>
      <c r="AU2294" s="16"/>
      <c r="AV2294" s="23"/>
      <c r="AW2294" s="23"/>
      <c r="AX2294" s="23"/>
      <c r="AY2294" s="16"/>
      <c r="AZ2294" s="23"/>
      <c r="BA2294" s="23"/>
      <c r="BB2294" s="23"/>
      <c r="BC2294" s="16"/>
      <c r="BD2294" s="23"/>
      <c r="BE2294" s="23"/>
      <c r="BF2294" s="23"/>
      <c r="BG2294" s="16"/>
      <c r="BH2294" s="23"/>
      <c r="BI2294" s="23"/>
      <c r="BJ2294" s="23"/>
      <c r="BN2294" s="23"/>
      <c r="BO2294" s="23"/>
      <c r="BP2294" s="16"/>
      <c r="BQ2294" s="16"/>
      <c r="BR2294" s="23"/>
      <c r="BS2294" s="16"/>
      <c r="BT2294" s="16"/>
      <c r="BU2294" s="16"/>
      <c r="BV2294" s="16"/>
      <c r="BW2294" s="16"/>
      <c r="BX2294" s="16"/>
      <c r="BY2294" s="16"/>
    </row>
    <row r="2295">
      <c r="A2295" s="16"/>
      <c r="B2295" s="16"/>
      <c r="C2295" s="22"/>
      <c r="D2295" s="16"/>
      <c r="E2295" s="16"/>
      <c r="F2295" s="16"/>
      <c r="G2295" s="16"/>
      <c r="H2295" s="16"/>
      <c r="I2295" s="23"/>
      <c r="J2295" s="23"/>
      <c r="K2295" s="16"/>
      <c r="L2295" s="23"/>
      <c r="M2295" s="23"/>
      <c r="N2295" s="23"/>
      <c r="O2295" s="16"/>
      <c r="P2295" s="23"/>
      <c r="Q2295" s="23"/>
      <c r="R2295" s="23"/>
      <c r="S2295" s="16"/>
      <c r="T2295" s="23"/>
      <c r="U2295" s="23"/>
      <c r="V2295" s="23"/>
      <c r="W2295" s="16"/>
      <c r="X2295" s="23"/>
      <c r="Y2295" s="23"/>
      <c r="Z2295" s="23"/>
      <c r="AA2295" s="16"/>
      <c r="AB2295" s="23"/>
      <c r="AC2295" s="23"/>
      <c r="AD2295" s="23"/>
      <c r="AE2295" s="16"/>
      <c r="AF2295" s="23"/>
      <c r="AG2295" s="23"/>
      <c r="AH2295" s="23"/>
      <c r="AI2295" s="16"/>
      <c r="AJ2295" s="23"/>
      <c r="AK2295" s="23"/>
      <c r="AL2295" s="23"/>
      <c r="AM2295" s="16"/>
      <c r="AN2295" s="23"/>
      <c r="AO2295" s="23"/>
      <c r="AP2295" s="23"/>
      <c r="AQ2295" s="16"/>
      <c r="AR2295" s="23"/>
      <c r="AS2295" s="23"/>
      <c r="AT2295" s="23"/>
      <c r="AU2295" s="16"/>
      <c r="AV2295" s="23"/>
      <c r="AW2295" s="23"/>
      <c r="AX2295" s="23"/>
      <c r="AY2295" s="16"/>
      <c r="AZ2295" s="23"/>
      <c r="BA2295" s="23"/>
      <c r="BB2295" s="23"/>
      <c r="BC2295" s="16"/>
      <c r="BD2295" s="23"/>
      <c r="BE2295" s="23"/>
      <c r="BF2295" s="23"/>
      <c r="BG2295" s="16"/>
      <c r="BH2295" s="23"/>
      <c r="BI2295" s="23"/>
      <c r="BJ2295" s="23"/>
      <c r="BN2295" s="23"/>
      <c r="BO2295" s="23"/>
      <c r="BP2295" s="16"/>
      <c r="BQ2295" s="16"/>
      <c r="BR2295" s="23"/>
      <c r="BS2295" s="16"/>
      <c r="BT2295" s="16"/>
      <c r="BU2295" s="16"/>
      <c r="BV2295" s="16"/>
      <c r="BW2295" s="16"/>
      <c r="BX2295" s="16"/>
      <c r="BY2295" s="16"/>
    </row>
    <row r="2296">
      <c r="A2296" s="16"/>
      <c r="B2296" s="16"/>
      <c r="C2296" s="22"/>
      <c r="D2296" s="16"/>
      <c r="E2296" s="16"/>
      <c r="F2296" s="16"/>
      <c r="G2296" s="16"/>
      <c r="H2296" s="16"/>
      <c r="I2296" s="23"/>
      <c r="J2296" s="23"/>
      <c r="K2296" s="16"/>
      <c r="L2296" s="23"/>
      <c r="M2296" s="23"/>
      <c r="N2296" s="23"/>
      <c r="O2296" s="16"/>
      <c r="P2296" s="23"/>
      <c r="Q2296" s="23"/>
      <c r="R2296" s="23"/>
      <c r="S2296" s="16"/>
      <c r="T2296" s="23"/>
      <c r="U2296" s="23"/>
      <c r="V2296" s="23"/>
      <c r="W2296" s="16"/>
      <c r="X2296" s="23"/>
      <c r="Y2296" s="23"/>
      <c r="Z2296" s="23"/>
      <c r="AA2296" s="16"/>
      <c r="AB2296" s="23"/>
      <c r="AC2296" s="23"/>
      <c r="AD2296" s="23"/>
      <c r="AE2296" s="16"/>
      <c r="AF2296" s="23"/>
      <c r="AG2296" s="23"/>
      <c r="AH2296" s="23"/>
      <c r="AI2296" s="16"/>
      <c r="AJ2296" s="23"/>
      <c r="AK2296" s="23"/>
      <c r="AL2296" s="23"/>
      <c r="AM2296" s="16"/>
      <c r="AN2296" s="23"/>
      <c r="AO2296" s="23"/>
      <c r="AP2296" s="23"/>
      <c r="AQ2296" s="16"/>
      <c r="AR2296" s="23"/>
      <c r="AS2296" s="23"/>
      <c r="AT2296" s="23"/>
      <c r="AU2296" s="16"/>
      <c r="AV2296" s="23"/>
      <c r="AW2296" s="23"/>
      <c r="AX2296" s="23"/>
      <c r="AY2296" s="16"/>
      <c r="AZ2296" s="23"/>
      <c r="BA2296" s="23"/>
      <c r="BB2296" s="23"/>
      <c r="BC2296" s="16"/>
      <c r="BD2296" s="23"/>
      <c r="BE2296" s="23"/>
      <c r="BF2296" s="23"/>
      <c r="BG2296" s="16"/>
      <c r="BH2296" s="23"/>
      <c r="BI2296" s="23"/>
      <c r="BJ2296" s="23"/>
      <c r="BN2296" s="23"/>
      <c r="BO2296" s="23"/>
      <c r="BP2296" s="16"/>
      <c r="BQ2296" s="16"/>
      <c r="BR2296" s="23"/>
      <c r="BS2296" s="16"/>
      <c r="BT2296" s="16"/>
      <c r="BU2296" s="16"/>
      <c r="BV2296" s="16"/>
      <c r="BW2296" s="16"/>
      <c r="BX2296" s="16"/>
      <c r="BY2296" s="16"/>
    </row>
    <row r="2297">
      <c r="A2297" s="16"/>
      <c r="B2297" s="16"/>
      <c r="C2297" s="22"/>
      <c r="D2297" s="16"/>
      <c r="E2297" s="16"/>
      <c r="F2297" s="16"/>
      <c r="G2297" s="16"/>
      <c r="H2297" s="16"/>
      <c r="I2297" s="23"/>
      <c r="J2297" s="23"/>
      <c r="K2297" s="16"/>
      <c r="L2297" s="23"/>
      <c r="M2297" s="23"/>
      <c r="N2297" s="23"/>
      <c r="O2297" s="16"/>
      <c r="P2297" s="23"/>
      <c r="Q2297" s="23"/>
      <c r="R2297" s="23"/>
      <c r="S2297" s="16"/>
      <c r="T2297" s="23"/>
      <c r="U2297" s="23"/>
      <c r="V2297" s="23"/>
      <c r="W2297" s="16"/>
      <c r="X2297" s="23"/>
      <c r="Y2297" s="23"/>
      <c r="Z2297" s="23"/>
      <c r="AA2297" s="16"/>
      <c r="AB2297" s="23"/>
      <c r="AC2297" s="23"/>
      <c r="AD2297" s="23"/>
      <c r="AE2297" s="16"/>
      <c r="AF2297" s="23"/>
      <c r="AG2297" s="23"/>
      <c r="AH2297" s="23"/>
      <c r="AI2297" s="16"/>
      <c r="AJ2297" s="23"/>
      <c r="AK2297" s="23"/>
      <c r="AL2297" s="23"/>
      <c r="AM2297" s="16"/>
      <c r="AN2297" s="23"/>
      <c r="AO2297" s="23"/>
      <c r="AP2297" s="23"/>
      <c r="AQ2297" s="16"/>
      <c r="AR2297" s="23"/>
      <c r="AS2297" s="23"/>
      <c r="AT2297" s="23"/>
      <c r="AU2297" s="16"/>
      <c r="AV2297" s="23"/>
      <c r="AW2297" s="23"/>
      <c r="AX2297" s="23"/>
      <c r="AY2297" s="16"/>
      <c r="AZ2297" s="23"/>
      <c r="BA2297" s="23"/>
      <c r="BB2297" s="23"/>
      <c r="BC2297" s="16"/>
      <c r="BD2297" s="23"/>
      <c r="BE2297" s="23"/>
      <c r="BF2297" s="23"/>
      <c r="BG2297" s="16"/>
      <c r="BH2297" s="23"/>
      <c r="BI2297" s="23"/>
      <c r="BJ2297" s="23"/>
      <c r="BN2297" s="23"/>
      <c r="BO2297" s="23"/>
      <c r="BP2297" s="16"/>
      <c r="BQ2297" s="16"/>
      <c r="BR2297" s="23"/>
      <c r="BS2297" s="16"/>
      <c r="BT2297" s="16"/>
      <c r="BU2297" s="16"/>
      <c r="BV2297" s="16"/>
      <c r="BW2297" s="16"/>
      <c r="BX2297" s="16"/>
      <c r="BY2297" s="16"/>
    </row>
    <row r="2298">
      <c r="A2298" s="16"/>
      <c r="B2298" s="16"/>
      <c r="C2298" s="22"/>
      <c r="D2298" s="16"/>
      <c r="E2298" s="16"/>
      <c r="F2298" s="16"/>
      <c r="G2298" s="16"/>
      <c r="H2298" s="16"/>
      <c r="I2298" s="23"/>
      <c r="J2298" s="23"/>
      <c r="K2298" s="16"/>
      <c r="L2298" s="23"/>
      <c r="M2298" s="23"/>
      <c r="N2298" s="23"/>
      <c r="O2298" s="16"/>
      <c r="P2298" s="23"/>
      <c r="Q2298" s="23"/>
      <c r="R2298" s="23"/>
      <c r="S2298" s="16"/>
      <c r="T2298" s="23"/>
      <c r="U2298" s="23"/>
      <c r="V2298" s="23"/>
      <c r="W2298" s="16"/>
      <c r="X2298" s="23"/>
      <c r="Y2298" s="23"/>
      <c r="Z2298" s="23"/>
      <c r="AA2298" s="16"/>
      <c r="AB2298" s="23"/>
      <c r="AC2298" s="23"/>
      <c r="AD2298" s="23"/>
      <c r="AE2298" s="16"/>
      <c r="AF2298" s="23"/>
      <c r="AG2298" s="23"/>
      <c r="AH2298" s="23"/>
      <c r="AI2298" s="16"/>
      <c r="AJ2298" s="23"/>
      <c r="AK2298" s="23"/>
      <c r="AL2298" s="23"/>
      <c r="AM2298" s="16"/>
      <c r="AN2298" s="23"/>
      <c r="AO2298" s="23"/>
      <c r="AP2298" s="23"/>
      <c r="AQ2298" s="16"/>
      <c r="AR2298" s="23"/>
      <c r="AS2298" s="23"/>
      <c r="AT2298" s="23"/>
      <c r="AU2298" s="16"/>
      <c r="AV2298" s="23"/>
      <c r="AW2298" s="23"/>
      <c r="AX2298" s="23"/>
      <c r="AY2298" s="16"/>
      <c r="AZ2298" s="23"/>
      <c r="BA2298" s="23"/>
      <c r="BB2298" s="23"/>
      <c r="BC2298" s="16"/>
      <c r="BD2298" s="23"/>
      <c r="BE2298" s="23"/>
      <c r="BF2298" s="23"/>
      <c r="BG2298" s="16"/>
      <c r="BH2298" s="23"/>
      <c r="BI2298" s="23"/>
      <c r="BJ2298" s="23"/>
      <c r="BN2298" s="23"/>
      <c r="BO2298" s="23"/>
      <c r="BP2298" s="16"/>
      <c r="BQ2298" s="16"/>
      <c r="BR2298" s="23"/>
      <c r="BS2298" s="16"/>
      <c r="BT2298" s="16"/>
      <c r="BU2298" s="16"/>
      <c r="BV2298" s="16"/>
      <c r="BW2298" s="16"/>
      <c r="BX2298" s="16"/>
      <c r="BY2298" s="16"/>
    </row>
    <row r="2299">
      <c r="A2299" s="16"/>
      <c r="B2299" s="16"/>
      <c r="C2299" s="22"/>
      <c r="D2299" s="16"/>
      <c r="E2299" s="16"/>
      <c r="F2299" s="16"/>
      <c r="G2299" s="16"/>
      <c r="H2299" s="16"/>
      <c r="I2299" s="23"/>
      <c r="J2299" s="23"/>
      <c r="K2299" s="16"/>
      <c r="L2299" s="23"/>
      <c r="M2299" s="23"/>
      <c r="N2299" s="23"/>
      <c r="O2299" s="16"/>
      <c r="P2299" s="23"/>
      <c r="Q2299" s="23"/>
      <c r="R2299" s="23"/>
      <c r="S2299" s="16"/>
      <c r="T2299" s="23"/>
      <c r="U2299" s="23"/>
      <c r="V2299" s="23"/>
      <c r="W2299" s="16"/>
      <c r="X2299" s="23"/>
      <c r="Y2299" s="23"/>
      <c r="Z2299" s="23"/>
      <c r="AA2299" s="16"/>
      <c r="AB2299" s="23"/>
      <c r="AC2299" s="23"/>
      <c r="AD2299" s="23"/>
      <c r="AE2299" s="16"/>
      <c r="AF2299" s="23"/>
      <c r="AG2299" s="23"/>
      <c r="AH2299" s="23"/>
      <c r="AI2299" s="16"/>
      <c r="AJ2299" s="23"/>
      <c r="AK2299" s="23"/>
      <c r="AL2299" s="23"/>
      <c r="AM2299" s="16"/>
      <c r="AN2299" s="23"/>
      <c r="AO2299" s="23"/>
      <c r="AP2299" s="23"/>
      <c r="AQ2299" s="16"/>
      <c r="AR2299" s="23"/>
      <c r="AS2299" s="23"/>
      <c r="AT2299" s="23"/>
      <c r="AU2299" s="16"/>
      <c r="AV2299" s="23"/>
      <c r="AW2299" s="23"/>
      <c r="AX2299" s="23"/>
      <c r="AY2299" s="16"/>
      <c r="AZ2299" s="23"/>
      <c r="BA2299" s="23"/>
      <c r="BB2299" s="23"/>
      <c r="BC2299" s="16"/>
      <c r="BD2299" s="23"/>
      <c r="BE2299" s="23"/>
      <c r="BF2299" s="23"/>
      <c r="BG2299" s="16"/>
      <c r="BH2299" s="23"/>
      <c r="BI2299" s="23"/>
      <c r="BJ2299" s="23"/>
      <c r="BN2299" s="23"/>
      <c r="BO2299" s="23"/>
      <c r="BP2299" s="16"/>
      <c r="BQ2299" s="16"/>
      <c r="BR2299" s="23"/>
      <c r="BS2299" s="16"/>
      <c r="BT2299" s="16"/>
      <c r="BU2299" s="16"/>
      <c r="BV2299" s="16"/>
      <c r="BW2299" s="16"/>
      <c r="BX2299" s="16"/>
      <c r="BY2299" s="16"/>
    </row>
    <row r="2300">
      <c r="A2300" s="16"/>
      <c r="B2300" s="16"/>
      <c r="C2300" s="22"/>
      <c r="D2300" s="16"/>
      <c r="E2300" s="16"/>
      <c r="F2300" s="16"/>
      <c r="G2300" s="16"/>
      <c r="H2300" s="16"/>
      <c r="I2300" s="23"/>
      <c r="J2300" s="23"/>
      <c r="K2300" s="16"/>
      <c r="L2300" s="23"/>
      <c r="M2300" s="23"/>
      <c r="N2300" s="23"/>
      <c r="O2300" s="16"/>
      <c r="P2300" s="23"/>
      <c r="Q2300" s="23"/>
      <c r="R2300" s="23"/>
      <c r="S2300" s="16"/>
      <c r="T2300" s="23"/>
      <c r="U2300" s="23"/>
      <c r="V2300" s="23"/>
      <c r="W2300" s="16"/>
      <c r="X2300" s="23"/>
      <c r="Y2300" s="23"/>
      <c r="Z2300" s="23"/>
      <c r="AA2300" s="16"/>
      <c r="AB2300" s="23"/>
      <c r="AC2300" s="23"/>
      <c r="AD2300" s="23"/>
      <c r="AE2300" s="16"/>
      <c r="AF2300" s="23"/>
      <c r="AG2300" s="23"/>
      <c r="AH2300" s="23"/>
      <c r="AI2300" s="16"/>
      <c r="AJ2300" s="23"/>
      <c r="AK2300" s="23"/>
      <c r="AL2300" s="23"/>
      <c r="AM2300" s="16"/>
      <c r="AN2300" s="23"/>
      <c r="AO2300" s="23"/>
      <c r="AP2300" s="23"/>
      <c r="AQ2300" s="16"/>
      <c r="AR2300" s="23"/>
      <c r="AS2300" s="23"/>
      <c r="AT2300" s="23"/>
      <c r="AU2300" s="16"/>
      <c r="AV2300" s="23"/>
      <c r="AW2300" s="23"/>
      <c r="AX2300" s="23"/>
      <c r="AY2300" s="16"/>
      <c r="AZ2300" s="23"/>
      <c r="BA2300" s="23"/>
      <c r="BB2300" s="23"/>
      <c r="BC2300" s="16"/>
      <c r="BD2300" s="23"/>
      <c r="BE2300" s="23"/>
      <c r="BF2300" s="23"/>
      <c r="BG2300" s="16"/>
      <c r="BH2300" s="23"/>
      <c r="BI2300" s="23"/>
      <c r="BJ2300" s="23"/>
      <c r="BN2300" s="23"/>
      <c r="BO2300" s="23"/>
      <c r="BP2300" s="16"/>
      <c r="BQ2300" s="16"/>
      <c r="BR2300" s="23"/>
      <c r="BS2300" s="16"/>
      <c r="BT2300" s="16"/>
      <c r="BU2300" s="16"/>
      <c r="BV2300" s="16"/>
      <c r="BW2300" s="16"/>
      <c r="BX2300" s="16"/>
      <c r="BY2300" s="16"/>
    </row>
    <row r="2301">
      <c r="A2301" s="16"/>
      <c r="B2301" s="16"/>
      <c r="C2301" s="22"/>
      <c r="D2301" s="16"/>
      <c r="E2301" s="16"/>
      <c r="F2301" s="16"/>
      <c r="G2301" s="16"/>
      <c r="H2301" s="16"/>
      <c r="I2301" s="23"/>
      <c r="J2301" s="23"/>
      <c r="K2301" s="16"/>
      <c r="L2301" s="23"/>
      <c r="M2301" s="23"/>
      <c r="N2301" s="23"/>
      <c r="O2301" s="16"/>
      <c r="P2301" s="23"/>
      <c r="Q2301" s="23"/>
      <c r="R2301" s="23"/>
      <c r="S2301" s="16"/>
      <c r="T2301" s="23"/>
      <c r="U2301" s="23"/>
      <c r="V2301" s="23"/>
      <c r="W2301" s="16"/>
      <c r="X2301" s="23"/>
      <c r="Y2301" s="23"/>
      <c r="Z2301" s="23"/>
      <c r="AA2301" s="16"/>
      <c r="AB2301" s="23"/>
      <c r="AC2301" s="23"/>
      <c r="AD2301" s="23"/>
      <c r="AE2301" s="16"/>
      <c r="AF2301" s="23"/>
      <c r="AG2301" s="23"/>
      <c r="AH2301" s="23"/>
      <c r="AI2301" s="16"/>
      <c r="AJ2301" s="23"/>
      <c r="AK2301" s="23"/>
      <c r="AL2301" s="23"/>
      <c r="AM2301" s="16"/>
      <c r="AN2301" s="23"/>
      <c r="AO2301" s="23"/>
      <c r="AP2301" s="23"/>
      <c r="AQ2301" s="16"/>
      <c r="AR2301" s="23"/>
      <c r="AS2301" s="23"/>
      <c r="AT2301" s="23"/>
      <c r="AU2301" s="16"/>
      <c r="AV2301" s="23"/>
      <c r="AW2301" s="23"/>
      <c r="AX2301" s="23"/>
      <c r="AY2301" s="16"/>
      <c r="AZ2301" s="23"/>
      <c r="BA2301" s="23"/>
      <c r="BB2301" s="23"/>
      <c r="BC2301" s="16"/>
      <c r="BD2301" s="23"/>
      <c r="BE2301" s="23"/>
      <c r="BF2301" s="23"/>
      <c r="BG2301" s="16"/>
      <c r="BH2301" s="23"/>
      <c r="BI2301" s="23"/>
      <c r="BJ2301" s="23"/>
      <c r="BN2301" s="23"/>
      <c r="BO2301" s="23"/>
      <c r="BP2301" s="16"/>
      <c r="BQ2301" s="16"/>
      <c r="BR2301" s="23"/>
      <c r="BS2301" s="16"/>
      <c r="BT2301" s="16"/>
      <c r="BU2301" s="16"/>
      <c r="BV2301" s="16"/>
      <c r="BW2301" s="16"/>
      <c r="BX2301" s="16"/>
      <c r="BY2301" s="16"/>
    </row>
    <row r="2302">
      <c r="A2302" s="16"/>
      <c r="B2302" s="16"/>
      <c r="C2302" s="22"/>
      <c r="D2302" s="16"/>
      <c r="E2302" s="16"/>
      <c r="F2302" s="16"/>
      <c r="G2302" s="16"/>
      <c r="H2302" s="16"/>
      <c r="I2302" s="23"/>
      <c r="J2302" s="23"/>
      <c r="K2302" s="16"/>
      <c r="L2302" s="23"/>
      <c r="M2302" s="23"/>
      <c r="N2302" s="23"/>
      <c r="O2302" s="16"/>
      <c r="P2302" s="23"/>
      <c r="Q2302" s="23"/>
      <c r="R2302" s="23"/>
      <c r="S2302" s="16"/>
      <c r="T2302" s="23"/>
      <c r="U2302" s="23"/>
      <c r="V2302" s="23"/>
      <c r="W2302" s="16"/>
      <c r="X2302" s="23"/>
      <c r="Y2302" s="23"/>
      <c r="Z2302" s="23"/>
      <c r="AA2302" s="16"/>
      <c r="AB2302" s="23"/>
      <c r="AC2302" s="23"/>
      <c r="AD2302" s="23"/>
      <c r="AE2302" s="16"/>
      <c r="AF2302" s="23"/>
      <c r="AG2302" s="23"/>
      <c r="AH2302" s="23"/>
      <c r="AI2302" s="16"/>
      <c r="AJ2302" s="23"/>
      <c r="AK2302" s="23"/>
      <c r="AL2302" s="23"/>
      <c r="AM2302" s="16"/>
      <c r="AN2302" s="23"/>
      <c r="AO2302" s="23"/>
      <c r="AP2302" s="23"/>
      <c r="AQ2302" s="16"/>
      <c r="AR2302" s="23"/>
      <c r="AS2302" s="23"/>
      <c r="AT2302" s="23"/>
      <c r="AU2302" s="16"/>
      <c r="AV2302" s="23"/>
      <c r="AW2302" s="23"/>
      <c r="AX2302" s="23"/>
      <c r="AY2302" s="16"/>
      <c r="AZ2302" s="23"/>
      <c r="BA2302" s="23"/>
      <c r="BB2302" s="23"/>
      <c r="BC2302" s="16"/>
      <c r="BD2302" s="23"/>
      <c r="BE2302" s="23"/>
      <c r="BF2302" s="23"/>
      <c r="BG2302" s="16"/>
      <c r="BH2302" s="23"/>
      <c r="BI2302" s="23"/>
      <c r="BJ2302" s="23"/>
      <c r="BN2302" s="23"/>
      <c r="BO2302" s="23"/>
      <c r="BP2302" s="16"/>
      <c r="BQ2302" s="16"/>
      <c r="BR2302" s="23"/>
      <c r="BS2302" s="16"/>
      <c r="BT2302" s="16"/>
      <c r="BU2302" s="16"/>
      <c r="BV2302" s="16"/>
      <c r="BW2302" s="16"/>
      <c r="BX2302" s="16"/>
      <c r="BY2302" s="16"/>
    </row>
    <row r="2303">
      <c r="A2303" s="16"/>
      <c r="B2303" s="16"/>
      <c r="C2303" s="22"/>
      <c r="D2303" s="16"/>
      <c r="E2303" s="16"/>
      <c r="F2303" s="16"/>
      <c r="G2303" s="16"/>
      <c r="H2303" s="16"/>
      <c r="I2303" s="23"/>
      <c r="J2303" s="23"/>
      <c r="K2303" s="16"/>
      <c r="L2303" s="23"/>
      <c r="M2303" s="23"/>
      <c r="N2303" s="23"/>
      <c r="O2303" s="16"/>
      <c r="P2303" s="23"/>
      <c r="Q2303" s="23"/>
      <c r="R2303" s="23"/>
      <c r="S2303" s="16"/>
      <c r="T2303" s="23"/>
      <c r="U2303" s="23"/>
      <c r="V2303" s="23"/>
      <c r="W2303" s="16"/>
      <c r="X2303" s="23"/>
      <c r="Y2303" s="23"/>
      <c r="Z2303" s="23"/>
      <c r="AA2303" s="16"/>
      <c r="AB2303" s="23"/>
      <c r="AC2303" s="23"/>
      <c r="AD2303" s="23"/>
      <c r="AE2303" s="16"/>
      <c r="AF2303" s="23"/>
      <c r="AG2303" s="23"/>
      <c r="AH2303" s="23"/>
      <c r="AI2303" s="16"/>
      <c r="AJ2303" s="23"/>
      <c r="AK2303" s="23"/>
      <c r="AL2303" s="23"/>
      <c r="AM2303" s="16"/>
      <c r="AN2303" s="23"/>
      <c r="AO2303" s="23"/>
      <c r="AP2303" s="23"/>
      <c r="AQ2303" s="16"/>
      <c r="AR2303" s="23"/>
      <c r="AS2303" s="23"/>
      <c r="AT2303" s="23"/>
      <c r="AU2303" s="16"/>
      <c r="AV2303" s="23"/>
      <c r="AW2303" s="23"/>
      <c r="AX2303" s="23"/>
      <c r="AY2303" s="16"/>
      <c r="AZ2303" s="23"/>
      <c r="BA2303" s="23"/>
      <c r="BB2303" s="23"/>
      <c r="BC2303" s="16"/>
      <c r="BD2303" s="23"/>
      <c r="BE2303" s="23"/>
      <c r="BF2303" s="23"/>
      <c r="BG2303" s="16"/>
      <c r="BH2303" s="23"/>
      <c r="BI2303" s="23"/>
      <c r="BJ2303" s="23"/>
      <c r="BN2303" s="23"/>
      <c r="BO2303" s="23"/>
      <c r="BP2303" s="16"/>
      <c r="BQ2303" s="16"/>
      <c r="BR2303" s="23"/>
      <c r="BS2303" s="16"/>
      <c r="BT2303" s="16"/>
      <c r="BU2303" s="16"/>
      <c r="BV2303" s="16"/>
      <c r="BW2303" s="16"/>
      <c r="BX2303" s="16"/>
      <c r="BY2303" s="16"/>
    </row>
    <row r="2304">
      <c r="A2304" s="16"/>
      <c r="B2304" s="16"/>
      <c r="C2304" s="22"/>
      <c r="D2304" s="16"/>
      <c r="E2304" s="16"/>
      <c r="F2304" s="16"/>
      <c r="G2304" s="16"/>
      <c r="H2304" s="16"/>
      <c r="I2304" s="23"/>
      <c r="J2304" s="23"/>
      <c r="K2304" s="16"/>
      <c r="L2304" s="23"/>
      <c r="M2304" s="23"/>
      <c r="N2304" s="23"/>
      <c r="O2304" s="16"/>
      <c r="P2304" s="23"/>
      <c r="Q2304" s="23"/>
      <c r="R2304" s="23"/>
      <c r="S2304" s="16"/>
      <c r="T2304" s="23"/>
      <c r="U2304" s="23"/>
      <c r="V2304" s="23"/>
      <c r="W2304" s="16"/>
      <c r="X2304" s="23"/>
      <c r="Y2304" s="23"/>
      <c r="Z2304" s="23"/>
      <c r="AA2304" s="16"/>
      <c r="AB2304" s="23"/>
      <c r="AC2304" s="23"/>
      <c r="AD2304" s="23"/>
      <c r="AE2304" s="16"/>
      <c r="AF2304" s="23"/>
      <c r="AG2304" s="23"/>
      <c r="AH2304" s="23"/>
      <c r="AI2304" s="16"/>
      <c r="AJ2304" s="23"/>
      <c r="AK2304" s="23"/>
      <c r="AL2304" s="23"/>
      <c r="AM2304" s="16"/>
      <c r="AN2304" s="23"/>
      <c r="AO2304" s="23"/>
      <c r="AP2304" s="23"/>
      <c r="AQ2304" s="16"/>
      <c r="AR2304" s="23"/>
      <c r="AS2304" s="23"/>
      <c r="AT2304" s="23"/>
      <c r="AU2304" s="16"/>
      <c r="AV2304" s="23"/>
      <c r="AW2304" s="23"/>
      <c r="AX2304" s="23"/>
      <c r="AY2304" s="16"/>
      <c r="AZ2304" s="23"/>
      <c r="BA2304" s="23"/>
      <c r="BB2304" s="23"/>
      <c r="BC2304" s="16"/>
      <c r="BD2304" s="23"/>
      <c r="BE2304" s="23"/>
      <c r="BF2304" s="23"/>
      <c r="BG2304" s="16"/>
      <c r="BH2304" s="23"/>
      <c r="BI2304" s="23"/>
      <c r="BJ2304" s="23"/>
      <c r="BN2304" s="23"/>
      <c r="BO2304" s="23"/>
      <c r="BP2304" s="16"/>
      <c r="BQ2304" s="16"/>
      <c r="BR2304" s="23"/>
      <c r="BS2304" s="16"/>
      <c r="BT2304" s="16"/>
      <c r="BU2304" s="16"/>
      <c r="BV2304" s="16"/>
      <c r="BW2304" s="16"/>
      <c r="BX2304" s="16"/>
      <c r="BY2304" s="16"/>
    </row>
    <row r="2305">
      <c r="A2305" s="16"/>
      <c r="B2305" s="16"/>
      <c r="C2305" s="22"/>
      <c r="D2305" s="16"/>
      <c r="E2305" s="16"/>
      <c r="F2305" s="16"/>
      <c r="G2305" s="16"/>
      <c r="H2305" s="16"/>
      <c r="I2305" s="23"/>
      <c r="J2305" s="23"/>
      <c r="K2305" s="16"/>
      <c r="L2305" s="23"/>
      <c r="M2305" s="23"/>
      <c r="N2305" s="23"/>
      <c r="O2305" s="16"/>
      <c r="P2305" s="23"/>
      <c r="Q2305" s="23"/>
      <c r="R2305" s="23"/>
      <c r="S2305" s="16"/>
      <c r="T2305" s="23"/>
      <c r="U2305" s="23"/>
      <c r="V2305" s="23"/>
      <c r="W2305" s="16"/>
      <c r="X2305" s="23"/>
      <c r="Y2305" s="23"/>
      <c r="Z2305" s="23"/>
      <c r="AA2305" s="16"/>
      <c r="AB2305" s="23"/>
      <c r="AC2305" s="23"/>
      <c r="AD2305" s="23"/>
      <c r="AE2305" s="16"/>
      <c r="AF2305" s="23"/>
      <c r="AG2305" s="23"/>
      <c r="AH2305" s="23"/>
      <c r="AI2305" s="16"/>
      <c r="AJ2305" s="23"/>
      <c r="AK2305" s="23"/>
      <c r="AL2305" s="23"/>
      <c r="AM2305" s="16"/>
      <c r="AN2305" s="23"/>
      <c r="AO2305" s="23"/>
      <c r="AP2305" s="23"/>
      <c r="AQ2305" s="16"/>
      <c r="AR2305" s="23"/>
      <c r="AS2305" s="23"/>
      <c r="AT2305" s="23"/>
      <c r="AU2305" s="16"/>
      <c r="AV2305" s="23"/>
      <c r="AW2305" s="23"/>
      <c r="AX2305" s="23"/>
      <c r="AY2305" s="16"/>
      <c r="AZ2305" s="23"/>
      <c r="BA2305" s="23"/>
      <c r="BB2305" s="23"/>
      <c r="BC2305" s="16"/>
      <c r="BD2305" s="23"/>
      <c r="BE2305" s="23"/>
      <c r="BF2305" s="23"/>
      <c r="BG2305" s="16"/>
      <c r="BH2305" s="23"/>
      <c r="BI2305" s="23"/>
      <c r="BJ2305" s="23"/>
      <c r="BN2305" s="23"/>
      <c r="BO2305" s="23"/>
      <c r="BP2305" s="16"/>
      <c r="BQ2305" s="16"/>
      <c r="BR2305" s="23"/>
      <c r="BS2305" s="16"/>
      <c r="BT2305" s="16"/>
      <c r="BU2305" s="16"/>
      <c r="BV2305" s="16"/>
      <c r="BW2305" s="16"/>
      <c r="BX2305" s="16"/>
      <c r="BY2305" s="16"/>
    </row>
    <row r="2306">
      <c r="A2306" s="16"/>
      <c r="B2306" s="16"/>
      <c r="C2306" s="22"/>
      <c r="D2306" s="16"/>
      <c r="E2306" s="16"/>
      <c r="F2306" s="16"/>
      <c r="G2306" s="16"/>
      <c r="H2306" s="16"/>
      <c r="I2306" s="23"/>
      <c r="J2306" s="23"/>
      <c r="K2306" s="16"/>
      <c r="L2306" s="23"/>
      <c r="M2306" s="23"/>
      <c r="N2306" s="23"/>
      <c r="O2306" s="16"/>
      <c r="P2306" s="23"/>
      <c r="Q2306" s="23"/>
      <c r="R2306" s="23"/>
      <c r="S2306" s="16"/>
      <c r="T2306" s="23"/>
      <c r="U2306" s="23"/>
      <c r="V2306" s="23"/>
      <c r="W2306" s="16"/>
      <c r="X2306" s="23"/>
      <c r="Y2306" s="23"/>
      <c r="Z2306" s="23"/>
      <c r="AA2306" s="16"/>
      <c r="AB2306" s="23"/>
      <c r="AC2306" s="23"/>
      <c r="AD2306" s="23"/>
      <c r="AE2306" s="16"/>
      <c r="AF2306" s="23"/>
      <c r="AG2306" s="23"/>
      <c r="AH2306" s="23"/>
      <c r="AI2306" s="16"/>
      <c r="AJ2306" s="23"/>
      <c r="AK2306" s="23"/>
      <c r="AL2306" s="23"/>
      <c r="AM2306" s="16"/>
      <c r="AN2306" s="23"/>
      <c r="AO2306" s="23"/>
      <c r="AP2306" s="23"/>
      <c r="AQ2306" s="16"/>
      <c r="AR2306" s="23"/>
      <c r="AS2306" s="23"/>
      <c r="AT2306" s="23"/>
      <c r="AU2306" s="16"/>
      <c r="AV2306" s="23"/>
      <c r="AW2306" s="23"/>
      <c r="AX2306" s="23"/>
      <c r="AY2306" s="16"/>
      <c r="AZ2306" s="23"/>
      <c r="BA2306" s="23"/>
      <c r="BB2306" s="23"/>
      <c r="BC2306" s="16"/>
      <c r="BD2306" s="23"/>
      <c r="BE2306" s="23"/>
      <c r="BF2306" s="23"/>
      <c r="BG2306" s="16"/>
      <c r="BH2306" s="23"/>
      <c r="BI2306" s="23"/>
      <c r="BJ2306" s="23"/>
      <c r="BN2306" s="23"/>
      <c r="BO2306" s="23"/>
      <c r="BP2306" s="16"/>
      <c r="BQ2306" s="16"/>
      <c r="BR2306" s="23"/>
      <c r="BS2306" s="16"/>
      <c r="BT2306" s="16"/>
      <c r="BU2306" s="16"/>
      <c r="BV2306" s="16"/>
      <c r="BW2306" s="16"/>
      <c r="BX2306" s="16"/>
      <c r="BY2306" s="16"/>
    </row>
    <row r="2307">
      <c r="A2307" s="16"/>
      <c r="B2307" s="16"/>
      <c r="C2307" s="22"/>
      <c r="D2307" s="16"/>
      <c r="E2307" s="16"/>
      <c r="F2307" s="16"/>
      <c r="G2307" s="16"/>
      <c r="H2307" s="16"/>
      <c r="I2307" s="23"/>
      <c r="J2307" s="23"/>
      <c r="K2307" s="16"/>
      <c r="L2307" s="23"/>
      <c r="M2307" s="23"/>
      <c r="N2307" s="23"/>
      <c r="O2307" s="16"/>
      <c r="P2307" s="23"/>
      <c r="Q2307" s="23"/>
      <c r="R2307" s="23"/>
      <c r="S2307" s="16"/>
      <c r="T2307" s="23"/>
      <c r="U2307" s="23"/>
      <c r="V2307" s="23"/>
      <c r="W2307" s="16"/>
      <c r="X2307" s="23"/>
      <c r="Y2307" s="23"/>
      <c r="Z2307" s="23"/>
      <c r="AA2307" s="16"/>
      <c r="AB2307" s="23"/>
      <c r="AC2307" s="23"/>
      <c r="AD2307" s="23"/>
      <c r="AE2307" s="16"/>
      <c r="AF2307" s="23"/>
      <c r="AG2307" s="23"/>
      <c r="AH2307" s="23"/>
      <c r="AI2307" s="16"/>
      <c r="AJ2307" s="23"/>
      <c r="AK2307" s="23"/>
      <c r="AL2307" s="23"/>
      <c r="AM2307" s="16"/>
      <c r="AN2307" s="23"/>
      <c r="AO2307" s="23"/>
      <c r="AP2307" s="23"/>
      <c r="AQ2307" s="16"/>
      <c r="AR2307" s="23"/>
      <c r="AS2307" s="23"/>
      <c r="AT2307" s="23"/>
      <c r="AU2307" s="16"/>
      <c r="AV2307" s="23"/>
      <c r="AW2307" s="23"/>
      <c r="AX2307" s="23"/>
      <c r="AY2307" s="16"/>
      <c r="AZ2307" s="23"/>
      <c r="BA2307" s="23"/>
      <c r="BB2307" s="23"/>
      <c r="BC2307" s="16"/>
      <c r="BD2307" s="23"/>
      <c r="BE2307" s="23"/>
      <c r="BF2307" s="23"/>
      <c r="BG2307" s="16"/>
      <c r="BH2307" s="23"/>
      <c r="BI2307" s="23"/>
      <c r="BJ2307" s="23"/>
      <c r="BN2307" s="23"/>
      <c r="BO2307" s="23"/>
      <c r="BP2307" s="16"/>
      <c r="BQ2307" s="16"/>
      <c r="BR2307" s="23"/>
      <c r="BS2307" s="16"/>
      <c r="BT2307" s="16"/>
      <c r="BU2307" s="16"/>
      <c r="BV2307" s="16"/>
      <c r="BW2307" s="16"/>
      <c r="BX2307" s="16"/>
      <c r="BY2307" s="16"/>
    </row>
    <row r="2308">
      <c r="A2308" s="16"/>
      <c r="B2308" s="16"/>
      <c r="C2308" s="22"/>
      <c r="D2308" s="16"/>
      <c r="E2308" s="16"/>
      <c r="F2308" s="16"/>
      <c r="G2308" s="16"/>
      <c r="H2308" s="16"/>
      <c r="I2308" s="23"/>
      <c r="J2308" s="23"/>
      <c r="K2308" s="16"/>
      <c r="L2308" s="23"/>
      <c r="M2308" s="23"/>
      <c r="N2308" s="23"/>
      <c r="O2308" s="16"/>
      <c r="P2308" s="23"/>
      <c r="Q2308" s="23"/>
      <c r="R2308" s="23"/>
      <c r="S2308" s="16"/>
      <c r="T2308" s="23"/>
      <c r="U2308" s="23"/>
      <c r="V2308" s="23"/>
      <c r="W2308" s="16"/>
      <c r="X2308" s="23"/>
      <c r="Y2308" s="23"/>
      <c r="Z2308" s="23"/>
      <c r="AA2308" s="16"/>
      <c r="AB2308" s="23"/>
      <c r="AC2308" s="23"/>
      <c r="AD2308" s="23"/>
      <c r="AE2308" s="16"/>
      <c r="AF2308" s="23"/>
      <c r="AG2308" s="23"/>
      <c r="AH2308" s="23"/>
      <c r="AI2308" s="16"/>
      <c r="AJ2308" s="23"/>
      <c r="AK2308" s="23"/>
      <c r="AL2308" s="23"/>
      <c r="AM2308" s="16"/>
      <c r="AN2308" s="23"/>
      <c r="AO2308" s="23"/>
      <c r="AP2308" s="23"/>
      <c r="AQ2308" s="16"/>
      <c r="AR2308" s="23"/>
      <c r="AS2308" s="23"/>
      <c r="AT2308" s="23"/>
      <c r="AU2308" s="16"/>
      <c r="AV2308" s="23"/>
      <c r="AW2308" s="23"/>
      <c r="AX2308" s="23"/>
      <c r="AY2308" s="16"/>
      <c r="AZ2308" s="23"/>
      <c r="BA2308" s="23"/>
      <c r="BB2308" s="23"/>
      <c r="BC2308" s="16"/>
      <c r="BD2308" s="23"/>
      <c r="BE2308" s="23"/>
      <c r="BF2308" s="23"/>
      <c r="BG2308" s="16"/>
      <c r="BH2308" s="23"/>
      <c r="BI2308" s="23"/>
      <c r="BJ2308" s="23"/>
      <c r="BN2308" s="23"/>
      <c r="BO2308" s="23"/>
      <c r="BP2308" s="16"/>
      <c r="BQ2308" s="16"/>
      <c r="BR2308" s="23"/>
      <c r="BS2308" s="16"/>
      <c r="BT2308" s="16"/>
      <c r="BU2308" s="16"/>
      <c r="BV2308" s="16"/>
      <c r="BW2308" s="16"/>
      <c r="BX2308" s="16"/>
      <c r="BY2308" s="16"/>
    </row>
    <row r="2309">
      <c r="A2309" s="16"/>
      <c r="B2309" s="16"/>
      <c r="C2309" s="22"/>
      <c r="D2309" s="16"/>
      <c r="E2309" s="16"/>
      <c r="F2309" s="16"/>
      <c r="G2309" s="16"/>
      <c r="H2309" s="16"/>
      <c r="I2309" s="23"/>
      <c r="J2309" s="23"/>
      <c r="K2309" s="16"/>
      <c r="L2309" s="23"/>
      <c r="M2309" s="23"/>
      <c r="N2309" s="23"/>
      <c r="O2309" s="16"/>
      <c r="P2309" s="23"/>
      <c r="Q2309" s="23"/>
      <c r="R2309" s="23"/>
      <c r="S2309" s="16"/>
      <c r="T2309" s="23"/>
      <c r="U2309" s="23"/>
      <c r="V2309" s="23"/>
      <c r="W2309" s="16"/>
      <c r="X2309" s="23"/>
      <c r="Y2309" s="23"/>
      <c r="Z2309" s="23"/>
      <c r="AA2309" s="16"/>
      <c r="AB2309" s="23"/>
      <c r="AC2309" s="23"/>
      <c r="AD2309" s="23"/>
      <c r="AE2309" s="16"/>
      <c r="AF2309" s="23"/>
      <c r="AG2309" s="23"/>
      <c r="AH2309" s="23"/>
      <c r="AI2309" s="16"/>
      <c r="AJ2309" s="23"/>
      <c r="AK2309" s="23"/>
      <c r="AL2309" s="23"/>
      <c r="AM2309" s="16"/>
      <c r="AN2309" s="23"/>
      <c r="AO2309" s="23"/>
      <c r="AP2309" s="23"/>
      <c r="AQ2309" s="16"/>
      <c r="AR2309" s="23"/>
      <c r="AS2309" s="23"/>
      <c r="AT2309" s="23"/>
      <c r="AU2309" s="16"/>
      <c r="AV2309" s="23"/>
      <c r="AW2309" s="23"/>
      <c r="AX2309" s="23"/>
      <c r="AY2309" s="16"/>
      <c r="AZ2309" s="23"/>
      <c r="BA2309" s="23"/>
      <c r="BB2309" s="23"/>
      <c r="BC2309" s="16"/>
      <c r="BD2309" s="23"/>
      <c r="BE2309" s="23"/>
      <c r="BF2309" s="23"/>
      <c r="BG2309" s="16"/>
      <c r="BH2309" s="23"/>
      <c r="BI2309" s="23"/>
      <c r="BJ2309" s="23"/>
      <c r="BN2309" s="23"/>
      <c r="BO2309" s="23"/>
      <c r="BP2309" s="16"/>
      <c r="BQ2309" s="16"/>
      <c r="BR2309" s="23"/>
      <c r="BS2309" s="16"/>
      <c r="BT2309" s="16"/>
      <c r="BU2309" s="16"/>
      <c r="BV2309" s="16"/>
      <c r="BW2309" s="16"/>
      <c r="BX2309" s="16"/>
      <c r="BY2309" s="16"/>
    </row>
    <row r="2310">
      <c r="A2310" s="16"/>
      <c r="B2310" s="16"/>
      <c r="C2310" s="22"/>
      <c r="D2310" s="16"/>
      <c r="E2310" s="16"/>
      <c r="F2310" s="16"/>
      <c r="G2310" s="16"/>
      <c r="H2310" s="16"/>
      <c r="I2310" s="23"/>
      <c r="J2310" s="23"/>
      <c r="K2310" s="16"/>
      <c r="L2310" s="23"/>
      <c r="M2310" s="23"/>
      <c r="N2310" s="23"/>
      <c r="O2310" s="16"/>
      <c r="P2310" s="23"/>
      <c r="Q2310" s="23"/>
      <c r="R2310" s="23"/>
      <c r="S2310" s="16"/>
      <c r="T2310" s="23"/>
      <c r="U2310" s="23"/>
      <c r="V2310" s="23"/>
      <c r="W2310" s="16"/>
      <c r="X2310" s="23"/>
      <c r="Y2310" s="23"/>
      <c r="Z2310" s="23"/>
      <c r="AA2310" s="16"/>
      <c r="AB2310" s="23"/>
      <c r="AC2310" s="23"/>
      <c r="AD2310" s="23"/>
      <c r="AE2310" s="16"/>
      <c r="AF2310" s="23"/>
      <c r="AG2310" s="23"/>
      <c r="AH2310" s="23"/>
      <c r="AI2310" s="16"/>
      <c r="AJ2310" s="23"/>
      <c r="AK2310" s="23"/>
      <c r="AL2310" s="23"/>
      <c r="AM2310" s="16"/>
      <c r="AN2310" s="23"/>
      <c r="AO2310" s="23"/>
      <c r="AP2310" s="23"/>
      <c r="AQ2310" s="16"/>
      <c r="AR2310" s="23"/>
      <c r="AS2310" s="23"/>
      <c r="AT2310" s="23"/>
      <c r="AU2310" s="16"/>
      <c r="AV2310" s="23"/>
      <c r="AW2310" s="23"/>
      <c r="AX2310" s="23"/>
      <c r="AY2310" s="16"/>
      <c r="AZ2310" s="23"/>
      <c r="BA2310" s="23"/>
      <c r="BB2310" s="23"/>
      <c r="BC2310" s="16"/>
      <c r="BD2310" s="23"/>
      <c r="BE2310" s="23"/>
      <c r="BF2310" s="23"/>
      <c r="BG2310" s="16"/>
      <c r="BH2310" s="23"/>
      <c r="BI2310" s="23"/>
      <c r="BJ2310" s="23"/>
      <c r="BN2310" s="23"/>
      <c r="BO2310" s="23"/>
      <c r="BP2310" s="16"/>
      <c r="BQ2310" s="16"/>
      <c r="BR2310" s="23"/>
      <c r="BS2310" s="16"/>
      <c r="BT2310" s="16"/>
      <c r="BU2310" s="16"/>
      <c r="BV2310" s="16"/>
      <c r="BW2310" s="16"/>
      <c r="BX2310" s="16"/>
      <c r="BY2310" s="16"/>
    </row>
    <row r="2311">
      <c r="A2311" s="16"/>
      <c r="B2311" s="16"/>
      <c r="C2311" s="22"/>
      <c r="D2311" s="16"/>
      <c r="E2311" s="16"/>
      <c r="F2311" s="16"/>
      <c r="G2311" s="16"/>
      <c r="H2311" s="16"/>
      <c r="I2311" s="23"/>
      <c r="J2311" s="23"/>
      <c r="K2311" s="16"/>
      <c r="L2311" s="23"/>
      <c r="M2311" s="23"/>
      <c r="N2311" s="23"/>
      <c r="O2311" s="16"/>
      <c r="P2311" s="23"/>
      <c r="Q2311" s="23"/>
      <c r="R2311" s="23"/>
      <c r="S2311" s="16"/>
      <c r="T2311" s="23"/>
      <c r="U2311" s="23"/>
      <c r="V2311" s="23"/>
      <c r="W2311" s="16"/>
      <c r="X2311" s="23"/>
      <c r="Y2311" s="23"/>
      <c r="Z2311" s="23"/>
      <c r="AA2311" s="16"/>
      <c r="AB2311" s="23"/>
      <c r="AC2311" s="23"/>
      <c r="AD2311" s="23"/>
      <c r="AE2311" s="16"/>
      <c r="AF2311" s="23"/>
      <c r="AG2311" s="23"/>
      <c r="AH2311" s="23"/>
      <c r="AI2311" s="16"/>
      <c r="AJ2311" s="23"/>
      <c r="AK2311" s="23"/>
      <c r="AL2311" s="23"/>
      <c r="AM2311" s="16"/>
      <c r="AN2311" s="23"/>
      <c r="AO2311" s="23"/>
      <c r="AP2311" s="23"/>
      <c r="AQ2311" s="16"/>
      <c r="AR2311" s="23"/>
      <c r="AS2311" s="23"/>
      <c r="AT2311" s="23"/>
      <c r="AU2311" s="16"/>
      <c r="AV2311" s="23"/>
      <c r="AW2311" s="23"/>
      <c r="AX2311" s="23"/>
      <c r="AY2311" s="16"/>
      <c r="AZ2311" s="23"/>
      <c r="BA2311" s="23"/>
      <c r="BB2311" s="23"/>
      <c r="BC2311" s="16"/>
      <c r="BD2311" s="23"/>
      <c r="BE2311" s="23"/>
      <c r="BF2311" s="23"/>
      <c r="BG2311" s="16"/>
      <c r="BH2311" s="23"/>
      <c r="BI2311" s="23"/>
      <c r="BJ2311" s="23"/>
      <c r="BN2311" s="23"/>
      <c r="BO2311" s="23"/>
      <c r="BP2311" s="16"/>
      <c r="BQ2311" s="16"/>
      <c r="BR2311" s="23"/>
      <c r="BS2311" s="16"/>
      <c r="BT2311" s="16"/>
      <c r="BU2311" s="16"/>
      <c r="BV2311" s="16"/>
      <c r="BW2311" s="16"/>
      <c r="BX2311" s="16"/>
      <c r="BY2311" s="16"/>
    </row>
    <row r="2312">
      <c r="A2312" s="16"/>
      <c r="B2312" s="16"/>
      <c r="C2312" s="22"/>
      <c r="D2312" s="16"/>
      <c r="E2312" s="16"/>
      <c r="F2312" s="16"/>
      <c r="G2312" s="16"/>
      <c r="H2312" s="16"/>
      <c r="I2312" s="23"/>
      <c r="J2312" s="23"/>
      <c r="K2312" s="16"/>
      <c r="L2312" s="23"/>
      <c r="M2312" s="23"/>
      <c r="N2312" s="23"/>
      <c r="O2312" s="16"/>
      <c r="P2312" s="23"/>
      <c r="Q2312" s="23"/>
      <c r="R2312" s="23"/>
      <c r="S2312" s="16"/>
      <c r="T2312" s="23"/>
      <c r="U2312" s="23"/>
      <c r="V2312" s="23"/>
      <c r="W2312" s="16"/>
      <c r="X2312" s="23"/>
      <c r="Y2312" s="23"/>
      <c r="Z2312" s="23"/>
      <c r="AA2312" s="16"/>
      <c r="AB2312" s="23"/>
      <c r="AC2312" s="23"/>
      <c r="AD2312" s="23"/>
      <c r="AE2312" s="16"/>
      <c r="AF2312" s="23"/>
      <c r="AG2312" s="23"/>
      <c r="AH2312" s="23"/>
      <c r="AI2312" s="16"/>
      <c r="AJ2312" s="23"/>
      <c r="AK2312" s="23"/>
      <c r="AL2312" s="23"/>
      <c r="AM2312" s="16"/>
      <c r="AN2312" s="23"/>
      <c r="AO2312" s="23"/>
      <c r="AP2312" s="23"/>
      <c r="AQ2312" s="16"/>
      <c r="AR2312" s="23"/>
      <c r="AS2312" s="23"/>
      <c r="AT2312" s="23"/>
      <c r="AU2312" s="16"/>
      <c r="AV2312" s="23"/>
      <c r="AW2312" s="23"/>
      <c r="AX2312" s="23"/>
      <c r="AY2312" s="16"/>
      <c r="AZ2312" s="23"/>
      <c r="BA2312" s="23"/>
      <c r="BB2312" s="23"/>
      <c r="BC2312" s="16"/>
      <c r="BD2312" s="23"/>
      <c r="BE2312" s="23"/>
      <c r="BF2312" s="23"/>
      <c r="BG2312" s="16"/>
      <c r="BH2312" s="23"/>
      <c r="BI2312" s="23"/>
      <c r="BJ2312" s="23"/>
      <c r="BN2312" s="23"/>
      <c r="BO2312" s="23"/>
      <c r="BP2312" s="16"/>
      <c r="BQ2312" s="16"/>
      <c r="BR2312" s="23"/>
      <c r="BS2312" s="16"/>
      <c r="BT2312" s="16"/>
      <c r="BU2312" s="16"/>
      <c r="BV2312" s="16"/>
      <c r="BW2312" s="16"/>
      <c r="BX2312" s="16"/>
      <c r="BY2312" s="16"/>
    </row>
    <row r="2313">
      <c r="A2313" s="16"/>
      <c r="B2313" s="16"/>
      <c r="C2313" s="22"/>
      <c r="D2313" s="16"/>
      <c r="E2313" s="16"/>
      <c r="F2313" s="16"/>
      <c r="G2313" s="16"/>
      <c r="H2313" s="16"/>
      <c r="I2313" s="23"/>
      <c r="J2313" s="23"/>
      <c r="K2313" s="16"/>
      <c r="L2313" s="23"/>
      <c r="M2313" s="23"/>
      <c r="N2313" s="23"/>
      <c r="O2313" s="16"/>
      <c r="P2313" s="23"/>
      <c r="Q2313" s="23"/>
      <c r="R2313" s="23"/>
      <c r="S2313" s="16"/>
      <c r="T2313" s="23"/>
      <c r="U2313" s="23"/>
      <c r="V2313" s="23"/>
      <c r="W2313" s="16"/>
      <c r="X2313" s="23"/>
      <c r="Y2313" s="23"/>
      <c r="Z2313" s="23"/>
      <c r="AA2313" s="16"/>
      <c r="AB2313" s="23"/>
      <c r="AC2313" s="23"/>
      <c r="AD2313" s="23"/>
      <c r="AE2313" s="16"/>
      <c r="AF2313" s="23"/>
      <c r="AG2313" s="23"/>
      <c r="AH2313" s="23"/>
      <c r="AI2313" s="16"/>
      <c r="AJ2313" s="23"/>
      <c r="AK2313" s="23"/>
      <c r="AL2313" s="23"/>
      <c r="AM2313" s="16"/>
      <c r="AN2313" s="23"/>
      <c r="AO2313" s="23"/>
      <c r="AP2313" s="23"/>
      <c r="AQ2313" s="16"/>
      <c r="AR2313" s="23"/>
      <c r="AS2313" s="23"/>
      <c r="AT2313" s="23"/>
      <c r="AU2313" s="16"/>
      <c r="AV2313" s="23"/>
      <c r="AW2313" s="23"/>
      <c r="AX2313" s="23"/>
      <c r="AY2313" s="16"/>
      <c r="AZ2313" s="23"/>
      <c r="BA2313" s="23"/>
      <c r="BB2313" s="23"/>
      <c r="BC2313" s="16"/>
      <c r="BD2313" s="23"/>
      <c r="BE2313" s="23"/>
      <c r="BF2313" s="23"/>
      <c r="BG2313" s="16"/>
      <c r="BH2313" s="23"/>
      <c r="BI2313" s="23"/>
      <c r="BJ2313" s="23"/>
      <c r="BN2313" s="23"/>
      <c r="BO2313" s="23"/>
      <c r="BP2313" s="16"/>
      <c r="BQ2313" s="16"/>
      <c r="BR2313" s="23"/>
      <c r="BS2313" s="16"/>
      <c r="BT2313" s="16"/>
      <c r="BU2313" s="16"/>
      <c r="BV2313" s="16"/>
      <c r="BW2313" s="16"/>
      <c r="BX2313" s="16"/>
      <c r="BY2313" s="16"/>
    </row>
    <row r="2314">
      <c r="A2314" s="16"/>
      <c r="B2314" s="16"/>
      <c r="C2314" s="22"/>
      <c r="D2314" s="16"/>
      <c r="E2314" s="16"/>
      <c r="F2314" s="16"/>
      <c r="G2314" s="16"/>
      <c r="H2314" s="16"/>
      <c r="I2314" s="23"/>
      <c r="J2314" s="23"/>
      <c r="K2314" s="16"/>
      <c r="L2314" s="23"/>
      <c r="M2314" s="23"/>
      <c r="N2314" s="23"/>
      <c r="O2314" s="16"/>
      <c r="P2314" s="23"/>
      <c r="Q2314" s="23"/>
      <c r="R2314" s="23"/>
      <c r="S2314" s="16"/>
      <c r="T2314" s="23"/>
      <c r="U2314" s="23"/>
      <c r="V2314" s="23"/>
      <c r="W2314" s="16"/>
      <c r="X2314" s="23"/>
      <c r="Y2314" s="23"/>
      <c r="Z2314" s="23"/>
      <c r="AA2314" s="16"/>
      <c r="AB2314" s="23"/>
      <c r="AC2314" s="23"/>
      <c r="AD2314" s="23"/>
      <c r="AE2314" s="16"/>
      <c r="AF2314" s="23"/>
      <c r="AG2314" s="23"/>
      <c r="AH2314" s="23"/>
      <c r="AI2314" s="16"/>
      <c r="AJ2314" s="23"/>
      <c r="AK2314" s="23"/>
      <c r="AL2314" s="23"/>
      <c r="AM2314" s="16"/>
      <c r="AN2314" s="23"/>
      <c r="AO2314" s="23"/>
      <c r="AP2314" s="23"/>
      <c r="AQ2314" s="16"/>
      <c r="AR2314" s="23"/>
      <c r="AS2314" s="23"/>
      <c r="AT2314" s="23"/>
      <c r="AU2314" s="16"/>
      <c r="AV2314" s="23"/>
      <c r="AW2314" s="23"/>
      <c r="AX2314" s="23"/>
      <c r="AY2314" s="16"/>
      <c r="AZ2314" s="23"/>
      <c r="BA2314" s="23"/>
      <c r="BB2314" s="23"/>
      <c r="BC2314" s="16"/>
      <c r="BD2314" s="23"/>
      <c r="BE2314" s="23"/>
      <c r="BF2314" s="23"/>
      <c r="BG2314" s="16"/>
      <c r="BH2314" s="23"/>
      <c r="BI2314" s="23"/>
      <c r="BJ2314" s="23"/>
      <c r="BN2314" s="23"/>
      <c r="BO2314" s="23"/>
      <c r="BP2314" s="16"/>
      <c r="BQ2314" s="16"/>
      <c r="BR2314" s="23"/>
      <c r="BS2314" s="16"/>
      <c r="BT2314" s="16"/>
      <c r="BU2314" s="16"/>
      <c r="BV2314" s="16"/>
      <c r="BW2314" s="16"/>
      <c r="BX2314" s="16"/>
      <c r="BY2314" s="16"/>
    </row>
    <row r="2315">
      <c r="A2315" s="16"/>
      <c r="B2315" s="16"/>
      <c r="C2315" s="22"/>
      <c r="D2315" s="16"/>
      <c r="E2315" s="16"/>
      <c r="F2315" s="16"/>
      <c r="G2315" s="16"/>
      <c r="H2315" s="16"/>
      <c r="I2315" s="23"/>
      <c r="J2315" s="23"/>
      <c r="K2315" s="16"/>
      <c r="L2315" s="23"/>
      <c r="M2315" s="23"/>
      <c r="N2315" s="23"/>
      <c r="O2315" s="16"/>
      <c r="P2315" s="23"/>
      <c r="Q2315" s="23"/>
      <c r="R2315" s="23"/>
      <c r="S2315" s="16"/>
      <c r="T2315" s="23"/>
      <c r="U2315" s="23"/>
      <c r="V2315" s="23"/>
      <c r="W2315" s="16"/>
      <c r="X2315" s="23"/>
      <c r="Y2315" s="23"/>
      <c r="Z2315" s="23"/>
      <c r="AA2315" s="16"/>
      <c r="AB2315" s="23"/>
      <c r="AC2315" s="23"/>
      <c r="AD2315" s="23"/>
      <c r="AE2315" s="16"/>
      <c r="AF2315" s="23"/>
      <c r="AG2315" s="23"/>
      <c r="AH2315" s="23"/>
      <c r="AI2315" s="16"/>
      <c r="AJ2315" s="23"/>
      <c r="AK2315" s="23"/>
      <c r="AL2315" s="23"/>
      <c r="AM2315" s="16"/>
      <c r="AN2315" s="23"/>
      <c r="AO2315" s="23"/>
      <c r="AP2315" s="23"/>
      <c r="AQ2315" s="16"/>
      <c r="AR2315" s="23"/>
      <c r="AS2315" s="23"/>
      <c r="AT2315" s="23"/>
      <c r="AU2315" s="16"/>
      <c r="AV2315" s="23"/>
      <c r="AW2315" s="23"/>
      <c r="AX2315" s="23"/>
      <c r="AY2315" s="16"/>
      <c r="AZ2315" s="23"/>
      <c r="BA2315" s="23"/>
      <c r="BB2315" s="23"/>
      <c r="BC2315" s="16"/>
      <c r="BD2315" s="23"/>
      <c r="BE2315" s="23"/>
      <c r="BF2315" s="23"/>
      <c r="BG2315" s="16"/>
      <c r="BH2315" s="23"/>
      <c r="BI2315" s="23"/>
      <c r="BJ2315" s="23"/>
      <c r="BN2315" s="23"/>
      <c r="BO2315" s="23"/>
      <c r="BP2315" s="16"/>
      <c r="BQ2315" s="16"/>
      <c r="BR2315" s="23"/>
      <c r="BS2315" s="16"/>
      <c r="BT2315" s="16"/>
      <c r="BU2315" s="16"/>
      <c r="BV2315" s="16"/>
      <c r="BW2315" s="16"/>
      <c r="BX2315" s="16"/>
      <c r="BY2315" s="16"/>
    </row>
    <row r="2316">
      <c r="A2316" s="16"/>
      <c r="B2316" s="16"/>
      <c r="C2316" s="22"/>
      <c r="D2316" s="16"/>
      <c r="E2316" s="16"/>
      <c r="F2316" s="16"/>
      <c r="G2316" s="16"/>
      <c r="H2316" s="16"/>
      <c r="I2316" s="23"/>
      <c r="J2316" s="23"/>
      <c r="K2316" s="16"/>
      <c r="L2316" s="23"/>
      <c r="M2316" s="23"/>
      <c r="N2316" s="23"/>
      <c r="O2316" s="16"/>
      <c r="P2316" s="23"/>
      <c r="Q2316" s="23"/>
      <c r="R2316" s="23"/>
      <c r="S2316" s="16"/>
      <c r="T2316" s="23"/>
      <c r="U2316" s="23"/>
      <c r="V2316" s="23"/>
      <c r="W2316" s="16"/>
      <c r="X2316" s="23"/>
      <c r="Y2316" s="23"/>
      <c r="Z2316" s="23"/>
      <c r="AA2316" s="16"/>
      <c r="AB2316" s="23"/>
      <c r="AC2316" s="23"/>
      <c r="AD2316" s="23"/>
      <c r="AE2316" s="16"/>
      <c r="AF2316" s="23"/>
      <c r="AG2316" s="23"/>
      <c r="AH2316" s="23"/>
      <c r="AI2316" s="16"/>
      <c r="AJ2316" s="23"/>
      <c r="AK2316" s="23"/>
      <c r="AL2316" s="23"/>
      <c r="AM2316" s="16"/>
      <c r="AN2316" s="23"/>
      <c r="AO2316" s="23"/>
      <c r="AP2316" s="23"/>
      <c r="AQ2316" s="16"/>
      <c r="AR2316" s="23"/>
      <c r="AS2316" s="23"/>
      <c r="AT2316" s="23"/>
      <c r="AU2316" s="16"/>
      <c r="AV2316" s="23"/>
      <c r="AW2316" s="23"/>
      <c r="AX2316" s="23"/>
      <c r="AY2316" s="16"/>
      <c r="AZ2316" s="23"/>
      <c r="BA2316" s="23"/>
      <c r="BB2316" s="23"/>
      <c r="BC2316" s="16"/>
      <c r="BD2316" s="23"/>
      <c r="BE2316" s="23"/>
      <c r="BF2316" s="23"/>
      <c r="BG2316" s="16"/>
      <c r="BH2316" s="23"/>
      <c r="BI2316" s="23"/>
      <c r="BJ2316" s="23"/>
      <c r="BN2316" s="23"/>
      <c r="BO2316" s="23"/>
      <c r="BP2316" s="16"/>
      <c r="BQ2316" s="16"/>
      <c r="BR2316" s="23"/>
      <c r="BS2316" s="16"/>
      <c r="BT2316" s="16"/>
      <c r="BU2316" s="16"/>
      <c r="BV2316" s="16"/>
      <c r="BW2316" s="16"/>
      <c r="BX2316" s="16"/>
      <c r="BY2316" s="16"/>
    </row>
    <row r="2317">
      <c r="A2317" s="16"/>
      <c r="B2317" s="16"/>
      <c r="C2317" s="22"/>
      <c r="D2317" s="16"/>
      <c r="E2317" s="16"/>
      <c r="F2317" s="16"/>
      <c r="G2317" s="16"/>
      <c r="H2317" s="16"/>
      <c r="I2317" s="23"/>
      <c r="J2317" s="23"/>
      <c r="K2317" s="16"/>
      <c r="L2317" s="23"/>
      <c r="M2317" s="23"/>
      <c r="N2317" s="23"/>
      <c r="O2317" s="16"/>
      <c r="P2317" s="23"/>
      <c r="Q2317" s="23"/>
      <c r="R2317" s="23"/>
      <c r="S2317" s="16"/>
      <c r="T2317" s="23"/>
      <c r="U2317" s="23"/>
      <c r="V2317" s="23"/>
      <c r="W2317" s="16"/>
      <c r="X2317" s="23"/>
      <c r="Y2317" s="23"/>
      <c r="Z2317" s="23"/>
      <c r="AA2317" s="16"/>
      <c r="AB2317" s="23"/>
      <c r="AC2317" s="23"/>
      <c r="AD2317" s="23"/>
      <c r="AE2317" s="16"/>
      <c r="AF2317" s="23"/>
      <c r="AG2317" s="23"/>
      <c r="AH2317" s="23"/>
      <c r="AI2317" s="16"/>
      <c r="AJ2317" s="23"/>
      <c r="AK2317" s="23"/>
      <c r="AL2317" s="23"/>
      <c r="AM2317" s="16"/>
      <c r="AN2317" s="23"/>
      <c r="AO2317" s="23"/>
      <c r="AP2317" s="23"/>
      <c r="AQ2317" s="16"/>
      <c r="AR2317" s="23"/>
      <c r="AS2317" s="23"/>
      <c r="AT2317" s="23"/>
      <c r="AU2317" s="16"/>
      <c r="AV2317" s="23"/>
      <c r="AW2317" s="23"/>
      <c r="AX2317" s="23"/>
      <c r="AY2317" s="16"/>
      <c r="AZ2317" s="23"/>
      <c r="BA2317" s="23"/>
      <c r="BB2317" s="23"/>
      <c r="BC2317" s="16"/>
      <c r="BD2317" s="23"/>
      <c r="BE2317" s="23"/>
      <c r="BF2317" s="23"/>
      <c r="BG2317" s="16"/>
      <c r="BH2317" s="23"/>
      <c r="BI2317" s="23"/>
      <c r="BJ2317" s="23"/>
      <c r="BN2317" s="23"/>
      <c r="BO2317" s="23"/>
      <c r="BP2317" s="16"/>
      <c r="BQ2317" s="16"/>
      <c r="BR2317" s="23"/>
      <c r="BS2317" s="16"/>
      <c r="BT2317" s="16"/>
      <c r="BU2317" s="16"/>
      <c r="BV2317" s="16"/>
      <c r="BW2317" s="16"/>
      <c r="BX2317" s="16"/>
      <c r="BY2317" s="16"/>
    </row>
    <row r="2318">
      <c r="A2318" s="16"/>
      <c r="B2318" s="16"/>
      <c r="C2318" s="22"/>
      <c r="D2318" s="16"/>
      <c r="E2318" s="16"/>
      <c r="F2318" s="16"/>
      <c r="G2318" s="16"/>
      <c r="H2318" s="16"/>
      <c r="I2318" s="23"/>
      <c r="J2318" s="23"/>
      <c r="K2318" s="16"/>
      <c r="L2318" s="23"/>
      <c r="M2318" s="23"/>
      <c r="N2318" s="23"/>
      <c r="O2318" s="16"/>
      <c r="P2318" s="23"/>
      <c r="Q2318" s="23"/>
      <c r="R2318" s="23"/>
      <c r="S2318" s="16"/>
      <c r="T2318" s="23"/>
      <c r="U2318" s="23"/>
      <c r="V2318" s="23"/>
      <c r="W2318" s="16"/>
      <c r="X2318" s="23"/>
      <c r="Y2318" s="23"/>
      <c r="Z2318" s="23"/>
      <c r="AA2318" s="16"/>
      <c r="AB2318" s="23"/>
      <c r="AC2318" s="23"/>
      <c r="AD2318" s="23"/>
      <c r="AE2318" s="16"/>
      <c r="AF2318" s="23"/>
      <c r="AG2318" s="23"/>
      <c r="AH2318" s="23"/>
      <c r="AI2318" s="16"/>
      <c r="AJ2318" s="23"/>
      <c r="AK2318" s="23"/>
      <c r="AL2318" s="23"/>
      <c r="AM2318" s="16"/>
      <c r="AN2318" s="23"/>
      <c r="AO2318" s="23"/>
      <c r="AP2318" s="23"/>
      <c r="AQ2318" s="16"/>
      <c r="AR2318" s="23"/>
      <c r="AS2318" s="23"/>
      <c r="AT2318" s="23"/>
      <c r="AU2318" s="16"/>
      <c r="AV2318" s="23"/>
      <c r="AW2318" s="23"/>
      <c r="AX2318" s="23"/>
      <c r="AY2318" s="16"/>
      <c r="AZ2318" s="23"/>
      <c r="BA2318" s="23"/>
      <c r="BB2318" s="23"/>
      <c r="BC2318" s="16"/>
      <c r="BD2318" s="23"/>
      <c r="BE2318" s="23"/>
      <c r="BF2318" s="23"/>
      <c r="BG2318" s="16"/>
      <c r="BH2318" s="23"/>
      <c r="BI2318" s="23"/>
      <c r="BJ2318" s="23"/>
      <c r="BN2318" s="23"/>
      <c r="BO2318" s="23"/>
      <c r="BP2318" s="16"/>
      <c r="BQ2318" s="16"/>
      <c r="BR2318" s="23"/>
      <c r="BS2318" s="16"/>
      <c r="BT2318" s="16"/>
      <c r="BU2318" s="16"/>
      <c r="BV2318" s="16"/>
      <c r="BW2318" s="16"/>
      <c r="BX2318" s="16"/>
      <c r="BY2318" s="16"/>
    </row>
    <row r="2319">
      <c r="A2319" s="16"/>
      <c r="B2319" s="16"/>
      <c r="C2319" s="22"/>
      <c r="D2319" s="16"/>
      <c r="E2319" s="16"/>
      <c r="F2319" s="16"/>
      <c r="G2319" s="16"/>
      <c r="H2319" s="16"/>
      <c r="I2319" s="23"/>
      <c r="J2319" s="23"/>
      <c r="K2319" s="16"/>
      <c r="L2319" s="23"/>
      <c r="M2319" s="23"/>
      <c r="N2319" s="23"/>
      <c r="O2319" s="16"/>
      <c r="P2319" s="23"/>
      <c r="Q2319" s="23"/>
      <c r="R2319" s="23"/>
      <c r="S2319" s="16"/>
      <c r="T2319" s="23"/>
      <c r="U2319" s="23"/>
      <c r="V2319" s="23"/>
      <c r="W2319" s="16"/>
      <c r="X2319" s="23"/>
      <c r="Y2319" s="23"/>
      <c r="Z2319" s="23"/>
      <c r="AA2319" s="16"/>
      <c r="AB2319" s="23"/>
      <c r="AC2319" s="23"/>
      <c r="AD2319" s="23"/>
      <c r="AE2319" s="16"/>
      <c r="AF2319" s="23"/>
      <c r="AG2319" s="23"/>
      <c r="AH2319" s="23"/>
      <c r="AI2319" s="16"/>
      <c r="AJ2319" s="23"/>
      <c r="AK2319" s="23"/>
      <c r="AL2319" s="23"/>
      <c r="AM2319" s="16"/>
      <c r="AN2319" s="23"/>
      <c r="AO2319" s="23"/>
      <c r="AP2319" s="23"/>
      <c r="AQ2319" s="16"/>
      <c r="AR2319" s="23"/>
      <c r="AS2319" s="23"/>
      <c r="AT2319" s="23"/>
      <c r="AU2319" s="16"/>
      <c r="AV2319" s="23"/>
      <c r="AW2319" s="23"/>
      <c r="AX2319" s="23"/>
      <c r="AY2319" s="16"/>
      <c r="AZ2319" s="23"/>
      <c r="BA2319" s="23"/>
      <c r="BB2319" s="23"/>
      <c r="BC2319" s="16"/>
      <c r="BD2319" s="23"/>
      <c r="BE2319" s="23"/>
      <c r="BF2319" s="23"/>
      <c r="BG2319" s="16"/>
      <c r="BH2319" s="23"/>
      <c r="BI2319" s="23"/>
      <c r="BJ2319" s="23"/>
      <c r="BN2319" s="23"/>
      <c r="BO2319" s="23"/>
      <c r="BP2319" s="16"/>
      <c r="BQ2319" s="16"/>
      <c r="BR2319" s="23"/>
      <c r="BS2319" s="16"/>
      <c r="BT2319" s="16"/>
      <c r="BU2319" s="16"/>
      <c r="BV2319" s="16"/>
      <c r="BW2319" s="16"/>
      <c r="BX2319" s="16"/>
      <c r="BY2319" s="16"/>
    </row>
    <row r="2320">
      <c r="A2320" s="16"/>
      <c r="B2320" s="16"/>
      <c r="C2320" s="22"/>
      <c r="D2320" s="16"/>
      <c r="E2320" s="16"/>
      <c r="F2320" s="16"/>
      <c r="G2320" s="16"/>
      <c r="H2320" s="16"/>
      <c r="I2320" s="23"/>
      <c r="J2320" s="23"/>
      <c r="K2320" s="16"/>
      <c r="L2320" s="23"/>
      <c r="M2320" s="23"/>
      <c r="N2320" s="23"/>
      <c r="O2320" s="16"/>
      <c r="P2320" s="23"/>
      <c r="Q2320" s="23"/>
      <c r="R2320" s="23"/>
      <c r="S2320" s="16"/>
      <c r="T2320" s="23"/>
      <c r="U2320" s="23"/>
      <c r="V2320" s="23"/>
      <c r="W2320" s="16"/>
      <c r="X2320" s="23"/>
      <c r="Y2320" s="23"/>
      <c r="Z2320" s="23"/>
      <c r="AA2320" s="16"/>
      <c r="AB2320" s="23"/>
      <c r="AC2320" s="23"/>
      <c r="AD2320" s="23"/>
      <c r="AE2320" s="16"/>
      <c r="AF2320" s="23"/>
      <c r="AG2320" s="23"/>
      <c r="AH2320" s="23"/>
      <c r="AI2320" s="16"/>
      <c r="AJ2320" s="23"/>
      <c r="AK2320" s="23"/>
      <c r="AL2320" s="23"/>
      <c r="AM2320" s="16"/>
      <c r="AN2320" s="23"/>
      <c r="AO2320" s="23"/>
      <c r="AP2320" s="23"/>
      <c r="AQ2320" s="16"/>
      <c r="AR2320" s="23"/>
      <c r="AS2320" s="23"/>
      <c r="AT2320" s="23"/>
      <c r="AU2320" s="16"/>
      <c r="AV2320" s="23"/>
      <c r="AW2320" s="23"/>
      <c r="AX2320" s="23"/>
      <c r="AY2320" s="16"/>
      <c r="AZ2320" s="23"/>
      <c r="BA2320" s="23"/>
      <c r="BB2320" s="23"/>
      <c r="BC2320" s="16"/>
      <c r="BD2320" s="23"/>
      <c r="BE2320" s="23"/>
      <c r="BF2320" s="23"/>
      <c r="BG2320" s="16"/>
      <c r="BH2320" s="23"/>
      <c r="BI2320" s="23"/>
      <c r="BJ2320" s="23"/>
      <c r="BN2320" s="23"/>
      <c r="BO2320" s="23"/>
      <c r="BP2320" s="16"/>
      <c r="BQ2320" s="16"/>
      <c r="BR2320" s="23"/>
      <c r="BS2320" s="16"/>
      <c r="BT2320" s="16"/>
      <c r="BU2320" s="16"/>
      <c r="BV2320" s="16"/>
      <c r="BW2320" s="16"/>
      <c r="BX2320" s="16"/>
      <c r="BY2320" s="16"/>
    </row>
    <row r="2321">
      <c r="A2321" s="16"/>
      <c r="B2321" s="16"/>
      <c r="C2321" s="22"/>
      <c r="D2321" s="16"/>
      <c r="E2321" s="16"/>
      <c r="F2321" s="16"/>
      <c r="G2321" s="16"/>
      <c r="H2321" s="16"/>
      <c r="I2321" s="23"/>
      <c r="J2321" s="23"/>
      <c r="K2321" s="16"/>
      <c r="L2321" s="23"/>
      <c r="M2321" s="23"/>
      <c r="N2321" s="23"/>
      <c r="O2321" s="16"/>
      <c r="P2321" s="23"/>
      <c r="Q2321" s="23"/>
      <c r="R2321" s="23"/>
      <c r="S2321" s="16"/>
      <c r="T2321" s="23"/>
      <c r="U2321" s="23"/>
      <c r="V2321" s="23"/>
      <c r="W2321" s="16"/>
      <c r="X2321" s="23"/>
      <c r="Y2321" s="23"/>
      <c r="Z2321" s="23"/>
      <c r="AA2321" s="16"/>
      <c r="AB2321" s="23"/>
      <c r="AC2321" s="23"/>
      <c r="AD2321" s="23"/>
      <c r="AE2321" s="16"/>
      <c r="AF2321" s="23"/>
      <c r="AG2321" s="23"/>
      <c r="AH2321" s="23"/>
      <c r="AI2321" s="16"/>
      <c r="AJ2321" s="23"/>
      <c r="AK2321" s="23"/>
      <c r="AL2321" s="23"/>
      <c r="AM2321" s="16"/>
      <c r="AN2321" s="23"/>
      <c r="AO2321" s="23"/>
      <c r="AP2321" s="23"/>
      <c r="AQ2321" s="16"/>
      <c r="AR2321" s="23"/>
      <c r="AS2321" s="23"/>
      <c r="AT2321" s="23"/>
      <c r="AU2321" s="16"/>
      <c r="AV2321" s="23"/>
      <c r="AW2321" s="23"/>
      <c r="AX2321" s="23"/>
      <c r="AY2321" s="16"/>
      <c r="AZ2321" s="23"/>
      <c r="BA2321" s="23"/>
      <c r="BB2321" s="23"/>
      <c r="BC2321" s="16"/>
      <c r="BD2321" s="23"/>
      <c r="BE2321" s="23"/>
      <c r="BF2321" s="23"/>
      <c r="BG2321" s="16"/>
      <c r="BH2321" s="23"/>
      <c r="BI2321" s="23"/>
      <c r="BJ2321" s="23"/>
      <c r="BN2321" s="23"/>
      <c r="BO2321" s="23"/>
      <c r="BP2321" s="16"/>
      <c r="BQ2321" s="16"/>
      <c r="BR2321" s="23"/>
      <c r="BS2321" s="16"/>
      <c r="BT2321" s="16"/>
      <c r="BU2321" s="16"/>
      <c r="BV2321" s="16"/>
      <c r="BW2321" s="16"/>
      <c r="BX2321" s="16"/>
      <c r="BY2321" s="16"/>
    </row>
    <row r="2322">
      <c r="A2322" s="16"/>
      <c r="B2322" s="16"/>
      <c r="C2322" s="22"/>
      <c r="D2322" s="16"/>
      <c r="E2322" s="16"/>
      <c r="F2322" s="16"/>
      <c r="G2322" s="16"/>
      <c r="H2322" s="16"/>
      <c r="I2322" s="23"/>
      <c r="J2322" s="23"/>
      <c r="K2322" s="16"/>
      <c r="L2322" s="23"/>
      <c r="M2322" s="23"/>
      <c r="N2322" s="23"/>
      <c r="O2322" s="16"/>
      <c r="P2322" s="23"/>
      <c r="Q2322" s="23"/>
      <c r="R2322" s="23"/>
      <c r="S2322" s="16"/>
      <c r="T2322" s="23"/>
      <c r="U2322" s="23"/>
      <c r="V2322" s="23"/>
      <c r="W2322" s="16"/>
      <c r="X2322" s="23"/>
      <c r="Y2322" s="23"/>
      <c r="Z2322" s="23"/>
      <c r="AA2322" s="16"/>
      <c r="AB2322" s="23"/>
      <c r="AC2322" s="23"/>
      <c r="AD2322" s="23"/>
      <c r="AE2322" s="16"/>
      <c r="AF2322" s="23"/>
      <c r="AG2322" s="23"/>
      <c r="AH2322" s="23"/>
      <c r="AI2322" s="16"/>
      <c r="AJ2322" s="23"/>
      <c r="AK2322" s="23"/>
      <c r="AL2322" s="23"/>
      <c r="AM2322" s="16"/>
      <c r="AN2322" s="23"/>
      <c r="AO2322" s="23"/>
      <c r="AP2322" s="23"/>
      <c r="AQ2322" s="16"/>
      <c r="AR2322" s="23"/>
      <c r="AS2322" s="23"/>
      <c r="AT2322" s="23"/>
      <c r="AU2322" s="16"/>
      <c r="AV2322" s="23"/>
      <c r="AW2322" s="23"/>
      <c r="AX2322" s="23"/>
      <c r="AY2322" s="16"/>
      <c r="AZ2322" s="23"/>
      <c r="BA2322" s="23"/>
      <c r="BB2322" s="23"/>
      <c r="BC2322" s="16"/>
      <c r="BD2322" s="23"/>
      <c r="BE2322" s="23"/>
      <c r="BF2322" s="23"/>
      <c r="BG2322" s="16"/>
      <c r="BH2322" s="23"/>
      <c r="BI2322" s="23"/>
      <c r="BJ2322" s="23"/>
      <c r="BN2322" s="23"/>
      <c r="BO2322" s="23"/>
      <c r="BP2322" s="16"/>
      <c r="BQ2322" s="16"/>
      <c r="BR2322" s="23"/>
      <c r="BS2322" s="16"/>
      <c r="BT2322" s="16"/>
      <c r="BU2322" s="16"/>
      <c r="BV2322" s="16"/>
      <c r="BW2322" s="16"/>
      <c r="BX2322" s="16"/>
      <c r="BY2322" s="16"/>
    </row>
    <row r="2323">
      <c r="A2323" s="16"/>
      <c r="B2323" s="16"/>
      <c r="C2323" s="22"/>
      <c r="D2323" s="16"/>
      <c r="E2323" s="16"/>
      <c r="F2323" s="16"/>
      <c r="G2323" s="16"/>
      <c r="H2323" s="16"/>
      <c r="I2323" s="23"/>
      <c r="J2323" s="23"/>
      <c r="K2323" s="16"/>
      <c r="L2323" s="23"/>
      <c r="M2323" s="23"/>
      <c r="N2323" s="23"/>
      <c r="O2323" s="16"/>
      <c r="P2323" s="23"/>
      <c r="Q2323" s="23"/>
      <c r="R2323" s="23"/>
      <c r="S2323" s="16"/>
      <c r="T2323" s="23"/>
      <c r="U2323" s="23"/>
      <c r="V2323" s="23"/>
      <c r="W2323" s="16"/>
      <c r="X2323" s="23"/>
      <c r="Y2323" s="23"/>
      <c r="Z2323" s="23"/>
      <c r="AA2323" s="16"/>
      <c r="AB2323" s="23"/>
      <c r="AC2323" s="23"/>
      <c r="AD2323" s="23"/>
      <c r="AE2323" s="16"/>
      <c r="AF2323" s="23"/>
      <c r="AG2323" s="23"/>
      <c r="AH2323" s="23"/>
      <c r="AI2323" s="16"/>
      <c r="AJ2323" s="23"/>
      <c r="AK2323" s="23"/>
      <c r="AL2323" s="23"/>
      <c r="AM2323" s="16"/>
      <c r="AN2323" s="23"/>
      <c r="AO2323" s="23"/>
      <c r="AP2323" s="23"/>
      <c r="AQ2323" s="16"/>
      <c r="AR2323" s="23"/>
      <c r="AS2323" s="23"/>
      <c r="AT2323" s="23"/>
      <c r="AU2323" s="16"/>
      <c r="AV2323" s="23"/>
      <c r="AW2323" s="23"/>
      <c r="AX2323" s="23"/>
      <c r="AY2323" s="16"/>
      <c r="AZ2323" s="23"/>
      <c r="BA2323" s="23"/>
      <c r="BB2323" s="23"/>
      <c r="BC2323" s="16"/>
      <c r="BD2323" s="23"/>
      <c r="BE2323" s="23"/>
      <c r="BF2323" s="23"/>
      <c r="BG2323" s="16"/>
      <c r="BH2323" s="23"/>
      <c r="BI2323" s="23"/>
      <c r="BJ2323" s="23"/>
      <c r="BN2323" s="23"/>
      <c r="BO2323" s="23"/>
      <c r="BP2323" s="16"/>
      <c r="BQ2323" s="16"/>
      <c r="BR2323" s="23"/>
      <c r="BS2323" s="16"/>
      <c r="BT2323" s="16"/>
      <c r="BU2323" s="16"/>
      <c r="BV2323" s="16"/>
      <c r="BW2323" s="16"/>
      <c r="BX2323" s="16"/>
      <c r="BY2323" s="16"/>
    </row>
    <row r="2324">
      <c r="A2324" s="16"/>
      <c r="B2324" s="16"/>
      <c r="C2324" s="22"/>
      <c r="D2324" s="16"/>
      <c r="E2324" s="16"/>
      <c r="F2324" s="16"/>
      <c r="G2324" s="16"/>
      <c r="H2324" s="16"/>
      <c r="I2324" s="23"/>
      <c r="J2324" s="23"/>
      <c r="K2324" s="16"/>
      <c r="L2324" s="23"/>
      <c r="M2324" s="23"/>
      <c r="N2324" s="23"/>
      <c r="O2324" s="16"/>
      <c r="P2324" s="23"/>
      <c r="Q2324" s="23"/>
      <c r="R2324" s="23"/>
      <c r="S2324" s="16"/>
      <c r="T2324" s="23"/>
      <c r="U2324" s="23"/>
      <c r="V2324" s="23"/>
      <c r="W2324" s="16"/>
      <c r="X2324" s="23"/>
      <c r="Y2324" s="23"/>
      <c r="Z2324" s="23"/>
      <c r="AA2324" s="16"/>
      <c r="AB2324" s="23"/>
      <c r="AC2324" s="23"/>
      <c r="AD2324" s="23"/>
      <c r="AE2324" s="16"/>
      <c r="AF2324" s="23"/>
      <c r="AG2324" s="23"/>
      <c r="AH2324" s="23"/>
      <c r="AI2324" s="16"/>
      <c r="AJ2324" s="23"/>
      <c r="AK2324" s="23"/>
      <c r="AL2324" s="23"/>
      <c r="AM2324" s="16"/>
      <c r="AN2324" s="23"/>
      <c r="AO2324" s="23"/>
      <c r="AP2324" s="23"/>
      <c r="AQ2324" s="16"/>
      <c r="AR2324" s="23"/>
      <c r="AS2324" s="23"/>
      <c r="AT2324" s="23"/>
      <c r="AU2324" s="16"/>
      <c r="AV2324" s="23"/>
      <c r="AW2324" s="23"/>
      <c r="AX2324" s="23"/>
      <c r="AY2324" s="16"/>
      <c r="AZ2324" s="23"/>
      <c r="BA2324" s="23"/>
      <c r="BB2324" s="23"/>
      <c r="BC2324" s="16"/>
      <c r="BD2324" s="23"/>
      <c r="BE2324" s="23"/>
      <c r="BF2324" s="23"/>
      <c r="BG2324" s="16"/>
      <c r="BH2324" s="23"/>
      <c r="BI2324" s="23"/>
      <c r="BJ2324" s="23"/>
      <c r="BN2324" s="23"/>
      <c r="BO2324" s="23"/>
      <c r="BP2324" s="16"/>
      <c r="BQ2324" s="16"/>
      <c r="BR2324" s="23"/>
      <c r="BS2324" s="16"/>
      <c r="BT2324" s="16"/>
      <c r="BU2324" s="16"/>
      <c r="BV2324" s="16"/>
      <c r="BW2324" s="16"/>
      <c r="BX2324" s="16"/>
      <c r="BY2324" s="16"/>
    </row>
    <row r="2325">
      <c r="A2325" s="16"/>
      <c r="B2325" s="16"/>
      <c r="C2325" s="22"/>
      <c r="D2325" s="16"/>
      <c r="E2325" s="16"/>
      <c r="F2325" s="16"/>
      <c r="G2325" s="16"/>
      <c r="H2325" s="16"/>
      <c r="I2325" s="23"/>
      <c r="J2325" s="23"/>
      <c r="K2325" s="16"/>
      <c r="L2325" s="23"/>
      <c r="M2325" s="23"/>
      <c r="N2325" s="23"/>
      <c r="O2325" s="16"/>
      <c r="P2325" s="23"/>
      <c r="Q2325" s="23"/>
      <c r="R2325" s="23"/>
      <c r="S2325" s="16"/>
      <c r="T2325" s="23"/>
      <c r="U2325" s="23"/>
      <c r="V2325" s="23"/>
      <c r="W2325" s="16"/>
      <c r="X2325" s="23"/>
      <c r="Y2325" s="23"/>
      <c r="Z2325" s="23"/>
      <c r="AA2325" s="16"/>
      <c r="AB2325" s="23"/>
      <c r="AC2325" s="23"/>
      <c r="AD2325" s="23"/>
      <c r="AE2325" s="16"/>
      <c r="AF2325" s="23"/>
      <c r="AG2325" s="23"/>
      <c r="AH2325" s="23"/>
      <c r="AI2325" s="16"/>
      <c r="AJ2325" s="23"/>
      <c r="AK2325" s="23"/>
      <c r="AL2325" s="23"/>
      <c r="AM2325" s="16"/>
      <c r="AN2325" s="23"/>
      <c r="AO2325" s="23"/>
      <c r="AP2325" s="23"/>
      <c r="AQ2325" s="16"/>
      <c r="AR2325" s="23"/>
      <c r="AS2325" s="23"/>
      <c r="AT2325" s="23"/>
      <c r="AU2325" s="16"/>
      <c r="AV2325" s="23"/>
      <c r="AW2325" s="23"/>
      <c r="AX2325" s="23"/>
      <c r="AY2325" s="16"/>
      <c r="AZ2325" s="23"/>
      <c r="BA2325" s="23"/>
      <c r="BB2325" s="23"/>
      <c r="BC2325" s="16"/>
      <c r="BD2325" s="23"/>
      <c r="BE2325" s="23"/>
      <c r="BF2325" s="23"/>
      <c r="BG2325" s="16"/>
      <c r="BH2325" s="23"/>
      <c r="BI2325" s="23"/>
      <c r="BJ2325" s="23"/>
      <c r="BN2325" s="23"/>
      <c r="BO2325" s="23"/>
      <c r="BP2325" s="16"/>
      <c r="BQ2325" s="16"/>
      <c r="BR2325" s="23"/>
      <c r="BS2325" s="16"/>
      <c r="BT2325" s="16"/>
      <c r="BU2325" s="16"/>
      <c r="BV2325" s="16"/>
      <c r="BW2325" s="16"/>
      <c r="BX2325" s="16"/>
      <c r="BY2325" s="16"/>
    </row>
    <row r="2326">
      <c r="A2326" s="16"/>
      <c r="B2326" s="16"/>
      <c r="C2326" s="22"/>
      <c r="D2326" s="16"/>
      <c r="E2326" s="16"/>
      <c r="F2326" s="16"/>
      <c r="G2326" s="16"/>
      <c r="H2326" s="16"/>
      <c r="I2326" s="23"/>
      <c r="J2326" s="23"/>
      <c r="K2326" s="16"/>
      <c r="L2326" s="23"/>
      <c r="M2326" s="23"/>
      <c r="N2326" s="23"/>
      <c r="O2326" s="16"/>
      <c r="P2326" s="23"/>
      <c r="Q2326" s="23"/>
      <c r="R2326" s="23"/>
      <c r="S2326" s="16"/>
      <c r="T2326" s="23"/>
      <c r="U2326" s="23"/>
      <c r="V2326" s="23"/>
      <c r="W2326" s="16"/>
      <c r="X2326" s="23"/>
      <c r="Y2326" s="23"/>
      <c r="Z2326" s="23"/>
      <c r="AA2326" s="16"/>
      <c r="AB2326" s="23"/>
      <c r="AC2326" s="23"/>
      <c r="AD2326" s="23"/>
      <c r="AE2326" s="16"/>
      <c r="AF2326" s="23"/>
      <c r="AG2326" s="23"/>
      <c r="AH2326" s="23"/>
      <c r="AI2326" s="16"/>
      <c r="AJ2326" s="23"/>
      <c r="AK2326" s="23"/>
      <c r="AL2326" s="23"/>
      <c r="AM2326" s="16"/>
      <c r="AN2326" s="23"/>
      <c r="AO2326" s="23"/>
      <c r="AP2326" s="23"/>
      <c r="AQ2326" s="16"/>
      <c r="AR2326" s="23"/>
      <c r="AS2326" s="23"/>
      <c r="AT2326" s="23"/>
      <c r="AU2326" s="16"/>
      <c r="AV2326" s="23"/>
      <c r="AW2326" s="23"/>
      <c r="AX2326" s="23"/>
      <c r="AY2326" s="16"/>
      <c r="AZ2326" s="23"/>
      <c r="BA2326" s="23"/>
      <c r="BB2326" s="23"/>
      <c r="BC2326" s="16"/>
      <c r="BD2326" s="23"/>
      <c r="BE2326" s="23"/>
      <c r="BF2326" s="23"/>
      <c r="BG2326" s="16"/>
      <c r="BH2326" s="23"/>
      <c r="BI2326" s="23"/>
      <c r="BJ2326" s="23"/>
      <c r="BN2326" s="23"/>
      <c r="BO2326" s="23"/>
      <c r="BP2326" s="16"/>
      <c r="BQ2326" s="16"/>
      <c r="BR2326" s="23"/>
      <c r="BS2326" s="16"/>
      <c r="BT2326" s="16"/>
      <c r="BU2326" s="16"/>
      <c r="BV2326" s="16"/>
      <c r="BW2326" s="16"/>
      <c r="BX2326" s="16"/>
      <c r="BY2326" s="16"/>
    </row>
    <row r="2327">
      <c r="A2327" s="16"/>
      <c r="B2327" s="16"/>
      <c r="C2327" s="22"/>
      <c r="D2327" s="16"/>
      <c r="E2327" s="16"/>
      <c r="F2327" s="16"/>
      <c r="G2327" s="16"/>
      <c r="H2327" s="16"/>
      <c r="I2327" s="23"/>
      <c r="J2327" s="23"/>
      <c r="K2327" s="16"/>
      <c r="L2327" s="23"/>
      <c r="M2327" s="23"/>
      <c r="N2327" s="23"/>
      <c r="O2327" s="16"/>
      <c r="P2327" s="23"/>
      <c r="Q2327" s="23"/>
      <c r="R2327" s="23"/>
      <c r="S2327" s="16"/>
      <c r="T2327" s="23"/>
      <c r="U2327" s="23"/>
      <c r="V2327" s="23"/>
      <c r="W2327" s="16"/>
      <c r="X2327" s="23"/>
      <c r="Y2327" s="23"/>
      <c r="Z2327" s="23"/>
      <c r="AA2327" s="16"/>
      <c r="AB2327" s="23"/>
      <c r="AC2327" s="23"/>
      <c r="AD2327" s="23"/>
      <c r="AE2327" s="16"/>
      <c r="AF2327" s="23"/>
      <c r="AG2327" s="23"/>
      <c r="AH2327" s="23"/>
      <c r="AI2327" s="16"/>
      <c r="AJ2327" s="23"/>
      <c r="AK2327" s="23"/>
      <c r="AL2327" s="23"/>
      <c r="AM2327" s="16"/>
      <c r="AN2327" s="23"/>
      <c r="AO2327" s="23"/>
      <c r="AP2327" s="23"/>
      <c r="AQ2327" s="16"/>
      <c r="AR2327" s="23"/>
      <c r="AS2327" s="23"/>
      <c r="AT2327" s="23"/>
      <c r="AU2327" s="16"/>
      <c r="AV2327" s="23"/>
      <c r="AW2327" s="23"/>
      <c r="AX2327" s="23"/>
      <c r="AY2327" s="16"/>
      <c r="AZ2327" s="23"/>
      <c r="BA2327" s="23"/>
      <c r="BB2327" s="23"/>
      <c r="BC2327" s="16"/>
      <c r="BD2327" s="23"/>
      <c r="BE2327" s="23"/>
      <c r="BF2327" s="23"/>
      <c r="BG2327" s="16"/>
      <c r="BH2327" s="23"/>
      <c r="BI2327" s="23"/>
      <c r="BJ2327" s="23"/>
      <c r="BN2327" s="23"/>
      <c r="BO2327" s="23"/>
      <c r="BP2327" s="16"/>
      <c r="BQ2327" s="16"/>
      <c r="BR2327" s="23"/>
      <c r="BS2327" s="16"/>
      <c r="BT2327" s="16"/>
      <c r="BU2327" s="16"/>
      <c r="BV2327" s="16"/>
      <c r="BW2327" s="16"/>
      <c r="BX2327" s="16"/>
      <c r="BY2327" s="16"/>
    </row>
    <row r="2328">
      <c r="A2328" s="16"/>
      <c r="B2328" s="16"/>
      <c r="C2328" s="22"/>
      <c r="D2328" s="16"/>
      <c r="E2328" s="16"/>
      <c r="F2328" s="16"/>
      <c r="G2328" s="16"/>
      <c r="H2328" s="16"/>
      <c r="I2328" s="23"/>
      <c r="J2328" s="23"/>
      <c r="K2328" s="16"/>
      <c r="L2328" s="23"/>
      <c r="M2328" s="23"/>
      <c r="N2328" s="23"/>
      <c r="O2328" s="16"/>
      <c r="P2328" s="23"/>
      <c r="Q2328" s="23"/>
      <c r="R2328" s="23"/>
      <c r="S2328" s="16"/>
      <c r="T2328" s="23"/>
      <c r="U2328" s="23"/>
      <c r="V2328" s="23"/>
      <c r="W2328" s="16"/>
      <c r="X2328" s="23"/>
      <c r="Y2328" s="23"/>
      <c r="Z2328" s="23"/>
      <c r="AA2328" s="16"/>
      <c r="AB2328" s="23"/>
      <c r="AC2328" s="23"/>
      <c r="AD2328" s="23"/>
      <c r="AE2328" s="16"/>
      <c r="AF2328" s="23"/>
      <c r="AG2328" s="23"/>
      <c r="AH2328" s="23"/>
      <c r="AI2328" s="16"/>
      <c r="AJ2328" s="23"/>
      <c r="AK2328" s="23"/>
      <c r="AL2328" s="23"/>
      <c r="AM2328" s="16"/>
      <c r="AN2328" s="23"/>
      <c r="AO2328" s="23"/>
      <c r="AP2328" s="23"/>
      <c r="AQ2328" s="16"/>
      <c r="AR2328" s="23"/>
      <c r="AS2328" s="23"/>
      <c r="AT2328" s="23"/>
      <c r="AU2328" s="16"/>
      <c r="AV2328" s="23"/>
      <c r="AW2328" s="23"/>
      <c r="AX2328" s="23"/>
      <c r="AY2328" s="16"/>
      <c r="AZ2328" s="23"/>
      <c r="BA2328" s="23"/>
      <c r="BB2328" s="23"/>
      <c r="BC2328" s="16"/>
      <c r="BD2328" s="23"/>
      <c r="BE2328" s="23"/>
      <c r="BF2328" s="23"/>
      <c r="BG2328" s="16"/>
      <c r="BH2328" s="23"/>
      <c r="BI2328" s="23"/>
      <c r="BJ2328" s="23"/>
      <c r="BN2328" s="23"/>
      <c r="BO2328" s="23"/>
      <c r="BP2328" s="16"/>
      <c r="BQ2328" s="16"/>
      <c r="BR2328" s="23"/>
      <c r="BS2328" s="16"/>
      <c r="BT2328" s="16"/>
      <c r="BU2328" s="16"/>
      <c r="BV2328" s="16"/>
      <c r="BW2328" s="16"/>
      <c r="BX2328" s="16"/>
      <c r="BY2328" s="16"/>
    </row>
    <row r="2329">
      <c r="A2329" s="16"/>
      <c r="B2329" s="16"/>
      <c r="C2329" s="22"/>
      <c r="D2329" s="16"/>
      <c r="E2329" s="16"/>
      <c r="F2329" s="16"/>
      <c r="G2329" s="16"/>
      <c r="H2329" s="16"/>
      <c r="I2329" s="23"/>
      <c r="J2329" s="23"/>
      <c r="K2329" s="16"/>
      <c r="L2329" s="23"/>
      <c r="M2329" s="23"/>
      <c r="N2329" s="23"/>
      <c r="O2329" s="16"/>
      <c r="P2329" s="23"/>
      <c r="Q2329" s="23"/>
      <c r="R2329" s="23"/>
      <c r="S2329" s="16"/>
      <c r="T2329" s="23"/>
      <c r="U2329" s="23"/>
      <c r="V2329" s="23"/>
      <c r="W2329" s="16"/>
      <c r="X2329" s="23"/>
      <c r="Y2329" s="23"/>
      <c r="Z2329" s="23"/>
      <c r="AA2329" s="16"/>
      <c r="AB2329" s="23"/>
      <c r="AC2329" s="23"/>
      <c r="AD2329" s="23"/>
      <c r="AE2329" s="16"/>
      <c r="AF2329" s="23"/>
      <c r="AG2329" s="23"/>
      <c r="AH2329" s="23"/>
      <c r="AI2329" s="16"/>
      <c r="AJ2329" s="23"/>
      <c r="AK2329" s="23"/>
      <c r="AL2329" s="23"/>
      <c r="AM2329" s="16"/>
      <c r="AN2329" s="23"/>
      <c r="AO2329" s="23"/>
      <c r="AP2329" s="23"/>
      <c r="AQ2329" s="16"/>
      <c r="AR2329" s="23"/>
      <c r="AS2329" s="23"/>
      <c r="AT2329" s="23"/>
      <c r="AU2329" s="16"/>
      <c r="AV2329" s="23"/>
      <c r="AW2329" s="23"/>
      <c r="AX2329" s="23"/>
      <c r="AY2329" s="16"/>
      <c r="AZ2329" s="23"/>
      <c r="BA2329" s="23"/>
      <c r="BB2329" s="23"/>
      <c r="BC2329" s="16"/>
      <c r="BD2329" s="23"/>
      <c r="BE2329" s="23"/>
      <c r="BF2329" s="23"/>
      <c r="BG2329" s="16"/>
      <c r="BH2329" s="23"/>
      <c r="BI2329" s="23"/>
      <c r="BJ2329" s="23"/>
      <c r="BN2329" s="23"/>
      <c r="BO2329" s="23"/>
      <c r="BP2329" s="16"/>
      <c r="BQ2329" s="16"/>
      <c r="BR2329" s="23"/>
      <c r="BS2329" s="16"/>
      <c r="BT2329" s="16"/>
      <c r="BU2329" s="16"/>
      <c r="BV2329" s="16"/>
      <c r="BW2329" s="16"/>
      <c r="BX2329" s="16"/>
      <c r="BY2329" s="16"/>
    </row>
    <row r="2330">
      <c r="A2330" s="16"/>
      <c r="B2330" s="16"/>
      <c r="C2330" s="22"/>
      <c r="D2330" s="16"/>
      <c r="E2330" s="16"/>
      <c r="F2330" s="16"/>
      <c r="G2330" s="16"/>
      <c r="H2330" s="16"/>
      <c r="I2330" s="23"/>
      <c r="J2330" s="23"/>
      <c r="K2330" s="16"/>
      <c r="L2330" s="23"/>
      <c r="M2330" s="23"/>
      <c r="N2330" s="23"/>
      <c r="O2330" s="16"/>
      <c r="P2330" s="23"/>
      <c r="Q2330" s="23"/>
      <c r="R2330" s="23"/>
      <c r="S2330" s="16"/>
      <c r="T2330" s="23"/>
      <c r="U2330" s="23"/>
      <c r="V2330" s="23"/>
      <c r="W2330" s="16"/>
      <c r="X2330" s="23"/>
      <c r="Y2330" s="23"/>
      <c r="Z2330" s="23"/>
      <c r="AA2330" s="16"/>
      <c r="AB2330" s="23"/>
      <c r="AC2330" s="23"/>
      <c r="AD2330" s="23"/>
      <c r="AE2330" s="16"/>
      <c r="AF2330" s="23"/>
      <c r="AG2330" s="23"/>
      <c r="AH2330" s="23"/>
      <c r="AI2330" s="16"/>
      <c r="AJ2330" s="23"/>
      <c r="AK2330" s="23"/>
      <c r="AL2330" s="23"/>
      <c r="AM2330" s="16"/>
      <c r="AN2330" s="23"/>
      <c r="AO2330" s="23"/>
      <c r="AP2330" s="23"/>
      <c r="AQ2330" s="16"/>
      <c r="AR2330" s="23"/>
      <c r="AS2330" s="23"/>
      <c r="AT2330" s="23"/>
      <c r="AU2330" s="16"/>
      <c r="AV2330" s="23"/>
      <c r="AW2330" s="23"/>
      <c r="AX2330" s="23"/>
      <c r="AY2330" s="16"/>
      <c r="AZ2330" s="23"/>
      <c r="BA2330" s="23"/>
      <c r="BB2330" s="23"/>
      <c r="BC2330" s="16"/>
      <c r="BD2330" s="23"/>
      <c r="BE2330" s="23"/>
      <c r="BF2330" s="23"/>
      <c r="BG2330" s="16"/>
      <c r="BH2330" s="23"/>
      <c r="BI2330" s="23"/>
      <c r="BJ2330" s="23"/>
      <c r="BN2330" s="23"/>
      <c r="BO2330" s="23"/>
      <c r="BP2330" s="16"/>
      <c r="BQ2330" s="16"/>
      <c r="BR2330" s="23"/>
      <c r="BS2330" s="16"/>
      <c r="BT2330" s="16"/>
      <c r="BU2330" s="16"/>
      <c r="BV2330" s="16"/>
      <c r="BW2330" s="16"/>
      <c r="BX2330" s="16"/>
      <c r="BY2330" s="16"/>
    </row>
    <row r="2331">
      <c r="A2331" s="16"/>
      <c r="B2331" s="16"/>
      <c r="C2331" s="22"/>
      <c r="D2331" s="16"/>
      <c r="E2331" s="16"/>
      <c r="F2331" s="16"/>
      <c r="G2331" s="16"/>
      <c r="H2331" s="16"/>
      <c r="I2331" s="23"/>
      <c r="J2331" s="23"/>
      <c r="K2331" s="16"/>
      <c r="L2331" s="23"/>
      <c r="M2331" s="23"/>
      <c r="N2331" s="23"/>
      <c r="O2331" s="16"/>
      <c r="P2331" s="23"/>
      <c r="Q2331" s="23"/>
      <c r="R2331" s="23"/>
      <c r="S2331" s="16"/>
      <c r="T2331" s="23"/>
      <c r="U2331" s="23"/>
      <c r="V2331" s="23"/>
      <c r="W2331" s="16"/>
      <c r="X2331" s="23"/>
      <c r="Y2331" s="23"/>
      <c r="Z2331" s="23"/>
      <c r="AA2331" s="16"/>
      <c r="AB2331" s="23"/>
      <c r="AC2331" s="23"/>
      <c r="AD2331" s="23"/>
      <c r="AE2331" s="16"/>
      <c r="AF2331" s="23"/>
      <c r="AG2331" s="23"/>
      <c r="AH2331" s="23"/>
      <c r="AI2331" s="16"/>
      <c r="AJ2331" s="23"/>
      <c r="AK2331" s="23"/>
      <c r="AL2331" s="23"/>
      <c r="AM2331" s="16"/>
      <c r="AN2331" s="23"/>
      <c r="AO2331" s="23"/>
      <c r="AP2331" s="23"/>
      <c r="AQ2331" s="16"/>
      <c r="AR2331" s="23"/>
      <c r="AS2331" s="23"/>
      <c r="AT2331" s="23"/>
      <c r="AU2331" s="16"/>
      <c r="AV2331" s="23"/>
      <c r="AW2331" s="23"/>
      <c r="AX2331" s="23"/>
      <c r="AY2331" s="16"/>
      <c r="AZ2331" s="23"/>
      <c r="BA2331" s="23"/>
      <c r="BB2331" s="23"/>
      <c r="BC2331" s="16"/>
      <c r="BD2331" s="23"/>
      <c r="BE2331" s="23"/>
      <c r="BF2331" s="23"/>
      <c r="BG2331" s="16"/>
      <c r="BH2331" s="23"/>
      <c r="BI2331" s="23"/>
      <c r="BJ2331" s="23"/>
      <c r="BN2331" s="23"/>
      <c r="BO2331" s="23"/>
      <c r="BP2331" s="16"/>
      <c r="BQ2331" s="16"/>
      <c r="BR2331" s="23"/>
      <c r="BS2331" s="16"/>
      <c r="BT2331" s="16"/>
      <c r="BU2331" s="16"/>
      <c r="BV2331" s="16"/>
      <c r="BW2331" s="16"/>
      <c r="BX2331" s="16"/>
      <c r="BY2331" s="16"/>
    </row>
    <row r="2332">
      <c r="A2332" s="16"/>
      <c r="B2332" s="16"/>
      <c r="C2332" s="22"/>
      <c r="D2332" s="16"/>
      <c r="E2332" s="16"/>
      <c r="F2332" s="16"/>
      <c r="G2332" s="16"/>
      <c r="H2332" s="16"/>
      <c r="I2332" s="23"/>
      <c r="J2332" s="23"/>
      <c r="K2332" s="16"/>
      <c r="L2332" s="23"/>
      <c r="M2332" s="23"/>
      <c r="N2332" s="23"/>
      <c r="O2332" s="16"/>
      <c r="P2332" s="23"/>
      <c r="Q2332" s="23"/>
      <c r="R2332" s="23"/>
      <c r="S2332" s="16"/>
      <c r="T2332" s="23"/>
      <c r="U2332" s="23"/>
      <c r="V2332" s="23"/>
      <c r="W2332" s="16"/>
      <c r="X2332" s="23"/>
      <c r="Y2332" s="23"/>
      <c r="Z2332" s="23"/>
      <c r="AA2332" s="16"/>
      <c r="AB2332" s="23"/>
      <c r="AC2332" s="23"/>
      <c r="AD2332" s="23"/>
      <c r="AE2332" s="16"/>
      <c r="AF2332" s="23"/>
      <c r="AG2332" s="23"/>
      <c r="AH2332" s="23"/>
      <c r="AI2332" s="16"/>
      <c r="AJ2332" s="23"/>
      <c r="AK2332" s="23"/>
      <c r="AL2332" s="23"/>
      <c r="AM2332" s="16"/>
      <c r="AN2332" s="23"/>
      <c r="AO2332" s="23"/>
      <c r="AP2332" s="23"/>
      <c r="AQ2332" s="16"/>
      <c r="AR2332" s="23"/>
      <c r="AS2332" s="23"/>
      <c r="AT2332" s="23"/>
      <c r="AU2332" s="16"/>
      <c r="AV2332" s="23"/>
      <c r="AW2332" s="23"/>
      <c r="AX2332" s="23"/>
      <c r="AY2332" s="16"/>
      <c r="AZ2332" s="23"/>
      <c r="BA2332" s="23"/>
      <c r="BB2332" s="23"/>
      <c r="BC2332" s="16"/>
      <c r="BD2332" s="23"/>
      <c r="BE2332" s="23"/>
      <c r="BF2332" s="23"/>
      <c r="BG2332" s="16"/>
      <c r="BH2332" s="23"/>
      <c r="BI2332" s="23"/>
      <c r="BJ2332" s="23"/>
      <c r="BN2332" s="23"/>
      <c r="BO2332" s="23"/>
      <c r="BP2332" s="16"/>
      <c r="BQ2332" s="16"/>
      <c r="BR2332" s="23"/>
      <c r="BS2332" s="16"/>
      <c r="BT2332" s="16"/>
      <c r="BU2332" s="16"/>
      <c r="BV2332" s="16"/>
      <c r="BW2332" s="16"/>
      <c r="BX2332" s="16"/>
      <c r="BY2332" s="16"/>
    </row>
    <row r="2333">
      <c r="A2333" s="16"/>
      <c r="B2333" s="16"/>
      <c r="C2333" s="22"/>
      <c r="D2333" s="16"/>
      <c r="E2333" s="16"/>
      <c r="F2333" s="16"/>
      <c r="G2333" s="16"/>
      <c r="H2333" s="16"/>
      <c r="I2333" s="23"/>
      <c r="J2333" s="23"/>
      <c r="K2333" s="16"/>
      <c r="L2333" s="23"/>
      <c r="M2333" s="23"/>
      <c r="N2333" s="23"/>
      <c r="O2333" s="16"/>
      <c r="P2333" s="23"/>
      <c r="Q2333" s="23"/>
      <c r="R2333" s="23"/>
      <c r="S2333" s="16"/>
      <c r="T2333" s="23"/>
      <c r="U2333" s="23"/>
      <c r="V2333" s="23"/>
      <c r="W2333" s="16"/>
      <c r="X2333" s="23"/>
      <c r="Y2333" s="23"/>
      <c r="Z2333" s="23"/>
      <c r="AA2333" s="16"/>
      <c r="AB2333" s="23"/>
      <c r="AC2333" s="23"/>
      <c r="AD2333" s="23"/>
      <c r="AE2333" s="16"/>
      <c r="AF2333" s="23"/>
      <c r="AG2333" s="23"/>
      <c r="AH2333" s="23"/>
      <c r="AI2333" s="16"/>
      <c r="AJ2333" s="23"/>
      <c r="AK2333" s="23"/>
      <c r="AL2333" s="23"/>
      <c r="AM2333" s="16"/>
      <c r="AN2333" s="23"/>
      <c r="AO2333" s="23"/>
      <c r="AP2333" s="23"/>
      <c r="AQ2333" s="16"/>
      <c r="AR2333" s="23"/>
      <c r="AS2333" s="23"/>
      <c r="AT2333" s="23"/>
      <c r="AU2333" s="16"/>
      <c r="AV2333" s="23"/>
      <c r="AW2333" s="23"/>
      <c r="AX2333" s="23"/>
      <c r="AY2333" s="16"/>
      <c r="AZ2333" s="23"/>
      <c r="BA2333" s="23"/>
      <c r="BB2333" s="23"/>
      <c r="BC2333" s="16"/>
      <c r="BD2333" s="23"/>
      <c r="BE2333" s="23"/>
      <c r="BF2333" s="23"/>
      <c r="BG2333" s="16"/>
      <c r="BH2333" s="23"/>
      <c r="BI2333" s="23"/>
      <c r="BJ2333" s="23"/>
      <c r="BN2333" s="23"/>
      <c r="BO2333" s="23"/>
      <c r="BP2333" s="16"/>
      <c r="BQ2333" s="16"/>
      <c r="BR2333" s="23"/>
      <c r="BS2333" s="16"/>
      <c r="BT2333" s="16"/>
      <c r="BU2333" s="16"/>
      <c r="BV2333" s="16"/>
      <c r="BW2333" s="16"/>
      <c r="BX2333" s="16"/>
      <c r="BY2333" s="16"/>
    </row>
    <row r="2334">
      <c r="A2334" s="16"/>
      <c r="B2334" s="16"/>
      <c r="C2334" s="22"/>
      <c r="D2334" s="16"/>
      <c r="E2334" s="16"/>
      <c r="F2334" s="16"/>
      <c r="G2334" s="16"/>
      <c r="H2334" s="16"/>
      <c r="I2334" s="23"/>
      <c r="J2334" s="23"/>
      <c r="K2334" s="16"/>
      <c r="L2334" s="23"/>
      <c r="M2334" s="23"/>
      <c r="N2334" s="23"/>
      <c r="O2334" s="16"/>
      <c r="P2334" s="23"/>
      <c r="Q2334" s="23"/>
      <c r="R2334" s="23"/>
      <c r="S2334" s="16"/>
      <c r="T2334" s="23"/>
      <c r="U2334" s="23"/>
      <c r="V2334" s="23"/>
      <c r="W2334" s="16"/>
      <c r="X2334" s="23"/>
      <c r="Y2334" s="23"/>
      <c r="Z2334" s="23"/>
      <c r="AA2334" s="16"/>
      <c r="AB2334" s="23"/>
      <c r="AC2334" s="23"/>
      <c r="AD2334" s="23"/>
      <c r="AE2334" s="16"/>
      <c r="AF2334" s="23"/>
      <c r="AG2334" s="23"/>
      <c r="AH2334" s="23"/>
      <c r="AI2334" s="16"/>
      <c r="AJ2334" s="23"/>
      <c r="AK2334" s="23"/>
      <c r="AL2334" s="23"/>
      <c r="AM2334" s="16"/>
      <c r="AN2334" s="23"/>
      <c r="AO2334" s="23"/>
      <c r="AP2334" s="23"/>
      <c r="AQ2334" s="16"/>
      <c r="AR2334" s="23"/>
      <c r="AS2334" s="23"/>
      <c r="AT2334" s="23"/>
      <c r="AU2334" s="16"/>
      <c r="AV2334" s="23"/>
      <c r="AW2334" s="23"/>
      <c r="AX2334" s="23"/>
      <c r="AY2334" s="16"/>
      <c r="AZ2334" s="23"/>
      <c r="BA2334" s="23"/>
      <c r="BB2334" s="23"/>
      <c r="BC2334" s="16"/>
      <c r="BD2334" s="23"/>
      <c r="BE2334" s="23"/>
      <c r="BF2334" s="23"/>
      <c r="BG2334" s="16"/>
      <c r="BH2334" s="23"/>
      <c r="BI2334" s="23"/>
      <c r="BJ2334" s="23"/>
      <c r="BN2334" s="23"/>
      <c r="BO2334" s="23"/>
      <c r="BP2334" s="16"/>
      <c r="BQ2334" s="16"/>
      <c r="BR2334" s="23"/>
      <c r="BS2334" s="16"/>
      <c r="BT2334" s="16"/>
      <c r="BU2334" s="16"/>
      <c r="BV2334" s="16"/>
      <c r="BW2334" s="16"/>
      <c r="BX2334" s="16"/>
      <c r="BY2334" s="16"/>
    </row>
    <row r="2335">
      <c r="A2335" s="16"/>
      <c r="B2335" s="16"/>
      <c r="C2335" s="22"/>
      <c r="D2335" s="16"/>
      <c r="E2335" s="16"/>
      <c r="F2335" s="16"/>
      <c r="G2335" s="16"/>
      <c r="H2335" s="16"/>
      <c r="I2335" s="23"/>
      <c r="J2335" s="23"/>
      <c r="K2335" s="16"/>
      <c r="L2335" s="23"/>
      <c r="M2335" s="23"/>
      <c r="N2335" s="23"/>
      <c r="O2335" s="16"/>
      <c r="P2335" s="23"/>
      <c r="Q2335" s="23"/>
      <c r="R2335" s="23"/>
      <c r="S2335" s="16"/>
      <c r="T2335" s="23"/>
      <c r="U2335" s="23"/>
      <c r="V2335" s="23"/>
      <c r="W2335" s="16"/>
      <c r="X2335" s="23"/>
      <c r="Y2335" s="23"/>
      <c r="Z2335" s="23"/>
      <c r="AA2335" s="16"/>
      <c r="AB2335" s="23"/>
      <c r="AC2335" s="23"/>
      <c r="AD2335" s="23"/>
      <c r="AE2335" s="16"/>
      <c r="AF2335" s="23"/>
      <c r="AG2335" s="23"/>
      <c r="AH2335" s="23"/>
      <c r="AI2335" s="16"/>
      <c r="AJ2335" s="23"/>
      <c r="AK2335" s="23"/>
      <c r="AL2335" s="23"/>
      <c r="AM2335" s="16"/>
      <c r="AN2335" s="23"/>
      <c r="AO2335" s="23"/>
      <c r="AP2335" s="23"/>
      <c r="AQ2335" s="16"/>
      <c r="AR2335" s="23"/>
      <c r="AS2335" s="23"/>
      <c r="AT2335" s="23"/>
      <c r="AU2335" s="16"/>
      <c r="AV2335" s="23"/>
      <c r="AW2335" s="23"/>
      <c r="AX2335" s="23"/>
      <c r="AY2335" s="16"/>
      <c r="AZ2335" s="23"/>
      <c r="BA2335" s="23"/>
      <c r="BB2335" s="23"/>
      <c r="BC2335" s="16"/>
      <c r="BD2335" s="23"/>
      <c r="BE2335" s="23"/>
      <c r="BF2335" s="23"/>
      <c r="BG2335" s="16"/>
      <c r="BH2335" s="23"/>
      <c r="BI2335" s="23"/>
      <c r="BJ2335" s="23"/>
      <c r="BN2335" s="23"/>
      <c r="BO2335" s="23"/>
      <c r="BP2335" s="16"/>
      <c r="BQ2335" s="16"/>
      <c r="BR2335" s="23"/>
      <c r="BS2335" s="16"/>
      <c r="BT2335" s="16"/>
      <c r="BU2335" s="16"/>
      <c r="BV2335" s="16"/>
      <c r="BW2335" s="16"/>
      <c r="BX2335" s="16"/>
      <c r="BY2335" s="16"/>
    </row>
    <row r="2336">
      <c r="A2336" s="16"/>
      <c r="B2336" s="16"/>
      <c r="C2336" s="22"/>
      <c r="D2336" s="16"/>
      <c r="E2336" s="16"/>
      <c r="F2336" s="16"/>
      <c r="G2336" s="16"/>
      <c r="H2336" s="16"/>
      <c r="I2336" s="23"/>
      <c r="J2336" s="23"/>
      <c r="K2336" s="16"/>
      <c r="L2336" s="23"/>
      <c r="M2336" s="23"/>
      <c r="N2336" s="23"/>
      <c r="O2336" s="16"/>
      <c r="P2336" s="23"/>
      <c r="Q2336" s="23"/>
      <c r="R2336" s="23"/>
      <c r="S2336" s="16"/>
      <c r="T2336" s="23"/>
      <c r="U2336" s="23"/>
      <c r="V2336" s="23"/>
      <c r="W2336" s="16"/>
      <c r="X2336" s="23"/>
      <c r="Y2336" s="23"/>
      <c r="Z2336" s="23"/>
      <c r="AA2336" s="16"/>
      <c r="AB2336" s="23"/>
      <c r="AC2336" s="23"/>
      <c r="AD2336" s="23"/>
      <c r="AE2336" s="16"/>
      <c r="AF2336" s="23"/>
      <c r="AG2336" s="23"/>
      <c r="AH2336" s="23"/>
      <c r="AI2336" s="16"/>
      <c r="AJ2336" s="23"/>
      <c r="AK2336" s="23"/>
      <c r="AL2336" s="23"/>
      <c r="AM2336" s="16"/>
      <c r="AN2336" s="23"/>
      <c r="AO2336" s="23"/>
      <c r="AP2336" s="23"/>
      <c r="AQ2336" s="16"/>
      <c r="AR2336" s="23"/>
      <c r="AS2336" s="23"/>
      <c r="AT2336" s="23"/>
      <c r="AU2336" s="16"/>
      <c r="AV2336" s="23"/>
      <c r="AW2336" s="23"/>
      <c r="AX2336" s="23"/>
      <c r="AY2336" s="16"/>
      <c r="AZ2336" s="23"/>
      <c r="BA2336" s="23"/>
      <c r="BB2336" s="23"/>
      <c r="BC2336" s="16"/>
      <c r="BD2336" s="23"/>
      <c r="BE2336" s="23"/>
      <c r="BF2336" s="23"/>
      <c r="BG2336" s="16"/>
      <c r="BH2336" s="23"/>
      <c r="BI2336" s="23"/>
      <c r="BJ2336" s="23"/>
      <c r="BN2336" s="23"/>
      <c r="BO2336" s="23"/>
      <c r="BP2336" s="16"/>
      <c r="BQ2336" s="16"/>
      <c r="BR2336" s="23"/>
      <c r="BS2336" s="16"/>
      <c r="BT2336" s="16"/>
      <c r="BU2336" s="16"/>
      <c r="BV2336" s="16"/>
      <c r="BW2336" s="16"/>
      <c r="BX2336" s="16"/>
      <c r="BY2336" s="16"/>
    </row>
    <row r="2337">
      <c r="A2337" s="16"/>
      <c r="B2337" s="16"/>
      <c r="C2337" s="22"/>
      <c r="D2337" s="16"/>
      <c r="E2337" s="16"/>
      <c r="F2337" s="16"/>
      <c r="G2337" s="16"/>
      <c r="H2337" s="16"/>
      <c r="I2337" s="23"/>
      <c r="J2337" s="23"/>
      <c r="K2337" s="16"/>
      <c r="L2337" s="23"/>
      <c r="M2337" s="23"/>
      <c r="N2337" s="23"/>
      <c r="O2337" s="16"/>
      <c r="P2337" s="23"/>
      <c r="Q2337" s="23"/>
      <c r="R2337" s="23"/>
      <c r="S2337" s="16"/>
      <c r="T2337" s="23"/>
      <c r="U2337" s="23"/>
      <c r="V2337" s="23"/>
      <c r="W2337" s="16"/>
      <c r="X2337" s="23"/>
      <c r="Y2337" s="23"/>
      <c r="Z2337" s="23"/>
      <c r="AA2337" s="16"/>
      <c r="AB2337" s="23"/>
      <c r="AC2337" s="23"/>
      <c r="AD2337" s="23"/>
      <c r="AE2337" s="16"/>
      <c r="AF2337" s="23"/>
      <c r="AG2337" s="23"/>
      <c r="AH2337" s="23"/>
      <c r="AI2337" s="16"/>
      <c r="AJ2337" s="23"/>
      <c r="AK2337" s="23"/>
      <c r="AL2337" s="23"/>
      <c r="AM2337" s="16"/>
      <c r="AN2337" s="23"/>
      <c r="AO2337" s="23"/>
      <c r="AP2337" s="23"/>
      <c r="AQ2337" s="16"/>
      <c r="AR2337" s="23"/>
      <c r="AS2337" s="23"/>
      <c r="AT2337" s="23"/>
      <c r="AU2337" s="16"/>
      <c r="AV2337" s="23"/>
      <c r="AW2337" s="23"/>
      <c r="AX2337" s="23"/>
      <c r="AY2337" s="16"/>
      <c r="AZ2337" s="23"/>
      <c r="BA2337" s="23"/>
      <c r="BB2337" s="23"/>
      <c r="BC2337" s="16"/>
      <c r="BD2337" s="23"/>
      <c r="BE2337" s="23"/>
      <c r="BF2337" s="23"/>
      <c r="BG2337" s="16"/>
      <c r="BH2337" s="23"/>
      <c r="BI2337" s="23"/>
      <c r="BJ2337" s="23"/>
      <c r="BN2337" s="23"/>
      <c r="BO2337" s="23"/>
      <c r="BP2337" s="16"/>
      <c r="BQ2337" s="16"/>
      <c r="BR2337" s="23"/>
      <c r="BS2337" s="16"/>
      <c r="BT2337" s="16"/>
      <c r="BU2337" s="16"/>
      <c r="BV2337" s="16"/>
      <c r="BW2337" s="16"/>
      <c r="BX2337" s="16"/>
      <c r="BY2337" s="16"/>
    </row>
    <row r="2338">
      <c r="A2338" s="16"/>
      <c r="B2338" s="16"/>
      <c r="C2338" s="22"/>
      <c r="D2338" s="16"/>
      <c r="E2338" s="16"/>
      <c r="F2338" s="16"/>
      <c r="G2338" s="16"/>
      <c r="H2338" s="16"/>
      <c r="I2338" s="23"/>
      <c r="J2338" s="23"/>
      <c r="K2338" s="16"/>
      <c r="L2338" s="23"/>
      <c r="M2338" s="23"/>
      <c r="N2338" s="23"/>
      <c r="O2338" s="16"/>
      <c r="P2338" s="23"/>
      <c r="Q2338" s="23"/>
      <c r="R2338" s="23"/>
      <c r="S2338" s="16"/>
      <c r="T2338" s="23"/>
      <c r="U2338" s="23"/>
      <c r="V2338" s="23"/>
      <c r="W2338" s="16"/>
      <c r="X2338" s="23"/>
      <c r="Y2338" s="23"/>
      <c r="Z2338" s="23"/>
      <c r="AA2338" s="16"/>
      <c r="AB2338" s="23"/>
      <c r="AC2338" s="23"/>
      <c r="AD2338" s="23"/>
      <c r="AE2338" s="16"/>
      <c r="AF2338" s="23"/>
      <c r="AG2338" s="23"/>
      <c r="AH2338" s="23"/>
      <c r="AI2338" s="16"/>
      <c r="AJ2338" s="23"/>
      <c r="AK2338" s="23"/>
      <c r="AL2338" s="23"/>
      <c r="AM2338" s="16"/>
      <c r="AN2338" s="23"/>
      <c r="AO2338" s="23"/>
      <c r="AP2338" s="23"/>
      <c r="AQ2338" s="16"/>
      <c r="AR2338" s="23"/>
      <c r="AS2338" s="23"/>
      <c r="AT2338" s="23"/>
      <c r="AU2338" s="16"/>
      <c r="AV2338" s="23"/>
      <c r="AW2338" s="23"/>
      <c r="AX2338" s="23"/>
      <c r="AY2338" s="16"/>
      <c r="AZ2338" s="23"/>
      <c r="BA2338" s="23"/>
      <c r="BB2338" s="23"/>
      <c r="BC2338" s="16"/>
      <c r="BD2338" s="23"/>
      <c r="BE2338" s="23"/>
      <c r="BF2338" s="23"/>
      <c r="BG2338" s="16"/>
      <c r="BH2338" s="23"/>
      <c r="BI2338" s="23"/>
      <c r="BJ2338" s="23"/>
      <c r="BN2338" s="23"/>
      <c r="BO2338" s="23"/>
      <c r="BP2338" s="16"/>
      <c r="BQ2338" s="16"/>
      <c r="BR2338" s="23"/>
      <c r="BS2338" s="16"/>
      <c r="BT2338" s="16"/>
      <c r="BU2338" s="16"/>
      <c r="BV2338" s="16"/>
      <c r="BW2338" s="16"/>
      <c r="BX2338" s="16"/>
      <c r="BY2338" s="16"/>
    </row>
    <row r="2339">
      <c r="A2339" s="16"/>
      <c r="B2339" s="16"/>
      <c r="C2339" s="22"/>
      <c r="D2339" s="16"/>
      <c r="E2339" s="16"/>
      <c r="F2339" s="16"/>
      <c r="G2339" s="16"/>
      <c r="H2339" s="16"/>
      <c r="I2339" s="23"/>
      <c r="J2339" s="23"/>
      <c r="K2339" s="16"/>
      <c r="L2339" s="23"/>
      <c r="M2339" s="23"/>
      <c r="N2339" s="23"/>
      <c r="O2339" s="16"/>
      <c r="P2339" s="23"/>
      <c r="Q2339" s="23"/>
      <c r="R2339" s="23"/>
      <c r="S2339" s="16"/>
      <c r="T2339" s="23"/>
      <c r="U2339" s="23"/>
      <c r="V2339" s="23"/>
      <c r="W2339" s="16"/>
      <c r="X2339" s="23"/>
      <c r="Y2339" s="23"/>
      <c r="Z2339" s="23"/>
      <c r="AA2339" s="16"/>
      <c r="AB2339" s="23"/>
      <c r="AC2339" s="23"/>
      <c r="AD2339" s="23"/>
      <c r="AE2339" s="16"/>
      <c r="AF2339" s="23"/>
      <c r="AG2339" s="23"/>
      <c r="AH2339" s="23"/>
      <c r="AI2339" s="16"/>
      <c r="AJ2339" s="23"/>
      <c r="AK2339" s="23"/>
      <c r="AL2339" s="23"/>
      <c r="AM2339" s="16"/>
      <c r="AN2339" s="23"/>
      <c r="AO2339" s="23"/>
      <c r="AP2339" s="23"/>
      <c r="AQ2339" s="16"/>
      <c r="AR2339" s="23"/>
      <c r="AS2339" s="23"/>
      <c r="AT2339" s="23"/>
      <c r="AU2339" s="16"/>
      <c r="AV2339" s="23"/>
      <c r="AW2339" s="23"/>
      <c r="AX2339" s="23"/>
      <c r="AY2339" s="16"/>
      <c r="AZ2339" s="23"/>
      <c r="BA2339" s="23"/>
      <c r="BB2339" s="23"/>
      <c r="BC2339" s="16"/>
      <c r="BD2339" s="23"/>
      <c r="BE2339" s="23"/>
      <c r="BF2339" s="23"/>
      <c r="BG2339" s="16"/>
      <c r="BH2339" s="23"/>
      <c r="BI2339" s="23"/>
      <c r="BJ2339" s="23"/>
      <c r="BN2339" s="23"/>
      <c r="BO2339" s="23"/>
      <c r="BP2339" s="16"/>
      <c r="BQ2339" s="16"/>
      <c r="BR2339" s="23"/>
      <c r="BS2339" s="16"/>
      <c r="BT2339" s="16"/>
      <c r="BU2339" s="16"/>
      <c r="BV2339" s="16"/>
      <c r="BW2339" s="16"/>
      <c r="BX2339" s="16"/>
      <c r="BY2339" s="16"/>
    </row>
    <row r="2340">
      <c r="A2340" s="16"/>
      <c r="B2340" s="16"/>
      <c r="C2340" s="22"/>
      <c r="D2340" s="16"/>
      <c r="E2340" s="16"/>
      <c r="F2340" s="16"/>
      <c r="G2340" s="16"/>
      <c r="H2340" s="16"/>
      <c r="I2340" s="23"/>
      <c r="J2340" s="23"/>
      <c r="K2340" s="16"/>
      <c r="L2340" s="23"/>
      <c r="M2340" s="23"/>
      <c r="N2340" s="23"/>
      <c r="O2340" s="16"/>
      <c r="P2340" s="23"/>
      <c r="Q2340" s="23"/>
      <c r="R2340" s="23"/>
      <c r="S2340" s="16"/>
      <c r="T2340" s="23"/>
      <c r="U2340" s="23"/>
      <c r="V2340" s="23"/>
      <c r="W2340" s="16"/>
      <c r="X2340" s="23"/>
      <c r="Y2340" s="23"/>
      <c r="Z2340" s="23"/>
      <c r="AA2340" s="16"/>
      <c r="AB2340" s="23"/>
      <c r="AC2340" s="23"/>
      <c r="AD2340" s="23"/>
      <c r="AE2340" s="16"/>
      <c r="AF2340" s="23"/>
      <c r="AG2340" s="23"/>
      <c r="AH2340" s="23"/>
      <c r="AI2340" s="16"/>
      <c r="AJ2340" s="23"/>
      <c r="AK2340" s="23"/>
      <c r="AL2340" s="23"/>
      <c r="AM2340" s="16"/>
      <c r="AN2340" s="23"/>
      <c r="AO2340" s="23"/>
      <c r="AP2340" s="23"/>
      <c r="AQ2340" s="16"/>
      <c r="AR2340" s="23"/>
      <c r="AS2340" s="23"/>
      <c r="AT2340" s="23"/>
      <c r="AU2340" s="16"/>
      <c r="AV2340" s="23"/>
      <c r="AW2340" s="23"/>
      <c r="AX2340" s="23"/>
      <c r="AY2340" s="16"/>
      <c r="AZ2340" s="23"/>
      <c r="BA2340" s="23"/>
      <c r="BB2340" s="23"/>
      <c r="BC2340" s="16"/>
      <c r="BD2340" s="23"/>
      <c r="BE2340" s="23"/>
      <c r="BF2340" s="23"/>
      <c r="BG2340" s="16"/>
      <c r="BH2340" s="23"/>
      <c r="BI2340" s="23"/>
      <c r="BJ2340" s="23"/>
      <c r="BN2340" s="23"/>
      <c r="BO2340" s="23"/>
      <c r="BP2340" s="16"/>
      <c r="BQ2340" s="16"/>
      <c r="BR2340" s="23"/>
      <c r="BS2340" s="16"/>
      <c r="BT2340" s="16"/>
      <c r="BU2340" s="16"/>
      <c r="BV2340" s="16"/>
      <c r="BW2340" s="16"/>
      <c r="BX2340" s="16"/>
      <c r="BY2340" s="16"/>
    </row>
    <row r="2341">
      <c r="A2341" s="16"/>
      <c r="B2341" s="16"/>
      <c r="C2341" s="22"/>
      <c r="D2341" s="16"/>
      <c r="E2341" s="16"/>
      <c r="F2341" s="16"/>
      <c r="G2341" s="16"/>
      <c r="H2341" s="16"/>
      <c r="I2341" s="23"/>
      <c r="J2341" s="23"/>
      <c r="K2341" s="16"/>
      <c r="L2341" s="23"/>
      <c r="M2341" s="23"/>
      <c r="N2341" s="23"/>
      <c r="O2341" s="16"/>
      <c r="P2341" s="23"/>
      <c r="Q2341" s="23"/>
      <c r="R2341" s="23"/>
      <c r="S2341" s="16"/>
      <c r="T2341" s="23"/>
      <c r="U2341" s="23"/>
      <c r="V2341" s="23"/>
      <c r="W2341" s="16"/>
      <c r="X2341" s="23"/>
      <c r="Y2341" s="23"/>
      <c r="Z2341" s="23"/>
      <c r="AA2341" s="16"/>
      <c r="AB2341" s="23"/>
      <c r="AC2341" s="23"/>
      <c r="AD2341" s="23"/>
      <c r="AE2341" s="16"/>
      <c r="AF2341" s="23"/>
      <c r="AG2341" s="23"/>
      <c r="AH2341" s="23"/>
      <c r="AI2341" s="16"/>
      <c r="AJ2341" s="23"/>
      <c r="AK2341" s="23"/>
      <c r="AL2341" s="23"/>
      <c r="AM2341" s="16"/>
      <c r="AN2341" s="23"/>
      <c r="AO2341" s="23"/>
      <c r="AP2341" s="23"/>
      <c r="AQ2341" s="16"/>
      <c r="AR2341" s="23"/>
      <c r="AS2341" s="23"/>
      <c r="AT2341" s="23"/>
      <c r="AU2341" s="16"/>
      <c r="AV2341" s="23"/>
      <c r="AW2341" s="23"/>
      <c r="AX2341" s="23"/>
      <c r="AY2341" s="16"/>
      <c r="AZ2341" s="23"/>
      <c r="BA2341" s="23"/>
      <c r="BB2341" s="23"/>
      <c r="BC2341" s="16"/>
      <c r="BD2341" s="23"/>
      <c r="BE2341" s="23"/>
      <c r="BF2341" s="23"/>
      <c r="BG2341" s="16"/>
      <c r="BH2341" s="23"/>
      <c r="BI2341" s="23"/>
      <c r="BJ2341" s="23"/>
      <c r="BN2341" s="23"/>
      <c r="BO2341" s="23"/>
      <c r="BP2341" s="16"/>
      <c r="BQ2341" s="16"/>
      <c r="BR2341" s="23"/>
      <c r="BS2341" s="16"/>
      <c r="BT2341" s="16"/>
      <c r="BU2341" s="16"/>
      <c r="BV2341" s="16"/>
      <c r="BW2341" s="16"/>
      <c r="BX2341" s="16"/>
      <c r="BY2341" s="16"/>
    </row>
    <row r="2342">
      <c r="A2342" s="16"/>
      <c r="B2342" s="16"/>
      <c r="C2342" s="22"/>
      <c r="D2342" s="16"/>
      <c r="E2342" s="16"/>
      <c r="F2342" s="16"/>
      <c r="G2342" s="16"/>
      <c r="H2342" s="16"/>
      <c r="I2342" s="23"/>
      <c r="J2342" s="23"/>
      <c r="K2342" s="16"/>
      <c r="L2342" s="23"/>
      <c r="M2342" s="23"/>
      <c r="N2342" s="23"/>
      <c r="O2342" s="16"/>
      <c r="P2342" s="23"/>
      <c r="Q2342" s="23"/>
      <c r="R2342" s="23"/>
      <c r="S2342" s="16"/>
      <c r="T2342" s="23"/>
      <c r="U2342" s="23"/>
      <c r="V2342" s="23"/>
      <c r="W2342" s="16"/>
      <c r="X2342" s="23"/>
      <c r="Y2342" s="23"/>
      <c r="Z2342" s="23"/>
      <c r="AA2342" s="16"/>
      <c r="AB2342" s="23"/>
      <c r="AC2342" s="23"/>
      <c r="AD2342" s="23"/>
      <c r="AE2342" s="16"/>
      <c r="AF2342" s="23"/>
      <c r="AG2342" s="23"/>
      <c r="AH2342" s="23"/>
      <c r="AI2342" s="16"/>
      <c r="AJ2342" s="23"/>
      <c r="AK2342" s="23"/>
      <c r="AL2342" s="23"/>
      <c r="AM2342" s="16"/>
      <c r="AN2342" s="23"/>
      <c r="AO2342" s="23"/>
      <c r="AP2342" s="23"/>
      <c r="AQ2342" s="16"/>
      <c r="AR2342" s="23"/>
      <c r="AS2342" s="23"/>
      <c r="AT2342" s="23"/>
      <c r="AU2342" s="16"/>
      <c r="AV2342" s="23"/>
      <c r="AW2342" s="23"/>
      <c r="AX2342" s="23"/>
      <c r="AY2342" s="16"/>
      <c r="AZ2342" s="23"/>
      <c r="BA2342" s="23"/>
      <c r="BB2342" s="23"/>
      <c r="BC2342" s="16"/>
      <c r="BD2342" s="23"/>
      <c r="BE2342" s="23"/>
      <c r="BF2342" s="23"/>
      <c r="BG2342" s="16"/>
      <c r="BH2342" s="23"/>
      <c r="BI2342" s="23"/>
      <c r="BJ2342" s="23"/>
      <c r="BN2342" s="23"/>
      <c r="BO2342" s="23"/>
      <c r="BP2342" s="16"/>
      <c r="BQ2342" s="16"/>
      <c r="BR2342" s="23"/>
      <c r="BS2342" s="16"/>
      <c r="BT2342" s="16"/>
      <c r="BU2342" s="16"/>
      <c r="BV2342" s="16"/>
      <c r="BW2342" s="16"/>
      <c r="BX2342" s="16"/>
      <c r="BY2342" s="16"/>
    </row>
    <row r="2343">
      <c r="A2343" s="16"/>
      <c r="B2343" s="16"/>
      <c r="C2343" s="22"/>
      <c r="D2343" s="16"/>
      <c r="E2343" s="16"/>
      <c r="F2343" s="16"/>
      <c r="G2343" s="16"/>
      <c r="H2343" s="16"/>
      <c r="I2343" s="23"/>
      <c r="J2343" s="23"/>
      <c r="K2343" s="16"/>
      <c r="L2343" s="23"/>
      <c r="M2343" s="23"/>
      <c r="N2343" s="23"/>
      <c r="O2343" s="16"/>
      <c r="P2343" s="23"/>
      <c r="Q2343" s="23"/>
      <c r="R2343" s="23"/>
      <c r="S2343" s="16"/>
      <c r="T2343" s="23"/>
      <c r="U2343" s="23"/>
      <c r="V2343" s="23"/>
      <c r="W2343" s="16"/>
      <c r="X2343" s="23"/>
      <c r="Y2343" s="23"/>
      <c r="Z2343" s="23"/>
      <c r="AA2343" s="16"/>
      <c r="AB2343" s="23"/>
      <c r="AC2343" s="23"/>
      <c r="AD2343" s="23"/>
      <c r="AE2343" s="16"/>
      <c r="AF2343" s="23"/>
      <c r="AG2343" s="23"/>
      <c r="AH2343" s="23"/>
      <c r="AI2343" s="16"/>
      <c r="AJ2343" s="23"/>
      <c r="AK2343" s="23"/>
      <c r="AL2343" s="23"/>
      <c r="AM2343" s="16"/>
      <c r="AN2343" s="23"/>
      <c r="AO2343" s="23"/>
      <c r="AP2343" s="23"/>
      <c r="AQ2343" s="16"/>
      <c r="AR2343" s="23"/>
      <c r="AS2343" s="23"/>
      <c r="AT2343" s="23"/>
      <c r="AU2343" s="16"/>
      <c r="AV2343" s="23"/>
      <c r="AW2343" s="23"/>
      <c r="AX2343" s="23"/>
      <c r="AY2343" s="16"/>
      <c r="AZ2343" s="23"/>
      <c r="BA2343" s="23"/>
      <c r="BB2343" s="23"/>
      <c r="BC2343" s="16"/>
      <c r="BD2343" s="23"/>
      <c r="BE2343" s="23"/>
      <c r="BF2343" s="23"/>
      <c r="BG2343" s="16"/>
      <c r="BH2343" s="23"/>
      <c r="BI2343" s="23"/>
      <c r="BJ2343" s="23"/>
      <c r="BN2343" s="23"/>
      <c r="BO2343" s="23"/>
      <c r="BP2343" s="16"/>
      <c r="BQ2343" s="16"/>
      <c r="BR2343" s="23"/>
      <c r="BS2343" s="16"/>
      <c r="BT2343" s="16"/>
      <c r="BU2343" s="16"/>
      <c r="BV2343" s="16"/>
      <c r="BW2343" s="16"/>
      <c r="BX2343" s="16"/>
      <c r="BY2343" s="16"/>
    </row>
    <row r="2344">
      <c r="A2344" s="16"/>
      <c r="B2344" s="16"/>
      <c r="C2344" s="22"/>
      <c r="D2344" s="16"/>
      <c r="E2344" s="16"/>
      <c r="F2344" s="16"/>
      <c r="G2344" s="16"/>
      <c r="H2344" s="16"/>
      <c r="I2344" s="23"/>
      <c r="J2344" s="23"/>
      <c r="K2344" s="16"/>
      <c r="L2344" s="23"/>
      <c r="M2344" s="23"/>
      <c r="N2344" s="23"/>
      <c r="O2344" s="16"/>
      <c r="P2344" s="23"/>
      <c r="Q2344" s="23"/>
      <c r="R2344" s="23"/>
      <c r="S2344" s="16"/>
      <c r="T2344" s="23"/>
      <c r="U2344" s="23"/>
      <c r="V2344" s="23"/>
      <c r="W2344" s="16"/>
      <c r="X2344" s="23"/>
      <c r="Y2344" s="23"/>
      <c r="Z2344" s="23"/>
      <c r="AA2344" s="16"/>
      <c r="AB2344" s="23"/>
      <c r="AC2344" s="23"/>
      <c r="AD2344" s="23"/>
      <c r="AE2344" s="16"/>
      <c r="AF2344" s="23"/>
      <c r="AG2344" s="23"/>
      <c r="AH2344" s="23"/>
      <c r="AI2344" s="16"/>
      <c r="AJ2344" s="23"/>
      <c r="AK2344" s="23"/>
      <c r="AL2344" s="23"/>
      <c r="AM2344" s="16"/>
      <c r="AN2344" s="23"/>
      <c r="AO2344" s="23"/>
      <c r="AP2344" s="23"/>
      <c r="AQ2344" s="16"/>
      <c r="AR2344" s="23"/>
      <c r="AS2344" s="23"/>
      <c r="AT2344" s="23"/>
      <c r="AU2344" s="16"/>
      <c r="AV2344" s="23"/>
      <c r="AW2344" s="23"/>
      <c r="AX2344" s="23"/>
      <c r="AY2344" s="16"/>
      <c r="AZ2344" s="23"/>
      <c r="BA2344" s="23"/>
      <c r="BB2344" s="23"/>
      <c r="BC2344" s="16"/>
      <c r="BD2344" s="23"/>
      <c r="BE2344" s="23"/>
      <c r="BF2344" s="23"/>
      <c r="BG2344" s="16"/>
      <c r="BH2344" s="23"/>
      <c r="BI2344" s="23"/>
      <c r="BJ2344" s="23"/>
      <c r="BN2344" s="23"/>
      <c r="BO2344" s="23"/>
      <c r="BP2344" s="16"/>
      <c r="BQ2344" s="16"/>
      <c r="BR2344" s="23"/>
      <c r="BS2344" s="16"/>
      <c r="BT2344" s="16"/>
      <c r="BU2344" s="16"/>
      <c r="BV2344" s="16"/>
      <c r="BW2344" s="16"/>
      <c r="BX2344" s="16"/>
      <c r="BY2344" s="16"/>
    </row>
    <row r="2345">
      <c r="A2345" s="16"/>
      <c r="B2345" s="16"/>
      <c r="C2345" s="22"/>
      <c r="D2345" s="16"/>
      <c r="E2345" s="16"/>
      <c r="F2345" s="16"/>
      <c r="G2345" s="16"/>
      <c r="H2345" s="16"/>
      <c r="I2345" s="23"/>
      <c r="J2345" s="23"/>
      <c r="K2345" s="16"/>
      <c r="L2345" s="23"/>
      <c r="M2345" s="23"/>
      <c r="N2345" s="23"/>
      <c r="O2345" s="16"/>
      <c r="P2345" s="23"/>
      <c r="Q2345" s="23"/>
      <c r="R2345" s="23"/>
      <c r="S2345" s="16"/>
      <c r="T2345" s="23"/>
      <c r="U2345" s="23"/>
      <c r="V2345" s="23"/>
      <c r="W2345" s="16"/>
      <c r="X2345" s="23"/>
      <c r="Y2345" s="23"/>
      <c r="Z2345" s="23"/>
      <c r="AA2345" s="16"/>
      <c r="AB2345" s="23"/>
      <c r="AC2345" s="23"/>
      <c r="AD2345" s="23"/>
      <c r="AE2345" s="16"/>
      <c r="AF2345" s="23"/>
      <c r="AG2345" s="23"/>
      <c r="AH2345" s="23"/>
      <c r="AI2345" s="16"/>
      <c r="AJ2345" s="23"/>
      <c r="AK2345" s="23"/>
      <c r="AL2345" s="23"/>
      <c r="AM2345" s="16"/>
      <c r="AN2345" s="23"/>
      <c r="AO2345" s="23"/>
      <c r="AP2345" s="23"/>
      <c r="AQ2345" s="16"/>
      <c r="AR2345" s="23"/>
      <c r="AS2345" s="23"/>
      <c r="AT2345" s="23"/>
      <c r="AU2345" s="16"/>
      <c r="AV2345" s="23"/>
      <c r="AW2345" s="23"/>
      <c r="AX2345" s="23"/>
      <c r="AY2345" s="16"/>
      <c r="AZ2345" s="23"/>
      <c r="BA2345" s="23"/>
      <c r="BB2345" s="23"/>
      <c r="BC2345" s="16"/>
      <c r="BD2345" s="23"/>
      <c r="BE2345" s="23"/>
      <c r="BF2345" s="23"/>
      <c r="BG2345" s="16"/>
      <c r="BH2345" s="23"/>
      <c r="BI2345" s="23"/>
      <c r="BJ2345" s="23"/>
      <c r="BN2345" s="23"/>
      <c r="BO2345" s="23"/>
      <c r="BP2345" s="16"/>
      <c r="BQ2345" s="16"/>
      <c r="BR2345" s="23"/>
      <c r="BS2345" s="16"/>
      <c r="BT2345" s="16"/>
      <c r="BU2345" s="16"/>
      <c r="BV2345" s="16"/>
      <c r="BW2345" s="16"/>
      <c r="BX2345" s="16"/>
      <c r="BY2345" s="16"/>
    </row>
    <row r="2346">
      <c r="A2346" s="16"/>
      <c r="B2346" s="16"/>
      <c r="C2346" s="22"/>
      <c r="D2346" s="16"/>
      <c r="E2346" s="16"/>
      <c r="F2346" s="16"/>
      <c r="G2346" s="16"/>
      <c r="H2346" s="16"/>
      <c r="I2346" s="23"/>
      <c r="J2346" s="23"/>
      <c r="K2346" s="16"/>
      <c r="L2346" s="23"/>
      <c r="M2346" s="23"/>
      <c r="N2346" s="23"/>
      <c r="O2346" s="16"/>
      <c r="P2346" s="23"/>
      <c r="Q2346" s="23"/>
      <c r="R2346" s="23"/>
      <c r="S2346" s="16"/>
      <c r="T2346" s="23"/>
      <c r="U2346" s="23"/>
      <c r="V2346" s="23"/>
      <c r="W2346" s="16"/>
      <c r="X2346" s="23"/>
      <c r="Y2346" s="23"/>
      <c r="Z2346" s="23"/>
      <c r="AA2346" s="16"/>
      <c r="AB2346" s="23"/>
      <c r="AC2346" s="23"/>
      <c r="AD2346" s="23"/>
      <c r="AE2346" s="16"/>
      <c r="AF2346" s="23"/>
      <c r="AG2346" s="23"/>
      <c r="AH2346" s="23"/>
      <c r="AI2346" s="16"/>
      <c r="AJ2346" s="23"/>
      <c r="AK2346" s="23"/>
      <c r="AL2346" s="23"/>
      <c r="AM2346" s="16"/>
      <c r="AN2346" s="23"/>
      <c r="AO2346" s="23"/>
      <c r="AP2346" s="23"/>
      <c r="AQ2346" s="16"/>
      <c r="AR2346" s="23"/>
      <c r="AS2346" s="23"/>
      <c r="AT2346" s="23"/>
      <c r="AU2346" s="16"/>
      <c r="AV2346" s="23"/>
      <c r="AW2346" s="23"/>
      <c r="AX2346" s="23"/>
      <c r="AY2346" s="16"/>
      <c r="AZ2346" s="23"/>
      <c r="BA2346" s="23"/>
      <c r="BB2346" s="23"/>
      <c r="BC2346" s="16"/>
      <c r="BD2346" s="23"/>
      <c r="BE2346" s="23"/>
      <c r="BF2346" s="23"/>
      <c r="BG2346" s="16"/>
      <c r="BH2346" s="23"/>
      <c r="BI2346" s="23"/>
      <c r="BJ2346" s="23"/>
      <c r="BN2346" s="23"/>
      <c r="BO2346" s="23"/>
      <c r="BP2346" s="16"/>
      <c r="BQ2346" s="16"/>
      <c r="BR2346" s="23"/>
      <c r="BS2346" s="16"/>
      <c r="BT2346" s="16"/>
      <c r="BU2346" s="16"/>
      <c r="BV2346" s="16"/>
      <c r="BW2346" s="16"/>
      <c r="BX2346" s="16"/>
      <c r="BY2346" s="16"/>
    </row>
    <row r="2347">
      <c r="A2347" s="16"/>
      <c r="B2347" s="16"/>
      <c r="C2347" s="22"/>
      <c r="D2347" s="16"/>
      <c r="E2347" s="16"/>
      <c r="F2347" s="16"/>
      <c r="G2347" s="16"/>
      <c r="H2347" s="16"/>
      <c r="I2347" s="23"/>
      <c r="J2347" s="23"/>
      <c r="K2347" s="16"/>
      <c r="L2347" s="23"/>
      <c r="M2347" s="23"/>
      <c r="N2347" s="23"/>
      <c r="O2347" s="16"/>
      <c r="P2347" s="23"/>
      <c r="Q2347" s="23"/>
      <c r="R2347" s="23"/>
      <c r="S2347" s="16"/>
      <c r="T2347" s="23"/>
      <c r="U2347" s="23"/>
      <c r="V2347" s="23"/>
      <c r="W2347" s="16"/>
      <c r="X2347" s="23"/>
      <c r="Y2347" s="23"/>
      <c r="Z2347" s="23"/>
      <c r="AA2347" s="16"/>
      <c r="AB2347" s="23"/>
      <c r="AC2347" s="23"/>
      <c r="AD2347" s="23"/>
      <c r="AE2347" s="16"/>
      <c r="AF2347" s="23"/>
      <c r="AG2347" s="23"/>
      <c r="AH2347" s="23"/>
      <c r="AI2347" s="16"/>
      <c r="AJ2347" s="23"/>
      <c r="AK2347" s="23"/>
      <c r="AL2347" s="23"/>
      <c r="AM2347" s="16"/>
      <c r="AN2347" s="23"/>
      <c r="AO2347" s="23"/>
      <c r="AP2347" s="23"/>
      <c r="AQ2347" s="16"/>
      <c r="AR2347" s="23"/>
      <c r="AS2347" s="23"/>
      <c r="AT2347" s="23"/>
      <c r="AU2347" s="16"/>
      <c r="AV2347" s="23"/>
      <c r="AW2347" s="23"/>
      <c r="AX2347" s="23"/>
      <c r="AY2347" s="16"/>
      <c r="AZ2347" s="23"/>
      <c r="BA2347" s="23"/>
      <c r="BB2347" s="23"/>
      <c r="BC2347" s="16"/>
      <c r="BD2347" s="23"/>
      <c r="BE2347" s="23"/>
      <c r="BF2347" s="23"/>
      <c r="BG2347" s="16"/>
      <c r="BH2347" s="23"/>
      <c r="BI2347" s="23"/>
      <c r="BJ2347" s="23"/>
      <c r="BN2347" s="23"/>
      <c r="BO2347" s="23"/>
      <c r="BP2347" s="16"/>
      <c r="BQ2347" s="16"/>
      <c r="BR2347" s="23"/>
      <c r="BS2347" s="16"/>
      <c r="BT2347" s="16"/>
      <c r="BU2347" s="16"/>
      <c r="BV2347" s="16"/>
      <c r="BW2347" s="16"/>
      <c r="BX2347" s="16"/>
      <c r="BY2347" s="16"/>
    </row>
    <row r="2348">
      <c r="A2348" s="16"/>
      <c r="B2348" s="16"/>
      <c r="C2348" s="22"/>
      <c r="D2348" s="16"/>
      <c r="E2348" s="16"/>
      <c r="F2348" s="16"/>
      <c r="G2348" s="16"/>
      <c r="H2348" s="16"/>
      <c r="I2348" s="23"/>
      <c r="J2348" s="23"/>
      <c r="K2348" s="16"/>
      <c r="L2348" s="23"/>
      <c r="M2348" s="23"/>
      <c r="N2348" s="23"/>
      <c r="O2348" s="16"/>
      <c r="P2348" s="23"/>
      <c r="Q2348" s="23"/>
      <c r="R2348" s="23"/>
      <c r="S2348" s="16"/>
      <c r="T2348" s="23"/>
      <c r="U2348" s="23"/>
      <c r="V2348" s="23"/>
      <c r="W2348" s="16"/>
      <c r="X2348" s="23"/>
      <c r="Y2348" s="23"/>
      <c r="Z2348" s="23"/>
      <c r="AA2348" s="16"/>
      <c r="AB2348" s="23"/>
      <c r="AC2348" s="23"/>
      <c r="AD2348" s="23"/>
      <c r="AE2348" s="16"/>
      <c r="AF2348" s="23"/>
      <c r="AG2348" s="23"/>
      <c r="AH2348" s="23"/>
      <c r="AI2348" s="16"/>
      <c r="AJ2348" s="23"/>
      <c r="AK2348" s="23"/>
      <c r="AL2348" s="23"/>
      <c r="AM2348" s="16"/>
      <c r="AN2348" s="23"/>
      <c r="AO2348" s="23"/>
      <c r="AP2348" s="23"/>
      <c r="AQ2348" s="16"/>
      <c r="AR2348" s="23"/>
      <c r="AS2348" s="23"/>
      <c r="AT2348" s="23"/>
      <c r="AU2348" s="16"/>
      <c r="AV2348" s="23"/>
      <c r="AW2348" s="23"/>
      <c r="AX2348" s="23"/>
      <c r="AY2348" s="16"/>
      <c r="AZ2348" s="23"/>
      <c r="BA2348" s="23"/>
      <c r="BB2348" s="23"/>
      <c r="BC2348" s="16"/>
      <c r="BD2348" s="23"/>
      <c r="BE2348" s="23"/>
      <c r="BF2348" s="23"/>
      <c r="BG2348" s="16"/>
      <c r="BH2348" s="23"/>
      <c r="BI2348" s="23"/>
      <c r="BJ2348" s="23"/>
      <c r="BN2348" s="23"/>
      <c r="BO2348" s="23"/>
      <c r="BP2348" s="16"/>
      <c r="BQ2348" s="16"/>
      <c r="BR2348" s="23"/>
      <c r="BS2348" s="16"/>
      <c r="BT2348" s="16"/>
      <c r="BU2348" s="16"/>
      <c r="BV2348" s="16"/>
      <c r="BW2348" s="16"/>
      <c r="BX2348" s="16"/>
      <c r="BY2348" s="16"/>
    </row>
    <row r="2349">
      <c r="A2349" s="16"/>
      <c r="B2349" s="16"/>
      <c r="C2349" s="22"/>
      <c r="D2349" s="16"/>
      <c r="E2349" s="16"/>
      <c r="F2349" s="16"/>
      <c r="G2349" s="16"/>
      <c r="H2349" s="16"/>
      <c r="I2349" s="23"/>
      <c r="J2349" s="23"/>
      <c r="K2349" s="16"/>
      <c r="L2349" s="23"/>
      <c r="M2349" s="23"/>
      <c r="N2349" s="23"/>
      <c r="O2349" s="16"/>
      <c r="P2349" s="23"/>
      <c r="Q2349" s="23"/>
      <c r="R2349" s="23"/>
      <c r="S2349" s="16"/>
      <c r="T2349" s="23"/>
      <c r="U2349" s="23"/>
      <c r="V2349" s="23"/>
      <c r="W2349" s="16"/>
      <c r="X2349" s="23"/>
      <c r="Y2349" s="23"/>
      <c r="Z2349" s="23"/>
      <c r="AA2349" s="16"/>
      <c r="AB2349" s="23"/>
      <c r="AC2349" s="23"/>
      <c r="AD2349" s="23"/>
      <c r="AE2349" s="16"/>
      <c r="AF2349" s="23"/>
      <c r="AG2349" s="23"/>
      <c r="AH2349" s="23"/>
      <c r="AI2349" s="16"/>
      <c r="AJ2349" s="23"/>
      <c r="AK2349" s="23"/>
      <c r="AL2349" s="23"/>
      <c r="AM2349" s="16"/>
      <c r="AN2349" s="23"/>
      <c r="AO2349" s="23"/>
      <c r="AP2349" s="23"/>
      <c r="AQ2349" s="16"/>
      <c r="AR2349" s="23"/>
      <c r="AS2349" s="23"/>
      <c r="AT2349" s="23"/>
      <c r="AU2349" s="16"/>
      <c r="AV2349" s="23"/>
      <c r="AW2349" s="23"/>
      <c r="AX2349" s="23"/>
      <c r="AY2349" s="16"/>
      <c r="AZ2349" s="23"/>
      <c r="BA2349" s="23"/>
      <c r="BB2349" s="23"/>
      <c r="BC2349" s="16"/>
      <c r="BD2349" s="23"/>
      <c r="BE2349" s="23"/>
      <c r="BF2349" s="23"/>
      <c r="BG2349" s="16"/>
      <c r="BH2349" s="23"/>
      <c r="BI2349" s="23"/>
      <c r="BJ2349" s="23"/>
      <c r="BN2349" s="23"/>
      <c r="BO2349" s="23"/>
      <c r="BP2349" s="16"/>
      <c r="BQ2349" s="16"/>
      <c r="BR2349" s="23"/>
      <c r="BS2349" s="16"/>
      <c r="BT2349" s="16"/>
      <c r="BU2349" s="16"/>
      <c r="BV2349" s="16"/>
      <c r="BW2349" s="16"/>
      <c r="BX2349" s="16"/>
      <c r="BY2349" s="16"/>
    </row>
    <row r="2350">
      <c r="A2350" s="16"/>
      <c r="B2350" s="16"/>
      <c r="C2350" s="22"/>
      <c r="D2350" s="16"/>
      <c r="E2350" s="16"/>
      <c r="F2350" s="16"/>
      <c r="G2350" s="16"/>
      <c r="H2350" s="16"/>
      <c r="I2350" s="23"/>
      <c r="J2350" s="23"/>
      <c r="K2350" s="16"/>
      <c r="L2350" s="23"/>
      <c r="M2350" s="23"/>
      <c r="N2350" s="23"/>
      <c r="O2350" s="16"/>
      <c r="P2350" s="23"/>
      <c r="Q2350" s="23"/>
      <c r="R2350" s="23"/>
      <c r="S2350" s="16"/>
      <c r="T2350" s="23"/>
      <c r="U2350" s="23"/>
      <c r="V2350" s="23"/>
      <c r="W2350" s="16"/>
      <c r="X2350" s="23"/>
      <c r="Y2350" s="23"/>
      <c r="Z2350" s="23"/>
      <c r="AA2350" s="16"/>
      <c r="AB2350" s="23"/>
      <c r="AC2350" s="23"/>
      <c r="AD2350" s="23"/>
      <c r="AE2350" s="16"/>
      <c r="AF2350" s="23"/>
      <c r="AG2350" s="23"/>
      <c r="AH2350" s="23"/>
      <c r="AI2350" s="16"/>
      <c r="AJ2350" s="23"/>
      <c r="AK2350" s="23"/>
      <c r="AL2350" s="23"/>
      <c r="AM2350" s="16"/>
      <c r="AN2350" s="23"/>
      <c r="AO2350" s="23"/>
      <c r="AP2350" s="23"/>
      <c r="AQ2350" s="16"/>
      <c r="AR2350" s="23"/>
      <c r="AS2350" s="23"/>
      <c r="AT2350" s="23"/>
      <c r="AU2350" s="16"/>
      <c r="AV2350" s="23"/>
      <c r="AW2350" s="23"/>
      <c r="AX2350" s="23"/>
      <c r="AY2350" s="16"/>
      <c r="AZ2350" s="23"/>
      <c r="BA2350" s="23"/>
      <c r="BB2350" s="23"/>
      <c r="BC2350" s="16"/>
      <c r="BD2350" s="23"/>
      <c r="BE2350" s="23"/>
      <c r="BF2350" s="23"/>
      <c r="BG2350" s="16"/>
      <c r="BH2350" s="23"/>
      <c r="BI2350" s="23"/>
      <c r="BJ2350" s="23"/>
      <c r="BN2350" s="23"/>
      <c r="BO2350" s="23"/>
      <c r="BP2350" s="16"/>
      <c r="BQ2350" s="16"/>
      <c r="BR2350" s="23"/>
      <c r="BS2350" s="16"/>
      <c r="BT2350" s="16"/>
      <c r="BU2350" s="16"/>
      <c r="BV2350" s="16"/>
      <c r="BW2350" s="16"/>
      <c r="BX2350" s="16"/>
      <c r="BY2350" s="16"/>
    </row>
    <row r="2351">
      <c r="A2351" s="16"/>
      <c r="B2351" s="16"/>
      <c r="C2351" s="22"/>
      <c r="D2351" s="16"/>
      <c r="E2351" s="16"/>
      <c r="F2351" s="16"/>
      <c r="G2351" s="16"/>
      <c r="H2351" s="16"/>
      <c r="I2351" s="23"/>
      <c r="J2351" s="23"/>
      <c r="K2351" s="16"/>
      <c r="L2351" s="23"/>
      <c r="M2351" s="23"/>
      <c r="N2351" s="23"/>
      <c r="O2351" s="16"/>
      <c r="P2351" s="23"/>
      <c r="Q2351" s="23"/>
      <c r="R2351" s="23"/>
      <c r="S2351" s="16"/>
      <c r="T2351" s="23"/>
      <c r="U2351" s="23"/>
      <c r="V2351" s="23"/>
      <c r="W2351" s="16"/>
      <c r="X2351" s="23"/>
      <c r="Y2351" s="23"/>
      <c r="Z2351" s="23"/>
      <c r="AA2351" s="16"/>
      <c r="AB2351" s="23"/>
      <c r="AC2351" s="23"/>
      <c r="AD2351" s="23"/>
      <c r="AE2351" s="16"/>
      <c r="AF2351" s="23"/>
      <c r="AG2351" s="23"/>
      <c r="AH2351" s="23"/>
      <c r="AI2351" s="16"/>
      <c r="AJ2351" s="23"/>
      <c r="AK2351" s="23"/>
      <c r="AL2351" s="23"/>
      <c r="AM2351" s="16"/>
      <c r="AN2351" s="23"/>
      <c r="AO2351" s="23"/>
      <c r="AP2351" s="23"/>
      <c r="AQ2351" s="16"/>
      <c r="AR2351" s="23"/>
      <c r="AS2351" s="23"/>
      <c r="AT2351" s="23"/>
      <c r="AU2351" s="16"/>
      <c r="AV2351" s="23"/>
      <c r="AW2351" s="23"/>
      <c r="AX2351" s="23"/>
      <c r="AY2351" s="16"/>
      <c r="AZ2351" s="23"/>
      <c r="BA2351" s="23"/>
      <c r="BB2351" s="23"/>
      <c r="BC2351" s="16"/>
      <c r="BD2351" s="23"/>
      <c r="BE2351" s="23"/>
      <c r="BF2351" s="23"/>
      <c r="BG2351" s="16"/>
      <c r="BH2351" s="23"/>
      <c r="BI2351" s="23"/>
      <c r="BJ2351" s="23"/>
      <c r="BN2351" s="23"/>
      <c r="BO2351" s="23"/>
      <c r="BP2351" s="16"/>
      <c r="BQ2351" s="16"/>
      <c r="BR2351" s="23"/>
      <c r="BS2351" s="16"/>
      <c r="BT2351" s="16"/>
      <c r="BU2351" s="16"/>
      <c r="BV2351" s="16"/>
      <c r="BW2351" s="16"/>
      <c r="BX2351" s="16"/>
      <c r="BY2351" s="16"/>
    </row>
    <row r="2352">
      <c r="A2352" s="16"/>
      <c r="B2352" s="16"/>
      <c r="C2352" s="22"/>
      <c r="D2352" s="16"/>
      <c r="E2352" s="16"/>
      <c r="F2352" s="16"/>
      <c r="G2352" s="16"/>
      <c r="H2352" s="16"/>
      <c r="I2352" s="23"/>
      <c r="J2352" s="23"/>
      <c r="K2352" s="16"/>
      <c r="L2352" s="23"/>
      <c r="M2352" s="23"/>
      <c r="N2352" s="23"/>
      <c r="O2352" s="16"/>
      <c r="P2352" s="23"/>
      <c r="Q2352" s="23"/>
      <c r="R2352" s="23"/>
      <c r="S2352" s="16"/>
      <c r="T2352" s="23"/>
      <c r="U2352" s="23"/>
      <c r="V2352" s="23"/>
      <c r="W2352" s="16"/>
      <c r="X2352" s="23"/>
      <c r="Y2352" s="23"/>
      <c r="Z2352" s="23"/>
      <c r="AA2352" s="16"/>
      <c r="AB2352" s="23"/>
      <c r="AC2352" s="23"/>
      <c r="AD2352" s="23"/>
      <c r="AE2352" s="16"/>
      <c r="AF2352" s="23"/>
      <c r="AG2352" s="23"/>
      <c r="AH2352" s="23"/>
      <c r="AI2352" s="16"/>
      <c r="AJ2352" s="23"/>
      <c r="AK2352" s="23"/>
      <c r="AL2352" s="23"/>
      <c r="AM2352" s="16"/>
      <c r="AN2352" s="23"/>
      <c r="AO2352" s="23"/>
      <c r="AP2352" s="23"/>
      <c r="AQ2352" s="16"/>
      <c r="AR2352" s="23"/>
      <c r="AS2352" s="23"/>
      <c r="AT2352" s="23"/>
      <c r="AU2352" s="16"/>
      <c r="AV2352" s="23"/>
      <c r="AW2352" s="23"/>
      <c r="AX2352" s="23"/>
      <c r="AY2352" s="16"/>
      <c r="AZ2352" s="23"/>
      <c r="BA2352" s="23"/>
      <c r="BB2352" s="23"/>
      <c r="BC2352" s="16"/>
      <c r="BD2352" s="23"/>
      <c r="BE2352" s="23"/>
      <c r="BF2352" s="23"/>
      <c r="BG2352" s="16"/>
      <c r="BH2352" s="23"/>
      <c r="BI2352" s="23"/>
      <c r="BJ2352" s="23"/>
      <c r="BN2352" s="23"/>
      <c r="BO2352" s="23"/>
      <c r="BP2352" s="16"/>
      <c r="BQ2352" s="16"/>
      <c r="BR2352" s="23"/>
      <c r="BS2352" s="16"/>
      <c r="BT2352" s="16"/>
      <c r="BU2352" s="16"/>
      <c r="BV2352" s="16"/>
      <c r="BW2352" s="16"/>
      <c r="BX2352" s="16"/>
      <c r="BY2352" s="16"/>
    </row>
    <row r="2353">
      <c r="A2353" s="16"/>
      <c r="B2353" s="16"/>
      <c r="C2353" s="22"/>
      <c r="D2353" s="16"/>
      <c r="E2353" s="16"/>
      <c r="F2353" s="16"/>
      <c r="G2353" s="16"/>
      <c r="H2353" s="16"/>
      <c r="I2353" s="23"/>
      <c r="J2353" s="23"/>
      <c r="K2353" s="16"/>
      <c r="L2353" s="23"/>
      <c r="M2353" s="23"/>
      <c r="N2353" s="23"/>
      <c r="O2353" s="16"/>
      <c r="P2353" s="23"/>
      <c r="Q2353" s="23"/>
      <c r="R2353" s="23"/>
      <c r="S2353" s="16"/>
      <c r="T2353" s="23"/>
      <c r="U2353" s="23"/>
      <c r="V2353" s="23"/>
      <c r="W2353" s="16"/>
      <c r="X2353" s="23"/>
      <c r="Y2353" s="23"/>
      <c r="Z2353" s="23"/>
      <c r="AA2353" s="16"/>
      <c r="AB2353" s="23"/>
      <c r="AC2353" s="23"/>
      <c r="AD2353" s="23"/>
      <c r="AE2353" s="16"/>
      <c r="AF2353" s="23"/>
      <c r="AG2353" s="23"/>
      <c r="AH2353" s="23"/>
      <c r="AI2353" s="16"/>
      <c r="AJ2353" s="23"/>
      <c r="AK2353" s="23"/>
      <c r="AL2353" s="23"/>
      <c r="AM2353" s="16"/>
      <c r="AN2353" s="23"/>
      <c r="AO2353" s="23"/>
      <c r="AP2353" s="23"/>
      <c r="AQ2353" s="16"/>
      <c r="AR2353" s="23"/>
      <c r="AS2353" s="23"/>
      <c r="AT2353" s="23"/>
      <c r="AU2353" s="16"/>
      <c r="AV2353" s="23"/>
      <c r="AW2353" s="23"/>
      <c r="AX2353" s="23"/>
      <c r="AY2353" s="16"/>
      <c r="AZ2353" s="23"/>
      <c r="BA2353" s="23"/>
      <c r="BB2353" s="23"/>
      <c r="BC2353" s="16"/>
      <c r="BD2353" s="23"/>
      <c r="BE2353" s="23"/>
      <c r="BF2353" s="23"/>
      <c r="BG2353" s="16"/>
      <c r="BH2353" s="23"/>
      <c r="BI2353" s="23"/>
      <c r="BJ2353" s="23"/>
      <c r="BN2353" s="23"/>
      <c r="BO2353" s="23"/>
      <c r="BP2353" s="16"/>
      <c r="BQ2353" s="16"/>
      <c r="BR2353" s="23"/>
      <c r="BS2353" s="16"/>
      <c r="BT2353" s="16"/>
      <c r="BU2353" s="16"/>
      <c r="BV2353" s="16"/>
      <c r="BW2353" s="16"/>
      <c r="BX2353" s="16"/>
      <c r="BY2353" s="16"/>
    </row>
    <row r="2354">
      <c r="A2354" s="16"/>
      <c r="B2354" s="16"/>
      <c r="C2354" s="22"/>
      <c r="D2354" s="16"/>
      <c r="E2354" s="16"/>
      <c r="F2354" s="16"/>
      <c r="G2354" s="16"/>
      <c r="H2354" s="16"/>
      <c r="I2354" s="23"/>
      <c r="J2354" s="23"/>
      <c r="K2354" s="16"/>
      <c r="L2354" s="23"/>
      <c r="M2354" s="23"/>
      <c r="N2354" s="23"/>
      <c r="O2354" s="16"/>
      <c r="P2354" s="23"/>
      <c r="Q2354" s="23"/>
      <c r="R2354" s="23"/>
      <c r="S2354" s="16"/>
      <c r="T2354" s="23"/>
      <c r="U2354" s="23"/>
      <c r="V2354" s="23"/>
      <c r="W2354" s="16"/>
      <c r="X2354" s="23"/>
      <c r="Y2354" s="23"/>
      <c r="Z2354" s="23"/>
      <c r="AA2354" s="16"/>
      <c r="AB2354" s="23"/>
      <c r="AC2354" s="23"/>
      <c r="AD2354" s="23"/>
      <c r="AE2354" s="16"/>
      <c r="AF2354" s="23"/>
      <c r="AG2354" s="23"/>
      <c r="AH2354" s="23"/>
      <c r="AI2354" s="16"/>
      <c r="AJ2354" s="23"/>
      <c r="AK2354" s="23"/>
      <c r="AL2354" s="23"/>
      <c r="AM2354" s="16"/>
      <c r="AN2354" s="23"/>
      <c r="AO2354" s="23"/>
      <c r="AP2354" s="23"/>
      <c r="AQ2354" s="16"/>
      <c r="AR2354" s="23"/>
      <c r="AS2354" s="23"/>
      <c r="AT2354" s="23"/>
      <c r="AU2354" s="16"/>
      <c r="AV2354" s="23"/>
      <c r="AW2354" s="23"/>
      <c r="AX2354" s="23"/>
      <c r="AY2354" s="16"/>
      <c r="AZ2354" s="23"/>
      <c r="BA2354" s="23"/>
      <c r="BB2354" s="23"/>
      <c r="BC2354" s="16"/>
      <c r="BD2354" s="23"/>
      <c r="BE2354" s="23"/>
      <c r="BF2354" s="23"/>
      <c r="BG2354" s="16"/>
      <c r="BH2354" s="23"/>
      <c r="BI2354" s="23"/>
      <c r="BJ2354" s="23"/>
      <c r="BN2354" s="23"/>
      <c r="BO2354" s="23"/>
      <c r="BP2354" s="16"/>
      <c r="BQ2354" s="16"/>
      <c r="BR2354" s="23"/>
      <c r="BS2354" s="16"/>
      <c r="BT2354" s="16"/>
      <c r="BU2354" s="16"/>
      <c r="BV2354" s="16"/>
      <c r="BW2354" s="16"/>
      <c r="BX2354" s="16"/>
      <c r="BY2354" s="16"/>
    </row>
    <row r="2355">
      <c r="A2355" s="16"/>
      <c r="B2355" s="16"/>
      <c r="C2355" s="22"/>
      <c r="D2355" s="16"/>
      <c r="E2355" s="16"/>
      <c r="F2355" s="16"/>
      <c r="G2355" s="16"/>
      <c r="H2355" s="16"/>
      <c r="I2355" s="23"/>
      <c r="J2355" s="23"/>
      <c r="K2355" s="16"/>
      <c r="L2355" s="23"/>
      <c r="M2355" s="23"/>
      <c r="N2355" s="23"/>
      <c r="O2355" s="16"/>
      <c r="P2355" s="23"/>
      <c r="Q2355" s="23"/>
      <c r="R2355" s="23"/>
      <c r="S2355" s="16"/>
      <c r="T2355" s="23"/>
      <c r="U2355" s="23"/>
      <c r="V2355" s="23"/>
      <c r="W2355" s="16"/>
      <c r="X2355" s="23"/>
      <c r="Y2355" s="23"/>
      <c r="Z2355" s="23"/>
      <c r="AA2355" s="16"/>
      <c r="AB2355" s="23"/>
      <c r="AC2355" s="23"/>
      <c r="AD2355" s="23"/>
      <c r="AE2355" s="16"/>
      <c r="AF2355" s="23"/>
      <c r="AG2355" s="23"/>
      <c r="AH2355" s="23"/>
      <c r="AI2355" s="16"/>
      <c r="AJ2355" s="23"/>
      <c r="AK2355" s="23"/>
      <c r="AL2355" s="23"/>
      <c r="AM2355" s="16"/>
      <c r="AN2355" s="23"/>
      <c r="AO2355" s="23"/>
      <c r="AP2355" s="23"/>
      <c r="AQ2355" s="16"/>
      <c r="AR2355" s="23"/>
      <c r="AS2355" s="23"/>
      <c r="AT2355" s="23"/>
      <c r="AU2355" s="16"/>
      <c r="AV2355" s="23"/>
      <c r="AW2355" s="23"/>
      <c r="AX2355" s="23"/>
      <c r="AY2355" s="16"/>
      <c r="AZ2355" s="23"/>
      <c r="BA2355" s="23"/>
      <c r="BB2355" s="23"/>
      <c r="BC2355" s="16"/>
      <c r="BD2355" s="23"/>
      <c r="BE2355" s="23"/>
      <c r="BF2355" s="23"/>
      <c r="BG2355" s="16"/>
      <c r="BH2355" s="23"/>
      <c r="BI2355" s="23"/>
      <c r="BJ2355" s="23"/>
      <c r="BN2355" s="23"/>
      <c r="BO2355" s="23"/>
      <c r="BP2355" s="16"/>
      <c r="BQ2355" s="16"/>
      <c r="BR2355" s="23"/>
      <c r="BS2355" s="16"/>
      <c r="BT2355" s="16"/>
      <c r="BU2355" s="16"/>
      <c r="BV2355" s="16"/>
      <c r="BW2355" s="16"/>
      <c r="BX2355" s="16"/>
      <c r="BY2355" s="16"/>
    </row>
    <row r="2356">
      <c r="A2356" s="16"/>
      <c r="B2356" s="16"/>
      <c r="C2356" s="22"/>
      <c r="D2356" s="16"/>
      <c r="E2356" s="16"/>
      <c r="F2356" s="16"/>
      <c r="G2356" s="16"/>
      <c r="H2356" s="16"/>
      <c r="I2356" s="23"/>
      <c r="J2356" s="23"/>
      <c r="K2356" s="16"/>
      <c r="L2356" s="23"/>
      <c r="M2356" s="23"/>
      <c r="N2356" s="23"/>
      <c r="O2356" s="16"/>
      <c r="P2356" s="23"/>
      <c r="Q2356" s="23"/>
      <c r="R2356" s="23"/>
      <c r="S2356" s="16"/>
      <c r="T2356" s="23"/>
      <c r="U2356" s="23"/>
      <c r="V2356" s="23"/>
      <c r="W2356" s="16"/>
      <c r="X2356" s="23"/>
      <c r="Y2356" s="23"/>
      <c r="Z2356" s="23"/>
      <c r="AA2356" s="16"/>
      <c r="AB2356" s="23"/>
      <c r="AC2356" s="23"/>
      <c r="AD2356" s="23"/>
      <c r="AE2356" s="16"/>
      <c r="AF2356" s="23"/>
      <c r="AG2356" s="23"/>
      <c r="AH2356" s="23"/>
      <c r="AI2356" s="16"/>
      <c r="AJ2356" s="23"/>
      <c r="AK2356" s="23"/>
      <c r="AL2356" s="23"/>
      <c r="AM2356" s="16"/>
      <c r="AN2356" s="23"/>
      <c r="AO2356" s="23"/>
      <c r="AP2356" s="23"/>
      <c r="AQ2356" s="16"/>
      <c r="AR2356" s="23"/>
      <c r="AS2356" s="23"/>
      <c r="AT2356" s="23"/>
      <c r="AU2356" s="16"/>
      <c r="AV2356" s="23"/>
      <c r="AW2356" s="23"/>
      <c r="AX2356" s="23"/>
      <c r="AY2356" s="16"/>
      <c r="AZ2356" s="23"/>
      <c r="BA2356" s="23"/>
      <c r="BB2356" s="23"/>
      <c r="BC2356" s="16"/>
      <c r="BD2356" s="23"/>
      <c r="BE2356" s="23"/>
      <c r="BF2356" s="23"/>
      <c r="BG2356" s="16"/>
      <c r="BH2356" s="23"/>
      <c r="BI2356" s="23"/>
      <c r="BJ2356" s="23"/>
      <c r="BN2356" s="23"/>
      <c r="BO2356" s="23"/>
      <c r="BP2356" s="16"/>
      <c r="BQ2356" s="16"/>
      <c r="BR2356" s="23"/>
      <c r="BS2356" s="16"/>
      <c r="BT2356" s="16"/>
      <c r="BU2356" s="16"/>
      <c r="BV2356" s="16"/>
      <c r="BW2356" s="16"/>
      <c r="BX2356" s="16"/>
      <c r="BY2356" s="16"/>
    </row>
    <row r="2357">
      <c r="A2357" s="16"/>
      <c r="B2357" s="16"/>
      <c r="C2357" s="22"/>
      <c r="D2357" s="16"/>
      <c r="E2357" s="16"/>
      <c r="F2357" s="16"/>
      <c r="G2357" s="16"/>
      <c r="H2357" s="16"/>
      <c r="I2357" s="23"/>
      <c r="J2357" s="23"/>
      <c r="K2357" s="16"/>
      <c r="L2357" s="23"/>
      <c r="M2357" s="23"/>
      <c r="N2357" s="23"/>
      <c r="O2357" s="16"/>
      <c r="P2357" s="23"/>
      <c r="Q2357" s="23"/>
      <c r="R2357" s="23"/>
      <c r="S2357" s="16"/>
      <c r="T2357" s="23"/>
      <c r="U2357" s="23"/>
      <c r="V2357" s="23"/>
      <c r="W2357" s="16"/>
      <c r="X2357" s="23"/>
      <c r="Y2357" s="23"/>
      <c r="Z2357" s="23"/>
      <c r="AA2357" s="16"/>
      <c r="AB2357" s="23"/>
      <c r="AC2357" s="23"/>
      <c r="AD2357" s="23"/>
      <c r="AE2357" s="16"/>
      <c r="AF2357" s="23"/>
      <c r="AG2357" s="23"/>
      <c r="AH2357" s="23"/>
      <c r="AI2357" s="16"/>
      <c r="AJ2357" s="23"/>
      <c r="AK2357" s="23"/>
      <c r="AL2357" s="23"/>
      <c r="AM2357" s="16"/>
      <c r="AN2357" s="23"/>
      <c r="AO2357" s="23"/>
      <c r="AP2357" s="23"/>
      <c r="AQ2357" s="16"/>
      <c r="AR2357" s="23"/>
      <c r="AS2357" s="23"/>
      <c r="AT2357" s="23"/>
      <c r="AU2357" s="16"/>
      <c r="AV2357" s="23"/>
      <c r="AW2357" s="23"/>
      <c r="AX2357" s="23"/>
      <c r="AY2357" s="16"/>
      <c r="AZ2357" s="23"/>
      <c r="BA2357" s="23"/>
      <c r="BB2357" s="23"/>
      <c r="BC2357" s="16"/>
      <c r="BD2357" s="23"/>
      <c r="BE2357" s="23"/>
      <c r="BF2357" s="23"/>
      <c r="BG2357" s="16"/>
      <c r="BH2357" s="23"/>
      <c r="BI2357" s="23"/>
      <c r="BJ2357" s="23"/>
      <c r="BN2357" s="23"/>
      <c r="BO2357" s="23"/>
      <c r="BP2357" s="16"/>
      <c r="BQ2357" s="16"/>
      <c r="BR2357" s="23"/>
      <c r="BS2357" s="16"/>
      <c r="BT2357" s="16"/>
      <c r="BU2357" s="16"/>
      <c r="BV2357" s="16"/>
      <c r="BW2357" s="16"/>
      <c r="BX2357" s="16"/>
      <c r="BY2357" s="16"/>
    </row>
    <row r="2358">
      <c r="A2358" s="16"/>
      <c r="B2358" s="16"/>
      <c r="C2358" s="22"/>
      <c r="D2358" s="16"/>
      <c r="E2358" s="16"/>
      <c r="F2358" s="16"/>
      <c r="G2358" s="16"/>
      <c r="H2358" s="16"/>
      <c r="I2358" s="23"/>
      <c r="J2358" s="23"/>
      <c r="K2358" s="16"/>
      <c r="L2358" s="23"/>
      <c r="M2358" s="23"/>
      <c r="N2358" s="23"/>
      <c r="O2358" s="16"/>
      <c r="P2358" s="23"/>
      <c r="Q2358" s="23"/>
      <c r="R2358" s="23"/>
      <c r="S2358" s="16"/>
      <c r="T2358" s="23"/>
      <c r="U2358" s="23"/>
      <c r="V2358" s="23"/>
      <c r="W2358" s="16"/>
      <c r="X2358" s="23"/>
      <c r="Y2358" s="23"/>
      <c r="Z2358" s="23"/>
      <c r="AA2358" s="16"/>
      <c r="AB2358" s="23"/>
      <c r="AC2358" s="23"/>
      <c r="AD2358" s="23"/>
      <c r="AE2358" s="16"/>
      <c r="AF2358" s="23"/>
      <c r="AG2358" s="23"/>
      <c r="AH2358" s="23"/>
      <c r="AI2358" s="16"/>
      <c r="AJ2358" s="23"/>
      <c r="AK2358" s="23"/>
      <c r="AL2358" s="23"/>
      <c r="AM2358" s="16"/>
      <c r="AN2358" s="23"/>
      <c r="AO2358" s="23"/>
      <c r="AP2358" s="23"/>
      <c r="AQ2358" s="16"/>
      <c r="AR2358" s="23"/>
      <c r="AS2358" s="23"/>
      <c r="AT2358" s="23"/>
      <c r="AU2358" s="16"/>
      <c r="AV2358" s="23"/>
      <c r="AW2358" s="23"/>
      <c r="AX2358" s="23"/>
      <c r="AY2358" s="16"/>
      <c r="AZ2358" s="23"/>
      <c r="BA2358" s="23"/>
      <c r="BB2358" s="23"/>
      <c r="BC2358" s="16"/>
      <c r="BD2358" s="23"/>
      <c r="BE2358" s="23"/>
      <c r="BF2358" s="23"/>
      <c r="BG2358" s="16"/>
      <c r="BH2358" s="23"/>
      <c r="BI2358" s="23"/>
      <c r="BJ2358" s="23"/>
      <c r="BN2358" s="23"/>
      <c r="BO2358" s="23"/>
      <c r="BP2358" s="16"/>
      <c r="BQ2358" s="16"/>
      <c r="BR2358" s="23"/>
      <c r="BS2358" s="16"/>
      <c r="BT2358" s="16"/>
      <c r="BU2358" s="16"/>
      <c r="BV2358" s="16"/>
      <c r="BW2358" s="16"/>
      <c r="BX2358" s="16"/>
      <c r="BY2358" s="16"/>
    </row>
    <row r="2359">
      <c r="A2359" s="16"/>
      <c r="B2359" s="16"/>
      <c r="C2359" s="22"/>
      <c r="D2359" s="16"/>
      <c r="E2359" s="16"/>
      <c r="F2359" s="16"/>
      <c r="G2359" s="16"/>
      <c r="H2359" s="16"/>
      <c r="I2359" s="23"/>
      <c r="J2359" s="23"/>
      <c r="K2359" s="16"/>
      <c r="L2359" s="23"/>
      <c r="M2359" s="23"/>
      <c r="N2359" s="23"/>
      <c r="O2359" s="16"/>
      <c r="P2359" s="23"/>
      <c r="Q2359" s="23"/>
      <c r="R2359" s="23"/>
      <c r="S2359" s="16"/>
      <c r="T2359" s="23"/>
      <c r="U2359" s="23"/>
      <c r="V2359" s="23"/>
      <c r="W2359" s="16"/>
      <c r="X2359" s="23"/>
      <c r="Y2359" s="23"/>
      <c r="Z2359" s="23"/>
      <c r="AA2359" s="16"/>
      <c r="AB2359" s="23"/>
      <c r="AC2359" s="23"/>
      <c r="AD2359" s="23"/>
      <c r="AE2359" s="16"/>
      <c r="AF2359" s="23"/>
      <c r="AG2359" s="23"/>
      <c r="AH2359" s="23"/>
      <c r="AI2359" s="16"/>
      <c r="AJ2359" s="23"/>
      <c r="AK2359" s="23"/>
      <c r="AL2359" s="23"/>
      <c r="AM2359" s="16"/>
      <c r="AN2359" s="23"/>
      <c r="AO2359" s="23"/>
      <c r="AP2359" s="23"/>
      <c r="AQ2359" s="16"/>
      <c r="AR2359" s="23"/>
      <c r="AS2359" s="23"/>
      <c r="AT2359" s="23"/>
      <c r="AU2359" s="16"/>
      <c r="AV2359" s="23"/>
      <c r="AW2359" s="23"/>
      <c r="AX2359" s="23"/>
      <c r="AY2359" s="16"/>
      <c r="AZ2359" s="23"/>
      <c r="BA2359" s="23"/>
      <c r="BB2359" s="23"/>
      <c r="BC2359" s="16"/>
      <c r="BD2359" s="23"/>
      <c r="BE2359" s="23"/>
      <c r="BF2359" s="23"/>
      <c r="BG2359" s="16"/>
      <c r="BH2359" s="23"/>
      <c r="BI2359" s="23"/>
      <c r="BJ2359" s="23"/>
      <c r="BN2359" s="23"/>
      <c r="BO2359" s="23"/>
      <c r="BP2359" s="16"/>
      <c r="BQ2359" s="16"/>
      <c r="BR2359" s="23"/>
      <c r="BS2359" s="16"/>
      <c r="BT2359" s="16"/>
      <c r="BU2359" s="16"/>
      <c r="BV2359" s="16"/>
      <c r="BW2359" s="16"/>
      <c r="BX2359" s="16"/>
      <c r="BY2359" s="16"/>
    </row>
    <row r="2360">
      <c r="A2360" s="16"/>
      <c r="B2360" s="16"/>
      <c r="C2360" s="22"/>
      <c r="D2360" s="16"/>
      <c r="E2360" s="16"/>
      <c r="F2360" s="16"/>
      <c r="G2360" s="16"/>
      <c r="H2360" s="16"/>
      <c r="I2360" s="23"/>
      <c r="J2360" s="23"/>
      <c r="K2360" s="16"/>
      <c r="L2360" s="23"/>
      <c r="M2360" s="23"/>
      <c r="N2360" s="23"/>
      <c r="O2360" s="16"/>
      <c r="P2360" s="23"/>
      <c r="Q2360" s="23"/>
      <c r="R2360" s="23"/>
      <c r="S2360" s="16"/>
      <c r="T2360" s="23"/>
      <c r="U2360" s="23"/>
      <c r="V2360" s="23"/>
      <c r="W2360" s="16"/>
      <c r="X2360" s="23"/>
      <c r="Y2360" s="23"/>
      <c r="Z2360" s="23"/>
      <c r="AA2360" s="16"/>
      <c r="AB2360" s="23"/>
      <c r="AC2360" s="23"/>
      <c r="AD2360" s="23"/>
      <c r="AE2360" s="16"/>
      <c r="AF2360" s="23"/>
      <c r="AG2360" s="23"/>
      <c r="AH2360" s="23"/>
      <c r="AI2360" s="16"/>
      <c r="AJ2360" s="23"/>
      <c r="AK2360" s="23"/>
      <c r="AL2360" s="23"/>
      <c r="AM2360" s="16"/>
      <c r="AN2360" s="23"/>
      <c r="AO2360" s="23"/>
      <c r="AP2360" s="23"/>
      <c r="AQ2360" s="16"/>
      <c r="AR2360" s="23"/>
      <c r="AS2360" s="23"/>
      <c r="AT2360" s="23"/>
      <c r="AU2360" s="16"/>
      <c r="AV2360" s="23"/>
      <c r="AW2360" s="23"/>
      <c r="AX2360" s="23"/>
      <c r="AY2360" s="16"/>
      <c r="AZ2360" s="23"/>
      <c r="BA2360" s="23"/>
      <c r="BB2360" s="23"/>
      <c r="BC2360" s="16"/>
      <c r="BD2360" s="23"/>
      <c r="BE2360" s="23"/>
      <c r="BF2360" s="23"/>
      <c r="BG2360" s="16"/>
      <c r="BH2360" s="23"/>
      <c r="BI2360" s="23"/>
      <c r="BJ2360" s="23"/>
      <c r="BN2360" s="23"/>
      <c r="BO2360" s="23"/>
      <c r="BP2360" s="16"/>
      <c r="BQ2360" s="16"/>
      <c r="BR2360" s="23"/>
      <c r="BS2360" s="16"/>
      <c r="BT2360" s="16"/>
      <c r="BU2360" s="16"/>
      <c r="BV2360" s="16"/>
      <c r="BW2360" s="16"/>
      <c r="BX2360" s="16"/>
      <c r="BY2360" s="16"/>
    </row>
    <row r="2361">
      <c r="A2361" s="16"/>
      <c r="B2361" s="16"/>
      <c r="C2361" s="22"/>
      <c r="D2361" s="16"/>
      <c r="E2361" s="16"/>
      <c r="F2361" s="16"/>
      <c r="G2361" s="16"/>
      <c r="H2361" s="16"/>
      <c r="I2361" s="23"/>
      <c r="J2361" s="23"/>
      <c r="K2361" s="16"/>
      <c r="L2361" s="23"/>
      <c r="M2361" s="23"/>
      <c r="N2361" s="23"/>
      <c r="O2361" s="16"/>
      <c r="P2361" s="23"/>
      <c r="Q2361" s="23"/>
      <c r="R2361" s="23"/>
      <c r="S2361" s="16"/>
      <c r="T2361" s="23"/>
      <c r="U2361" s="23"/>
      <c r="V2361" s="23"/>
      <c r="W2361" s="16"/>
      <c r="X2361" s="23"/>
      <c r="Y2361" s="23"/>
      <c r="Z2361" s="23"/>
      <c r="AA2361" s="16"/>
      <c r="AB2361" s="23"/>
      <c r="AC2361" s="23"/>
      <c r="AD2361" s="23"/>
      <c r="AE2361" s="16"/>
      <c r="AF2361" s="23"/>
      <c r="AG2361" s="23"/>
      <c r="AH2361" s="23"/>
      <c r="AI2361" s="16"/>
      <c r="AJ2361" s="23"/>
      <c r="AK2361" s="23"/>
      <c r="AL2361" s="23"/>
      <c r="AM2361" s="16"/>
      <c r="AN2361" s="23"/>
      <c r="AO2361" s="23"/>
      <c r="AP2361" s="23"/>
      <c r="AQ2361" s="16"/>
      <c r="AR2361" s="23"/>
      <c r="AS2361" s="23"/>
      <c r="AT2361" s="23"/>
      <c r="AU2361" s="16"/>
      <c r="AV2361" s="23"/>
      <c r="AW2361" s="23"/>
      <c r="AX2361" s="23"/>
      <c r="AY2361" s="16"/>
      <c r="AZ2361" s="23"/>
      <c r="BA2361" s="23"/>
      <c r="BB2361" s="23"/>
      <c r="BC2361" s="16"/>
      <c r="BD2361" s="23"/>
      <c r="BE2361" s="23"/>
      <c r="BF2361" s="23"/>
      <c r="BG2361" s="16"/>
      <c r="BH2361" s="23"/>
      <c r="BI2361" s="23"/>
      <c r="BJ2361" s="23"/>
      <c r="BN2361" s="23"/>
      <c r="BO2361" s="23"/>
      <c r="BP2361" s="16"/>
      <c r="BQ2361" s="16"/>
      <c r="BR2361" s="23"/>
      <c r="BS2361" s="16"/>
      <c r="BT2361" s="16"/>
      <c r="BU2361" s="16"/>
      <c r="BV2361" s="16"/>
      <c r="BW2361" s="16"/>
      <c r="BX2361" s="16"/>
      <c r="BY2361" s="16"/>
    </row>
    <row r="2362">
      <c r="A2362" s="16"/>
      <c r="B2362" s="16"/>
      <c r="C2362" s="22"/>
      <c r="D2362" s="16"/>
      <c r="E2362" s="16"/>
      <c r="F2362" s="16"/>
      <c r="G2362" s="16"/>
      <c r="H2362" s="16"/>
      <c r="I2362" s="23"/>
      <c r="J2362" s="23"/>
      <c r="K2362" s="16"/>
      <c r="L2362" s="23"/>
      <c r="M2362" s="23"/>
      <c r="N2362" s="23"/>
      <c r="O2362" s="16"/>
      <c r="P2362" s="23"/>
      <c r="Q2362" s="23"/>
      <c r="R2362" s="23"/>
      <c r="S2362" s="16"/>
      <c r="T2362" s="23"/>
      <c r="U2362" s="23"/>
      <c r="V2362" s="23"/>
      <c r="W2362" s="16"/>
      <c r="X2362" s="23"/>
      <c r="Y2362" s="23"/>
      <c r="Z2362" s="23"/>
      <c r="AA2362" s="16"/>
      <c r="AB2362" s="23"/>
      <c r="AC2362" s="23"/>
      <c r="AD2362" s="23"/>
      <c r="AE2362" s="16"/>
      <c r="AF2362" s="23"/>
      <c r="AG2362" s="23"/>
      <c r="AH2362" s="23"/>
      <c r="AI2362" s="16"/>
      <c r="AJ2362" s="23"/>
      <c r="AK2362" s="23"/>
      <c r="AL2362" s="23"/>
      <c r="AM2362" s="16"/>
      <c r="AN2362" s="23"/>
      <c r="AO2362" s="23"/>
      <c r="AP2362" s="23"/>
      <c r="AQ2362" s="16"/>
      <c r="AR2362" s="23"/>
      <c r="AS2362" s="23"/>
      <c r="AT2362" s="23"/>
      <c r="AU2362" s="16"/>
      <c r="AV2362" s="23"/>
      <c r="AW2362" s="23"/>
      <c r="AX2362" s="23"/>
      <c r="AY2362" s="16"/>
      <c r="AZ2362" s="23"/>
      <c r="BA2362" s="23"/>
      <c r="BB2362" s="23"/>
      <c r="BC2362" s="16"/>
      <c r="BD2362" s="23"/>
      <c r="BE2362" s="23"/>
      <c r="BF2362" s="23"/>
      <c r="BG2362" s="16"/>
      <c r="BH2362" s="23"/>
      <c r="BI2362" s="23"/>
      <c r="BJ2362" s="23"/>
      <c r="BN2362" s="23"/>
      <c r="BO2362" s="23"/>
      <c r="BP2362" s="16"/>
      <c r="BQ2362" s="16"/>
      <c r="BR2362" s="23"/>
      <c r="BS2362" s="16"/>
      <c r="BT2362" s="16"/>
      <c r="BU2362" s="16"/>
      <c r="BV2362" s="16"/>
      <c r="BW2362" s="16"/>
      <c r="BX2362" s="16"/>
      <c r="BY2362" s="16"/>
    </row>
    <row r="2363">
      <c r="A2363" s="16"/>
      <c r="B2363" s="16"/>
      <c r="C2363" s="22"/>
      <c r="D2363" s="16"/>
      <c r="E2363" s="16"/>
      <c r="F2363" s="16"/>
      <c r="G2363" s="16"/>
      <c r="H2363" s="16"/>
      <c r="I2363" s="23"/>
      <c r="J2363" s="23"/>
      <c r="K2363" s="16"/>
      <c r="L2363" s="23"/>
      <c r="M2363" s="23"/>
      <c r="N2363" s="23"/>
      <c r="O2363" s="16"/>
      <c r="P2363" s="23"/>
      <c r="Q2363" s="23"/>
      <c r="R2363" s="23"/>
      <c r="S2363" s="16"/>
      <c r="T2363" s="23"/>
      <c r="U2363" s="23"/>
      <c r="V2363" s="23"/>
      <c r="W2363" s="16"/>
      <c r="X2363" s="23"/>
      <c r="Y2363" s="23"/>
      <c r="Z2363" s="23"/>
      <c r="AA2363" s="16"/>
      <c r="AB2363" s="23"/>
      <c r="AC2363" s="23"/>
      <c r="AD2363" s="23"/>
      <c r="AE2363" s="16"/>
      <c r="AF2363" s="23"/>
      <c r="AG2363" s="23"/>
      <c r="AH2363" s="23"/>
      <c r="AI2363" s="16"/>
      <c r="AJ2363" s="23"/>
      <c r="AK2363" s="23"/>
      <c r="AL2363" s="23"/>
      <c r="AM2363" s="16"/>
      <c r="AN2363" s="23"/>
      <c r="AO2363" s="23"/>
      <c r="AP2363" s="23"/>
      <c r="AQ2363" s="16"/>
      <c r="AR2363" s="23"/>
      <c r="AS2363" s="23"/>
      <c r="AT2363" s="23"/>
      <c r="AU2363" s="16"/>
      <c r="AV2363" s="23"/>
      <c r="AW2363" s="23"/>
      <c r="AX2363" s="23"/>
      <c r="AY2363" s="16"/>
      <c r="AZ2363" s="23"/>
      <c r="BA2363" s="23"/>
      <c r="BB2363" s="23"/>
      <c r="BC2363" s="16"/>
      <c r="BD2363" s="23"/>
      <c r="BE2363" s="23"/>
      <c r="BF2363" s="23"/>
      <c r="BG2363" s="16"/>
      <c r="BH2363" s="23"/>
      <c r="BI2363" s="23"/>
      <c r="BJ2363" s="23"/>
      <c r="BN2363" s="23"/>
      <c r="BO2363" s="23"/>
      <c r="BP2363" s="16"/>
      <c r="BQ2363" s="16"/>
      <c r="BR2363" s="23"/>
      <c r="BS2363" s="16"/>
      <c r="BT2363" s="16"/>
      <c r="BU2363" s="16"/>
      <c r="BV2363" s="16"/>
      <c r="BW2363" s="16"/>
      <c r="BX2363" s="16"/>
      <c r="BY2363" s="16"/>
    </row>
    <row r="2364">
      <c r="A2364" s="16"/>
      <c r="B2364" s="16"/>
      <c r="C2364" s="22"/>
      <c r="D2364" s="16"/>
      <c r="E2364" s="16"/>
      <c r="F2364" s="16"/>
      <c r="G2364" s="16"/>
      <c r="H2364" s="16"/>
      <c r="I2364" s="23"/>
      <c r="J2364" s="23"/>
      <c r="K2364" s="16"/>
      <c r="L2364" s="23"/>
      <c r="M2364" s="23"/>
      <c r="N2364" s="23"/>
      <c r="O2364" s="16"/>
      <c r="P2364" s="23"/>
      <c r="Q2364" s="23"/>
      <c r="R2364" s="23"/>
      <c r="S2364" s="16"/>
      <c r="T2364" s="23"/>
      <c r="U2364" s="23"/>
      <c r="V2364" s="23"/>
      <c r="W2364" s="16"/>
      <c r="X2364" s="23"/>
      <c r="Y2364" s="23"/>
      <c r="Z2364" s="23"/>
      <c r="AA2364" s="16"/>
      <c r="AB2364" s="23"/>
      <c r="AC2364" s="23"/>
      <c r="AD2364" s="23"/>
      <c r="AE2364" s="16"/>
      <c r="AF2364" s="23"/>
      <c r="AG2364" s="23"/>
      <c r="AH2364" s="23"/>
      <c r="AI2364" s="16"/>
      <c r="AJ2364" s="23"/>
      <c r="AK2364" s="23"/>
      <c r="AL2364" s="23"/>
      <c r="AM2364" s="16"/>
      <c r="AN2364" s="23"/>
      <c r="AO2364" s="23"/>
      <c r="AP2364" s="23"/>
      <c r="AQ2364" s="16"/>
      <c r="AR2364" s="23"/>
      <c r="AS2364" s="23"/>
      <c r="AT2364" s="23"/>
      <c r="AU2364" s="16"/>
      <c r="AV2364" s="23"/>
      <c r="AW2364" s="23"/>
      <c r="AX2364" s="23"/>
      <c r="AY2364" s="16"/>
      <c r="AZ2364" s="23"/>
      <c r="BA2364" s="23"/>
      <c r="BB2364" s="23"/>
      <c r="BC2364" s="16"/>
      <c r="BD2364" s="23"/>
      <c r="BE2364" s="23"/>
      <c r="BF2364" s="23"/>
      <c r="BG2364" s="16"/>
      <c r="BH2364" s="23"/>
      <c r="BI2364" s="23"/>
      <c r="BJ2364" s="23"/>
      <c r="BN2364" s="23"/>
      <c r="BO2364" s="23"/>
      <c r="BP2364" s="16"/>
      <c r="BQ2364" s="16"/>
      <c r="BR2364" s="23"/>
      <c r="BS2364" s="16"/>
      <c r="BT2364" s="16"/>
      <c r="BU2364" s="16"/>
      <c r="BV2364" s="16"/>
      <c r="BW2364" s="16"/>
      <c r="BX2364" s="16"/>
      <c r="BY2364" s="16"/>
    </row>
    <row r="2365">
      <c r="A2365" s="16"/>
      <c r="B2365" s="16"/>
      <c r="C2365" s="22"/>
      <c r="D2365" s="16"/>
      <c r="E2365" s="16"/>
      <c r="F2365" s="16"/>
      <c r="G2365" s="16"/>
      <c r="H2365" s="16"/>
      <c r="I2365" s="23"/>
      <c r="J2365" s="23"/>
      <c r="K2365" s="16"/>
      <c r="L2365" s="23"/>
      <c r="M2365" s="23"/>
      <c r="N2365" s="23"/>
      <c r="O2365" s="16"/>
      <c r="P2365" s="23"/>
      <c r="Q2365" s="23"/>
      <c r="R2365" s="23"/>
      <c r="S2365" s="16"/>
      <c r="T2365" s="23"/>
      <c r="U2365" s="23"/>
      <c r="V2365" s="23"/>
      <c r="W2365" s="16"/>
      <c r="X2365" s="23"/>
      <c r="Y2365" s="23"/>
      <c r="Z2365" s="23"/>
      <c r="AA2365" s="16"/>
      <c r="AB2365" s="23"/>
      <c r="AC2365" s="23"/>
      <c r="AD2365" s="23"/>
      <c r="AE2365" s="16"/>
      <c r="AF2365" s="23"/>
      <c r="AG2365" s="23"/>
      <c r="AH2365" s="23"/>
      <c r="AI2365" s="16"/>
      <c r="AJ2365" s="23"/>
      <c r="AK2365" s="23"/>
      <c r="AL2365" s="23"/>
      <c r="AM2365" s="16"/>
      <c r="AN2365" s="23"/>
      <c r="AO2365" s="23"/>
      <c r="AP2365" s="23"/>
      <c r="AQ2365" s="16"/>
      <c r="AR2365" s="23"/>
      <c r="AS2365" s="23"/>
      <c r="AT2365" s="23"/>
      <c r="AU2365" s="16"/>
      <c r="AV2365" s="23"/>
      <c r="AW2365" s="23"/>
      <c r="AX2365" s="23"/>
      <c r="AY2365" s="16"/>
      <c r="AZ2365" s="23"/>
      <c r="BA2365" s="23"/>
      <c r="BB2365" s="23"/>
      <c r="BC2365" s="16"/>
      <c r="BD2365" s="23"/>
      <c r="BE2365" s="23"/>
      <c r="BF2365" s="23"/>
      <c r="BG2365" s="16"/>
      <c r="BH2365" s="23"/>
      <c r="BI2365" s="23"/>
      <c r="BJ2365" s="23"/>
      <c r="BN2365" s="23"/>
      <c r="BO2365" s="23"/>
      <c r="BP2365" s="16"/>
      <c r="BQ2365" s="16"/>
      <c r="BR2365" s="23"/>
      <c r="BS2365" s="16"/>
      <c r="BT2365" s="16"/>
      <c r="BU2365" s="16"/>
      <c r="BV2365" s="16"/>
      <c r="BW2365" s="16"/>
      <c r="BX2365" s="16"/>
      <c r="BY2365" s="16"/>
    </row>
    <row r="2366">
      <c r="A2366" s="16"/>
      <c r="B2366" s="16"/>
      <c r="C2366" s="22"/>
      <c r="D2366" s="16"/>
      <c r="E2366" s="16"/>
      <c r="F2366" s="16"/>
      <c r="G2366" s="16"/>
      <c r="H2366" s="16"/>
      <c r="I2366" s="23"/>
      <c r="J2366" s="23"/>
      <c r="K2366" s="16"/>
      <c r="L2366" s="23"/>
      <c r="M2366" s="23"/>
      <c r="N2366" s="23"/>
      <c r="O2366" s="16"/>
      <c r="P2366" s="23"/>
      <c r="Q2366" s="23"/>
      <c r="R2366" s="23"/>
      <c r="S2366" s="16"/>
      <c r="T2366" s="23"/>
      <c r="U2366" s="23"/>
      <c r="V2366" s="23"/>
      <c r="W2366" s="16"/>
      <c r="X2366" s="23"/>
      <c r="Y2366" s="23"/>
      <c r="Z2366" s="23"/>
      <c r="AA2366" s="16"/>
      <c r="AB2366" s="23"/>
      <c r="AC2366" s="23"/>
      <c r="AD2366" s="23"/>
      <c r="AE2366" s="16"/>
      <c r="AF2366" s="23"/>
      <c r="AG2366" s="23"/>
      <c r="AH2366" s="23"/>
      <c r="AI2366" s="16"/>
      <c r="AJ2366" s="23"/>
      <c r="AK2366" s="23"/>
      <c r="AL2366" s="23"/>
      <c r="AM2366" s="16"/>
      <c r="AN2366" s="23"/>
      <c r="AO2366" s="23"/>
      <c r="AP2366" s="23"/>
      <c r="AQ2366" s="16"/>
      <c r="AR2366" s="23"/>
      <c r="AS2366" s="23"/>
      <c r="AT2366" s="23"/>
      <c r="AU2366" s="16"/>
      <c r="AV2366" s="23"/>
      <c r="AW2366" s="23"/>
      <c r="AX2366" s="23"/>
      <c r="AY2366" s="16"/>
      <c r="AZ2366" s="23"/>
      <c r="BA2366" s="23"/>
      <c r="BB2366" s="23"/>
      <c r="BC2366" s="16"/>
      <c r="BD2366" s="23"/>
      <c r="BE2366" s="23"/>
      <c r="BF2366" s="23"/>
      <c r="BG2366" s="16"/>
      <c r="BH2366" s="23"/>
      <c r="BI2366" s="23"/>
      <c r="BJ2366" s="23"/>
      <c r="BN2366" s="23"/>
      <c r="BO2366" s="23"/>
      <c r="BP2366" s="16"/>
      <c r="BQ2366" s="16"/>
      <c r="BR2366" s="23"/>
      <c r="BS2366" s="16"/>
      <c r="BT2366" s="16"/>
      <c r="BU2366" s="16"/>
      <c r="BV2366" s="16"/>
      <c r="BW2366" s="16"/>
      <c r="BX2366" s="16"/>
      <c r="BY2366" s="16"/>
    </row>
    <row r="2367">
      <c r="A2367" s="16"/>
      <c r="B2367" s="16"/>
      <c r="C2367" s="22"/>
      <c r="D2367" s="16"/>
      <c r="E2367" s="16"/>
      <c r="F2367" s="16"/>
      <c r="G2367" s="16"/>
      <c r="H2367" s="16"/>
      <c r="I2367" s="23"/>
      <c r="J2367" s="23"/>
      <c r="K2367" s="16"/>
      <c r="L2367" s="23"/>
      <c r="M2367" s="23"/>
      <c r="N2367" s="23"/>
      <c r="O2367" s="16"/>
      <c r="P2367" s="23"/>
      <c r="Q2367" s="23"/>
      <c r="R2367" s="23"/>
      <c r="S2367" s="16"/>
      <c r="T2367" s="23"/>
      <c r="U2367" s="23"/>
      <c r="V2367" s="23"/>
      <c r="W2367" s="16"/>
      <c r="X2367" s="23"/>
      <c r="Y2367" s="23"/>
      <c r="Z2367" s="23"/>
      <c r="AA2367" s="16"/>
      <c r="AB2367" s="23"/>
      <c r="AC2367" s="23"/>
      <c r="AD2367" s="23"/>
      <c r="AE2367" s="16"/>
      <c r="AF2367" s="23"/>
      <c r="AG2367" s="23"/>
      <c r="AH2367" s="23"/>
      <c r="AI2367" s="16"/>
      <c r="AJ2367" s="23"/>
      <c r="AK2367" s="23"/>
      <c r="AL2367" s="23"/>
      <c r="AM2367" s="16"/>
      <c r="AN2367" s="23"/>
      <c r="AO2367" s="23"/>
      <c r="AP2367" s="23"/>
      <c r="AQ2367" s="16"/>
      <c r="AR2367" s="23"/>
      <c r="AS2367" s="23"/>
      <c r="AT2367" s="23"/>
      <c r="AU2367" s="16"/>
      <c r="AV2367" s="23"/>
      <c r="AW2367" s="23"/>
      <c r="AX2367" s="23"/>
      <c r="AY2367" s="16"/>
      <c r="AZ2367" s="23"/>
      <c r="BA2367" s="23"/>
      <c r="BB2367" s="23"/>
      <c r="BC2367" s="16"/>
      <c r="BD2367" s="23"/>
      <c r="BE2367" s="23"/>
      <c r="BF2367" s="23"/>
      <c r="BG2367" s="16"/>
      <c r="BH2367" s="23"/>
      <c r="BI2367" s="23"/>
      <c r="BJ2367" s="23"/>
      <c r="BN2367" s="23"/>
      <c r="BO2367" s="23"/>
      <c r="BP2367" s="16"/>
      <c r="BQ2367" s="16"/>
      <c r="BR2367" s="23"/>
      <c r="BS2367" s="16"/>
      <c r="BT2367" s="16"/>
      <c r="BU2367" s="16"/>
      <c r="BV2367" s="16"/>
      <c r="BW2367" s="16"/>
      <c r="BX2367" s="16"/>
      <c r="BY2367" s="16"/>
    </row>
    <row r="2368">
      <c r="A2368" s="16"/>
      <c r="B2368" s="16"/>
      <c r="C2368" s="22"/>
      <c r="D2368" s="16"/>
      <c r="E2368" s="16"/>
      <c r="F2368" s="16"/>
      <c r="G2368" s="16"/>
      <c r="H2368" s="16"/>
      <c r="I2368" s="23"/>
      <c r="J2368" s="23"/>
      <c r="K2368" s="16"/>
      <c r="L2368" s="23"/>
      <c r="M2368" s="23"/>
      <c r="N2368" s="23"/>
      <c r="O2368" s="16"/>
      <c r="P2368" s="23"/>
      <c r="Q2368" s="23"/>
      <c r="R2368" s="23"/>
      <c r="S2368" s="16"/>
      <c r="T2368" s="23"/>
      <c r="U2368" s="23"/>
      <c r="V2368" s="23"/>
      <c r="W2368" s="16"/>
      <c r="X2368" s="23"/>
      <c r="Y2368" s="23"/>
      <c r="Z2368" s="23"/>
      <c r="AA2368" s="16"/>
      <c r="AB2368" s="23"/>
      <c r="AC2368" s="23"/>
      <c r="AD2368" s="23"/>
      <c r="AE2368" s="16"/>
      <c r="AF2368" s="23"/>
      <c r="AG2368" s="23"/>
      <c r="AH2368" s="23"/>
      <c r="AI2368" s="16"/>
      <c r="AJ2368" s="23"/>
      <c r="AK2368" s="23"/>
      <c r="AL2368" s="23"/>
      <c r="AM2368" s="16"/>
      <c r="AN2368" s="23"/>
      <c r="AO2368" s="23"/>
      <c r="AP2368" s="23"/>
      <c r="AQ2368" s="16"/>
      <c r="AR2368" s="23"/>
      <c r="AS2368" s="23"/>
      <c r="AT2368" s="23"/>
      <c r="AU2368" s="16"/>
      <c r="AV2368" s="23"/>
      <c r="AW2368" s="23"/>
      <c r="AX2368" s="23"/>
      <c r="AY2368" s="16"/>
      <c r="AZ2368" s="23"/>
      <c r="BA2368" s="23"/>
      <c r="BB2368" s="23"/>
      <c r="BC2368" s="16"/>
      <c r="BD2368" s="23"/>
      <c r="BE2368" s="23"/>
      <c r="BF2368" s="23"/>
      <c r="BG2368" s="16"/>
      <c r="BH2368" s="23"/>
      <c r="BI2368" s="23"/>
      <c r="BJ2368" s="23"/>
      <c r="BN2368" s="23"/>
      <c r="BO2368" s="23"/>
      <c r="BP2368" s="16"/>
      <c r="BQ2368" s="16"/>
      <c r="BR2368" s="23"/>
      <c r="BS2368" s="16"/>
      <c r="BT2368" s="16"/>
      <c r="BU2368" s="16"/>
      <c r="BV2368" s="16"/>
      <c r="BW2368" s="16"/>
      <c r="BX2368" s="16"/>
      <c r="BY2368" s="16"/>
    </row>
    <row r="2369">
      <c r="A2369" s="16"/>
      <c r="B2369" s="16"/>
      <c r="C2369" s="22"/>
      <c r="D2369" s="16"/>
      <c r="E2369" s="16"/>
      <c r="F2369" s="16"/>
      <c r="G2369" s="16"/>
      <c r="H2369" s="16"/>
      <c r="I2369" s="23"/>
      <c r="J2369" s="23"/>
      <c r="K2369" s="16"/>
      <c r="L2369" s="23"/>
      <c r="M2369" s="23"/>
      <c r="N2369" s="23"/>
      <c r="O2369" s="16"/>
      <c r="P2369" s="23"/>
      <c r="Q2369" s="23"/>
      <c r="R2369" s="23"/>
      <c r="S2369" s="16"/>
      <c r="T2369" s="23"/>
      <c r="U2369" s="23"/>
      <c r="V2369" s="23"/>
      <c r="W2369" s="16"/>
      <c r="X2369" s="23"/>
      <c r="Y2369" s="23"/>
      <c r="Z2369" s="23"/>
      <c r="AA2369" s="16"/>
      <c r="AB2369" s="23"/>
      <c r="AC2369" s="23"/>
      <c r="AD2369" s="23"/>
      <c r="AE2369" s="16"/>
      <c r="AF2369" s="23"/>
      <c r="AG2369" s="23"/>
      <c r="AH2369" s="23"/>
      <c r="AI2369" s="16"/>
      <c r="AJ2369" s="23"/>
      <c r="AK2369" s="23"/>
      <c r="AL2369" s="23"/>
      <c r="AM2369" s="16"/>
      <c r="AN2369" s="23"/>
      <c r="AO2369" s="23"/>
      <c r="AP2369" s="23"/>
      <c r="AQ2369" s="16"/>
      <c r="AR2369" s="23"/>
      <c r="AS2369" s="23"/>
      <c r="AT2369" s="23"/>
      <c r="AU2369" s="16"/>
      <c r="AV2369" s="23"/>
      <c r="AW2369" s="23"/>
      <c r="AX2369" s="23"/>
      <c r="AY2369" s="16"/>
      <c r="AZ2369" s="23"/>
      <c r="BA2369" s="23"/>
      <c r="BB2369" s="23"/>
      <c r="BC2369" s="16"/>
      <c r="BD2369" s="23"/>
      <c r="BE2369" s="23"/>
      <c r="BF2369" s="23"/>
      <c r="BG2369" s="16"/>
      <c r="BH2369" s="23"/>
      <c r="BI2369" s="23"/>
      <c r="BJ2369" s="23"/>
      <c r="BN2369" s="23"/>
      <c r="BO2369" s="23"/>
      <c r="BP2369" s="16"/>
      <c r="BQ2369" s="16"/>
      <c r="BR2369" s="23"/>
      <c r="BS2369" s="16"/>
      <c r="BT2369" s="16"/>
      <c r="BU2369" s="16"/>
      <c r="BV2369" s="16"/>
      <c r="BW2369" s="16"/>
      <c r="BX2369" s="16"/>
      <c r="BY2369" s="16"/>
    </row>
    <row r="2370">
      <c r="A2370" s="16"/>
      <c r="B2370" s="16"/>
      <c r="C2370" s="22"/>
      <c r="D2370" s="16"/>
      <c r="E2370" s="16"/>
      <c r="F2370" s="16"/>
      <c r="G2370" s="16"/>
      <c r="H2370" s="16"/>
      <c r="I2370" s="23"/>
      <c r="J2370" s="23"/>
      <c r="K2370" s="16"/>
      <c r="L2370" s="23"/>
      <c r="M2370" s="23"/>
      <c r="N2370" s="23"/>
      <c r="O2370" s="16"/>
      <c r="P2370" s="23"/>
      <c r="Q2370" s="23"/>
      <c r="R2370" s="23"/>
      <c r="S2370" s="16"/>
      <c r="T2370" s="23"/>
      <c r="U2370" s="23"/>
      <c r="V2370" s="23"/>
      <c r="W2370" s="16"/>
      <c r="X2370" s="23"/>
      <c r="Y2370" s="23"/>
      <c r="Z2370" s="23"/>
      <c r="AA2370" s="16"/>
      <c r="AB2370" s="23"/>
      <c r="AC2370" s="23"/>
      <c r="AD2370" s="23"/>
      <c r="AE2370" s="16"/>
      <c r="AF2370" s="23"/>
      <c r="AG2370" s="23"/>
      <c r="AH2370" s="23"/>
      <c r="AI2370" s="16"/>
      <c r="AJ2370" s="23"/>
      <c r="AK2370" s="23"/>
      <c r="AL2370" s="23"/>
      <c r="AM2370" s="16"/>
      <c r="AN2370" s="23"/>
      <c r="AO2370" s="23"/>
      <c r="AP2370" s="23"/>
      <c r="AQ2370" s="16"/>
      <c r="AR2370" s="23"/>
      <c r="AS2370" s="23"/>
      <c r="AT2370" s="23"/>
      <c r="AU2370" s="16"/>
      <c r="AV2370" s="23"/>
      <c r="AW2370" s="23"/>
      <c r="AX2370" s="23"/>
      <c r="AY2370" s="16"/>
      <c r="AZ2370" s="23"/>
      <c r="BA2370" s="23"/>
      <c r="BB2370" s="23"/>
      <c r="BC2370" s="16"/>
      <c r="BD2370" s="23"/>
      <c r="BE2370" s="23"/>
      <c r="BF2370" s="23"/>
      <c r="BG2370" s="16"/>
      <c r="BH2370" s="23"/>
      <c r="BI2370" s="23"/>
      <c r="BJ2370" s="23"/>
      <c r="BN2370" s="23"/>
      <c r="BO2370" s="23"/>
      <c r="BP2370" s="16"/>
      <c r="BQ2370" s="16"/>
      <c r="BR2370" s="23"/>
      <c r="BS2370" s="16"/>
      <c r="BT2370" s="16"/>
      <c r="BU2370" s="16"/>
      <c r="BV2370" s="16"/>
      <c r="BW2370" s="16"/>
      <c r="BX2370" s="16"/>
      <c r="BY2370" s="16"/>
    </row>
    <row r="2371">
      <c r="A2371" s="16"/>
      <c r="B2371" s="16"/>
      <c r="C2371" s="22"/>
      <c r="D2371" s="16"/>
      <c r="E2371" s="16"/>
      <c r="F2371" s="16"/>
      <c r="G2371" s="16"/>
      <c r="H2371" s="16"/>
      <c r="I2371" s="23"/>
      <c r="J2371" s="23"/>
      <c r="K2371" s="16"/>
      <c r="L2371" s="23"/>
      <c r="M2371" s="23"/>
      <c r="N2371" s="23"/>
      <c r="O2371" s="16"/>
      <c r="P2371" s="23"/>
      <c r="Q2371" s="23"/>
      <c r="R2371" s="23"/>
      <c r="S2371" s="16"/>
      <c r="T2371" s="23"/>
      <c r="U2371" s="23"/>
      <c r="V2371" s="23"/>
      <c r="W2371" s="16"/>
      <c r="X2371" s="23"/>
      <c r="Y2371" s="23"/>
      <c r="Z2371" s="23"/>
      <c r="AA2371" s="16"/>
      <c r="AB2371" s="23"/>
      <c r="AC2371" s="23"/>
      <c r="AD2371" s="23"/>
      <c r="AE2371" s="16"/>
      <c r="AF2371" s="23"/>
      <c r="AG2371" s="23"/>
      <c r="AH2371" s="23"/>
      <c r="AI2371" s="16"/>
      <c r="AJ2371" s="23"/>
      <c r="AK2371" s="23"/>
      <c r="AL2371" s="23"/>
      <c r="AM2371" s="16"/>
      <c r="AN2371" s="23"/>
      <c r="AO2371" s="23"/>
      <c r="AP2371" s="23"/>
      <c r="AQ2371" s="16"/>
      <c r="AR2371" s="23"/>
      <c r="AS2371" s="23"/>
      <c r="AT2371" s="23"/>
      <c r="AU2371" s="16"/>
      <c r="AV2371" s="23"/>
      <c r="AW2371" s="23"/>
      <c r="AX2371" s="23"/>
      <c r="AY2371" s="16"/>
      <c r="AZ2371" s="23"/>
      <c r="BA2371" s="23"/>
      <c r="BB2371" s="23"/>
      <c r="BC2371" s="16"/>
      <c r="BD2371" s="23"/>
      <c r="BE2371" s="23"/>
      <c r="BF2371" s="23"/>
      <c r="BG2371" s="16"/>
      <c r="BH2371" s="23"/>
      <c r="BI2371" s="23"/>
      <c r="BJ2371" s="23"/>
      <c r="BN2371" s="23"/>
      <c r="BO2371" s="23"/>
      <c r="BP2371" s="16"/>
      <c r="BQ2371" s="16"/>
      <c r="BR2371" s="23"/>
      <c r="BS2371" s="16"/>
      <c r="BT2371" s="16"/>
      <c r="BU2371" s="16"/>
      <c r="BV2371" s="16"/>
      <c r="BW2371" s="16"/>
      <c r="BX2371" s="16"/>
      <c r="BY2371" s="16"/>
    </row>
    <row r="2372">
      <c r="A2372" s="16"/>
      <c r="B2372" s="16"/>
      <c r="C2372" s="22"/>
      <c r="D2372" s="16"/>
      <c r="E2372" s="16"/>
      <c r="F2372" s="16"/>
      <c r="G2372" s="16"/>
      <c r="H2372" s="16"/>
      <c r="I2372" s="23"/>
      <c r="J2372" s="23"/>
      <c r="K2372" s="16"/>
      <c r="L2372" s="23"/>
      <c r="M2372" s="23"/>
      <c r="N2372" s="23"/>
      <c r="O2372" s="16"/>
      <c r="P2372" s="23"/>
      <c r="Q2372" s="23"/>
      <c r="R2372" s="23"/>
      <c r="S2372" s="16"/>
      <c r="T2372" s="23"/>
      <c r="U2372" s="23"/>
      <c r="V2372" s="23"/>
      <c r="W2372" s="16"/>
      <c r="X2372" s="23"/>
      <c r="Y2372" s="23"/>
      <c r="Z2372" s="23"/>
      <c r="AA2372" s="16"/>
      <c r="AB2372" s="23"/>
      <c r="AC2372" s="23"/>
      <c r="AD2372" s="23"/>
      <c r="AE2372" s="16"/>
      <c r="AF2372" s="23"/>
      <c r="AG2372" s="23"/>
      <c r="AH2372" s="23"/>
      <c r="AI2372" s="16"/>
      <c r="AJ2372" s="23"/>
      <c r="AK2372" s="23"/>
      <c r="AL2372" s="23"/>
      <c r="AM2372" s="16"/>
      <c r="AN2372" s="23"/>
      <c r="AO2372" s="23"/>
      <c r="AP2372" s="23"/>
      <c r="AQ2372" s="16"/>
      <c r="AR2372" s="23"/>
      <c r="AS2372" s="23"/>
      <c r="AT2372" s="23"/>
      <c r="AU2372" s="16"/>
      <c r="AV2372" s="23"/>
      <c r="AW2372" s="23"/>
      <c r="AX2372" s="23"/>
      <c r="AY2372" s="16"/>
      <c r="AZ2372" s="23"/>
      <c r="BA2372" s="23"/>
      <c r="BB2372" s="23"/>
      <c r="BC2372" s="16"/>
      <c r="BD2372" s="23"/>
      <c r="BE2372" s="23"/>
      <c r="BF2372" s="23"/>
      <c r="BG2372" s="16"/>
      <c r="BH2372" s="23"/>
      <c r="BI2372" s="23"/>
      <c r="BJ2372" s="23"/>
      <c r="BN2372" s="23"/>
      <c r="BO2372" s="23"/>
      <c r="BP2372" s="16"/>
      <c r="BQ2372" s="16"/>
      <c r="BR2372" s="23"/>
      <c r="BS2372" s="16"/>
      <c r="BT2372" s="16"/>
      <c r="BU2372" s="16"/>
      <c r="BV2372" s="16"/>
      <c r="BW2372" s="16"/>
      <c r="BX2372" s="16"/>
      <c r="BY2372" s="16"/>
    </row>
    <row r="2373">
      <c r="A2373" s="16"/>
      <c r="B2373" s="16"/>
      <c r="C2373" s="22"/>
      <c r="D2373" s="16"/>
      <c r="E2373" s="16"/>
      <c r="F2373" s="16"/>
      <c r="G2373" s="16"/>
      <c r="H2373" s="16"/>
      <c r="I2373" s="23"/>
      <c r="J2373" s="23"/>
      <c r="K2373" s="16"/>
      <c r="L2373" s="23"/>
      <c r="M2373" s="23"/>
      <c r="N2373" s="23"/>
      <c r="O2373" s="16"/>
      <c r="P2373" s="23"/>
      <c r="Q2373" s="23"/>
      <c r="R2373" s="23"/>
      <c r="S2373" s="16"/>
      <c r="T2373" s="23"/>
      <c r="U2373" s="23"/>
      <c r="V2373" s="23"/>
      <c r="W2373" s="16"/>
      <c r="X2373" s="23"/>
      <c r="Y2373" s="23"/>
      <c r="Z2373" s="23"/>
      <c r="AA2373" s="16"/>
      <c r="AB2373" s="23"/>
      <c r="AC2373" s="23"/>
      <c r="AD2373" s="23"/>
      <c r="AE2373" s="16"/>
      <c r="AF2373" s="23"/>
      <c r="AG2373" s="23"/>
      <c r="AH2373" s="23"/>
      <c r="AI2373" s="16"/>
      <c r="AJ2373" s="23"/>
      <c r="AK2373" s="23"/>
      <c r="AL2373" s="23"/>
      <c r="AM2373" s="16"/>
      <c r="AN2373" s="23"/>
      <c r="AO2373" s="23"/>
      <c r="AP2373" s="23"/>
      <c r="AQ2373" s="16"/>
      <c r="AR2373" s="23"/>
      <c r="AS2373" s="23"/>
      <c r="AT2373" s="23"/>
      <c r="AU2373" s="16"/>
      <c r="AV2373" s="23"/>
      <c r="AW2373" s="23"/>
      <c r="AX2373" s="23"/>
      <c r="AY2373" s="16"/>
      <c r="AZ2373" s="23"/>
      <c r="BA2373" s="23"/>
      <c r="BB2373" s="23"/>
      <c r="BC2373" s="16"/>
      <c r="BD2373" s="23"/>
      <c r="BE2373" s="23"/>
      <c r="BF2373" s="23"/>
      <c r="BG2373" s="16"/>
      <c r="BH2373" s="23"/>
      <c r="BI2373" s="23"/>
      <c r="BJ2373" s="23"/>
      <c r="BN2373" s="23"/>
      <c r="BO2373" s="23"/>
      <c r="BP2373" s="16"/>
      <c r="BQ2373" s="16"/>
      <c r="BR2373" s="23"/>
      <c r="BS2373" s="16"/>
      <c r="BT2373" s="16"/>
      <c r="BU2373" s="16"/>
      <c r="BV2373" s="16"/>
      <c r="BW2373" s="16"/>
      <c r="BX2373" s="16"/>
      <c r="BY2373" s="16"/>
    </row>
    <row r="2374">
      <c r="A2374" s="16"/>
      <c r="B2374" s="16"/>
      <c r="C2374" s="22"/>
      <c r="D2374" s="16"/>
      <c r="E2374" s="16"/>
      <c r="F2374" s="16"/>
      <c r="G2374" s="16"/>
      <c r="H2374" s="16"/>
      <c r="I2374" s="23"/>
      <c r="J2374" s="23"/>
      <c r="K2374" s="16"/>
      <c r="L2374" s="23"/>
      <c r="M2374" s="23"/>
      <c r="N2374" s="23"/>
      <c r="O2374" s="16"/>
      <c r="P2374" s="23"/>
      <c r="Q2374" s="23"/>
      <c r="R2374" s="23"/>
      <c r="S2374" s="16"/>
      <c r="T2374" s="23"/>
      <c r="U2374" s="23"/>
      <c r="V2374" s="23"/>
      <c r="W2374" s="16"/>
      <c r="X2374" s="23"/>
      <c r="Y2374" s="23"/>
      <c r="Z2374" s="23"/>
      <c r="AA2374" s="16"/>
      <c r="AB2374" s="23"/>
      <c r="AC2374" s="23"/>
      <c r="AD2374" s="23"/>
      <c r="AE2374" s="16"/>
      <c r="AF2374" s="23"/>
      <c r="AG2374" s="23"/>
      <c r="AH2374" s="23"/>
      <c r="AI2374" s="16"/>
      <c r="AJ2374" s="23"/>
      <c r="AK2374" s="23"/>
      <c r="AL2374" s="23"/>
      <c r="AM2374" s="16"/>
      <c r="AN2374" s="23"/>
      <c r="AO2374" s="23"/>
      <c r="AP2374" s="23"/>
      <c r="AQ2374" s="16"/>
      <c r="AR2374" s="23"/>
      <c r="AS2374" s="23"/>
      <c r="AT2374" s="23"/>
      <c r="AU2374" s="16"/>
      <c r="AV2374" s="23"/>
      <c r="AW2374" s="23"/>
      <c r="AX2374" s="23"/>
      <c r="AY2374" s="16"/>
      <c r="AZ2374" s="23"/>
      <c r="BA2374" s="23"/>
      <c r="BB2374" s="23"/>
      <c r="BC2374" s="16"/>
      <c r="BD2374" s="23"/>
      <c r="BE2374" s="23"/>
      <c r="BF2374" s="23"/>
      <c r="BG2374" s="16"/>
      <c r="BH2374" s="23"/>
      <c r="BI2374" s="23"/>
      <c r="BJ2374" s="23"/>
      <c r="BN2374" s="23"/>
      <c r="BO2374" s="23"/>
      <c r="BP2374" s="16"/>
      <c r="BQ2374" s="16"/>
      <c r="BR2374" s="23"/>
      <c r="BS2374" s="16"/>
      <c r="BT2374" s="16"/>
      <c r="BU2374" s="16"/>
      <c r="BV2374" s="16"/>
      <c r="BW2374" s="16"/>
      <c r="BX2374" s="16"/>
      <c r="BY2374" s="16"/>
    </row>
    <row r="2375">
      <c r="A2375" s="16"/>
      <c r="B2375" s="16"/>
      <c r="C2375" s="22"/>
      <c r="D2375" s="16"/>
      <c r="E2375" s="16"/>
      <c r="F2375" s="16"/>
      <c r="G2375" s="16"/>
      <c r="H2375" s="16"/>
      <c r="I2375" s="23"/>
      <c r="J2375" s="23"/>
      <c r="K2375" s="16"/>
      <c r="L2375" s="23"/>
      <c r="M2375" s="23"/>
      <c r="N2375" s="23"/>
      <c r="O2375" s="16"/>
      <c r="P2375" s="23"/>
      <c r="Q2375" s="23"/>
      <c r="R2375" s="23"/>
      <c r="S2375" s="16"/>
      <c r="T2375" s="23"/>
      <c r="U2375" s="23"/>
      <c r="V2375" s="23"/>
      <c r="W2375" s="16"/>
      <c r="X2375" s="23"/>
      <c r="Y2375" s="23"/>
      <c r="Z2375" s="23"/>
      <c r="AA2375" s="16"/>
      <c r="AB2375" s="23"/>
      <c r="AC2375" s="23"/>
      <c r="AD2375" s="23"/>
      <c r="AE2375" s="16"/>
      <c r="AF2375" s="23"/>
      <c r="AG2375" s="23"/>
      <c r="AH2375" s="23"/>
      <c r="AI2375" s="16"/>
      <c r="AJ2375" s="23"/>
      <c r="AK2375" s="23"/>
      <c r="AL2375" s="23"/>
      <c r="AM2375" s="16"/>
      <c r="AN2375" s="23"/>
      <c r="AO2375" s="23"/>
      <c r="AP2375" s="23"/>
      <c r="AQ2375" s="16"/>
      <c r="AR2375" s="23"/>
      <c r="AS2375" s="23"/>
      <c r="AT2375" s="23"/>
      <c r="AU2375" s="16"/>
      <c r="AV2375" s="23"/>
      <c r="AW2375" s="23"/>
      <c r="AX2375" s="23"/>
      <c r="AY2375" s="16"/>
      <c r="AZ2375" s="23"/>
      <c r="BA2375" s="23"/>
      <c r="BB2375" s="23"/>
      <c r="BC2375" s="16"/>
      <c r="BD2375" s="23"/>
      <c r="BE2375" s="23"/>
      <c r="BF2375" s="23"/>
      <c r="BG2375" s="16"/>
      <c r="BH2375" s="23"/>
      <c r="BI2375" s="23"/>
      <c r="BJ2375" s="23"/>
      <c r="BN2375" s="23"/>
      <c r="BO2375" s="23"/>
      <c r="BP2375" s="16"/>
      <c r="BQ2375" s="16"/>
      <c r="BR2375" s="23"/>
      <c r="BS2375" s="16"/>
      <c r="BT2375" s="16"/>
      <c r="BU2375" s="16"/>
      <c r="BV2375" s="16"/>
      <c r="BW2375" s="16"/>
      <c r="BX2375" s="16"/>
      <c r="BY2375" s="16"/>
    </row>
    <row r="2376">
      <c r="A2376" s="16"/>
      <c r="B2376" s="16"/>
      <c r="C2376" s="22"/>
      <c r="D2376" s="16"/>
      <c r="E2376" s="16"/>
      <c r="F2376" s="16"/>
      <c r="G2376" s="16"/>
      <c r="H2376" s="16"/>
      <c r="I2376" s="23"/>
      <c r="J2376" s="23"/>
      <c r="K2376" s="16"/>
      <c r="L2376" s="23"/>
      <c r="M2376" s="23"/>
      <c r="N2376" s="23"/>
      <c r="O2376" s="16"/>
      <c r="P2376" s="23"/>
      <c r="Q2376" s="23"/>
      <c r="R2376" s="23"/>
      <c r="S2376" s="16"/>
      <c r="T2376" s="23"/>
      <c r="U2376" s="23"/>
      <c r="V2376" s="23"/>
      <c r="W2376" s="16"/>
      <c r="X2376" s="23"/>
      <c r="Y2376" s="23"/>
      <c r="Z2376" s="23"/>
      <c r="AA2376" s="16"/>
      <c r="AB2376" s="23"/>
      <c r="AC2376" s="23"/>
      <c r="AD2376" s="23"/>
      <c r="AE2376" s="16"/>
      <c r="AF2376" s="23"/>
      <c r="AG2376" s="23"/>
      <c r="AH2376" s="23"/>
      <c r="AI2376" s="16"/>
      <c r="AJ2376" s="23"/>
      <c r="AK2376" s="23"/>
      <c r="AL2376" s="23"/>
      <c r="AM2376" s="16"/>
      <c r="AN2376" s="23"/>
      <c r="AO2376" s="23"/>
      <c r="AP2376" s="23"/>
      <c r="AQ2376" s="16"/>
      <c r="AR2376" s="23"/>
      <c r="AS2376" s="23"/>
      <c r="AT2376" s="23"/>
      <c r="AU2376" s="16"/>
      <c r="AV2376" s="23"/>
      <c r="AW2376" s="23"/>
      <c r="AX2376" s="23"/>
      <c r="AY2376" s="16"/>
      <c r="AZ2376" s="23"/>
      <c r="BA2376" s="23"/>
      <c r="BB2376" s="23"/>
      <c r="BC2376" s="16"/>
      <c r="BD2376" s="23"/>
      <c r="BE2376" s="23"/>
      <c r="BF2376" s="23"/>
      <c r="BG2376" s="16"/>
      <c r="BH2376" s="23"/>
      <c r="BI2376" s="23"/>
      <c r="BJ2376" s="23"/>
      <c r="BN2376" s="23"/>
      <c r="BO2376" s="23"/>
      <c r="BP2376" s="16"/>
      <c r="BQ2376" s="16"/>
      <c r="BR2376" s="23"/>
      <c r="BS2376" s="16"/>
      <c r="BT2376" s="16"/>
      <c r="BU2376" s="16"/>
      <c r="BV2376" s="16"/>
      <c r="BW2376" s="16"/>
      <c r="BX2376" s="16"/>
      <c r="BY2376" s="16"/>
    </row>
    <row r="2377">
      <c r="A2377" s="16"/>
      <c r="B2377" s="16"/>
      <c r="C2377" s="22"/>
      <c r="D2377" s="16"/>
      <c r="E2377" s="16"/>
      <c r="F2377" s="16"/>
      <c r="G2377" s="16"/>
      <c r="H2377" s="16"/>
      <c r="I2377" s="23"/>
      <c r="J2377" s="23"/>
      <c r="K2377" s="16"/>
      <c r="L2377" s="23"/>
      <c r="M2377" s="23"/>
      <c r="N2377" s="23"/>
      <c r="O2377" s="16"/>
      <c r="P2377" s="23"/>
      <c r="Q2377" s="23"/>
      <c r="R2377" s="23"/>
      <c r="S2377" s="16"/>
      <c r="T2377" s="23"/>
      <c r="U2377" s="23"/>
      <c r="V2377" s="23"/>
      <c r="W2377" s="16"/>
      <c r="X2377" s="23"/>
      <c r="Y2377" s="23"/>
      <c r="Z2377" s="23"/>
      <c r="AA2377" s="16"/>
      <c r="AB2377" s="23"/>
      <c r="AC2377" s="23"/>
      <c r="AD2377" s="23"/>
      <c r="AE2377" s="16"/>
      <c r="AF2377" s="23"/>
      <c r="AG2377" s="23"/>
      <c r="AH2377" s="23"/>
      <c r="AI2377" s="16"/>
      <c r="AJ2377" s="23"/>
      <c r="AK2377" s="23"/>
      <c r="AL2377" s="23"/>
      <c r="AM2377" s="16"/>
      <c r="AN2377" s="23"/>
      <c r="AO2377" s="23"/>
      <c r="AP2377" s="23"/>
      <c r="AQ2377" s="16"/>
      <c r="AR2377" s="23"/>
      <c r="AS2377" s="23"/>
      <c r="AT2377" s="23"/>
      <c r="AU2377" s="16"/>
      <c r="AV2377" s="23"/>
      <c r="AW2377" s="23"/>
      <c r="AX2377" s="23"/>
      <c r="AY2377" s="16"/>
      <c r="AZ2377" s="23"/>
      <c r="BA2377" s="23"/>
      <c r="BB2377" s="23"/>
      <c r="BC2377" s="16"/>
      <c r="BD2377" s="23"/>
      <c r="BE2377" s="23"/>
      <c r="BF2377" s="23"/>
      <c r="BG2377" s="16"/>
      <c r="BH2377" s="23"/>
      <c r="BI2377" s="23"/>
      <c r="BJ2377" s="23"/>
      <c r="BN2377" s="23"/>
      <c r="BO2377" s="23"/>
      <c r="BP2377" s="16"/>
      <c r="BQ2377" s="16"/>
      <c r="BR2377" s="23"/>
      <c r="BS2377" s="16"/>
      <c r="BT2377" s="16"/>
      <c r="BU2377" s="16"/>
      <c r="BV2377" s="16"/>
      <c r="BW2377" s="16"/>
      <c r="BX2377" s="16"/>
      <c r="BY2377" s="16"/>
    </row>
    <row r="2378">
      <c r="A2378" s="16"/>
      <c r="B2378" s="16"/>
      <c r="C2378" s="22"/>
      <c r="D2378" s="16"/>
      <c r="E2378" s="16"/>
      <c r="F2378" s="16"/>
      <c r="G2378" s="16"/>
      <c r="H2378" s="16"/>
      <c r="I2378" s="23"/>
      <c r="J2378" s="23"/>
      <c r="K2378" s="16"/>
      <c r="L2378" s="23"/>
      <c r="M2378" s="23"/>
      <c r="N2378" s="23"/>
      <c r="O2378" s="16"/>
      <c r="P2378" s="23"/>
      <c r="Q2378" s="23"/>
      <c r="R2378" s="23"/>
      <c r="S2378" s="16"/>
      <c r="T2378" s="23"/>
      <c r="U2378" s="23"/>
      <c r="V2378" s="23"/>
      <c r="W2378" s="16"/>
      <c r="X2378" s="23"/>
      <c r="Y2378" s="23"/>
      <c r="Z2378" s="23"/>
      <c r="AA2378" s="16"/>
      <c r="AB2378" s="23"/>
      <c r="AC2378" s="23"/>
      <c r="AD2378" s="23"/>
      <c r="AE2378" s="16"/>
      <c r="AF2378" s="23"/>
      <c r="AG2378" s="23"/>
      <c r="AH2378" s="23"/>
      <c r="AI2378" s="16"/>
      <c r="AJ2378" s="23"/>
      <c r="AK2378" s="23"/>
      <c r="AL2378" s="23"/>
      <c r="AM2378" s="16"/>
      <c r="AN2378" s="23"/>
      <c r="AO2378" s="23"/>
      <c r="AP2378" s="23"/>
      <c r="AQ2378" s="16"/>
      <c r="AR2378" s="23"/>
      <c r="AS2378" s="23"/>
      <c r="AT2378" s="23"/>
      <c r="AU2378" s="16"/>
      <c r="AV2378" s="23"/>
      <c r="AW2378" s="23"/>
      <c r="AX2378" s="23"/>
      <c r="AY2378" s="16"/>
      <c r="AZ2378" s="23"/>
      <c r="BA2378" s="23"/>
      <c r="BB2378" s="23"/>
      <c r="BC2378" s="16"/>
      <c r="BD2378" s="23"/>
      <c r="BE2378" s="23"/>
      <c r="BF2378" s="23"/>
      <c r="BG2378" s="16"/>
      <c r="BH2378" s="23"/>
      <c r="BI2378" s="23"/>
      <c r="BJ2378" s="23"/>
      <c r="BN2378" s="23"/>
      <c r="BO2378" s="23"/>
      <c r="BP2378" s="16"/>
      <c r="BQ2378" s="16"/>
      <c r="BR2378" s="23"/>
      <c r="BS2378" s="16"/>
      <c r="BT2378" s="16"/>
      <c r="BU2378" s="16"/>
      <c r="BV2378" s="16"/>
      <c r="BW2378" s="16"/>
      <c r="BX2378" s="16"/>
      <c r="BY2378" s="16"/>
    </row>
    <row r="2379">
      <c r="A2379" s="16"/>
      <c r="B2379" s="16"/>
      <c r="C2379" s="22"/>
      <c r="D2379" s="16"/>
      <c r="E2379" s="16"/>
      <c r="F2379" s="16"/>
      <c r="G2379" s="16"/>
      <c r="H2379" s="16"/>
      <c r="I2379" s="23"/>
      <c r="J2379" s="23"/>
      <c r="K2379" s="16"/>
      <c r="L2379" s="23"/>
      <c r="M2379" s="23"/>
      <c r="N2379" s="23"/>
      <c r="O2379" s="16"/>
      <c r="P2379" s="23"/>
      <c r="Q2379" s="23"/>
      <c r="R2379" s="23"/>
      <c r="S2379" s="16"/>
      <c r="T2379" s="23"/>
      <c r="U2379" s="23"/>
      <c r="V2379" s="23"/>
      <c r="W2379" s="16"/>
      <c r="X2379" s="23"/>
      <c r="Y2379" s="23"/>
      <c r="Z2379" s="23"/>
      <c r="AA2379" s="16"/>
      <c r="AB2379" s="23"/>
      <c r="AC2379" s="23"/>
      <c r="AD2379" s="23"/>
      <c r="AE2379" s="16"/>
      <c r="AF2379" s="23"/>
      <c r="AG2379" s="23"/>
      <c r="AH2379" s="23"/>
      <c r="AI2379" s="16"/>
      <c r="AJ2379" s="23"/>
      <c r="AK2379" s="23"/>
      <c r="AL2379" s="23"/>
      <c r="AM2379" s="16"/>
      <c r="AN2379" s="23"/>
      <c r="AO2379" s="23"/>
      <c r="AP2379" s="23"/>
      <c r="AQ2379" s="16"/>
      <c r="AR2379" s="23"/>
      <c r="AS2379" s="23"/>
      <c r="AT2379" s="23"/>
      <c r="AU2379" s="16"/>
      <c r="AV2379" s="23"/>
      <c r="AW2379" s="23"/>
      <c r="AX2379" s="23"/>
      <c r="AY2379" s="16"/>
      <c r="AZ2379" s="23"/>
      <c r="BA2379" s="23"/>
      <c r="BB2379" s="23"/>
      <c r="BC2379" s="16"/>
      <c r="BD2379" s="23"/>
      <c r="BE2379" s="23"/>
      <c r="BF2379" s="23"/>
      <c r="BG2379" s="16"/>
      <c r="BH2379" s="23"/>
      <c r="BI2379" s="23"/>
      <c r="BJ2379" s="23"/>
      <c r="BN2379" s="23"/>
      <c r="BO2379" s="23"/>
      <c r="BP2379" s="16"/>
      <c r="BQ2379" s="16"/>
      <c r="BR2379" s="23"/>
      <c r="BS2379" s="16"/>
      <c r="BT2379" s="16"/>
      <c r="BU2379" s="16"/>
      <c r="BV2379" s="16"/>
      <c r="BW2379" s="16"/>
      <c r="BX2379" s="16"/>
      <c r="BY2379" s="16"/>
    </row>
    <row r="2380">
      <c r="A2380" s="16"/>
      <c r="B2380" s="16"/>
      <c r="C2380" s="22"/>
      <c r="D2380" s="16"/>
      <c r="E2380" s="16"/>
      <c r="F2380" s="16"/>
      <c r="G2380" s="16"/>
      <c r="H2380" s="16"/>
      <c r="I2380" s="23"/>
      <c r="J2380" s="23"/>
      <c r="K2380" s="16"/>
      <c r="L2380" s="23"/>
      <c r="M2380" s="23"/>
      <c r="N2380" s="23"/>
      <c r="O2380" s="16"/>
      <c r="P2380" s="23"/>
      <c r="Q2380" s="23"/>
      <c r="R2380" s="23"/>
      <c r="S2380" s="16"/>
      <c r="T2380" s="23"/>
      <c r="U2380" s="23"/>
      <c r="V2380" s="23"/>
      <c r="W2380" s="16"/>
      <c r="X2380" s="23"/>
      <c r="Y2380" s="23"/>
      <c r="Z2380" s="23"/>
      <c r="AA2380" s="16"/>
      <c r="AB2380" s="23"/>
      <c r="AC2380" s="23"/>
      <c r="AD2380" s="23"/>
      <c r="AE2380" s="16"/>
      <c r="AF2380" s="23"/>
      <c r="AG2380" s="23"/>
      <c r="AH2380" s="23"/>
      <c r="AI2380" s="16"/>
      <c r="AJ2380" s="23"/>
      <c r="AK2380" s="23"/>
      <c r="AL2380" s="23"/>
      <c r="AM2380" s="16"/>
      <c r="AN2380" s="23"/>
      <c r="AO2380" s="23"/>
      <c r="AP2380" s="23"/>
      <c r="AQ2380" s="16"/>
      <c r="AR2380" s="23"/>
      <c r="AS2380" s="23"/>
      <c r="AT2380" s="23"/>
      <c r="AU2380" s="16"/>
      <c r="AV2380" s="23"/>
      <c r="AW2380" s="23"/>
      <c r="AX2380" s="23"/>
      <c r="AY2380" s="16"/>
      <c r="AZ2380" s="23"/>
      <c r="BA2380" s="23"/>
      <c r="BB2380" s="23"/>
      <c r="BC2380" s="16"/>
      <c r="BD2380" s="23"/>
      <c r="BE2380" s="23"/>
      <c r="BF2380" s="23"/>
      <c r="BG2380" s="16"/>
      <c r="BH2380" s="23"/>
      <c r="BI2380" s="23"/>
      <c r="BJ2380" s="23"/>
      <c r="BN2380" s="23"/>
      <c r="BO2380" s="23"/>
      <c r="BP2380" s="16"/>
      <c r="BQ2380" s="16"/>
      <c r="BR2380" s="23"/>
      <c r="BS2380" s="16"/>
      <c r="BT2380" s="16"/>
      <c r="BU2380" s="16"/>
      <c r="BV2380" s="16"/>
      <c r="BW2380" s="16"/>
      <c r="BX2380" s="16"/>
      <c r="BY2380" s="16"/>
    </row>
    <row r="2381">
      <c r="A2381" s="16"/>
      <c r="B2381" s="16"/>
      <c r="C2381" s="22"/>
      <c r="D2381" s="16"/>
      <c r="E2381" s="16"/>
      <c r="F2381" s="16"/>
      <c r="G2381" s="16"/>
      <c r="H2381" s="16"/>
      <c r="I2381" s="23"/>
      <c r="J2381" s="23"/>
      <c r="K2381" s="16"/>
      <c r="L2381" s="23"/>
      <c r="M2381" s="23"/>
      <c r="N2381" s="23"/>
      <c r="O2381" s="16"/>
      <c r="P2381" s="23"/>
      <c r="Q2381" s="23"/>
      <c r="R2381" s="23"/>
      <c r="S2381" s="16"/>
      <c r="T2381" s="23"/>
      <c r="U2381" s="23"/>
      <c r="V2381" s="23"/>
      <c r="W2381" s="16"/>
      <c r="X2381" s="23"/>
      <c r="Y2381" s="23"/>
      <c r="Z2381" s="23"/>
      <c r="AA2381" s="16"/>
      <c r="AB2381" s="23"/>
      <c r="AC2381" s="23"/>
      <c r="AD2381" s="23"/>
      <c r="AE2381" s="16"/>
      <c r="AF2381" s="23"/>
      <c r="AG2381" s="23"/>
      <c r="AH2381" s="23"/>
      <c r="AI2381" s="16"/>
      <c r="AJ2381" s="23"/>
      <c r="AK2381" s="23"/>
      <c r="AL2381" s="23"/>
      <c r="AM2381" s="16"/>
      <c r="AN2381" s="23"/>
      <c r="AO2381" s="23"/>
      <c r="AP2381" s="23"/>
      <c r="AQ2381" s="16"/>
      <c r="AR2381" s="23"/>
      <c r="AS2381" s="23"/>
      <c r="AT2381" s="23"/>
      <c r="AU2381" s="16"/>
      <c r="AV2381" s="23"/>
      <c r="AW2381" s="23"/>
      <c r="AX2381" s="23"/>
      <c r="AY2381" s="16"/>
      <c r="AZ2381" s="23"/>
      <c r="BA2381" s="23"/>
      <c r="BB2381" s="23"/>
      <c r="BC2381" s="16"/>
      <c r="BD2381" s="23"/>
      <c r="BE2381" s="23"/>
      <c r="BF2381" s="23"/>
      <c r="BG2381" s="16"/>
      <c r="BH2381" s="23"/>
      <c r="BI2381" s="23"/>
      <c r="BJ2381" s="23"/>
      <c r="BN2381" s="23"/>
      <c r="BO2381" s="23"/>
      <c r="BP2381" s="16"/>
      <c r="BQ2381" s="16"/>
      <c r="BR2381" s="23"/>
      <c r="BS2381" s="16"/>
      <c r="BT2381" s="16"/>
      <c r="BU2381" s="16"/>
      <c r="BV2381" s="16"/>
      <c r="BW2381" s="16"/>
      <c r="BX2381" s="16"/>
      <c r="BY2381" s="16"/>
    </row>
    <row r="2382">
      <c r="A2382" s="16"/>
      <c r="B2382" s="16"/>
      <c r="C2382" s="22"/>
      <c r="D2382" s="16"/>
      <c r="E2382" s="16"/>
      <c r="F2382" s="16"/>
      <c r="G2382" s="16"/>
      <c r="H2382" s="16"/>
      <c r="I2382" s="23"/>
      <c r="J2382" s="23"/>
      <c r="K2382" s="16"/>
      <c r="L2382" s="23"/>
      <c r="M2382" s="23"/>
      <c r="N2382" s="23"/>
      <c r="O2382" s="16"/>
      <c r="P2382" s="23"/>
      <c r="Q2382" s="23"/>
      <c r="R2382" s="23"/>
      <c r="S2382" s="16"/>
      <c r="T2382" s="23"/>
      <c r="U2382" s="23"/>
      <c r="V2382" s="23"/>
      <c r="W2382" s="16"/>
      <c r="X2382" s="23"/>
      <c r="Y2382" s="23"/>
      <c r="Z2382" s="23"/>
      <c r="AA2382" s="16"/>
      <c r="AB2382" s="23"/>
      <c r="AC2382" s="23"/>
      <c r="AD2382" s="23"/>
      <c r="AE2382" s="16"/>
      <c r="AF2382" s="23"/>
      <c r="AG2382" s="23"/>
      <c r="AH2382" s="23"/>
      <c r="AI2382" s="16"/>
      <c r="AJ2382" s="23"/>
      <c r="AK2382" s="23"/>
      <c r="AL2382" s="23"/>
      <c r="AM2382" s="16"/>
      <c r="AN2382" s="23"/>
      <c r="AO2382" s="23"/>
      <c r="AP2382" s="23"/>
      <c r="AQ2382" s="16"/>
      <c r="AR2382" s="23"/>
      <c r="AS2382" s="23"/>
      <c r="AT2382" s="23"/>
      <c r="AU2382" s="16"/>
      <c r="AV2382" s="23"/>
      <c r="AW2382" s="23"/>
      <c r="AX2382" s="23"/>
      <c r="AY2382" s="16"/>
      <c r="AZ2382" s="23"/>
      <c r="BA2382" s="23"/>
      <c r="BB2382" s="23"/>
      <c r="BC2382" s="16"/>
      <c r="BD2382" s="23"/>
      <c r="BE2382" s="23"/>
      <c r="BF2382" s="23"/>
      <c r="BG2382" s="16"/>
      <c r="BH2382" s="23"/>
      <c r="BI2382" s="23"/>
      <c r="BJ2382" s="23"/>
      <c r="BN2382" s="23"/>
      <c r="BO2382" s="23"/>
      <c r="BP2382" s="16"/>
      <c r="BQ2382" s="16"/>
      <c r="BR2382" s="23"/>
      <c r="BS2382" s="16"/>
      <c r="BT2382" s="16"/>
      <c r="BU2382" s="16"/>
      <c r="BV2382" s="16"/>
      <c r="BW2382" s="16"/>
      <c r="BX2382" s="16"/>
      <c r="BY2382" s="16"/>
    </row>
    <row r="2383">
      <c r="A2383" s="16"/>
      <c r="B2383" s="16"/>
      <c r="C2383" s="22"/>
      <c r="D2383" s="16"/>
      <c r="E2383" s="16"/>
      <c r="F2383" s="16"/>
      <c r="G2383" s="16"/>
      <c r="H2383" s="16"/>
      <c r="I2383" s="23"/>
      <c r="J2383" s="23"/>
      <c r="K2383" s="16"/>
      <c r="L2383" s="23"/>
      <c r="M2383" s="23"/>
      <c r="N2383" s="23"/>
      <c r="O2383" s="16"/>
      <c r="P2383" s="23"/>
      <c r="Q2383" s="23"/>
      <c r="R2383" s="23"/>
      <c r="S2383" s="16"/>
      <c r="T2383" s="23"/>
      <c r="U2383" s="23"/>
      <c r="V2383" s="23"/>
      <c r="W2383" s="16"/>
      <c r="X2383" s="23"/>
      <c r="Y2383" s="23"/>
      <c r="Z2383" s="23"/>
      <c r="AA2383" s="16"/>
      <c r="AB2383" s="23"/>
      <c r="AC2383" s="23"/>
      <c r="AD2383" s="23"/>
      <c r="AE2383" s="16"/>
      <c r="AF2383" s="23"/>
      <c r="AG2383" s="23"/>
      <c r="AH2383" s="23"/>
      <c r="AI2383" s="16"/>
      <c r="AJ2383" s="23"/>
      <c r="AK2383" s="23"/>
      <c r="AL2383" s="23"/>
      <c r="AM2383" s="16"/>
      <c r="AN2383" s="23"/>
      <c r="AO2383" s="23"/>
      <c r="AP2383" s="23"/>
      <c r="AQ2383" s="16"/>
      <c r="AR2383" s="23"/>
      <c r="AS2383" s="23"/>
      <c r="AT2383" s="23"/>
      <c r="AU2383" s="16"/>
      <c r="AV2383" s="23"/>
      <c r="AW2383" s="23"/>
      <c r="AX2383" s="23"/>
      <c r="AY2383" s="16"/>
      <c r="AZ2383" s="23"/>
      <c r="BA2383" s="23"/>
      <c r="BB2383" s="23"/>
      <c r="BC2383" s="16"/>
      <c r="BD2383" s="23"/>
      <c r="BE2383" s="23"/>
      <c r="BF2383" s="23"/>
      <c r="BG2383" s="16"/>
      <c r="BH2383" s="23"/>
      <c r="BI2383" s="23"/>
      <c r="BJ2383" s="23"/>
      <c r="BN2383" s="23"/>
      <c r="BO2383" s="23"/>
      <c r="BP2383" s="16"/>
      <c r="BQ2383" s="16"/>
      <c r="BR2383" s="23"/>
      <c r="BS2383" s="16"/>
      <c r="BT2383" s="16"/>
      <c r="BU2383" s="16"/>
      <c r="BV2383" s="16"/>
      <c r="BW2383" s="16"/>
      <c r="BX2383" s="16"/>
      <c r="BY2383" s="16"/>
    </row>
    <row r="2384">
      <c r="A2384" s="16"/>
      <c r="B2384" s="16"/>
      <c r="C2384" s="22"/>
      <c r="D2384" s="16"/>
      <c r="E2384" s="16"/>
      <c r="F2384" s="16"/>
      <c r="G2384" s="16"/>
      <c r="H2384" s="16"/>
      <c r="I2384" s="23"/>
      <c r="J2384" s="23"/>
      <c r="K2384" s="16"/>
      <c r="L2384" s="23"/>
      <c r="M2384" s="23"/>
      <c r="N2384" s="23"/>
      <c r="O2384" s="16"/>
      <c r="P2384" s="23"/>
      <c r="Q2384" s="23"/>
      <c r="R2384" s="23"/>
      <c r="S2384" s="16"/>
      <c r="T2384" s="23"/>
      <c r="U2384" s="23"/>
      <c r="V2384" s="23"/>
      <c r="W2384" s="16"/>
      <c r="X2384" s="23"/>
      <c r="Y2384" s="23"/>
      <c r="Z2384" s="23"/>
      <c r="AA2384" s="16"/>
      <c r="AB2384" s="23"/>
      <c r="AC2384" s="23"/>
      <c r="AD2384" s="23"/>
      <c r="AE2384" s="16"/>
      <c r="AF2384" s="23"/>
      <c r="AG2384" s="23"/>
      <c r="AH2384" s="23"/>
      <c r="AI2384" s="16"/>
      <c r="AJ2384" s="23"/>
      <c r="AK2384" s="23"/>
      <c r="AL2384" s="23"/>
      <c r="AM2384" s="16"/>
      <c r="AN2384" s="23"/>
      <c r="AO2384" s="23"/>
      <c r="AP2384" s="23"/>
      <c r="AQ2384" s="16"/>
      <c r="AR2384" s="23"/>
      <c r="AS2384" s="23"/>
      <c r="AT2384" s="23"/>
      <c r="AU2384" s="16"/>
      <c r="AV2384" s="23"/>
      <c r="AW2384" s="23"/>
      <c r="AX2384" s="23"/>
      <c r="AY2384" s="16"/>
      <c r="AZ2384" s="23"/>
      <c r="BA2384" s="23"/>
      <c r="BB2384" s="23"/>
      <c r="BC2384" s="16"/>
      <c r="BD2384" s="23"/>
      <c r="BE2384" s="23"/>
      <c r="BF2384" s="23"/>
      <c r="BG2384" s="16"/>
      <c r="BH2384" s="23"/>
      <c r="BI2384" s="23"/>
      <c r="BJ2384" s="23"/>
      <c r="BN2384" s="23"/>
      <c r="BO2384" s="23"/>
      <c r="BP2384" s="16"/>
      <c r="BQ2384" s="16"/>
      <c r="BR2384" s="23"/>
      <c r="BS2384" s="16"/>
      <c r="BT2384" s="16"/>
      <c r="BU2384" s="16"/>
      <c r="BV2384" s="16"/>
      <c r="BW2384" s="16"/>
      <c r="BX2384" s="16"/>
      <c r="BY2384" s="16"/>
    </row>
    <row r="2385">
      <c r="A2385" s="16"/>
      <c r="B2385" s="16"/>
      <c r="C2385" s="22"/>
      <c r="D2385" s="16"/>
      <c r="E2385" s="16"/>
      <c r="F2385" s="16"/>
      <c r="G2385" s="16"/>
      <c r="H2385" s="16"/>
      <c r="I2385" s="23"/>
      <c r="J2385" s="23"/>
      <c r="K2385" s="16"/>
      <c r="L2385" s="23"/>
      <c r="M2385" s="23"/>
      <c r="N2385" s="23"/>
      <c r="O2385" s="16"/>
      <c r="P2385" s="23"/>
      <c r="Q2385" s="23"/>
      <c r="R2385" s="23"/>
      <c r="S2385" s="16"/>
      <c r="T2385" s="23"/>
      <c r="U2385" s="23"/>
      <c r="V2385" s="23"/>
      <c r="W2385" s="16"/>
      <c r="X2385" s="23"/>
      <c r="Y2385" s="23"/>
      <c r="Z2385" s="23"/>
      <c r="AA2385" s="16"/>
      <c r="AB2385" s="23"/>
      <c r="AC2385" s="23"/>
      <c r="AD2385" s="23"/>
      <c r="AE2385" s="16"/>
      <c r="AF2385" s="23"/>
      <c r="AG2385" s="23"/>
      <c r="AH2385" s="23"/>
      <c r="AI2385" s="16"/>
      <c r="AJ2385" s="23"/>
      <c r="AK2385" s="23"/>
      <c r="AL2385" s="23"/>
      <c r="AM2385" s="16"/>
      <c r="AN2385" s="23"/>
      <c r="AO2385" s="23"/>
      <c r="AP2385" s="23"/>
      <c r="AQ2385" s="16"/>
      <c r="AR2385" s="23"/>
      <c r="AS2385" s="23"/>
      <c r="AT2385" s="23"/>
      <c r="AU2385" s="16"/>
      <c r="AV2385" s="23"/>
      <c r="AW2385" s="23"/>
      <c r="AX2385" s="23"/>
      <c r="AY2385" s="16"/>
      <c r="AZ2385" s="23"/>
      <c r="BA2385" s="23"/>
      <c r="BB2385" s="23"/>
      <c r="BC2385" s="16"/>
      <c r="BD2385" s="23"/>
      <c r="BE2385" s="23"/>
      <c r="BF2385" s="23"/>
      <c r="BG2385" s="16"/>
      <c r="BH2385" s="23"/>
      <c r="BI2385" s="23"/>
      <c r="BJ2385" s="23"/>
      <c r="BN2385" s="23"/>
      <c r="BO2385" s="23"/>
      <c r="BP2385" s="16"/>
      <c r="BQ2385" s="16"/>
      <c r="BR2385" s="23"/>
      <c r="BS2385" s="16"/>
      <c r="BT2385" s="16"/>
      <c r="BU2385" s="16"/>
      <c r="BV2385" s="16"/>
      <c r="BW2385" s="16"/>
      <c r="BX2385" s="16"/>
      <c r="BY2385" s="16"/>
    </row>
    <row r="2386">
      <c r="A2386" s="16"/>
      <c r="B2386" s="16"/>
      <c r="C2386" s="22"/>
      <c r="D2386" s="16"/>
      <c r="E2386" s="16"/>
      <c r="F2386" s="16"/>
      <c r="G2386" s="16"/>
      <c r="H2386" s="16"/>
      <c r="I2386" s="23"/>
      <c r="J2386" s="23"/>
      <c r="K2386" s="16"/>
      <c r="L2386" s="23"/>
      <c r="M2386" s="23"/>
      <c r="N2386" s="23"/>
      <c r="O2386" s="16"/>
      <c r="P2386" s="23"/>
      <c r="Q2386" s="23"/>
      <c r="R2386" s="23"/>
      <c r="S2386" s="16"/>
      <c r="T2386" s="23"/>
      <c r="U2386" s="23"/>
      <c r="V2386" s="23"/>
      <c r="W2386" s="16"/>
      <c r="X2386" s="23"/>
      <c r="Y2386" s="23"/>
      <c r="Z2386" s="23"/>
      <c r="AA2386" s="16"/>
      <c r="AB2386" s="23"/>
      <c r="AC2386" s="23"/>
      <c r="AD2386" s="23"/>
      <c r="AE2386" s="16"/>
      <c r="AF2386" s="23"/>
      <c r="AG2386" s="23"/>
      <c r="AH2386" s="23"/>
      <c r="AI2386" s="16"/>
      <c r="AJ2386" s="23"/>
      <c r="AK2386" s="23"/>
      <c r="AL2386" s="23"/>
      <c r="AM2386" s="16"/>
      <c r="AN2386" s="23"/>
      <c r="AO2386" s="23"/>
      <c r="AP2386" s="23"/>
      <c r="AQ2386" s="16"/>
      <c r="AR2386" s="23"/>
      <c r="AS2386" s="23"/>
      <c r="AT2386" s="23"/>
      <c r="AU2386" s="16"/>
      <c r="AV2386" s="23"/>
      <c r="AW2386" s="23"/>
      <c r="AX2386" s="23"/>
      <c r="AY2386" s="16"/>
      <c r="AZ2386" s="23"/>
      <c r="BA2386" s="23"/>
      <c r="BB2386" s="23"/>
      <c r="BC2386" s="16"/>
      <c r="BD2386" s="23"/>
      <c r="BE2386" s="23"/>
      <c r="BF2386" s="23"/>
      <c r="BG2386" s="16"/>
      <c r="BH2386" s="23"/>
      <c r="BI2386" s="23"/>
      <c r="BJ2386" s="23"/>
      <c r="BN2386" s="23"/>
      <c r="BO2386" s="23"/>
      <c r="BP2386" s="16"/>
      <c r="BQ2386" s="16"/>
      <c r="BR2386" s="23"/>
      <c r="BS2386" s="16"/>
      <c r="BT2386" s="16"/>
      <c r="BU2386" s="16"/>
      <c r="BV2386" s="16"/>
      <c r="BW2386" s="16"/>
      <c r="BX2386" s="16"/>
      <c r="BY2386" s="16"/>
    </row>
    <row r="2387">
      <c r="A2387" s="16"/>
      <c r="B2387" s="16"/>
      <c r="C2387" s="22"/>
      <c r="D2387" s="16"/>
      <c r="E2387" s="16"/>
      <c r="F2387" s="16"/>
      <c r="G2387" s="16"/>
      <c r="H2387" s="16"/>
      <c r="I2387" s="23"/>
      <c r="J2387" s="23"/>
      <c r="K2387" s="16"/>
      <c r="L2387" s="23"/>
      <c r="M2387" s="23"/>
      <c r="N2387" s="23"/>
      <c r="O2387" s="16"/>
      <c r="P2387" s="23"/>
      <c r="Q2387" s="23"/>
      <c r="R2387" s="23"/>
      <c r="S2387" s="16"/>
      <c r="T2387" s="23"/>
      <c r="U2387" s="23"/>
      <c r="V2387" s="23"/>
      <c r="W2387" s="16"/>
      <c r="X2387" s="23"/>
      <c r="Y2387" s="23"/>
      <c r="Z2387" s="23"/>
      <c r="AA2387" s="16"/>
      <c r="AB2387" s="23"/>
      <c r="AC2387" s="23"/>
      <c r="AD2387" s="23"/>
      <c r="AE2387" s="16"/>
      <c r="AF2387" s="23"/>
      <c r="AG2387" s="23"/>
      <c r="AH2387" s="23"/>
      <c r="AI2387" s="16"/>
      <c r="AJ2387" s="23"/>
      <c r="AK2387" s="23"/>
      <c r="AL2387" s="23"/>
      <c r="AM2387" s="16"/>
      <c r="AN2387" s="23"/>
      <c r="AO2387" s="23"/>
      <c r="AP2387" s="23"/>
      <c r="AQ2387" s="16"/>
      <c r="AR2387" s="23"/>
      <c r="AS2387" s="23"/>
      <c r="AT2387" s="23"/>
      <c r="AU2387" s="16"/>
      <c r="AV2387" s="23"/>
      <c r="AW2387" s="23"/>
      <c r="AX2387" s="23"/>
      <c r="AY2387" s="16"/>
      <c r="AZ2387" s="23"/>
      <c r="BA2387" s="23"/>
      <c r="BB2387" s="23"/>
      <c r="BC2387" s="16"/>
      <c r="BD2387" s="23"/>
      <c r="BE2387" s="23"/>
      <c r="BF2387" s="23"/>
      <c r="BG2387" s="16"/>
      <c r="BH2387" s="23"/>
      <c r="BI2387" s="23"/>
      <c r="BJ2387" s="23"/>
      <c r="BN2387" s="23"/>
      <c r="BO2387" s="23"/>
      <c r="BP2387" s="16"/>
      <c r="BQ2387" s="16"/>
      <c r="BR2387" s="23"/>
      <c r="BS2387" s="16"/>
      <c r="BT2387" s="16"/>
      <c r="BU2387" s="16"/>
      <c r="BV2387" s="16"/>
      <c r="BW2387" s="16"/>
      <c r="BX2387" s="16"/>
      <c r="BY2387" s="16"/>
    </row>
    <row r="2388">
      <c r="A2388" s="16"/>
      <c r="B2388" s="16"/>
      <c r="C2388" s="22"/>
      <c r="D2388" s="16"/>
      <c r="E2388" s="16"/>
      <c r="F2388" s="16"/>
      <c r="G2388" s="16"/>
      <c r="H2388" s="16"/>
      <c r="I2388" s="23"/>
      <c r="J2388" s="23"/>
      <c r="K2388" s="16"/>
      <c r="L2388" s="23"/>
      <c r="M2388" s="23"/>
      <c r="N2388" s="23"/>
      <c r="O2388" s="16"/>
      <c r="P2388" s="23"/>
      <c r="Q2388" s="23"/>
      <c r="R2388" s="23"/>
      <c r="S2388" s="16"/>
      <c r="T2388" s="23"/>
      <c r="U2388" s="23"/>
      <c r="V2388" s="23"/>
      <c r="W2388" s="16"/>
      <c r="X2388" s="23"/>
      <c r="Y2388" s="23"/>
      <c r="Z2388" s="23"/>
      <c r="AA2388" s="16"/>
      <c r="AB2388" s="23"/>
      <c r="AC2388" s="23"/>
      <c r="AD2388" s="23"/>
      <c r="AE2388" s="16"/>
      <c r="AF2388" s="23"/>
      <c r="AG2388" s="23"/>
      <c r="AH2388" s="23"/>
      <c r="AI2388" s="16"/>
      <c r="AJ2388" s="23"/>
      <c r="AK2388" s="23"/>
      <c r="AL2388" s="23"/>
      <c r="AM2388" s="16"/>
      <c r="AN2388" s="23"/>
      <c r="AO2388" s="23"/>
      <c r="AP2388" s="23"/>
      <c r="AQ2388" s="16"/>
      <c r="AR2388" s="23"/>
      <c r="AS2388" s="23"/>
      <c r="AT2388" s="23"/>
      <c r="AU2388" s="16"/>
      <c r="AV2388" s="23"/>
      <c r="AW2388" s="23"/>
      <c r="AX2388" s="23"/>
      <c r="AY2388" s="16"/>
      <c r="AZ2388" s="23"/>
      <c r="BA2388" s="23"/>
      <c r="BB2388" s="23"/>
      <c r="BC2388" s="16"/>
      <c r="BD2388" s="23"/>
      <c r="BE2388" s="23"/>
      <c r="BF2388" s="23"/>
      <c r="BG2388" s="16"/>
      <c r="BH2388" s="23"/>
      <c r="BI2388" s="23"/>
      <c r="BJ2388" s="23"/>
      <c r="BN2388" s="23"/>
      <c r="BO2388" s="23"/>
      <c r="BP2388" s="16"/>
      <c r="BQ2388" s="16"/>
      <c r="BR2388" s="23"/>
      <c r="BS2388" s="16"/>
      <c r="BT2388" s="16"/>
      <c r="BU2388" s="16"/>
      <c r="BV2388" s="16"/>
      <c r="BW2388" s="16"/>
      <c r="BX2388" s="16"/>
      <c r="BY2388" s="16"/>
    </row>
    <row r="2389">
      <c r="A2389" s="16"/>
      <c r="B2389" s="16"/>
      <c r="C2389" s="22"/>
      <c r="D2389" s="16"/>
      <c r="E2389" s="16"/>
      <c r="F2389" s="16"/>
      <c r="G2389" s="16"/>
      <c r="H2389" s="16"/>
      <c r="I2389" s="23"/>
      <c r="J2389" s="23"/>
      <c r="K2389" s="16"/>
      <c r="L2389" s="23"/>
      <c r="M2389" s="23"/>
      <c r="N2389" s="23"/>
      <c r="O2389" s="16"/>
      <c r="P2389" s="23"/>
      <c r="Q2389" s="23"/>
      <c r="R2389" s="23"/>
      <c r="S2389" s="16"/>
      <c r="T2389" s="23"/>
      <c r="U2389" s="23"/>
      <c r="V2389" s="23"/>
      <c r="W2389" s="16"/>
      <c r="X2389" s="23"/>
      <c r="Y2389" s="23"/>
      <c r="Z2389" s="23"/>
      <c r="AA2389" s="16"/>
      <c r="AB2389" s="23"/>
      <c r="AC2389" s="23"/>
      <c r="AD2389" s="23"/>
      <c r="AE2389" s="16"/>
      <c r="AF2389" s="23"/>
      <c r="AG2389" s="23"/>
      <c r="AH2389" s="23"/>
      <c r="AI2389" s="16"/>
      <c r="AJ2389" s="23"/>
      <c r="AK2389" s="23"/>
      <c r="AL2389" s="23"/>
      <c r="AM2389" s="16"/>
      <c r="AN2389" s="23"/>
      <c r="AO2389" s="23"/>
      <c r="AP2389" s="23"/>
      <c r="AQ2389" s="16"/>
      <c r="AR2389" s="23"/>
      <c r="AS2389" s="23"/>
      <c r="AT2389" s="23"/>
      <c r="AU2389" s="16"/>
      <c r="AV2389" s="23"/>
      <c r="AW2389" s="23"/>
      <c r="AX2389" s="23"/>
      <c r="AY2389" s="16"/>
      <c r="AZ2389" s="23"/>
      <c r="BA2389" s="23"/>
      <c r="BB2389" s="23"/>
      <c r="BC2389" s="16"/>
      <c r="BD2389" s="23"/>
      <c r="BE2389" s="23"/>
      <c r="BF2389" s="23"/>
      <c r="BG2389" s="16"/>
      <c r="BH2389" s="23"/>
      <c r="BI2389" s="23"/>
      <c r="BJ2389" s="23"/>
      <c r="BN2389" s="23"/>
      <c r="BO2389" s="23"/>
      <c r="BP2389" s="16"/>
      <c r="BQ2389" s="16"/>
      <c r="BR2389" s="23"/>
      <c r="BS2389" s="16"/>
      <c r="BT2389" s="16"/>
      <c r="BU2389" s="16"/>
      <c r="BV2389" s="16"/>
      <c r="BW2389" s="16"/>
      <c r="BX2389" s="16"/>
      <c r="BY2389" s="16"/>
    </row>
    <row r="2390">
      <c r="A2390" s="16"/>
      <c r="B2390" s="16"/>
      <c r="C2390" s="22"/>
      <c r="D2390" s="16"/>
      <c r="E2390" s="16"/>
      <c r="F2390" s="16"/>
      <c r="G2390" s="16"/>
      <c r="H2390" s="16"/>
      <c r="I2390" s="23"/>
      <c r="J2390" s="23"/>
      <c r="K2390" s="16"/>
      <c r="L2390" s="23"/>
      <c r="M2390" s="23"/>
      <c r="N2390" s="23"/>
      <c r="O2390" s="16"/>
      <c r="P2390" s="23"/>
      <c r="Q2390" s="23"/>
      <c r="R2390" s="23"/>
      <c r="S2390" s="16"/>
      <c r="T2390" s="23"/>
      <c r="U2390" s="23"/>
      <c r="V2390" s="23"/>
      <c r="W2390" s="16"/>
      <c r="X2390" s="23"/>
      <c r="Y2390" s="23"/>
      <c r="Z2390" s="23"/>
      <c r="AA2390" s="16"/>
      <c r="AB2390" s="23"/>
      <c r="AC2390" s="23"/>
      <c r="AD2390" s="23"/>
      <c r="AE2390" s="16"/>
      <c r="AF2390" s="23"/>
      <c r="AG2390" s="23"/>
      <c r="AH2390" s="23"/>
      <c r="AI2390" s="16"/>
      <c r="AJ2390" s="23"/>
      <c r="AK2390" s="23"/>
      <c r="AL2390" s="23"/>
      <c r="AM2390" s="16"/>
      <c r="AN2390" s="23"/>
      <c r="AO2390" s="23"/>
      <c r="AP2390" s="23"/>
      <c r="AQ2390" s="16"/>
      <c r="AR2390" s="23"/>
      <c r="AS2390" s="23"/>
      <c r="AT2390" s="23"/>
      <c r="AU2390" s="16"/>
      <c r="AV2390" s="23"/>
      <c r="AW2390" s="23"/>
      <c r="AX2390" s="23"/>
      <c r="AY2390" s="16"/>
      <c r="AZ2390" s="23"/>
      <c r="BA2390" s="23"/>
      <c r="BB2390" s="23"/>
      <c r="BC2390" s="16"/>
      <c r="BD2390" s="23"/>
      <c r="BE2390" s="23"/>
      <c r="BF2390" s="23"/>
      <c r="BG2390" s="16"/>
      <c r="BH2390" s="23"/>
      <c r="BI2390" s="23"/>
      <c r="BJ2390" s="23"/>
      <c r="BN2390" s="23"/>
      <c r="BO2390" s="23"/>
      <c r="BP2390" s="16"/>
      <c r="BQ2390" s="16"/>
      <c r="BR2390" s="23"/>
      <c r="BS2390" s="16"/>
      <c r="BT2390" s="16"/>
      <c r="BU2390" s="16"/>
      <c r="BV2390" s="16"/>
      <c r="BW2390" s="16"/>
      <c r="BX2390" s="16"/>
      <c r="BY2390" s="16"/>
    </row>
    <row r="2391">
      <c r="A2391" s="16"/>
      <c r="B2391" s="16"/>
      <c r="C2391" s="22"/>
      <c r="D2391" s="16"/>
      <c r="E2391" s="16"/>
      <c r="F2391" s="16"/>
      <c r="G2391" s="16"/>
      <c r="H2391" s="16"/>
      <c r="I2391" s="23"/>
      <c r="J2391" s="23"/>
      <c r="K2391" s="16"/>
      <c r="L2391" s="23"/>
      <c r="M2391" s="23"/>
      <c r="N2391" s="23"/>
      <c r="O2391" s="16"/>
      <c r="P2391" s="23"/>
      <c r="Q2391" s="23"/>
      <c r="R2391" s="23"/>
      <c r="S2391" s="16"/>
      <c r="T2391" s="23"/>
      <c r="U2391" s="23"/>
      <c r="V2391" s="23"/>
      <c r="W2391" s="16"/>
      <c r="X2391" s="23"/>
      <c r="Y2391" s="23"/>
      <c r="Z2391" s="23"/>
      <c r="AA2391" s="16"/>
      <c r="AB2391" s="23"/>
      <c r="AC2391" s="23"/>
      <c r="AD2391" s="23"/>
      <c r="AE2391" s="16"/>
      <c r="AF2391" s="23"/>
      <c r="AG2391" s="23"/>
      <c r="AH2391" s="23"/>
      <c r="AI2391" s="16"/>
      <c r="AJ2391" s="23"/>
      <c r="AK2391" s="23"/>
      <c r="AL2391" s="23"/>
      <c r="AM2391" s="16"/>
      <c r="AN2391" s="23"/>
      <c r="AO2391" s="23"/>
      <c r="AP2391" s="23"/>
      <c r="AQ2391" s="16"/>
      <c r="AR2391" s="23"/>
      <c r="AS2391" s="23"/>
      <c r="AT2391" s="23"/>
      <c r="AU2391" s="16"/>
      <c r="AV2391" s="23"/>
      <c r="AW2391" s="23"/>
      <c r="AX2391" s="23"/>
      <c r="AY2391" s="16"/>
      <c r="AZ2391" s="23"/>
      <c r="BA2391" s="23"/>
      <c r="BB2391" s="23"/>
      <c r="BC2391" s="16"/>
      <c r="BD2391" s="23"/>
      <c r="BE2391" s="23"/>
      <c r="BF2391" s="23"/>
      <c r="BG2391" s="16"/>
      <c r="BH2391" s="23"/>
      <c r="BI2391" s="23"/>
      <c r="BJ2391" s="23"/>
      <c r="BN2391" s="23"/>
      <c r="BO2391" s="23"/>
      <c r="BP2391" s="16"/>
      <c r="BQ2391" s="16"/>
      <c r="BR2391" s="23"/>
      <c r="BS2391" s="16"/>
      <c r="BT2391" s="16"/>
      <c r="BU2391" s="16"/>
      <c r="BV2391" s="16"/>
      <c r="BW2391" s="16"/>
      <c r="BX2391" s="16"/>
      <c r="BY2391" s="16"/>
    </row>
    <row r="2392">
      <c r="A2392" s="16"/>
      <c r="B2392" s="16"/>
      <c r="C2392" s="22"/>
      <c r="D2392" s="16"/>
      <c r="E2392" s="16"/>
      <c r="F2392" s="16"/>
      <c r="G2392" s="16"/>
      <c r="H2392" s="16"/>
      <c r="I2392" s="23"/>
      <c r="J2392" s="23"/>
      <c r="K2392" s="16"/>
      <c r="L2392" s="23"/>
      <c r="M2392" s="23"/>
      <c r="N2392" s="23"/>
      <c r="O2392" s="16"/>
      <c r="P2392" s="23"/>
      <c r="Q2392" s="23"/>
      <c r="R2392" s="23"/>
      <c r="S2392" s="16"/>
      <c r="T2392" s="23"/>
      <c r="U2392" s="23"/>
      <c r="V2392" s="23"/>
      <c r="W2392" s="16"/>
      <c r="X2392" s="23"/>
      <c r="Y2392" s="23"/>
      <c r="Z2392" s="23"/>
      <c r="AA2392" s="16"/>
      <c r="AB2392" s="23"/>
      <c r="AC2392" s="23"/>
      <c r="AD2392" s="23"/>
      <c r="AE2392" s="16"/>
      <c r="AF2392" s="23"/>
      <c r="AG2392" s="23"/>
      <c r="AH2392" s="23"/>
      <c r="AI2392" s="16"/>
      <c r="AJ2392" s="23"/>
      <c r="AK2392" s="23"/>
      <c r="AL2392" s="23"/>
      <c r="AM2392" s="16"/>
      <c r="AN2392" s="23"/>
      <c r="AO2392" s="23"/>
      <c r="AP2392" s="23"/>
      <c r="AQ2392" s="16"/>
      <c r="AR2392" s="23"/>
      <c r="AS2392" s="23"/>
      <c r="AT2392" s="23"/>
      <c r="AU2392" s="16"/>
      <c r="AV2392" s="23"/>
      <c r="AW2392" s="23"/>
      <c r="AX2392" s="23"/>
      <c r="AY2392" s="16"/>
      <c r="AZ2392" s="23"/>
      <c r="BA2392" s="23"/>
      <c r="BB2392" s="23"/>
      <c r="BC2392" s="16"/>
      <c r="BD2392" s="23"/>
      <c r="BE2392" s="23"/>
      <c r="BF2392" s="23"/>
      <c r="BG2392" s="16"/>
      <c r="BH2392" s="23"/>
      <c r="BI2392" s="23"/>
      <c r="BJ2392" s="23"/>
      <c r="BN2392" s="23"/>
      <c r="BO2392" s="23"/>
      <c r="BP2392" s="16"/>
      <c r="BQ2392" s="16"/>
      <c r="BR2392" s="23"/>
      <c r="BS2392" s="16"/>
      <c r="BT2392" s="16"/>
      <c r="BU2392" s="16"/>
      <c r="BV2392" s="16"/>
      <c r="BW2392" s="16"/>
      <c r="BX2392" s="16"/>
      <c r="BY2392" s="16"/>
    </row>
    <row r="2393">
      <c r="A2393" s="16"/>
      <c r="B2393" s="16"/>
      <c r="C2393" s="22"/>
      <c r="D2393" s="16"/>
      <c r="E2393" s="16"/>
      <c r="F2393" s="16"/>
      <c r="G2393" s="16"/>
      <c r="H2393" s="16"/>
      <c r="I2393" s="23"/>
      <c r="J2393" s="23"/>
      <c r="K2393" s="16"/>
      <c r="L2393" s="23"/>
      <c r="M2393" s="23"/>
      <c r="N2393" s="23"/>
      <c r="O2393" s="16"/>
      <c r="P2393" s="23"/>
      <c r="Q2393" s="23"/>
      <c r="R2393" s="23"/>
      <c r="S2393" s="16"/>
      <c r="T2393" s="23"/>
      <c r="U2393" s="23"/>
      <c r="V2393" s="23"/>
      <c r="W2393" s="16"/>
      <c r="X2393" s="23"/>
      <c r="Y2393" s="23"/>
      <c r="Z2393" s="23"/>
      <c r="AA2393" s="16"/>
      <c r="AB2393" s="23"/>
      <c r="AC2393" s="23"/>
      <c r="AD2393" s="23"/>
      <c r="AE2393" s="16"/>
      <c r="AF2393" s="23"/>
      <c r="AG2393" s="23"/>
      <c r="AH2393" s="23"/>
      <c r="AI2393" s="16"/>
      <c r="AJ2393" s="23"/>
      <c r="AK2393" s="23"/>
      <c r="AL2393" s="23"/>
      <c r="AM2393" s="16"/>
      <c r="AN2393" s="23"/>
      <c r="AO2393" s="23"/>
      <c r="AP2393" s="23"/>
      <c r="AQ2393" s="16"/>
      <c r="AR2393" s="23"/>
      <c r="AS2393" s="23"/>
      <c r="AT2393" s="23"/>
      <c r="AU2393" s="16"/>
      <c r="AV2393" s="23"/>
      <c r="AW2393" s="23"/>
      <c r="AX2393" s="23"/>
      <c r="AY2393" s="16"/>
      <c r="AZ2393" s="23"/>
      <c r="BA2393" s="23"/>
      <c r="BB2393" s="23"/>
      <c r="BC2393" s="16"/>
      <c r="BD2393" s="23"/>
      <c r="BE2393" s="23"/>
      <c r="BF2393" s="23"/>
      <c r="BG2393" s="16"/>
      <c r="BH2393" s="23"/>
      <c r="BI2393" s="23"/>
      <c r="BJ2393" s="23"/>
      <c r="BN2393" s="23"/>
      <c r="BO2393" s="23"/>
      <c r="BP2393" s="16"/>
      <c r="BQ2393" s="16"/>
      <c r="BR2393" s="23"/>
      <c r="BS2393" s="16"/>
      <c r="BT2393" s="16"/>
      <c r="BU2393" s="16"/>
      <c r="BV2393" s="16"/>
      <c r="BW2393" s="16"/>
      <c r="BX2393" s="16"/>
      <c r="BY2393" s="16"/>
    </row>
    <row r="2394">
      <c r="A2394" s="16"/>
      <c r="B2394" s="16"/>
      <c r="C2394" s="22"/>
      <c r="D2394" s="16"/>
      <c r="E2394" s="16"/>
      <c r="F2394" s="16"/>
      <c r="G2394" s="16"/>
      <c r="H2394" s="16"/>
      <c r="I2394" s="23"/>
      <c r="J2394" s="23"/>
      <c r="K2394" s="16"/>
      <c r="L2394" s="23"/>
      <c r="M2394" s="23"/>
      <c r="N2394" s="23"/>
      <c r="O2394" s="16"/>
      <c r="P2394" s="23"/>
      <c r="Q2394" s="23"/>
      <c r="R2394" s="23"/>
      <c r="S2394" s="16"/>
      <c r="T2394" s="23"/>
      <c r="U2394" s="23"/>
      <c r="V2394" s="23"/>
      <c r="W2394" s="16"/>
      <c r="X2394" s="23"/>
      <c r="Y2394" s="23"/>
      <c r="Z2394" s="23"/>
      <c r="AA2394" s="16"/>
      <c r="AB2394" s="23"/>
      <c r="AC2394" s="23"/>
      <c r="AD2394" s="23"/>
      <c r="AE2394" s="16"/>
      <c r="AF2394" s="23"/>
      <c r="AG2394" s="23"/>
      <c r="AH2394" s="23"/>
      <c r="AI2394" s="16"/>
      <c r="AJ2394" s="23"/>
      <c r="AK2394" s="23"/>
      <c r="AL2394" s="23"/>
      <c r="AM2394" s="16"/>
      <c r="AN2394" s="23"/>
      <c r="AO2394" s="23"/>
      <c r="AP2394" s="23"/>
      <c r="AQ2394" s="16"/>
      <c r="AR2394" s="23"/>
      <c r="AS2394" s="23"/>
      <c r="AT2394" s="23"/>
      <c r="AU2394" s="16"/>
      <c r="AV2394" s="23"/>
      <c r="AW2394" s="23"/>
      <c r="AX2394" s="23"/>
      <c r="AY2394" s="16"/>
      <c r="AZ2394" s="23"/>
      <c r="BA2394" s="23"/>
      <c r="BB2394" s="23"/>
      <c r="BC2394" s="16"/>
      <c r="BD2394" s="23"/>
      <c r="BE2394" s="23"/>
      <c r="BF2394" s="23"/>
      <c r="BG2394" s="16"/>
      <c r="BH2394" s="23"/>
      <c r="BI2394" s="23"/>
      <c r="BJ2394" s="23"/>
      <c r="BN2394" s="23"/>
      <c r="BO2394" s="23"/>
      <c r="BP2394" s="16"/>
      <c r="BQ2394" s="16"/>
      <c r="BR2394" s="23"/>
      <c r="BS2394" s="16"/>
      <c r="BT2394" s="16"/>
      <c r="BU2394" s="16"/>
      <c r="BV2394" s="16"/>
      <c r="BW2394" s="16"/>
      <c r="BX2394" s="16"/>
      <c r="BY2394" s="16"/>
    </row>
    <row r="2395">
      <c r="A2395" s="16"/>
      <c r="B2395" s="16"/>
      <c r="C2395" s="22"/>
      <c r="D2395" s="16"/>
      <c r="E2395" s="16"/>
      <c r="F2395" s="16"/>
      <c r="G2395" s="16"/>
      <c r="H2395" s="16"/>
      <c r="I2395" s="23"/>
      <c r="J2395" s="23"/>
      <c r="K2395" s="16"/>
      <c r="L2395" s="23"/>
      <c r="M2395" s="23"/>
      <c r="N2395" s="23"/>
      <c r="O2395" s="16"/>
      <c r="P2395" s="23"/>
      <c r="Q2395" s="23"/>
      <c r="R2395" s="23"/>
      <c r="S2395" s="16"/>
      <c r="T2395" s="23"/>
      <c r="U2395" s="23"/>
      <c r="V2395" s="23"/>
      <c r="W2395" s="16"/>
      <c r="X2395" s="23"/>
      <c r="Y2395" s="23"/>
      <c r="Z2395" s="23"/>
      <c r="AA2395" s="16"/>
      <c r="AB2395" s="23"/>
      <c r="AC2395" s="23"/>
      <c r="AD2395" s="23"/>
      <c r="AE2395" s="16"/>
      <c r="AF2395" s="23"/>
      <c r="AG2395" s="23"/>
      <c r="AH2395" s="23"/>
      <c r="AI2395" s="16"/>
      <c r="AJ2395" s="23"/>
      <c r="AK2395" s="23"/>
      <c r="AL2395" s="23"/>
      <c r="AM2395" s="16"/>
      <c r="AN2395" s="23"/>
      <c r="AO2395" s="23"/>
      <c r="AP2395" s="23"/>
      <c r="AQ2395" s="16"/>
      <c r="AR2395" s="23"/>
      <c r="AS2395" s="23"/>
      <c r="AT2395" s="23"/>
      <c r="AU2395" s="16"/>
      <c r="AV2395" s="23"/>
      <c r="AW2395" s="23"/>
      <c r="AX2395" s="23"/>
      <c r="AY2395" s="16"/>
      <c r="AZ2395" s="23"/>
      <c r="BA2395" s="23"/>
      <c r="BB2395" s="23"/>
      <c r="BC2395" s="16"/>
      <c r="BD2395" s="23"/>
      <c r="BE2395" s="23"/>
      <c r="BF2395" s="23"/>
      <c r="BG2395" s="16"/>
      <c r="BH2395" s="23"/>
      <c r="BI2395" s="23"/>
      <c r="BJ2395" s="23"/>
      <c r="BN2395" s="23"/>
      <c r="BO2395" s="23"/>
      <c r="BP2395" s="16"/>
      <c r="BQ2395" s="16"/>
      <c r="BR2395" s="23"/>
      <c r="BS2395" s="16"/>
      <c r="BT2395" s="16"/>
      <c r="BU2395" s="16"/>
      <c r="BV2395" s="16"/>
      <c r="BW2395" s="16"/>
      <c r="BX2395" s="16"/>
      <c r="BY2395" s="16"/>
    </row>
    <row r="2396">
      <c r="A2396" s="16"/>
      <c r="B2396" s="16"/>
      <c r="C2396" s="22"/>
      <c r="D2396" s="16"/>
      <c r="E2396" s="16"/>
      <c r="F2396" s="16"/>
      <c r="G2396" s="16"/>
      <c r="H2396" s="16"/>
      <c r="I2396" s="23"/>
      <c r="J2396" s="23"/>
      <c r="K2396" s="16"/>
      <c r="L2396" s="23"/>
      <c r="M2396" s="23"/>
      <c r="N2396" s="23"/>
      <c r="O2396" s="16"/>
      <c r="P2396" s="23"/>
      <c r="Q2396" s="23"/>
      <c r="R2396" s="23"/>
      <c r="S2396" s="16"/>
      <c r="T2396" s="23"/>
      <c r="U2396" s="23"/>
      <c r="V2396" s="23"/>
      <c r="W2396" s="16"/>
      <c r="X2396" s="23"/>
      <c r="Y2396" s="23"/>
      <c r="Z2396" s="23"/>
      <c r="AA2396" s="16"/>
      <c r="AB2396" s="23"/>
      <c r="AC2396" s="23"/>
      <c r="AD2396" s="23"/>
      <c r="AE2396" s="16"/>
      <c r="AF2396" s="23"/>
      <c r="AG2396" s="23"/>
      <c r="AH2396" s="23"/>
      <c r="AI2396" s="16"/>
      <c r="AJ2396" s="23"/>
      <c r="AK2396" s="23"/>
      <c r="AL2396" s="23"/>
      <c r="AM2396" s="16"/>
      <c r="AN2396" s="23"/>
      <c r="AO2396" s="23"/>
      <c r="AP2396" s="23"/>
      <c r="AQ2396" s="16"/>
      <c r="AR2396" s="23"/>
      <c r="AS2396" s="23"/>
      <c r="AT2396" s="23"/>
      <c r="AU2396" s="16"/>
      <c r="AV2396" s="23"/>
      <c r="AW2396" s="23"/>
      <c r="AX2396" s="23"/>
      <c r="AY2396" s="16"/>
      <c r="AZ2396" s="23"/>
      <c r="BA2396" s="23"/>
      <c r="BB2396" s="23"/>
      <c r="BC2396" s="16"/>
      <c r="BD2396" s="23"/>
      <c r="BE2396" s="23"/>
      <c r="BF2396" s="23"/>
      <c r="BG2396" s="16"/>
      <c r="BH2396" s="23"/>
      <c r="BI2396" s="23"/>
      <c r="BJ2396" s="23"/>
      <c r="BN2396" s="23"/>
      <c r="BO2396" s="23"/>
      <c r="BP2396" s="16"/>
      <c r="BQ2396" s="16"/>
      <c r="BR2396" s="23"/>
      <c r="BS2396" s="16"/>
      <c r="BT2396" s="16"/>
      <c r="BU2396" s="16"/>
      <c r="BV2396" s="16"/>
      <c r="BW2396" s="16"/>
      <c r="BX2396" s="16"/>
      <c r="BY2396" s="16"/>
    </row>
    <row r="2397">
      <c r="A2397" s="16"/>
      <c r="B2397" s="16"/>
      <c r="C2397" s="22"/>
      <c r="D2397" s="16"/>
      <c r="E2397" s="16"/>
      <c r="F2397" s="16"/>
      <c r="G2397" s="16"/>
      <c r="H2397" s="16"/>
      <c r="I2397" s="23"/>
      <c r="J2397" s="23"/>
      <c r="K2397" s="16"/>
      <c r="L2397" s="23"/>
      <c r="M2397" s="23"/>
      <c r="N2397" s="23"/>
      <c r="O2397" s="16"/>
      <c r="P2397" s="23"/>
      <c r="Q2397" s="23"/>
      <c r="R2397" s="23"/>
      <c r="S2397" s="16"/>
      <c r="T2397" s="23"/>
      <c r="U2397" s="23"/>
      <c r="V2397" s="23"/>
      <c r="W2397" s="16"/>
      <c r="X2397" s="23"/>
      <c r="Y2397" s="23"/>
      <c r="Z2397" s="23"/>
      <c r="AA2397" s="16"/>
      <c r="AB2397" s="23"/>
      <c r="AC2397" s="23"/>
      <c r="AD2397" s="23"/>
      <c r="AE2397" s="16"/>
      <c r="AF2397" s="23"/>
      <c r="AG2397" s="23"/>
      <c r="AH2397" s="23"/>
      <c r="AI2397" s="16"/>
      <c r="AJ2397" s="23"/>
      <c r="AK2397" s="23"/>
      <c r="AL2397" s="23"/>
      <c r="AM2397" s="16"/>
      <c r="AN2397" s="23"/>
      <c r="AO2397" s="23"/>
      <c r="AP2397" s="23"/>
      <c r="AQ2397" s="16"/>
      <c r="AR2397" s="23"/>
      <c r="AS2397" s="23"/>
      <c r="AT2397" s="23"/>
      <c r="AU2397" s="16"/>
      <c r="AV2397" s="23"/>
      <c r="AW2397" s="23"/>
      <c r="AX2397" s="23"/>
      <c r="AY2397" s="16"/>
      <c r="AZ2397" s="23"/>
      <c r="BA2397" s="23"/>
      <c r="BB2397" s="23"/>
      <c r="BC2397" s="16"/>
      <c r="BD2397" s="23"/>
      <c r="BE2397" s="23"/>
      <c r="BF2397" s="23"/>
      <c r="BG2397" s="16"/>
      <c r="BH2397" s="23"/>
      <c r="BI2397" s="23"/>
      <c r="BJ2397" s="23"/>
      <c r="BN2397" s="23"/>
      <c r="BO2397" s="23"/>
      <c r="BP2397" s="16"/>
      <c r="BQ2397" s="16"/>
      <c r="BR2397" s="23"/>
      <c r="BS2397" s="16"/>
      <c r="BT2397" s="16"/>
      <c r="BU2397" s="16"/>
      <c r="BV2397" s="16"/>
      <c r="BW2397" s="16"/>
      <c r="BX2397" s="16"/>
      <c r="BY2397" s="16"/>
    </row>
    <row r="2398">
      <c r="A2398" s="16"/>
      <c r="B2398" s="16"/>
      <c r="C2398" s="22"/>
      <c r="D2398" s="16"/>
      <c r="E2398" s="16"/>
      <c r="F2398" s="16"/>
      <c r="G2398" s="16"/>
      <c r="H2398" s="16"/>
      <c r="I2398" s="23"/>
      <c r="J2398" s="23"/>
      <c r="K2398" s="16"/>
      <c r="L2398" s="23"/>
      <c r="M2398" s="23"/>
      <c r="N2398" s="23"/>
      <c r="O2398" s="16"/>
      <c r="P2398" s="23"/>
      <c r="Q2398" s="23"/>
      <c r="R2398" s="23"/>
      <c r="S2398" s="16"/>
      <c r="T2398" s="23"/>
      <c r="U2398" s="23"/>
      <c r="V2398" s="23"/>
      <c r="W2398" s="16"/>
      <c r="X2398" s="23"/>
      <c r="Y2398" s="23"/>
      <c r="Z2398" s="23"/>
      <c r="AA2398" s="16"/>
      <c r="AB2398" s="23"/>
      <c r="AC2398" s="23"/>
      <c r="AD2398" s="23"/>
      <c r="AE2398" s="16"/>
      <c r="AF2398" s="23"/>
      <c r="AG2398" s="23"/>
      <c r="AH2398" s="23"/>
      <c r="AI2398" s="16"/>
      <c r="AJ2398" s="23"/>
      <c r="AK2398" s="23"/>
      <c r="AL2398" s="23"/>
      <c r="AM2398" s="16"/>
      <c r="AN2398" s="23"/>
      <c r="AO2398" s="23"/>
      <c r="AP2398" s="23"/>
      <c r="AQ2398" s="16"/>
      <c r="AR2398" s="23"/>
      <c r="AS2398" s="23"/>
      <c r="AT2398" s="23"/>
      <c r="AU2398" s="16"/>
      <c r="AV2398" s="23"/>
      <c r="AW2398" s="23"/>
      <c r="AX2398" s="23"/>
      <c r="AY2398" s="16"/>
      <c r="AZ2398" s="23"/>
      <c r="BA2398" s="23"/>
      <c r="BB2398" s="23"/>
      <c r="BC2398" s="16"/>
      <c r="BD2398" s="23"/>
      <c r="BE2398" s="23"/>
      <c r="BF2398" s="23"/>
      <c r="BG2398" s="16"/>
      <c r="BH2398" s="23"/>
      <c r="BI2398" s="23"/>
      <c r="BJ2398" s="23"/>
      <c r="BN2398" s="23"/>
      <c r="BO2398" s="23"/>
      <c r="BP2398" s="16"/>
      <c r="BQ2398" s="16"/>
      <c r="BR2398" s="23"/>
      <c r="BS2398" s="16"/>
      <c r="BT2398" s="16"/>
      <c r="BU2398" s="16"/>
      <c r="BV2398" s="16"/>
      <c r="BW2398" s="16"/>
      <c r="BX2398" s="16"/>
      <c r="BY2398" s="16"/>
    </row>
    <row r="2399">
      <c r="A2399" s="16"/>
      <c r="B2399" s="16"/>
      <c r="C2399" s="22"/>
      <c r="D2399" s="16"/>
      <c r="E2399" s="16"/>
      <c r="F2399" s="16"/>
      <c r="G2399" s="16"/>
      <c r="H2399" s="16"/>
      <c r="I2399" s="23"/>
      <c r="J2399" s="23"/>
      <c r="K2399" s="16"/>
      <c r="L2399" s="23"/>
      <c r="M2399" s="23"/>
      <c r="N2399" s="23"/>
      <c r="O2399" s="16"/>
      <c r="P2399" s="23"/>
      <c r="Q2399" s="23"/>
      <c r="R2399" s="23"/>
      <c r="S2399" s="16"/>
      <c r="T2399" s="23"/>
      <c r="U2399" s="23"/>
      <c r="V2399" s="23"/>
      <c r="W2399" s="16"/>
      <c r="X2399" s="23"/>
      <c r="Y2399" s="23"/>
      <c r="Z2399" s="23"/>
      <c r="AA2399" s="16"/>
      <c r="AB2399" s="23"/>
      <c r="AC2399" s="23"/>
      <c r="AD2399" s="23"/>
      <c r="AE2399" s="16"/>
      <c r="AF2399" s="23"/>
      <c r="AG2399" s="23"/>
      <c r="AH2399" s="23"/>
      <c r="AI2399" s="16"/>
      <c r="AJ2399" s="23"/>
      <c r="AK2399" s="23"/>
      <c r="AL2399" s="23"/>
      <c r="AM2399" s="16"/>
      <c r="AN2399" s="23"/>
      <c r="AO2399" s="23"/>
      <c r="AP2399" s="23"/>
      <c r="AQ2399" s="16"/>
      <c r="AR2399" s="23"/>
      <c r="AS2399" s="23"/>
      <c r="AT2399" s="23"/>
      <c r="AU2399" s="16"/>
      <c r="AV2399" s="23"/>
      <c r="AW2399" s="23"/>
      <c r="AX2399" s="23"/>
      <c r="AY2399" s="16"/>
      <c r="AZ2399" s="23"/>
      <c r="BA2399" s="23"/>
      <c r="BB2399" s="23"/>
      <c r="BC2399" s="16"/>
      <c r="BD2399" s="23"/>
      <c r="BE2399" s="23"/>
      <c r="BF2399" s="23"/>
      <c r="BG2399" s="16"/>
      <c r="BH2399" s="23"/>
      <c r="BI2399" s="23"/>
      <c r="BJ2399" s="23"/>
      <c r="BN2399" s="23"/>
      <c r="BO2399" s="23"/>
      <c r="BP2399" s="16"/>
      <c r="BQ2399" s="16"/>
      <c r="BR2399" s="23"/>
      <c r="BS2399" s="16"/>
      <c r="BT2399" s="16"/>
      <c r="BU2399" s="16"/>
      <c r="BV2399" s="16"/>
      <c r="BW2399" s="16"/>
      <c r="BX2399" s="16"/>
      <c r="BY2399" s="16"/>
    </row>
    <row r="2400">
      <c r="A2400" s="16"/>
      <c r="B2400" s="16"/>
      <c r="C2400" s="22"/>
      <c r="D2400" s="16"/>
      <c r="E2400" s="16"/>
      <c r="F2400" s="16"/>
      <c r="G2400" s="16"/>
      <c r="H2400" s="16"/>
      <c r="I2400" s="23"/>
      <c r="J2400" s="23"/>
      <c r="K2400" s="16"/>
      <c r="L2400" s="23"/>
      <c r="M2400" s="23"/>
      <c r="N2400" s="23"/>
      <c r="O2400" s="16"/>
      <c r="P2400" s="23"/>
      <c r="Q2400" s="23"/>
      <c r="R2400" s="23"/>
      <c r="S2400" s="16"/>
      <c r="T2400" s="23"/>
      <c r="U2400" s="23"/>
      <c r="V2400" s="23"/>
      <c r="W2400" s="16"/>
      <c r="X2400" s="23"/>
      <c r="Y2400" s="23"/>
      <c r="Z2400" s="23"/>
      <c r="AA2400" s="16"/>
      <c r="AB2400" s="23"/>
      <c r="AC2400" s="23"/>
      <c r="AD2400" s="23"/>
      <c r="AE2400" s="16"/>
      <c r="AF2400" s="23"/>
      <c r="AG2400" s="23"/>
      <c r="AH2400" s="23"/>
      <c r="AI2400" s="16"/>
      <c r="AJ2400" s="23"/>
      <c r="AK2400" s="23"/>
      <c r="AL2400" s="23"/>
      <c r="AM2400" s="16"/>
      <c r="AN2400" s="23"/>
      <c r="AO2400" s="23"/>
      <c r="AP2400" s="23"/>
      <c r="AQ2400" s="16"/>
      <c r="AR2400" s="23"/>
      <c r="AS2400" s="23"/>
      <c r="AT2400" s="23"/>
      <c r="AU2400" s="16"/>
      <c r="AV2400" s="23"/>
      <c r="AW2400" s="23"/>
      <c r="AX2400" s="23"/>
      <c r="AY2400" s="16"/>
      <c r="AZ2400" s="23"/>
      <c r="BA2400" s="23"/>
      <c r="BB2400" s="23"/>
      <c r="BC2400" s="16"/>
      <c r="BD2400" s="23"/>
      <c r="BE2400" s="23"/>
      <c r="BF2400" s="23"/>
      <c r="BG2400" s="16"/>
      <c r="BH2400" s="23"/>
      <c r="BI2400" s="23"/>
      <c r="BJ2400" s="23"/>
      <c r="BN2400" s="23"/>
      <c r="BO2400" s="23"/>
      <c r="BP2400" s="16"/>
      <c r="BQ2400" s="16"/>
      <c r="BR2400" s="23"/>
      <c r="BS2400" s="16"/>
      <c r="BT2400" s="16"/>
      <c r="BU2400" s="16"/>
      <c r="BV2400" s="16"/>
      <c r="BW2400" s="16"/>
      <c r="BX2400" s="16"/>
      <c r="BY2400" s="16"/>
    </row>
    <row r="2401">
      <c r="A2401" s="16"/>
      <c r="B2401" s="16"/>
      <c r="C2401" s="22"/>
      <c r="D2401" s="16"/>
      <c r="E2401" s="16"/>
      <c r="F2401" s="16"/>
      <c r="G2401" s="16"/>
      <c r="H2401" s="16"/>
      <c r="I2401" s="23"/>
      <c r="J2401" s="23"/>
      <c r="K2401" s="16"/>
      <c r="L2401" s="23"/>
      <c r="M2401" s="23"/>
      <c r="N2401" s="23"/>
      <c r="O2401" s="16"/>
      <c r="P2401" s="23"/>
      <c r="Q2401" s="23"/>
      <c r="R2401" s="23"/>
      <c r="S2401" s="16"/>
      <c r="T2401" s="23"/>
      <c r="U2401" s="23"/>
      <c r="V2401" s="23"/>
      <c r="W2401" s="16"/>
      <c r="X2401" s="23"/>
      <c r="Y2401" s="23"/>
      <c r="Z2401" s="23"/>
      <c r="AA2401" s="16"/>
      <c r="AB2401" s="23"/>
      <c r="AC2401" s="23"/>
      <c r="AD2401" s="23"/>
      <c r="AE2401" s="16"/>
      <c r="AF2401" s="23"/>
      <c r="AG2401" s="23"/>
      <c r="AH2401" s="23"/>
      <c r="AI2401" s="16"/>
      <c r="AJ2401" s="23"/>
      <c r="AK2401" s="23"/>
      <c r="AL2401" s="23"/>
      <c r="AM2401" s="16"/>
      <c r="AN2401" s="23"/>
      <c r="AO2401" s="23"/>
      <c r="AP2401" s="23"/>
      <c r="AQ2401" s="16"/>
      <c r="AR2401" s="23"/>
      <c r="AS2401" s="23"/>
      <c r="AT2401" s="23"/>
      <c r="AU2401" s="16"/>
      <c r="AV2401" s="23"/>
      <c r="AW2401" s="23"/>
      <c r="AX2401" s="23"/>
      <c r="AY2401" s="16"/>
      <c r="AZ2401" s="23"/>
      <c r="BA2401" s="23"/>
      <c r="BB2401" s="23"/>
      <c r="BC2401" s="16"/>
      <c r="BD2401" s="23"/>
      <c r="BE2401" s="23"/>
      <c r="BF2401" s="23"/>
      <c r="BG2401" s="16"/>
      <c r="BH2401" s="23"/>
      <c r="BI2401" s="23"/>
      <c r="BJ2401" s="23"/>
      <c r="BN2401" s="23"/>
      <c r="BO2401" s="23"/>
      <c r="BP2401" s="16"/>
      <c r="BQ2401" s="16"/>
      <c r="BR2401" s="23"/>
      <c r="BS2401" s="16"/>
      <c r="BT2401" s="16"/>
      <c r="BU2401" s="16"/>
      <c r="BV2401" s="16"/>
      <c r="BW2401" s="16"/>
      <c r="BX2401" s="16"/>
      <c r="BY2401" s="16"/>
    </row>
    <row r="2402">
      <c r="A2402" s="16"/>
      <c r="B2402" s="16"/>
      <c r="C2402" s="22"/>
      <c r="D2402" s="16"/>
      <c r="E2402" s="16"/>
      <c r="F2402" s="16"/>
      <c r="G2402" s="16"/>
      <c r="H2402" s="16"/>
      <c r="I2402" s="23"/>
      <c r="J2402" s="23"/>
      <c r="K2402" s="16"/>
      <c r="L2402" s="23"/>
      <c r="M2402" s="23"/>
      <c r="N2402" s="23"/>
      <c r="O2402" s="16"/>
      <c r="P2402" s="23"/>
      <c r="Q2402" s="23"/>
      <c r="R2402" s="23"/>
      <c r="S2402" s="16"/>
      <c r="T2402" s="23"/>
      <c r="U2402" s="23"/>
      <c r="V2402" s="23"/>
      <c r="W2402" s="16"/>
      <c r="X2402" s="23"/>
      <c r="Y2402" s="23"/>
      <c r="Z2402" s="23"/>
      <c r="AA2402" s="16"/>
      <c r="AB2402" s="23"/>
      <c r="AC2402" s="23"/>
      <c r="AD2402" s="23"/>
      <c r="AE2402" s="16"/>
      <c r="AF2402" s="23"/>
      <c r="AG2402" s="23"/>
      <c r="AH2402" s="23"/>
      <c r="AI2402" s="16"/>
      <c r="AJ2402" s="23"/>
      <c r="AK2402" s="23"/>
      <c r="AL2402" s="23"/>
      <c r="AM2402" s="16"/>
      <c r="AN2402" s="23"/>
      <c r="AO2402" s="23"/>
      <c r="AP2402" s="23"/>
      <c r="AQ2402" s="16"/>
      <c r="AR2402" s="23"/>
      <c r="AS2402" s="23"/>
      <c r="AT2402" s="23"/>
      <c r="AU2402" s="16"/>
      <c r="AV2402" s="23"/>
      <c r="AW2402" s="23"/>
      <c r="AX2402" s="23"/>
      <c r="AY2402" s="16"/>
      <c r="AZ2402" s="23"/>
      <c r="BA2402" s="23"/>
      <c r="BB2402" s="23"/>
      <c r="BC2402" s="16"/>
      <c r="BD2402" s="23"/>
      <c r="BE2402" s="23"/>
      <c r="BF2402" s="23"/>
      <c r="BG2402" s="16"/>
      <c r="BH2402" s="23"/>
      <c r="BI2402" s="23"/>
      <c r="BJ2402" s="23"/>
      <c r="BN2402" s="23"/>
      <c r="BO2402" s="23"/>
      <c r="BP2402" s="16"/>
      <c r="BQ2402" s="16"/>
      <c r="BR2402" s="23"/>
      <c r="BS2402" s="16"/>
      <c r="BT2402" s="16"/>
      <c r="BU2402" s="16"/>
      <c r="BV2402" s="16"/>
      <c r="BW2402" s="16"/>
      <c r="BX2402" s="16"/>
      <c r="BY2402" s="16"/>
    </row>
    <row r="2403">
      <c r="A2403" s="16"/>
      <c r="B2403" s="16"/>
      <c r="C2403" s="22"/>
      <c r="D2403" s="16"/>
      <c r="E2403" s="16"/>
      <c r="F2403" s="16"/>
      <c r="G2403" s="16"/>
      <c r="H2403" s="16"/>
      <c r="I2403" s="23"/>
      <c r="J2403" s="23"/>
      <c r="K2403" s="16"/>
      <c r="L2403" s="23"/>
      <c r="M2403" s="23"/>
      <c r="N2403" s="23"/>
      <c r="O2403" s="16"/>
      <c r="P2403" s="23"/>
      <c r="Q2403" s="23"/>
      <c r="R2403" s="23"/>
      <c r="S2403" s="16"/>
      <c r="T2403" s="23"/>
      <c r="U2403" s="23"/>
      <c r="V2403" s="23"/>
      <c r="W2403" s="16"/>
      <c r="X2403" s="23"/>
      <c r="Y2403" s="23"/>
      <c r="Z2403" s="23"/>
      <c r="AA2403" s="16"/>
      <c r="AB2403" s="23"/>
      <c r="AC2403" s="23"/>
      <c r="AD2403" s="23"/>
      <c r="AE2403" s="16"/>
      <c r="AF2403" s="23"/>
      <c r="AG2403" s="23"/>
      <c r="AH2403" s="23"/>
      <c r="AI2403" s="16"/>
      <c r="AJ2403" s="23"/>
      <c r="AK2403" s="23"/>
      <c r="AL2403" s="23"/>
      <c r="AM2403" s="16"/>
      <c r="AN2403" s="23"/>
      <c r="AO2403" s="23"/>
      <c r="AP2403" s="23"/>
      <c r="AQ2403" s="16"/>
      <c r="AR2403" s="23"/>
      <c r="AS2403" s="23"/>
      <c r="AT2403" s="23"/>
      <c r="AU2403" s="16"/>
      <c r="AV2403" s="23"/>
      <c r="AW2403" s="23"/>
      <c r="AX2403" s="23"/>
      <c r="AY2403" s="16"/>
      <c r="AZ2403" s="23"/>
      <c r="BA2403" s="23"/>
      <c r="BB2403" s="23"/>
      <c r="BC2403" s="16"/>
      <c r="BD2403" s="23"/>
      <c r="BE2403" s="23"/>
      <c r="BF2403" s="23"/>
      <c r="BG2403" s="16"/>
      <c r="BH2403" s="23"/>
      <c r="BI2403" s="23"/>
      <c r="BJ2403" s="23"/>
      <c r="BN2403" s="23"/>
      <c r="BO2403" s="23"/>
      <c r="BP2403" s="16"/>
      <c r="BQ2403" s="16"/>
      <c r="BR2403" s="23"/>
      <c r="BS2403" s="16"/>
      <c r="BT2403" s="16"/>
      <c r="BU2403" s="16"/>
      <c r="BV2403" s="16"/>
      <c r="BW2403" s="16"/>
      <c r="BX2403" s="16"/>
      <c r="BY2403" s="16"/>
    </row>
    <row r="2404">
      <c r="A2404" s="16"/>
      <c r="B2404" s="16"/>
      <c r="C2404" s="22"/>
      <c r="D2404" s="16"/>
      <c r="E2404" s="16"/>
      <c r="F2404" s="16"/>
      <c r="G2404" s="16"/>
      <c r="H2404" s="16"/>
      <c r="I2404" s="23"/>
      <c r="J2404" s="23"/>
      <c r="K2404" s="16"/>
      <c r="L2404" s="23"/>
      <c r="M2404" s="23"/>
      <c r="N2404" s="23"/>
      <c r="O2404" s="16"/>
      <c r="P2404" s="23"/>
      <c r="Q2404" s="23"/>
      <c r="R2404" s="23"/>
      <c r="S2404" s="16"/>
      <c r="T2404" s="23"/>
      <c r="U2404" s="23"/>
      <c r="V2404" s="23"/>
      <c r="W2404" s="16"/>
      <c r="X2404" s="23"/>
      <c r="Y2404" s="23"/>
      <c r="Z2404" s="23"/>
      <c r="AA2404" s="16"/>
      <c r="AB2404" s="23"/>
      <c r="AC2404" s="23"/>
      <c r="AD2404" s="23"/>
      <c r="AE2404" s="16"/>
      <c r="AF2404" s="23"/>
      <c r="AG2404" s="23"/>
      <c r="AH2404" s="23"/>
      <c r="AI2404" s="16"/>
      <c r="AJ2404" s="23"/>
      <c r="AK2404" s="23"/>
      <c r="AL2404" s="23"/>
      <c r="AM2404" s="16"/>
      <c r="AN2404" s="23"/>
      <c r="AO2404" s="23"/>
      <c r="AP2404" s="23"/>
      <c r="AQ2404" s="16"/>
      <c r="AR2404" s="23"/>
      <c r="AS2404" s="23"/>
      <c r="AT2404" s="23"/>
      <c r="AU2404" s="16"/>
      <c r="AV2404" s="23"/>
      <c r="AW2404" s="23"/>
      <c r="AX2404" s="23"/>
      <c r="AY2404" s="16"/>
      <c r="AZ2404" s="23"/>
      <c r="BA2404" s="23"/>
      <c r="BB2404" s="23"/>
      <c r="BC2404" s="16"/>
      <c r="BD2404" s="23"/>
      <c r="BE2404" s="23"/>
      <c r="BF2404" s="23"/>
      <c r="BG2404" s="16"/>
      <c r="BH2404" s="23"/>
      <c r="BI2404" s="23"/>
      <c r="BJ2404" s="23"/>
      <c r="BN2404" s="23"/>
      <c r="BO2404" s="23"/>
      <c r="BP2404" s="16"/>
      <c r="BQ2404" s="16"/>
      <c r="BR2404" s="23"/>
      <c r="BS2404" s="16"/>
      <c r="BT2404" s="16"/>
      <c r="BU2404" s="16"/>
      <c r="BV2404" s="16"/>
      <c r="BW2404" s="16"/>
      <c r="BX2404" s="16"/>
      <c r="BY2404" s="16"/>
    </row>
    <row r="2405">
      <c r="A2405" s="16"/>
      <c r="B2405" s="16"/>
      <c r="C2405" s="22"/>
      <c r="D2405" s="16"/>
      <c r="E2405" s="16"/>
      <c r="F2405" s="16"/>
      <c r="G2405" s="16"/>
      <c r="H2405" s="16"/>
      <c r="I2405" s="23"/>
      <c r="J2405" s="23"/>
      <c r="K2405" s="16"/>
      <c r="L2405" s="23"/>
      <c r="M2405" s="23"/>
      <c r="N2405" s="23"/>
      <c r="O2405" s="16"/>
      <c r="P2405" s="23"/>
      <c r="Q2405" s="23"/>
      <c r="R2405" s="23"/>
      <c r="S2405" s="16"/>
      <c r="T2405" s="23"/>
      <c r="U2405" s="23"/>
      <c r="V2405" s="23"/>
      <c r="W2405" s="16"/>
      <c r="X2405" s="23"/>
      <c r="Y2405" s="23"/>
      <c r="Z2405" s="23"/>
      <c r="AA2405" s="16"/>
      <c r="AB2405" s="23"/>
      <c r="AC2405" s="23"/>
      <c r="AD2405" s="23"/>
      <c r="AE2405" s="16"/>
      <c r="AF2405" s="23"/>
      <c r="AG2405" s="23"/>
      <c r="AH2405" s="23"/>
      <c r="AI2405" s="16"/>
      <c r="AJ2405" s="23"/>
      <c r="AK2405" s="23"/>
      <c r="AL2405" s="23"/>
      <c r="AM2405" s="16"/>
      <c r="AN2405" s="23"/>
      <c r="AO2405" s="23"/>
      <c r="AP2405" s="23"/>
      <c r="AQ2405" s="16"/>
      <c r="AR2405" s="23"/>
      <c r="AS2405" s="23"/>
      <c r="AT2405" s="23"/>
      <c r="AU2405" s="16"/>
      <c r="AV2405" s="23"/>
      <c r="AW2405" s="23"/>
      <c r="AX2405" s="23"/>
      <c r="AY2405" s="16"/>
      <c r="AZ2405" s="23"/>
      <c r="BA2405" s="23"/>
      <c r="BB2405" s="23"/>
      <c r="BC2405" s="16"/>
      <c r="BD2405" s="23"/>
      <c r="BE2405" s="23"/>
      <c r="BF2405" s="23"/>
      <c r="BG2405" s="16"/>
      <c r="BH2405" s="23"/>
      <c r="BI2405" s="23"/>
      <c r="BJ2405" s="23"/>
      <c r="BN2405" s="23"/>
      <c r="BO2405" s="23"/>
      <c r="BP2405" s="16"/>
      <c r="BQ2405" s="16"/>
      <c r="BR2405" s="23"/>
      <c r="BS2405" s="16"/>
      <c r="BT2405" s="16"/>
      <c r="BU2405" s="16"/>
      <c r="BV2405" s="16"/>
      <c r="BW2405" s="16"/>
      <c r="BX2405" s="16"/>
      <c r="BY2405" s="16"/>
    </row>
    <row r="2406">
      <c r="A2406" s="16"/>
      <c r="B2406" s="16"/>
      <c r="C2406" s="22"/>
      <c r="D2406" s="16"/>
      <c r="E2406" s="16"/>
      <c r="F2406" s="16"/>
      <c r="G2406" s="16"/>
      <c r="H2406" s="16"/>
      <c r="I2406" s="23"/>
      <c r="J2406" s="23"/>
      <c r="K2406" s="16"/>
      <c r="L2406" s="23"/>
      <c r="M2406" s="23"/>
      <c r="N2406" s="23"/>
      <c r="O2406" s="16"/>
      <c r="P2406" s="23"/>
      <c r="Q2406" s="23"/>
      <c r="R2406" s="23"/>
      <c r="S2406" s="16"/>
      <c r="T2406" s="23"/>
      <c r="U2406" s="23"/>
      <c r="V2406" s="23"/>
      <c r="W2406" s="16"/>
      <c r="X2406" s="23"/>
      <c r="Y2406" s="23"/>
      <c r="Z2406" s="23"/>
      <c r="AA2406" s="16"/>
      <c r="AB2406" s="23"/>
      <c r="AC2406" s="23"/>
      <c r="AD2406" s="23"/>
      <c r="AE2406" s="16"/>
      <c r="AF2406" s="23"/>
      <c r="AG2406" s="23"/>
      <c r="AH2406" s="23"/>
      <c r="AI2406" s="16"/>
      <c r="AJ2406" s="23"/>
      <c r="AK2406" s="23"/>
      <c r="AL2406" s="23"/>
      <c r="AM2406" s="16"/>
      <c r="AN2406" s="23"/>
      <c r="AO2406" s="23"/>
      <c r="AP2406" s="23"/>
      <c r="AQ2406" s="16"/>
      <c r="AR2406" s="23"/>
      <c r="AS2406" s="23"/>
      <c r="AT2406" s="23"/>
      <c r="AU2406" s="16"/>
      <c r="AV2406" s="23"/>
      <c r="AW2406" s="23"/>
      <c r="AX2406" s="23"/>
      <c r="AY2406" s="16"/>
      <c r="AZ2406" s="23"/>
      <c r="BA2406" s="23"/>
      <c r="BB2406" s="23"/>
      <c r="BC2406" s="16"/>
      <c r="BD2406" s="23"/>
      <c r="BE2406" s="23"/>
      <c r="BF2406" s="23"/>
      <c r="BG2406" s="16"/>
      <c r="BH2406" s="23"/>
      <c r="BI2406" s="23"/>
      <c r="BJ2406" s="23"/>
      <c r="BN2406" s="23"/>
      <c r="BO2406" s="23"/>
      <c r="BP2406" s="16"/>
      <c r="BQ2406" s="16"/>
      <c r="BR2406" s="23"/>
      <c r="BS2406" s="16"/>
      <c r="BT2406" s="16"/>
      <c r="BU2406" s="16"/>
      <c r="BV2406" s="16"/>
      <c r="BW2406" s="16"/>
      <c r="BX2406" s="16"/>
      <c r="BY2406" s="16"/>
    </row>
    <row r="2407">
      <c r="A2407" s="16"/>
      <c r="B2407" s="16"/>
      <c r="C2407" s="22"/>
      <c r="D2407" s="16"/>
      <c r="E2407" s="16"/>
      <c r="F2407" s="16"/>
      <c r="G2407" s="16"/>
      <c r="H2407" s="16"/>
      <c r="I2407" s="23"/>
      <c r="J2407" s="23"/>
      <c r="K2407" s="16"/>
      <c r="L2407" s="23"/>
      <c r="M2407" s="23"/>
      <c r="N2407" s="23"/>
      <c r="O2407" s="16"/>
      <c r="P2407" s="23"/>
      <c r="Q2407" s="23"/>
      <c r="R2407" s="23"/>
      <c r="S2407" s="16"/>
      <c r="T2407" s="23"/>
      <c r="U2407" s="23"/>
      <c r="V2407" s="23"/>
      <c r="W2407" s="16"/>
      <c r="X2407" s="23"/>
      <c r="Y2407" s="23"/>
      <c r="Z2407" s="23"/>
      <c r="AA2407" s="16"/>
      <c r="AB2407" s="23"/>
      <c r="AC2407" s="23"/>
      <c r="AD2407" s="23"/>
      <c r="AE2407" s="16"/>
      <c r="AF2407" s="23"/>
      <c r="AG2407" s="23"/>
      <c r="AH2407" s="23"/>
      <c r="AI2407" s="16"/>
      <c r="AJ2407" s="23"/>
      <c r="AK2407" s="23"/>
      <c r="AL2407" s="23"/>
      <c r="AM2407" s="16"/>
      <c r="AN2407" s="23"/>
      <c r="AO2407" s="23"/>
      <c r="AP2407" s="23"/>
      <c r="AQ2407" s="16"/>
      <c r="AR2407" s="23"/>
      <c r="AS2407" s="23"/>
      <c r="AT2407" s="23"/>
      <c r="AU2407" s="16"/>
      <c r="AV2407" s="23"/>
      <c r="AW2407" s="23"/>
      <c r="AX2407" s="23"/>
      <c r="AY2407" s="16"/>
      <c r="AZ2407" s="23"/>
      <c r="BA2407" s="23"/>
      <c r="BB2407" s="23"/>
      <c r="BC2407" s="16"/>
      <c r="BD2407" s="23"/>
      <c r="BE2407" s="23"/>
      <c r="BF2407" s="23"/>
      <c r="BG2407" s="16"/>
      <c r="BH2407" s="23"/>
      <c r="BI2407" s="23"/>
      <c r="BJ2407" s="23"/>
      <c r="BN2407" s="23"/>
      <c r="BO2407" s="23"/>
      <c r="BP2407" s="16"/>
      <c r="BQ2407" s="16"/>
      <c r="BR2407" s="23"/>
      <c r="BS2407" s="16"/>
      <c r="BT2407" s="16"/>
      <c r="BU2407" s="16"/>
      <c r="BV2407" s="16"/>
      <c r="BW2407" s="16"/>
      <c r="BX2407" s="16"/>
      <c r="BY2407" s="16"/>
    </row>
    <row r="2408">
      <c r="A2408" s="16"/>
      <c r="B2408" s="16"/>
      <c r="C2408" s="22"/>
      <c r="D2408" s="16"/>
      <c r="E2408" s="16"/>
      <c r="F2408" s="16"/>
      <c r="G2408" s="16"/>
      <c r="H2408" s="16"/>
      <c r="I2408" s="23"/>
      <c r="J2408" s="23"/>
      <c r="K2408" s="16"/>
      <c r="L2408" s="23"/>
      <c r="M2408" s="23"/>
      <c r="N2408" s="23"/>
      <c r="O2408" s="16"/>
      <c r="P2408" s="23"/>
      <c r="Q2408" s="23"/>
      <c r="R2408" s="23"/>
      <c r="S2408" s="16"/>
      <c r="T2408" s="23"/>
      <c r="U2408" s="23"/>
      <c r="V2408" s="23"/>
      <c r="W2408" s="16"/>
      <c r="X2408" s="23"/>
      <c r="Y2408" s="23"/>
      <c r="Z2408" s="23"/>
      <c r="AA2408" s="16"/>
      <c r="AB2408" s="23"/>
      <c r="AC2408" s="23"/>
      <c r="AD2408" s="23"/>
      <c r="AE2408" s="16"/>
      <c r="AF2408" s="23"/>
      <c r="AG2408" s="23"/>
      <c r="AH2408" s="23"/>
      <c r="AI2408" s="16"/>
      <c r="AJ2408" s="23"/>
      <c r="AK2408" s="23"/>
      <c r="AL2408" s="23"/>
      <c r="AM2408" s="16"/>
      <c r="AN2408" s="23"/>
      <c r="AO2408" s="23"/>
      <c r="AP2408" s="23"/>
      <c r="AQ2408" s="16"/>
      <c r="AR2408" s="23"/>
      <c r="AS2408" s="23"/>
      <c r="AT2408" s="23"/>
      <c r="AU2408" s="16"/>
      <c r="AV2408" s="23"/>
      <c r="AW2408" s="23"/>
      <c r="AX2408" s="23"/>
      <c r="AY2408" s="16"/>
      <c r="AZ2408" s="23"/>
      <c r="BA2408" s="23"/>
      <c r="BB2408" s="23"/>
      <c r="BC2408" s="16"/>
      <c r="BD2408" s="23"/>
      <c r="BE2408" s="23"/>
      <c r="BF2408" s="23"/>
      <c r="BG2408" s="16"/>
      <c r="BH2408" s="23"/>
      <c r="BI2408" s="23"/>
      <c r="BJ2408" s="23"/>
      <c r="BN2408" s="23"/>
      <c r="BO2408" s="23"/>
      <c r="BP2408" s="16"/>
      <c r="BQ2408" s="16"/>
      <c r="BR2408" s="23"/>
      <c r="BS2408" s="16"/>
      <c r="BT2408" s="16"/>
      <c r="BU2408" s="16"/>
      <c r="BV2408" s="16"/>
      <c r="BW2408" s="16"/>
      <c r="BX2408" s="16"/>
      <c r="BY2408" s="16"/>
    </row>
    <row r="2409">
      <c r="A2409" s="16"/>
      <c r="B2409" s="16"/>
      <c r="C2409" s="22"/>
      <c r="D2409" s="16"/>
      <c r="E2409" s="16"/>
      <c r="F2409" s="16"/>
      <c r="G2409" s="16"/>
      <c r="H2409" s="16"/>
      <c r="I2409" s="23"/>
      <c r="J2409" s="23"/>
      <c r="K2409" s="16"/>
      <c r="L2409" s="23"/>
      <c r="M2409" s="23"/>
      <c r="N2409" s="23"/>
      <c r="O2409" s="16"/>
      <c r="P2409" s="23"/>
      <c r="Q2409" s="23"/>
      <c r="R2409" s="23"/>
      <c r="S2409" s="16"/>
      <c r="T2409" s="23"/>
      <c r="U2409" s="23"/>
      <c r="V2409" s="23"/>
      <c r="W2409" s="16"/>
      <c r="X2409" s="23"/>
      <c r="Y2409" s="23"/>
      <c r="Z2409" s="23"/>
      <c r="AA2409" s="16"/>
      <c r="AB2409" s="23"/>
      <c r="AC2409" s="23"/>
      <c r="AD2409" s="23"/>
      <c r="AE2409" s="16"/>
      <c r="AF2409" s="23"/>
      <c r="AG2409" s="23"/>
      <c r="AH2409" s="23"/>
      <c r="AI2409" s="16"/>
      <c r="AJ2409" s="23"/>
      <c r="AK2409" s="23"/>
      <c r="AL2409" s="23"/>
      <c r="AM2409" s="16"/>
      <c r="AN2409" s="23"/>
      <c r="AO2409" s="23"/>
      <c r="AP2409" s="23"/>
      <c r="AQ2409" s="16"/>
      <c r="AR2409" s="23"/>
      <c r="AS2409" s="23"/>
      <c r="AT2409" s="23"/>
      <c r="AU2409" s="16"/>
      <c r="AV2409" s="23"/>
      <c r="AW2409" s="23"/>
      <c r="AX2409" s="23"/>
      <c r="AY2409" s="16"/>
      <c r="AZ2409" s="23"/>
      <c r="BA2409" s="23"/>
      <c r="BB2409" s="23"/>
      <c r="BC2409" s="16"/>
      <c r="BD2409" s="23"/>
      <c r="BE2409" s="23"/>
      <c r="BF2409" s="23"/>
      <c r="BG2409" s="16"/>
      <c r="BH2409" s="23"/>
      <c r="BI2409" s="23"/>
      <c r="BJ2409" s="23"/>
      <c r="BN2409" s="23"/>
      <c r="BO2409" s="23"/>
      <c r="BP2409" s="16"/>
      <c r="BQ2409" s="16"/>
      <c r="BR2409" s="23"/>
      <c r="BS2409" s="16"/>
      <c r="BT2409" s="16"/>
      <c r="BU2409" s="16"/>
      <c r="BV2409" s="16"/>
      <c r="BW2409" s="16"/>
      <c r="BX2409" s="16"/>
      <c r="BY2409" s="16"/>
    </row>
    <row r="2410">
      <c r="A2410" s="16"/>
      <c r="B2410" s="16"/>
      <c r="C2410" s="22"/>
      <c r="D2410" s="16"/>
      <c r="E2410" s="16"/>
      <c r="F2410" s="16"/>
      <c r="G2410" s="16"/>
      <c r="H2410" s="16"/>
      <c r="I2410" s="23"/>
      <c r="J2410" s="23"/>
      <c r="K2410" s="16"/>
      <c r="L2410" s="23"/>
      <c r="M2410" s="23"/>
      <c r="N2410" s="23"/>
      <c r="O2410" s="16"/>
      <c r="P2410" s="23"/>
      <c r="Q2410" s="23"/>
      <c r="R2410" s="23"/>
      <c r="S2410" s="16"/>
      <c r="T2410" s="23"/>
      <c r="U2410" s="23"/>
      <c r="V2410" s="23"/>
      <c r="W2410" s="16"/>
      <c r="X2410" s="23"/>
      <c r="Y2410" s="23"/>
      <c r="Z2410" s="23"/>
      <c r="AA2410" s="16"/>
      <c r="AB2410" s="23"/>
      <c r="AC2410" s="23"/>
      <c r="AD2410" s="23"/>
      <c r="AE2410" s="16"/>
      <c r="AF2410" s="23"/>
      <c r="AG2410" s="23"/>
      <c r="AH2410" s="23"/>
      <c r="AI2410" s="16"/>
      <c r="AJ2410" s="23"/>
      <c r="AK2410" s="23"/>
      <c r="AL2410" s="23"/>
      <c r="AM2410" s="16"/>
      <c r="AN2410" s="23"/>
      <c r="AO2410" s="23"/>
      <c r="AP2410" s="23"/>
      <c r="AQ2410" s="16"/>
      <c r="AR2410" s="23"/>
      <c r="AS2410" s="23"/>
      <c r="AT2410" s="23"/>
      <c r="AU2410" s="16"/>
      <c r="AV2410" s="23"/>
      <c r="AW2410" s="23"/>
      <c r="AX2410" s="23"/>
      <c r="AY2410" s="16"/>
      <c r="AZ2410" s="23"/>
      <c r="BA2410" s="23"/>
      <c r="BB2410" s="23"/>
      <c r="BC2410" s="16"/>
      <c r="BD2410" s="23"/>
      <c r="BE2410" s="23"/>
      <c r="BF2410" s="23"/>
      <c r="BG2410" s="16"/>
      <c r="BH2410" s="23"/>
      <c r="BI2410" s="23"/>
      <c r="BJ2410" s="23"/>
      <c r="BN2410" s="23"/>
      <c r="BO2410" s="23"/>
      <c r="BP2410" s="16"/>
      <c r="BQ2410" s="16"/>
      <c r="BR2410" s="23"/>
      <c r="BS2410" s="16"/>
      <c r="BT2410" s="16"/>
      <c r="BU2410" s="16"/>
      <c r="BV2410" s="16"/>
      <c r="BW2410" s="16"/>
      <c r="BX2410" s="16"/>
      <c r="BY2410" s="16"/>
    </row>
    <row r="2411">
      <c r="A2411" s="16"/>
      <c r="B2411" s="16"/>
      <c r="C2411" s="22"/>
      <c r="D2411" s="16"/>
      <c r="E2411" s="16"/>
      <c r="F2411" s="16"/>
      <c r="G2411" s="16"/>
      <c r="H2411" s="16"/>
      <c r="I2411" s="23"/>
      <c r="J2411" s="23"/>
      <c r="K2411" s="16"/>
      <c r="L2411" s="23"/>
      <c r="M2411" s="23"/>
      <c r="N2411" s="23"/>
      <c r="O2411" s="16"/>
      <c r="P2411" s="23"/>
      <c r="Q2411" s="23"/>
      <c r="R2411" s="23"/>
      <c r="S2411" s="16"/>
      <c r="T2411" s="23"/>
      <c r="U2411" s="23"/>
      <c r="V2411" s="23"/>
      <c r="W2411" s="16"/>
      <c r="X2411" s="23"/>
      <c r="Y2411" s="23"/>
      <c r="Z2411" s="23"/>
      <c r="AA2411" s="16"/>
      <c r="AB2411" s="23"/>
      <c r="AC2411" s="23"/>
      <c r="AD2411" s="23"/>
      <c r="AE2411" s="16"/>
      <c r="AF2411" s="23"/>
      <c r="AG2411" s="23"/>
      <c r="AH2411" s="23"/>
      <c r="AI2411" s="16"/>
      <c r="AJ2411" s="23"/>
      <c r="AK2411" s="23"/>
      <c r="AL2411" s="23"/>
      <c r="AM2411" s="16"/>
      <c r="AN2411" s="23"/>
      <c r="AO2411" s="23"/>
      <c r="AP2411" s="23"/>
      <c r="AQ2411" s="16"/>
      <c r="AR2411" s="23"/>
      <c r="AS2411" s="23"/>
      <c r="AT2411" s="23"/>
      <c r="AU2411" s="16"/>
      <c r="AV2411" s="23"/>
      <c r="AW2411" s="23"/>
      <c r="AX2411" s="23"/>
      <c r="AY2411" s="16"/>
      <c r="AZ2411" s="23"/>
      <c r="BA2411" s="23"/>
      <c r="BB2411" s="23"/>
      <c r="BC2411" s="16"/>
      <c r="BD2411" s="23"/>
      <c r="BE2411" s="23"/>
      <c r="BF2411" s="23"/>
      <c r="BG2411" s="16"/>
      <c r="BH2411" s="23"/>
      <c r="BI2411" s="23"/>
      <c r="BJ2411" s="23"/>
      <c r="BN2411" s="23"/>
      <c r="BO2411" s="23"/>
      <c r="BP2411" s="16"/>
      <c r="BQ2411" s="16"/>
      <c r="BR2411" s="23"/>
      <c r="BS2411" s="16"/>
      <c r="BT2411" s="16"/>
      <c r="BU2411" s="16"/>
      <c r="BV2411" s="16"/>
      <c r="BW2411" s="16"/>
      <c r="BX2411" s="16"/>
      <c r="BY2411" s="16"/>
    </row>
    <row r="2412">
      <c r="A2412" s="16"/>
      <c r="B2412" s="16"/>
      <c r="C2412" s="22"/>
      <c r="D2412" s="16"/>
      <c r="E2412" s="16"/>
      <c r="F2412" s="16"/>
      <c r="G2412" s="16"/>
      <c r="H2412" s="16"/>
      <c r="I2412" s="23"/>
      <c r="J2412" s="23"/>
      <c r="K2412" s="16"/>
      <c r="L2412" s="23"/>
      <c r="M2412" s="23"/>
      <c r="N2412" s="23"/>
      <c r="O2412" s="16"/>
      <c r="P2412" s="23"/>
      <c r="Q2412" s="23"/>
      <c r="R2412" s="23"/>
      <c r="S2412" s="16"/>
      <c r="T2412" s="23"/>
      <c r="U2412" s="23"/>
      <c r="V2412" s="23"/>
      <c r="W2412" s="16"/>
      <c r="X2412" s="23"/>
      <c r="Y2412" s="23"/>
      <c r="Z2412" s="23"/>
      <c r="AA2412" s="16"/>
      <c r="AB2412" s="23"/>
      <c r="AC2412" s="23"/>
      <c r="AD2412" s="23"/>
      <c r="AE2412" s="16"/>
      <c r="AF2412" s="23"/>
      <c r="AG2412" s="23"/>
      <c r="AH2412" s="23"/>
      <c r="AI2412" s="16"/>
      <c r="AJ2412" s="23"/>
      <c r="AK2412" s="23"/>
      <c r="AL2412" s="23"/>
      <c r="AM2412" s="16"/>
      <c r="AN2412" s="23"/>
      <c r="AO2412" s="23"/>
      <c r="AP2412" s="23"/>
      <c r="AQ2412" s="16"/>
      <c r="AR2412" s="23"/>
      <c r="AS2412" s="23"/>
      <c r="AT2412" s="23"/>
      <c r="AU2412" s="16"/>
      <c r="AV2412" s="23"/>
      <c r="AW2412" s="23"/>
      <c r="AX2412" s="23"/>
      <c r="AY2412" s="16"/>
      <c r="AZ2412" s="23"/>
      <c r="BA2412" s="23"/>
      <c r="BB2412" s="23"/>
      <c r="BC2412" s="16"/>
      <c r="BD2412" s="23"/>
      <c r="BE2412" s="23"/>
      <c r="BF2412" s="23"/>
      <c r="BG2412" s="16"/>
      <c r="BH2412" s="23"/>
      <c r="BI2412" s="23"/>
      <c r="BJ2412" s="23"/>
      <c r="BN2412" s="23"/>
      <c r="BO2412" s="23"/>
      <c r="BP2412" s="16"/>
      <c r="BQ2412" s="16"/>
      <c r="BR2412" s="23"/>
      <c r="BS2412" s="16"/>
      <c r="BT2412" s="16"/>
      <c r="BU2412" s="16"/>
      <c r="BV2412" s="16"/>
      <c r="BW2412" s="16"/>
      <c r="BX2412" s="16"/>
      <c r="BY2412" s="16"/>
    </row>
    <row r="2413">
      <c r="A2413" s="16"/>
      <c r="B2413" s="16"/>
      <c r="C2413" s="22"/>
      <c r="D2413" s="16"/>
      <c r="E2413" s="16"/>
      <c r="F2413" s="16"/>
      <c r="G2413" s="16"/>
      <c r="H2413" s="16"/>
      <c r="I2413" s="23"/>
      <c r="J2413" s="23"/>
      <c r="K2413" s="16"/>
      <c r="L2413" s="23"/>
      <c r="M2413" s="23"/>
      <c r="N2413" s="23"/>
      <c r="O2413" s="16"/>
      <c r="P2413" s="23"/>
      <c r="Q2413" s="23"/>
      <c r="R2413" s="23"/>
      <c r="S2413" s="16"/>
      <c r="T2413" s="23"/>
      <c r="U2413" s="23"/>
      <c r="V2413" s="23"/>
      <c r="W2413" s="16"/>
      <c r="X2413" s="23"/>
      <c r="Y2413" s="23"/>
      <c r="Z2413" s="23"/>
      <c r="AA2413" s="16"/>
      <c r="AB2413" s="23"/>
      <c r="AC2413" s="23"/>
      <c r="AD2413" s="23"/>
      <c r="AE2413" s="16"/>
      <c r="AF2413" s="23"/>
      <c r="AG2413" s="23"/>
      <c r="AH2413" s="23"/>
      <c r="AI2413" s="16"/>
      <c r="AJ2413" s="23"/>
      <c r="AK2413" s="23"/>
      <c r="AL2413" s="23"/>
      <c r="AM2413" s="16"/>
      <c r="AN2413" s="23"/>
      <c r="AO2413" s="23"/>
      <c r="AP2413" s="23"/>
      <c r="AQ2413" s="16"/>
      <c r="AR2413" s="23"/>
      <c r="AS2413" s="23"/>
      <c r="AT2413" s="23"/>
      <c r="AU2413" s="16"/>
      <c r="AV2413" s="23"/>
      <c r="AW2413" s="23"/>
      <c r="AX2413" s="23"/>
      <c r="AY2413" s="16"/>
      <c r="AZ2413" s="23"/>
      <c r="BA2413" s="23"/>
      <c r="BB2413" s="23"/>
      <c r="BC2413" s="16"/>
      <c r="BD2413" s="23"/>
      <c r="BE2413" s="23"/>
      <c r="BF2413" s="23"/>
      <c r="BG2413" s="16"/>
      <c r="BH2413" s="23"/>
      <c r="BI2413" s="23"/>
      <c r="BJ2413" s="23"/>
      <c r="BN2413" s="23"/>
      <c r="BO2413" s="23"/>
      <c r="BP2413" s="16"/>
      <c r="BQ2413" s="16"/>
      <c r="BR2413" s="23"/>
      <c r="BS2413" s="16"/>
      <c r="BT2413" s="16"/>
      <c r="BU2413" s="16"/>
      <c r="BV2413" s="16"/>
      <c r="BW2413" s="16"/>
      <c r="BX2413" s="16"/>
      <c r="BY2413" s="16"/>
    </row>
    <row r="2414">
      <c r="A2414" s="16"/>
      <c r="B2414" s="16"/>
      <c r="C2414" s="22"/>
      <c r="D2414" s="16"/>
      <c r="E2414" s="16"/>
      <c r="F2414" s="16"/>
      <c r="G2414" s="16"/>
      <c r="H2414" s="16"/>
      <c r="I2414" s="23"/>
      <c r="J2414" s="23"/>
      <c r="K2414" s="16"/>
      <c r="L2414" s="23"/>
      <c r="M2414" s="23"/>
      <c r="N2414" s="23"/>
      <c r="O2414" s="16"/>
      <c r="P2414" s="23"/>
      <c r="Q2414" s="23"/>
      <c r="R2414" s="23"/>
      <c r="S2414" s="16"/>
      <c r="T2414" s="23"/>
      <c r="U2414" s="23"/>
      <c r="V2414" s="23"/>
      <c r="W2414" s="16"/>
      <c r="X2414" s="23"/>
      <c r="Y2414" s="23"/>
      <c r="Z2414" s="23"/>
      <c r="AA2414" s="16"/>
      <c r="AB2414" s="23"/>
      <c r="AC2414" s="23"/>
      <c r="AD2414" s="23"/>
      <c r="AE2414" s="16"/>
      <c r="AF2414" s="23"/>
      <c r="AG2414" s="23"/>
      <c r="AH2414" s="23"/>
      <c r="AI2414" s="16"/>
      <c r="AJ2414" s="23"/>
      <c r="AK2414" s="23"/>
      <c r="AL2414" s="23"/>
      <c r="AM2414" s="16"/>
      <c r="AN2414" s="23"/>
      <c r="AO2414" s="23"/>
      <c r="AP2414" s="23"/>
      <c r="AQ2414" s="16"/>
      <c r="AR2414" s="23"/>
      <c r="AS2414" s="23"/>
      <c r="AT2414" s="23"/>
      <c r="AU2414" s="16"/>
      <c r="AV2414" s="23"/>
      <c r="AW2414" s="23"/>
      <c r="AX2414" s="23"/>
      <c r="AY2414" s="16"/>
      <c r="AZ2414" s="23"/>
      <c r="BA2414" s="23"/>
      <c r="BB2414" s="23"/>
      <c r="BC2414" s="16"/>
      <c r="BD2414" s="23"/>
      <c r="BE2414" s="23"/>
      <c r="BF2414" s="23"/>
      <c r="BG2414" s="16"/>
      <c r="BH2414" s="23"/>
      <c r="BI2414" s="23"/>
      <c r="BJ2414" s="23"/>
      <c r="BN2414" s="23"/>
      <c r="BO2414" s="23"/>
      <c r="BP2414" s="16"/>
      <c r="BQ2414" s="16"/>
      <c r="BR2414" s="23"/>
      <c r="BS2414" s="16"/>
      <c r="BT2414" s="16"/>
      <c r="BU2414" s="16"/>
      <c r="BV2414" s="16"/>
      <c r="BW2414" s="16"/>
      <c r="BX2414" s="16"/>
      <c r="BY2414" s="16"/>
    </row>
    <row r="2415">
      <c r="A2415" s="16"/>
      <c r="B2415" s="16"/>
      <c r="C2415" s="22"/>
      <c r="D2415" s="16"/>
      <c r="E2415" s="16"/>
      <c r="F2415" s="16"/>
      <c r="G2415" s="16"/>
      <c r="H2415" s="16"/>
      <c r="I2415" s="23"/>
      <c r="J2415" s="23"/>
      <c r="K2415" s="16"/>
      <c r="L2415" s="23"/>
      <c r="M2415" s="23"/>
      <c r="N2415" s="23"/>
      <c r="O2415" s="16"/>
      <c r="P2415" s="23"/>
      <c r="Q2415" s="23"/>
      <c r="R2415" s="23"/>
      <c r="S2415" s="16"/>
      <c r="T2415" s="23"/>
      <c r="U2415" s="23"/>
      <c r="V2415" s="23"/>
      <c r="W2415" s="16"/>
      <c r="X2415" s="23"/>
      <c r="Y2415" s="23"/>
      <c r="Z2415" s="23"/>
      <c r="AA2415" s="16"/>
      <c r="AB2415" s="23"/>
      <c r="AC2415" s="23"/>
      <c r="AD2415" s="23"/>
      <c r="AE2415" s="16"/>
      <c r="AF2415" s="23"/>
      <c r="AG2415" s="23"/>
      <c r="AH2415" s="23"/>
      <c r="AI2415" s="16"/>
      <c r="AJ2415" s="23"/>
      <c r="AK2415" s="23"/>
      <c r="AL2415" s="23"/>
      <c r="AM2415" s="16"/>
      <c r="AN2415" s="23"/>
      <c r="AO2415" s="23"/>
      <c r="AP2415" s="23"/>
      <c r="AQ2415" s="16"/>
      <c r="AR2415" s="23"/>
      <c r="AS2415" s="23"/>
      <c r="AT2415" s="23"/>
      <c r="AU2415" s="16"/>
      <c r="AV2415" s="23"/>
      <c r="AW2415" s="23"/>
      <c r="AX2415" s="23"/>
      <c r="AY2415" s="16"/>
      <c r="AZ2415" s="23"/>
      <c r="BA2415" s="23"/>
      <c r="BB2415" s="23"/>
      <c r="BC2415" s="16"/>
      <c r="BD2415" s="23"/>
      <c r="BE2415" s="23"/>
      <c r="BF2415" s="23"/>
      <c r="BG2415" s="16"/>
      <c r="BH2415" s="23"/>
      <c r="BI2415" s="23"/>
      <c r="BJ2415" s="23"/>
      <c r="BN2415" s="23"/>
      <c r="BO2415" s="23"/>
      <c r="BP2415" s="16"/>
      <c r="BQ2415" s="16"/>
      <c r="BR2415" s="23"/>
      <c r="BS2415" s="16"/>
      <c r="BT2415" s="16"/>
      <c r="BU2415" s="16"/>
      <c r="BV2415" s="16"/>
      <c r="BW2415" s="16"/>
      <c r="BX2415" s="16"/>
      <c r="BY2415" s="16"/>
    </row>
    <row r="2416">
      <c r="A2416" s="16"/>
      <c r="B2416" s="16"/>
      <c r="C2416" s="22"/>
      <c r="D2416" s="16"/>
      <c r="E2416" s="16"/>
      <c r="F2416" s="16"/>
      <c r="G2416" s="16"/>
      <c r="H2416" s="16"/>
      <c r="I2416" s="23"/>
      <c r="J2416" s="23"/>
      <c r="K2416" s="16"/>
      <c r="L2416" s="23"/>
      <c r="M2416" s="23"/>
      <c r="N2416" s="23"/>
      <c r="O2416" s="16"/>
      <c r="P2416" s="23"/>
      <c r="Q2416" s="23"/>
      <c r="R2416" s="23"/>
      <c r="S2416" s="16"/>
      <c r="T2416" s="23"/>
      <c r="U2416" s="23"/>
      <c r="V2416" s="23"/>
      <c r="W2416" s="16"/>
      <c r="X2416" s="23"/>
      <c r="Y2416" s="23"/>
      <c r="Z2416" s="23"/>
      <c r="AA2416" s="16"/>
      <c r="AB2416" s="23"/>
      <c r="AC2416" s="23"/>
      <c r="AD2416" s="23"/>
      <c r="AE2416" s="16"/>
      <c r="AF2416" s="23"/>
      <c r="AG2416" s="23"/>
      <c r="AH2416" s="23"/>
      <c r="AI2416" s="16"/>
      <c r="AJ2416" s="23"/>
      <c r="AK2416" s="23"/>
      <c r="AL2416" s="23"/>
      <c r="AM2416" s="16"/>
      <c r="AN2416" s="23"/>
      <c r="AO2416" s="23"/>
      <c r="AP2416" s="23"/>
      <c r="AQ2416" s="16"/>
      <c r="AR2416" s="23"/>
      <c r="AS2416" s="23"/>
      <c r="AT2416" s="23"/>
      <c r="AU2416" s="16"/>
      <c r="AV2416" s="23"/>
      <c r="AW2416" s="23"/>
      <c r="AX2416" s="23"/>
      <c r="AY2416" s="16"/>
      <c r="AZ2416" s="23"/>
      <c r="BA2416" s="23"/>
      <c r="BB2416" s="23"/>
      <c r="BC2416" s="16"/>
      <c r="BD2416" s="23"/>
      <c r="BE2416" s="23"/>
      <c r="BF2416" s="23"/>
      <c r="BG2416" s="16"/>
      <c r="BH2416" s="23"/>
      <c r="BI2416" s="23"/>
      <c r="BJ2416" s="23"/>
      <c r="BN2416" s="23"/>
      <c r="BO2416" s="23"/>
      <c r="BP2416" s="16"/>
      <c r="BQ2416" s="16"/>
      <c r="BR2416" s="23"/>
      <c r="BS2416" s="16"/>
      <c r="BT2416" s="16"/>
      <c r="BU2416" s="16"/>
      <c r="BV2416" s="16"/>
      <c r="BW2416" s="16"/>
      <c r="BX2416" s="16"/>
      <c r="BY2416" s="16"/>
    </row>
    <row r="2417">
      <c r="A2417" s="16"/>
      <c r="B2417" s="16"/>
      <c r="C2417" s="22"/>
      <c r="D2417" s="16"/>
      <c r="E2417" s="16"/>
      <c r="F2417" s="16"/>
      <c r="G2417" s="16"/>
      <c r="H2417" s="16"/>
      <c r="I2417" s="23"/>
      <c r="J2417" s="23"/>
      <c r="K2417" s="16"/>
      <c r="L2417" s="23"/>
      <c r="M2417" s="23"/>
      <c r="N2417" s="23"/>
      <c r="O2417" s="16"/>
      <c r="P2417" s="23"/>
      <c r="Q2417" s="23"/>
      <c r="R2417" s="23"/>
      <c r="S2417" s="16"/>
      <c r="T2417" s="23"/>
      <c r="U2417" s="23"/>
      <c r="V2417" s="23"/>
      <c r="W2417" s="16"/>
      <c r="X2417" s="23"/>
      <c r="Y2417" s="23"/>
      <c r="Z2417" s="23"/>
      <c r="AA2417" s="16"/>
      <c r="AB2417" s="23"/>
      <c r="AC2417" s="23"/>
      <c r="AD2417" s="23"/>
      <c r="AE2417" s="16"/>
      <c r="AF2417" s="23"/>
      <c r="AG2417" s="23"/>
      <c r="AH2417" s="23"/>
      <c r="AI2417" s="16"/>
      <c r="AJ2417" s="23"/>
      <c r="AK2417" s="23"/>
      <c r="AL2417" s="23"/>
      <c r="AM2417" s="16"/>
      <c r="AN2417" s="23"/>
      <c r="AO2417" s="23"/>
      <c r="AP2417" s="23"/>
      <c r="AQ2417" s="16"/>
      <c r="AR2417" s="23"/>
      <c r="AS2417" s="23"/>
      <c r="AT2417" s="23"/>
      <c r="AU2417" s="16"/>
      <c r="AV2417" s="23"/>
      <c r="AW2417" s="23"/>
      <c r="AX2417" s="23"/>
      <c r="AY2417" s="16"/>
      <c r="AZ2417" s="23"/>
      <c r="BA2417" s="23"/>
      <c r="BB2417" s="23"/>
      <c r="BC2417" s="16"/>
      <c r="BD2417" s="23"/>
      <c r="BE2417" s="23"/>
      <c r="BF2417" s="23"/>
      <c r="BG2417" s="16"/>
      <c r="BH2417" s="23"/>
      <c r="BI2417" s="23"/>
      <c r="BJ2417" s="23"/>
      <c r="BN2417" s="23"/>
      <c r="BO2417" s="23"/>
      <c r="BP2417" s="16"/>
      <c r="BQ2417" s="16"/>
      <c r="BR2417" s="23"/>
      <c r="BS2417" s="16"/>
      <c r="BT2417" s="16"/>
      <c r="BU2417" s="16"/>
      <c r="BV2417" s="16"/>
      <c r="BW2417" s="16"/>
      <c r="BX2417" s="16"/>
      <c r="BY2417" s="16"/>
    </row>
    <row r="2418">
      <c r="A2418" s="16"/>
      <c r="B2418" s="16"/>
      <c r="C2418" s="22"/>
      <c r="D2418" s="16"/>
      <c r="E2418" s="16"/>
      <c r="F2418" s="16"/>
      <c r="G2418" s="16"/>
      <c r="H2418" s="16"/>
      <c r="I2418" s="23"/>
      <c r="J2418" s="23"/>
      <c r="K2418" s="16"/>
      <c r="L2418" s="23"/>
      <c r="M2418" s="23"/>
      <c r="N2418" s="23"/>
      <c r="O2418" s="16"/>
      <c r="P2418" s="23"/>
      <c r="Q2418" s="23"/>
      <c r="R2418" s="23"/>
      <c r="S2418" s="16"/>
      <c r="T2418" s="23"/>
      <c r="U2418" s="23"/>
      <c r="V2418" s="23"/>
      <c r="W2418" s="16"/>
      <c r="X2418" s="23"/>
      <c r="Y2418" s="23"/>
      <c r="Z2418" s="23"/>
      <c r="AA2418" s="16"/>
      <c r="AB2418" s="23"/>
      <c r="AC2418" s="23"/>
      <c r="AD2418" s="23"/>
      <c r="AE2418" s="16"/>
      <c r="AF2418" s="23"/>
      <c r="AG2418" s="23"/>
      <c r="AH2418" s="23"/>
      <c r="AI2418" s="16"/>
      <c r="AJ2418" s="23"/>
      <c r="AK2418" s="23"/>
      <c r="AL2418" s="23"/>
      <c r="AM2418" s="16"/>
      <c r="AN2418" s="23"/>
      <c r="AO2418" s="23"/>
      <c r="AP2418" s="23"/>
      <c r="AQ2418" s="16"/>
      <c r="AR2418" s="23"/>
      <c r="AS2418" s="23"/>
      <c r="AT2418" s="23"/>
      <c r="AU2418" s="16"/>
      <c r="AV2418" s="23"/>
      <c r="AW2418" s="23"/>
      <c r="AX2418" s="23"/>
      <c r="AY2418" s="16"/>
      <c r="AZ2418" s="23"/>
      <c r="BA2418" s="23"/>
      <c r="BB2418" s="23"/>
      <c r="BC2418" s="16"/>
      <c r="BD2418" s="23"/>
      <c r="BE2418" s="23"/>
      <c r="BF2418" s="23"/>
      <c r="BG2418" s="16"/>
      <c r="BH2418" s="23"/>
      <c r="BI2418" s="23"/>
      <c r="BJ2418" s="23"/>
      <c r="BN2418" s="23"/>
      <c r="BO2418" s="23"/>
      <c r="BP2418" s="16"/>
      <c r="BQ2418" s="16"/>
      <c r="BR2418" s="23"/>
      <c r="BS2418" s="16"/>
      <c r="BT2418" s="16"/>
      <c r="BU2418" s="16"/>
      <c r="BV2418" s="16"/>
      <c r="BW2418" s="16"/>
      <c r="BX2418" s="16"/>
      <c r="BY2418" s="16"/>
    </row>
    <row r="2419">
      <c r="A2419" s="16"/>
      <c r="B2419" s="16"/>
      <c r="C2419" s="22"/>
      <c r="D2419" s="16"/>
      <c r="E2419" s="16"/>
      <c r="F2419" s="16"/>
      <c r="G2419" s="16"/>
      <c r="H2419" s="16"/>
      <c r="I2419" s="23"/>
      <c r="J2419" s="23"/>
      <c r="K2419" s="16"/>
      <c r="L2419" s="23"/>
      <c r="M2419" s="23"/>
      <c r="N2419" s="23"/>
      <c r="O2419" s="16"/>
      <c r="P2419" s="23"/>
      <c r="Q2419" s="23"/>
      <c r="R2419" s="23"/>
      <c r="S2419" s="16"/>
      <c r="T2419" s="23"/>
      <c r="U2419" s="23"/>
      <c r="V2419" s="23"/>
      <c r="W2419" s="16"/>
      <c r="X2419" s="23"/>
      <c r="Y2419" s="23"/>
      <c r="Z2419" s="23"/>
      <c r="AA2419" s="16"/>
      <c r="AB2419" s="23"/>
      <c r="AC2419" s="23"/>
      <c r="AD2419" s="23"/>
      <c r="AE2419" s="16"/>
      <c r="AF2419" s="23"/>
      <c r="AG2419" s="23"/>
      <c r="AH2419" s="23"/>
      <c r="AI2419" s="16"/>
      <c r="AJ2419" s="23"/>
      <c r="AK2419" s="23"/>
      <c r="AL2419" s="23"/>
      <c r="AM2419" s="16"/>
      <c r="AN2419" s="23"/>
      <c r="AO2419" s="23"/>
      <c r="AP2419" s="23"/>
      <c r="AQ2419" s="16"/>
      <c r="AR2419" s="23"/>
      <c r="AS2419" s="23"/>
      <c r="AT2419" s="23"/>
      <c r="AU2419" s="16"/>
      <c r="AV2419" s="23"/>
      <c r="AW2419" s="23"/>
      <c r="AX2419" s="23"/>
      <c r="AY2419" s="16"/>
      <c r="AZ2419" s="23"/>
      <c r="BA2419" s="23"/>
      <c r="BB2419" s="23"/>
      <c r="BC2419" s="16"/>
      <c r="BD2419" s="23"/>
      <c r="BE2419" s="23"/>
      <c r="BF2419" s="23"/>
      <c r="BG2419" s="16"/>
      <c r="BH2419" s="23"/>
      <c r="BI2419" s="23"/>
      <c r="BJ2419" s="23"/>
      <c r="BN2419" s="23"/>
      <c r="BO2419" s="23"/>
      <c r="BP2419" s="16"/>
      <c r="BQ2419" s="16"/>
      <c r="BR2419" s="23"/>
      <c r="BS2419" s="16"/>
      <c r="BT2419" s="16"/>
      <c r="BU2419" s="16"/>
      <c r="BV2419" s="16"/>
      <c r="BW2419" s="16"/>
      <c r="BX2419" s="16"/>
      <c r="BY2419" s="16"/>
    </row>
    <row r="2420">
      <c r="A2420" s="16"/>
      <c r="B2420" s="16"/>
      <c r="C2420" s="22"/>
      <c r="D2420" s="16"/>
      <c r="E2420" s="16"/>
      <c r="F2420" s="16"/>
      <c r="G2420" s="16"/>
      <c r="H2420" s="16"/>
      <c r="I2420" s="23"/>
      <c r="J2420" s="23"/>
      <c r="K2420" s="16"/>
      <c r="L2420" s="23"/>
      <c r="M2420" s="23"/>
      <c r="N2420" s="23"/>
      <c r="O2420" s="16"/>
      <c r="P2420" s="23"/>
      <c r="Q2420" s="23"/>
      <c r="R2420" s="23"/>
      <c r="S2420" s="16"/>
      <c r="T2420" s="23"/>
      <c r="U2420" s="23"/>
      <c r="V2420" s="23"/>
      <c r="W2420" s="16"/>
      <c r="X2420" s="23"/>
      <c r="Y2420" s="23"/>
      <c r="Z2420" s="23"/>
      <c r="AA2420" s="16"/>
      <c r="AB2420" s="23"/>
      <c r="AC2420" s="23"/>
      <c r="AD2420" s="23"/>
      <c r="AE2420" s="16"/>
      <c r="AF2420" s="23"/>
      <c r="AG2420" s="23"/>
      <c r="AH2420" s="23"/>
      <c r="AI2420" s="16"/>
      <c r="AJ2420" s="23"/>
      <c r="AK2420" s="23"/>
      <c r="AL2420" s="23"/>
      <c r="AM2420" s="16"/>
      <c r="AN2420" s="23"/>
      <c r="AO2420" s="23"/>
      <c r="AP2420" s="23"/>
      <c r="AQ2420" s="16"/>
      <c r="AR2420" s="23"/>
      <c r="AS2420" s="23"/>
      <c r="AT2420" s="23"/>
      <c r="AU2420" s="16"/>
      <c r="AV2420" s="23"/>
      <c r="AW2420" s="23"/>
      <c r="AX2420" s="23"/>
      <c r="AY2420" s="16"/>
      <c r="AZ2420" s="23"/>
      <c r="BA2420" s="23"/>
      <c r="BB2420" s="23"/>
      <c r="BC2420" s="16"/>
      <c r="BD2420" s="23"/>
      <c r="BE2420" s="23"/>
      <c r="BF2420" s="23"/>
      <c r="BG2420" s="16"/>
      <c r="BH2420" s="23"/>
      <c r="BI2420" s="23"/>
      <c r="BJ2420" s="23"/>
      <c r="BN2420" s="23"/>
      <c r="BO2420" s="23"/>
      <c r="BP2420" s="16"/>
      <c r="BQ2420" s="16"/>
      <c r="BR2420" s="23"/>
      <c r="BS2420" s="16"/>
      <c r="BT2420" s="16"/>
      <c r="BU2420" s="16"/>
      <c r="BV2420" s="16"/>
      <c r="BW2420" s="16"/>
      <c r="BX2420" s="16"/>
      <c r="BY2420" s="16"/>
    </row>
    <row r="2421">
      <c r="A2421" s="16"/>
      <c r="B2421" s="16"/>
      <c r="C2421" s="22"/>
      <c r="D2421" s="16"/>
      <c r="E2421" s="16"/>
      <c r="F2421" s="16"/>
      <c r="G2421" s="16"/>
      <c r="H2421" s="16"/>
      <c r="I2421" s="23"/>
      <c r="J2421" s="23"/>
      <c r="K2421" s="16"/>
      <c r="L2421" s="23"/>
      <c r="M2421" s="23"/>
      <c r="N2421" s="23"/>
      <c r="O2421" s="16"/>
      <c r="P2421" s="23"/>
      <c r="Q2421" s="23"/>
      <c r="R2421" s="23"/>
      <c r="S2421" s="16"/>
      <c r="T2421" s="23"/>
      <c r="U2421" s="23"/>
      <c r="V2421" s="23"/>
      <c r="W2421" s="16"/>
      <c r="X2421" s="23"/>
      <c r="Y2421" s="23"/>
      <c r="Z2421" s="23"/>
      <c r="AA2421" s="16"/>
      <c r="AB2421" s="23"/>
      <c r="AC2421" s="23"/>
      <c r="AD2421" s="23"/>
      <c r="AE2421" s="16"/>
      <c r="AF2421" s="23"/>
      <c r="AG2421" s="23"/>
      <c r="AH2421" s="23"/>
      <c r="AI2421" s="16"/>
      <c r="AJ2421" s="23"/>
      <c r="AK2421" s="23"/>
      <c r="AL2421" s="23"/>
      <c r="AM2421" s="16"/>
      <c r="AN2421" s="23"/>
      <c r="AO2421" s="23"/>
      <c r="AP2421" s="23"/>
      <c r="AQ2421" s="16"/>
      <c r="AR2421" s="23"/>
      <c r="AS2421" s="23"/>
      <c r="AT2421" s="23"/>
      <c r="AU2421" s="16"/>
      <c r="AV2421" s="23"/>
      <c r="AW2421" s="23"/>
      <c r="AX2421" s="23"/>
      <c r="AY2421" s="16"/>
      <c r="AZ2421" s="23"/>
      <c r="BA2421" s="23"/>
      <c r="BB2421" s="23"/>
      <c r="BC2421" s="16"/>
      <c r="BD2421" s="23"/>
      <c r="BE2421" s="23"/>
      <c r="BF2421" s="23"/>
      <c r="BG2421" s="16"/>
      <c r="BH2421" s="23"/>
      <c r="BI2421" s="23"/>
      <c r="BJ2421" s="23"/>
      <c r="BN2421" s="23"/>
      <c r="BO2421" s="23"/>
      <c r="BP2421" s="16"/>
      <c r="BQ2421" s="16"/>
      <c r="BR2421" s="23"/>
      <c r="BS2421" s="16"/>
      <c r="BT2421" s="16"/>
      <c r="BU2421" s="16"/>
      <c r="BV2421" s="16"/>
      <c r="BW2421" s="16"/>
      <c r="BX2421" s="16"/>
      <c r="BY2421" s="16"/>
    </row>
    <row r="2422">
      <c r="A2422" s="16"/>
      <c r="B2422" s="16"/>
      <c r="C2422" s="22"/>
      <c r="D2422" s="16"/>
      <c r="E2422" s="16"/>
      <c r="F2422" s="16"/>
      <c r="G2422" s="16"/>
      <c r="H2422" s="16"/>
      <c r="I2422" s="23"/>
      <c r="J2422" s="23"/>
      <c r="K2422" s="16"/>
      <c r="L2422" s="23"/>
      <c r="M2422" s="23"/>
      <c r="N2422" s="23"/>
      <c r="O2422" s="16"/>
      <c r="P2422" s="23"/>
      <c r="Q2422" s="23"/>
      <c r="R2422" s="23"/>
      <c r="S2422" s="16"/>
      <c r="T2422" s="23"/>
      <c r="U2422" s="23"/>
      <c r="V2422" s="23"/>
      <c r="W2422" s="16"/>
      <c r="X2422" s="23"/>
      <c r="Y2422" s="23"/>
      <c r="Z2422" s="23"/>
      <c r="AA2422" s="16"/>
      <c r="AB2422" s="23"/>
      <c r="AC2422" s="23"/>
      <c r="AD2422" s="23"/>
      <c r="AE2422" s="16"/>
      <c r="AF2422" s="23"/>
      <c r="AG2422" s="23"/>
      <c r="AH2422" s="23"/>
      <c r="AI2422" s="16"/>
      <c r="AJ2422" s="23"/>
      <c r="AK2422" s="23"/>
      <c r="AL2422" s="23"/>
      <c r="AM2422" s="16"/>
      <c r="AN2422" s="23"/>
      <c r="AO2422" s="23"/>
      <c r="AP2422" s="23"/>
      <c r="AQ2422" s="16"/>
      <c r="AR2422" s="23"/>
      <c r="AS2422" s="23"/>
      <c r="AT2422" s="23"/>
      <c r="AU2422" s="16"/>
      <c r="AV2422" s="23"/>
      <c r="AW2422" s="23"/>
      <c r="AX2422" s="23"/>
      <c r="AY2422" s="16"/>
      <c r="AZ2422" s="23"/>
      <c r="BA2422" s="23"/>
      <c r="BB2422" s="23"/>
      <c r="BC2422" s="16"/>
      <c r="BD2422" s="23"/>
      <c r="BE2422" s="23"/>
      <c r="BF2422" s="23"/>
      <c r="BG2422" s="16"/>
      <c r="BH2422" s="23"/>
      <c r="BI2422" s="23"/>
      <c r="BJ2422" s="23"/>
      <c r="BN2422" s="23"/>
      <c r="BO2422" s="23"/>
      <c r="BP2422" s="16"/>
      <c r="BQ2422" s="16"/>
      <c r="BR2422" s="23"/>
      <c r="BS2422" s="16"/>
      <c r="BT2422" s="16"/>
      <c r="BU2422" s="16"/>
      <c r="BV2422" s="16"/>
      <c r="BW2422" s="16"/>
      <c r="BX2422" s="16"/>
      <c r="BY2422" s="16"/>
    </row>
    <row r="2423">
      <c r="A2423" s="16"/>
      <c r="B2423" s="16"/>
      <c r="C2423" s="22"/>
      <c r="D2423" s="16"/>
      <c r="E2423" s="16"/>
      <c r="F2423" s="16"/>
      <c r="G2423" s="16"/>
      <c r="H2423" s="16"/>
      <c r="I2423" s="23"/>
      <c r="J2423" s="23"/>
      <c r="K2423" s="16"/>
      <c r="L2423" s="23"/>
      <c r="M2423" s="23"/>
      <c r="N2423" s="23"/>
      <c r="O2423" s="16"/>
      <c r="P2423" s="23"/>
      <c r="Q2423" s="23"/>
      <c r="R2423" s="23"/>
      <c r="S2423" s="16"/>
      <c r="T2423" s="23"/>
      <c r="U2423" s="23"/>
      <c r="V2423" s="23"/>
      <c r="W2423" s="16"/>
      <c r="X2423" s="23"/>
      <c r="Y2423" s="23"/>
      <c r="Z2423" s="23"/>
      <c r="AA2423" s="16"/>
      <c r="AB2423" s="23"/>
      <c r="AC2423" s="23"/>
      <c r="AD2423" s="23"/>
      <c r="AE2423" s="16"/>
      <c r="AF2423" s="23"/>
      <c r="AG2423" s="23"/>
      <c r="AH2423" s="23"/>
      <c r="AI2423" s="16"/>
      <c r="AJ2423" s="23"/>
      <c r="AK2423" s="23"/>
      <c r="AL2423" s="23"/>
      <c r="AM2423" s="16"/>
      <c r="AN2423" s="23"/>
      <c r="AO2423" s="23"/>
      <c r="AP2423" s="23"/>
      <c r="AQ2423" s="16"/>
      <c r="AR2423" s="23"/>
      <c r="AS2423" s="23"/>
      <c r="AT2423" s="23"/>
      <c r="AU2423" s="16"/>
      <c r="AV2423" s="23"/>
      <c r="AW2423" s="23"/>
      <c r="AX2423" s="23"/>
      <c r="AY2423" s="16"/>
      <c r="AZ2423" s="23"/>
      <c r="BA2423" s="23"/>
      <c r="BB2423" s="23"/>
      <c r="BC2423" s="16"/>
      <c r="BD2423" s="23"/>
      <c r="BE2423" s="23"/>
      <c r="BF2423" s="23"/>
      <c r="BG2423" s="16"/>
      <c r="BH2423" s="23"/>
      <c r="BI2423" s="23"/>
      <c r="BJ2423" s="23"/>
      <c r="BN2423" s="23"/>
      <c r="BO2423" s="23"/>
      <c r="BP2423" s="16"/>
      <c r="BQ2423" s="16"/>
      <c r="BR2423" s="23"/>
      <c r="BS2423" s="16"/>
      <c r="BT2423" s="16"/>
      <c r="BU2423" s="16"/>
      <c r="BV2423" s="16"/>
      <c r="BW2423" s="16"/>
      <c r="BX2423" s="16"/>
      <c r="BY2423" s="16"/>
    </row>
    <row r="2424">
      <c r="A2424" s="16"/>
      <c r="B2424" s="16"/>
      <c r="C2424" s="22"/>
      <c r="D2424" s="16"/>
      <c r="E2424" s="16"/>
      <c r="F2424" s="16"/>
      <c r="G2424" s="16"/>
      <c r="H2424" s="16"/>
      <c r="I2424" s="23"/>
      <c r="J2424" s="23"/>
      <c r="K2424" s="16"/>
      <c r="L2424" s="23"/>
      <c r="M2424" s="23"/>
      <c r="N2424" s="23"/>
      <c r="O2424" s="16"/>
      <c r="P2424" s="23"/>
      <c r="Q2424" s="23"/>
      <c r="R2424" s="23"/>
      <c r="S2424" s="16"/>
      <c r="T2424" s="23"/>
      <c r="U2424" s="23"/>
      <c r="V2424" s="23"/>
      <c r="W2424" s="16"/>
      <c r="X2424" s="23"/>
      <c r="Y2424" s="23"/>
      <c r="Z2424" s="23"/>
      <c r="AA2424" s="16"/>
      <c r="AB2424" s="23"/>
      <c r="AC2424" s="23"/>
      <c r="AD2424" s="23"/>
      <c r="AE2424" s="16"/>
      <c r="AF2424" s="23"/>
      <c r="AG2424" s="23"/>
      <c r="AH2424" s="23"/>
      <c r="AI2424" s="16"/>
      <c r="AJ2424" s="23"/>
      <c r="AK2424" s="23"/>
      <c r="AL2424" s="23"/>
      <c r="AM2424" s="16"/>
      <c r="AN2424" s="23"/>
      <c r="AO2424" s="23"/>
      <c r="AP2424" s="23"/>
      <c r="AQ2424" s="16"/>
      <c r="AR2424" s="23"/>
      <c r="AS2424" s="23"/>
      <c r="AT2424" s="23"/>
      <c r="AU2424" s="16"/>
      <c r="AV2424" s="23"/>
      <c r="AW2424" s="23"/>
      <c r="AX2424" s="23"/>
      <c r="AY2424" s="16"/>
      <c r="AZ2424" s="23"/>
      <c r="BA2424" s="23"/>
      <c r="BB2424" s="23"/>
      <c r="BC2424" s="16"/>
      <c r="BD2424" s="23"/>
      <c r="BE2424" s="23"/>
      <c r="BF2424" s="23"/>
      <c r="BG2424" s="16"/>
      <c r="BH2424" s="23"/>
      <c r="BI2424" s="23"/>
      <c r="BJ2424" s="23"/>
      <c r="BN2424" s="23"/>
      <c r="BO2424" s="23"/>
      <c r="BP2424" s="16"/>
      <c r="BQ2424" s="16"/>
      <c r="BR2424" s="23"/>
      <c r="BS2424" s="16"/>
      <c r="BT2424" s="16"/>
      <c r="BU2424" s="16"/>
      <c r="BV2424" s="16"/>
      <c r="BW2424" s="16"/>
      <c r="BX2424" s="16"/>
      <c r="BY2424" s="16"/>
    </row>
    <row r="2425">
      <c r="A2425" s="16"/>
      <c r="B2425" s="16"/>
      <c r="C2425" s="22"/>
      <c r="D2425" s="16"/>
      <c r="E2425" s="16"/>
      <c r="F2425" s="16"/>
      <c r="G2425" s="16"/>
      <c r="H2425" s="16"/>
      <c r="I2425" s="23"/>
      <c r="J2425" s="23"/>
      <c r="K2425" s="16"/>
      <c r="L2425" s="23"/>
      <c r="M2425" s="23"/>
      <c r="N2425" s="23"/>
      <c r="O2425" s="16"/>
      <c r="P2425" s="23"/>
      <c r="Q2425" s="23"/>
      <c r="R2425" s="23"/>
      <c r="S2425" s="16"/>
      <c r="T2425" s="23"/>
      <c r="U2425" s="23"/>
      <c r="V2425" s="23"/>
      <c r="W2425" s="16"/>
      <c r="X2425" s="23"/>
      <c r="Y2425" s="23"/>
      <c r="Z2425" s="23"/>
      <c r="AA2425" s="16"/>
      <c r="AB2425" s="23"/>
      <c r="AC2425" s="23"/>
      <c r="AD2425" s="23"/>
      <c r="AE2425" s="16"/>
      <c r="AF2425" s="23"/>
      <c r="AG2425" s="23"/>
      <c r="AH2425" s="23"/>
      <c r="AI2425" s="16"/>
      <c r="AJ2425" s="23"/>
      <c r="AK2425" s="23"/>
      <c r="AL2425" s="23"/>
      <c r="AM2425" s="16"/>
      <c r="AN2425" s="23"/>
      <c r="AO2425" s="23"/>
      <c r="AP2425" s="23"/>
      <c r="AQ2425" s="16"/>
      <c r="AR2425" s="23"/>
      <c r="AS2425" s="23"/>
      <c r="AT2425" s="23"/>
      <c r="AU2425" s="16"/>
      <c r="AV2425" s="23"/>
      <c r="AW2425" s="23"/>
      <c r="AX2425" s="23"/>
      <c r="AY2425" s="16"/>
      <c r="AZ2425" s="23"/>
      <c r="BA2425" s="23"/>
      <c r="BB2425" s="23"/>
      <c r="BC2425" s="16"/>
      <c r="BD2425" s="23"/>
      <c r="BE2425" s="23"/>
      <c r="BF2425" s="23"/>
      <c r="BG2425" s="16"/>
      <c r="BH2425" s="23"/>
      <c r="BI2425" s="23"/>
      <c r="BJ2425" s="23"/>
      <c r="BN2425" s="23"/>
      <c r="BO2425" s="23"/>
      <c r="BP2425" s="16"/>
      <c r="BQ2425" s="16"/>
      <c r="BR2425" s="23"/>
      <c r="BS2425" s="16"/>
      <c r="BT2425" s="16"/>
      <c r="BU2425" s="16"/>
      <c r="BV2425" s="16"/>
      <c r="BW2425" s="16"/>
      <c r="BX2425" s="16"/>
      <c r="BY2425" s="16"/>
    </row>
    <row r="2426">
      <c r="A2426" s="16"/>
      <c r="B2426" s="16"/>
      <c r="C2426" s="22"/>
      <c r="D2426" s="16"/>
      <c r="E2426" s="16"/>
      <c r="F2426" s="16"/>
      <c r="G2426" s="16"/>
      <c r="H2426" s="16"/>
      <c r="I2426" s="23"/>
      <c r="J2426" s="23"/>
      <c r="K2426" s="16"/>
      <c r="L2426" s="23"/>
      <c r="M2426" s="23"/>
      <c r="N2426" s="23"/>
      <c r="O2426" s="16"/>
      <c r="P2426" s="23"/>
      <c r="Q2426" s="23"/>
      <c r="R2426" s="23"/>
      <c r="S2426" s="16"/>
      <c r="T2426" s="23"/>
      <c r="U2426" s="23"/>
      <c r="V2426" s="23"/>
      <c r="W2426" s="16"/>
      <c r="X2426" s="23"/>
      <c r="Y2426" s="23"/>
      <c r="Z2426" s="23"/>
      <c r="AA2426" s="16"/>
      <c r="AB2426" s="23"/>
      <c r="AC2426" s="23"/>
      <c r="AD2426" s="23"/>
      <c r="AE2426" s="16"/>
      <c r="AF2426" s="23"/>
      <c r="AG2426" s="23"/>
      <c r="AH2426" s="23"/>
      <c r="AI2426" s="16"/>
      <c r="AJ2426" s="23"/>
      <c r="AK2426" s="23"/>
      <c r="AL2426" s="23"/>
      <c r="AM2426" s="16"/>
      <c r="AN2426" s="23"/>
      <c r="AO2426" s="23"/>
      <c r="AP2426" s="23"/>
      <c r="AQ2426" s="16"/>
      <c r="AR2426" s="23"/>
      <c r="AS2426" s="23"/>
      <c r="AT2426" s="23"/>
      <c r="AU2426" s="16"/>
      <c r="AV2426" s="23"/>
      <c r="AW2426" s="23"/>
      <c r="AX2426" s="23"/>
      <c r="AY2426" s="16"/>
      <c r="AZ2426" s="23"/>
      <c r="BA2426" s="23"/>
      <c r="BB2426" s="23"/>
      <c r="BC2426" s="16"/>
      <c r="BD2426" s="23"/>
      <c r="BE2426" s="23"/>
      <c r="BF2426" s="23"/>
      <c r="BG2426" s="16"/>
      <c r="BH2426" s="23"/>
      <c r="BI2426" s="23"/>
      <c r="BJ2426" s="23"/>
      <c r="BN2426" s="23"/>
      <c r="BO2426" s="23"/>
      <c r="BP2426" s="16"/>
      <c r="BQ2426" s="16"/>
      <c r="BR2426" s="23"/>
      <c r="BS2426" s="16"/>
      <c r="BT2426" s="16"/>
      <c r="BU2426" s="16"/>
      <c r="BV2426" s="16"/>
      <c r="BW2426" s="16"/>
      <c r="BX2426" s="16"/>
      <c r="BY2426" s="16"/>
    </row>
    <row r="2427">
      <c r="A2427" s="16"/>
      <c r="B2427" s="16"/>
      <c r="C2427" s="22"/>
      <c r="D2427" s="16"/>
      <c r="E2427" s="16"/>
      <c r="F2427" s="16"/>
      <c r="G2427" s="16"/>
      <c r="H2427" s="16"/>
      <c r="I2427" s="23"/>
      <c r="J2427" s="23"/>
      <c r="K2427" s="16"/>
      <c r="L2427" s="23"/>
      <c r="M2427" s="23"/>
      <c r="N2427" s="23"/>
      <c r="O2427" s="16"/>
      <c r="P2427" s="23"/>
      <c r="Q2427" s="23"/>
      <c r="R2427" s="23"/>
      <c r="S2427" s="16"/>
      <c r="T2427" s="23"/>
      <c r="U2427" s="23"/>
      <c r="V2427" s="23"/>
      <c r="W2427" s="16"/>
      <c r="X2427" s="23"/>
      <c r="Y2427" s="23"/>
      <c r="Z2427" s="23"/>
      <c r="AA2427" s="16"/>
      <c r="AB2427" s="23"/>
      <c r="AC2427" s="23"/>
      <c r="AD2427" s="23"/>
      <c r="AE2427" s="16"/>
      <c r="AF2427" s="23"/>
      <c r="AG2427" s="23"/>
      <c r="AH2427" s="23"/>
      <c r="AI2427" s="16"/>
      <c r="AJ2427" s="23"/>
      <c r="AK2427" s="23"/>
      <c r="AL2427" s="23"/>
      <c r="AM2427" s="16"/>
      <c r="AN2427" s="23"/>
      <c r="AO2427" s="23"/>
      <c r="AP2427" s="23"/>
      <c r="AQ2427" s="16"/>
      <c r="AR2427" s="23"/>
      <c r="AS2427" s="23"/>
      <c r="AT2427" s="23"/>
      <c r="AU2427" s="16"/>
      <c r="AV2427" s="23"/>
      <c r="AW2427" s="23"/>
      <c r="AX2427" s="23"/>
      <c r="AY2427" s="16"/>
      <c r="AZ2427" s="23"/>
      <c r="BA2427" s="23"/>
      <c r="BB2427" s="23"/>
      <c r="BC2427" s="16"/>
      <c r="BD2427" s="23"/>
      <c r="BE2427" s="23"/>
      <c r="BF2427" s="23"/>
      <c r="BG2427" s="16"/>
      <c r="BH2427" s="23"/>
      <c r="BI2427" s="23"/>
      <c r="BJ2427" s="23"/>
      <c r="BN2427" s="23"/>
      <c r="BO2427" s="23"/>
      <c r="BP2427" s="16"/>
      <c r="BQ2427" s="16"/>
      <c r="BR2427" s="23"/>
      <c r="BS2427" s="16"/>
      <c r="BT2427" s="16"/>
      <c r="BU2427" s="16"/>
      <c r="BV2427" s="16"/>
      <c r="BW2427" s="16"/>
      <c r="BX2427" s="16"/>
      <c r="BY2427" s="16"/>
    </row>
    <row r="2428">
      <c r="A2428" s="16"/>
      <c r="B2428" s="16"/>
      <c r="C2428" s="22"/>
      <c r="D2428" s="16"/>
      <c r="E2428" s="16"/>
      <c r="F2428" s="16"/>
      <c r="G2428" s="16"/>
      <c r="H2428" s="16"/>
      <c r="I2428" s="23"/>
      <c r="J2428" s="23"/>
      <c r="K2428" s="16"/>
      <c r="L2428" s="23"/>
      <c r="M2428" s="23"/>
      <c r="N2428" s="23"/>
      <c r="O2428" s="16"/>
      <c r="P2428" s="23"/>
      <c r="Q2428" s="23"/>
      <c r="R2428" s="23"/>
      <c r="S2428" s="16"/>
      <c r="T2428" s="23"/>
      <c r="U2428" s="23"/>
      <c r="V2428" s="23"/>
      <c r="W2428" s="16"/>
      <c r="X2428" s="23"/>
      <c r="Y2428" s="23"/>
      <c r="Z2428" s="23"/>
      <c r="AA2428" s="16"/>
      <c r="AB2428" s="23"/>
      <c r="AC2428" s="23"/>
      <c r="AD2428" s="23"/>
      <c r="AE2428" s="16"/>
      <c r="AF2428" s="23"/>
      <c r="AG2428" s="23"/>
      <c r="AH2428" s="23"/>
      <c r="AI2428" s="16"/>
      <c r="AJ2428" s="23"/>
      <c r="AK2428" s="23"/>
      <c r="AL2428" s="23"/>
      <c r="AM2428" s="16"/>
      <c r="AN2428" s="23"/>
      <c r="AO2428" s="23"/>
      <c r="AP2428" s="23"/>
      <c r="AQ2428" s="16"/>
      <c r="AR2428" s="23"/>
      <c r="AS2428" s="23"/>
      <c r="AT2428" s="23"/>
      <c r="AU2428" s="16"/>
      <c r="AV2428" s="23"/>
      <c r="AW2428" s="23"/>
      <c r="AX2428" s="23"/>
      <c r="AY2428" s="16"/>
      <c r="AZ2428" s="23"/>
      <c r="BA2428" s="23"/>
      <c r="BB2428" s="23"/>
      <c r="BC2428" s="16"/>
      <c r="BD2428" s="23"/>
      <c r="BE2428" s="23"/>
      <c r="BF2428" s="23"/>
      <c r="BG2428" s="16"/>
      <c r="BH2428" s="23"/>
      <c r="BI2428" s="23"/>
      <c r="BJ2428" s="23"/>
      <c r="BN2428" s="23"/>
      <c r="BO2428" s="23"/>
      <c r="BP2428" s="16"/>
      <c r="BQ2428" s="16"/>
      <c r="BR2428" s="23"/>
      <c r="BS2428" s="16"/>
      <c r="BT2428" s="16"/>
      <c r="BU2428" s="16"/>
      <c r="BV2428" s="16"/>
      <c r="BW2428" s="16"/>
      <c r="BX2428" s="16"/>
      <c r="BY2428" s="16"/>
    </row>
    <row r="2429">
      <c r="A2429" s="16"/>
      <c r="B2429" s="16"/>
      <c r="C2429" s="22"/>
      <c r="D2429" s="16"/>
      <c r="E2429" s="16"/>
      <c r="F2429" s="16"/>
      <c r="G2429" s="16"/>
      <c r="H2429" s="16"/>
      <c r="I2429" s="23"/>
      <c r="J2429" s="23"/>
      <c r="K2429" s="16"/>
      <c r="L2429" s="23"/>
      <c r="M2429" s="23"/>
      <c r="N2429" s="23"/>
      <c r="O2429" s="16"/>
      <c r="P2429" s="23"/>
      <c r="Q2429" s="23"/>
      <c r="R2429" s="23"/>
      <c r="S2429" s="16"/>
      <c r="T2429" s="23"/>
      <c r="U2429" s="23"/>
      <c r="V2429" s="23"/>
      <c r="W2429" s="16"/>
      <c r="X2429" s="23"/>
      <c r="Y2429" s="23"/>
      <c r="Z2429" s="23"/>
      <c r="AA2429" s="16"/>
      <c r="AB2429" s="23"/>
      <c r="AC2429" s="23"/>
      <c r="AD2429" s="23"/>
      <c r="AE2429" s="16"/>
      <c r="AF2429" s="23"/>
      <c r="AG2429" s="23"/>
      <c r="AH2429" s="23"/>
      <c r="AI2429" s="16"/>
      <c r="AJ2429" s="23"/>
      <c r="AK2429" s="23"/>
      <c r="AL2429" s="23"/>
      <c r="AM2429" s="16"/>
      <c r="AN2429" s="23"/>
      <c r="AO2429" s="23"/>
      <c r="AP2429" s="23"/>
      <c r="AQ2429" s="16"/>
      <c r="AR2429" s="23"/>
      <c r="AS2429" s="23"/>
      <c r="AT2429" s="23"/>
      <c r="AU2429" s="16"/>
      <c r="AV2429" s="23"/>
      <c r="AW2429" s="23"/>
      <c r="AX2429" s="23"/>
      <c r="AY2429" s="16"/>
      <c r="AZ2429" s="23"/>
      <c r="BA2429" s="23"/>
      <c r="BB2429" s="23"/>
      <c r="BC2429" s="16"/>
      <c r="BD2429" s="23"/>
      <c r="BE2429" s="23"/>
      <c r="BF2429" s="23"/>
      <c r="BG2429" s="16"/>
      <c r="BH2429" s="23"/>
      <c r="BI2429" s="23"/>
      <c r="BJ2429" s="23"/>
      <c r="BN2429" s="23"/>
      <c r="BO2429" s="23"/>
      <c r="BP2429" s="16"/>
      <c r="BQ2429" s="16"/>
      <c r="BR2429" s="23"/>
      <c r="BS2429" s="16"/>
      <c r="BT2429" s="16"/>
      <c r="BU2429" s="16"/>
      <c r="BV2429" s="16"/>
      <c r="BW2429" s="16"/>
      <c r="BX2429" s="16"/>
      <c r="BY2429" s="16"/>
    </row>
    <row r="2430">
      <c r="A2430" s="16"/>
      <c r="B2430" s="16"/>
      <c r="C2430" s="22"/>
      <c r="D2430" s="16"/>
      <c r="E2430" s="16"/>
      <c r="F2430" s="16"/>
      <c r="G2430" s="16"/>
      <c r="H2430" s="16"/>
      <c r="I2430" s="23"/>
      <c r="J2430" s="23"/>
      <c r="K2430" s="16"/>
      <c r="L2430" s="23"/>
      <c r="M2430" s="23"/>
      <c r="N2430" s="23"/>
      <c r="O2430" s="16"/>
      <c r="P2430" s="23"/>
      <c r="Q2430" s="23"/>
      <c r="R2430" s="23"/>
      <c r="S2430" s="16"/>
      <c r="T2430" s="23"/>
      <c r="U2430" s="23"/>
      <c r="V2430" s="23"/>
      <c r="W2430" s="16"/>
      <c r="X2430" s="23"/>
      <c r="Y2430" s="23"/>
      <c r="Z2430" s="23"/>
      <c r="AA2430" s="16"/>
      <c r="AB2430" s="23"/>
      <c r="AC2430" s="23"/>
      <c r="AD2430" s="23"/>
      <c r="AE2430" s="16"/>
      <c r="AF2430" s="23"/>
      <c r="AG2430" s="23"/>
      <c r="AH2430" s="23"/>
      <c r="AI2430" s="16"/>
      <c r="AJ2430" s="23"/>
      <c r="AK2430" s="23"/>
      <c r="AL2430" s="23"/>
      <c r="AM2430" s="16"/>
      <c r="AN2430" s="23"/>
      <c r="AO2430" s="23"/>
      <c r="AP2430" s="23"/>
      <c r="AQ2430" s="16"/>
      <c r="AR2430" s="23"/>
      <c r="AS2430" s="23"/>
      <c r="AT2430" s="23"/>
      <c r="AU2430" s="16"/>
      <c r="AV2430" s="23"/>
      <c r="AW2430" s="23"/>
      <c r="AX2430" s="23"/>
      <c r="AY2430" s="16"/>
      <c r="AZ2430" s="23"/>
      <c r="BA2430" s="23"/>
      <c r="BB2430" s="23"/>
      <c r="BC2430" s="16"/>
      <c r="BD2430" s="23"/>
      <c r="BE2430" s="23"/>
      <c r="BF2430" s="23"/>
      <c r="BG2430" s="16"/>
      <c r="BH2430" s="23"/>
      <c r="BI2430" s="23"/>
      <c r="BJ2430" s="23"/>
      <c r="BN2430" s="23"/>
      <c r="BO2430" s="23"/>
      <c r="BP2430" s="16"/>
      <c r="BQ2430" s="16"/>
      <c r="BR2430" s="23"/>
      <c r="BS2430" s="16"/>
      <c r="BT2430" s="16"/>
      <c r="BU2430" s="16"/>
      <c r="BV2430" s="16"/>
      <c r="BW2430" s="16"/>
      <c r="BX2430" s="16"/>
      <c r="BY2430" s="16"/>
    </row>
    <row r="2431">
      <c r="A2431" s="16"/>
      <c r="B2431" s="16"/>
      <c r="C2431" s="22"/>
      <c r="D2431" s="16"/>
      <c r="E2431" s="16"/>
      <c r="F2431" s="16"/>
      <c r="G2431" s="16"/>
      <c r="H2431" s="16"/>
      <c r="I2431" s="23"/>
      <c r="J2431" s="23"/>
      <c r="K2431" s="16"/>
      <c r="L2431" s="23"/>
      <c r="M2431" s="23"/>
      <c r="N2431" s="23"/>
      <c r="O2431" s="16"/>
      <c r="P2431" s="23"/>
      <c r="Q2431" s="23"/>
      <c r="R2431" s="23"/>
      <c r="S2431" s="16"/>
      <c r="T2431" s="23"/>
      <c r="U2431" s="23"/>
      <c r="V2431" s="23"/>
      <c r="W2431" s="16"/>
      <c r="X2431" s="23"/>
      <c r="Y2431" s="23"/>
      <c r="Z2431" s="23"/>
      <c r="AA2431" s="16"/>
      <c r="AB2431" s="23"/>
      <c r="AC2431" s="23"/>
      <c r="AD2431" s="23"/>
      <c r="AE2431" s="16"/>
      <c r="AF2431" s="23"/>
      <c r="AG2431" s="23"/>
      <c r="AH2431" s="23"/>
      <c r="AI2431" s="16"/>
      <c r="AJ2431" s="23"/>
      <c r="AK2431" s="23"/>
      <c r="AL2431" s="23"/>
      <c r="AM2431" s="16"/>
      <c r="AN2431" s="23"/>
      <c r="AO2431" s="23"/>
      <c r="AP2431" s="23"/>
      <c r="AQ2431" s="16"/>
      <c r="AR2431" s="23"/>
      <c r="AS2431" s="23"/>
      <c r="AT2431" s="23"/>
      <c r="AU2431" s="16"/>
      <c r="AV2431" s="23"/>
      <c r="AW2431" s="23"/>
      <c r="AX2431" s="23"/>
      <c r="AY2431" s="16"/>
      <c r="AZ2431" s="23"/>
      <c r="BA2431" s="23"/>
      <c r="BB2431" s="23"/>
      <c r="BC2431" s="16"/>
      <c r="BD2431" s="23"/>
      <c r="BE2431" s="23"/>
      <c r="BF2431" s="23"/>
      <c r="BG2431" s="16"/>
      <c r="BH2431" s="23"/>
      <c r="BI2431" s="23"/>
      <c r="BJ2431" s="23"/>
      <c r="BN2431" s="23"/>
      <c r="BO2431" s="23"/>
      <c r="BP2431" s="16"/>
      <c r="BQ2431" s="16"/>
      <c r="BR2431" s="23"/>
      <c r="BS2431" s="16"/>
      <c r="BT2431" s="16"/>
      <c r="BU2431" s="16"/>
      <c r="BV2431" s="16"/>
      <c r="BW2431" s="16"/>
      <c r="BX2431" s="16"/>
      <c r="BY2431" s="16"/>
    </row>
    <row r="2432">
      <c r="A2432" s="16"/>
      <c r="B2432" s="16"/>
      <c r="C2432" s="22"/>
      <c r="D2432" s="16"/>
      <c r="E2432" s="16"/>
      <c r="F2432" s="16"/>
      <c r="G2432" s="16"/>
      <c r="H2432" s="16"/>
      <c r="I2432" s="23"/>
      <c r="J2432" s="23"/>
      <c r="K2432" s="16"/>
      <c r="L2432" s="23"/>
      <c r="M2432" s="23"/>
      <c r="N2432" s="23"/>
      <c r="O2432" s="16"/>
      <c r="P2432" s="23"/>
      <c r="Q2432" s="23"/>
      <c r="R2432" s="23"/>
      <c r="S2432" s="16"/>
      <c r="T2432" s="23"/>
      <c r="U2432" s="23"/>
      <c r="V2432" s="23"/>
      <c r="W2432" s="16"/>
      <c r="X2432" s="23"/>
      <c r="Y2432" s="23"/>
      <c r="Z2432" s="23"/>
      <c r="AA2432" s="16"/>
      <c r="AB2432" s="23"/>
      <c r="AC2432" s="23"/>
      <c r="AD2432" s="23"/>
      <c r="AE2432" s="16"/>
      <c r="AF2432" s="23"/>
      <c r="AG2432" s="23"/>
      <c r="AH2432" s="23"/>
      <c r="AI2432" s="16"/>
      <c r="AJ2432" s="23"/>
      <c r="AK2432" s="23"/>
      <c r="AL2432" s="23"/>
      <c r="AM2432" s="16"/>
      <c r="AN2432" s="23"/>
      <c r="AO2432" s="23"/>
      <c r="AP2432" s="23"/>
      <c r="AQ2432" s="16"/>
      <c r="AR2432" s="23"/>
      <c r="AS2432" s="23"/>
      <c r="AT2432" s="23"/>
      <c r="AU2432" s="16"/>
      <c r="AV2432" s="23"/>
      <c r="AW2432" s="23"/>
      <c r="AX2432" s="23"/>
      <c r="AY2432" s="16"/>
      <c r="AZ2432" s="23"/>
      <c r="BA2432" s="23"/>
      <c r="BB2432" s="23"/>
      <c r="BC2432" s="16"/>
      <c r="BD2432" s="23"/>
      <c r="BE2432" s="23"/>
      <c r="BF2432" s="23"/>
      <c r="BG2432" s="16"/>
      <c r="BH2432" s="23"/>
      <c r="BI2432" s="23"/>
      <c r="BJ2432" s="23"/>
      <c r="BN2432" s="23"/>
      <c r="BO2432" s="23"/>
      <c r="BP2432" s="16"/>
      <c r="BQ2432" s="16"/>
      <c r="BR2432" s="23"/>
      <c r="BS2432" s="16"/>
      <c r="BT2432" s="16"/>
      <c r="BU2432" s="16"/>
      <c r="BV2432" s="16"/>
      <c r="BW2432" s="16"/>
      <c r="BX2432" s="16"/>
      <c r="BY2432" s="16"/>
    </row>
    <row r="2433">
      <c r="A2433" s="16"/>
      <c r="B2433" s="16"/>
      <c r="C2433" s="22"/>
      <c r="D2433" s="16"/>
      <c r="E2433" s="16"/>
      <c r="F2433" s="16"/>
      <c r="G2433" s="16"/>
      <c r="H2433" s="16"/>
      <c r="I2433" s="23"/>
      <c r="J2433" s="23"/>
      <c r="K2433" s="16"/>
      <c r="L2433" s="23"/>
      <c r="M2433" s="23"/>
      <c r="N2433" s="23"/>
      <c r="O2433" s="16"/>
      <c r="P2433" s="23"/>
      <c r="Q2433" s="23"/>
      <c r="R2433" s="23"/>
      <c r="S2433" s="16"/>
      <c r="T2433" s="23"/>
      <c r="U2433" s="23"/>
      <c r="V2433" s="23"/>
      <c r="W2433" s="16"/>
      <c r="X2433" s="23"/>
      <c r="Y2433" s="23"/>
      <c r="Z2433" s="23"/>
      <c r="AA2433" s="16"/>
      <c r="AB2433" s="23"/>
      <c r="AC2433" s="23"/>
      <c r="AD2433" s="23"/>
      <c r="AE2433" s="16"/>
      <c r="AF2433" s="23"/>
      <c r="AG2433" s="23"/>
      <c r="AH2433" s="23"/>
      <c r="AI2433" s="16"/>
      <c r="AJ2433" s="23"/>
      <c r="AK2433" s="23"/>
      <c r="AL2433" s="23"/>
      <c r="AM2433" s="16"/>
      <c r="AN2433" s="23"/>
      <c r="AO2433" s="23"/>
      <c r="AP2433" s="23"/>
      <c r="AQ2433" s="16"/>
      <c r="AR2433" s="23"/>
      <c r="AS2433" s="23"/>
      <c r="AT2433" s="23"/>
      <c r="AU2433" s="16"/>
      <c r="AV2433" s="23"/>
      <c r="AW2433" s="23"/>
      <c r="AX2433" s="23"/>
      <c r="AY2433" s="16"/>
      <c r="AZ2433" s="23"/>
      <c r="BA2433" s="23"/>
      <c r="BB2433" s="23"/>
      <c r="BC2433" s="16"/>
      <c r="BD2433" s="23"/>
      <c r="BE2433" s="23"/>
      <c r="BF2433" s="23"/>
      <c r="BG2433" s="16"/>
      <c r="BH2433" s="23"/>
      <c r="BI2433" s="23"/>
      <c r="BJ2433" s="23"/>
      <c r="BN2433" s="23"/>
      <c r="BO2433" s="23"/>
      <c r="BP2433" s="16"/>
      <c r="BQ2433" s="16"/>
      <c r="BR2433" s="23"/>
      <c r="BS2433" s="16"/>
      <c r="BT2433" s="16"/>
      <c r="BU2433" s="16"/>
      <c r="BV2433" s="16"/>
      <c r="BW2433" s="16"/>
      <c r="BX2433" s="16"/>
      <c r="BY2433" s="16"/>
    </row>
    <row r="2434">
      <c r="A2434" s="16"/>
      <c r="B2434" s="16"/>
      <c r="C2434" s="22"/>
      <c r="D2434" s="16"/>
      <c r="E2434" s="16"/>
      <c r="F2434" s="16"/>
      <c r="G2434" s="16"/>
      <c r="H2434" s="16"/>
      <c r="I2434" s="23"/>
      <c r="J2434" s="23"/>
      <c r="K2434" s="16"/>
      <c r="L2434" s="23"/>
      <c r="M2434" s="23"/>
      <c r="N2434" s="23"/>
      <c r="O2434" s="16"/>
      <c r="P2434" s="23"/>
      <c r="Q2434" s="23"/>
      <c r="R2434" s="23"/>
      <c r="S2434" s="16"/>
      <c r="T2434" s="23"/>
      <c r="U2434" s="23"/>
      <c r="V2434" s="23"/>
      <c r="W2434" s="16"/>
      <c r="X2434" s="23"/>
      <c r="Y2434" s="23"/>
      <c r="Z2434" s="23"/>
      <c r="AA2434" s="16"/>
      <c r="AB2434" s="23"/>
      <c r="AC2434" s="23"/>
      <c r="AD2434" s="23"/>
      <c r="AE2434" s="16"/>
      <c r="AF2434" s="23"/>
      <c r="AG2434" s="23"/>
      <c r="AH2434" s="23"/>
      <c r="AI2434" s="16"/>
      <c r="AJ2434" s="23"/>
      <c r="AK2434" s="23"/>
      <c r="AL2434" s="23"/>
      <c r="AM2434" s="16"/>
      <c r="AN2434" s="23"/>
      <c r="AO2434" s="23"/>
      <c r="AP2434" s="23"/>
      <c r="AQ2434" s="16"/>
      <c r="AR2434" s="23"/>
      <c r="AS2434" s="23"/>
      <c r="AT2434" s="23"/>
      <c r="AU2434" s="16"/>
      <c r="AV2434" s="23"/>
      <c r="AW2434" s="23"/>
      <c r="AX2434" s="23"/>
      <c r="AY2434" s="16"/>
      <c r="AZ2434" s="23"/>
      <c r="BA2434" s="23"/>
      <c r="BB2434" s="23"/>
      <c r="BC2434" s="16"/>
      <c r="BD2434" s="23"/>
      <c r="BE2434" s="23"/>
      <c r="BF2434" s="23"/>
      <c r="BG2434" s="16"/>
      <c r="BH2434" s="23"/>
      <c r="BI2434" s="23"/>
      <c r="BJ2434" s="23"/>
      <c r="BN2434" s="23"/>
      <c r="BO2434" s="23"/>
      <c r="BP2434" s="16"/>
      <c r="BQ2434" s="16"/>
      <c r="BR2434" s="23"/>
      <c r="BS2434" s="16"/>
      <c r="BT2434" s="16"/>
      <c r="BU2434" s="16"/>
      <c r="BV2434" s="16"/>
      <c r="BW2434" s="16"/>
      <c r="BX2434" s="16"/>
      <c r="BY2434" s="16"/>
    </row>
    <row r="2435">
      <c r="A2435" s="16"/>
      <c r="B2435" s="16"/>
      <c r="C2435" s="22"/>
      <c r="D2435" s="16"/>
      <c r="E2435" s="16"/>
      <c r="F2435" s="16"/>
      <c r="G2435" s="16"/>
      <c r="H2435" s="16"/>
      <c r="I2435" s="23"/>
      <c r="J2435" s="23"/>
      <c r="K2435" s="16"/>
      <c r="L2435" s="23"/>
      <c r="M2435" s="23"/>
      <c r="N2435" s="23"/>
      <c r="O2435" s="16"/>
      <c r="P2435" s="23"/>
      <c r="Q2435" s="23"/>
      <c r="R2435" s="23"/>
      <c r="S2435" s="16"/>
      <c r="T2435" s="23"/>
      <c r="U2435" s="23"/>
      <c r="V2435" s="23"/>
      <c r="W2435" s="16"/>
      <c r="X2435" s="23"/>
      <c r="Y2435" s="23"/>
      <c r="Z2435" s="23"/>
      <c r="AA2435" s="16"/>
      <c r="AB2435" s="23"/>
      <c r="AC2435" s="23"/>
      <c r="AD2435" s="23"/>
      <c r="AE2435" s="16"/>
      <c r="AF2435" s="23"/>
      <c r="AG2435" s="23"/>
      <c r="AH2435" s="23"/>
      <c r="AI2435" s="16"/>
      <c r="AJ2435" s="23"/>
      <c r="AK2435" s="23"/>
      <c r="AL2435" s="23"/>
      <c r="AM2435" s="16"/>
      <c r="AN2435" s="23"/>
      <c r="AO2435" s="23"/>
      <c r="AP2435" s="23"/>
      <c r="AQ2435" s="16"/>
      <c r="AR2435" s="23"/>
      <c r="AS2435" s="23"/>
      <c r="AT2435" s="23"/>
      <c r="AU2435" s="16"/>
      <c r="AV2435" s="23"/>
      <c r="AW2435" s="23"/>
      <c r="AX2435" s="23"/>
      <c r="AY2435" s="16"/>
      <c r="AZ2435" s="23"/>
      <c r="BA2435" s="23"/>
      <c r="BB2435" s="23"/>
      <c r="BC2435" s="16"/>
      <c r="BD2435" s="23"/>
      <c r="BE2435" s="23"/>
      <c r="BF2435" s="23"/>
      <c r="BG2435" s="16"/>
      <c r="BH2435" s="23"/>
      <c r="BI2435" s="23"/>
      <c r="BJ2435" s="23"/>
      <c r="BN2435" s="23"/>
      <c r="BO2435" s="23"/>
      <c r="BP2435" s="16"/>
      <c r="BQ2435" s="16"/>
      <c r="BR2435" s="23"/>
      <c r="BS2435" s="16"/>
      <c r="BT2435" s="16"/>
      <c r="BU2435" s="16"/>
      <c r="BV2435" s="16"/>
      <c r="BW2435" s="16"/>
      <c r="BX2435" s="16"/>
      <c r="BY2435" s="16"/>
    </row>
    <row r="2436">
      <c r="A2436" s="16"/>
      <c r="B2436" s="16"/>
      <c r="C2436" s="22"/>
      <c r="D2436" s="16"/>
      <c r="E2436" s="16"/>
      <c r="F2436" s="16"/>
      <c r="G2436" s="16"/>
      <c r="H2436" s="16"/>
      <c r="I2436" s="23"/>
      <c r="J2436" s="23"/>
      <c r="K2436" s="16"/>
      <c r="L2436" s="23"/>
      <c r="M2436" s="23"/>
      <c r="N2436" s="23"/>
      <c r="O2436" s="16"/>
      <c r="P2436" s="23"/>
      <c r="Q2436" s="23"/>
      <c r="R2436" s="23"/>
      <c r="S2436" s="16"/>
      <c r="T2436" s="23"/>
      <c r="U2436" s="23"/>
      <c r="V2436" s="23"/>
      <c r="W2436" s="16"/>
      <c r="X2436" s="23"/>
      <c r="Y2436" s="23"/>
      <c r="Z2436" s="23"/>
      <c r="AA2436" s="16"/>
      <c r="AB2436" s="23"/>
      <c r="AC2436" s="23"/>
      <c r="AD2436" s="23"/>
      <c r="AE2436" s="16"/>
      <c r="AF2436" s="23"/>
      <c r="AG2436" s="23"/>
      <c r="AH2436" s="23"/>
      <c r="AI2436" s="16"/>
      <c r="AJ2436" s="23"/>
      <c r="AK2436" s="23"/>
      <c r="AL2436" s="23"/>
      <c r="AM2436" s="16"/>
      <c r="AN2436" s="23"/>
      <c r="AO2436" s="23"/>
      <c r="AP2436" s="23"/>
      <c r="AQ2436" s="16"/>
      <c r="AR2436" s="23"/>
      <c r="AS2436" s="23"/>
      <c r="AT2436" s="23"/>
      <c r="AU2436" s="16"/>
      <c r="AV2436" s="23"/>
      <c r="AW2436" s="23"/>
      <c r="AX2436" s="23"/>
      <c r="AY2436" s="16"/>
      <c r="AZ2436" s="23"/>
      <c r="BA2436" s="23"/>
      <c r="BB2436" s="23"/>
      <c r="BC2436" s="16"/>
      <c r="BD2436" s="23"/>
      <c r="BE2436" s="23"/>
      <c r="BF2436" s="23"/>
      <c r="BG2436" s="16"/>
      <c r="BH2436" s="23"/>
      <c r="BI2436" s="23"/>
      <c r="BJ2436" s="23"/>
      <c r="BN2436" s="23"/>
      <c r="BO2436" s="23"/>
      <c r="BP2436" s="16"/>
      <c r="BQ2436" s="16"/>
      <c r="BR2436" s="23"/>
      <c r="BS2436" s="16"/>
      <c r="BT2436" s="16"/>
      <c r="BU2436" s="16"/>
      <c r="BV2436" s="16"/>
      <c r="BW2436" s="16"/>
      <c r="BX2436" s="16"/>
      <c r="BY2436" s="16"/>
    </row>
    <row r="2437">
      <c r="A2437" s="16"/>
      <c r="B2437" s="16"/>
      <c r="C2437" s="22"/>
      <c r="D2437" s="16"/>
      <c r="E2437" s="16"/>
      <c r="F2437" s="16"/>
      <c r="G2437" s="16"/>
      <c r="H2437" s="16"/>
      <c r="I2437" s="23"/>
      <c r="J2437" s="23"/>
      <c r="K2437" s="16"/>
      <c r="L2437" s="23"/>
      <c r="M2437" s="23"/>
      <c r="N2437" s="23"/>
      <c r="O2437" s="16"/>
      <c r="P2437" s="23"/>
      <c r="Q2437" s="23"/>
      <c r="R2437" s="23"/>
      <c r="S2437" s="16"/>
      <c r="T2437" s="23"/>
      <c r="U2437" s="23"/>
      <c r="V2437" s="23"/>
      <c r="W2437" s="16"/>
      <c r="X2437" s="23"/>
      <c r="Y2437" s="23"/>
      <c r="Z2437" s="23"/>
      <c r="AA2437" s="16"/>
      <c r="AB2437" s="23"/>
      <c r="AC2437" s="23"/>
      <c r="AD2437" s="23"/>
      <c r="AE2437" s="16"/>
      <c r="AF2437" s="23"/>
      <c r="AG2437" s="23"/>
      <c r="AH2437" s="23"/>
      <c r="AI2437" s="16"/>
      <c r="AJ2437" s="23"/>
      <c r="AK2437" s="23"/>
      <c r="AL2437" s="23"/>
      <c r="AM2437" s="16"/>
      <c r="AN2437" s="23"/>
      <c r="AO2437" s="23"/>
      <c r="AP2437" s="23"/>
      <c r="AQ2437" s="16"/>
      <c r="AR2437" s="23"/>
      <c r="AS2437" s="23"/>
      <c r="AT2437" s="23"/>
      <c r="AU2437" s="16"/>
      <c r="AV2437" s="23"/>
      <c r="AW2437" s="23"/>
      <c r="AX2437" s="23"/>
      <c r="AY2437" s="16"/>
      <c r="AZ2437" s="23"/>
      <c r="BA2437" s="23"/>
      <c r="BB2437" s="23"/>
      <c r="BC2437" s="16"/>
      <c r="BD2437" s="23"/>
      <c r="BE2437" s="23"/>
      <c r="BF2437" s="23"/>
      <c r="BG2437" s="16"/>
      <c r="BH2437" s="23"/>
      <c r="BI2437" s="23"/>
      <c r="BJ2437" s="23"/>
      <c r="BN2437" s="23"/>
      <c r="BO2437" s="23"/>
      <c r="BP2437" s="16"/>
      <c r="BQ2437" s="16"/>
      <c r="BR2437" s="23"/>
      <c r="BS2437" s="16"/>
      <c r="BT2437" s="16"/>
      <c r="BU2437" s="16"/>
      <c r="BV2437" s="16"/>
      <c r="BW2437" s="16"/>
      <c r="BX2437" s="16"/>
      <c r="BY2437" s="16"/>
    </row>
    <row r="2438">
      <c r="A2438" s="16"/>
      <c r="B2438" s="16"/>
      <c r="C2438" s="22"/>
      <c r="D2438" s="16"/>
      <c r="E2438" s="16"/>
      <c r="F2438" s="16"/>
      <c r="G2438" s="16"/>
      <c r="H2438" s="16"/>
      <c r="I2438" s="23"/>
      <c r="J2438" s="23"/>
      <c r="K2438" s="16"/>
      <c r="L2438" s="23"/>
      <c r="M2438" s="23"/>
      <c r="N2438" s="23"/>
      <c r="O2438" s="16"/>
      <c r="P2438" s="23"/>
      <c r="Q2438" s="23"/>
      <c r="R2438" s="23"/>
      <c r="S2438" s="16"/>
      <c r="T2438" s="23"/>
      <c r="U2438" s="23"/>
      <c r="V2438" s="23"/>
      <c r="W2438" s="16"/>
      <c r="X2438" s="23"/>
      <c r="Y2438" s="23"/>
      <c r="Z2438" s="23"/>
      <c r="AA2438" s="16"/>
      <c r="AB2438" s="23"/>
      <c r="AC2438" s="23"/>
      <c r="AD2438" s="23"/>
      <c r="AE2438" s="16"/>
      <c r="AF2438" s="23"/>
      <c r="AG2438" s="23"/>
      <c r="AH2438" s="23"/>
      <c r="AI2438" s="16"/>
      <c r="AJ2438" s="23"/>
      <c r="AK2438" s="23"/>
      <c r="AL2438" s="23"/>
      <c r="AM2438" s="16"/>
      <c r="AN2438" s="23"/>
      <c r="AO2438" s="23"/>
      <c r="AP2438" s="23"/>
      <c r="AQ2438" s="16"/>
      <c r="AR2438" s="23"/>
      <c r="AS2438" s="23"/>
      <c r="AT2438" s="23"/>
      <c r="AU2438" s="16"/>
      <c r="AV2438" s="23"/>
      <c r="AW2438" s="23"/>
      <c r="AX2438" s="23"/>
      <c r="AY2438" s="16"/>
      <c r="AZ2438" s="23"/>
      <c r="BA2438" s="23"/>
      <c r="BB2438" s="23"/>
      <c r="BC2438" s="16"/>
      <c r="BD2438" s="23"/>
      <c r="BE2438" s="23"/>
      <c r="BF2438" s="23"/>
      <c r="BG2438" s="16"/>
      <c r="BH2438" s="23"/>
      <c r="BI2438" s="23"/>
      <c r="BJ2438" s="23"/>
      <c r="BN2438" s="23"/>
      <c r="BO2438" s="23"/>
      <c r="BP2438" s="16"/>
      <c r="BQ2438" s="16"/>
      <c r="BR2438" s="23"/>
      <c r="BS2438" s="16"/>
      <c r="BT2438" s="16"/>
      <c r="BU2438" s="16"/>
      <c r="BV2438" s="16"/>
      <c r="BW2438" s="16"/>
      <c r="BX2438" s="16"/>
      <c r="BY2438" s="16"/>
    </row>
    <row r="2439">
      <c r="A2439" s="16"/>
      <c r="B2439" s="16"/>
      <c r="C2439" s="22"/>
      <c r="D2439" s="16"/>
      <c r="E2439" s="16"/>
      <c r="F2439" s="16"/>
      <c r="G2439" s="16"/>
      <c r="H2439" s="16"/>
      <c r="I2439" s="23"/>
      <c r="J2439" s="23"/>
      <c r="K2439" s="16"/>
      <c r="L2439" s="23"/>
      <c r="M2439" s="23"/>
      <c r="N2439" s="23"/>
      <c r="O2439" s="16"/>
      <c r="P2439" s="23"/>
      <c r="Q2439" s="23"/>
      <c r="R2439" s="23"/>
      <c r="S2439" s="16"/>
      <c r="T2439" s="23"/>
      <c r="U2439" s="23"/>
      <c r="V2439" s="23"/>
      <c r="W2439" s="16"/>
      <c r="X2439" s="23"/>
      <c r="Y2439" s="23"/>
      <c r="Z2439" s="23"/>
      <c r="AA2439" s="16"/>
      <c r="AB2439" s="23"/>
      <c r="AC2439" s="23"/>
      <c r="AD2439" s="23"/>
      <c r="AE2439" s="16"/>
      <c r="AF2439" s="23"/>
      <c r="AG2439" s="23"/>
      <c r="AH2439" s="23"/>
      <c r="AI2439" s="16"/>
      <c r="AJ2439" s="23"/>
      <c r="AK2439" s="23"/>
      <c r="AL2439" s="23"/>
      <c r="AM2439" s="16"/>
      <c r="AN2439" s="23"/>
      <c r="AO2439" s="23"/>
      <c r="AP2439" s="23"/>
      <c r="AQ2439" s="16"/>
      <c r="AR2439" s="23"/>
      <c r="AS2439" s="23"/>
      <c r="AT2439" s="23"/>
      <c r="AU2439" s="16"/>
      <c r="AV2439" s="23"/>
      <c r="AW2439" s="23"/>
      <c r="AX2439" s="23"/>
      <c r="AY2439" s="16"/>
      <c r="AZ2439" s="23"/>
      <c r="BA2439" s="23"/>
      <c r="BB2439" s="23"/>
      <c r="BC2439" s="16"/>
      <c r="BD2439" s="23"/>
      <c r="BE2439" s="23"/>
      <c r="BF2439" s="23"/>
      <c r="BG2439" s="16"/>
      <c r="BH2439" s="23"/>
      <c r="BI2439" s="23"/>
      <c r="BJ2439" s="23"/>
      <c r="BN2439" s="23"/>
      <c r="BO2439" s="23"/>
      <c r="BP2439" s="16"/>
      <c r="BQ2439" s="16"/>
      <c r="BR2439" s="23"/>
      <c r="BS2439" s="16"/>
      <c r="BT2439" s="16"/>
      <c r="BU2439" s="16"/>
      <c r="BV2439" s="16"/>
      <c r="BW2439" s="16"/>
      <c r="BX2439" s="16"/>
      <c r="BY2439" s="16"/>
    </row>
    <row r="2440">
      <c r="A2440" s="16"/>
      <c r="B2440" s="16"/>
      <c r="C2440" s="22"/>
      <c r="D2440" s="16"/>
      <c r="E2440" s="16"/>
      <c r="F2440" s="16"/>
      <c r="G2440" s="16"/>
      <c r="H2440" s="16"/>
      <c r="I2440" s="23"/>
      <c r="J2440" s="23"/>
      <c r="K2440" s="16"/>
      <c r="L2440" s="23"/>
      <c r="M2440" s="23"/>
      <c r="N2440" s="23"/>
      <c r="O2440" s="16"/>
      <c r="P2440" s="23"/>
      <c r="Q2440" s="23"/>
      <c r="R2440" s="23"/>
      <c r="S2440" s="16"/>
      <c r="T2440" s="23"/>
      <c r="U2440" s="23"/>
      <c r="V2440" s="23"/>
      <c r="W2440" s="16"/>
      <c r="X2440" s="23"/>
      <c r="Y2440" s="23"/>
      <c r="Z2440" s="23"/>
      <c r="AA2440" s="16"/>
      <c r="AB2440" s="23"/>
      <c r="AC2440" s="23"/>
      <c r="AD2440" s="23"/>
      <c r="AE2440" s="16"/>
      <c r="AF2440" s="23"/>
      <c r="AG2440" s="23"/>
      <c r="AH2440" s="23"/>
      <c r="AI2440" s="16"/>
      <c r="AJ2440" s="23"/>
      <c r="AK2440" s="23"/>
      <c r="AL2440" s="23"/>
      <c r="AM2440" s="16"/>
      <c r="AN2440" s="23"/>
      <c r="AO2440" s="23"/>
      <c r="AP2440" s="23"/>
      <c r="AQ2440" s="16"/>
      <c r="AR2440" s="23"/>
      <c r="AS2440" s="23"/>
      <c r="AT2440" s="23"/>
      <c r="AU2440" s="16"/>
      <c r="AV2440" s="23"/>
      <c r="AW2440" s="23"/>
      <c r="AX2440" s="23"/>
      <c r="AY2440" s="16"/>
      <c r="AZ2440" s="23"/>
      <c r="BA2440" s="23"/>
      <c r="BB2440" s="23"/>
      <c r="BC2440" s="16"/>
      <c r="BD2440" s="23"/>
      <c r="BE2440" s="23"/>
      <c r="BF2440" s="23"/>
      <c r="BG2440" s="16"/>
      <c r="BH2440" s="23"/>
      <c r="BI2440" s="23"/>
      <c r="BJ2440" s="23"/>
      <c r="BN2440" s="23"/>
      <c r="BO2440" s="23"/>
      <c r="BP2440" s="16"/>
      <c r="BQ2440" s="16"/>
      <c r="BR2440" s="23"/>
      <c r="BS2440" s="16"/>
      <c r="BT2440" s="16"/>
      <c r="BU2440" s="16"/>
      <c r="BV2440" s="16"/>
      <c r="BW2440" s="16"/>
      <c r="BX2440" s="16"/>
      <c r="BY2440" s="16"/>
    </row>
    <row r="2441">
      <c r="A2441" s="16"/>
      <c r="B2441" s="16"/>
      <c r="C2441" s="22"/>
      <c r="D2441" s="16"/>
      <c r="E2441" s="16"/>
      <c r="F2441" s="16"/>
      <c r="G2441" s="16"/>
      <c r="H2441" s="16"/>
      <c r="I2441" s="23"/>
      <c r="J2441" s="23"/>
      <c r="K2441" s="16"/>
      <c r="L2441" s="23"/>
      <c r="M2441" s="23"/>
      <c r="N2441" s="23"/>
      <c r="O2441" s="16"/>
      <c r="P2441" s="23"/>
      <c r="Q2441" s="23"/>
      <c r="R2441" s="23"/>
      <c r="S2441" s="16"/>
      <c r="T2441" s="23"/>
      <c r="U2441" s="23"/>
      <c r="V2441" s="23"/>
      <c r="W2441" s="16"/>
      <c r="X2441" s="23"/>
      <c r="Y2441" s="23"/>
      <c r="Z2441" s="23"/>
      <c r="AA2441" s="16"/>
      <c r="AB2441" s="23"/>
      <c r="AC2441" s="23"/>
      <c r="AD2441" s="23"/>
      <c r="AE2441" s="16"/>
      <c r="AF2441" s="23"/>
      <c r="AG2441" s="23"/>
      <c r="AH2441" s="23"/>
      <c r="AI2441" s="16"/>
      <c r="AJ2441" s="23"/>
      <c r="AK2441" s="23"/>
      <c r="AL2441" s="23"/>
      <c r="AM2441" s="16"/>
      <c r="AN2441" s="23"/>
      <c r="AO2441" s="23"/>
      <c r="AP2441" s="23"/>
      <c r="AQ2441" s="16"/>
      <c r="AR2441" s="23"/>
      <c r="AS2441" s="23"/>
      <c r="AT2441" s="23"/>
      <c r="AU2441" s="16"/>
      <c r="AV2441" s="23"/>
      <c r="AW2441" s="23"/>
      <c r="AX2441" s="23"/>
      <c r="AY2441" s="16"/>
      <c r="AZ2441" s="23"/>
      <c r="BA2441" s="23"/>
      <c r="BB2441" s="23"/>
      <c r="BC2441" s="16"/>
      <c r="BD2441" s="23"/>
      <c r="BE2441" s="23"/>
      <c r="BF2441" s="23"/>
      <c r="BG2441" s="16"/>
      <c r="BH2441" s="23"/>
      <c r="BI2441" s="23"/>
      <c r="BJ2441" s="23"/>
      <c r="BN2441" s="23"/>
      <c r="BO2441" s="23"/>
      <c r="BP2441" s="16"/>
      <c r="BQ2441" s="16"/>
      <c r="BR2441" s="23"/>
      <c r="BS2441" s="16"/>
      <c r="BT2441" s="16"/>
      <c r="BU2441" s="16"/>
      <c r="BV2441" s="16"/>
      <c r="BW2441" s="16"/>
      <c r="BX2441" s="16"/>
      <c r="BY2441" s="16"/>
    </row>
    <row r="2442">
      <c r="A2442" s="16"/>
      <c r="B2442" s="16"/>
      <c r="C2442" s="22"/>
      <c r="D2442" s="16"/>
      <c r="E2442" s="16"/>
      <c r="F2442" s="16"/>
      <c r="G2442" s="16"/>
      <c r="H2442" s="16"/>
      <c r="I2442" s="23"/>
      <c r="J2442" s="23"/>
      <c r="K2442" s="16"/>
      <c r="L2442" s="23"/>
      <c r="M2442" s="23"/>
      <c r="N2442" s="23"/>
      <c r="O2442" s="16"/>
      <c r="P2442" s="23"/>
      <c r="Q2442" s="23"/>
      <c r="R2442" s="23"/>
      <c r="S2442" s="16"/>
      <c r="T2442" s="23"/>
      <c r="U2442" s="23"/>
      <c r="V2442" s="23"/>
      <c r="W2442" s="16"/>
      <c r="X2442" s="23"/>
      <c r="Y2442" s="23"/>
      <c r="Z2442" s="23"/>
      <c r="AA2442" s="16"/>
      <c r="AB2442" s="23"/>
      <c r="AC2442" s="23"/>
      <c r="AD2442" s="23"/>
      <c r="AE2442" s="16"/>
      <c r="AF2442" s="23"/>
      <c r="AG2442" s="23"/>
      <c r="AH2442" s="23"/>
      <c r="AI2442" s="16"/>
      <c r="AJ2442" s="23"/>
      <c r="AK2442" s="23"/>
      <c r="AL2442" s="23"/>
      <c r="AM2442" s="16"/>
      <c r="AN2442" s="23"/>
      <c r="AO2442" s="23"/>
      <c r="AP2442" s="23"/>
      <c r="AQ2442" s="16"/>
      <c r="AR2442" s="23"/>
      <c r="AS2442" s="23"/>
      <c r="AT2442" s="23"/>
      <c r="AU2442" s="16"/>
      <c r="AV2442" s="23"/>
      <c r="AW2442" s="23"/>
      <c r="AX2442" s="23"/>
      <c r="AY2442" s="16"/>
      <c r="AZ2442" s="23"/>
      <c r="BA2442" s="23"/>
      <c r="BB2442" s="23"/>
      <c r="BC2442" s="16"/>
      <c r="BD2442" s="23"/>
      <c r="BE2442" s="23"/>
      <c r="BF2442" s="23"/>
      <c r="BG2442" s="16"/>
      <c r="BH2442" s="23"/>
      <c r="BI2442" s="23"/>
      <c r="BJ2442" s="23"/>
      <c r="BN2442" s="23"/>
      <c r="BO2442" s="23"/>
      <c r="BP2442" s="16"/>
      <c r="BQ2442" s="16"/>
      <c r="BR2442" s="23"/>
      <c r="BS2442" s="16"/>
      <c r="BT2442" s="16"/>
      <c r="BU2442" s="16"/>
      <c r="BV2442" s="16"/>
      <c r="BW2442" s="16"/>
      <c r="BX2442" s="16"/>
      <c r="BY2442" s="16"/>
    </row>
    <row r="2443">
      <c r="A2443" s="16"/>
      <c r="B2443" s="16"/>
      <c r="C2443" s="22"/>
      <c r="D2443" s="16"/>
      <c r="E2443" s="16"/>
      <c r="F2443" s="16"/>
      <c r="G2443" s="16"/>
      <c r="H2443" s="16"/>
      <c r="I2443" s="23"/>
      <c r="J2443" s="23"/>
      <c r="K2443" s="16"/>
      <c r="L2443" s="23"/>
      <c r="M2443" s="23"/>
      <c r="N2443" s="23"/>
      <c r="O2443" s="16"/>
      <c r="P2443" s="23"/>
      <c r="Q2443" s="23"/>
      <c r="R2443" s="23"/>
      <c r="S2443" s="16"/>
      <c r="T2443" s="23"/>
      <c r="U2443" s="23"/>
      <c r="V2443" s="23"/>
      <c r="W2443" s="16"/>
      <c r="X2443" s="23"/>
      <c r="Y2443" s="23"/>
      <c r="Z2443" s="23"/>
      <c r="AA2443" s="16"/>
      <c r="AB2443" s="23"/>
      <c r="AC2443" s="23"/>
      <c r="AD2443" s="23"/>
      <c r="AE2443" s="16"/>
      <c r="AF2443" s="23"/>
      <c r="AG2443" s="23"/>
      <c r="AH2443" s="23"/>
      <c r="AI2443" s="16"/>
      <c r="AJ2443" s="23"/>
      <c r="AK2443" s="23"/>
      <c r="AL2443" s="23"/>
      <c r="AM2443" s="16"/>
      <c r="AN2443" s="23"/>
      <c r="AO2443" s="23"/>
      <c r="AP2443" s="23"/>
      <c r="AQ2443" s="16"/>
      <c r="AR2443" s="23"/>
      <c r="AS2443" s="23"/>
      <c r="AT2443" s="23"/>
      <c r="AU2443" s="16"/>
      <c r="AV2443" s="23"/>
      <c r="AW2443" s="23"/>
      <c r="AX2443" s="23"/>
      <c r="AY2443" s="16"/>
      <c r="AZ2443" s="23"/>
      <c r="BA2443" s="23"/>
      <c r="BB2443" s="23"/>
      <c r="BC2443" s="16"/>
      <c r="BD2443" s="23"/>
      <c r="BE2443" s="23"/>
      <c r="BF2443" s="23"/>
      <c r="BG2443" s="16"/>
      <c r="BH2443" s="23"/>
      <c r="BI2443" s="23"/>
      <c r="BJ2443" s="23"/>
      <c r="BN2443" s="23"/>
      <c r="BO2443" s="23"/>
      <c r="BP2443" s="16"/>
      <c r="BQ2443" s="16"/>
      <c r="BR2443" s="23"/>
      <c r="BS2443" s="16"/>
      <c r="BT2443" s="16"/>
      <c r="BU2443" s="16"/>
      <c r="BV2443" s="16"/>
      <c r="BW2443" s="16"/>
      <c r="BX2443" s="16"/>
      <c r="BY2443" s="16"/>
    </row>
    <row r="2444">
      <c r="A2444" s="16"/>
      <c r="B2444" s="16"/>
      <c r="C2444" s="22"/>
      <c r="D2444" s="16"/>
      <c r="E2444" s="16"/>
      <c r="F2444" s="16"/>
      <c r="G2444" s="16"/>
      <c r="H2444" s="16"/>
      <c r="I2444" s="23"/>
      <c r="J2444" s="23"/>
      <c r="K2444" s="16"/>
      <c r="L2444" s="23"/>
      <c r="M2444" s="23"/>
      <c r="N2444" s="23"/>
      <c r="O2444" s="16"/>
      <c r="P2444" s="23"/>
      <c r="Q2444" s="23"/>
      <c r="R2444" s="23"/>
      <c r="S2444" s="16"/>
      <c r="T2444" s="23"/>
      <c r="U2444" s="23"/>
      <c r="V2444" s="23"/>
      <c r="W2444" s="16"/>
      <c r="X2444" s="23"/>
      <c r="Y2444" s="23"/>
      <c r="Z2444" s="23"/>
      <c r="AA2444" s="16"/>
      <c r="AB2444" s="23"/>
      <c r="AC2444" s="23"/>
      <c r="AD2444" s="23"/>
      <c r="AE2444" s="16"/>
      <c r="AF2444" s="23"/>
      <c r="AG2444" s="23"/>
      <c r="AH2444" s="23"/>
      <c r="AI2444" s="16"/>
      <c r="AJ2444" s="23"/>
      <c r="AK2444" s="23"/>
      <c r="AL2444" s="23"/>
      <c r="AM2444" s="16"/>
      <c r="AN2444" s="23"/>
      <c r="AO2444" s="23"/>
      <c r="AP2444" s="23"/>
      <c r="AQ2444" s="16"/>
      <c r="AR2444" s="23"/>
      <c r="AS2444" s="23"/>
      <c r="AT2444" s="23"/>
      <c r="AU2444" s="16"/>
      <c r="AV2444" s="23"/>
      <c r="AW2444" s="23"/>
      <c r="AX2444" s="23"/>
      <c r="AY2444" s="16"/>
      <c r="AZ2444" s="23"/>
      <c r="BA2444" s="23"/>
      <c r="BB2444" s="23"/>
      <c r="BC2444" s="16"/>
      <c r="BD2444" s="23"/>
      <c r="BE2444" s="23"/>
      <c r="BF2444" s="23"/>
      <c r="BG2444" s="16"/>
      <c r="BH2444" s="23"/>
      <c r="BI2444" s="23"/>
      <c r="BJ2444" s="23"/>
      <c r="BN2444" s="23"/>
      <c r="BO2444" s="23"/>
      <c r="BP2444" s="16"/>
      <c r="BQ2444" s="16"/>
      <c r="BR2444" s="23"/>
      <c r="BS2444" s="16"/>
      <c r="BT2444" s="16"/>
      <c r="BU2444" s="16"/>
      <c r="BV2444" s="16"/>
      <c r="BW2444" s="16"/>
      <c r="BX2444" s="16"/>
      <c r="BY2444" s="16"/>
    </row>
    <row r="2445">
      <c r="A2445" s="16"/>
      <c r="B2445" s="16"/>
      <c r="C2445" s="22"/>
      <c r="D2445" s="16"/>
      <c r="E2445" s="16"/>
      <c r="F2445" s="16"/>
      <c r="G2445" s="16"/>
      <c r="H2445" s="16"/>
      <c r="I2445" s="23"/>
      <c r="J2445" s="23"/>
      <c r="K2445" s="16"/>
      <c r="L2445" s="23"/>
      <c r="M2445" s="23"/>
      <c r="N2445" s="23"/>
      <c r="O2445" s="16"/>
      <c r="P2445" s="23"/>
      <c r="Q2445" s="23"/>
      <c r="R2445" s="23"/>
      <c r="S2445" s="16"/>
      <c r="T2445" s="23"/>
      <c r="U2445" s="23"/>
      <c r="V2445" s="23"/>
      <c r="W2445" s="16"/>
      <c r="X2445" s="23"/>
      <c r="Y2445" s="23"/>
      <c r="Z2445" s="23"/>
      <c r="AA2445" s="16"/>
      <c r="AB2445" s="23"/>
      <c r="AC2445" s="23"/>
      <c r="AD2445" s="23"/>
      <c r="AE2445" s="16"/>
      <c r="AF2445" s="23"/>
      <c r="AG2445" s="23"/>
      <c r="AH2445" s="23"/>
      <c r="AI2445" s="16"/>
      <c r="AJ2445" s="23"/>
      <c r="AK2445" s="23"/>
      <c r="AL2445" s="23"/>
      <c r="AM2445" s="16"/>
      <c r="AN2445" s="23"/>
      <c r="AO2445" s="23"/>
      <c r="AP2445" s="23"/>
      <c r="AQ2445" s="16"/>
      <c r="AR2445" s="23"/>
      <c r="AS2445" s="23"/>
      <c r="AT2445" s="23"/>
      <c r="AU2445" s="16"/>
      <c r="AV2445" s="23"/>
      <c r="AW2445" s="23"/>
      <c r="AX2445" s="23"/>
      <c r="AY2445" s="16"/>
      <c r="AZ2445" s="23"/>
      <c r="BA2445" s="23"/>
      <c r="BB2445" s="23"/>
      <c r="BC2445" s="16"/>
      <c r="BD2445" s="23"/>
      <c r="BE2445" s="23"/>
      <c r="BF2445" s="23"/>
      <c r="BG2445" s="16"/>
      <c r="BH2445" s="23"/>
      <c r="BI2445" s="23"/>
      <c r="BJ2445" s="23"/>
      <c r="BN2445" s="23"/>
      <c r="BO2445" s="23"/>
      <c r="BP2445" s="16"/>
      <c r="BQ2445" s="16"/>
      <c r="BR2445" s="23"/>
      <c r="BS2445" s="16"/>
      <c r="BT2445" s="16"/>
      <c r="BU2445" s="16"/>
      <c r="BV2445" s="16"/>
      <c r="BW2445" s="16"/>
      <c r="BX2445" s="16"/>
      <c r="BY2445" s="16"/>
    </row>
    <row r="2446">
      <c r="A2446" s="16"/>
      <c r="B2446" s="16"/>
      <c r="C2446" s="22"/>
      <c r="D2446" s="16"/>
      <c r="E2446" s="16"/>
      <c r="F2446" s="16"/>
      <c r="G2446" s="16"/>
      <c r="H2446" s="16"/>
      <c r="I2446" s="23"/>
      <c r="J2446" s="23"/>
      <c r="K2446" s="16"/>
      <c r="L2446" s="23"/>
      <c r="M2446" s="23"/>
      <c r="N2446" s="23"/>
      <c r="O2446" s="16"/>
      <c r="P2446" s="23"/>
      <c r="Q2446" s="23"/>
      <c r="R2446" s="23"/>
      <c r="S2446" s="16"/>
      <c r="T2446" s="23"/>
      <c r="U2446" s="23"/>
      <c r="V2446" s="23"/>
      <c r="W2446" s="16"/>
      <c r="X2446" s="23"/>
      <c r="Y2446" s="23"/>
      <c r="Z2446" s="23"/>
      <c r="AA2446" s="16"/>
      <c r="AB2446" s="23"/>
      <c r="AC2446" s="23"/>
      <c r="AD2446" s="23"/>
      <c r="AE2446" s="16"/>
      <c r="AF2446" s="23"/>
      <c r="AG2446" s="23"/>
      <c r="AH2446" s="23"/>
      <c r="AI2446" s="16"/>
      <c r="AJ2446" s="23"/>
      <c r="AK2446" s="23"/>
      <c r="AL2446" s="23"/>
      <c r="AM2446" s="16"/>
      <c r="AN2446" s="23"/>
      <c r="AO2446" s="23"/>
      <c r="AP2446" s="23"/>
      <c r="AQ2446" s="16"/>
      <c r="AR2446" s="23"/>
      <c r="AS2446" s="23"/>
      <c r="AT2446" s="23"/>
      <c r="AU2446" s="16"/>
      <c r="AV2446" s="23"/>
      <c r="AW2446" s="23"/>
      <c r="AX2446" s="23"/>
      <c r="AY2446" s="16"/>
      <c r="AZ2446" s="23"/>
      <c r="BA2446" s="23"/>
      <c r="BB2446" s="23"/>
      <c r="BC2446" s="16"/>
      <c r="BD2446" s="23"/>
      <c r="BE2446" s="23"/>
      <c r="BF2446" s="23"/>
      <c r="BG2446" s="16"/>
      <c r="BH2446" s="23"/>
      <c r="BI2446" s="23"/>
      <c r="BJ2446" s="23"/>
      <c r="BN2446" s="23"/>
      <c r="BO2446" s="23"/>
      <c r="BP2446" s="16"/>
      <c r="BQ2446" s="16"/>
      <c r="BR2446" s="23"/>
      <c r="BS2446" s="16"/>
      <c r="BT2446" s="16"/>
      <c r="BU2446" s="16"/>
      <c r="BV2446" s="16"/>
      <c r="BW2446" s="16"/>
      <c r="BX2446" s="16"/>
      <c r="BY2446" s="16"/>
    </row>
    <row r="2447">
      <c r="A2447" s="16"/>
      <c r="B2447" s="16"/>
      <c r="C2447" s="22"/>
      <c r="D2447" s="16"/>
      <c r="E2447" s="16"/>
      <c r="F2447" s="16"/>
      <c r="G2447" s="16"/>
      <c r="H2447" s="16"/>
      <c r="I2447" s="23"/>
      <c r="J2447" s="23"/>
      <c r="K2447" s="16"/>
      <c r="L2447" s="23"/>
      <c r="M2447" s="23"/>
      <c r="N2447" s="23"/>
      <c r="O2447" s="16"/>
      <c r="P2447" s="23"/>
      <c r="Q2447" s="23"/>
      <c r="R2447" s="23"/>
      <c r="S2447" s="16"/>
      <c r="T2447" s="23"/>
      <c r="U2447" s="23"/>
      <c r="V2447" s="23"/>
      <c r="W2447" s="16"/>
      <c r="X2447" s="23"/>
      <c r="Y2447" s="23"/>
      <c r="Z2447" s="23"/>
      <c r="AA2447" s="16"/>
      <c r="AB2447" s="23"/>
      <c r="AC2447" s="23"/>
      <c r="AD2447" s="23"/>
      <c r="AE2447" s="16"/>
      <c r="AF2447" s="23"/>
      <c r="AG2447" s="23"/>
      <c r="AH2447" s="23"/>
      <c r="AI2447" s="16"/>
      <c r="AJ2447" s="23"/>
      <c r="AK2447" s="23"/>
      <c r="AL2447" s="23"/>
      <c r="AM2447" s="16"/>
      <c r="AN2447" s="23"/>
      <c r="AO2447" s="23"/>
      <c r="AP2447" s="23"/>
      <c r="AQ2447" s="16"/>
      <c r="AR2447" s="23"/>
      <c r="AS2447" s="23"/>
      <c r="AT2447" s="23"/>
      <c r="AU2447" s="16"/>
      <c r="AV2447" s="23"/>
      <c r="AW2447" s="23"/>
      <c r="AX2447" s="23"/>
      <c r="AY2447" s="16"/>
      <c r="AZ2447" s="23"/>
      <c r="BA2447" s="23"/>
      <c r="BB2447" s="23"/>
      <c r="BC2447" s="16"/>
      <c r="BD2447" s="23"/>
      <c r="BE2447" s="23"/>
      <c r="BF2447" s="23"/>
      <c r="BG2447" s="16"/>
      <c r="BH2447" s="23"/>
      <c r="BI2447" s="23"/>
      <c r="BJ2447" s="23"/>
      <c r="BN2447" s="23"/>
      <c r="BO2447" s="23"/>
      <c r="BP2447" s="16"/>
      <c r="BQ2447" s="16"/>
      <c r="BR2447" s="23"/>
      <c r="BS2447" s="16"/>
      <c r="BT2447" s="16"/>
      <c r="BU2447" s="16"/>
      <c r="BV2447" s="16"/>
      <c r="BW2447" s="16"/>
      <c r="BX2447" s="16"/>
      <c r="BY2447" s="16"/>
    </row>
    <row r="2448">
      <c r="A2448" s="16"/>
      <c r="B2448" s="16"/>
      <c r="C2448" s="22"/>
      <c r="D2448" s="16"/>
      <c r="E2448" s="16"/>
      <c r="F2448" s="16"/>
      <c r="G2448" s="16"/>
      <c r="H2448" s="16"/>
      <c r="I2448" s="23"/>
      <c r="J2448" s="23"/>
      <c r="K2448" s="16"/>
      <c r="L2448" s="23"/>
      <c r="M2448" s="23"/>
      <c r="N2448" s="23"/>
      <c r="O2448" s="16"/>
      <c r="P2448" s="23"/>
      <c r="Q2448" s="23"/>
      <c r="R2448" s="23"/>
      <c r="S2448" s="16"/>
      <c r="T2448" s="23"/>
      <c r="U2448" s="23"/>
      <c r="V2448" s="23"/>
      <c r="W2448" s="16"/>
      <c r="X2448" s="23"/>
      <c r="Y2448" s="23"/>
      <c r="Z2448" s="23"/>
      <c r="AA2448" s="16"/>
      <c r="AB2448" s="23"/>
      <c r="AC2448" s="23"/>
      <c r="AD2448" s="23"/>
      <c r="AE2448" s="16"/>
      <c r="AF2448" s="23"/>
      <c r="AG2448" s="23"/>
      <c r="AH2448" s="23"/>
      <c r="AI2448" s="16"/>
      <c r="AJ2448" s="23"/>
      <c r="AK2448" s="23"/>
      <c r="AL2448" s="23"/>
      <c r="AM2448" s="16"/>
      <c r="AN2448" s="23"/>
      <c r="AO2448" s="23"/>
      <c r="AP2448" s="23"/>
      <c r="AQ2448" s="16"/>
      <c r="AR2448" s="23"/>
      <c r="AS2448" s="23"/>
      <c r="AT2448" s="23"/>
      <c r="AU2448" s="16"/>
      <c r="AV2448" s="23"/>
      <c r="AW2448" s="23"/>
      <c r="AX2448" s="23"/>
      <c r="AY2448" s="16"/>
      <c r="AZ2448" s="23"/>
      <c r="BA2448" s="23"/>
      <c r="BB2448" s="23"/>
      <c r="BC2448" s="16"/>
      <c r="BD2448" s="23"/>
      <c r="BE2448" s="23"/>
      <c r="BF2448" s="23"/>
      <c r="BG2448" s="16"/>
      <c r="BH2448" s="23"/>
      <c r="BI2448" s="23"/>
      <c r="BJ2448" s="23"/>
      <c r="BN2448" s="23"/>
      <c r="BO2448" s="23"/>
      <c r="BP2448" s="16"/>
      <c r="BQ2448" s="16"/>
      <c r="BR2448" s="23"/>
      <c r="BS2448" s="16"/>
      <c r="BT2448" s="16"/>
      <c r="BU2448" s="16"/>
      <c r="BV2448" s="16"/>
      <c r="BW2448" s="16"/>
      <c r="BX2448" s="16"/>
      <c r="BY2448" s="16"/>
    </row>
    <row r="2449">
      <c r="A2449" s="16"/>
      <c r="B2449" s="16"/>
      <c r="C2449" s="22"/>
      <c r="D2449" s="16"/>
      <c r="E2449" s="16"/>
      <c r="F2449" s="16"/>
      <c r="G2449" s="16"/>
      <c r="H2449" s="16"/>
      <c r="I2449" s="23"/>
      <c r="J2449" s="23"/>
      <c r="K2449" s="16"/>
      <c r="L2449" s="23"/>
      <c r="M2449" s="23"/>
      <c r="N2449" s="23"/>
      <c r="O2449" s="16"/>
      <c r="P2449" s="23"/>
      <c r="Q2449" s="23"/>
      <c r="R2449" s="23"/>
      <c r="S2449" s="16"/>
      <c r="T2449" s="23"/>
      <c r="U2449" s="23"/>
      <c r="V2449" s="23"/>
      <c r="W2449" s="16"/>
      <c r="X2449" s="23"/>
      <c r="Y2449" s="23"/>
      <c r="Z2449" s="23"/>
      <c r="AA2449" s="16"/>
      <c r="AB2449" s="23"/>
      <c r="AC2449" s="23"/>
      <c r="AD2449" s="23"/>
      <c r="AE2449" s="16"/>
      <c r="AF2449" s="23"/>
      <c r="AG2449" s="23"/>
      <c r="AH2449" s="23"/>
      <c r="AI2449" s="16"/>
      <c r="AJ2449" s="23"/>
      <c r="AK2449" s="23"/>
      <c r="AL2449" s="23"/>
      <c r="AM2449" s="16"/>
      <c r="AN2449" s="23"/>
      <c r="AO2449" s="23"/>
      <c r="AP2449" s="23"/>
      <c r="AQ2449" s="16"/>
      <c r="AR2449" s="23"/>
      <c r="AS2449" s="23"/>
      <c r="AT2449" s="23"/>
      <c r="AU2449" s="16"/>
      <c r="AV2449" s="23"/>
      <c r="AW2449" s="23"/>
      <c r="AX2449" s="23"/>
      <c r="AY2449" s="16"/>
      <c r="AZ2449" s="23"/>
      <c r="BA2449" s="23"/>
      <c r="BB2449" s="23"/>
      <c r="BC2449" s="16"/>
      <c r="BD2449" s="23"/>
      <c r="BE2449" s="23"/>
      <c r="BF2449" s="23"/>
      <c r="BG2449" s="16"/>
      <c r="BH2449" s="23"/>
      <c r="BI2449" s="23"/>
      <c r="BJ2449" s="23"/>
      <c r="BN2449" s="23"/>
      <c r="BO2449" s="23"/>
      <c r="BP2449" s="16"/>
      <c r="BQ2449" s="16"/>
      <c r="BR2449" s="23"/>
      <c r="BS2449" s="16"/>
      <c r="BT2449" s="16"/>
      <c r="BU2449" s="16"/>
      <c r="BV2449" s="16"/>
      <c r="BW2449" s="16"/>
      <c r="BX2449" s="16"/>
      <c r="BY2449" s="16"/>
    </row>
    <row r="2450">
      <c r="A2450" s="16"/>
      <c r="B2450" s="16"/>
      <c r="C2450" s="22"/>
      <c r="D2450" s="16"/>
      <c r="E2450" s="16"/>
      <c r="F2450" s="16"/>
      <c r="G2450" s="16"/>
      <c r="H2450" s="16"/>
      <c r="I2450" s="23"/>
      <c r="J2450" s="23"/>
      <c r="K2450" s="16"/>
      <c r="L2450" s="23"/>
      <c r="M2450" s="23"/>
      <c r="N2450" s="23"/>
      <c r="O2450" s="16"/>
      <c r="P2450" s="23"/>
      <c r="Q2450" s="23"/>
      <c r="R2450" s="23"/>
      <c r="S2450" s="16"/>
      <c r="T2450" s="23"/>
      <c r="U2450" s="23"/>
      <c r="V2450" s="23"/>
      <c r="W2450" s="16"/>
      <c r="X2450" s="23"/>
      <c r="Y2450" s="23"/>
      <c r="Z2450" s="23"/>
      <c r="AA2450" s="16"/>
      <c r="AB2450" s="23"/>
      <c r="AC2450" s="23"/>
      <c r="AD2450" s="23"/>
      <c r="AE2450" s="16"/>
      <c r="AF2450" s="23"/>
      <c r="AG2450" s="23"/>
      <c r="AH2450" s="23"/>
      <c r="AI2450" s="16"/>
      <c r="AJ2450" s="23"/>
      <c r="AK2450" s="23"/>
      <c r="AL2450" s="23"/>
      <c r="AM2450" s="16"/>
      <c r="AN2450" s="23"/>
      <c r="AO2450" s="23"/>
      <c r="AP2450" s="23"/>
      <c r="AQ2450" s="16"/>
      <c r="AR2450" s="23"/>
      <c r="AS2450" s="23"/>
      <c r="AT2450" s="23"/>
      <c r="AU2450" s="16"/>
      <c r="AV2450" s="23"/>
      <c r="AW2450" s="23"/>
      <c r="AX2450" s="23"/>
      <c r="AY2450" s="16"/>
      <c r="AZ2450" s="23"/>
      <c r="BA2450" s="23"/>
      <c r="BB2450" s="23"/>
      <c r="BC2450" s="16"/>
      <c r="BD2450" s="23"/>
      <c r="BE2450" s="23"/>
      <c r="BF2450" s="23"/>
      <c r="BG2450" s="16"/>
      <c r="BH2450" s="23"/>
      <c r="BI2450" s="23"/>
      <c r="BJ2450" s="23"/>
      <c r="BN2450" s="23"/>
      <c r="BO2450" s="23"/>
      <c r="BP2450" s="16"/>
      <c r="BQ2450" s="16"/>
      <c r="BR2450" s="23"/>
      <c r="BS2450" s="16"/>
      <c r="BT2450" s="16"/>
      <c r="BU2450" s="16"/>
      <c r="BV2450" s="16"/>
      <c r="BW2450" s="16"/>
      <c r="BX2450" s="16"/>
      <c r="BY2450" s="16"/>
    </row>
    <row r="2451">
      <c r="A2451" s="16"/>
      <c r="B2451" s="16"/>
      <c r="C2451" s="22"/>
      <c r="D2451" s="16"/>
      <c r="E2451" s="16"/>
      <c r="F2451" s="16"/>
      <c r="G2451" s="16"/>
      <c r="H2451" s="16"/>
      <c r="I2451" s="23"/>
      <c r="J2451" s="23"/>
      <c r="K2451" s="16"/>
      <c r="L2451" s="23"/>
      <c r="M2451" s="23"/>
      <c r="N2451" s="23"/>
      <c r="O2451" s="16"/>
      <c r="P2451" s="23"/>
      <c r="Q2451" s="23"/>
      <c r="R2451" s="23"/>
      <c r="S2451" s="16"/>
      <c r="T2451" s="23"/>
      <c r="U2451" s="23"/>
      <c r="V2451" s="23"/>
      <c r="W2451" s="16"/>
      <c r="X2451" s="23"/>
      <c r="Y2451" s="23"/>
      <c r="Z2451" s="23"/>
      <c r="AA2451" s="16"/>
      <c r="AB2451" s="23"/>
      <c r="AC2451" s="23"/>
      <c r="AD2451" s="23"/>
      <c r="AE2451" s="16"/>
      <c r="AF2451" s="23"/>
      <c r="AG2451" s="23"/>
      <c r="AH2451" s="23"/>
      <c r="AI2451" s="16"/>
      <c r="AJ2451" s="23"/>
      <c r="AK2451" s="23"/>
      <c r="AL2451" s="23"/>
      <c r="AM2451" s="16"/>
      <c r="AN2451" s="23"/>
      <c r="AO2451" s="23"/>
      <c r="AP2451" s="23"/>
      <c r="AQ2451" s="16"/>
      <c r="AR2451" s="23"/>
      <c r="AS2451" s="23"/>
      <c r="AT2451" s="23"/>
      <c r="AU2451" s="16"/>
      <c r="AV2451" s="23"/>
      <c r="AW2451" s="23"/>
      <c r="AX2451" s="23"/>
      <c r="AY2451" s="16"/>
      <c r="AZ2451" s="23"/>
      <c r="BA2451" s="23"/>
      <c r="BB2451" s="23"/>
      <c r="BC2451" s="16"/>
      <c r="BD2451" s="23"/>
      <c r="BE2451" s="23"/>
      <c r="BF2451" s="23"/>
      <c r="BG2451" s="16"/>
      <c r="BH2451" s="23"/>
      <c r="BI2451" s="23"/>
      <c r="BJ2451" s="23"/>
      <c r="BN2451" s="23"/>
      <c r="BO2451" s="23"/>
      <c r="BP2451" s="16"/>
      <c r="BQ2451" s="16"/>
      <c r="BR2451" s="23"/>
      <c r="BS2451" s="16"/>
      <c r="BT2451" s="16"/>
      <c r="BU2451" s="16"/>
      <c r="BV2451" s="16"/>
      <c r="BW2451" s="16"/>
      <c r="BX2451" s="16"/>
      <c r="BY2451" s="16"/>
    </row>
    <row r="2452">
      <c r="A2452" s="16"/>
      <c r="B2452" s="16"/>
      <c r="C2452" s="22"/>
      <c r="D2452" s="16"/>
      <c r="E2452" s="16"/>
      <c r="F2452" s="16"/>
      <c r="G2452" s="16"/>
      <c r="H2452" s="16"/>
      <c r="I2452" s="23"/>
      <c r="J2452" s="23"/>
      <c r="K2452" s="16"/>
      <c r="L2452" s="23"/>
      <c r="M2452" s="23"/>
      <c r="N2452" s="23"/>
      <c r="O2452" s="16"/>
      <c r="P2452" s="23"/>
      <c r="Q2452" s="23"/>
      <c r="R2452" s="23"/>
      <c r="S2452" s="16"/>
      <c r="T2452" s="23"/>
      <c r="U2452" s="23"/>
      <c r="V2452" s="23"/>
      <c r="W2452" s="16"/>
      <c r="X2452" s="23"/>
      <c r="Y2452" s="23"/>
      <c r="Z2452" s="23"/>
      <c r="AA2452" s="16"/>
      <c r="AB2452" s="23"/>
      <c r="AC2452" s="23"/>
      <c r="AD2452" s="23"/>
      <c r="AE2452" s="16"/>
      <c r="AF2452" s="23"/>
      <c r="AG2452" s="23"/>
      <c r="AH2452" s="23"/>
      <c r="AI2452" s="16"/>
      <c r="AJ2452" s="23"/>
      <c r="AK2452" s="23"/>
      <c r="AL2452" s="23"/>
      <c r="AM2452" s="16"/>
      <c r="AN2452" s="23"/>
      <c r="AO2452" s="23"/>
      <c r="AP2452" s="23"/>
      <c r="AQ2452" s="16"/>
      <c r="AR2452" s="23"/>
      <c r="AS2452" s="23"/>
      <c r="AT2452" s="23"/>
      <c r="AU2452" s="16"/>
      <c r="AV2452" s="23"/>
      <c r="AW2452" s="23"/>
      <c r="AX2452" s="23"/>
      <c r="AY2452" s="16"/>
      <c r="AZ2452" s="23"/>
      <c r="BA2452" s="23"/>
      <c r="BB2452" s="23"/>
      <c r="BC2452" s="16"/>
      <c r="BD2452" s="23"/>
      <c r="BE2452" s="23"/>
      <c r="BF2452" s="23"/>
      <c r="BG2452" s="16"/>
      <c r="BH2452" s="23"/>
      <c r="BI2452" s="23"/>
      <c r="BJ2452" s="23"/>
      <c r="BN2452" s="23"/>
      <c r="BO2452" s="23"/>
      <c r="BP2452" s="16"/>
      <c r="BQ2452" s="16"/>
      <c r="BR2452" s="23"/>
      <c r="BS2452" s="16"/>
      <c r="BT2452" s="16"/>
      <c r="BU2452" s="16"/>
      <c r="BV2452" s="16"/>
      <c r="BW2452" s="16"/>
      <c r="BX2452" s="16"/>
      <c r="BY2452" s="16"/>
    </row>
    <row r="2453">
      <c r="A2453" s="16"/>
      <c r="B2453" s="16"/>
      <c r="C2453" s="22"/>
      <c r="D2453" s="16"/>
      <c r="E2453" s="16"/>
      <c r="F2453" s="16"/>
      <c r="G2453" s="16"/>
      <c r="H2453" s="16"/>
      <c r="I2453" s="23"/>
      <c r="J2453" s="23"/>
      <c r="K2453" s="16"/>
      <c r="L2453" s="23"/>
      <c r="M2453" s="23"/>
      <c r="N2453" s="23"/>
      <c r="O2453" s="16"/>
      <c r="P2453" s="23"/>
      <c r="Q2453" s="23"/>
      <c r="R2453" s="23"/>
      <c r="S2453" s="16"/>
      <c r="T2453" s="23"/>
      <c r="U2453" s="23"/>
      <c r="V2453" s="23"/>
      <c r="W2453" s="16"/>
      <c r="X2453" s="23"/>
      <c r="Y2453" s="23"/>
      <c r="Z2453" s="23"/>
      <c r="AA2453" s="16"/>
      <c r="AB2453" s="23"/>
      <c r="AC2453" s="23"/>
      <c r="AD2453" s="23"/>
      <c r="AE2453" s="16"/>
      <c r="AF2453" s="23"/>
      <c r="AG2453" s="23"/>
      <c r="AH2453" s="23"/>
      <c r="AI2453" s="16"/>
      <c r="AJ2453" s="23"/>
      <c r="AK2453" s="23"/>
      <c r="AL2453" s="23"/>
      <c r="AM2453" s="16"/>
      <c r="AN2453" s="23"/>
      <c r="AO2453" s="23"/>
      <c r="AP2453" s="23"/>
      <c r="AQ2453" s="16"/>
      <c r="AR2453" s="23"/>
      <c r="AS2453" s="23"/>
      <c r="AT2453" s="23"/>
      <c r="AU2453" s="16"/>
      <c r="AV2453" s="23"/>
      <c r="AW2453" s="23"/>
      <c r="AX2453" s="23"/>
      <c r="AY2453" s="16"/>
      <c r="AZ2453" s="23"/>
      <c r="BA2453" s="23"/>
      <c r="BB2453" s="23"/>
      <c r="BC2453" s="16"/>
      <c r="BD2453" s="23"/>
      <c r="BE2453" s="23"/>
      <c r="BF2453" s="23"/>
      <c r="BG2453" s="16"/>
      <c r="BH2453" s="23"/>
      <c r="BI2453" s="23"/>
      <c r="BJ2453" s="23"/>
      <c r="BN2453" s="23"/>
      <c r="BO2453" s="23"/>
      <c r="BP2453" s="16"/>
      <c r="BQ2453" s="16"/>
      <c r="BR2453" s="23"/>
      <c r="BS2453" s="16"/>
      <c r="BT2453" s="16"/>
      <c r="BU2453" s="16"/>
      <c r="BV2453" s="16"/>
      <c r="BW2453" s="16"/>
      <c r="BX2453" s="16"/>
      <c r="BY2453" s="16"/>
    </row>
    <row r="2454">
      <c r="A2454" s="16"/>
      <c r="B2454" s="16"/>
      <c r="C2454" s="22"/>
      <c r="D2454" s="16"/>
      <c r="E2454" s="16"/>
      <c r="F2454" s="16"/>
      <c r="G2454" s="16"/>
      <c r="H2454" s="16"/>
      <c r="I2454" s="23"/>
      <c r="J2454" s="23"/>
      <c r="K2454" s="16"/>
      <c r="L2454" s="23"/>
      <c r="M2454" s="23"/>
      <c r="N2454" s="23"/>
      <c r="O2454" s="16"/>
      <c r="P2454" s="23"/>
      <c r="Q2454" s="23"/>
      <c r="R2454" s="23"/>
      <c r="S2454" s="16"/>
      <c r="T2454" s="23"/>
      <c r="U2454" s="23"/>
      <c r="V2454" s="23"/>
      <c r="W2454" s="16"/>
      <c r="X2454" s="23"/>
      <c r="Y2454" s="23"/>
      <c r="Z2454" s="23"/>
      <c r="AA2454" s="16"/>
      <c r="AB2454" s="23"/>
      <c r="AC2454" s="23"/>
      <c r="AD2454" s="23"/>
      <c r="AE2454" s="16"/>
      <c r="AF2454" s="23"/>
      <c r="AG2454" s="23"/>
      <c r="AH2454" s="23"/>
      <c r="AI2454" s="16"/>
      <c r="AJ2454" s="23"/>
      <c r="AK2454" s="23"/>
      <c r="AL2454" s="23"/>
      <c r="AM2454" s="16"/>
      <c r="AN2454" s="23"/>
      <c r="AO2454" s="23"/>
      <c r="AP2454" s="23"/>
      <c r="AQ2454" s="16"/>
      <c r="AR2454" s="23"/>
      <c r="AS2454" s="23"/>
      <c r="AT2454" s="23"/>
      <c r="AU2454" s="16"/>
      <c r="AV2454" s="23"/>
      <c r="AW2454" s="23"/>
      <c r="AX2454" s="23"/>
      <c r="AY2454" s="16"/>
      <c r="AZ2454" s="23"/>
      <c r="BA2454" s="23"/>
      <c r="BB2454" s="23"/>
      <c r="BC2454" s="16"/>
      <c r="BD2454" s="23"/>
      <c r="BE2454" s="23"/>
      <c r="BF2454" s="23"/>
      <c r="BG2454" s="16"/>
      <c r="BH2454" s="23"/>
      <c r="BI2454" s="23"/>
      <c r="BJ2454" s="23"/>
      <c r="BN2454" s="23"/>
      <c r="BO2454" s="23"/>
      <c r="BP2454" s="16"/>
      <c r="BQ2454" s="16"/>
      <c r="BR2454" s="23"/>
      <c r="BS2454" s="16"/>
      <c r="BT2454" s="16"/>
      <c r="BU2454" s="16"/>
      <c r="BV2454" s="16"/>
      <c r="BW2454" s="16"/>
      <c r="BX2454" s="16"/>
      <c r="BY2454" s="16"/>
    </row>
    <row r="2455">
      <c r="A2455" s="16"/>
      <c r="B2455" s="16"/>
      <c r="C2455" s="22"/>
      <c r="D2455" s="16"/>
      <c r="E2455" s="16"/>
      <c r="F2455" s="16"/>
      <c r="G2455" s="16"/>
      <c r="H2455" s="16"/>
      <c r="I2455" s="23"/>
      <c r="J2455" s="23"/>
      <c r="K2455" s="16"/>
      <c r="L2455" s="23"/>
      <c r="M2455" s="23"/>
      <c r="N2455" s="23"/>
      <c r="O2455" s="16"/>
      <c r="P2455" s="23"/>
      <c r="Q2455" s="23"/>
      <c r="R2455" s="23"/>
      <c r="S2455" s="16"/>
      <c r="T2455" s="23"/>
      <c r="U2455" s="23"/>
      <c r="V2455" s="23"/>
      <c r="W2455" s="16"/>
      <c r="X2455" s="23"/>
      <c r="Y2455" s="23"/>
      <c r="Z2455" s="23"/>
      <c r="AA2455" s="16"/>
      <c r="AB2455" s="23"/>
      <c r="AC2455" s="23"/>
      <c r="AD2455" s="23"/>
      <c r="AE2455" s="16"/>
      <c r="AF2455" s="23"/>
      <c r="AG2455" s="23"/>
      <c r="AH2455" s="23"/>
      <c r="AI2455" s="16"/>
      <c r="AJ2455" s="23"/>
      <c r="AK2455" s="23"/>
      <c r="AL2455" s="23"/>
      <c r="AM2455" s="16"/>
      <c r="AN2455" s="23"/>
      <c r="AO2455" s="23"/>
      <c r="AP2455" s="23"/>
      <c r="AQ2455" s="16"/>
      <c r="AR2455" s="23"/>
      <c r="AS2455" s="23"/>
      <c r="AT2455" s="23"/>
      <c r="AU2455" s="16"/>
      <c r="AV2455" s="23"/>
      <c r="AW2455" s="23"/>
      <c r="AX2455" s="23"/>
      <c r="AY2455" s="16"/>
      <c r="AZ2455" s="23"/>
      <c r="BA2455" s="23"/>
      <c r="BB2455" s="23"/>
      <c r="BC2455" s="16"/>
      <c r="BD2455" s="23"/>
      <c r="BE2455" s="23"/>
      <c r="BF2455" s="23"/>
      <c r="BG2455" s="16"/>
      <c r="BH2455" s="23"/>
      <c r="BI2455" s="23"/>
      <c r="BJ2455" s="23"/>
      <c r="BN2455" s="23"/>
      <c r="BO2455" s="23"/>
      <c r="BP2455" s="16"/>
      <c r="BQ2455" s="16"/>
      <c r="BR2455" s="23"/>
      <c r="BS2455" s="16"/>
      <c r="BT2455" s="16"/>
      <c r="BU2455" s="16"/>
      <c r="BV2455" s="16"/>
      <c r="BW2455" s="16"/>
      <c r="BX2455" s="16"/>
      <c r="BY2455" s="16"/>
    </row>
    <row r="2456">
      <c r="A2456" s="16"/>
      <c r="B2456" s="16"/>
      <c r="C2456" s="22"/>
      <c r="D2456" s="16"/>
      <c r="E2456" s="16"/>
      <c r="F2456" s="16"/>
      <c r="G2456" s="16"/>
      <c r="H2456" s="16"/>
      <c r="I2456" s="23"/>
      <c r="J2456" s="23"/>
      <c r="K2456" s="16"/>
      <c r="L2456" s="23"/>
      <c r="M2456" s="23"/>
      <c r="N2456" s="23"/>
      <c r="O2456" s="16"/>
      <c r="P2456" s="23"/>
      <c r="Q2456" s="23"/>
      <c r="R2456" s="23"/>
      <c r="S2456" s="16"/>
      <c r="T2456" s="23"/>
      <c r="U2456" s="23"/>
      <c r="V2456" s="23"/>
      <c r="W2456" s="16"/>
      <c r="X2456" s="23"/>
      <c r="Y2456" s="23"/>
      <c r="Z2456" s="23"/>
      <c r="AA2456" s="16"/>
      <c r="AB2456" s="23"/>
      <c r="AC2456" s="23"/>
      <c r="AD2456" s="23"/>
      <c r="AE2456" s="16"/>
      <c r="AF2456" s="23"/>
      <c r="AG2456" s="23"/>
      <c r="AH2456" s="23"/>
      <c r="AI2456" s="16"/>
      <c r="AJ2456" s="23"/>
      <c r="AK2456" s="23"/>
      <c r="AL2456" s="23"/>
      <c r="AM2456" s="16"/>
      <c r="AN2456" s="23"/>
      <c r="AO2456" s="23"/>
      <c r="AP2456" s="23"/>
      <c r="AQ2456" s="16"/>
      <c r="AR2456" s="23"/>
      <c r="AS2456" s="23"/>
      <c r="AT2456" s="23"/>
      <c r="AU2456" s="16"/>
      <c r="AV2456" s="23"/>
      <c r="AW2456" s="23"/>
      <c r="AX2456" s="23"/>
      <c r="AY2456" s="16"/>
      <c r="AZ2456" s="23"/>
      <c r="BA2456" s="23"/>
      <c r="BB2456" s="23"/>
      <c r="BC2456" s="16"/>
      <c r="BD2456" s="23"/>
      <c r="BE2456" s="23"/>
      <c r="BF2456" s="23"/>
      <c r="BG2456" s="16"/>
      <c r="BH2456" s="23"/>
      <c r="BI2456" s="23"/>
      <c r="BJ2456" s="23"/>
      <c r="BN2456" s="23"/>
      <c r="BO2456" s="23"/>
      <c r="BP2456" s="16"/>
      <c r="BQ2456" s="16"/>
      <c r="BR2456" s="23"/>
      <c r="BS2456" s="16"/>
      <c r="BT2456" s="16"/>
      <c r="BU2456" s="16"/>
      <c r="BV2456" s="16"/>
      <c r="BW2456" s="16"/>
      <c r="BX2456" s="16"/>
      <c r="BY2456" s="16"/>
    </row>
    <row r="2457">
      <c r="A2457" s="16"/>
      <c r="B2457" s="16"/>
      <c r="C2457" s="22"/>
      <c r="D2457" s="16"/>
      <c r="E2457" s="16"/>
      <c r="F2457" s="16"/>
      <c r="G2457" s="16"/>
      <c r="H2457" s="16"/>
      <c r="I2457" s="23"/>
      <c r="J2457" s="23"/>
      <c r="K2457" s="16"/>
      <c r="L2457" s="23"/>
      <c r="M2457" s="23"/>
      <c r="N2457" s="23"/>
      <c r="O2457" s="16"/>
      <c r="P2457" s="23"/>
      <c r="Q2457" s="23"/>
      <c r="R2457" s="23"/>
      <c r="S2457" s="16"/>
      <c r="T2457" s="23"/>
      <c r="U2457" s="23"/>
      <c r="V2457" s="23"/>
      <c r="W2457" s="16"/>
      <c r="X2457" s="23"/>
      <c r="Y2457" s="23"/>
      <c r="Z2457" s="23"/>
      <c r="AA2457" s="16"/>
      <c r="AB2457" s="23"/>
      <c r="AC2457" s="23"/>
      <c r="AD2457" s="23"/>
      <c r="AE2457" s="16"/>
      <c r="AF2457" s="23"/>
      <c r="AG2457" s="23"/>
      <c r="AH2457" s="23"/>
      <c r="AI2457" s="16"/>
      <c r="AJ2457" s="23"/>
      <c r="AK2457" s="23"/>
      <c r="AL2457" s="23"/>
      <c r="AM2457" s="16"/>
      <c r="AN2457" s="23"/>
      <c r="AO2457" s="23"/>
      <c r="AP2457" s="23"/>
      <c r="AQ2457" s="16"/>
      <c r="AR2457" s="23"/>
      <c r="AS2457" s="23"/>
      <c r="AT2457" s="23"/>
      <c r="AU2457" s="16"/>
      <c r="AV2457" s="23"/>
      <c r="AW2457" s="23"/>
      <c r="AX2457" s="23"/>
      <c r="AY2457" s="16"/>
      <c r="AZ2457" s="23"/>
      <c r="BA2457" s="23"/>
      <c r="BB2457" s="23"/>
      <c r="BC2457" s="16"/>
      <c r="BD2457" s="23"/>
      <c r="BE2457" s="23"/>
      <c r="BF2457" s="23"/>
      <c r="BG2457" s="16"/>
      <c r="BH2457" s="23"/>
      <c r="BI2457" s="23"/>
      <c r="BJ2457" s="23"/>
      <c r="BN2457" s="23"/>
      <c r="BO2457" s="23"/>
      <c r="BP2457" s="16"/>
      <c r="BQ2457" s="16"/>
      <c r="BR2457" s="23"/>
      <c r="BS2457" s="16"/>
      <c r="BT2457" s="16"/>
      <c r="BU2457" s="16"/>
      <c r="BV2457" s="16"/>
      <c r="BW2457" s="16"/>
      <c r="BX2457" s="16"/>
      <c r="BY2457" s="16"/>
    </row>
    <row r="2458">
      <c r="A2458" s="16"/>
      <c r="B2458" s="16"/>
      <c r="C2458" s="22"/>
      <c r="D2458" s="16"/>
      <c r="E2458" s="16"/>
      <c r="F2458" s="16"/>
      <c r="G2458" s="16"/>
      <c r="H2458" s="16"/>
      <c r="I2458" s="23"/>
      <c r="J2458" s="23"/>
      <c r="K2458" s="16"/>
      <c r="L2458" s="23"/>
      <c r="M2458" s="23"/>
      <c r="N2458" s="23"/>
      <c r="O2458" s="16"/>
      <c r="P2458" s="23"/>
      <c r="Q2458" s="23"/>
      <c r="R2458" s="23"/>
      <c r="S2458" s="16"/>
      <c r="T2458" s="23"/>
      <c r="U2458" s="23"/>
      <c r="V2458" s="23"/>
      <c r="W2458" s="16"/>
      <c r="X2458" s="23"/>
      <c r="Y2458" s="23"/>
      <c r="Z2458" s="23"/>
      <c r="AA2458" s="16"/>
      <c r="AB2458" s="23"/>
      <c r="AC2458" s="23"/>
      <c r="AD2458" s="23"/>
      <c r="AE2458" s="16"/>
      <c r="AF2458" s="23"/>
      <c r="AG2458" s="23"/>
      <c r="AH2458" s="23"/>
      <c r="AI2458" s="16"/>
      <c r="AJ2458" s="23"/>
      <c r="AK2458" s="23"/>
      <c r="AL2458" s="23"/>
      <c r="AM2458" s="16"/>
      <c r="AN2458" s="23"/>
      <c r="AO2458" s="23"/>
      <c r="AP2458" s="23"/>
      <c r="AQ2458" s="16"/>
      <c r="AR2458" s="23"/>
      <c r="AS2458" s="23"/>
      <c r="AT2458" s="23"/>
      <c r="AU2458" s="16"/>
      <c r="AV2458" s="23"/>
      <c r="AW2458" s="23"/>
      <c r="AX2458" s="23"/>
      <c r="AY2458" s="16"/>
      <c r="AZ2458" s="23"/>
      <c r="BA2458" s="23"/>
      <c r="BB2458" s="23"/>
      <c r="BC2458" s="16"/>
      <c r="BD2458" s="23"/>
      <c r="BE2458" s="23"/>
      <c r="BF2458" s="23"/>
      <c r="BG2458" s="16"/>
      <c r="BH2458" s="23"/>
      <c r="BI2458" s="23"/>
      <c r="BJ2458" s="23"/>
      <c r="BN2458" s="23"/>
      <c r="BO2458" s="23"/>
      <c r="BP2458" s="16"/>
      <c r="BQ2458" s="16"/>
      <c r="BR2458" s="23"/>
      <c r="BS2458" s="16"/>
      <c r="BT2458" s="16"/>
      <c r="BU2458" s="16"/>
      <c r="BV2458" s="16"/>
      <c r="BW2458" s="16"/>
      <c r="BX2458" s="16"/>
      <c r="BY2458" s="16"/>
    </row>
    <row r="2459">
      <c r="A2459" s="16"/>
      <c r="B2459" s="16"/>
      <c r="C2459" s="22"/>
      <c r="D2459" s="16"/>
      <c r="E2459" s="16"/>
      <c r="F2459" s="16"/>
      <c r="G2459" s="16"/>
      <c r="H2459" s="16"/>
      <c r="I2459" s="23"/>
      <c r="J2459" s="23"/>
      <c r="K2459" s="16"/>
      <c r="L2459" s="23"/>
      <c r="M2459" s="23"/>
      <c r="N2459" s="23"/>
      <c r="O2459" s="16"/>
      <c r="P2459" s="23"/>
      <c r="Q2459" s="23"/>
      <c r="R2459" s="23"/>
      <c r="S2459" s="16"/>
      <c r="T2459" s="23"/>
      <c r="U2459" s="23"/>
      <c r="V2459" s="23"/>
      <c r="W2459" s="16"/>
      <c r="X2459" s="23"/>
      <c r="Y2459" s="23"/>
      <c r="Z2459" s="23"/>
      <c r="AA2459" s="16"/>
      <c r="AB2459" s="23"/>
      <c r="AC2459" s="23"/>
      <c r="AD2459" s="23"/>
      <c r="AE2459" s="16"/>
      <c r="AF2459" s="23"/>
      <c r="AG2459" s="23"/>
      <c r="AH2459" s="23"/>
      <c r="AI2459" s="16"/>
      <c r="AJ2459" s="23"/>
      <c r="AK2459" s="23"/>
      <c r="AL2459" s="23"/>
      <c r="AM2459" s="16"/>
      <c r="AN2459" s="23"/>
      <c r="AO2459" s="23"/>
      <c r="AP2459" s="23"/>
      <c r="AQ2459" s="16"/>
      <c r="AR2459" s="23"/>
      <c r="AS2459" s="23"/>
      <c r="AT2459" s="23"/>
      <c r="AU2459" s="16"/>
      <c r="AV2459" s="23"/>
      <c r="AW2459" s="23"/>
      <c r="AX2459" s="23"/>
      <c r="AY2459" s="16"/>
      <c r="AZ2459" s="23"/>
      <c r="BA2459" s="23"/>
      <c r="BB2459" s="23"/>
      <c r="BC2459" s="16"/>
      <c r="BD2459" s="23"/>
      <c r="BE2459" s="23"/>
      <c r="BF2459" s="23"/>
      <c r="BG2459" s="16"/>
      <c r="BH2459" s="23"/>
      <c r="BI2459" s="23"/>
      <c r="BJ2459" s="23"/>
      <c r="BN2459" s="23"/>
      <c r="BO2459" s="23"/>
      <c r="BP2459" s="16"/>
      <c r="BQ2459" s="16"/>
      <c r="BR2459" s="23"/>
      <c r="BS2459" s="16"/>
      <c r="BT2459" s="16"/>
      <c r="BU2459" s="16"/>
      <c r="BV2459" s="16"/>
      <c r="BW2459" s="16"/>
      <c r="BX2459" s="16"/>
      <c r="BY2459" s="16"/>
    </row>
    <row r="2460">
      <c r="A2460" s="16"/>
      <c r="B2460" s="16"/>
      <c r="C2460" s="22"/>
      <c r="D2460" s="16"/>
      <c r="E2460" s="16"/>
      <c r="F2460" s="16"/>
      <c r="G2460" s="16"/>
      <c r="H2460" s="16"/>
      <c r="I2460" s="23"/>
      <c r="J2460" s="23"/>
      <c r="K2460" s="16"/>
      <c r="L2460" s="23"/>
      <c r="M2460" s="23"/>
      <c r="N2460" s="23"/>
      <c r="O2460" s="16"/>
      <c r="P2460" s="23"/>
      <c r="Q2460" s="23"/>
      <c r="R2460" s="23"/>
      <c r="S2460" s="16"/>
      <c r="T2460" s="23"/>
      <c r="U2460" s="23"/>
      <c r="V2460" s="23"/>
      <c r="W2460" s="16"/>
      <c r="X2460" s="23"/>
      <c r="Y2460" s="23"/>
      <c r="Z2460" s="23"/>
      <c r="AA2460" s="16"/>
      <c r="AB2460" s="23"/>
      <c r="AC2460" s="23"/>
      <c r="AD2460" s="23"/>
      <c r="AE2460" s="16"/>
      <c r="AF2460" s="23"/>
      <c r="AG2460" s="23"/>
      <c r="AH2460" s="23"/>
      <c r="AI2460" s="16"/>
      <c r="AJ2460" s="23"/>
      <c r="AK2460" s="23"/>
      <c r="AL2460" s="23"/>
      <c r="AM2460" s="16"/>
      <c r="AN2460" s="23"/>
      <c r="AO2460" s="23"/>
      <c r="AP2460" s="23"/>
      <c r="AQ2460" s="16"/>
      <c r="AR2460" s="23"/>
      <c r="AS2460" s="23"/>
      <c r="AT2460" s="23"/>
      <c r="AU2460" s="16"/>
      <c r="AV2460" s="23"/>
      <c r="AW2460" s="23"/>
      <c r="AX2460" s="23"/>
      <c r="AY2460" s="16"/>
      <c r="AZ2460" s="23"/>
      <c r="BA2460" s="23"/>
      <c r="BB2460" s="23"/>
      <c r="BC2460" s="16"/>
      <c r="BD2460" s="23"/>
      <c r="BE2460" s="23"/>
      <c r="BF2460" s="23"/>
      <c r="BG2460" s="16"/>
      <c r="BH2460" s="23"/>
      <c r="BI2460" s="23"/>
      <c r="BJ2460" s="23"/>
      <c r="BN2460" s="23"/>
      <c r="BO2460" s="23"/>
      <c r="BP2460" s="16"/>
      <c r="BQ2460" s="16"/>
      <c r="BR2460" s="23"/>
      <c r="BS2460" s="16"/>
      <c r="BT2460" s="16"/>
      <c r="BU2460" s="16"/>
      <c r="BV2460" s="16"/>
      <c r="BW2460" s="16"/>
      <c r="BX2460" s="16"/>
      <c r="BY2460" s="16"/>
    </row>
    <row r="2461">
      <c r="A2461" s="16"/>
      <c r="B2461" s="16"/>
      <c r="C2461" s="22"/>
      <c r="D2461" s="16"/>
      <c r="E2461" s="16"/>
      <c r="F2461" s="16"/>
      <c r="G2461" s="16"/>
      <c r="H2461" s="16"/>
      <c r="I2461" s="23"/>
      <c r="J2461" s="23"/>
      <c r="K2461" s="16"/>
      <c r="L2461" s="23"/>
      <c r="M2461" s="23"/>
      <c r="N2461" s="23"/>
      <c r="O2461" s="16"/>
      <c r="P2461" s="23"/>
      <c r="Q2461" s="23"/>
      <c r="R2461" s="23"/>
      <c r="S2461" s="16"/>
      <c r="T2461" s="23"/>
      <c r="U2461" s="23"/>
      <c r="V2461" s="23"/>
      <c r="W2461" s="16"/>
      <c r="X2461" s="23"/>
      <c r="Y2461" s="23"/>
      <c r="Z2461" s="23"/>
      <c r="AA2461" s="16"/>
      <c r="AB2461" s="23"/>
      <c r="AC2461" s="23"/>
      <c r="AD2461" s="23"/>
      <c r="AE2461" s="16"/>
      <c r="AF2461" s="23"/>
      <c r="AG2461" s="23"/>
      <c r="AH2461" s="23"/>
      <c r="AI2461" s="16"/>
      <c r="AJ2461" s="23"/>
      <c r="AK2461" s="23"/>
      <c r="AL2461" s="23"/>
      <c r="AM2461" s="16"/>
      <c r="AN2461" s="23"/>
      <c r="AO2461" s="23"/>
      <c r="AP2461" s="23"/>
      <c r="AQ2461" s="16"/>
      <c r="AR2461" s="23"/>
      <c r="AS2461" s="23"/>
      <c r="AT2461" s="23"/>
      <c r="AU2461" s="16"/>
      <c r="AV2461" s="23"/>
      <c r="AW2461" s="23"/>
      <c r="AX2461" s="23"/>
      <c r="AY2461" s="16"/>
      <c r="AZ2461" s="23"/>
      <c r="BA2461" s="23"/>
      <c r="BB2461" s="23"/>
      <c r="BC2461" s="16"/>
      <c r="BD2461" s="23"/>
      <c r="BE2461" s="23"/>
      <c r="BF2461" s="23"/>
      <c r="BG2461" s="16"/>
      <c r="BH2461" s="23"/>
      <c r="BI2461" s="23"/>
      <c r="BJ2461" s="23"/>
      <c r="BN2461" s="23"/>
      <c r="BO2461" s="23"/>
      <c r="BP2461" s="16"/>
      <c r="BQ2461" s="16"/>
      <c r="BR2461" s="23"/>
      <c r="BS2461" s="16"/>
      <c r="BT2461" s="16"/>
      <c r="BU2461" s="16"/>
      <c r="BV2461" s="16"/>
      <c r="BW2461" s="16"/>
      <c r="BX2461" s="16"/>
      <c r="BY2461" s="16"/>
    </row>
    <row r="2462">
      <c r="A2462" s="16"/>
      <c r="B2462" s="16"/>
      <c r="C2462" s="22"/>
      <c r="D2462" s="16"/>
      <c r="E2462" s="16"/>
      <c r="F2462" s="16"/>
      <c r="G2462" s="16"/>
      <c r="H2462" s="16"/>
      <c r="I2462" s="23"/>
      <c r="J2462" s="23"/>
      <c r="K2462" s="16"/>
      <c r="L2462" s="23"/>
      <c r="M2462" s="23"/>
      <c r="N2462" s="23"/>
      <c r="O2462" s="16"/>
      <c r="P2462" s="23"/>
      <c r="Q2462" s="23"/>
      <c r="R2462" s="23"/>
      <c r="S2462" s="16"/>
      <c r="T2462" s="23"/>
      <c r="U2462" s="23"/>
      <c r="V2462" s="23"/>
      <c r="W2462" s="16"/>
      <c r="X2462" s="23"/>
      <c r="Y2462" s="23"/>
      <c r="Z2462" s="23"/>
      <c r="AA2462" s="16"/>
      <c r="AB2462" s="23"/>
      <c r="AC2462" s="23"/>
      <c r="AD2462" s="23"/>
      <c r="AE2462" s="16"/>
      <c r="AF2462" s="23"/>
      <c r="AG2462" s="23"/>
      <c r="AH2462" s="23"/>
      <c r="AI2462" s="16"/>
      <c r="AJ2462" s="23"/>
      <c r="AK2462" s="23"/>
      <c r="AL2462" s="23"/>
      <c r="AM2462" s="16"/>
      <c r="AN2462" s="23"/>
      <c r="AO2462" s="23"/>
      <c r="AP2462" s="23"/>
      <c r="AQ2462" s="16"/>
      <c r="AR2462" s="23"/>
      <c r="AS2462" s="23"/>
      <c r="AT2462" s="23"/>
      <c r="AU2462" s="16"/>
      <c r="AV2462" s="23"/>
      <c r="AW2462" s="23"/>
      <c r="AX2462" s="23"/>
      <c r="AY2462" s="16"/>
      <c r="AZ2462" s="23"/>
      <c r="BA2462" s="23"/>
      <c r="BB2462" s="23"/>
      <c r="BC2462" s="16"/>
      <c r="BD2462" s="23"/>
      <c r="BE2462" s="23"/>
      <c r="BF2462" s="23"/>
      <c r="BG2462" s="16"/>
      <c r="BH2462" s="23"/>
      <c r="BI2462" s="23"/>
      <c r="BJ2462" s="23"/>
      <c r="BN2462" s="23"/>
      <c r="BO2462" s="23"/>
      <c r="BP2462" s="16"/>
      <c r="BQ2462" s="16"/>
      <c r="BR2462" s="23"/>
      <c r="BS2462" s="16"/>
      <c r="BT2462" s="16"/>
      <c r="BU2462" s="16"/>
      <c r="BV2462" s="16"/>
      <c r="BW2462" s="16"/>
      <c r="BX2462" s="16"/>
      <c r="BY2462" s="16"/>
    </row>
    <row r="2463">
      <c r="A2463" s="16"/>
      <c r="B2463" s="16"/>
      <c r="C2463" s="22"/>
      <c r="D2463" s="16"/>
      <c r="E2463" s="16"/>
      <c r="F2463" s="16"/>
      <c r="G2463" s="16"/>
      <c r="H2463" s="16"/>
      <c r="I2463" s="23"/>
      <c r="J2463" s="23"/>
      <c r="K2463" s="16"/>
      <c r="L2463" s="23"/>
      <c r="M2463" s="23"/>
      <c r="N2463" s="23"/>
      <c r="O2463" s="16"/>
      <c r="P2463" s="23"/>
      <c r="Q2463" s="23"/>
      <c r="R2463" s="23"/>
      <c r="S2463" s="16"/>
      <c r="T2463" s="23"/>
      <c r="U2463" s="23"/>
      <c r="V2463" s="23"/>
      <c r="W2463" s="16"/>
      <c r="X2463" s="23"/>
      <c r="Y2463" s="23"/>
      <c r="Z2463" s="23"/>
      <c r="AA2463" s="16"/>
      <c r="AB2463" s="23"/>
      <c r="AC2463" s="23"/>
      <c r="AD2463" s="23"/>
      <c r="AE2463" s="16"/>
      <c r="AF2463" s="23"/>
      <c r="AG2463" s="23"/>
      <c r="AH2463" s="23"/>
      <c r="AI2463" s="16"/>
      <c r="AJ2463" s="23"/>
      <c r="AK2463" s="23"/>
      <c r="AL2463" s="23"/>
      <c r="AM2463" s="16"/>
      <c r="AN2463" s="23"/>
      <c r="AO2463" s="23"/>
      <c r="AP2463" s="23"/>
      <c r="AQ2463" s="16"/>
      <c r="AR2463" s="23"/>
      <c r="AS2463" s="23"/>
      <c r="AT2463" s="23"/>
      <c r="AU2463" s="16"/>
      <c r="AV2463" s="23"/>
      <c r="AW2463" s="23"/>
      <c r="AX2463" s="23"/>
      <c r="AY2463" s="16"/>
      <c r="AZ2463" s="23"/>
      <c r="BA2463" s="23"/>
      <c r="BB2463" s="23"/>
      <c r="BC2463" s="16"/>
      <c r="BD2463" s="23"/>
      <c r="BE2463" s="23"/>
      <c r="BF2463" s="23"/>
      <c r="BG2463" s="16"/>
      <c r="BH2463" s="23"/>
      <c r="BI2463" s="23"/>
      <c r="BJ2463" s="23"/>
      <c r="BN2463" s="23"/>
      <c r="BO2463" s="23"/>
      <c r="BP2463" s="16"/>
      <c r="BQ2463" s="16"/>
      <c r="BR2463" s="23"/>
      <c r="BS2463" s="16"/>
      <c r="BT2463" s="16"/>
      <c r="BU2463" s="16"/>
      <c r="BV2463" s="16"/>
      <c r="BW2463" s="16"/>
      <c r="BX2463" s="16"/>
      <c r="BY2463" s="16"/>
    </row>
    <row r="2464">
      <c r="A2464" s="16"/>
      <c r="B2464" s="16"/>
      <c r="C2464" s="22"/>
      <c r="D2464" s="16"/>
      <c r="E2464" s="16"/>
      <c r="F2464" s="16"/>
      <c r="G2464" s="16"/>
      <c r="H2464" s="16"/>
      <c r="I2464" s="23"/>
      <c r="J2464" s="23"/>
      <c r="K2464" s="16"/>
      <c r="L2464" s="23"/>
      <c r="M2464" s="23"/>
      <c r="N2464" s="23"/>
      <c r="O2464" s="16"/>
      <c r="P2464" s="23"/>
      <c r="Q2464" s="23"/>
      <c r="R2464" s="23"/>
      <c r="S2464" s="16"/>
      <c r="T2464" s="23"/>
      <c r="U2464" s="23"/>
      <c r="V2464" s="23"/>
      <c r="W2464" s="16"/>
      <c r="X2464" s="23"/>
      <c r="Y2464" s="23"/>
      <c r="Z2464" s="23"/>
      <c r="AA2464" s="16"/>
      <c r="AB2464" s="23"/>
      <c r="AC2464" s="23"/>
      <c r="AD2464" s="23"/>
      <c r="AE2464" s="16"/>
      <c r="AF2464" s="23"/>
      <c r="AG2464" s="23"/>
      <c r="AH2464" s="23"/>
      <c r="AI2464" s="16"/>
      <c r="AJ2464" s="23"/>
      <c r="AK2464" s="23"/>
      <c r="AL2464" s="23"/>
      <c r="AM2464" s="16"/>
      <c r="AN2464" s="23"/>
      <c r="AO2464" s="23"/>
      <c r="AP2464" s="23"/>
      <c r="AQ2464" s="16"/>
      <c r="AR2464" s="23"/>
      <c r="AS2464" s="23"/>
      <c r="AT2464" s="23"/>
      <c r="AU2464" s="16"/>
      <c r="AV2464" s="23"/>
      <c r="AW2464" s="23"/>
      <c r="AX2464" s="23"/>
      <c r="AY2464" s="16"/>
      <c r="AZ2464" s="23"/>
      <c r="BA2464" s="23"/>
      <c r="BB2464" s="23"/>
      <c r="BC2464" s="16"/>
      <c r="BD2464" s="23"/>
      <c r="BE2464" s="23"/>
      <c r="BF2464" s="23"/>
      <c r="BG2464" s="16"/>
      <c r="BH2464" s="23"/>
      <c r="BI2464" s="23"/>
      <c r="BJ2464" s="23"/>
      <c r="BN2464" s="23"/>
      <c r="BO2464" s="23"/>
      <c r="BP2464" s="16"/>
      <c r="BQ2464" s="16"/>
      <c r="BR2464" s="23"/>
      <c r="BS2464" s="16"/>
      <c r="BT2464" s="16"/>
      <c r="BU2464" s="16"/>
      <c r="BV2464" s="16"/>
      <c r="BW2464" s="16"/>
      <c r="BX2464" s="16"/>
      <c r="BY2464" s="16"/>
    </row>
    <row r="2465">
      <c r="A2465" s="16"/>
      <c r="B2465" s="16"/>
      <c r="C2465" s="22"/>
      <c r="D2465" s="16"/>
      <c r="E2465" s="16"/>
      <c r="F2465" s="16"/>
      <c r="G2465" s="16"/>
      <c r="H2465" s="16"/>
      <c r="I2465" s="23"/>
      <c r="J2465" s="23"/>
      <c r="K2465" s="16"/>
      <c r="L2465" s="23"/>
      <c r="M2465" s="23"/>
      <c r="N2465" s="23"/>
      <c r="O2465" s="16"/>
      <c r="P2465" s="23"/>
      <c r="Q2465" s="23"/>
      <c r="R2465" s="23"/>
      <c r="S2465" s="16"/>
      <c r="T2465" s="23"/>
      <c r="U2465" s="23"/>
      <c r="V2465" s="23"/>
      <c r="W2465" s="16"/>
      <c r="X2465" s="23"/>
      <c r="Y2465" s="23"/>
      <c r="Z2465" s="23"/>
      <c r="AA2465" s="16"/>
      <c r="AB2465" s="23"/>
      <c r="AC2465" s="23"/>
      <c r="AD2465" s="23"/>
      <c r="AE2465" s="16"/>
      <c r="AF2465" s="23"/>
      <c r="AG2465" s="23"/>
      <c r="AH2465" s="23"/>
      <c r="AI2465" s="16"/>
      <c r="AJ2465" s="23"/>
      <c r="AK2465" s="23"/>
      <c r="AL2465" s="23"/>
      <c r="AM2465" s="16"/>
      <c r="AN2465" s="23"/>
      <c r="AO2465" s="23"/>
      <c r="AP2465" s="23"/>
      <c r="AQ2465" s="16"/>
      <c r="AR2465" s="23"/>
      <c r="AS2465" s="23"/>
      <c r="AT2465" s="23"/>
      <c r="AU2465" s="16"/>
      <c r="AV2465" s="23"/>
      <c r="AW2465" s="23"/>
      <c r="AX2465" s="23"/>
      <c r="AY2465" s="16"/>
      <c r="AZ2465" s="23"/>
      <c r="BA2465" s="23"/>
      <c r="BB2465" s="23"/>
      <c r="BC2465" s="16"/>
      <c r="BD2465" s="23"/>
      <c r="BE2465" s="23"/>
      <c r="BF2465" s="23"/>
      <c r="BG2465" s="16"/>
      <c r="BH2465" s="23"/>
      <c r="BI2465" s="23"/>
      <c r="BJ2465" s="23"/>
      <c r="BN2465" s="23"/>
      <c r="BO2465" s="23"/>
      <c r="BP2465" s="16"/>
      <c r="BQ2465" s="16"/>
      <c r="BR2465" s="23"/>
      <c r="BS2465" s="16"/>
      <c r="BT2465" s="16"/>
      <c r="BU2465" s="16"/>
      <c r="BV2465" s="16"/>
      <c r="BW2465" s="16"/>
      <c r="BX2465" s="16"/>
      <c r="BY2465" s="16"/>
    </row>
    <row r="2466">
      <c r="A2466" s="16"/>
      <c r="B2466" s="16"/>
      <c r="C2466" s="22"/>
      <c r="D2466" s="16"/>
      <c r="E2466" s="16"/>
      <c r="F2466" s="16"/>
      <c r="G2466" s="16"/>
      <c r="H2466" s="16"/>
      <c r="I2466" s="23"/>
      <c r="J2466" s="23"/>
      <c r="K2466" s="16"/>
      <c r="L2466" s="23"/>
      <c r="M2466" s="23"/>
      <c r="N2466" s="23"/>
      <c r="O2466" s="16"/>
      <c r="P2466" s="23"/>
      <c r="Q2466" s="23"/>
      <c r="R2466" s="23"/>
      <c r="S2466" s="16"/>
      <c r="T2466" s="23"/>
      <c r="U2466" s="23"/>
      <c r="V2466" s="23"/>
      <c r="W2466" s="16"/>
      <c r="X2466" s="23"/>
      <c r="Y2466" s="23"/>
      <c r="Z2466" s="23"/>
      <c r="AA2466" s="16"/>
      <c r="AB2466" s="23"/>
      <c r="AC2466" s="23"/>
      <c r="AD2466" s="23"/>
      <c r="AE2466" s="16"/>
      <c r="AF2466" s="23"/>
      <c r="AG2466" s="23"/>
      <c r="AH2466" s="23"/>
      <c r="AI2466" s="16"/>
      <c r="AJ2466" s="23"/>
      <c r="AK2466" s="23"/>
      <c r="AL2466" s="23"/>
      <c r="AM2466" s="16"/>
      <c r="AN2466" s="23"/>
      <c r="AO2466" s="23"/>
      <c r="AP2466" s="23"/>
      <c r="AQ2466" s="16"/>
      <c r="AR2466" s="23"/>
      <c r="AS2466" s="23"/>
      <c r="AT2466" s="23"/>
      <c r="AU2466" s="16"/>
      <c r="AV2466" s="23"/>
      <c r="AW2466" s="23"/>
      <c r="AX2466" s="23"/>
      <c r="AY2466" s="16"/>
      <c r="AZ2466" s="23"/>
      <c r="BA2466" s="23"/>
      <c r="BB2466" s="23"/>
      <c r="BC2466" s="16"/>
      <c r="BD2466" s="23"/>
      <c r="BE2466" s="23"/>
      <c r="BF2466" s="23"/>
      <c r="BG2466" s="16"/>
      <c r="BH2466" s="23"/>
      <c r="BI2466" s="23"/>
      <c r="BJ2466" s="23"/>
      <c r="BN2466" s="23"/>
      <c r="BO2466" s="23"/>
      <c r="BP2466" s="16"/>
      <c r="BQ2466" s="16"/>
      <c r="BR2466" s="23"/>
      <c r="BS2466" s="16"/>
      <c r="BT2466" s="16"/>
      <c r="BU2466" s="16"/>
      <c r="BV2466" s="16"/>
      <c r="BW2466" s="16"/>
      <c r="BX2466" s="16"/>
      <c r="BY2466" s="16"/>
    </row>
    <row r="2467">
      <c r="A2467" s="16"/>
      <c r="B2467" s="16"/>
      <c r="C2467" s="22"/>
      <c r="D2467" s="16"/>
      <c r="E2467" s="16"/>
      <c r="F2467" s="16"/>
      <c r="G2467" s="16"/>
      <c r="H2467" s="16"/>
      <c r="I2467" s="23"/>
      <c r="J2467" s="23"/>
      <c r="K2467" s="16"/>
      <c r="L2467" s="23"/>
      <c r="M2467" s="23"/>
      <c r="N2467" s="23"/>
      <c r="O2467" s="16"/>
      <c r="P2467" s="23"/>
      <c r="Q2467" s="23"/>
      <c r="R2467" s="23"/>
      <c r="S2467" s="16"/>
      <c r="T2467" s="23"/>
      <c r="U2467" s="23"/>
      <c r="V2467" s="23"/>
      <c r="W2467" s="16"/>
      <c r="X2467" s="23"/>
      <c r="Y2467" s="23"/>
      <c r="Z2467" s="23"/>
      <c r="AA2467" s="16"/>
      <c r="AB2467" s="23"/>
      <c r="AC2467" s="23"/>
      <c r="AD2467" s="23"/>
      <c r="AE2467" s="16"/>
      <c r="AF2467" s="23"/>
      <c r="AG2467" s="23"/>
      <c r="AH2467" s="23"/>
      <c r="AI2467" s="16"/>
      <c r="AJ2467" s="23"/>
      <c r="AK2467" s="23"/>
      <c r="AL2467" s="23"/>
      <c r="AM2467" s="16"/>
      <c r="AN2467" s="23"/>
      <c r="AO2467" s="23"/>
      <c r="AP2467" s="23"/>
      <c r="AQ2467" s="16"/>
      <c r="AR2467" s="23"/>
      <c r="AS2467" s="23"/>
      <c r="AT2467" s="23"/>
      <c r="AU2467" s="16"/>
      <c r="AV2467" s="23"/>
      <c r="AW2467" s="23"/>
      <c r="AX2467" s="23"/>
      <c r="AY2467" s="16"/>
      <c r="AZ2467" s="23"/>
      <c r="BA2467" s="23"/>
      <c r="BB2467" s="23"/>
      <c r="BC2467" s="16"/>
      <c r="BD2467" s="23"/>
      <c r="BE2467" s="23"/>
      <c r="BF2467" s="23"/>
      <c r="BG2467" s="16"/>
      <c r="BH2467" s="23"/>
      <c r="BI2467" s="23"/>
      <c r="BJ2467" s="23"/>
      <c r="BN2467" s="23"/>
      <c r="BO2467" s="23"/>
      <c r="BP2467" s="16"/>
      <c r="BQ2467" s="16"/>
      <c r="BR2467" s="23"/>
      <c r="BS2467" s="16"/>
      <c r="BT2467" s="16"/>
      <c r="BU2467" s="16"/>
      <c r="BV2467" s="16"/>
      <c r="BW2467" s="16"/>
      <c r="BX2467" s="16"/>
      <c r="BY2467" s="16"/>
    </row>
    <row r="2468">
      <c r="A2468" s="16"/>
      <c r="B2468" s="16"/>
      <c r="C2468" s="22"/>
      <c r="D2468" s="16"/>
      <c r="E2468" s="16"/>
      <c r="F2468" s="16"/>
      <c r="G2468" s="16"/>
      <c r="H2468" s="16"/>
      <c r="I2468" s="23"/>
      <c r="J2468" s="23"/>
      <c r="K2468" s="16"/>
      <c r="L2468" s="23"/>
      <c r="M2468" s="23"/>
      <c r="N2468" s="23"/>
      <c r="O2468" s="16"/>
      <c r="P2468" s="23"/>
      <c r="Q2468" s="23"/>
      <c r="R2468" s="23"/>
      <c r="S2468" s="16"/>
      <c r="T2468" s="23"/>
      <c r="U2468" s="23"/>
      <c r="V2468" s="23"/>
      <c r="W2468" s="16"/>
      <c r="X2468" s="23"/>
      <c r="Y2468" s="23"/>
      <c r="Z2468" s="23"/>
      <c r="AA2468" s="16"/>
      <c r="AB2468" s="23"/>
      <c r="AC2468" s="23"/>
      <c r="AD2468" s="23"/>
      <c r="AE2468" s="16"/>
      <c r="AF2468" s="23"/>
      <c r="AG2468" s="23"/>
      <c r="AH2468" s="23"/>
      <c r="AI2468" s="16"/>
      <c r="AJ2468" s="23"/>
      <c r="AK2468" s="23"/>
      <c r="AL2468" s="23"/>
      <c r="AM2468" s="16"/>
      <c r="AN2468" s="23"/>
      <c r="AO2468" s="23"/>
      <c r="AP2468" s="23"/>
      <c r="AQ2468" s="16"/>
      <c r="AR2468" s="23"/>
      <c r="AS2468" s="23"/>
      <c r="AT2468" s="23"/>
      <c r="AU2468" s="16"/>
      <c r="AV2468" s="23"/>
      <c r="AW2468" s="23"/>
      <c r="AX2468" s="23"/>
      <c r="AY2468" s="16"/>
      <c r="AZ2468" s="23"/>
      <c r="BA2468" s="23"/>
      <c r="BB2468" s="23"/>
      <c r="BC2468" s="16"/>
      <c r="BD2468" s="23"/>
      <c r="BE2468" s="23"/>
      <c r="BF2468" s="23"/>
      <c r="BG2468" s="16"/>
      <c r="BH2468" s="23"/>
      <c r="BI2468" s="23"/>
      <c r="BJ2468" s="23"/>
      <c r="BN2468" s="23"/>
      <c r="BO2468" s="23"/>
      <c r="BP2468" s="16"/>
      <c r="BQ2468" s="16"/>
      <c r="BR2468" s="23"/>
      <c r="BS2468" s="16"/>
      <c r="BT2468" s="16"/>
      <c r="BU2468" s="16"/>
      <c r="BV2468" s="16"/>
      <c r="BW2468" s="16"/>
      <c r="BX2468" s="16"/>
      <c r="BY2468" s="16"/>
    </row>
    <row r="2469">
      <c r="A2469" s="16"/>
      <c r="B2469" s="16"/>
      <c r="C2469" s="22"/>
      <c r="D2469" s="16"/>
      <c r="E2469" s="16"/>
      <c r="F2469" s="16"/>
      <c r="G2469" s="16"/>
      <c r="H2469" s="16"/>
      <c r="I2469" s="23"/>
      <c r="J2469" s="23"/>
      <c r="K2469" s="16"/>
      <c r="L2469" s="23"/>
      <c r="M2469" s="23"/>
      <c r="N2469" s="23"/>
      <c r="O2469" s="16"/>
      <c r="P2469" s="23"/>
      <c r="Q2469" s="23"/>
      <c r="R2469" s="23"/>
      <c r="S2469" s="16"/>
      <c r="T2469" s="23"/>
      <c r="U2469" s="23"/>
      <c r="V2469" s="23"/>
      <c r="W2469" s="16"/>
      <c r="X2469" s="23"/>
      <c r="Y2469" s="23"/>
      <c r="Z2469" s="23"/>
      <c r="AA2469" s="16"/>
      <c r="AB2469" s="23"/>
      <c r="AC2469" s="23"/>
      <c r="AD2469" s="23"/>
      <c r="AE2469" s="16"/>
      <c r="AF2469" s="23"/>
      <c r="AG2469" s="23"/>
      <c r="AH2469" s="23"/>
      <c r="AI2469" s="16"/>
      <c r="AJ2469" s="23"/>
      <c r="AK2469" s="23"/>
      <c r="AL2469" s="23"/>
      <c r="AM2469" s="16"/>
      <c r="AN2469" s="23"/>
      <c r="AO2469" s="23"/>
      <c r="AP2469" s="23"/>
      <c r="AQ2469" s="16"/>
      <c r="AR2469" s="23"/>
      <c r="AS2469" s="23"/>
      <c r="AT2469" s="23"/>
      <c r="AU2469" s="16"/>
      <c r="AV2469" s="23"/>
      <c r="AW2469" s="23"/>
      <c r="AX2469" s="23"/>
      <c r="AY2469" s="16"/>
      <c r="AZ2469" s="23"/>
      <c r="BA2469" s="23"/>
      <c r="BB2469" s="23"/>
      <c r="BC2469" s="16"/>
      <c r="BD2469" s="23"/>
      <c r="BE2469" s="23"/>
      <c r="BF2469" s="23"/>
      <c r="BG2469" s="16"/>
      <c r="BH2469" s="23"/>
      <c r="BI2469" s="23"/>
      <c r="BJ2469" s="23"/>
      <c r="BN2469" s="23"/>
      <c r="BO2469" s="23"/>
      <c r="BP2469" s="16"/>
      <c r="BQ2469" s="16"/>
      <c r="BR2469" s="23"/>
      <c r="BS2469" s="16"/>
      <c r="BT2469" s="16"/>
      <c r="BU2469" s="16"/>
      <c r="BV2469" s="16"/>
      <c r="BW2469" s="16"/>
      <c r="BX2469" s="16"/>
      <c r="BY2469" s="16"/>
    </row>
    <row r="2470">
      <c r="A2470" s="16"/>
      <c r="B2470" s="16"/>
      <c r="C2470" s="22"/>
      <c r="D2470" s="16"/>
      <c r="E2470" s="16"/>
      <c r="F2470" s="16"/>
      <c r="G2470" s="16"/>
      <c r="H2470" s="16"/>
      <c r="I2470" s="23"/>
      <c r="J2470" s="23"/>
      <c r="K2470" s="16"/>
      <c r="L2470" s="23"/>
      <c r="M2470" s="23"/>
      <c r="N2470" s="23"/>
      <c r="O2470" s="16"/>
      <c r="P2470" s="23"/>
      <c r="Q2470" s="23"/>
      <c r="R2470" s="23"/>
      <c r="S2470" s="16"/>
      <c r="T2470" s="23"/>
      <c r="U2470" s="23"/>
      <c r="V2470" s="23"/>
      <c r="W2470" s="16"/>
      <c r="X2470" s="23"/>
      <c r="Y2470" s="23"/>
      <c r="Z2470" s="23"/>
      <c r="AA2470" s="16"/>
      <c r="AB2470" s="23"/>
      <c r="AC2470" s="23"/>
      <c r="AD2470" s="23"/>
      <c r="AE2470" s="16"/>
      <c r="AF2470" s="23"/>
      <c r="AG2470" s="23"/>
      <c r="AH2470" s="23"/>
      <c r="AI2470" s="16"/>
      <c r="AJ2470" s="23"/>
      <c r="AK2470" s="23"/>
      <c r="AL2470" s="23"/>
      <c r="AM2470" s="16"/>
      <c r="AN2470" s="23"/>
      <c r="AO2470" s="23"/>
      <c r="AP2470" s="23"/>
      <c r="AQ2470" s="16"/>
      <c r="AR2470" s="23"/>
      <c r="AS2470" s="23"/>
      <c r="AT2470" s="23"/>
      <c r="AU2470" s="16"/>
      <c r="AV2470" s="23"/>
      <c r="AW2470" s="23"/>
      <c r="AX2470" s="23"/>
      <c r="AY2470" s="16"/>
      <c r="AZ2470" s="23"/>
      <c r="BA2470" s="23"/>
      <c r="BB2470" s="23"/>
      <c r="BC2470" s="16"/>
      <c r="BD2470" s="23"/>
      <c r="BE2470" s="23"/>
      <c r="BF2470" s="23"/>
      <c r="BG2470" s="16"/>
      <c r="BH2470" s="23"/>
      <c r="BI2470" s="23"/>
      <c r="BJ2470" s="23"/>
      <c r="BN2470" s="23"/>
      <c r="BO2470" s="23"/>
      <c r="BP2470" s="16"/>
      <c r="BQ2470" s="16"/>
      <c r="BR2470" s="23"/>
      <c r="BS2470" s="16"/>
      <c r="BT2470" s="16"/>
      <c r="BU2470" s="16"/>
      <c r="BV2470" s="16"/>
      <c r="BW2470" s="16"/>
      <c r="BX2470" s="16"/>
      <c r="BY2470" s="16"/>
    </row>
    <row r="2471">
      <c r="A2471" s="16"/>
      <c r="B2471" s="16"/>
      <c r="C2471" s="22"/>
      <c r="D2471" s="16"/>
      <c r="E2471" s="16"/>
      <c r="F2471" s="16"/>
      <c r="G2471" s="16"/>
      <c r="H2471" s="16"/>
      <c r="I2471" s="23"/>
      <c r="J2471" s="23"/>
      <c r="K2471" s="16"/>
      <c r="L2471" s="23"/>
      <c r="M2471" s="23"/>
      <c r="N2471" s="23"/>
      <c r="O2471" s="16"/>
      <c r="P2471" s="23"/>
      <c r="Q2471" s="23"/>
      <c r="R2471" s="23"/>
      <c r="S2471" s="16"/>
      <c r="T2471" s="23"/>
      <c r="U2471" s="23"/>
      <c r="V2471" s="23"/>
      <c r="W2471" s="16"/>
      <c r="X2471" s="23"/>
      <c r="Y2471" s="23"/>
      <c r="Z2471" s="23"/>
      <c r="AA2471" s="16"/>
      <c r="AB2471" s="23"/>
      <c r="AC2471" s="23"/>
      <c r="AD2471" s="23"/>
      <c r="AE2471" s="16"/>
      <c r="AF2471" s="23"/>
      <c r="AG2471" s="23"/>
      <c r="AH2471" s="23"/>
      <c r="AI2471" s="16"/>
      <c r="AJ2471" s="23"/>
      <c r="AK2471" s="23"/>
      <c r="AL2471" s="23"/>
      <c r="AM2471" s="16"/>
      <c r="AN2471" s="23"/>
      <c r="AO2471" s="23"/>
      <c r="AP2471" s="23"/>
      <c r="AQ2471" s="16"/>
      <c r="AR2471" s="23"/>
      <c r="AS2471" s="23"/>
      <c r="AT2471" s="23"/>
      <c r="AU2471" s="16"/>
      <c r="AV2471" s="23"/>
      <c r="AW2471" s="23"/>
      <c r="AX2471" s="23"/>
      <c r="AY2471" s="16"/>
      <c r="AZ2471" s="23"/>
      <c r="BA2471" s="23"/>
      <c r="BB2471" s="23"/>
      <c r="BC2471" s="16"/>
      <c r="BD2471" s="23"/>
      <c r="BE2471" s="23"/>
      <c r="BF2471" s="23"/>
      <c r="BG2471" s="16"/>
      <c r="BH2471" s="23"/>
      <c r="BI2471" s="23"/>
      <c r="BJ2471" s="23"/>
      <c r="BN2471" s="23"/>
      <c r="BO2471" s="23"/>
      <c r="BP2471" s="16"/>
      <c r="BQ2471" s="16"/>
      <c r="BR2471" s="23"/>
      <c r="BS2471" s="16"/>
      <c r="BT2471" s="16"/>
      <c r="BU2471" s="16"/>
      <c r="BV2471" s="16"/>
      <c r="BW2471" s="16"/>
      <c r="BX2471" s="16"/>
      <c r="BY2471" s="16"/>
    </row>
    <row r="2472">
      <c r="A2472" s="16"/>
      <c r="B2472" s="16"/>
      <c r="C2472" s="22"/>
      <c r="D2472" s="16"/>
      <c r="E2472" s="16"/>
      <c r="F2472" s="16"/>
      <c r="G2472" s="16"/>
      <c r="H2472" s="16"/>
      <c r="I2472" s="23"/>
      <c r="J2472" s="23"/>
      <c r="K2472" s="16"/>
      <c r="L2472" s="23"/>
      <c r="M2472" s="23"/>
      <c r="N2472" s="23"/>
      <c r="O2472" s="16"/>
      <c r="P2472" s="23"/>
      <c r="Q2472" s="23"/>
      <c r="R2472" s="23"/>
      <c r="S2472" s="16"/>
      <c r="T2472" s="23"/>
      <c r="U2472" s="23"/>
      <c r="V2472" s="23"/>
      <c r="W2472" s="16"/>
      <c r="X2472" s="23"/>
      <c r="Y2472" s="23"/>
      <c r="Z2472" s="23"/>
      <c r="AA2472" s="16"/>
      <c r="AB2472" s="23"/>
      <c r="AC2472" s="23"/>
      <c r="AD2472" s="23"/>
      <c r="AE2472" s="16"/>
      <c r="AF2472" s="23"/>
      <c r="AG2472" s="23"/>
      <c r="AH2472" s="23"/>
      <c r="AI2472" s="16"/>
      <c r="AJ2472" s="23"/>
      <c r="AK2472" s="23"/>
      <c r="AL2472" s="23"/>
      <c r="AM2472" s="16"/>
      <c r="AN2472" s="23"/>
      <c r="AO2472" s="23"/>
      <c r="AP2472" s="23"/>
      <c r="AQ2472" s="16"/>
      <c r="AR2472" s="23"/>
      <c r="AS2472" s="23"/>
      <c r="AT2472" s="23"/>
      <c r="AU2472" s="16"/>
      <c r="AV2472" s="23"/>
      <c r="AW2472" s="23"/>
      <c r="AX2472" s="23"/>
      <c r="AY2472" s="16"/>
      <c r="AZ2472" s="23"/>
      <c r="BA2472" s="23"/>
      <c r="BB2472" s="23"/>
      <c r="BC2472" s="16"/>
      <c r="BD2472" s="23"/>
      <c r="BE2472" s="23"/>
      <c r="BF2472" s="23"/>
      <c r="BG2472" s="16"/>
      <c r="BH2472" s="23"/>
      <c r="BI2472" s="23"/>
      <c r="BJ2472" s="23"/>
      <c r="BN2472" s="23"/>
      <c r="BO2472" s="23"/>
      <c r="BP2472" s="16"/>
      <c r="BQ2472" s="16"/>
      <c r="BR2472" s="23"/>
      <c r="BS2472" s="16"/>
      <c r="BT2472" s="16"/>
      <c r="BU2472" s="16"/>
      <c r="BV2472" s="16"/>
      <c r="BW2472" s="16"/>
      <c r="BX2472" s="16"/>
      <c r="BY2472" s="16"/>
    </row>
    <row r="2473">
      <c r="A2473" s="16"/>
      <c r="B2473" s="16"/>
      <c r="C2473" s="22"/>
      <c r="D2473" s="16"/>
      <c r="E2473" s="16"/>
      <c r="F2473" s="16"/>
      <c r="G2473" s="16"/>
      <c r="H2473" s="16"/>
      <c r="I2473" s="23"/>
      <c r="J2473" s="23"/>
      <c r="K2473" s="16"/>
      <c r="L2473" s="23"/>
      <c r="M2473" s="23"/>
      <c r="N2473" s="23"/>
      <c r="O2473" s="16"/>
      <c r="P2473" s="23"/>
      <c r="Q2473" s="23"/>
      <c r="R2473" s="23"/>
      <c r="S2473" s="16"/>
      <c r="T2473" s="23"/>
      <c r="U2473" s="23"/>
      <c r="V2473" s="23"/>
      <c r="W2473" s="16"/>
      <c r="X2473" s="23"/>
      <c r="Y2473" s="23"/>
      <c r="Z2473" s="23"/>
      <c r="AA2473" s="16"/>
      <c r="AB2473" s="23"/>
      <c r="AC2473" s="23"/>
      <c r="AD2473" s="23"/>
      <c r="AE2473" s="16"/>
      <c r="AF2473" s="23"/>
      <c r="AG2473" s="23"/>
      <c r="AH2473" s="23"/>
      <c r="AI2473" s="16"/>
      <c r="AJ2473" s="23"/>
      <c r="AK2473" s="23"/>
      <c r="AL2473" s="23"/>
      <c r="AM2473" s="16"/>
      <c r="AN2473" s="23"/>
      <c r="AO2473" s="23"/>
      <c r="AP2473" s="23"/>
      <c r="AQ2473" s="16"/>
      <c r="AR2473" s="23"/>
      <c r="AS2473" s="23"/>
      <c r="AT2473" s="23"/>
      <c r="AU2473" s="16"/>
      <c r="AV2473" s="23"/>
      <c r="AW2473" s="23"/>
      <c r="AX2473" s="23"/>
      <c r="AY2473" s="16"/>
      <c r="AZ2473" s="23"/>
      <c r="BA2473" s="23"/>
      <c r="BB2473" s="23"/>
      <c r="BC2473" s="16"/>
      <c r="BD2473" s="23"/>
      <c r="BE2473" s="23"/>
      <c r="BF2473" s="23"/>
      <c r="BG2473" s="16"/>
      <c r="BH2473" s="23"/>
      <c r="BI2473" s="23"/>
      <c r="BJ2473" s="23"/>
      <c r="BN2473" s="23"/>
      <c r="BO2473" s="23"/>
      <c r="BP2473" s="16"/>
      <c r="BQ2473" s="16"/>
      <c r="BR2473" s="23"/>
      <c r="BS2473" s="16"/>
      <c r="BT2473" s="16"/>
      <c r="BU2473" s="16"/>
      <c r="BV2473" s="16"/>
      <c r="BW2473" s="16"/>
      <c r="BX2473" s="16"/>
      <c r="BY2473" s="16"/>
    </row>
    <row r="2474">
      <c r="A2474" s="16"/>
      <c r="B2474" s="16"/>
      <c r="C2474" s="22"/>
      <c r="D2474" s="16"/>
      <c r="E2474" s="16"/>
      <c r="F2474" s="16"/>
      <c r="G2474" s="16"/>
      <c r="H2474" s="16"/>
      <c r="I2474" s="23"/>
      <c r="J2474" s="23"/>
      <c r="K2474" s="16"/>
      <c r="L2474" s="23"/>
      <c r="M2474" s="23"/>
      <c r="N2474" s="23"/>
      <c r="O2474" s="16"/>
      <c r="P2474" s="23"/>
      <c r="Q2474" s="23"/>
      <c r="R2474" s="23"/>
      <c r="S2474" s="16"/>
      <c r="T2474" s="23"/>
      <c r="U2474" s="23"/>
      <c r="V2474" s="23"/>
      <c r="W2474" s="16"/>
      <c r="X2474" s="23"/>
      <c r="Y2474" s="23"/>
      <c r="Z2474" s="23"/>
      <c r="AA2474" s="16"/>
      <c r="AB2474" s="23"/>
      <c r="AC2474" s="23"/>
      <c r="AD2474" s="23"/>
      <c r="AE2474" s="16"/>
      <c r="AF2474" s="23"/>
      <c r="AG2474" s="23"/>
      <c r="AH2474" s="23"/>
      <c r="AI2474" s="16"/>
      <c r="AJ2474" s="23"/>
      <c r="AK2474" s="23"/>
      <c r="AL2474" s="23"/>
      <c r="AM2474" s="16"/>
      <c r="AN2474" s="23"/>
      <c r="AO2474" s="23"/>
      <c r="AP2474" s="23"/>
      <c r="AQ2474" s="16"/>
      <c r="AR2474" s="23"/>
      <c r="AS2474" s="23"/>
      <c r="AT2474" s="23"/>
      <c r="AU2474" s="16"/>
      <c r="AV2474" s="23"/>
      <c r="AW2474" s="23"/>
      <c r="AX2474" s="23"/>
      <c r="AY2474" s="16"/>
      <c r="AZ2474" s="23"/>
      <c r="BA2474" s="23"/>
      <c r="BB2474" s="23"/>
      <c r="BC2474" s="16"/>
      <c r="BD2474" s="23"/>
      <c r="BE2474" s="23"/>
      <c r="BF2474" s="23"/>
      <c r="BG2474" s="16"/>
      <c r="BH2474" s="23"/>
      <c r="BI2474" s="23"/>
      <c r="BJ2474" s="23"/>
      <c r="BN2474" s="23"/>
      <c r="BO2474" s="23"/>
      <c r="BP2474" s="16"/>
      <c r="BQ2474" s="16"/>
      <c r="BR2474" s="23"/>
      <c r="BS2474" s="16"/>
      <c r="BT2474" s="16"/>
      <c r="BU2474" s="16"/>
      <c r="BV2474" s="16"/>
      <c r="BW2474" s="16"/>
      <c r="BX2474" s="16"/>
      <c r="BY2474" s="16"/>
    </row>
    <row r="2475">
      <c r="A2475" s="16"/>
      <c r="B2475" s="16"/>
      <c r="C2475" s="22"/>
      <c r="D2475" s="16"/>
      <c r="E2475" s="16"/>
      <c r="F2475" s="16"/>
      <c r="G2475" s="16"/>
      <c r="H2475" s="16"/>
      <c r="I2475" s="23"/>
      <c r="J2475" s="23"/>
      <c r="K2475" s="16"/>
      <c r="L2475" s="23"/>
      <c r="M2475" s="23"/>
      <c r="N2475" s="23"/>
      <c r="O2475" s="16"/>
      <c r="P2475" s="23"/>
      <c r="Q2475" s="23"/>
      <c r="R2475" s="23"/>
      <c r="S2475" s="16"/>
      <c r="T2475" s="23"/>
      <c r="U2475" s="23"/>
      <c r="V2475" s="23"/>
      <c r="W2475" s="16"/>
      <c r="X2475" s="23"/>
      <c r="Y2475" s="23"/>
      <c r="Z2475" s="23"/>
      <c r="AA2475" s="16"/>
      <c r="AB2475" s="23"/>
      <c r="AC2475" s="23"/>
      <c r="AD2475" s="23"/>
      <c r="AE2475" s="16"/>
      <c r="AF2475" s="23"/>
      <c r="AG2475" s="23"/>
      <c r="AH2475" s="23"/>
      <c r="AI2475" s="16"/>
      <c r="AJ2475" s="23"/>
      <c r="AK2475" s="23"/>
      <c r="AL2475" s="23"/>
      <c r="AM2475" s="16"/>
      <c r="AN2475" s="23"/>
      <c r="AO2475" s="23"/>
      <c r="AP2475" s="23"/>
      <c r="AQ2475" s="16"/>
      <c r="AR2475" s="23"/>
      <c r="AS2475" s="23"/>
      <c r="AT2475" s="23"/>
      <c r="AU2475" s="16"/>
      <c r="AV2475" s="23"/>
      <c r="AW2475" s="23"/>
      <c r="AX2475" s="23"/>
      <c r="AY2475" s="16"/>
      <c r="AZ2475" s="23"/>
      <c r="BA2475" s="23"/>
      <c r="BB2475" s="23"/>
      <c r="BC2475" s="16"/>
      <c r="BD2475" s="23"/>
      <c r="BE2475" s="23"/>
      <c r="BF2475" s="23"/>
      <c r="BG2475" s="16"/>
      <c r="BH2475" s="23"/>
      <c r="BI2475" s="23"/>
      <c r="BJ2475" s="23"/>
      <c r="BN2475" s="23"/>
      <c r="BO2475" s="23"/>
      <c r="BP2475" s="16"/>
      <c r="BQ2475" s="16"/>
      <c r="BR2475" s="23"/>
      <c r="BS2475" s="16"/>
      <c r="BT2475" s="16"/>
      <c r="BU2475" s="16"/>
      <c r="BV2475" s="16"/>
      <c r="BW2475" s="16"/>
      <c r="BX2475" s="16"/>
      <c r="BY2475" s="16"/>
    </row>
    <row r="2476">
      <c r="A2476" s="16"/>
      <c r="B2476" s="16"/>
      <c r="C2476" s="22"/>
      <c r="D2476" s="16"/>
      <c r="E2476" s="16"/>
      <c r="F2476" s="16"/>
      <c r="G2476" s="16"/>
      <c r="H2476" s="16"/>
      <c r="I2476" s="23"/>
      <c r="J2476" s="23"/>
      <c r="K2476" s="16"/>
      <c r="L2476" s="23"/>
      <c r="M2476" s="23"/>
      <c r="N2476" s="23"/>
      <c r="O2476" s="16"/>
      <c r="P2476" s="23"/>
      <c r="Q2476" s="23"/>
      <c r="R2476" s="23"/>
      <c r="S2476" s="16"/>
      <c r="T2476" s="23"/>
      <c r="U2476" s="23"/>
      <c r="V2476" s="23"/>
      <c r="W2476" s="16"/>
      <c r="X2476" s="23"/>
      <c r="Y2476" s="23"/>
      <c r="Z2476" s="23"/>
      <c r="AA2476" s="16"/>
      <c r="AB2476" s="23"/>
      <c r="AC2476" s="23"/>
      <c r="AD2476" s="23"/>
      <c r="AE2476" s="16"/>
      <c r="AF2476" s="23"/>
      <c r="AG2476" s="23"/>
      <c r="AH2476" s="23"/>
      <c r="AI2476" s="16"/>
      <c r="AJ2476" s="23"/>
      <c r="AK2476" s="23"/>
      <c r="AL2476" s="23"/>
      <c r="AM2476" s="16"/>
      <c r="AN2476" s="23"/>
      <c r="AO2476" s="23"/>
      <c r="AP2476" s="23"/>
      <c r="AQ2476" s="16"/>
      <c r="AR2476" s="23"/>
      <c r="AS2476" s="23"/>
      <c r="AT2476" s="23"/>
      <c r="AU2476" s="16"/>
      <c r="AV2476" s="23"/>
      <c r="AW2476" s="23"/>
      <c r="AX2476" s="23"/>
      <c r="AY2476" s="16"/>
      <c r="AZ2476" s="23"/>
      <c r="BA2476" s="23"/>
      <c r="BB2476" s="23"/>
      <c r="BC2476" s="16"/>
      <c r="BD2476" s="23"/>
      <c r="BE2476" s="23"/>
      <c r="BF2476" s="23"/>
      <c r="BG2476" s="16"/>
      <c r="BH2476" s="23"/>
      <c r="BI2476" s="23"/>
      <c r="BJ2476" s="23"/>
      <c r="BN2476" s="23"/>
      <c r="BO2476" s="23"/>
      <c r="BP2476" s="16"/>
      <c r="BQ2476" s="16"/>
      <c r="BR2476" s="23"/>
      <c r="BS2476" s="16"/>
      <c r="BT2476" s="16"/>
      <c r="BU2476" s="16"/>
      <c r="BV2476" s="16"/>
      <c r="BW2476" s="16"/>
      <c r="BX2476" s="16"/>
      <c r="BY2476" s="16"/>
    </row>
    <row r="2477">
      <c r="A2477" s="16"/>
      <c r="B2477" s="16"/>
      <c r="C2477" s="22"/>
      <c r="D2477" s="16"/>
      <c r="E2477" s="16"/>
      <c r="F2477" s="16"/>
      <c r="G2477" s="16"/>
      <c r="H2477" s="16"/>
      <c r="I2477" s="23"/>
      <c r="J2477" s="23"/>
      <c r="K2477" s="16"/>
      <c r="L2477" s="23"/>
      <c r="M2477" s="23"/>
      <c r="N2477" s="23"/>
      <c r="O2477" s="16"/>
      <c r="P2477" s="23"/>
      <c r="Q2477" s="23"/>
      <c r="R2477" s="23"/>
      <c r="S2477" s="16"/>
      <c r="T2477" s="23"/>
      <c r="U2477" s="23"/>
      <c r="V2477" s="23"/>
      <c r="W2477" s="16"/>
      <c r="X2477" s="23"/>
      <c r="Y2477" s="23"/>
      <c r="Z2477" s="23"/>
      <c r="AA2477" s="16"/>
      <c r="AB2477" s="23"/>
      <c r="AC2477" s="23"/>
      <c r="AD2477" s="23"/>
      <c r="AE2477" s="16"/>
      <c r="AF2477" s="23"/>
      <c r="AG2477" s="23"/>
      <c r="AH2477" s="23"/>
      <c r="AI2477" s="16"/>
      <c r="AJ2477" s="23"/>
      <c r="AK2477" s="23"/>
      <c r="AL2477" s="23"/>
      <c r="AM2477" s="16"/>
      <c r="AN2477" s="23"/>
      <c r="AO2477" s="23"/>
      <c r="AP2477" s="23"/>
      <c r="AQ2477" s="16"/>
      <c r="AR2477" s="23"/>
      <c r="AS2477" s="23"/>
      <c r="AT2477" s="23"/>
      <c r="AU2477" s="16"/>
      <c r="AV2477" s="23"/>
      <c r="AW2477" s="23"/>
      <c r="AX2477" s="23"/>
      <c r="AY2477" s="16"/>
      <c r="AZ2477" s="23"/>
      <c r="BA2477" s="23"/>
      <c r="BB2477" s="23"/>
      <c r="BC2477" s="16"/>
      <c r="BD2477" s="23"/>
      <c r="BE2477" s="23"/>
      <c r="BF2477" s="23"/>
      <c r="BG2477" s="16"/>
      <c r="BH2477" s="23"/>
      <c r="BI2477" s="23"/>
      <c r="BJ2477" s="23"/>
      <c r="BN2477" s="23"/>
      <c r="BO2477" s="23"/>
      <c r="BP2477" s="16"/>
      <c r="BQ2477" s="16"/>
      <c r="BR2477" s="23"/>
      <c r="BS2477" s="16"/>
      <c r="BT2477" s="16"/>
      <c r="BU2477" s="16"/>
      <c r="BV2477" s="16"/>
      <c r="BW2477" s="16"/>
      <c r="BX2477" s="16"/>
      <c r="BY2477" s="16"/>
    </row>
    <row r="2478">
      <c r="A2478" s="16"/>
      <c r="B2478" s="16"/>
      <c r="C2478" s="22"/>
      <c r="D2478" s="16"/>
      <c r="E2478" s="16"/>
      <c r="F2478" s="16"/>
      <c r="G2478" s="16"/>
      <c r="H2478" s="16"/>
      <c r="I2478" s="23"/>
      <c r="J2478" s="23"/>
      <c r="K2478" s="16"/>
      <c r="L2478" s="23"/>
      <c r="M2478" s="23"/>
      <c r="N2478" s="23"/>
      <c r="O2478" s="16"/>
      <c r="P2478" s="23"/>
      <c r="Q2478" s="23"/>
      <c r="R2478" s="23"/>
      <c r="S2478" s="16"/>
      <c r="T2478" s="23"/>
      <c r="U2478" s="23"/>
      <c r="V2478" s="23"/>
      <c r="W2478" s="16"/>
      <c r="X2478" s="23"/>
      <c r="Y2478" s="23"/>
      <c r="Z2478" s="23"/>
      <c r="AA2478" s="16"/>
      <c r="AB2478" s="23"/>
      <c r="AC2478" s="23"/>
      <c r="AD2478" s="23"/>
      <c r="AE2478" s="16"/>
      <c r="AF2478" s="23"/>
      <c r="AG2478" s="23"/>
      <c r="AH2478" s="23"/>
      <c r="AI2478" s="16"/>
      <c r="AJ2478" s="23"/>
      <c r="AK2478" s="23"/>
      <c r="AL2478" s="23"/>
      <c r="AM2478" s="16"/>
      <c r="AN2478" s="23"/>
      <c r="AO2478" s="23"/>
      <c r="AP2478" s="23"/>
      <c r="AQ2478" s="16"/>
      <c r="AR2478" s="23"/>
      <c r="AS2478" s="23"/>
      <c r="AT2478" s="23"/>
      <c r="AU2478" s="16"/>
      <c r="AV2478" s="23"/>
      <c r="AW2478" s="23"/>
      <c r="AX2478" s="23"/>
      <c r="AY2478" s="16"/>
      <c r="AZ2478" s="23"/>
      <c r="BA2478" s="23"/>
      <c r="BB2478" s="23"/>
      <c r="BC2478" s="16"/>
      <c r="BD2478" s="23"/>
      <c r="BE2478" s="23"/>
      <c r="BF2478" s="23"/>
      <c r="BG2478" s="16"/>
      <c r="BH2478" s="23"/>
      <c r="BI2478" s="23"/>
      <c r="BJ2478" s="23"/>
      <c r="BN2478" s="23"/>
      <c r="BO2478" s="23"/>
      <c r="BP2478" s="16"/>
      <c r="BQ2478" s="16"/>
      <c r="BR2478" s="23"/>
      <c r="BS2478" s="16"/>
      <c r="BT2478" s="16"/>
      <c r="BU2478" s="16"/>
      <c r="BV2478" s="16"/>
      <c r="BW2478" s="16"/>
      <c r="BX2478" s="16"/>
      <c r="BY2478" s="16"/>
    </row>
    <row r="2479">
      <c r="A2479" s="16"/>
      <c r="B2479" s="16"/>
      <c r="C2479" s="22"/>
      <c r="D2479" s="16"/>
      <c r="E2479" s="16"/>
      <c r="F2479" s="16"/>
      <c r="G2479" s="16"/>
      <c r="H2479" s="16"/>
      <c r="I2479" s="23"/>
      <c r="J2479" s="23"/>
      <c r="K2479" s="16"/>
      <c r="L2479" s="23"/>
      <c r="M2479" s="23"/>
      <c r="N2479" s="23"/>
      <c r="O2479" s="16"/>
      <c r="P2479" s="23"/>
      <c r="Q2479" s="23"/>
      <c r="R2479" s="23"/>
      <c r="S2479" s="16"/>
      <c r="T2479" s="23"/>
      <c r="U2479" s="23"/>
      <c r="V2479" s="23"/>
      <c r="W2479" s="16"/>
      <c r="X2479" s="23"/>
      <c r="Y2479" s="23"/>
      <c r="Z2479" s="23"/>
      <c r="AA2479" s="16"/>
      <c r="AB2479" s="23"/>
      <c r="AC2479" s="23"/>
      <c r="AD2479" s="23"/>
      <c r="AE2479" s="16"/>
      <c r="AF2479" s="23"/>
      <c r="AG2479" s="23"/>
      <c r="AH2479" s="23"/>
      <c r="AI2479" s="16"/>
      <c r="AJ2479" s="23"/>
      <c r="AK2479" s="23"/>
      <c r="AL2479" s="23"/>
      <c r="AM2479" s="16"/>
      <c r="AN2479" s="23"/>
      <c r="AO2479" s="23"/>
      <c r="AP2479" s="23"/>
      <c r="AQ2479" s="16"/>
      <c r="AR2479" s="23"/>
      <c r="AS2479" s="23"/>
      <c r="AT2479" s="23"/>
      <c r="AU2479" s="16"/>
      <c r="AV2479" s="23"/>
      <c r="AW2479" s="23"/>
      <c r="AX2479" s="23"/>
      <c r="AY2479" s="16"/>
      <c r="AZ2479" s="23"/>
      <c r="BA2479" s="23"/>
      <c r="BB2479" s="23"/>
      <c r="BC2479" s="16"/>
      <c r="BD2479" s="23"/>
      <c r="BE2479" s="23"/>
      <c r="BF2479" s="23"/>
      <c r="BG2479" s="16"/>
      <c r="BH2479" s="23"/>
      <c r="BI2479" s="23"/>
      <c r="BJ2479" s="23"/>
      <c r="BN2479" s="23"/>
      <c r="BO2479" s="23"/>
      <c r="BP2479" s="16"/>
      <c r="BQ2479" s="16"/>
      <c r="BR2479" s="23"/>
      <c r="BS2479" s="16"/>
      <c r="BT2479" s="16"/>
      <c r="BU2479" s="16"/>
      <c r="BV2479" s="16"/>
      <c r="BW2479" s="16"/>
      <c r="BX2479" s="16"/>
      <c r="BY2479" s="16"/>
    </row>
    <row r="2480">
      <c r="A2480" s="16"/>
      <c r="B2480" s="16"/>
      <c r="C2480" s="22"/>
      <c r="D2480" s="16"/>
      <c r="E2480" s="16"/>
      <c r="F2480" s="16"/>
      <c r="G2480" s="16"/>
      <c r="H2480" s="16"/>
      <c r="I2480" s="23"/>
      <c r="J2480" s="23"/>
      <c r="K2480" s="16"/>
      <c r="L2480" s="23"/>
      <c r="M2480" s="23"/>
      <c r="N2480" s="23"/>
      <c r="O2480" s="16"/>
      <c r="P2480" s="23"/>
      <c r="Q2480" s="23"/>
      <c r="R2480" s="23"/>
      <c r="S2480" s="16"/>
      <c r="T2480" s="23"/>
      <c r="U2480" s="23"/>
      <c r="V2480" s="23"/>
      <c r="W2480" s="16"/>
      <c r="X2480" s="23"/>
      <c r="Y2480" s="23"/>
      <c r="Z2480" s="23"/>
      <c r="AA2480" s="16"/>
      <c r="AB2480" s="23"/>
      <c r="AC2480" s="23"/>
      <c r="AD2480" s="23"/>
      <c r="AE2480" s="16"/>
      <c r="AF2480" s="23"/>
      <c r="AG2480" s="23"/>
      <c r="AH2480" s="23"/>
      <c r="AI2480" s="16"/>
      <c r="AJ2480" s="23"/>
      <c r="AK2480" s="23"/>
      <c r="AL2480" s="23"/>
      <c r="AM2480" s="16"/>
      <c r="AN2480" s="23"/>
      <c r="AO2480" s="23"/>
      <c r="AP2480" s="23"/>
      <c r="AQ2480" s="16"/>
      <c r="AR2480" s="23"/>
      <c r="AS2480" s="23"/>
      <c r="AT2480" s="23"/>
      <c r="AU2480" s="16"/>
      <c r="AV2480" s="23"/>
      <c r="AW2480" s="23"/>
      <c r="AX2480" s="23"/>
      <c r="AY2480" s="16"/>
      <c r="AZ2480" s="23"/>
      <c r="BA2480" s="23"/>
      <c r="BB2480" s="23"/>
      <c r="BC2480" s="16"/>
      <c r="BD2480" s="23"/>
      <c r="BE2480" s="23"/>
      <c r="BF2480" s="23"/>
      <c r="BG2480" s="16"/>
      <c r="BH2480" s="23"/>
      <c r="BI2480" s="23"/>
      <c r="BJ2480" s="23"/>
      <c r="BN2480" s="23"/>
      <c r="BO2480" s="23"/>
      <c r="BP2480" s="16"/>
      <c r="BQ2480" s="16"/>
      <c r="BR2480" s="23"/>
      <c r="BS2480" s="16"/>
      <c r="BT2480" s="16"/>
      <c r="BU2480" s="16"/>
      <c r="BV2480" s="16"/>
      <c r="BW2480" s="16"/>
      <c r="BX2480" s="16"/>
      <c r="BY2480" s="16"/>
    </row>
    <row r="2481">
      <c r="A2481" s="16"/>
      <c r="B2481" s="16"/>
      <c r="C2481" s="22"/>
      <c r="D2481" s="16"/>
      <c r="E2481" s="16"/>
      <c r="F2481" s="16"/>
      <c r="G2481" s="16"/>
      <c r="H2481" s="16"/>
      <c r="I2481" s="23"/>
      <c r="J2481" s="23"/>
      <c r="K2481" s="16"/>
      <c r="L2481" s="23"/>
      <c r="M2481" s="23"/>
      <c r="N2481" s="23"/>
      <c r="O2481" s="16"/>
      <c r="P2481" s="23"/>
      <c r="Q2481" s="23"/>
      <c r="R2481" s="23"/>
      <c r="S2481" s="16"/>
      <c r="T2481" s="23"/>
      <c r="U2481" s="23"/>
      <c r="V2481" s="23"/>
      <c r="W2481" s="16"/>
      <c r="X2481" s="23"/>
      <c r="Y2481" s="23"/>
      <c r="Z2481" s="23"/>
      <c r="AA2481" s="16"/>
      <c r="AB2481" s="23"/>
      <c r="AC2481" s="23"/>
      <c r="AD2481" s="23"/>
      <c r="AE2481" s="16"/>
      <c r="AF2481" s="23"/>
      <c r="AG2481" s="23"/>
      <c r="AH2481" s="23"/>
      <c r="AI2481" s="16"/>
      <c r="AJ2481" s="23"/>
      <c r="AK2481" s="23"/>
      <c r="AL2481" s="23"/>
      <c r="AM2481" s="16"/>
      <c r="AN2481" s="23"/>
      <c r="AO2481" s="23"/>
      <c r="AP2481" s="23"/>
      <c r="AQ2481" s="16"/>
      <c r="AR2481" s="23"/>
      <c r="AS2481" s="23"/>
      <c r="AT2481" s="23"/>
      <c r="AU2481" s="16"/>
      <c r="AV2481" s="23"/>
      <c r="AW2481" s="23"/>
      <c r="AX2481" s="23"/>
      <c r="AY2481" s="16"/>
      <c r="AZ2481" s="23"/>
      <c r="BA2481" s="23"/>
      <c r="BB2481" s="23"/>
      <c r="BC2481" s="16"/>
      <c r="BD2481" s="23"/>
      <c r="BE2481" s="23"/>
      <c r="BF2481" s="23"/>
      <c r="BG2481" s="16"/>
      <c r="BH2481" s="23"/>
      <c r="BI2481" s="23"/>
      <c r="BJ2481" s="23"/>
      <c r="BN2481" s="23"/>
      <c r="BO2481" s="23"/>
      <c r="BP2481" s="16"/>
      <c r="BQ2481" s="16"/>
      <c r="BR2481" s="23"/>
      <c r="BS2481" s="16"/>
      <c r="BT2481" s="16"/>
      <c r="BU2481" s="16"/>
      <c r="BV2481" s="16"/>
      <c r="BW2481" s="16"/>
      <c r="BX2481" s="16"/>
      <c r="BY2481" s="16"/>
    </row>
    <row r="2482">
      <c r="A2482" s="16"/>
      <c r="B2482" s="16"/>
      <c r="C2482" s="22"/>
      <c r="D2482" s="16"/>
      <c r="E2482" s="16"/>
      <c r="F2482" s="16"/>
      <c r="G2482" s="16"/>
      <c r="H2482" s="16"/>
      <c r="I2482" s="23"/>
      <c r="J2482" s="23"/>
      <c r="K2482" s="16"/>
      <c r="L2482" s="23"/>
      <c r="M2482" s="23"/>
      <c r="N2482" s="23"/>
      <c r="O2482" s="16"/>
      <c r="P2482" s="23"/>
      <c r="Q2482" s="23"/>
      <c r="R2482" s="23"/>
      <c r="S2482" s="16"/>
      <c r="T2482" s="23"/>
      <c r="U2482" s="23"/>
      <c r="V2482" s="23"/>
      <c r="W2482" s="16"/>
      <c r="X2482" s="23"/>
      <c r="Y2482" s="23"/>
      <c r="Z2482" s="23"/>
      <c r="AA2482" s="16"/>
      <c r="AB2482" s="23"/>
      <c r="AC2482" s="23"/>
      <c r="AD2482" s="23"/>
      <c r="AE2482" s="16"/>
      <c r="AF2482" s="23"/>
      <c r="AG2482" s="23"/>
      <c r="AH2482" s="23"/>
      <c r="AI2482" s="16"/>
      <c r="AJ2482" s="23"/>
      <c r="AK2482" s="23"/>
      <c r="AL2482" s="23"/>
      <c r="AM2482" s="16"/>
      <c r="AN2482" s="23"/>
      <c r="AO2482" s="23"/>
      <c r="AP2482" s="23"/>
      <c r="AQ2482" s="16"/>
      <c r="AR2482" s="23"/>
      <c r="AS2482" s="23"/>
      <c r="AT2482" s="23"/>
      <c r="AU2482" s="16"/>
      <c r="AV2482" s="23"/>
      <c r="AW2482" s="23"/>
      <c r="AX2482" s="23"/>
      <c r="AY2482" s="16"/>
      <c r="AZ2482" s="23"/>
      <c r="BA2482" s="23"/>
      <c r="BB2482" s="23"/>
      <c r="BC2482" s="16"/>
      <c r="BD2482" s="23"/>
      <c r="BE2482" s="23"/>
      <c r="BF2482" s="23"/>
      <c r="BG2482" s="16"/>
      <c r="BH2482" s="23"/>
      <c r="BI2482" s="23"/>
      <c r="BJ2482" s="23"/>
      <c r="BN2482" s="23"/>
      <c r="BO2482" s="23"/>
      <c r="BP2482" s="16"/>
      <c r="BQ2482" s="16"/>
      <c r="BR2482" s="23"/>
      <c r="BS2482" s="16"/>
      <c r="BT2482" s="16"/>
      <c r="BU2482" s="16"/>
      <c r="BV2482" s="16"/>
      <c r="BW2482" s="16"/>
      <c r="BX2482" s="16"/>
      <c r="BY2482" s="16"/>
    </row>
    <row r="2483">
      <c r="A2483" s="16"/>
      <c r="B2483" s="16"/>
      <c r="C2483" s="22"/>
      <c r="D2483" s="16"/>
      <c r="E2483" s="16"/>
      <c r="F2483" s="16"/>
      <c r="G2483" s="16"/>
      <c r="H2483" s="16"/>
      <c r="I2483" s="23"/>
      <c r="J2483" s="23"/>
      <c r="K2483" s="16"/>
      <c r="L2483" s="23"/>
      <c r="M2483" s="23"/>
      <c r="N2483" s="23"/>
      <c r="O2483" s="16"/>
      <c r="P2483" s="23"/>
      <c r="Q2483" s="23"/>
      <c r="R2483" s="23"/>
      <c r="S2483" s="16"/>
      <c r="T2483" s="23"/>
      <c r="U2483" s="23"/>
      <c r="V2483" s="23"/>
      <c r="W2483" s="16"/>
      <c r="X2483" s="23"/>
      <c r="Y2483" s="23"/>
      <c r="Z2483" s="23"/>
      <c r="AA2483" s="16"/>
      <c r="AB2483" s="23"/>
      <c r="AC2483" s="23"/>
      <c r="AD2483" s="23"/>
      <c r="AE2483" s="16"/>
      <c r="AF2483" s="23"/>
      <c r="AG2483" s="23"/>
      <c r="AH2483" s="23"/>
      <c r="AI2483" s="16"/>
      <c r="AJ2483" s="23"/>
      <c r="AK2483" s="23"/>
      <c r="AL2483" s="23"/>
      <c r="AM2483" s="16"/>
      <c r="AN2483" s="23"/>
      <c r="AO2483" s="23"/>
      <c r="AP2483" s="23"/>
      <c r="AQ2483" s="16"/>
      <c r="AR2483" s="23"/>
      <c r="AS2483" s="23"/>
      <c r="AT2483" s="23"/>
      <c r="AU2483" s="16"/>
      <c r="AV2483" s="23"/>
      <c r="AW2483" s="23"/>
      <c r="AX2483" s="23"/>
      <c r="AY2483" s="16"/>
      <c r="AZ2483" s="23"/>
      <c r="BA2483" s="23"/>
      <c r="BB2483" s="23"/>
      <c r="BC2483" s="16"/>
      <c r="BD2483" s="23"/>
      <c r="BE2483" s="23"/>
      <c r="BF2483" s="23"/>
      <c r="BG2483" s="16"/>
      <c r="BH2483" s="23"/>
      <c r="BI2483" s="23"/>
      <c r="BJ2483" s="23"/>
      <c r="BN2483" s="23"/>
      <c r="BO2483" s="23"/>
      <c r="BP2483" s="16"/>
      <c r="BQ2483" s="16"/>
      <c r="BR2483" s="23"/>
      <c r="BS2483" s="16"/>
      <c r="BT2483" s="16"/>
      <c r="BU2483" s="16"/>
      <c r="BV2483" s="16"/>
      <c r="BW2483" s="16"/>
      <c r="BX2483" s="16"/>
      <c r="BY2483" s="16"/>
    </row>
    <row r="2484">
      <c r="A2484" s="16"/>
      <c r="B2484" s="16"/>
      <c r="C2484" s="22"/>
      <c r="D2484" s="16"/>
      <c r="E2484" s="16"/>
      <c r="F2484" s="16"/>
      <c r="G2484" s="16"/>
      <c r="H2484" s="16"/>
      <c r="I2484" s="23"/>
      <c r="J2484" s="23"/>
      <c r="K2484" s="16"/>
      <c r="L2484" s="23"/>
      <c r="M2484" s="23"/>
      <c r="N2484" s="23"/>
      <c r="O2484" s="16"/>
      <c r="P2484" s="23"/>
      <c r="Q2484" s="23"/>
      <c r="R2484" s="23"/>
      <c r="S2484" s="16"/>
      <c r="T2484" s="23"/>
      <c r="U2484" s="23"/>
      <c r="V2484" s="23"/>
      <c r="W2484" s="16"/>
      <c r="X2484" s="23"/>
      <c r="Y2484" s="23"/>
      <c r="Z2484" s="23"/>
      <c r="AA2484" s="16"/>
      <c r="AB2484" s="23"/>
      <c r="AC2484" s="23"/>
      <c r="AD2484" s="23"/>
      <c r="AE2484" s="16"/>
      <c r="AF2484" s="23"/>
      <c r="AG2484" s="23"/>
      <c r="AH2484" s="23"/>
      <c r="AI2484" s="16"/>
      <c r="AJ2484" s="23"/>
      <c r="AK2484" s="23"/>
      <c r="AL2484" s="23"/>
      <c r="AM2484" s="16"/>
      <c r="AN2484" s="23"/>
      <c r="AO2484" s="23"/>
      <c r="AP2484" s="23"/>
      <c r="AQ2484" s="16"/>
      <c r="AR2484" s="23"/>
      <c r="AS2484" s="23"/>
      <c r="AT2484" s="23"/>
      <c r="AU2484" s="16"/>
      <c r="AV2484" s="23"/>
      <c r="AW2484" s="23"/>
      <c r="AX2484" s="23"/>
      <c r="AY2484" s="16"/>
      <c r="AZ2484" s="23"/>
      <c r="BA2484" s="23"/>
      <c r="BB2484" s="23"/>
      <c r="BC2484" s="16"/>
      <c r="BD2484" s="23"/>
      <c r="BE2484" s="23"/>
      <c r="BF2484" s="23"/>
      <c r="BG2484" s="16"/>
      <c r="BH2484" s="23"/>
      <c r="BI2484" s="23"/>
      <c r="BJ2484" s="23"/>
      <c r="BN2484" s="23"/>
      <c r="BO2484" s="23"/>
      <c r="BP2484" s="16"/>
      <c r="BQ2484" s="16"/>
      <c r="BR2484" s="23"/>
      <c r="BS2484" s="16"/>
      <c r="BT2484" s="16"/>
      <c r="BU2484" s="16"/>
      <c r="BV2484" s="16"/>
      <c r="BW2484" s="16"/>
      <c r="BX2484" s="16"/>
      <c r="BY2484" s="16"/>
    </row>
    <row r="2485">
      <c r="A2485" s="16"/>
      <c r="B2485" s="16"/>
      <c r="C2485" s="22"/>
      <c r="D2485" s="16"/>
      <c r="E2485" s="16"/>
      <c r="F2485" s="16"/>
      <c r="G2485" s="16"/>
      <c r="H2485" s="16"/>
      <c r="I2485" s="23"/>
      <c r="J2485" s="23"/>
      <c r="K2485" s="16"/>
      <c r="L2485" s="23"/>
      <c r="M2485" s="23"/>
      <c r="N2485" s="23"/>
      <c r="O2485" s="16"/>
      <c r="P2485" s="23"/>
      <c r="Q2485" s="23"/>
      <c r="R2485" s="23"/>
      <c r="S2485" s="16"/>
      <c r="T2485" s="23"/>
      <c r="U2485" s="23"/>
      <c r="V2485" s="23"/>
      <c r="W2485" s="16"/>
      <c r="X2485" s="23"/>
      <c r="Y2485" s="23"/>
      <c r="Z2485" s="23"/>
      <c r="AA2485" s="16"/>
      <c r="AB2485" s="23"/>
      <c r="AC2485" s="23"/>
      <c r="AD2485" s="23"/>
      <c r="AE2485" s="16"/>
      <c r="AF2485" s="23"/>
      <c r="AG2485" s="23"/>
      <c r="AH2485" s="23"/>
      <c r="AI2485" s="16"/>
      <c r="AJ2485" s="23"/>
      <c r="AK2485" s="23"/>
      <c r="AL2485" s="23"/>
      <c r="AM2485" s="16"/>
      <c r="AN2485" s="23"/>
      <c r="AO2485" s="23"/>
      <c r="AP2485" s="23"/>
      <c r="AQ2485" s="16"/>
      <c r="AR2485" s="23"/>
      <c r="AS2485" s="23"/>
      <c r="AT2485" s="23"/>
      <c r="AU2485" s="16"/>
      <c r="AV2485" s="23"/>
      <c r="AW2485" s="23"/>
      <c r="AX2485" s="23"/>
      <c r="AY2485" s="16"/>
      <c r="AZ2485" s="23"/>
      <c r="BA2485" s="23"/>
      <c r="BB2485" s="23"/>
      <c r="BC2485" s="16"/>
      <c r="BD2485" s="23"/>
      <c r="BE2485" s="23"/>
      <c r="BF2485" s="23"/>
      <c r="BG2485" s="16"/>
      <c r="BH2485" s="23"/>
      <c r="BI2485" s="23"/>
      <c r="BJ2485" s="23"/>
      <c r="BN2485" s="23"/>
      <c r="BO2485" s="23"/>
      <c r="BP2485" s="16"/>
      <c r="BQ2485" s="16"/>
      <c r="BR2485" s="23"/>
      <c r="BS2485" s="16"/>
      <c r="BT2485" s="16"/>
      <c r="BU2485" s="16"/>
      <c r="BV2485" s="16"/>
      <c r="BW2485" s="16"/>
      <c r="BX2485" s="16"/>
      <c r="BY2485" s="16"/>
    </row>
    <row r="2486">
      <c r="A2486" s="16"/>
      <c r="B2486" s="16"/>
      <c r="C2486" s="22"/>
      <c r="D2486" s="16"/>
      <c r="E2486" s="16"/>
      <c r="F2486" s="16"/>
      <c r="G2486" s="16"/>
      <c r="H2486" s="16"/>
      <c r="I2486" s="23"/>
      <c r="J2486" s="23"/>
      <c r="K2486" s="16"/>
      <c r="L2486" s="23"/>
      <c r="M2486" s="23"/>
      <c r="N2486" s="23"/>
      <c r="O2486" s="16"/>
      <c r="P2486" s="23"/>
      <c r="Q2486" s="23"/>
      <c r="R2486" s="23"/>
      <c r="S2486" s="16"/>
      <c r="T2486" s="23"/>
      <c r="U2486" s="23"/>
      <c r="V2486" s="23"/>
      <c r="W2486" s="16"/>
      <c r="X2486" s="23"/>
      <c r="Y2486" s="23"/>
      <c r="Z2486" s="23"/>
      <c r="AA2486" s="16"/>
      <c r="AB2486" s="23"/>
      <c r="AC2486" s="23"/>
      <c r="AD2486" s="23"/>
      <c r="AE2486" s="16"/>
      <c r="AF2486" s="23"/>
      <c r="AG2486" s="23"/>
      <c r="AH2486" s="23"/>
      <c r="AI2486" s="16"/>
      <c r="AJ2486" s="23"/>
      <c r="AK2486" s="23"/>
      <c r="AL2486" s="23"/>
      <c r="AM2486" s="16"/>
      <c r="AN2486" s="23"/>
      <c r="AO2486" s="23"/>
      <c r="AP2486" s="23"/>
      <c r="AQ2486" s="16"/>
      <c r="AR2486" s="23"/>
      <c r="AS2486" s="23"/>
      <c r="AT2486" s="23"/>
      <c r="AU2486" s="16"/>
      <c r="AV2486" s="23"/>
      <c r="AW2486" s="23"/>
      <c r="AX2486" s="23"/>
      <c r="AY2486" s="16"/>
      <c r="AZ2486" s="23"/>
      <c r="BA2486" s="23"/>
      <c r="BB2486" s="23"/>
      <c r="BC2486" s="16"/>
      <c r="BD2486" s="23"/>
      <c r="BE2486" s="23"/>
      <c r="BF2486" s="23"/>
      <c r="BG2486" s="16"/>
      <c r="BH2486" s="23"/>
      <c r="BI2486" s="23"/>
      <c r="BJ2486" s="23"/>
      <c r="BN2486" s="23"/>
      <c r="BO2486" s="23"/>
      <c r="BP2486" s="16"/>
      <c r="BQ2486" s="16"/>
      <c r="BR2486" s="23"/>
      <c r="BS2486" s="16"/>
      <c r="BT2486" s="16"/>
      <c r="BU2486" s="16"/>
      <c r="BV2486" s="16"/>
      <c r="BW2486" s="16"/>
      <c r="BX2486" s="16"/>
      <c r="BY2486" s="16"/>
    </row>
    <row r="2487">
      <c r="A2487" s="16"/>
      <c r="B2487" s="16"/>
      <c r="C2487" s="22"/>
      <c r="D2487" s="16"/>
      <c r="E2487" s="16"/>
      <c r="F2487" s="16"/>
      <c r="G2487" s="16"/>
      <c r="H2487" s="16"/>
      <c r="I2487" s="23"/>
      <c r="J2487" s="23"/>
      <c r="K2487" s="16"/>
      <c r="L2487" s="23"/>
      <c r="M2487" s="23"/>
      <c r="N2487" s="23"/>
      <c r="O2487" s="16"/>
      <c r="P2487" s="23"/>
      <c r="Q2487" s="23"/>
      <c r="R2487" s="23"/>
      <c r="S2487" s="16"/>
      <c r="T2487" s="23"/>
      <c r="U2487" s="23"/>
      <c r="V2487" s="23"/>
      <c r="W2487" s="16"/>
      <c r="X2487" s="23"/>
      <c r="Y2487" s="23"/>
      <c r="Z2487" s="23"/>
      <c r="AA2487" s="16"/>
      <c r="AB2487" s="23"/>
      <c r="AC2487" s="23"/>
      <c r="AD2487" s="23"/>
      <c r="AE2487" s="16"/>
      <c r="AF2487" s="23"/>
      <c r="AG2487" s="23"/>
      <c r="AH2487" s="23"/>
      <c r="AI2487" s="16"/>
      <c r="AJ2487" s="23"/>
      <c r="AK2487" s="23"/>
      <c r="AL2487" s="23"/>
      <c r="AM2487" s="16"/>
      <c r="AN2487" s="23"/>
      <c r="AO2487" s="23"/>
      <c r="AP2487" s="23"/>
      <c r="AQ2487" s="16"/>
      <c r="AR2487" s="23"/>
      <c r="AS2487" s="23"/>
      <c r="AT2487" s="23"/>
      <c r="AU2487" s="16"/>
      <c r="AV2487" s="23"/>
      <c r="AW2487" s="23"/>
      <c r="AX2487" s="23"/>
      <c r="AY2487" s="16"/>
      <c r="AZ2487" s="23"/>
      <c r="BA2487" s="23"/>
      <c r="BB2487" s="23"/>
      <c r="BC2487" s="16"/>
      <c r="BD2487" s="23"/>
      <c r="BE2487" s="23"/>
      <c r="BF2487" s="23"/>
      <c r="BG2487" s="16"/>
      <c r="BH2487" s="23"/>
      <c r="BI2487" s="23"/>
      <c r="BJ2487" s="23"/>
      <c r="BN2487" s="23"/>
      <c r="BO2487" s="23"/>
      <c r="BP2487" s="16"/>
      <c r="BQ2487" s="16"/>
      <c r="BR2487" s="23"/>
      <c r="BS2487" s="16"/>
      <c r="BT2487" s="16"/>
      <c r="BU2487" s="16"/>
      <c r="BV2487" s="16"/>
      <c r="BW2487" s="16"/>
      <c r="BX2487" s="16"/>
      <c r="BY2487" s="16"/>
    </row>
    <row r="2488">
      <c r="A2488" s="16"/>
      <c r="B2488" s="16"/>
      <c r="C2488" s="22"/>
      <c r="D2488" s="16"/>
      <c r="E2488" s="16"/>
      <c r="F2488" s="16"/>
      <c r="G2488" s="16"/>
      <c r="H2488" s="16"/>
      <c r="I2488" s="23"/>
      <c r="J2488" s="23"/>
      <c r="K2488" s="16"/>
      <c r="L2488" s="23"/>
      <c r="M2488" s="23"/>
      <c r="N2488" s="23"/>
      <c r="O2488" s="16"/>
      <c r="P2488" s="23"/>
      <c r="Q2488" s="23"/>
      <c r="R2488" s="23"/>
      <c r="S2488" s="16"/>
      <c r="T2488" s="23"/>
      <c r="U2488" s="23"/>
      <c r="V2488" s="23"/>
      <c r="W2488" s="16"/>
      <c r="X2488" s="23"/>
      <c r="Y2488" s="23"/>
      <c r="Z2488" s="23"/>
      <c r="AA2488" s="16"/>
      <c r="AB2488" s="23"/>
      <c r="AC2488" s="23"/>
      <c r="AD2488" s="23"/>
      <c r="AE2488" s="16"/>
      <c r="AF2488" s="23"/>
      <c r="AG2488" s="23"/>
      <c r="AH2488" s="23"/>
      <c r="AI2488" s="16"/>
      <c r="AJ2488" s="23"/>
      <c r="AK2488" s="23"/>
      <c r="AL2488" s="23"/>
      <c r="AM2488" s="16"/>
      <c r="AN2488" s="23"/>
      <c r="AO2488" s="23"/>
      <c r="AP2488" s="23"/>
      <c r="AQ2488" s="16"/>
      <c r="AR2488" s="23"/>
      <c r="AS2488" s="23"/>
      <c r="AT2488" s="23"/>
      <c r="AU2488" s="16"/>
      <c r="AV2488" s="23"/>
      <c r="AW2488" s="23"/>
      <c r="AX2488" s="23"/>
      <c r="AY2488" s="16"/>
      <c r="AZ2488" s="23"/>
      <c r="BA2488" s="23"/>
      <c r="BB2488" s="23"/>
      <c r="BC2488" s="16"/>
      <c r="BD2488" s="23"/>
      <c r="BE2488" s="23"/>
      <c r="BF2488" s="23"/>
      <c r="BG2488" s="16"/>
      <c r="BH2488" s="23"/>
      <c r="BI2488" s="23"/>
      <c r="BJ2488" s="23"/>
      <c r="BN2488" s="23"/>
      <c r="BO2488" s="23"/>
      <c r="BP2488" s="16"/>
      <c r="BQ2488" s="16"/>
      <c r="BR2488" s="23"/>
      <c r="BS2488" s="16"/>
      <c r="BT2488" s="16"/>
      <c r="BU2488" s="16"/>
      <c r="BV2488" s="16"/>
      <c r="BW2488" s="16"/>
      <c r="BX2488" s="16"/>
      <c r="BY2488" s="16"/>
    </row>
    <row r="2489">
      <c r="A2489" s="16"/>
      <c r="B2489" s="16"/>
      <c r="C2489" s="22"/>
      <c r="D2489" s="16"/>
      <c r="E2489" s="16"/>
      <c r="F2489" s="16"/>
      <c r="G2489" s="16"/>
      <c r="H2489" s="16"/>
      <c r="I2489" s="23"/>
      <c r="J2489" s="23"/>
      <c r="K2489" s="16"/>
      <c r="L2489" s="23"/>
      <c r="M2489" s="23"/>
      <c r="N2489" s="23"/>
      <c r="O2489" s="16"/>
      <c r="P2489" s="23"/>
      <c r="Q2489" s="23"/>
      <c r="R2489" s="23"/>
      <c r="S2489" s="16"/>
      <c r="T2489" s="23"/>
      <c r="U2489" s="23"/>
      <c r="V2489" s="23"/>
      <c r="W2489" s="16"/>
      <c r="X2489" s="23"/>
      <c r="Y2489" s="23"/>
      <c r="Z2489" s="23"/>
      <c r="AA2489" s="16"/>
      <c r="AB2489" s="23"/>
      <c r="AC2489" s="23"/>
      <c r="AD2489" s="23"/>
      <c r="AE2489" s="16"/>
      <c r="AF2489" s="23"/>
      <c r="AG2489" s="23"/>
      <c r="AH2489" s="23"/>
      <c r="AI2489" s="16"/>
      <c r="AJ2489" s="23"/>
      <c r="AK2489" s="23"/>
      <c r="AL2489" s="23"/>
      <c r="AM2489" s="16"/>
      <c r="AN2489" s="23"/>
      <c r="AO2489" s="23"/>
      <c r="AP2489" s="23"/>
      <c r="AQ2489" s="16"/>
      <c r="AR2489" s="23"/>
      <c r="AS2489" s="23"/>
      <c r="AT2489" s="23"/>
      <c r="AU2489" s="16"/>
      <c r="AV2489" s="23"/>
      <c r="AW2489" s="23"/>
      <c r="AX2489" s="23"/>
      <c r="AY2489" s="16"/>
      <c r="AZ2489" s="23"/>
      <c r="BA2489" s="23"/>
      <c r="BB2489" s="23"/>
      <c r="BC2489" s="16"/>
      <c r="BD2489" s="23"/>
      <c r="BE2489" s="23"/>
      <c r="BF2489" s="23"/>
      <c r="BG2489" s="16"/>
      <c r="BH2489" s="23"/>
      <c r="BI2489" s="23"/>
      <c r="BJ2489" s="23"/>
      <c r="BN2489" s="23"/>
      <c r="BO2489" s="23"/>
      <c r="BP2489" s="16"/>
      <c r="BQ2489" s="16"/>
      <c r="BR2489" s="23"/>
      <c r="BS2489" s="16"/>
      <c r="BT2489" s="16"/>
      <c r="BU2489" s="16"/>
      <c r="BV2489" s="16"/>
      <c r="BW2489" s="16"/>
      <c r="BX2489" s="16"/>
      <c r="BY2489" s="16"/>
    </row>
    <row r="2490">
      <c r="A2490" s="16"/>
      <c r="B2490" s="16"/>
      <c r="C2490" s="22"/>
      <c r="D2490" s="16"/>
      <c r="E2490" s="16"/>
      <c r="F2490" s="16"/>
      <c r="G2490" s="16"/>
      <c r="H2490" s="16"/>
      <c r="I2490" s="23"/>
      <c r="J2490" s="23"/>
      <c r="K2490" s="16"/>
      <c r="L2490" s="23"/>
      <c r="M2490" s="23"/>
      <c r="N2490" s="23"/>
      <c r="O2490" s="16"/>
      <c r="P2490" s="23"/>
      <c r="Q2490" s="23"/>
      <c r="R2490" s="23"/>
      <c r="S2490" s="16"/>
      <c r="T2490" s="23"/>
      <c r="U2490" s="23"/>
      <c r="V2490" s="23"/>
      <c r="W2490" s="16"/>
      <c r="X2490" s="23"/>
      <c r="Y2490" s="23"/>
      <c r="Z2490" s="23"/>
      <c r="AA2490" s="16"/>
      <c r="AB2490" s="23"/>
      <c r="AC2490" s="23"/>
      <c r="AD2490" s="23"/>
      <c r="AE2490" s="16"/>
      <c r="AF2490" s="23"/>
      <c r="AG2490" s="23"/>
      <c r="AH2490" s="23"/>
      <c r="AI2490" s="16"/>
      <c r="AJ2490" s="23"/>
      <c r="AK2490" s="23"/>
      <c r="AL2490" s="23"/>
      <c r="AM2490" s="16"/>
      <c r="AN2490" s="23"/>
      <c r="AO2490" s="23"/>
      <c r="AP2490" s="23"/>
      <c r="AQ2490" s="16"/>
      <c r="AR2490" s="23"/>
      <c r="AS2490" s="23"/>
      <c r="AT2490" s="23"/>
      <c r="AU2490" s="16"/>
      <c r="AV2490" s="23"/>
      <c r="AW2490" s="23"/>
      <c r="AX2490" s="23"/>
      <c r="AY2490" s="16"/>
      <c r="AZ2490" s="23"/>
      <c r="BA2490" s="23"/>
      <c r="BB2490" s="23"/>
      <c r="BC2490" s="16"/>
      <c r="BD2490" s="23"/>
      <c r="BE2490" s="23"/>
      <c r="BF2490" s="23"/>
      <c r="BG2490" s="16"/>
      <c r="BH2490" s="23"/>
      <c r="BI2490" s="23"/>
      <c r="BJ2490" s="23"/>
      <c r="BN2490" s="23"/>
      <c r="BO2490" s="23"/>
      <c r="BP2490" s="16"/>
      <c r="BQ2490" s="16"/>
      <c r="BR2490" s="23"/>
      <c r="BS2490" s="16"/>
      <c r="BT2490" s="16"/>
      <c r="BU2490" s="16"/>
      <c r="BV2490" s="16"/>
      <c r="BW2490" s="16"/>
      <c r="BX2490" s="16"/>
      <c r="BY2490" s="16"/>
    </row>
    <row r="2491">
      <c r="A2491" s="16"/>
      <c r="B2491" s="16"/>
      <c r="C2491" s="22"/>
      <c r="D2491" s="16"/>
      <c r="E2491" s="16"/>
      <c r="F2491" s="16"/>
      <c r="G2491" s="16"/>
      <c r="H2491" s="16"/>
      <c r="I2491" s="23"/>
      <c r="J2491" s="23"/>
      <c r="K2491" s="16"/>
      <c r="L2491" s="23"/>
      <c r="M2491" s="23"/>
      <c r="N2491" s="23"/>
      <c r="O2491" s="16"/>
      <c r="P2491" s="23"/>
      <c r="Q2491" s="23"/>
      <c r="R2491" s="23"/>
      <c r="S2491" s="16"/>
      <c r="T2491" s="23"/>
      <c r="U2491" s="23"/>
      <c r="V2491" s="23"/>
      <c r="W2491" s="16"/>
      <c r="X2491" s="23"/>
      <c r="Y2491" s="23"/>
      <c r="Z2491" s="23"/>
      <c r="AA2491" s="16"/>
      <c r="AB2491" s="23"/>
      <c r="AC2491" s="23"/>
      <c r="AD2491" s="23"/>
      <c r="AE2491" s="16"/>
      <c r="AF2491" s="23"/>
      <c r="AG2491" s="23"/>
      <c r="AH2491" s="23"/>
      <c r="AI2491" s="16"/>
      <c r="AJ2491" s="23"/>
      <c r="AK2491" s="23"/>
      <c r="AL2491" s="23"/>
      <c r="AM2491" s="16"/>
      <c r="AN2491" s="23"/>
      <c r="AO2491" s="23"/>
      <c r="AP2491" s="23"/>
      <c r="AQ2491" s="16"/>
      <c r="AR2491" s="23"/>
      <c r="AS2491" s="23"/>
      <c r="AT2491" s="23"/>
      <c r="AU2491" s="16"/>
      <c r="AV2491" s="23"/>
      <c r="AW2491" s="23"/>
      <c r="AX2491" s="23"/>
      <c r="AY2491" s="16"/>
      <c r="AZ2491" s="23"/>
      <c r="BA2491" s="23"/>
      <c r="BB2491" s="23"/>
      <c r="BC2491" s="16"/>
      <c r="BD2491" s="23"/>
      <c r="BE2491" s="23"/>
      <c r="BF2491" s="23"/>
      <c r="BG2491" s="16"/>
      <c r="BH2491" s="23"/>
      <c r="BI2491" s="23"/>
      <c r="BJ2491" s="23"/>
      <c r="BN2491" s="23"/>
      <c r="BO2491" s="23"/>
      <c r="BP2491" s="16"/>
      <c r="BQ2491" s="16"/>
      <c r="BR2491" s="23"/>
      <c r="BS2491" s="16"/>
      <c r="BT2491" s="16"/>
      <c r="BU2491" s="16"/>
      <c r="BV2491" s="16"/>
      <c r="BW2491" s="16"/>
      <c r="BX2491" s="16"/>
      <c r="BY2491" s="16"/>
    </row>
    <row r="2492">
      <c r="A2492" s="16"/>
      <c r="B2492" s="16"/>
      <c r="C2492" s="22"/>
      <c r="D2492" s="16"/>
      <c r="E2492" s="16"/>
      <c r="F2492" s="16"/>
      <c r="G2492" s="16"/>
      <c r="H2492" s="16"/>
      <c r="I2492" s="23"/>
      <c r="J2492" s="23"/>
      <c r="K2492" s="16"/>
      <c r="L2492" s="23"/>
      <c r="M2492" s="23"/>
      <c r="N2492" s="23"/>
      <c r="O2492" s="16"/>
      <c r="P2492" s="23"/>
      <c r="Q2492" s="23"/>
      <c r="R2492" s="23"/>
      <c r="S2492" s="16"/>
      <c r="T2492" s="23"/>
      <c r="U2492" s="23"/>
      <c r="V2492" s="23"/>
      <c r="W2492" s="16"/>
      <c r="X2492" s="23"/>
      <c r="Y2492" s="23"/>
      <c r="Z2492" s="23"/>
      <c r="AA2492" s="16"/>
      <c r="AB2492" s="23"/>
      <c r="AC2492" s="23"/>
      <c r="AD2492" s="23"/>
      <c r="AE2492" s="16"/>
      <c r="AF2492" s="23"/>
      <c r="AG2492" s="23"/>
      <c r="AH2492" s="23"/>
      <c r="AI2492" s="16"/>
      <c r="AJ2492" s="23"/>
      <c r="AK2492" s="23"/>
      <c r="AL2492" s="23"/>
      <c r="AM2492" s="16"/>
      <c r="AN2492" s="23"/>
      <c r="AO2492" s="23"/>
      <c r="AP2492" s="23"/>
      <c r="AQ2492" s="16"/>
      <c r="AR2492" s="23"/>
      <c r="AS2492" s="23"/>
      <c r="AT2492" s="23"/>
      <c r="AU2492" s="16"/>
      <c r="AV2492" s="23"/>
      <c r="AW2492" s="23"/>
      <c r="AX2492" s="23"/>
      <c r="AY2492" s="16"/>
      <c r="AZ2492" s="23"/>
      <c r="BA2492" s="23"/>
      <c r="BB2492" s="23"/>
      <c r="BC2492" s="16"/>
      <c r="BD2492" s="23"/>
      <c r="BE2492" s="23"/>
      <c r="BF2492" s="23"/>
      <c r="BG2492" s="16"/>
      <c r="BH2492" s="23"/>
      <c r="BI2492" s="23"/>
      <c r="BJ2492" s="23"/>
      <c r="BN2492" s="23"/>
      <c r="BO2492" s="23"/>
      <c r="BP2492" s="16"/>
      <c r="BQ2492" s="16"/>
      <c r="BR2492" s="23"/>
      <c r="BS2492" s="16"/>
      <c r="BT2492" s="16"/>
      <c r="BU2492" s="16"/>
      <c r="BV2492" s="16"/>
      <c r="BW2492" s="16"/>
      <c r="BX2492" s="16"/>
      <c r="BY2492" s="16"/>
    </row>
    <row r="2493">
      <c r="A2493" s="16"/>
      <c r="B2493" s="16"/>
      <c r="C2493" s="22"/>
      <c r="D2493" s="16"/>
      <c r="E2493" s="16"/>
      <c r="F2493" s="16"/>
      <c r="G2493" s="16"/>
      <c r="H2493" s="16"/>
      <c r="I2493" s="23"/>
      <c r="J2493" s="23"/>
      <c r="K2493" s="16"/>
      <c r="L2493" s="23"/>
      <c r="M2493" s="23"/>
      <c r="N2493" s="23"/>
      <c r="O2493" s="16"/>
      <c r="P2493" s="23"/>
      <c r="Q2493" s="23"/>
      <c r="R2493" s="23"/>
      <c r="S2493" s="16"/>
      <c r="T2493" s="23"/>
      <c r="U2493" s="23"/>
      <c r="V2493" s="23"/>
      <c r="W2493" s="16"/>
      <c r="X2493" s="23"/>
      <c r="Y2493" s="23"/>
      <c r="Z2493" s="23"/>
      <c r="AA2493" s="16"/>
      <c r="AB2493" s="23"/>
      <c r="AC2493" s="23"/>
      <c r="AD2493" s="23"/>
      <c r="AE2493" s="16"/>
      <c r="AF2493" s="23"/>
      <c r="AG2493" s="23"/>
      <c r="AH2493" s="23"/>
      <c r="AI2493" s="16"/>
      <c r="AJ2493" s="23"/>
      <c r="AK2493" s="23"/>
      <c r="AL2493" s="23"/>
      <c r="AM2493" s="16"/>
      <c r="AN2493" s="23"/>
      <c r="AO2493" s="23"/>
      <c r="AP2493" s="23"/>
      <c r="AQ2493" s="16"/>
      <c r="AR2493" s="23"/>
      <c r="AS2493" s="23"/>
      <c r="AT2493" s="23"/>
      <c r="AU2493" s="16"/>
      <c r="AV2493" s="23"/>
      <c r="AW2493" s="23"/>
      <c r="AX2493" s="23"/>
      <c r="AY2493" s="16"/>
      <c r="AZ2493" s="23"/>
      <c r="BA2493" s="23"/>
      <c r="BB2493" s="23"/>
      <c r="BC2493" s="16"/>
      <c r="BD2493" s="23"/>
      <c r="BE2493" s="23"/>
      <c r="BF2493" s="23"/>
      <c r="BG2493" s="16"/>
      <c r="BH2493" s="23"/>
      <c r="BI2493" s="23"/>
      <c r="BJ2493" s="23"/>
      <c r="BN2493" s="23"/>
      <c r="BO2493" s="23"/>
      <c r="BP2493" s="16"/>
      <c r="BQ2493" s="16"/>
      <c r="BR2493" s="23"/>
      <c r="BS2493" s="16"/>
      <c r="BT2493" s="16"/>
      <c r="BU2493" s="16"/>
      <c r="BV2493" s="16"/>
      <c r="BW2493" s="16"/>
      <c r="BX2493" s="16"/>
      <c r="BY2493" s="16"/>
    </row>
    <row r="2494">
      <c r="A2494" s="16"/>
      <c r="B2494" s="16"/>
      <c r="C2494" s="22"/>
      <c r="D2494" s="16"/>
      <c r="E2494" s="16"/>
      <c r="F2494" s="16"/>
      <c r="G2494" s="16"/>
      <c r="H2494" s="16"/>
      <c r="I2494" s="23"/>
      <c r="J2494" s="23"/>
      <c r="K2494" s="16"/>
      <c r="L2494" s="23"/>
      <c r="M2494" s="23"/>
      <c r="N2494" s="23"/>
      <c r="O2494" s="16"/>
      <c r="P2494" s="23"/>
      <c r="Q2494" s="23"/>
      <c r="R2494" s="23"/>
      <c r="S2494" s="16"/>
      <c r="T2494" s="23"/>
      <c r="U2494" s="23"/>
      <c r="V2494" s="23"/>
      <c r="W2494" s="16"/>
      <c r="X2494" s="23"/>
      <c r="Y2494" s="23"/>
      <c r="Z2494" s="23"/>
      <c r="AA2494" s="16"/>
      <c r="AB2494" s="23"/>
      <c r="AC2494" s="23"/>
      <c r="AD2494" s="23"/>
      <c r="AE2494" s="16"/>
      <c r="AF2494" s="23"/>
      <c r="AG2494" s="23"/>
      <c r="AH2494" s="23"/>
      <c r="AI2494" s="16"/>
      <c r="AJ2494" s="23"/>
      <c r="AK2494" s="23"/>
      <c r="AL2494" s="23"/>
      <c r="AM2494" s="16"/>
      <c r="AN2494" s="23"/>
      <c r="AO2494" s="23"/>
      <c r="AP2494" s="23"/>
      <c r="AQ2494" s="16"/>
      <c r="AR2494" s="23"/>
      <c r="AS2494" s="23"/>
      <c r="AT2494" s="23"/>
      <c r="AU2494" s="16"/>
      <c r="AV2494" s="23"/>
      <c r="AW2494" s="23"/>
      <c r="AX2494" s="23"/>
      <c r="AY2494" s="16"/>
      <c r="AZ2494" s="23"/>
      <c r="BA2494" s="23"/>
      <c r="BB2494" s="23"/>
      <c r="BC2494" s="16"/>
      <c r="BD2494" s="23"/>
      <c r="BE2494" s="23"/>
      <c r="BF2494" s="23"/>
      <c r="BG2494" s="16"/>
      <c r="BH2494" s="23"/>
      <c r="BI2494" s="23"/>
      <c r="BJ2494" s="23"/>
      <c r="BN2494" s="23"/>
      <c r="BO2494" s="23"/>
      <c r="BP2494" s="16"/>
      <c r="BQ2494" s="16"/>
      <c r="BR2494" s="23"/>
      <c r="BS2494" s="16"/>
      <c r="BT2494" s="16"/>
      <c r="BU2494" s="16"/>
      <c r="BV2494" s="16"/>
      <c r="BW2494" s="16"/>
      <c r="BX2494" s="16"/>
      <c r="BY2494" s="16"/>
    </row>
    <row r="2495">
      <c r="A2495" s="16"/>
      <c r="B2495" s="16"/>
      <c r="C2495" s="22"/>
      <c r="D2495" s="16"/>
      <c r="E2495" s="16"/>
      <c r="F2495" s="16"/>
      <c r="G2495" s="16"/>
      <c r="H2495" s="16"/>
      <c r="I2495" s="23"/>
      <c r="J2495" s="23"/>
      <c r="K2495" s="16"/>
      <c r="L2495" s="23"/>
      <c r="M2495" s="23"/>
      <c r="N2495" s="23"/>
      <c r="O2495" s="16"/>
      <c r="P2495" s="23"/>
      <c r="Q2495" s="23"/>
      <c r="R2495" s="23"/>
      <c r="S2495" s="16"/>
      <c r="T2495" s="23"/>
      <c r="U2495" s="23"/>
      <c r="V2495" s="23"/>
      <c r="W2495" s="16"/>
      <c r="X2495" s="23"/>
      <c r="Y2495" s="23"/>
      <c r="Z2495" s="23"/>
      <c r="AA2495" s="16"/>
      <c r="AB2495" s="23"/>
      <c r="AC2495" s="23"/>
      <c r="AD2495" s="23"/>
      <c r="AE2495" s="16"/>
      <c r="AF2495" s="23"/>
      <c r="AG2495" s="23"/>
      <c r="AH2495" s="23"/>
      <c r="AI2495" s="16"/>
      <c r="AJ2495" s="23"/>
      <c r="AK2495" s="23"/>
      <c r="AL2495" s="23"/>
      <c r="AM2495" s="16"/>
      <c r="AN2495" s="23"/>
      <c r="AO2495" s="23"/>
      <c r="AP2495" s="23"/>
      <c r="AQ2495" s="16"/>
      <c r="AR2495" s="23"/>
      <c r="AS2495" s="23"/>
      <c r="AT2495" s="23"/>
      <c r="AU2495" s="16"/>
      <c r="AV2495" s="23"/>
      <c r="AW2495" s="23"/>
      <c r="AX2495" s="23"/>
      <c r="AY2495" s="16"/>
      <c r="AZ2495" s="23"/>
      <c r="BA2495" s="23"/>
      <c r="BB2495" s="23"/>
      <c r="BC2495" s="16"/>
      <c r="BD2495" s="23"/>
      <c r="BE2495" s="23"/>
      <c r="BF2495" s="23"/>
      <c r="BG2495" s="16"/>
      <c r="BH2495" s="23"/>
      <c r="BI2495" s="23"/>
      <c r="BJ2495" s="23"/>
      <c r="BN2495" s="23"/>
      <c r="BO2495" s="23"/>
      <c r="BP2495" s="16"/>
      <c r="BQ2495" s="16"/>
      <c r="BR2495" s="23"/>
      <c r="BS2495" s="16"/>
      <c r="BT2495" s="16"/>
      <c r="BU2495" s="16"/>
      <c r="BV2495" s="16"/>
      <c r="BW2495" s="16"/>
      <c r="BX2495" s="16"/>
      <c r="BY2495" s="16"/>
    </row>
    <row r="2496">
      <c r="A2496" s="16"/>
      <c r="B2496" s="16"/>
      <c r="C2496" s="22"/>
      <c r="D2496" s="16"/>
      <c r="E2496" s="16"/>
      <c r="F2496" s="16"/>
      <c r="G2496" s="16"/>
      <c r="H2496" s="16"/>
      <c r="I2496" s="23"/>
      <c r="J2496" s="23"/>
      <c r="K2496" s="16"/>
      <c r="L2496" s="23"/>
      <c r="M2496" s="23"/>
      <c r="N2496" s="23"/>
      <c r="O2496" s="16"/>
      <c r="P2496" s="23"/>
      <c r="Q2496" s="23"/>
      <c r="R2496" s="23"/>
      <c r="S2496" s="16"/>
      <c r="T2496" s="23"/>
      <c r="U2496" s="23"/>
      <c r="V2496" s="23"/>
      <c r="W2496" s="16"/>
      <c r="X2496" s="23"/>
      <c r="Y2496" s="23"/>
      <c r="Z2496" s="23"/>
      <c r="AA2496" s="16"/>
      <c r="AB2496" s="23"/>
      <c r="AC2496" s="23"/>
      <c r="AD2496" s="23"/>
      <c r="AE2496" s="16"/>
      <c r="AF2496" s="23"/>
      <c r="AG2496" s="23"/>
      <c r="AH2496" s="23"/>
      <c r="AI2496" s="16"/>
      <c r="AJ2496" s="23"/>
      <c r="AK2496" s="23"/>
      <c r="AL2496" s="23"/>
      <c r="AM2496" s="16"/>
      <c r="AN2496" s="23"/>
      <c r="AO2496" s="23"/>
      <c r="AP2496" s="23"/>
      <c r="AQ2496" s="16"/>
      <c r="AR2496" s="23"/>
      <c r="AS2496" s="23"/>
      <c r="AT2496" s="23"/>
      <c r="AU2496" s="16"/>
      <c r="AV2496" s="23"/>
      <c r="AW2496" s="23"/>
      <c r="AX2496" s="23"/>
      <c r="AY2496" s="16"/>
      <c r="AZ2496" s="23"/>
      <c r="BA2496" s="23"/>
      <c r="BB2496" s="23"/>
      <c r="BC2496" s="16"/>
      <c r="BD2496" s="23"/>
      <c r="BE2496" s="23"/>
      <c r="BF2496" s="23"/>
      <c r="BG2496" s="16"/>
      <c r="BH2496" s="23"/>
      <c r="BI2496" s="23"/>
      <c r="BJ2496" s="23"/>
      <c r="BN2496" s="23"/>
      <c r="BO2496" s="23"/>
      <c r="BP2496" s="16"/>
      <c r="BQ2496" s="16"/>
      <c r="BR2496" s="23"/>
      <c r="BS2496" s="16"/>
      <c r="BT2496" s="16"/>
      <c r="BU2496" s="16"/>
      <c r="BV2496" s="16"/>
      <c r="BW2496" s="16"/>
      <c r="BX2496" s="16"/>
      <c r="BY2496" s="16"/>
    </row>
    <row r="2497">
      <c r="A2497" s="16"/>
      <c r="B2497" s="16"/>
      <c r="C2497" s="22"/>
      <c r="D2497" s="16"/>
      <c r="E2497" s="16"/>
      <c r="F2497" s="16"/>
      <c r="G2497" s="16"/>
      <c r="H2497" s="16"/>
      <c r="I2497" s="23"/>
      <c r="J2497" s="23"/>
      <c r="K2497" s="16"/>
      <c r="L2497" s="23"/>
      <c r="M2497" s="23"/>
      <c r="N2497" s="23"/>
      <c r="O2497" s="16"/>
      <c r="P2497" s="23"/>
      <c r="Q2497" s="23"/>
      <c r="R2497" s="23"/>
      <c r="S2497" s="16"/>
      <c r="T2497" s="23"/>
      <c r="U2497" s="23"/>
      <c r="V2497" s="23"/>
      <c r="W2497" s="16"/>
      <c r="X2497" s="23"/>
      <c r="Y2497" s="23"/>
      <c r="Z2497" s="23"/>
      <c r="AA2497" s="16"/>
      <c r="AB2497" s="23"/>
      <c r="AC2497" s="23"/>
      <c r="AD2497" s="23"/>
      <c r="AE2497" s="16"/>
      <c r="AF2497" s="23"/>
      <c r="AG2497" s="23"/>
      <c r="AH2497" s="23"/>
      <c r="AI2497" s="16"/>
      <c r="AJ2497" s="23"/>
      <c r="AK2497" s="23"/>
      <c r="AL2497" s="23"/>
      <c r="AM2497" s="16"/>
      <c r="AN2497" s="23"/>
      <c r="AO2497" s="23"/>
      <c r="AP2497" s="23"/>
      <c r="AQ2497" s="16"/>
      <c r="AR2497" s="23"/>
      <c r="AS2497" s="23"/>
      <c r="AT2497" s="23"/>
      <c r="AU2497" s="16"/>
      <c r="AV2497" s="23"/>
      <c r="AW2497" s="23"/>
      <c r="AX2497" s="23"/>
      <c r="AY2497" s="16"/>
      <c r="AZ2497" s="23"/>
      <c r="BA2497" s="23"/>
      <c r="BB2497" s="23"/>
      <c r="BC2497" s="16"/>
      <c r="BD2497" s="23"/>
      <c r="BE2497" s="23"/>
      <c r="BF2497" s="23"/>
      <c r="BG2497" s="16"/>
      <c r="BH2497" s="23"/>
      <c r="BI2497" s="23"/>
      <c r="BJ2497" s="23"/>
      <c r="BN2497" s="23"/>
      <c r="BO2497" s="23"/>
      <c r="BP2497" s="16"/>
      <c r="BQ2497" s="16"/>
      <c r="BR2497" s="23"/>
      <c r="BS2497" s="16"/>
      <c r="BT2497" s="16"/>
      <c r="BU2497" s="16"/>
      <c r="BV2497" s="16"/>
      <c r="BW2497" s="16"/>
      <c r="BX2497" s="16"/>
      <c r="BY2497" s="16"/>
    </row>
    <row r="2498">
      <c r="A2498" s="16"/>
      <c r="B2498" s="16"/>
      <c r="C2498" s="22"/>
      <c r="D2498" s="16"/>
      <c r="E2498" s="16"/>
      <c r="F2498" s="16"/>
      <c r="G2498" s="16"/>
      <c r="H2498" s="16"/>
      <c r="I2498" s="23"/>
      <c r="J2498" s="23"/>
      <c r="K2498" s="16"/>
      <c r="L2498" s="23"/>
      <c r="M2498" s="23"/>
      <c r="N2498" s="23"/>
      <c r="O2498" s="16"/>
      <c r="P2498" s="23"/>
      <c r="Q2498" s="23"/>
      <c r="R2498" s="23"/>
      <c r="S2498" s="16"/>
      <c r="T2498" s="23"/>
      <c r="U2498" s="23"/>
      <c r="V2498" s="23"/>
      <c r="W2498" s="16"/>
      <c r="X2498" s="23"/>
      <c r="Y2498" s="23"/>
      <c r="Z2498" s="23"/>
      <c r="AA2498" s="16"/>
      <c r="AB2498" s="23"/>
      <c r="AC2498" s="23"/>
      <c r="AD2498" s="23"/>
      <c r="AE2498" s="16"/>
      <c r="AF2498" s="23"/>
      <c r="AG2498" s="23"/>
      <c r="AH2498" s="23"/>
      <c r="AI2498" s="16"/>
      <c r="AJ2498" s="23"/>
      <c r="AK2498" s="23"/>
      <c r="AL2498" s="23"/>
      <c r="AM2498" s="16"/>
      <c r="AN2498" s="23"/>
      <c r="AO2498" s="23"/>
      <c r="AP2498" s="23"/>
      <c r="AQ2498" s="16"/>
      <c r="AR2498" s="23"/>
      <c r="AS2498" s="23"/>
      <c r="AT2498" s="23"/>
      <c r="AU2498" s="16"/>
      <c r="AV2498" s="23"/>
      <c r="AW2498" s="23"/>
      <c r="AX2498" s="23"/>
      <c r="AY2498" s="16"/>
      <c r="AZ2498" s="23"/>
      <c r="BA2498" s="23"/>
      <c r="BB2498" s="23"/>
      <c r="BC2498" s="16"/>
      <c r="BD2498" s="23"/>
      <c r="BE2498" s="23"/>
      <c r="BF2498" s="23"/>
      <c r="BG2498" s="16"/>
      <c r="BH2498" s="23"/>
      <c r="BI2498" s="23"/>
      <c r="BJ2498" s="23"/>
      <c r="BN2498" s="23"/>
      <c r="BO2498" s="23"/>
      <c r="BP2498" s="16"/>
      <c r="BQ2498" s="16"/>
      <c r="BR2498" s="23"/>
      <c r="BS2498" s="16"/>
      <c r="BT2498" s="16"/>
      <c r="BU2498" s="16"/>
      <c r="BV2498" s="16"/>
      <c r="BW2498" s="16"/>
      <c r="BX2498" s="16"/>
      <c r="BY2498" s="16"/>
    </row>
    <row r="2499">
      <c r="A2499" s="16"/>
      <c r="B2499" s="16"/>
      <c r="C2499" s="22"/>
      <c r="D2499" s="16"/>
      <c r="E2499" s="16"/>
      <c r="F2499" s="16"/>
      <c r="G2499" s="16"/>
      <c r="H2499" s="16"/>
      <c r="I2499" s="23"/>
      <c r="J2499" s="23"/>
      <c r="K2499" s="16"/>
      <c r="L2499" s="23"/>
      <c r="M2499" s="23"/>
      <c r="N2499" s="23"/>
      <c r="O2499" s="16"/>
      <c r="P2499" s="23"/>
      <c r="Q2499" s="23"/>
      <c r="R2499" s="23"/>
      <c r="S2499" s="16"/>
      <c r="T2499" s="23"/>
      <c r="U2499" s="23"/>
      <c r="V2499" s="23"/>
      <c r="W2499" s="16"/>
      <c r="X2499" s="23"/>
      <c r="Y2499" s="23"/>
      <c r="Z2499" s="23"/>
      <c r="AA2499" s="16"/>
      <c r="AB2499" s="23"/>
      <c r="AC2499" s="23"/>
      <c r="AD2499" s="23"/>
      <c r="AE2499" s="16"/>
      <c r="AF2499" s="23"/>
      <c r="AG2499" s="23"/>
      <c r="AH2499" s="23"/>
      <c r="AI2499" s="16"/>
      <c r="AJ2499" s="23"/>
      <c r="AK2499" s="23"/>
      <c r="AL2499" s="23"/>
      <c r="AM2499" s="16"/>
      <c r="AN2499" s="23"/>
      <c r="AO2499" s="23"/>
      <c r="AP2499" s="23"/>
      <c r="AQ2499" s="16"/>
      <c r="AR2499" s="23"/>
      <c r="AS2499" s="23"/>
      <c r="AT2499" s="23"/>
      <c r="AU2499" s="16"/>
      <c r="AV2499" s="23"/>
      <c r="AW2499" s="23"/>
      <c r="AX2499" s="23"/>
      <c r="AY2499" s="16"/>
      <c r="AZ2499" s="23"/>
      <c r="BA2499" s="23"/>
      <c r="BB2499" s="23"/>
      <c r="BC2499" s="16"/>
      <c r="BD2499" s="23"/>
      <c r="BE2499" s="23"/>
      <c r="BF2499" s="23"/>
      <c r="BG2499" s="16"/>
      <c r="BH2499" s="23"/>
      <c r="BI2499" s="23"/>
      <c r="BJ2499" s="23"/>
      <c r="BN2499" s="23"/>
      <c r="BO2499" s="23"/>
      <c r="BP2499" s="16"/>
      <c r="BQ2499" s="16"/>
      <c r="BR2499" s="23"/>
      <c r="BS2499" s="16"/>
      <c r="BT2499" s="16"/>
      <c r="BU2499" s="16"/>
      <c r="BV2499" s="16"/>
      <c r="BW2499" s="16"/>
      <c r="BX2499" s="16"/>
      <c r="BY2499" s="16"/>
    </row>
    <row r="2500">
      <c r="A2500" s="16"/>
      <c r="B2500" s="16"/>
      <c r="C2500" s="22"/>
      <c r="D2500" s="16"/>
      <c r="E2500" s="16"/>
      <c r="F2500" s="16"/>
      <c r="G2500" s="16"/>
      <c r="H2500" s="16"/>
      <c r="I2500" s="23"/>
      <c r="J2500" s="23"/>
      <c r="K2500" s="16"/>
      <c r="L2500" s="23"/>
      <c r="M2500" s="23"/>
      <c r="N2500" s="23"/>
      <c r="O2500" s="16"/>
      <c r="P2500" s="23"/>
      <c r="Q2500" s="23"/>
      <c r="R2500" s="23"/>
      <c r="S2500" s="16"/>
      <c r="T2500" s="23"/>
      <c r="U2500" s="23"/>
      <c r="V2500" s="23"/>
      <c r="W2500" s="16"/>
      <c r="X2500" s="23"/>
      <c r="Y2500" s="23"/>
      <c r="Z2500" s="23"/>
      <c r="AA2500" s="16"/>
      <c r="AB2500" s="23"/>
      <c r="AC2500" s="23"/>
      <c r="AD2500" s="23"/>
      <c r="AE2500" s="16"/>
      <c r="AF2500" s="23"/>
      <c r="AG2500" s="23"/>
      <c r="AH2500" s="23"/>
      <c r="AI2500" s="16"/>
      <c r="AJ2500" s="23"/>
      <c r="AK2500" s="23"/>
      <c r="AL2500" s="23"/>
      <c r="AM2500" s="16"/>
      <c r="AN2500" s="23"/>
      <c r="AO2500" s="23"/>
      <c r="AP2500" s="23"/>
      <c r="AQ2500" s="16"/>
      <c r="AR2500" s="23"/>
      <c r="AS2500" s="23"/>
      <c r="AT2500" s="23"/>
      <c r="AU2500" s="16"/>
      <c r="AV2500" s="23"/>
      <c r="AW2500" s="23"/>
      <c r="AX2500" s="23"/>
      <c r="AY2500" s="16"/>
      <c r="AZ2500" s="23"/>
      <c r="BA2500" s="23"/>
      <c r="BB2500" s="23"/>
      <c r="BC2500" s="16"/>
      <c r="BD2500" s="23"/>
      <c r="BE2500" s="23"/>
      <c r="BF2500" s="23"/>
      <c r="BG2500" s="16"/>
      <c r="BH2500" s="23"/>
      <c r="BI2500" s="23"/>
      <c r="BJ2500" s="23"/>
      <c r="BN2500" s="23"/>
      <c r="BO2500" s="23"/>
      <c r="BP2500" s="16"/>
      <c r="BQ2500" s="16"/>
      <c r="BR2500" s="23"/>
      <c r="BS2500" s="16"/>
      <c r="BT2500" s="16"/>
      <c r="BU2500" s="16"/>
      <c r="BV2500" s="16"/>
      <c r="BW2500" s="16"/>
      <c r="BX2500" s="16"/>
      <c r="BY2500" s="16"/>
    </row>
    <row r="2501">
      <c r="A2501" s="16"/>
      <c r="B2501" s="16"/>
      <c r="C2501" s="22"/>
      <c r="D2501" s="16"/>
      <c r="E2501" s="16"/>
      <c r="F2501" s="16"/>
      <c r="G2501" s="16"/>
      <c r="H2501" s="16"/>
      <c r="I2501" s="23"/>
      <c r="J2501" s="23"/>
      <c r="K2501" s="16"/>
      <c r="L2501" s="23"/>
      <c r="M2501" s="23"/>
      <c r="N2501" s="23"/>
      <c r="O2501" s="16"/>
      <c r="P2501" s="23"/>
      <c r="Q2501" s="23"/>
      <c r="R2501" s="23"/>
      <c r="S2501" s="16"/>
      <c r="T2501" s="23"/>
      <c r="U2501" s="23"/>
      <c r="V2501" s="23"/>
      <c r="W2501" s="16"/>
      <c r="X2501" s="23"/>
      <c r="Y2501" s="23"/>
      <c r="Z2501" s="23"/>
      <c r="AA2501" s="16"/>
      <c r="AB2501" s="23"/>
      <c r="AC2501" s="23"/>
      <c r="AD2501" s="23"/>
      <c r="AE2501" s="16"/>
      <c r="AF2501" s="23"/>
      <c r="AG2501" s="23"/>
      <c r="AH2501" s="23"/>
      <c r="AI2501" s="16"/>
      <c r="AJ2501" s="23"/>
      <c r="AK2501" s="23"/>
      <c r="AL2501" s="23"/>
      <c r="AM2501" s="16"/>
      <c r="AN2501" s="23"/>
      <c r="AO2501" s="23"/>
      <c r="AP2501" s="23"/>
      <c r="AQ2501" s="16"/>
      <c r="AR2501" s="23"/>
      <c r="AS2501" s="23"/>
      <c r="AT2501" s="23"/>
      <c r="AU2501" s="16"/>
      <c r="AV2501" s="23"/>
      <c r="AW2501" s="23"/>
      <c r="AX2501" s="23"/>
      <c r="AY2501" s="16"/>
      <c r="AZ2501" s="23"/>
      <c r="BA2501" s="23"/>
      <c r="BB2501" s="23"/>
      <c r="BC2501" s="16"/>
      <c r="BD2501" s="23"/>
      <c r="BE2501" s="23"/>
      <c r="BF2501" s="23"/>
      <c r="BG2501" s="16"/>
      <c r="BH2501" s="23"/>
      <c r="BI2501" s="23"/>
      <c r="BJ2501" s="23"/>
      <c r="BN2501" s="23"/>
      <c r="BO2501" s="23"/>
      <c r="BP2501" s="16"/>
      <c r="BQ2501" s="16"/>
      <c r="BR2501" s="23"/>
      <c r="BS2501" s="16"/>
      <c r="BT2501" s="16"/>
      <c r="BU2501" s="16"/>
      <c r="BV2501" s="16"/>
      <c r="BW2501" s="16"/>
      <c r="BX2501" s="16"/>
      <c r="BY2501" s="16"/>
    </row>
    <row r="2502">
      <c r="A2502" s="16"/>
      <c r="B2502" s="16"/>
      <c r="C2502" s="22"/>
      <c r="D2502" s="16"/>
      <c r="E2502" s="16"/>
      <c r="F2502" s="16"/>
      <c r="G2502" s="16"/>
      <c r="H2502" s="16"/>
      <c r="I2502" s="23"/>
      <c r="J2502" s="23"/>
      <c r="K2502" s="16"/>
      <c r="L2502" s="23"/>
      <c r="M2502" s="23"/>
      <c r="N2502" s="23"/>
      <c r="O2502" s="16"/>
      <c r="P2502" s="23"/>
      <c r="Q2502" s="23"/>
      <c r="R2502" s="23"/>
      <c r="S2502" s="16"/>
      <c r="T2502" s="23"/>
      <c r="U2502" s="23"/>
      <c r="V2502" s="23"/>
      <c r="W2502" s="16"/>
      <c r="X2502" s="23"/>
      <c r="Y2502" s="23"/>
      <c r="Z2502" s="23"/>
      <c r="AA2502" s="16"/>
      <c r="AB2502" s="23"/>
      <c r="AC2502" s="23"/>
      <c r="AD2502" s="23"/>
      <c r="AE2502" s="16"/>
      <c r="AF2502" s="23"/>
      <c r="AG2502" s="23"/>
      <c r="AH2502" s="23"/>
      <c r="AI2502" s="16"/>
      <c r="AJ2502" s="23"/>
      <c r="AK2502" s="23"/>
      <c r="AL2502" s="23"/>
      <c r="AM2502" s="16"/>
      <c r="AN2502" s="23"/>
      <c r="AO2502" s="23"/>
      <c r="AP2502" s="23"/>
      <c r="AQ2502" s="16"/>
      <c r="AR2502" s="23"/>
      <c r="AS2502" s="23"/>
      <c r="AT2502" s="23"/>
      <c r="AU2502" s="16"/>
      <c r="AV2502" s="23"/>
      <c r="AW2502" s="23"/>
      <c r="AX2502" s="23"/>
      <c r="AY2502" s="16"/>
      <c r="AZ2502" s="23"/>
      <c r="BA2502" s="23"/>
      <c r="BB2502" s="23"/>
      <c r="BC2502" s="16"/>
      <c r="BD2502" s="23"/>
      <c r="BE2502" s="23"/>
      <c r="BF2502" s="23"/>
      <c r="BG2502" s="16"/>
      <c r="BH2502" s="23"/>
      <c r="BI2502" s="23"/>
      <c r="BJ2502" s="23"/>
      <c r="BN2502" s="23"/>
      <c r="BO2502" s="23"/>
      <c r="BP2502" s="16"/>
      <c r="BQ2502" s="16"/>
      <c r="BR2502" s="23"/>
      <c r="BS2502" s="16"/>
      <c r="BT2502" s="16"/>
      <c r="BU2502" s="16"/>
      <c r="BV2502" s="16"/>
      <c r="BW2502" s="16"/>
      <c r="BX2502" s="16"/>
      <c r="BY2502" s="16"/>
    </row>
    <row r="2503">
      <c r="A2503" s="16"/>
      <c r="B2503" s="16"/>
      <c r="C2503" s="22"/>
      <c r="D2503" s="16"/>
      <c r="E2503" s="16"/>
      <c r="F2503" s="16"/>
      <c r="G2503" s="16"/>
      <c r="H2503" s="16"/>
      <c r="I2503" s="23"/>
      <c r="J2503" s="23"/>
      <c r="K2503" s="16"/>
      <c r="L2503" s="23"/>
      <c r="M2503" s="23"/>
      <c r="N2503" s="23"/>
      <c r="O2503" s="16"/>
      <c r="P2503" s="23"/>
      <c r="Q2503" s="23"/>
      <c r="R2503" s="23"/>
      <c r="S2503" s="16"/>
      <c r="T2503" s="23"/>
      <c r="U2503" s="23"/>
      <c r="V2503" s="23"/>
      <c r="W2503" s="16"/>
      <c r="X2503" s="23"/>
      <c r="Y2503" s="23"/>
      <c r="Z2503" s="23"/>
      <c r="AA2503" s="16"/>
      <c r="AB2503" s="23"/>
      <c r="AC2503" s="23"/>
      <c r="AD2503" s="23"/>
      <c r="AE2503" s="16"/>
      <c r="AF2503" s="23"/>
      <c r="AG2503" s="23"/>
      <c r="AH2503" s="23"/>
      <c r="AI2503" s="16"/>
      <c r="AJ2503" s="23"/>
      <c r="AK2503" s="23"/>
      <c r="AL2503" s="23"/>
      <c r="AM2503" s="16"/>
      <c r="AN2503" s="23"/>
      <c r="AO2503" s="23"/>
      <c r="AP2503" s="23"/>
      <c r="AQ2503" s="16"/>
      <c r="AR2503" s="23"/>
      <c r="AS2503" s="23"/>
      <c r="AT2503" s="23"/>
      <c r="AU2503" s="16"/>
      <c r="AV2503" s="23"/>
      <c r="AW2503" s="23"/>
      <c r="AX2503" s="23"/>
      <c r="AY2503" s="16"/>
      <c r="AZ2503" s="23"/>
      <c r="BA2503" s="23"/>
      <c r="BB2503" s="23"/>
      <c r="BC2503" s="16"/>
      <c r="BD2503" s="23"/>
      <c r="BE2503" s="23"/>
      <c r="BF2503" s="23"/>
      <c r="BG2503" s="16"/>
      <c r="BH2503" s="23"/>
      <c r="BI2503" s="23"/>
      <c r="BJ2503" s="23"/>
      <c r="BN2503" s="23"/>
      <c r="BO2503" s="23"/>
      <c r="BP2503" s="16"/>
      <c r="BQ2503" s="16"/>
      <c r="BR2503" s="23"/>
      <c r="BS2503" s="16"/>
      <c r="BT2503" s="16"/>
      <c r="BU2503" s="16"/>
      <c r="BV2503" s="16"/>
      <c r="BW2503" s="16"/>
      <c r="BX2503" s="16"/>
      <c r="BY2503" s="16"/>
    </row>
    <row r="2504">
      <c r="A2504" s="16"/>
      <c r="B2504" s="16"/>
      <c r="C2504" s="22"/>
      <c r="D2504" s="16"/>
      <c r="E2504" s="16"/>
      <c r="F2504" s="16"/>
      <c r="G2504" s="16"/>
      <c r="H2504" s="16"/>
      <c r="I2504" s="23"/>
      <c r="J2504" s="23"/>
      <c r="K2504" s="16"/>
      <c r="L2504" s="23"/>
      <c r="M2504" s="23"/>
      <c r="N2504" s="23"/>
      <c r="O2504" s="16"/>
      <c r="P2504" s="23"/>
      <c r="Q2504" s="23"/>
      <c r="R2504" s="23"/>
      <c r="S2504" s="16"/>
      <c r="T2504" s="23"/>
      <c r="U2504" s="23"/>
      <c r="V2504" s="23"/>
      <c r="W2504" s="16"/>
      <c r="X2504" s="23"/>
      <c r="Y2504" s="23"/>
      <c r="Z2504" s="23"/>
      <c r="AA2504" s="16"/>
      <c r="AB2504" s="23"/>
      <c r="AC2504" s="23"/>
      <c r="AD2504" s="23"/>
      <c r="AE2504" s="16"/>
      <c r="AF2504" s="23"/>
      <c r="AG2504" s="23"/>
      <c r="AH2504" s="23"/>
      <c r="AI2504" s="16"/>
      <c r="AJ2504" s="23"/>
      <c r="AK2504" s="23"/>
      <c r="AL2504" s="23"/>
      <c r="AM2504" s="16"/>
      <c r="AN2504" s="23"/>
      <c r="AO2504" s="23"/>
      <c r="AP2504" s="23"/>
      <c r="AQ2504" s="16"/>
      <c r="AR2504" s="23"/>
      <c r="AS2504" s="23"/>
      <c r="AT2504" s="23"/>
      <c r="AU2504" s="16"/>
      <c r="AV2504" s="23"/>
      <c r="AW2504" s="23"/>
      <c r="AX2504" s="23"/>
      <c r="AY2504" s="16"/>
      <c r="AZ2504" s="23"/>
      <c r="BA2504" s="23"/>
      <c r="BB2504" s="23"/>
      <c r="BC2504" s="16"/>
      <c r="BD2504" s="23"/>
      <c r="BE2504" s="23"/>
      <c r="BF2504" s="23"/>
      <c r="BG2504" s="16"/>
      <c r="BH2504" s="23"/>
      <c r="BI2504" s="23"/>
      <c r="BJ2504" s="23"/>
      <c r="BN2504" s="23"/>
      <c r="BO2504" s="23"/>
      <c r="BP2504" s="16"/>
      <c r="BQ2504" s="16"/>
      <c r="BR2504" s="23"/>
      <c r="BS2504" s="16"/>
      <c r="BT2504" s="16"/>
      <c r="BU2504" s="16"/>
      <c r="BV2504" s="16"/>
      <c r="BW2504" s="16"/>
      <c r="BX2504" s="16"/>
      <c r="BY2504" s="16"/>
    </row>
    <row r="2505">
      <c r="A2505" s="16"/>
      <c r="B2505" s="16"/>
      <c r="C2505" s="22"/>
      <c r="D2505" s="16"/>
      <c r="E2505" s="16"/>
      <c r="F2505" s="16"/>
      <c r="G2505" s="16"/>
      <c r="H2505" s="16"/>
      <c r="I2505" s="23"/>
      <c r="J2505" s="23"/>
      <c r="K2505" s="16"/>
      <c r="L2505" s="23"/>
      <c r="M2505" s="23"/>
      <c r="N2505" s="23"/>
      <c r="O2505" s="16"/>
      <c r="P2505" s="23"/>
      <c r="Q2505" s="23"/>
      <c r="R2505" s="23"/>
      <c r="S2505" s="16"/>
      <c r="T2505" s="23"/>
      <c r="U2505" s="23"/>
      <c r="V2505" s="23"/>
      <c r="W2505" s="16"/>
      <c r="X2505" s="23"/>
      <c r="Y2505" s="23"/>
      <c r="Z2505" s="23"/>
      <c r="AA2505" s="16"/>
      <c r="AB2505" s="23"/>
      <c r="AC2505" s="23"/>
      <c r="AD2505" s="23"/>
      <c r="AE2505" s="16"/>
      <c r="AF2505" s="23"/>
      <c r="AG2505" s="23"/>
      <c r="AH2505" s="23"/>
      <c r="AI2505" s="16"/>
      <c r="AJ2505" s="23"/>
      <c r="AK2505" s="23"/>
      <c r="AL2505" s="23"/>
      <c r="AM2505" s="16"/>
      <c r="AN2505" s="23"/>
      <c r="AO2505" s="23"/>
      <c r="AP2505" s="23"/>
      <c r="AQ2505" s="16"/>
      <c r="AR2505" s="23"/>
      <c r="AS2505" s="23"/>
      <c r="AT2505" s="23"/>
      <c r="AU2505" s="16"/>
      <c r="AV2505" s="23"/>
      <c r="AW2505" s="23"/>
      <c r="AX2505" s="23"/>
      <c r="AY2505" s="16"/>
      <c r="AZ2505" s="23"/>
      <c r="BA2505" s="23"/>
      <c r="BB2505" s="23"/>
      <c r="BC2505" s="16"/>
      <c r="BD2505" s="23"/>
      <c r="BE2505" s="23"/>
      <c r="BF2505" s="23"/>
      <c r="BG2505" s="16"/>
      <c r="BH2505" s="23"/>
      <c r="BI2505" s="23"/>
      <c r="BJ2505" s="23"/>
      <c r="BN2505" s="23"/>
      <c r="BO2505" s="23"/>
      <c r="BP2505" s="16"/>
      <c r="BQ2505" s="16"/>
      <c r="BR2505" s="23"/>
      <c r="BS2505" s="16"/>
      <c r="BT2505" s="16"/>
      <c r="BU2505" s="16"/>
      <c r="BV2505" s="16"/>
      <c r="BW2505" s="16"/>
      <c r="BX2505" s="16"/>
      <c r="BY2505" s="16"/>
    </row>
    <row r="2506">
      <c r="A2506" s="16"/>
      <c r="B2506" s="16"/>
      <c r="C2506" s="22"/>
      <c r="D2506" s="16"/>
      <c r="E2506" s="16"/>
      <c r="F2506" s="16"/>
      <c r="G2506" s="16"/>
      <c r="H2506" s="16"/>
      <c r="I2506" s="23"/>
      <c r="J2506" s="23"/>
      <c r="K2506" s="16"/>
      <c r="L2506" s="23"/>
      <c r="M2506" s="23"/>
      <c r="N2506" s="23"/>
      <c r="O2506" s="16"/>
      <c r="P2506" s="23"/>
      <c r="Q2506" s="23"/>
      <c r="R2506" s="23"/>
      <c r="S2506" s="16"/>
      <c r="T2506" s="23"/>
      <c r="U2506" s="23"/>
      <c r="V2506" s="23"/>
      <c r="W2506" s="16"/>
      <c r="X2506" s="23"/>
      <c r="Y2506" s="23"/>
      <c r="Z2506" s="23"/>
      <c r="AA2506" s="16"/>
      <c r="AB2506" s="23"/>
      <c r="AC2506" s="23"/>
      <c r="AD2506" s="23"/>
      <c r="AE2506" s="16"/>
      <c r="AF2506" s="23"/>
      <c r="AG2506" s="23"/>
      <c r="AH2506" s="23"/>
      <c r="AI2506" s="16"/>
      <c r="AJ2506" s="23"/>
      <c r="AK2506" s="23"/>
      <c r="AL2506" s="23"/>
      <c r="AM2506" s="16"/>
      <c r="AN2506" s="23"/>
      <c r="AO2506" s="23"/>
      <c r="AP2506" s="23"/>
      <c r="AQ2506" s="16"/>
      <c r="AR2506" s="23"/>
      <c r="AS2506" s="23"/>
      <c r="AT2506" s="23"/>
      <c r="AU2506" s="16"/>
      <c r="AV2506" s="23"/>
      <c r="AW2506" s="23"/>
      <c r="AX2506" s="23"/>
      <c r="AY2506" s="16"/>
      <c r="AZ2506" s="23"/>
      <c r="BA2506" s="23"/>
      <c r="BB2506" s="23"/>
      <c r="BC2506" s="16"/>
      <c r="BD2506" s="23"/>
      <c r="BE2506" s="23"/>
      <c r="BF2506" s="23"/>
      <c r="BG2506" s="16"/>
      <c r="BH2506" s="23"/>
      <c r="BI2506" s="23"/>
      <c r="BJ2506" s="23"/>
      <c r="BN2506" s="23"/>
      <c r="BO2506" s="23"/>
      <c r="BP2506" s="16"/>
      <c r="BQ2506" s="16"/>
      <c r="BR2506" s="23"/>
      <c r="BS2506" s="16"/>
      <c r="BT2506" s="16"/>
      <c r="BU2506" s="16"/>
      <c r="BV2506" s="16"/>
      <c r="BW2506" s="16"/>
      <c r="BX2506" s="16"/>
      <c r="BY2506" s="16"/>
    </row>
    <row r="2507">
      <c r="A2507" s="16"/>
      <c r="B2507" s="16"/>
      <c r="C2507" s="22"/>
      <c r="D2507" s="16"/>
      <c r="E2507" s="16"/>
      <c r="F2507" s="16"/>
      <c r="G2507" s="16"/>
      <c r="H2507" s="16"/>
      <c r="I2507" s="23"/>
      <c r="J2507" s="23"/>
      <c r="K2507" s="16"/>
      <c r="L2507" s="23"/>
      <c r="M2507" s="23"/>
      <c r="N2507" s="23"/>
      <c r="O2507" s="16"/>
      <c r="P2507" s="23"/>
      <c r="Q2507" s="23"/>
      <c r="R2507" s="23"/>
      <c r="S2507" s="16"/>
      <c r="T2507" s="23"/>
      <c r="U2507" s="23"/>
      <c r="V2507" s="23"/>
      <c r="W2507" s="16"/>
      <c r="X2507" s="23"/>
      <c r="Y2507" s="23"/>
      <c r="Z2507" s="23"/>
      <c r="AA2507" s="16"/>
      <c r="AB2507" s="23"/>
      <c r="AC2507" s="23"/>
      <c r="AD2507" s="23"/>
      <c r="AE2507" s="16"/>
      <c r="AF2507" s="23"/>
      <c r="AG2507" s="23"/>
      <c r="AH2507" s="23"/>
      <c r="AI2507" s="16"/>
      <c r="AJ2507" s="23"/>
      <c r="AK2507" s="23"/>
      <c r="AL2507" s="23"/>
      <c r="AM2507" s="16"/>
      <c r="AN2507" s="23"/>
      <c r="AO2507" s="23"/>
      <c r="AP2507" s="23"/>
      <c r="AQ2507" s="16"/>
      <c r="AR2507" s="23"/>
      <c r="AS2507" s="23"/>
      <c r="AT2507" s="23"/>
      <c r="AU2507" s="16"/>
      <c r="AV2507" s="23"/>
      <c r="AW2507" s="23"/>
      <c r="AX2507" s="23"/>
      <c r="AY2507" s="16"/>
      <c r="AZ2507" s="23"/>
      <c r="BA2507" s="23"/>
      <c r="BB2507" s="23"/>
      <c r="BC2507" s="16"/>
      <c r="BD2507" s="23"/>
      <c r="BE2507" s="23"/>
      <c r="BF2507" s="23"/>
      <c r="BG2507" s="16"/>
      <c r="BH2507" s="23"/>
      <c r="BI2507" s="23"/>
      <c r="BJ2507" s="23"/>
      <c r="BN2507" s="23"/>
      <c r="BO2507" s="23"/>
      <c r="BP2507" s="16"/>
      <c r="BQ2507" s="16"/>
      <c r="BR2507" s="23"/>
      <c r="BS2507" s="16"/>
      <c r="BT2507" s="16"/>
      <c r="BU2507" s="16"/>
      <c r="BV2507" s="16"/>
      <c r="BW2507" s="16"/>
      <c r="BX2507" s="16"/>
      <c r="BY2507" s="16"/>
    </row>
    <row r="2508">
      <c r="A2508" s="16"/>
      <c r="B2508" s="16"/>
      <c r="C2508" s="22"/>
      <c r="D2508" s="16"/>
      <c r="E2508" s="16"/>
      <c r="F2508" s="16"/>
      <c r="G2508" s="16"/>
      <c r="H2508" s="16"/>
      <c r="I2508" s="23"/>
      <c r="J2508" s="23"/>
      <c r="K2508" s="16"/>
      <c r="L2508" s="23"/>
      <c r="M2508" s="23"/>
      <c r="N2508" s="23"/>
      <c r="O2508" s="16"/>
      <c r="P2508" s="23"/>
      <c r="Q2508" s="23"/>
      <c r="R2508" s="23"/>
      <c r="S2508" s="16"/>
      <c r="T2508" s="23"/>
      <c r="U2508" s="23"/>
      <c r="V2508" s="23"/>
      <c r="W2508" s="16"/>
      <c r="X2508" s="23"/>
      <c r="Y2508" s="23"/>
      <c r="Z2508" s="23"/>
      <c r="AA2508" s="16"/>
      <c r="AB2508" s="23"/>
      <c r="AC2508" s="23"/>
      <c r="AD2508" s="23"/>
      <c r="AE2508" s="16"/>
      <c r="AF2508" s="23"/>
      <c r="AG2508" s="23"/>
      <c r="AH2508" s="23"/>
      <c r="AI2508" s="16"/>
      <c r="AJ2508" s="23"/>
      <c r="AK2508" s="23"/>
      <c r="AL2508" s="23"/>
      <c r="AM2508" s="16"/>
      <c r="AN2508" s="23"/>
      <c r="AO2508" s="23"/>
      <c r="AP2508" s="23"/>
      <c r="AQ2508" s="16"/>
      <c r="AR2508" s="23"/>
      <c r="AS2508" s="23"/>
      <c r="AT2508" s="23"/>
      <c r="AU2508" s="16"/>
      <c r="AV2508" s="23"/>
      <c r="AW2508" s="23"/>
      <c r="AX2508" s="23"/>
      <c r="AY2508" s="16"/>
      <c r="AZ2508" s="23"/>
      <c r="BA2508" s="23"/>
      <c r="BB2508" s="23"/>
      <c r="BC2508" s="16"/>
      <c r="BD2508" s="23"/>
      <c r="BE2508" s="23"/>
      <c r="BF2508" s="23"/>
      <c r="BG2508" s="16"/>
      <c r="BH2508" s="23"/>
      <c r="BI2508" s="23"/>
      <c r="BJ2508" s="23"/>
      <c r="BN2508" s="23"/>
      <c r="BO2508" s="23"/>
      <c r="BP2508" s="16"/>
      <c r="BQ2508" s="16"/>
      <c r="BR2508" s="23"/>
      <c r="BS2508" s="16"/>
      <c r="BT2508" s="16"/>
      <c r="BU2508" s="16"/>
      <c r="BV2508" s="16"/>
      <c r="BW2508" s="16"/>
      <c r="BX2508" s="16"/>
      <c r="BY2508" s="16"/>
    </row>
    <row r="2509">
      <c r="A2509" s="16"/>
      <c r="B2509" s="16"/>
      <c r="C2509" s="22"/>
      <c r="D2509" s="16"/>
      <c r="E2509" s="16"/>
      <c r="F2509" s="16"/>
      <c r="G2509" s="16"/>
      <c r="H2509" s="16"/>
      <c r="I2509" s="23"/>
      <c r="J2509" s="23"/>
      <c r="K2509" s="16"/>
      <c r="L2509" s="23"/>
      <c r="M2509" s="23"/>
      <c r="N2509" s="23"/>
      <c r="O2509" s="16"/>
      <c r="P2509" s="23"/>
      <c r="Q2509" s="23"/>
      <c r="R2509" s="23"/>
      <c r="S2509" s="16"/>
      <c r="T2509" s="23"/>
      <c r="U2509" s="23"/>
      <c r="V2509" s="23"/>
      <c r="W2509" s="16"/>
      <c r="X2509" s="23"/>
      <c r="Y2509" s="23"/>
      <c r="Z2509" s="23"/>
      <c r="AA2509" s="16"/>
      <c r="AB2509" s="23"/>
      <c r="AC2509" s="23"/>
      <c r="AD2509" s="23"/>
      <c r="AE2509" s="16"/>
      <c r="AF2509" s="23"/>
      <c r="AG2509" s="23"/>
      <c r="AH2509" s="23"/>
      <c r="AI2509" s="16"/>
      <c r="AJ2509" s="23"/>
      <c r="AK2509" s="23"/>
      <c r="AL2509" s="23"/>
      <c r="AM2509" s="16"/>
      <c r="AN2509" s="23"/>
      <c r="AO2509" s="23"/>
      <c r="AP2509" s="23"/>
      <c r="AQ2509" s="16"/>
      <c r="AR2509" s="23"/>
      <c r="AS2509" s="23"/>
      <c r="AT2509" s="23"/>
      <c r="AU2509" s="16"/>
      <c r="AV2509" s="23"/>
      <c r="AW2509" s="23"/>
      <c r="AX2509" s="23"/>
      <c r="AY2509" s="16"/>
      <c r="AZ2509" s="23"/>
      <c r="BA2509" s="23"/>
      <c r="BB2509" s="23"/>
      <c r="BC2509" s="16"/>
      <c r="BD2509" s="23"/>
      <c r="BE2509" s="23"/>
      <c r="BF2509" s="23"/>
      <c r="BG2509" s="16"/>
      <c r="BH2509" s="23"/>
      <c r="BI2509" s="23"/>
      <c r="BJ2509" s="23"/>
      <c r="BN2509" s="23"/>
      <c r="BO2509" s="23"/>
      <c r="BP2509" s="16"/>
      <c r="BQ2509" s="16"/>
      <c r="BR2509" s="23"/>
      <c r="BS2509" s="16"/>
      <c r="BT2509" s="16"/>
      <c r="BU2509" s="16"/>
      <c r="BV2509" s="16"/>
      <c r="BW2509" s="16"/>
      <c r="BX2509" s="16"/>
      <c r="BY2509" s="16"/>
    </row>
    <row r="2510">
      <c r="A2510" s="16"/>
      <c r="B2510" s="16"/>
      <c r="C2510" s="22"/>
      <c r="D2510" s="16"/>
      <c r="E2510" s="16"/>
      <c r="F2510" s="16"/>
      <c r="G2510" s="16"/>
      <c r="H2510" s="16"/>
      <c r="I2510" s="23"/>
      <c r="J2510" s="23"/>
      <c r="K2510" s="16"/>
      <c r="L2510" s="23"/>
      <c r="M2510" s="23"/>
      <c r="N2510" s="23"/>
      <c r="O2510" s="16"/>
      <c r="P2510" s="23"/>
      <c r="Q2510" s="23"/>
      <c r="R2510" s="23"/>
      <c r="S2510" s="16"/>
      <c r="T2510" s="23"/>
      <c r="U2510" s="23"/>
      <c r="V2510" s="23"/>
      <c r="W2510" s="16"/>
      <c r="X2510" s="23"/>
      <c r="Y2510" s="23"/>
      <c r="Z2510" s="23"/>
      <c r="AA2510" s="16"/>
      <c r="AB2510" s="23"/>
      <c r="AC2510" s="23"/>
      <c r="AD2510" s="23"/>
      <c r="AE2510" s="16"/>
      <c r="AF2510" s="23"/>
      <c r="AG2510" s="23"/>
      <c r="AH2510" s="23"/>
      <c r="AI2510" s="16"/>
      <c r="AJ2510" s="23"/>
      <c r="AK2510" s="23"/>
      <c r="AL2510" s="23"/>
      <c r="AM2510" s="16"/>
      <c r="AN2510" s="23"/>
      <c r="AO2510" s="23"/>
      <c r="AP2510" s="23"/>
      <c r="AQ2510" s="16"/>
      <c r="AR2510" s="23"/>
      <c r="AS2510" s="23"/>
      <c r="AT2510" s="23"/>
      <c r="AU2510" s="16"/>
      <c r="AV2510" s="23"/>
      <c r="AW2510" s="23"/>
      <c r="AX2510" s="23"/>
      <c r="AY2510" s="16"/>
      <c r="AZ2510" s="23"/>
      <c r="BA2510" s="23"/>
      <c r="BB2510" s="23"/>
      <c r="BC2510" s="16"/>
      <c r="BD2510" s="23"/>
      <c r="BE2510" s="23"/>
      <c r="BF2510" s="23"/>
      <c r="BG2510" s="16"/>
      <c r="BH2510" s="23"/>
      <c r="BI2510" s="23"/>
      <c r="BJ2510" s="23"/>
      <c r="BN2510" s="23"/>
      <c r="BO2510" s="23"/>
      <c r="BP2510" s="16"/>
      <c r="BQ2510" s="16"/>
      <c r="BR2510" s="23"/>
      <c r="BS2510" s="16"/>
      <c r="BT2510" s="16"/>
      <c r="BU2510" s="16"/>
      <c r="BV2510" s="16"/>
      <c r="BW2510" s="16"/>
      <c r="BX2510" s="16"/>
      <c r="BY2510" s="16"/>
    </row>
    <row r="2511">
      <c r="A2511" s="16"/>
      <c r="B2511" s="16"/>
      <c r="C2511" s="22"/>
      <c r="D2511" s="16"/>
      <c r="E2511" s="16"/>
      <c r="F2511" s="16"/>
      <c r="G2511" s="16"/>
      <c r="H2511" s="16"/>
      <c r="I2511" s="23"/>
      <c r="J2511" s="23"/>
      <c r="K2511" s="16"/>
      <c r="L2511" s="23"/>
      <c r="M2511" s="23"/>
      <c r="N2511" s="23"/>
      <c r="O2511" s="16"/>
      <c r="P2511" s="23"/>
      <c r="Q2511" s="23"/>
      <c r="R2511" s="23"/>
      <c r="S2511" s="16"/>
      <c r="T2511" s="23"/>
      <c r="U2511" s="23"/>
      <c r="V2511" s="23"/>
      <c r="W2511" s="16"/>
      <c r="X2511" s="23"/>
      <c r="Y2511" s="23"/>
      <c r="Z2511" s="23"/>
      <c r="AA2511" s="16"/>
      <c r="AB2511" s="23"/>
      <c r="AC2511" s="23"/>
      <c r="AD2511" s="23"/>
      <c r="AE2511" s="16"/>
      <c r="AF2511" s="23"/>
      <c r="AG2511" s="23"/>
      <c r="AH2511" s="23"/>
      <c r="AI2511" s="16"/>
      <c r="AJ2511" s="23"/>
      <c r="AK2511" s="23"/>
      <c r="AL2511" s="23"/>
      <c r="AM2511" s="16"/>
      <c r="AN2511" s="23"/>
      <c r="AO2511" s="23"/>
      <c r="AP2511" s="23"/>
      <c r="AQ2511" s="16"/>
      <c r="AR2511" s="23"/>
      <c r="AS2511" s="23"/>
      <c r="AT2511" s="23"/>
      <c r="AU2511" s="16"/>
      <c r="AV2511" s="23"/>
      <c r="AW2511" s="23"/>
      <c r="AX2511" s="23"/>
      <c r="AY2511" s="16"/>
      <c r="AZ2511" s="23"/>
      <c r="BA2511" s="23"/>
      <c r="BB2511" s="23"/>
      <c r="BC2511" s="16"/>
      <c r="BD2511" s="23"/>
      <c r="BE2511" s="23"/>
      <c r="BF2511" s="23"/>
      <c r="BG2511" s="16"/>
      <c r="BH2511" s="23"/>
      <c r="BI2511" s="23"/>
      <c r="BJ2511" s="23"/>
      <c r="BN2511" s="23"/>
      <c r="BO2511" s="23"/>
      <c r="BP2511" s="16"/>
      <c r="BQ2511" s="16"/>
      <c r="BR2511" s="23"/>
      <c r="BS2511" s="16"/>
      <c r="BT2511" s="16"/>
      <c r="BU2511" s="16"/>
      <c r="BV2511" s="16"/>
      <c r="BW2511" s="16"/>
      <c r="BX2511" s="16"/>
      <c r="BY2511" s="16"/>
    </row>
    <row r="2512">
      <c r="A2512" s="16"/>
      <c r="B2512" s="16"/>
      <c r="C2512" s="22"/>
      <c r="D2512" s="16"/>
      <c r="E2512" s="16"/>
      <c r="F2512" s="16"/>
      <c r="G2512" s="16"/>
      <c r="H2512" s="16"/>
      <c r="I2512" s="23"/>
      <c r="J2512" s="23"/>
      <c r="K2512" s="16"/>
      <c r="L2512" s="23"/>
      <c r="M2512" s="23"/>
      <c r="N2512" s="23"/>
      <c r="O2512" s="16"/>
      <c r="P2512" s="23"/>
      <c r="Q2512" s="23"/>
      <c r="R2512" s="23"/>
      <c r="S2512" s="16"/>
      <c r="T2512" s="23"/>
      <c r="U2512" s="23"/>
      <c r="V2512" s="23"/>
      <c r="W2512" s="16"/>
      <c r="X2512" s="23"/>
      <c r="Y2512" s="23"/>
      <c r="Z2512" s="23"/>
      <c r="AA2512" s="16"/>
      <c r="AB2512" s="23"/>
      <c r="AC2512" s="23"/>
      <c r="AD2512" s="23"/>
      <c r="AE2512" s="16"/>
      <c r="AF2512" s="23"/>
      <c r="AG2512" s="23"/>
      <c r="AH2512" s="23"/>
      <c r="AI2512" s="16"/>
      <c r="AJ2512" s="23"/>
      <c r="AK2512" s="23"/>
      <c r="AL2512" s="23"/>
      <c r="AM2512" s="16"/>
      <c r="AN2512" s="23"/>
      <c r="AO2512" s="23"/>
      <c r="AP2512" s="23"/>
      <c r="AQ2512" s="16"/>
      <c r="AR2512" s="23"/>
      <c r="AS2512" s="23"/>
      <c r="AT2512" s="23"/>
      <c r="AU2512" s="16"/>
      <c r="AV2512" s="23"/>
      <c r="AW2512" s="23"/>
      <c r="AX2512" s="23"/>
      <c r="AY2512" s="16"/>
      <c r="AZ2512" s="23"/>
      <c r="BA2512" s="23"/>
      <c r="BB2512" s="23"/>
      <c r="BC2512" s="16"/>
      <c r="BD2512" s="23"/>
      <c r="BE2512" s="23"/>
      <c r="BF2512" s="23"/>
      <c r="BG2512" s="16"/>
      <c r="BH2512" s="23"/>
      <c r="BI2512" s="23"/>
      <c r="BJ2512" s="23"/>
      <c r="BN2512" s="23"/>
      <c r="BO2512" s="23"/>
      <c r="BP2512" s="16"/>
      <c r="BQ2512" s="16"/>
      <c r="BR2512" s="23"/>
      <c r="BS2512" s="16"/>
      <c r="BT2512" s="16"/>
      <c r="BU2512" s="16"/>
      <c r="BV2512" s="16"/>
      <c r="BW2512" s="16"/>
      <c r="BX2512" s="16"/>
      <c r="BY2512" s="16"/>
    </row>
    <row r="2513">
      <c r="A2513" s="16"/>
      <c r="B2513" s="16"/>
      <c r="C2513" s="22"/>
      <c r="D2513" s="16"/>
      <c r="E2513" s="16"/>
      <c r="F2513" s="16"/>
      <c r="G2513" s="16"/>
      <c r="H2513" s="16"/>
      <c r="I2513" s="23"/>
      <c r="J2513" s="23"/>
      <c r="K2513" s="16"/>
      <c r="L2513" s="23"/>
      <c r="M2513" s="23"/>
      <c r="N2513" s="23"/>
      <c r="O2513" s="16"/>
      <c r="P2513" s="23"/>
      <c r="Q2513" s="23"/>
      <c r="R2513" s="23"/>
      <c r="S2513" s="16"/>
      <c r="T2513" s="23"/>
      <c r="U2513" s="23"/>
      <c r="V2513" s="23"/>
      <c r="W2513" s="16"/>
      <c r="X2513" s="23"/>
      <c r="Y2513" s="23"/>
      <c r="Z2513" s="23"/>
      <c r="AA2513" s="16"/>
      <c r="AB2513" s="23"/>
      <c r="AC2513" s="23"/>
      <c r="AD2513" s="23"/>
      <c r="AE2513" s="16"/>
      <c r="AF2513" s="23"/>
      <c r="AG2513" s="23"/>
      <c r="AH2513" s="23"/>
      <c r="AI2513" s="16"/>
      <c r="AJ2513" s="23"/>
      <c r="AK2513" s="23"/>
      <c r="AL2513" s="23"/>
      <c r="AM2513" s="16"/>
      <c r="AN2513" s="23"/>
      <c r="AO2513" s="23"/>
      <c r="AP2513" s="23"/>
      <c r="AQ2513" s="16"/>
      <c r="AR2513" s="23"/>
      <c r="AS2513" s="23"/>
      <c r="AT2513" s="23"/>
      <c r="AU2513" s="16"/>
      <c r="AV2513" s="23"/>
      <c r="AW2513" s="23"/>
      <c r="AX2513" s="23"/>
      <c r="AY2513" s="16"/>
      <c r="AZ2513" s="23"/>
      <c r="BA2513" s="23"/>
      <c r="BB2513" s="23"/>
      <c r="BC2513" s="16"/>
      <c r="BD2513" s="23"/>
      <c r="BE2513" s="23"/>
      <c r="BF2513" s="23"/>
      <c r="BG2513" s="16"/>
      <c r="BH2513" s="23"/>
      <c r="BI2513" s="23"/>
      <c r="BJ2513" s="23"/>
      <c r="BN2513" s="23"/>
      <c r="BO2513" s="23"/>
      <c r="BP2513" s="16"/>
      <c r="BQ2513" s="16"/>
      <c r="BR2513" s="23"/>
      <c r="BS2513" s="16"/>
      <c r="BT2513" s="16"/>
      <c r="BU2513" s="16"/>
      <c r="BV2513" s="16"/>
      <c r="BW2513" s="16"/>
      <c r="BX2513" s="16"/>
      <c r="BY2513" s="16"/>
    </row>
    <row r="2514">
      <c r="A2514" s="16"/>
      <c r="B2514" s="16"/>
      <c r="C2514" s="22"/>
      <c r="D2514" s="16"/>
      <c r="E2514" s="16"/>
      <c r="F2514" s="16"/>
      <c r="G2514" s="16"/>
      <c r="H2514" s="16"/>
      <c r="I2514" s="23"/>
      <c r="J2514" s="23"/>
      <c r="K2514" s="16"/>
      <c r="L2514" s="23"/>
      <c r="M2514" s="23"/>
      <c r="N2514" s="23"/>
      <c r="O2514" s="16"/>
      <c r="P2514" s="23"/>
      <c r="Q2514" s="23"/>
      <c r="R2514" s="23"/>
      <c r="S2514" s="16"/>
      <c r="T2514" s="23"/>
      <c r="U2514" s="23"/>
      <c r="V2514" s="23"/>
      <c r="W2514" s="16"/>
      <c r="X2514" s="23"/>
      <c r="Y2514" s="23"/>
      <c r="Z2514" s="23"/>
      <c r="AA2514" s="16"/>
      <c r="AB2514" s="23"/>
      <c r="AC2514" s="23"/>
      <c r="AD2514" s="23"/>
      <c r="AE2514" s="16"/>
      <c r="AF2514" s="23"/>
      <c r="AG2514" s="23"/>
      <c r="AH2514" s="23"/>
      <c r="AI2514" s="16"/>
      <c r="AJ2514" s="23"/>
      <c r="AK2514" s="23"/>
      <c r="AL2514" s="23"/>
      <c r="AM2514" s="16"/>
      <c r="AN2514" s="23"/>
      <c r="AO2514" s="23"/>
      <c r="AP2514" s="23"/>
      <c r="AQ2514" s="16"/>
      <c r="AR2514" s="23"/>
      <c r="AS2514" s="23"/>
      <c r="AT2514" s="23"/>
      <c r="AU2514" s="16"/>
      <c r="AV2514" s="23"/>
      <c r="AW2514" s="23"/>
      <c r="AX2514" s="23"/>
      <c r="AY2514" s="16"/>
      <c r="AZ2514" s="23"/>
      <c r="BA2514" s="23"/>
      <c r="BB2514" s="23"/>
      <c r="BC2514" s="16"/>
      <c r="BD2514" s="23"/>
      <c r="BE2514" s="23"/>
      <c r="BF2514" s="23"/>
      <c r="BG2514" s="16"/>
      <c r="BH2514" s="23"/>
      <c r="BI2514" s="23"/>
      <c r="BJ2514" s="23"/>
      <c r="BN2514" s="23"/>
      <c r="BO2514" s="23"/>
      <c r="BP2514" s="16"/>
      <c r="BQ2514" s="16"/>
      <c r="BR2514" s="23"/>
      <c r="BS2514" s="16"/>
      <c r="BT2514" s="16"/>
      <c r="BU2514" s="16"/>
      <c r="BV2514" s="16"/>
      <c r="BW2514" s="16"/>
      <c r="BX2514" s="16"/>
      <c r="BY2514" s="16"/>
    </row>
    <row r="2515">
      <c r="A2515" s="16"/>
      <c r="B2515" s="16"/>
      <c r="C2515" s="22"/>
      <c r="D2515" s="16"/>
      <c r="E2515" s="16"/>
      <c r="F2515" s="16"/>
      <c r="G2515" s="16"/>
      <c r="H2515" s="16"/>
      <c r="I2515" s="23"/>
      <c r="J2515" s="23"/>
      <c r="K2515" s="16"/>
      <c r="L2515" s="23"/>
      <c r="M2515" s="23"/>
      <c r="N2515" s="23"/>
      <c r="O2515" s="16"/>
      <c r="P2515" s="23"/>
      <c r="Q2515" s="23"/>
      <c r="R2515" s="23"/>
      <c r="S2515" s="16"/>
      <c r="T2515" s="23"/>
      <c r="U2515" s="23"/>
      <c r="V2515" s="23"/>
      <c r="W2515" s="16"/>
      <c r="X2515" s="23"/>
      <c r="Y2515" s="23"/>
      <c r="Z2515" s="23"/>
      <c r="AA2515" s="16"/>
      <c r="AB2515" s="23"/>
      <c r="AC2515" s="23"/>
      <c r="AD2515" s="23"/>
      <c r="AE2515" s="16"/>
      <c r="AF2515" s="23"/>
      <c r="AG2515" s="23"/>
      <c r="AH2515" s="23"/>
      <c r="AI2515" s="16"/>
      <c r="AJ2515" s="23"/>
      <c r="AK2515" s="23"/>
      <c r="AL2515" s="23"/>
      <c r="AM2515" s="16"/>
      <c r="AN2515" s="23"/>
      <c r="AO2515" s="23"/>
      <c r="AP2515" s="23"/>
      <c r="AQ2515" s="16"/>
      <c r="AR2515" s="23"/>
      <c r="AS2515" s="23"/>
      <c r="AT2515" s="23"/>
      <c r="AU2515" s="16"/>
      <c r="AV2515" s="23"/>
      <c r="AW2515" s="23"/>
      <c r="AX2515" s="23"/>
      <c r="AY2515" s="16"/>
      <c r="AZ2515" s="23"/>
      <c r="BA2515" s="23"/>
      <c r="BB2515" s="23"/>
      <c r="BC2515" s="16"/>
      <c r="BD2515" s="23"/>
      <c r="BE2515" s="23"/>
      <c r="BF2515" s="23"/>
      <c r="BG2515" s="16"/>
      <c r="BH2515" s="23"/>
      <c r="BI2515" s="23"/>
      <c r="BJ2515" s="23"/>
      <c r="BN2515" s="23"/>
      <c r="BO2515" s="23"/>
      <c r="BP2515" s="16"/>
      <c r="BQ2515" s="16"/>
      <c r="BR2515" s="23"/>
      <c r="BS2515" s="16"/>
      <c r="BT2515" s="16"/>
      <c r="BU2515" s="16"/>
      <c r="BV2515" s="16"/>
      <c r="BW2515" s="16"/>
      <c r="BX2515" s="16"/>
      <c r="BY2515" s="16"/>
    </row>
    <row r="2516">
      <c r="A2516" s="16"/>
      <c r="B2516" s="16"/>
      <c r="C2516" s="22"/>
      <c r="D2516" s="16"/>
      <c r="E2516" s="16"/>
      <c r="F2516" s="16"/>
      <c r="G2516" s="16"/>
      <c r="H2516" s="16"/>
      <c r="I2516" s="23"/>
      <c r="J2516" s="23"/>
      <c r="K2516" s="16"/>
      <c r="L2516" s="23"/>
      <c r="M2516" s="23"/>
      <c r="N2516" s="23"/>
      <c r="O2516" s="16"/>
      <c r="P2516" s="23"/>
      <c r="Q2516" s="23"/>
      <c r="R2516" s="23"/>
      <c r="S2516" s="16"/>
      <c r="T2516" s="23"/>
      <c r="U2516" s="23"/>
      <c r="V2516" s="23"/>
      <c r="W2516" s="16"/>
      <c r="X2516" s="23"/>
      <c r="Y2516" s="23"/>
      <c r="Z2516" s="23"/>
      <c r="AA2516" s="16"/>
      <c r="AB2516" s="23"/>
      <c r="AC2516" s="23"/>
      <c r="AD2516" s="23"/>
      <c r="AE2516" s="16"/>
      <c r="AF2516" s="23"/>
      <c r="AG2516" s="23"/>
      <c r="AH2516" s="23"/>
      <c r="AI2516" s="16"/>
      <c r="AJ2516" s="23"/>
      <c r="AK2516" s="23"/>
      <c r="AL2516" s="23"/>
      <c r="AM2516" s="16"/>
      <c r="AN2516" s="23"/>
      <c r="AO2516" s="23"/>
      <c r="AP2516" s="23"/>
      <c r="AQ2516" s="16"/>
      <c r="AR2516" s="23"/>
      <c r="AS2516" s="23"/>
      <c r="AT2516" s="23"/>
      <c r="AU2516" s="16"/>
      <c r="AV2516" s="23"/>
      <c r="AW2516" s="23"/>
      <c r="AX2516" s="23"/>
      <c r="AY2516" s="16"/>
      <c r="AZ2516" s="23"/>
      <c r="BA2516" s="23"/>
      <c r="BB2516" s="23"/>
      <c r="BC2516" s="16"/>
      <c r="BD2516" s="23"/>
      <c r="BE2516" s="23"/>
      <c r="BF2516" s="23"/>
      <c r="BG2516" s="16"/>
      <c r="BH2516" s="23"/>
      <c r="BI2516" s="23"/>
      <c r="BJ2516" s="23"/>
      <c r="BN2516" s="23"/>
      <c r="BO2516" s="23"/>
      <c r="BP2516" s="16"/>
      <c r="BQ2516" s="16"/>
      <c r="BR2516" s="23"/>
      <c r="BS2516" s="16"/>
      <c r="BT2516" s="16"/>
      <c r="BU2516" s="16"/>
      <c r="BV2516" s="16"/>
      <c r="BW2516" s="16"/>
      <c r="BX2516" s="16"/>
      <c r="BY2516" s="16"/>
    </row>
    <row r="2517">
      <c r="A2517" s="16"/>
      <c r="B2517" s="16"/>
      <c r="C2517" s="22"/>
      <c r="D2517" s="16"/>
      <c r="E2517" s="16"/>
      <c r="F2517" s="16"/>
      <c r="G2517" s="16"/>
      <c r="H2517" s="16"/>
      <c r="I2517" s="23"/>
      <c r="J2517" s="23"/>
      <c r="K2517" s="16"/>
      <c r="L2517" s="23"/>
      <c r="M2517" s="23"/>
      <c r="N2517" s="23"/>
      <c r="O2517" s="16"/>
      <c r="P2517" s="23"/>
      <c r="Q2517" s="23"/>
      <c r="R2517" s="23"/>
      <c r="S2517" s="16"/>
      <c r="T2517" s="23"/>
      <c r="U2517" s="23"/>
      <c r="V2517" s="23"/>
      <c r="W2517" s="16"/>
      <c r="X2517" s="23"/>
      <c r="Y2517" s="23"/>
      <c r="Z2517" s="23"/>
      <c r="AA2517" s="16"/>
      <c r="AB2517" s="23"/>
      <c r="AC2517" s="23"/>
      <c r="AD2517" s="23"/>
      <c r="AE2517" s="16"/>
      <c r="AF2517" s="23"/>
      <c r="AG2517" s="23"/>
      <c r="AH2517" s="23"/>
      <c r="AI2517" s="16"/>
      <c r="AJ2517" s="23"/>
      <c r="AK2517" s="23"/>
      <c r="AL2517" s="23"/>
      <c r="AM2517" s="16"/>
      <c r="AN2517" s="23"/>
      <c r="AO2517" s="23"/>
      <c r="AP2517" s="23"/>
      <c r="AQ2517" s="16"/>
      <c r="AR2517" s="23"/>
      <c r="AS2517" s="23"/>
      <c r="AT2517" s="23"/>
      <c r="AU2517" s="16"/>
      <c r="AV2517" s="23"/>
      <c r="AW2517" s="23"/>
      <c r="AX2517" s="23"/>
      <c r="AY2517" s="16"/>
      <c r="AZ2517" s="23"/>
      <c r="BA2517" s="23"/>
      <c r="BB2517" s="23"/>
      <c r="BC2517" s="16"/>
      <c r="BD2517" s="23"/>
      <c r="BE2517" s="23"/>
      <c r="BF2517" s="23"/>
      <c r="BG2517" s="16"/>
      <c r="BH2517" s="23"/>
      <c r="BI2517" s="23"/>
      <c r="BJ2517" s="23"/>
      <c r="BN2517" s="23"/>
      <c r="BO2517" s="23"/>
      <c r="BP2517" s="16"/>
      <c r="BQ2517" s="16"/>
      <c r="BR2517" s="23"/>
      <c r="BS2517" s="16"/>
      <c r="BT2517" s="16"/>
      <c r="BU2517" s="16"/>
      <c r="BV2517" s="16"/>
      <c r="BW2517" s="16"/>
      <c r="BX2517" s="16"/>
      <c r="BY2517" s="16"/>
    </row>
    <row r="2518">
      <c r="A2518" s="16"/>
      <c r="B2518" s="16"/>
      <c r="C2518" s="22"/>
      <c r="D2518" s="16"/>
      <c r="E2518" s="16"/>
      <c r="F2518" s="16"/>
      <c r="G2518" s="16"/>
      <c r="H2518" s="16"/>
      <c r="I2518" s="23"/>
      <c r="J2518" s="23"/>
      <c r="K2518" s="16"/>
      <c r="L2518" s="23"/>
      <c r="M2518" s="23"/>
      <c r="N2518" s="23"/>
      <c r="O2518" s="16"/>
      <c r="P2518" s="23"/>
      <c r="Q2518" s="23"/>
      <c r="R2518" s="23"/>
      <c r="S2518" s="16"/>
      <c r="T2518" s="23"/>
      <c r="U2518" s="23"/>
      <c r="V2518" s="23"/>
      <c r="W2518" s="16"/>
      <c r="X2518" s="23"/>
      <c r="Y2518" s="23"/>
      <c r="Z2518" s="23"/>
      <c r="AA2518" s="16"/>
      <c r="AB2518" s="23"/>
      <c r="AC2518" s="23"/>
      <c r="AD2518" s="23"/>
      <c r="AE2518" s="16"/>
      <c r="AF2518" s="23"/>
      <c r="AG2518" s="23"/>
      <c r="AH2518" s="23"/>
      <c r="AI2518" s="16"/>
      <c r="AJ2518" s="23"/>
      <c r="AK2518" s="23"/>
      <c r="AL2518" s="23"/>
      <c r="AM2518" s="16"/>
      <c r="AN2518" s="23"/>
      <c r="AO2518" s="23"/>
      <c r="AP2518" s="23"/>
      <c r="AQ2518" s="16"/>
      <c r="AR2518" s="23"/>
      <c r="AS2518" s="23"/>
      <c r="AT2518" s="23"/>
      <c r="AU2518" s="16"/>
      <c r="AV2518" s="23"/>
      <c r="AW2518" s="23"/>
      <c r="AX2518" s="23"/>
      <c r="AY2518" s="16"/>
      <c r="AZ2518" s="23"/>
      <c r="BA2518" s="23"/>
      <c r="BB2518" s="23"/>
      <c r="BC2518" s="16"/>
      <c r="BD2518" s="23"/>
      <c r="BE2518" s="23"/>
      <c r="BF2518" s="23"/>
      <c r="BG2518" s="16"/>
      <c r="BH2518" s="23"/>
      <c r="BI2518" s="23"/>
      <c r="BJ2518" s="23"/>
      <c r="BN2518" s="23"/>
      <c r="BO2518" s="23"/>
      <c r="BP2518" s="16"/>
      <c r="BQ2518" s="16"/>
      <c r="BR2518" s="23"/>
      <c r="BS2518" s="16"/>
      <c r="BT2518" s="16"/>
      <c r="BU2518" s="16"/>
      <c r="BV2518" s="16"/>
      <c r="BW2518" s="16"/>
      <c r="BX2518" s="16"/>
      <c r="BY2518" s="16"/>
    </row>
    <row r="2519">
      <c r="A2519" s="16"/>
      <c r="B2519" s="16"/>
      <c r="C2519" s="22"/>
      <c r="D2519" s="16"/>
      <c r="E2519" s="16"/>
      <c r="F2519" s="16"/>
      <c r="G2519" s="16"/>
      <c r="H2519" s="16"/>
      <c r="I2519" s="23"/>
      <c r="J2519" s="23"/>
      <c r="K2519" s="16"/>
      <c r="L2519" s="23"/>
      <c r="M2519" s="23"/>
      <c r="N2519" s="23"/>
      <c r="O2519" s="16"/>
      <c r="P2519" s="23"/>
      <c r="Q2519" s="23"/>
      <c r="R2519" s="23"/>
      <c r="S2519" s="16"/>
      <c r="T2519" s="23"/>
      <c r="U2519" s="23"/>
      <c r="V2519" s="23"/>
      <c r="W2519" s="16"/>
      <c r="X2519" s="23"/>
      <c r="Y2519" s="23"/>
      <c r="Z2519" s="23"/>
      <c r="AA2519" s="16"/>
      <c r="AB2519" s="23"/>
      <c r="AC2519" s="23"/>
      <c r="AD2519" s="23"/>
      <c r="AE2519" s="16"/>
      <c r="AF2519" s="23"/>
      <c r="AG2519" s="23"/>
      <c r="AH2519" s="23"/>
      <c r="AI2519" s="16"/>
      <c r="AJ2519" s="23"/>
      <c r="AK2519" s="23"/>
      <c r="AL2519" s="23"/>
      <c r="AM2519" s="16"/>
      <c r="AN2519" s="23"/>
      <c r="AO2519" s="23"/>
      <c r="AP2519" s="23"/>
      <c r="AQ2519" s="16"/>
      <c r="AR2519" s="23"/>
      <c r="AS2519" s="23"/>
      <c r="AT2519" s="23"/>
      <c r="AU2519" s="16"/>
      <c r="AV2519" s="23"/>
      <c r="AW2519" s="23"/>
      <c r="AX2519" s="23"/>
      <c r="AY2519" s="16"/>
      <c r="AZ2519" s="23"/>
      <c r="BA2519" s="23"/>
      <c r="BB2519" s="23"/>
      <c r="BC2519" s="16"/>
      <c r="BD2519" s="23"/>
      <c r="BE2519" s="23"/>
      <c r="BF2519" s="23"/>
      <c r="BG2519" s="16"/>
      <c r="BH2519" s="23"/>
      <c r="BI2519" s="23"/>
      <c r="BJ2519" s="23"/>
      <c r="BN2519" s="23"/>
      <c r="BO2519" s="23"/>
      <c r="BP2519" s="16"/>
      <c r="BQ2519" s="16"/>
      <c r="BR2519" s="23"/>
      <c r="BS2519" s="16"/>
      <c r="BT2519" s="16"/>
      <c r="BU2519" s="16"/>
      <c r="BV2519" s="16"/>
      <c r="BW2519" s="16"/>
      <c r="BX2519" s="16"/>
      <c r="BY2519" s="16"/>
    </row>
    <row r="2520">
      <c r="A2520" s="16"/>
      <c r="B2520" s="16"/>
      <c r="C2520" s="22"/>
      <c r="D2520" s="16"/>
      <c r="E2520" s="16"/>
      <c r="F2520" s="16"/>
      <c r="G2520" s="16"/>
      <c r="H2520" s="16"/>
      <c r="I2520" s="23"/>
      <c r="J2520" s="23"/>
      <c r="K2520" s="16"/>
      <c r="L2520" s="23"/>
      <c r="M2520" s="23"/>
      <c r="N2520" s="23"/>
      <c r="O2520" s="16"/>
      <c r="P2520" s="23"/>
      <c r="Q2520" s="23"/>
      <c r="R2520" s="23"/>
      <c r="S2520" s="16"/>
      <c r="T2520" s="23"/>
      <c r="U2520" s="23"/>
      <c r="V2520" s="23"/>
      <c r="W2520" s="16"/>
      <c r="X2520" s="23"/>
      <c r="Y2520" s="23"/>
      <c r="Z2520" s="23"/>
      <c r="AA2520" s="16"/>
      <c r="AB2520" s="23"/>
      <c r="AC2520" s="23"/>
      <c r="AD2520" s="23"/>
      <c r="AE2520" s="16"/>
      <c r="AF2520" s="23"/>
      <c r="AG2520" s="23"/>
      <c r="AH2520" s="23"/>
      <c r="AI2520" s="16"/>
      <c r="AJ2520" s="23"/>
      <c r="AK2520" s="23"/>
      <c r="AL2520" s="23"/>
      <c r="AM2520" s="16"/>
      <c r="AN2520" s="23"/>
      <c r="AO2520" s="23"/>
      <c r="AP2520" s="23"/>
      <c r="AQ2520" s="16"/>
      <c r="AR2520" s="23"/>
      <c r="AS2520" s="23"/>
      <c r="AT2520" s="23"/>
      <c r="AU2520" s="16"/>
      <c r="AV2520" s="23"/>
      <c r="AW2520" s="23"/>
      <c r="AX2520" s="23"/>
      <c r="AY2520" s="16"/>
      <c r="AZ2520" s="23"/>
      <c r="BA2520" s="23"/>
      <c r="BB2520" s="23"/>
      <c r="BC2520" s="16"/>
      <c r="BD2520" s="23"/>
      <c r="BE2520" s="23"/>
      <c r="BF2520" s="23"/>
      <c r="BG2520" s="16"/>
      <c r="BH2520" s="23"/>
      <c r="BI2520" s="23"/>
      <c r="BJ2520" s="23"/>
      <c r="BN2520" s="23"/>
      <c r="BO2520" s="23"/>
      <c r="BP2520" s="16"/>
      <c r="BQ2520" s="16"/>
      <c r="BR2520" s="23"/>
      <c r="BS2520" s="16"/>
      <c r="BT2520" s="16"/>
      <c r="BU2520" s="16"/>
      <c r="BV2520" s="16"/>
      <c r="BW2520" s="16"/>
      <c r="BX2520" s="16"/>
      <c r="BY2520" s="16"/>
    </row>
    <row r="2521">
      <c r="A2521" s="16"/>
      <c r="B2521" s="16"/>
      <c r="C2521" s="22"/>
      <c r="D2521" s="16"/>
      <c r="E2521" s="16"/>
      <c r="F2521" s="16"/>
      <c r="G2521" s="16"/>
      <c r="H2521" s="16"/>
      <c r="I2521" s="23"/>
      <c r="J2521" s="23"/>
      <c r="K2521" s="16"/>
      <c r="L2521" s="23"/>
      <c r="M2521" s="23"/>
      <c r="N2521" s="23"/>
      <c r="O2521" s="16"/>
      <c r="P2521" s="23"/>
      <c r="Q2521" s="23"/>
      <c r="R2521" s="23"/>
      <c r="S2521" s="16"/>
      <c r="T2521" s="23"/>
      <c r="U2521" s="23"/>
      <c r="V2521" s="23"/>
      <c r="W2521" s="16"/>
      <c r="X2521" s="23"/>
      <c r="Y2521" s="23"/>
      <c r="Z2521" s="23"/>
      <c r="AA2521" s="16"/>
      <c r="AB2521" s="23"/>
      <c r="AC2521" s="23"/>
      <c r="AD2521" s="23"/>
      <c r="AE2521" s="16"/>
      <c r="AF2521" s="23"/>
      <c r="AG2521" s="23"/>
      <c r="AH2521" s="23"/>
      <c r="AI2521" s="16"/>
      <c r="AJ2521" s="23"/>
      <c r="AK2521" s="23"/>
      <c r="AL2521" s="23"/>
      <c r="AM2521" s="16"/>
      <c r="AN2521" s="23"/>
      <c r="AO2521" s="23"/>
      <c r="AP2521" s="23"/>
      <c r="AQ2521" s="16"/>
      <c r="AR2521" s="23"/>
      <c r="AS2521" s="23"/>
      <c r="AT2521" s="23"/>
      <c r="AU2521" s="16"/>
      <c r="AV2521" s="23"/>
      <c r="AW2521" s="23"/>
      <c r="AX2521" s="23"/>
      <c r="AY2521" s="16"/>
      <c r="AZ2521" s="23"/>
      <c r="BA2521" s="23"/>
      <c r="BB2521" s="23"/>
      <c r="BC2521" s="16"/>
      <c r="BD2521" s="23"/>
      <c r="BE2521" s="23"/>
      <c r="BF2521" s="23"/>
      <c r="BG2521" s="16"/>
      <c r="BH2521" s="23"/>
      <c r="BI2521" s="23"/>
      <c r="BJ2521" s="23"/>
      <c r="BN2521" s="23"/>
      <c r="BO2521" s="23"/>
      <c r="BP2521" s="16"/>
      <c r="BQ2521" s="16"/>
      <c r="BR2521" s="23"/>
      <c r="BS2521" s="16"/>
      <c r="BT2521" s="16"/>
      <c r="BU2521" s="16"/>
      <c r="BV2521" s="16"/>
      <c r="BW2521" s="16"/>
      <c r="BX2521" s="16"/>
      <c r="BY2521" s="16"/>
    </row>
    <row r="2522">
      <c r="A2522" s="16"/>
      <c r="B2522" s="16"/>
      <c r="C2522" s="22"/>
      <c r="D2522" s="16"/>
      <c r="E2522" s="16"/>
      <c r="F2522" s="16"/>
      <c r="G2522" s="16"/>
      <c r="H2522" s="16"/>
      <c r="I2522" s="23"/>
      <c r="J2522" s="23"/>
      <c r="K2522" s="16"/>
      <c r="L2522" s="23"/>
      <c r="M2522" s="23"/>
      <c r="N2522" s="23"/>
      <c r="O2522" s="16"/>
      <c r="P2522" s="23"/>
      <c r="Q2522" s="23"/>
      <c r="R2522" s="23"/>
      <c r="S2522" s="16"/>
      <c r="T2522" s="23"/>
      <c r="U2522" s="23"/>
      <c r="V2522" s="23"/>
      <c r="W2522" s="16"/>
      <c r="X2522" s="23"/>
      <c r="Y2522" s="23"/>
      <c r="Z2522" s="23"/>
      <c r="AA2522" s="16"/>
      <c r="AB2522" s="23"/>
      <c r="AC2522" s="23"/>
      <c r="AD2522" s="23"/>
      <c r="AE2522" s="16"/>
      <c r="AF2522" s="23"/>
      <c r="AG2522" s="23"/>
      <c r="AH2522" s="23"/>
      <c r="AI2522" s="16"/>
      <c r="AJ2522" s="23"/>
      <c r="AK2522" s="23"/>
      <c r="AL2522" s="23"/>
      <c r="AM2522" s="16"/>
      <c r="AN2522" s="23"/>
      <c r="AO2522" s="23"/>
      <c r="AP2522" s="23"/>
      <c r="AQ2522" s="16"/>
      <c r="AR2522" s="23"/>
      <c r="AS2522" s="23"/>
      <c r="AT2522" s="23"/>
      <c r="AU2522" s="16"/>
      <c r="AV2522" s="23"/>
      <c r="AW2522" s="23"/>
      <c r="AX2522" s="23"/>
      <c r="AY2522" s="16"/>
      <c r="AZ2522" s="23"/>
      <c r="BA2522" s="23"/>
      <c r="BB2522" s="23"/>
      <c r="BC2522" s="16"/>
      <c r="BD2522" s="23"/>
      <c r="BE2522" s="23"/>
      <c r="BF2522" s="23"/>
      <c r="BG2522" s="16"/>
      <c r="BH2522" s="23"/>
      <c r="BI2522" s="23"/>
      <c r="BJ2522" s="23"/>
      <c r="BN2522" s="23"/>
      <c r="BO2522" s="23"/>
      <c r="BP2522" s="16"/>
      <c r="BQ2522" s="16"/>
      <c r="BR2522" s="23"/>
      <c r="BS2522" s="16"/>
      <c r="BT2522" s="16"/>
      <c r="BU2522" s="16"/>
      <c r="BV2522" s="16"/>
      <c r="BW2522" s="16"/>
      <c r="BX2522" s="16"/>
      <c r="BY2522" s="16"/>
    </row>
    <row r="2523">
      <c r="A2523" s="16"/>
      <c r="B2523" s="16"/>
      <c r="C2523" s="22"/>
      <c r="D2523" s="16"/>
      <c r="E2523" s="16"/>
      <c r="F2523" s="16"/>
      <c r="G2523" s="16"/>
      <c r="H2523" s="16"/>
      <c r="I2523" s="23"/>
      <c r="J2523" s="23"/>
      <c r="K2523" s="16"/>
      <c r="L2523" s="23"/>
      <c r="M2523" s="23"/>
      <c r="N2523" s="23"/>
      <c r="O2523" s="16"/>
      <c r="P2523" s="23"/>
      <c r="Q2523" s="23"/>
      <c r="R2523" s="23"/>
      <c r="S2523" s="16"/>
      <c r="T2523" s="23"/>
      <c r="U2523" s="23"/>
      <c r="V2523" s="23"/>
      <c r="W2523" s="16"/>
      <c r="X2523" s="23"/>
      <c r="Y2523" s="23"/>
      <c r="Z2523" s="23"/>
      <c r="AA2523" s="16"/>
      <c r="AB2523" s="23"/>
      <c r="AC2523" s="23"/>
      <c r="AD2523" s="23"/>
      <c r="AE2523" s="16"/>
      <c r="AF2523" s="23"/>
      <c r="AG2523" s="23"/>
      <c r="AH2523" s="23"/>
      <c r="AI2523" s="16"/>
      <c r="AJ2523" s="23"/>
      <c r="AK2523" s="23"/>
      <c r="AL2523" s="23"/>
      <c r="AM2523" s="16"/>
      <c r="AN2523" s="23"/>
      <c r="AO2523" s="23"/>
      <c r="AP2523" s="23"/>
      <c r="AQ2523" s="16"/>
      <c r="AR2523" s="23"/>
      <c r="AS2523" s="23"/>
      <c r="AT2523" s="23"/>
      <c r="AU2523" s="16"/>
      <c r="AV2523" s="23"/>
      <c r="AW2523" s="23"/>
      <c r="AX2523" s="23"/>
      <c r="AY2523" s="16"/>
      <c r="AZ2523" s="23"/>
      <c r="BA2523" s="23"/>
      <c r="BB2523" s="23"/>
      <c r="BC2523" s="16"/>
      <c r="BD2523" s="23"/>
      <c r="BE2523" s="23"/>
      <c r="BF2523" s="23"/>
      <c r="BG2523" s="16"/>
      <c r="BH2523" s="23"/>
      <c r="BI2523" s="23"/>
      <c r="BJ2523" s="23"/>
      <c r="BN2523" s="23"/>
      <c r="BO2523" s="23"/>
      <c r="BP2523" s="16"/>
      <c r="BQ2523" s="16"/>
      <c r="BR2523" s="23"/>
      <c r="BS2523" s="16"/>
      <c r="BT2523" s="16"/>
      <c r="BU2523" s="16"/>
      <c r="BV2523" s="16"/>
      <c r="BW2523" s="16"/>
      <c r="BX2523" s="16"/>
      <c r="BY2523" s="16"/>
    </row>
    <row r="2524">
      <c r="A2524" s="16"/>
      <c r="B2524" s="16"/>
      <c r="C2524" s="22"/>
      <c r="D2524" s="16"/>
      <c r="E2524" s="16"/>
      <c r="F2524" s="16"/>
      <c r="G2524" s="16"/>
      <c r="H2524" s="16"/>
      <c r="I2524" s="23"/>
      <c r="J2524" s="23"/>
      <c r="K2524" s="16"/>
      <c r="L2524" s="23"/>
      <c r="M2524" s="23"/>
      <c r="N2524" s="23"/>
      <c r="O2524" s="16"/>
      <c r="P2524" s="23"/>
      <c r="Q2524" s="23"/>
      <c r="R2524" s="23"/>
      <c r="S2524" s="16"/>
      <c r="T2524" s="23"/>
      <c r="U2524" s="23"/>
      <c r="V2524" s="23"/>
      <c r="W2524" s="16"/>
      <c r="X2524" s="23"/>
      <c r="Y2524" s="23"/>
      <c r="Z2524" s="23"/>
      <c r="AA2524" s="16"/>
      <c r="AB2524" s="23"/>
      <c r="AC2524" s="23"/>
      <c r="AD2524" s="23"/>
      <c r="AE2524" s="16"/>
      <c r="AF2524" s="23"/>
      <c r="AG2524" s="23"/>
      <c r="AH2524" s="23"/>
      <c r="AI2524" s="16"/>
      <c r="AJ2524" s="23"/>
      <c r="AK2524" s="23"/>
      <c r="AL2524" s="23"/>
      <c r="AM2524" s="16"/>
      <c r="AN2524" s="23"/>
      <c r="AO2524" s="23"/>
      <c r="AP2524" s="23"/>
      <c r="AQ2524" s="16"/>
      <c r="AR2524" s="23"/>
      <c r="AS2524" s="23"/>
      <c r="AT2524" s="23"/>
      <c r="AU2524" s="16"/>
      <c r="AV2524" s="23"/>
      <c r="AW2524" s="23"/>
      <c r="AX2524" s="23"/>
      <c r="AY2524" s="16"/>
      <c r="AZ2524" s="23"/>
      <c r="BA2524" s="23"/>
      <c r="BB2524" s="23"/>
      <c r="BC2524" s="16"/>
      <c r="BD2524" s="23"/>
      <c r="BE2524" s="23"/>
      <c r="BF2524" s="23"/>
      <c r="BG2524" s="16"/>
      <c r="BH2524" s="23"/>
      <c r="BI2524" s="23"/>
      <c r="BJ2524" s="23"/>
      <c r="BN2524" s="23"/>
      <c r="BO2524" s="23"/>
      <c r="BP2524" s="16"/>
      <c r="BQ2524" s="16"/>
      <c r="BR2524" s="23"/>
      <c r="BS2524" s="16"/>
      <c r="BT2524" s="16"/>
      <c r="BU2524" s="16"/>
      <c r="BV2524" s="16"/>
      <c r="BW2524" s="16"/>
      <c r="BX2524" s="16"/>
      <c r="BY2524" s="16"/>
    </row>
    <row r="2525">
      <c r="A2525" s="16"/>
      <c r="B2525" s="16"/>
      <c r="C2525" s="22"/>
      <c r="D2525" s="16"/>
      <c r="E2525" s="16"/>
      <c r="F2525" s="16"/>
      <c r="G2525" s="16"/>
      <c r="H2525" s="16"/>
      <c r="I2525" s="23"/>
      <c r="J2525" s="23"/>
      <c r="K2525" s="16"/>
      <c r="L2525" s="23"/>
      <c r="M2525" s="23"/>
      <c r="N2525" s="23"/>
      <c r="O2525" s="16"/>
      <c r="P2525" s="23"/>
      <c r="Q2525" s="23"/>
      <c r="R2525" s="23"/>
      <c r="S2525" s="16"/>
      <c r="T2525" s="23"/>
      <c r="U2525" s="23"/>
      <c r="V2525" s="23"/>
      <c r="W2525" s="16"/>
      <c r="X2525" s="23"/>
      <c r="Y2525" s="23"/>
      <c r="Z2525" s="23"/>
      <c r="AA2525" s="16"/>
      <c r="AB2525" s="23"/>
      <c r="AC2525" s="23"/>
      <c r="AD2525" s="23"/>
      <c r="AE2525" s="16"/>
      <c r="AF2525" s="23"/>
      <c r="AG2525" s="23"/>
      <c r="AH2525" s="23"/>
      <c r="AI2525" s="16"/>
      <c r="AJ2525" s="23"/>
      <c r="AK2525" s="23"/>
      <c r="AL2525" s="23"/>
      <c r="AM2525" s="16"/>
      <c r="AN2525" s="23"/>
      <c r="AO2525" s="23"/>
      <c r="AP2525" s="23"/>
      <c r="AQ2525" s="16"/>
      <c r="AR2525" s="23"/>
      <c r="AS2525" s="23"/>
      <c r="AT2525" s="23"/>
      <c r="AU2525" s="16"/>
      <c r="AV2525" s="23"/>
      <c r="AW2525" s="23"/>
      <c r="AX2525" s="23"/>
      <c r="AY2525" s="16"/>
      <c r="AZ2525" s="23"/>
      <c r="BA2525" s="23"/>
      <c r="BB2525" s="23"/>
      <c r="BC2525" s="16"/>
      <c r="BD2525" s="23"/>
      <c r="BE2525" s="23"/>
      <c r="BF2525" s="23"/>
      <c r="BG2525" s="16"/>
      <c r="BH2525" s="23"/>
      <c r="BI2525" s="23"/>
      <c r="BJ2525" s="23"/>
      <c r="BN2525" s="23"/>
      <c r="BO2525" s="23"/>
      <c r="BP2525" s="16"/>
      <c r="BQ2525" s="16"/>
      <c r="BR2525" s="23"/>
      <c r="BS2525" s="16"/>
      <c r="BT2525" s="16"/>
      <c r="BU2525" s="16"/>
      <c r="BV2525" s="16"/>
      <c r="BW2525" s="16"/>
      <c r="BX2525" s="16"/>
      <c r="BY2525" s="16"/>
    </row>
    <row r="2526">
      <c r="A2526" s="16"/>
      <c r="B2526" s="16"/>
      <c r="C2526" s="22"/>
      <c r="D2526" s="16"/>
      <c r="E2526" s="16"/>
      <c r="F2526" s="16"/>
      <c r="G2526" s="16"/>
      <c r="H2526" s="16"/>
      <c r="I2526" s="23"/>
      <c r="J2526" s="23"/>
      <c r="K2526" s="16"/>
      <c r="L2526" s="23"/>
      <c r="M2526" s="23"/>
      <c r="N2526" s="23"/>
      <c r="O2526" s="16"/>
      <c r="P2526" s="23"/>
      <c r="Q2526" s="23"/>
      <c r="R2526" s="23"/>
      <c r="S2526" s="16"/>
      <c r="T2526" s="23"/>
      <c r="U2526" s="23"/>
      <c r="V2526" s="23"/>
      <c r="W2526" s="16"/>
      <c r="X2526" s="23"/>
      <c r="Y2526" s="23"/>
      <c r="Z2526" s="23"/>
      <c r="AA2526" s="16"/>
      <c r="AB2526" s="23"/>
      <c r="AC2526" s="23"/>
      <c r="AD2526" s="23"/>
      <c r="AE2526" s="16"/>
      <c r="AF2526" s="23"/>
      <c r="AG2526" s="23"/>
      <c r="AH2526" s="23"/>
      <c r="AI2526" s="16"/>
      <c r="AJ2526" s="23"/>
      <c r="AK2526" s="23"/>
      <c r="AL2526" s="23"/>
      <c r="AM2526" s="16"/>
      <c r="AN2526" s="23"/>
      <c r="AO2526" s="23"/>
      <c r="AP2526" s="23"/>
      <c r="AQ2526" s="16"/>
      <c r="AR2526" s="23"/>
      <c r="AS2526" s="23"/>
      <c r="AT2526" s="23"/>
      <c r="AU2526" s="16"/>
      <c r="AV2526" s="23"/>
      <c r="AW2526" s="23"/>
      <c r="AX2526" s="23"/>
      <c r="AY2526" s="16"/>
      <c r="AZ2526" s="23"/>
      <c r="BA2526" s="23"/>
      <c r="BB2526" s="23"/>
      <c r="BC2526" s="16"/>
      <c r="BD2526" s="23"/>
      <c r="BE2526" s="23"/>
      <c r="BF2526" s="23"/>
      <c r="BG2526" s="16"/>
      <c r="BH2526" s="23"/>
      <c r="BI2526" s="23"/>
      <c r="BJ2526" s="23"/>
      <c r="BN2526" s="23"/>
      <c r="BO2526" s="23"/>
      <c r="BP2526" s="16"/>
      <c r="BQ2526" s="16"/>
      <c r="BR2526" s="23"/>
      <c r="BS2526" s="16"/>
      <c r="BT2526" s="16"/>
      <c r="BU2526" s="16"/>
      <c r="BV2526" s="16"/>
      <c r="BW2526" s="16"/>
      <c r="BX2526" s="16"/>
      <c r="BY2526" s="16"/>
    </row>
    <row r="2527">
      <c r="A2527" s="16"/>
      <c r="B2527" s="16"/>
      <c r="C2527" s="22"/>
      <c r="D2527" s="16"/>
      <c r="E2527" s="16"/>
      <c r="F2527" s="16"/>
      <c r="G2527" s="16"/>
      <c r="H2527" s="16"/>
      <c r="I2527" s="23"/>
      <c r="J2527" s="23"/>
      <c r="K2527" s="16"/>
      <c r="L2527" s="23"/>
      <c r="M2527" s="23"/>
      <c r="N2527" s="23"/>
      <c r="O2527" s="16"/>
      <c r="P2527" s="23"/>
      <c r="Q2527" s="23"/>
      <c r="R2527" s="23"/>
      <c r="S2527" s="16"/>
      <c r="T2527" s="23"/>
      <c r="U2527" s="23"/>
      <c r="V2527" s="23"/>
      <c r="W2527" s="16"/>
      <c r="X2527" s="23"/>
      <c r="Y2527" s="23"/>
      <c r="Z2527" s="23"/>
      <c r="AA2527" s="16"/>
      <c r="AB2527" s="23"/>
      <c r="AC2527" s="23"/>
      <c r="AD2527" s="23"/>
      <c r="AE2527" s="16"/>
      <c r="AF2527" s="23"/>
      <c r="AG2527" s="23"/>
      <c r="AH2527" s="23"/>
      <c r="AI2527" s="16"/>
      <c r="AJ2527" s="23"/>
      <c r="AK2527" s="23"/>
      <c r="AL2527" s="23"/>
      <c r="AM2527" s="16"/>
      <c r="AN2527" s="23"/>
      <c r="AO2527" s="23"/>
      <c r="AP2527" s="23"/>
      <c r="AQ2527" s="16"/>
      <c r="AR2527" s="23"/>
      <c r="AS2527" s="23"/>
      <c r="AT2527" s="23"/>
      <c r="AU2527" s="16"/>
      <c r="AV2527" s="23"/>
      <c r="AW2527" s="23"/>
      <c r="AX2527" s="23"/>
      <c r="AY2527" s="16"/>
      <c r="AZ2527" s="23"/>
      <c r="BA2527" s="23"/>
      <c r="BB2527" s="23"/>
      <c r="BC2527" s="16"/>
      <c r="BD2527" s="23"/>
      <c r="BE2527" s="23"/>
      <c r="BF2527" s="23"/>
      <c r="BG2527" s="16"/>
      <c r="BH2527" s="23"/>
      <c r="BI2527" s="23"/>
      <c r="BJ2527" s="23"/>
      <c r="BN2527" s="23"/>
      <c r="BO2527" s="23"/>
      <c r="BP2527" s="16"/>
      <c r="BQ2527" s="16"/>
      <c r="BR2527" s="23"/>
      <c r="BS2527" s="16"/>
      <c r="BT2527" s="16"/>
      <c r="BU2527" s="16"/>
      <c r="BV2527" s="16"/>
      <c r="BW2527" s="16"/>
      <c r="BX2527" s="16"/>
      <c r="BY2527" s="16"/>
    </row>
    <row r="2528">
      <c r="A2528" s="16"/>
      <c r="B2528" s="16"/>
      <c r="C2528" s="22"/>
      <c r="D2528" s="16"/>
      <c r="E2528" s="16"/>
      <c r="F2528" s="16"/>
      <c r="G2528" s="16"/>
      <c r="H2528" s="16"/>
      <c r="I2528" s="23"/>
      <c r="J2528" s="23"/>
      <c r="K2528" s="16"/>
      <c r="L2528" s="23"/>
      <c r="M2528" s="23"/>
      <c r="N2528" s="23"/>
      <c r="O2528" s="16"/>
      <c r="P2528" s="23"/>
      <c r="Q2528" s="23"/>
      <c r="R2528" s="23"/>
      <c r="S2528" s="16"/>
      <c r="T2528" s="23"/>
      <c r="U2528" s="23"/>
      <c r="V2528" s="23"/>
      <c r="W2528" s="16"/>
      <c r="X2528" s="23"/>
      <c r="Y2528" s="23"/>
      <c r="Z2528" s="23"/>
      <c r="AA2528" s="16"/>
      <c r="AB2528" s="23"/>
      <c r="AC2528" s="23"/>
      <c r="AD2528" s="23"/>
      <c r="AE2528" s="16"/>
      <c r="AF2528" s="23"/>
      <c r="AG2528" s="23"/>
      <c r="AH2528" s="23"/>
      <c r="AI2528" s="16"/>
      <c r="AJ2528" s="23"/>
      <c r="AK2528" s="23"/>
      <c r="AL2528" s="23"/>
      <c r="AM2528" s="16"/>
      <c r="AN2528" s="23"/>
      <c r="AO2528" s="23"/>
      <c r="AP2528" s="23"/>
      <c r="AQ2528" s="16"/>
      <c r="AR2528" s="23"/>
      <c r="AS2528" s="23"/>
      <c r="AT2528" s="23"/>
      <c r="AU2528" s="16"/>
      <c r="AV2528" s="23"/>
      <c r="AW2528" s="23"/>
      <c r="AX2528" s="23"/>
      <c r="AY2528" s="16"/>
      <c r="AZ2528" s="23"/>
      <c r="BA2528" s="23"/>
      <c r="BB2528" s="23"/>
      <c r="BC2528" s="16"/>
      <c r="BD2528" s="23"/>
      <c r="BE2528" s="23"/>
      <c r="BF2528" s="23"/>
      <c r="BG2528" s="16"/>
      <c r="BH2528" s="23"/>
      <c r="BI2528" s="23"/>
      <c r="BJ2528" s="23"/>
      <c r="BN2528" s="23"/>
      <c r="BO2528" s="23"/>
      <c r="BP2528" s="16"/>
      <c r="BQ2528" s="16"/>
      <c r="BR2528" s="23"/>
      <c r="BS2528" s="16"/>
      <c r="BT2528" s="16"/>
      <c r="BU2528" s="16"/>
      <c r="BV2528" s="16"/>
      <c r="BW2528" s="16"/>
      <c r="BX2528" s="16"/>
      <c r="BY2528" s="16"/>
    </row>
    <row r="2529">
      <c r="A2529" s="16"/>
      <c r="B2529" s="16"/>
      <c r="C2529" s="22"/>
      <c r="D2529" s="16"/>
      <c r="E2529" s="16"/>
      <c r="F2529" s="16"/>
      <c r="G2529" s="16"/>
      <c r="H2529" s="16"/>
      <c r="I2529" s="23"/>
      <c r="J2529" s="23"/>
      <c r="K2529" s="16"/>
      <c r="L2529" s="23"/>
      <c r="M2529" s="23"/>
      <c r="N2529" s="23"/>
      <c r="O2529" s="16"/>
      <c r="P2529" s="23"/>
      <c r="Q2529" s="23"/>
      <c r="R2529" s="23"/>
      <c r="S2529" s="16"/>
      <c r="T2529" s="23"/>
      <c r="U2529" s="23"/>
      <c r="V2529" s="23"/>
      <c r="W2529" s="16"/>
      <c r="X2529" s="23"/>
      <c r="Y2529" s="23"/>
      <c r="Z2529" s="23"/>
      <c r="AA2529" s="16"/>
      <c r="AB2529" s="23"/>
      <c r="AC2529" s="23"/>
      <c r="AD2529" s="23"/>
      <c r="AE2529" s="16"/>
      <c r="AF2529" s="23"/>
      <c r="AG2529" s="23"/>
      <c r="AH2529" s="23"/>
      <c r="AI2529" s="16"/>
      <c r="AJ2529" s="23"/>
      <c r="AK2529" s="23"/>
      <c r="AL2529" s="23"/>
      <c r="AM2529" s="16"/>
      <c r="AN2529" s="23"/>
      <c r="AO2529" s="23"/>
      <c r="AP2529" s="23"/>
      <c r="AQ2529" s="16"/>
      <c r="AR2529" s="23"/>
      <c r="AS2529" s="23"/>
      <c r="AT2529" s="23"/>
      <c r="AU2529" s="16"/>
      <c r="AV2529" s="23"/>
      <c r="AW2529" s="23"/>
      <c r="AX2529" s="23"/>
      <c r="AY2529" s="16"/>
      <c r="AZ2529" s="23"/>
      <c r="BA2529" s="23"/>
      <c r="BB2529" s="23"/>
      <c r="BC2529" s="16"/>
      <c r="BD2529" s="23"/>
      <c r="BE2529" s="23"/>
      <c r="BF2529" s="23"/>
      <c r="BG2529" s="16"/>
      <c r="BH2529" s="23"/>
      <c r="BI2529" s="23"/>
      <c r="BJ2529" s="23"/>
      <c r="BN2529" s="23"/>
      <c r="BO2529" s="23"/>
      <c r="BP2529" s="16"/>
      <c r="BQ2529" s="16"/>
      <c r="BR2529" s="23"/>
      <c r="BS2529" s="16"/>
      <c r="BT2529" s="16"/>
      <c r="BU2529" s="16"/>
      <c r="BV2529" s="16"/>
      <c r="BW2529" s="16"/>
      <c r="BX2529" s="16"/>
      <c r="BY2529" s="16"/>
    </row>
    <row r="2530">
      <c r="A2530" s="16"/>
      <c r="B2530" s="16"/>
      <c r="C2530" s="22"/>
      <c r="D2530" s="16"/>
      <c r="E2530" s="16"/>
      <c r="F2530" s="16"/>
      <c r="G2530" s="16"/>
      <c r="H2530" s="16"/>
      <c r="I2530" s="23"/>
      <c r="J2530" s="23"/>
      <c r="K2530" s="16"/>
      <c r="L2530" s="23"/>
      <c r="M2530" s="23"/>
      <c r="N2530" s="23"/>
      <c r="O2530" s="16"/>
      <c r="P2530" s="23"/>
      <c r="Q2530" s="23"/>
      <c r="R2530" s="23"/>
      <c r="S2530" s="16"/>
      <c r="T2530" s="23"/>
      <c r="U2530" s="23"/>
      <c r="V2530" s="23"/>
      <c r="W2530" s="16"/>
      <c r="X2530" s="23"/>
      <c r="Y2530" s="23"/>
      <c r="Z2530" s="23"/>
      <c r="AA2530" s="16"/>
      <c r="AB2530" s="23"/>
      <c r="AC2530" s="23"/>
      <c r="AD2530" s="23"/>
      <c r="AE2530" s="16"/>
      <c r="AF2530" s="23"/>
      <c r="AG2530" s="23"/>
      <c r="AH2530" s="23"/>
      <c r="AI2530" s="16"/>
      <c r="AJ2530" s="23"/>
      <c r="AK2530" s="23"/>
      <c r="AL2530" s="23"/>
      <c r="AM2530" s="16"/>
      <c r="AN2530" s="23"/>
      <c r="AO2530" s="23"/>
      <c r="AP2530" s="23"/>
      <c r="AQ2530" s="16"/>
      <c r="AR2530" s="23"/>
      <c r="AS2530" s="23"/>
      <c r="AT2530" s="23"/>
      <c r="AU2530" s="16"/>
      <c r="AV2530" s="23"/>
      <c r="AW2530" s="23"/>
      <c r="AX2530" s="23"/>
      <c r="AY2530" s="16"/>
      <c r="AZ2530" s="23"/>
      <c r="BA2530" s="23"/>
      <c r="BB2530" s="23"/>
      <c r="BC2530" s="16"/>
      <c r="BD2530" s="23"/>
      <c r="BE2530" s="23"/>
      <c r="BF2530" s="23"/>
      <c r="BG2530" s="16"/>
      <c r="BH2530" s="23"/>
      <c r="BI2530" s="23"/>
      <c r="BJ2530" s="23"/>
      <c r="BN2530" s="23"/>
      <c r="BO2530" s="23"/>
      <c r="BP2530" s="16"/>
      <c r="BQ2530" s="16"/>
      <c r="BR2530" s="23"/>
      <c r="BS2530" s="16"/>
      <c r="BT2530" s="16"/>
      <c r="BU2530" s="16"/>
      <c r="BV2530" s="16"/>
      <c r="BW2530" s="16"/>
      <c r="BX2530" s="16"/>
      <c r="BY2530" s="16"/>
    </row>
    <row r="2531">
      <c r="A2531" s="16"/>
      <c r="B2531" s="16"/>
      <c r="C2531" s="22"/>
      <c r="D2531" s="16"/>
      <c r="E2531" s="16"/>
      <c r="F2531" s="16"/>
      <c r="G2531" s="16"/>
      <c r="H2531" s="16"/>
      <c r="I2531" s="23"/>
      <c r="J2531" s="23"/>
      <c r="K2531" s="16"/>
      <c r="L2531" s="23"/>
      <c r="M2531" s="23"/>
      <c r="N2531" s="23"/>
      <c r="O2531" s="16"/>
      <c r="P2531" s="23"/>
      <c r="Q2531" s="23"/>
      <c r="R2531" s="23"/>
      <c r="S2531" s="16"/>
      <c r="T2531" s="23"/>
      <c r="U2531" s="23"/>
      <c r="V2531" s="23"/>
      <c r="W2531" s="16"/>
      <c r="X2531" s="23"/>
      <c r="Y2531" s="23"/>
      <c r="Z2531" s="23"/>
      <c r="AA2531" s="16"/>
      <c r="AB2531" s="23"/>
      <c r="AC2531" s="23"/>
      <c r="AD2531" s="23"/>
      <c r="AE2531" s="16"/>
      <c r="AF2531" s="23"/>
      <c r="AG2531" s="23"/>
      <c r="AH2531" s="23"/>
      <c r="AI2531" s="16"/>
      <c r="AJ2531" s="23"/>
      <c r="AK2531" s="23"/>
      <c r="AL2531" s="23"/>
      <c r="AM2531" s="16"/>
      <c r="AN2531" s="23"/>
      <c r="AO2531" s="23"/>
      <c r="AP2531" s="23"/>
      <c r="AQ2531" s="16"/>
      <c r="AR2531" s="23"/>
      <c r="AS2531" s="23"/>
      <c r="AT2531" s="23"/>
      <c r="AU2531" s="16"/>
      <c r="AV2531" s="23"/>
      <c r="AW2531" s="23"/>
      <c r="AX2531" s="23"/>
      <c r="AY2531" s="16"/>
      <c r="AZ2531" s="23"/>
      <c r="BA2531" s="23"/>
      <c r="BB2531" s="23"/>
      <c r="BC2531" s="16"/>
      <c r="BD2531" s="23"/>
      <c r="BE2531" s="23"/>
      <c r="BF2531" s="23"/>
      <c r="BG2531" s="16"/>
      <c r="BH2531" s="23"/>
      <c r="BI2531" s="23"/>
      <c r="BJ2531" s="23"/>
      <c r="BN2531" s="23"/>
      <c r="BO2531" s="23"/>
      <c r="BP2531" s="16"/>
      <c r="BQ2531" s="16"/>
      <c r="BR2531" s="23"/>
      <c r="BS2531" s="16"/>
      <c r="BT2531" s="16"/>
      <c r="BU2531" s="16"/>
      <c r="BV2531" s="16"/>
      <c r="BW2531" s="16"/>
      <c r="BX2531" s="16"/>
      <c r="BY2531" s="16"/>
    </row>
    <row r="2532">
      <c r="A2532" s="16"/>
      <c r="B2532" s="16"/>
      <c r="C2532" s="22"/>
      <c r="D2532" s="16"/>
      <c r="E2532" s="16"/>
      <c r="F2532" s="16"/>
      <c r="G2532" s="16"/>
      <c r="H2532" s="16"/>
      <c r="I2532" s="23"/>
      <c r="J2532" s="23"/>
      <c r="K2532" s="16"/>
      <c r="L2532" s="23"/>
      <c r="M2532" s="23"/>
      <c r="N2532" s="23"/>
      <c r="O2532" s="16"/>
      <c r="P2532" s="23"/>
      <c r="Q2532" s="23"/>
      <c r="R2532" s="23"/>
      <c r="S2532" s="16"/>
      <c r="T2532" s="23"/>
      <c r="U2532" s="23"/>
      <c r="V2532" s="23"/>
      <c r="W2532" s="16"/>
      <c r="X2532" s="23"/>
      <c r="Y2532" s="23"/>
      <c r="Z2532" s="23"/>
      <c r="AA2532" s="16"/>
      <c r="AB2532" s="23"/>
      <c r="AC2532" s="23"/>
      <c r="AD2532" s="23"/>
      <c r="AE2532" s="16"/>
      <c r="AF2532" s="23"/>
      <c r="AG2532" s="23"/>
      <c r="AH2532" s="23"/>
      <c r="AI2532" s="16"/>
      <c r="AJ2532" s="23"/>
      <c r="AK2532" s="23"/>
      <c r="AL2532" s="23"/>
      <c r="AM2532" s="16"/>
      <c r="AN2532" s="23"/>
      <c r="AO2532" s="23"/>
      <c r="AP2532" s="23"/>
      <c r="AQ2532" s="16"/>
      <c r="AR2532" s="23"/>
      <c r="AS2532" s="23"/>
      <c r="AT2532" s="23"/>
      <c r="AU2532" s="16"/>
      <c r="AV2532" s="23"/>
      <c r="AW2532" s="23"/>
      <c r="AX2532" s="23"/>
      <c r="AY2532" s="16"/>
      <c r="AZ2532" s="23"/>
      <c r="BA2532" s="23"/>
      <c r="BB2532" s="23"/>
      <c r="BC2532" s="16"/>
      <c r="BD2532" s="23"/>
      <c r="BE2532" s="23"/>
      <c r="BF2532" s="23"/>
      <c r="BG2532" s="16"/>
      <c r="BH2532" s="23"/>
      <c r="BI2532" s="23"/>
      <c r="BJ2532" s="23"/>
      <c r="BN2532" s="23"/>
      <c r="BO2532" s="23"/>
      <c r="BP2532" s="16"/>
      <c r="BQ2532" s="16"/>
      <c r="BR2532" s="23"/>
      <c r="BS2532" s="16"/>
      <c r="BT2532" s="16"/>
      <c r="BU2532" s="16"/>
      <c r="BV2532" s="16"/>
      <c r="BW2532" s="16"/>
      <c r="BX2532" s="16"/>
      <c r="BY2532" s="16"/>
    </row>
    <row r="2533">
      <c r="A2533" s="16"/>
      <c r="B2533" s="16"/>
      <c r="C2533" s="22"/>
      <c r="D2533" s="16"/>
      <c r="E2533" s="16"/>
      <c r="F2533" s="16"/>
      <c r="G2533" s="16"/>
      <c r="H2533" s="16"/>
      <c r="I2533" s="23"/>
      <c r="J2533" s="23"/>
      <c r="K2533" s="16"/>
      <c r="L2533" s="23"/>
      <c r="M2533" s="23"/>
      <c r="N2533" s="23"/>
      <c r="O2533" s="16"/>
      <c r="P2533" s="23"/>
      <c r="Q2533" s="23"/>
      <c r="R2533" s="23"/>
      <c r="S2533" s="16"/>
      <c r="T2533" s="23"/>
      <c r="U2533" s="23"/>
      <c r="V2533" s="23"/>
      <c r="W2533" s="16"/>
      <c r="X2533" s="23"/>
      <c r="Y2533" s="23"/>
      <c r="Z2533" s="23"/>
      <c r="AA2533" s="16"/>
      <c r="AB2533" s="23"/>
      <c r="AC2533" s="23"/>
      <c r="AD2533" s="23"/>
      <c r="AE2533" s="16"/>
      <c r="AF2533" s="23"/>
      <c r="AG2533" s="23"/>
      <c r="AH2533" s="23"/>
      <c r="AI2533" s="16"/>
      <c r="AJ2533" s="23"/>
      <c r="AK2533" s="23"/>
      <c r="AL2533" s="23"/>
      <c r="AM2533" s="16"/>
      <c r="AN2533" s="23"/>
      <c r="AO2533" s="23"/>
      <c r="AP2533" s="23"/>
      <c r="AQ2533" s="16"/>
      <c r="AR2533" s="23"/>
      <c r="AS2533" s="23"/>
      <c r="AT2533" s="23"/>
      <c r="AU2533" s="16"/>
      <c r="AV2533" s="23"/>
      <c r="AW2533" s="23"/>
      <c r="AX2533" s="23"/>
      <c r="AY2533" s="16"/>
      <c r="AZ2533" s="23"/>
      <c r="BA2533" s="23"/>
      <c r="BB2533" s="23"/>
      <c r="BC2533" s="16"/>
      <c r="BD2533" s="23"/>
      <c r="BE2533" s="23"/>
      <c r="BF2533" s="23"/>
      <c r="BG2533" s="16"/>
      <c r="BH2533" s="23"/>
      <c r="BI2533" s="23"/>
      <c r="BJ2533" s="23"/>
      <c r="BN2533" s="23"/>
      <c r="BO2533" s="23"/>
      <c r="BP2533" s="16"/>
      <c r="BQ2533" s="16"/>
      <c r="BR2533" s="23"/>
      <c r="BS2533" s="16"/>
      <c r="BT2533" s="16"/>
      <c r="BU2533" s="16"/>
      <c r="BV2533" s="16"/>
      <c r="BW2533" s="16"/>
      <c r="BX2533" s="16"/>
      <c r="BY2533" s="16"/>
    </row>
    <row r="2534">
      <c r="A2534" s="16"/>
      <c r="B2534" s="16"/>
      <c r="C2534" s="22"/>
      <c r="D2534" s="16"/>
      <c r="E2534" s="16"/>
      <c r="F2534" s="16"/>
      <c r="G2534" s="16"/>
      <c r="H2534" s="16"/>
      <c r="I2534" s="23"/>
      <c r="J2534" s="23"/>
      <c r="K2534" s="16"/>
      <c r="L2534" s="23"/>
      <c r="M2534" s="23"/>
      <c r="N2534" s="23"/>
      <c r="O2534" s="16"/>
      <c r="P2534" s="23"/>
      <c r="Q2534" s="23"/>
      <c r="R2534" s="23"/>
      <c r="S2534" s="16"/>
      <c r="T2534" s="23"/>
      <c r="U2534" s="23"/>
      <c r="V2534" s="23"/>
      <c r="W2534" s="16"/>
      <c r="X2534" s="23"/>
      <c r="Y2534" s="23"/>
      <c r="Z2534" s="23"/>
      <c r="AA2534" s="16"/>
      <c r="AB2534" s="23"/>
      <c r="AC2534" s="23"/>
      <c r="AD2534" s="23"/>
      <c r="AE2534" s="16"/>
      <c r="AF2534" s="23"/>
      <c r="AG2534" s="23"/>
      <c r="AH2534" s="23"/>
      <c r="AI2534" s="16"/>
      <c r="AJ2534" s="23"/>
      <c r="AK2534" s="23"/>
      <c r="AL2534" s="23"/>
      <c r="AM2534" s="16"/>
      <c r="AN2534" s="23"/>
      <c r="AO2534" s="23"/>
      <c r="AP2534" s="23"/>
      <c r="AQ2534" s="16"/>
      <c r="AR2534" s="23"/>
      <c r="AS2534" s="23"/>
      <c r="AT2534" s="23"/>
      <c r="AU2534" s="16"/>
      <c r="AV2534" s="23"/>
      <c r="AW2534" s="23"/>
      <c r="AX2534" s="23"/>
      <c r="AY2534" s="16"/>
      <c r="AZ2534" s="23"/>
      <c r="BA2534" s="23"/>
      <c r="BB2534" s="23"/>
      <c r="BC2534" s="16"/>
      <c r="BD2534" s="23"/>
      <c r="BE2534" s="23"/>
      <c r="BF2534" s="23"/>
      <c r="BG2534" s="16"/>
      <c r="BH2534" s="23"/>
      <c r="BI2534" s="23"/>
      <c r="BJ2534" s="23"/>
      <c r="BN2534" s="23"/>
      <c r="BO2534" s="23"/>
      <c r="BP2534" s="16"/>
      <c r="BQ2534" s="16"/>
      <c r="BR2534" s="23"/>
      <c r="BS2534" s="16"/>
      <c r="BT2534" s="16"/>
      <c r="BU2534" s="16"/>
      <c r="BV2534" s="16"/>
      <c r="BW2534" s="16"/>
      <c r="BX2534" s="16"/>
      <c r="BY2534" s="16"/>
    </row>
    <row r="2535">
      <c r="A2535" s="16"/>
      <c r="B2535" s="16"/>
      <c r="C2535" s="22"/>
      <c r="D2535" s="16"/>
      <c r="E2535" s="16"/>
      <c r="F2535" s="16"/>
      <c r="G2535" s="16"/>
      <c r="H2535" s="16"/>
      <c r="I2535" s="23"/>
      <c r="J2535" s="23"/>
      <c r="K2535" s="16"/>
      <c r="L2535" s="23"/>
      <c r="M2535" s="23"/>
      <c r="N2535" s="23"/>
      <c r="O2535" s="16"/>
      <c r="P2535" s="23"/>
      <c r="Q2535" s="23"/>
      <c r="R2535" s="23"/>
      <c r="S2535" s="16"/>
      <c r="T2535" s="23"/>
      <c r="U2535" s="23"/>
      <c r="V2535" s="23"/>
      <c r="W2535" s="16"/>
      <c r="X2535" s="23"/>
      <c r="Y2535" s="23"/>
      <c r="Z2535" s="23"/>
      <c r="AA2535" s="16"/>
      <c r="AB2535" s="23"/>
      <c r="AC2535" s="23"/>
      <c r="AD2535" s="23"/>
      <c r="AE2535" s="16"/>
      <c r="AF2535" s="23"/>
      <c r="AG2535" s="23"/>
      <c r="AH2535" s="23"/>
      <c r="AI2535" s="16"/>
      <c r="AJ2535" s="23"/>
      <c r="AK2535" s="23"/>
      <c r="AL2535" s="23"/>
      <c r="AM2535" s="16"/>
      <c r="AN2535" s="23"/>
      <c r="AO2535" s="23"/>
      <c r="AP2535" s="23"/>
      <c r="AQ2535" s="16"/>
      <c r="AR2535" s="23"/>
      <c r="AS2535" s="23"/>
      <c r="AT2535" s="23"/>
      <c r="AU2535" s="16"/>
      <c r="AV2535" s="23"/>
      <c r="AW2535" s="23"/>
      <c r="AX2535" s="23"/>
      <c r="AY2535" s="16"/>
      <c r="AZ2535" s="23"/>
      <c r="BA2535" s="23"/>
      <c r="BB2535" s="23"/>
      <c r="BC2535" s="16"/>
      <c r="BD2535" s="23"/>
      <c r="BE2535" s="23"/>
      <c r="BF2535" s="23"/>
      <c r="BG2535" s="16"/>
      <c r="BH2535" s="23"/>
      <c r="BI2535" s="23"/>
      <c r="BJ2535" s="23"/>
      <c r="BN2535" s="23"/>
      <c r="BO2535" s="23"/>
      <c r="BP2535" s="16"/>
      <c r="BQ2535" s="16"/>
      <c r="BR2535" s="23"/>
      <c r="BS2535" s="16"/>
      <c r="BT2535" s="16"/>
      <c r="BU2535" s="16"/>
      <c r="BV2535" s="16"/>
      <c r="BW2535" s="16"/>
      <c r="BX2535" s="16"/>
      <c r="BY2535" s="16"/>
    </row>
    <row r="2536">
      <c r="A2536" s="16"/>
      <c r="B2536" s="16"/>
      <c r="C2536" s="22"/>
      <c r="D2536" s="16"/>
      <c r="E2536" s="16"/>
      <c r="F2536" s="16"/>
      <c r="G2536" s="16"/>
      <c r="H2536" s="16"/>
      <c r="I2536" s="23"/>
      <c r="J2536" s="23"/>
      <c r="K2536" s="16"/>
      <c r="L2536" s="23"/>
      <c r="M2536" s="23"/>
      <c r="N2536" s="23"/>
      <c r="O2536" s="16"/>
      <c r="P2536" s="23"/>
      <c r="Q2536" s="23"/>
      <c r="R2536" s="23"/>
      <c r="S2536" s="16"/>
      <c r="T2536" s="23"/>
      <c r="U2536" s="23"/>
      <c r="V2536" s="23"/>
      <c r="W2536" s="16"/>
      <c r="X2536" s="23"/>
      <c r="Y2536" s="23"/>
      <c r="Z2536" s="23"/>
      <c r="AA2536" s="16"/>
      <c r="AB2536" s="23"/>
      <c r="AC2536" s="23"/>
      <c r="AD2536" s="23"/>
      <c r="AE2536" s="16"/>
      <c r="AF2536" s="23"/>
      <c r="AG2536" s="23"/>
      <c r="AH2536" s="23"/>
      <c r="AI2536" s="16"/>
      <c r="AJ2536" s="23"/>
      <c r="AK2536" s="23"/>
      <c r="AL2536" s="23"/>
      <c r="AM2536" s="16"/>
      <c r="AN2536" s="23"/>
      <c r="AO2536" s="23"/>
      <c r="AP2536" s="23"/>
      <c r="AQ2536" s="16"/>
      <c r="AR2536" s="23"/>
      <c r="AS2536" s="23"/>
      <c r="AT2536" s="23"/>
      <c r="AU2536" s="16"/>
      <c r="AV2536" s="23"/>
      <c r="AW2536" s="23"/>
      <c r="AX2536" s="23"/>
      <c r="AY2536" s="16"/>
      <c r="AZ2536" s="23"/>
      <c r="BA2536" s="23"/>
      <c r="BB2536" s="23"/>
      <c r="BC2536" s="16"/>
      <c r="BD2536" s="23"/>
      <c r="BE2536" s="23"/>
      <c r="BF2536" s="23"/>
      <c r="BG2536" s="16"/>
      <c r="BH2536" s="23"/>
      <c r="BI2536" s="23"/>
      <c r="BJ2536" s="23"/>
      <c r="BN2536" s="23"/>
      <c r="BO2536" s="23"/>
      <c r="BP2536" s="16"/>
      <c r="BQ2536" s="16"/>
      <c r="BR2536" s="23"/>
      <c r="BS2536" s="16"/>
      <c r="BT2536" s="16"/>
      <c r="BU2536" s="16"/>
      <c r="BV2536" s="16"/>
      <c r="BW2536" s="16"/>
      <c r="BX2536" s="16"/>
      <c r="BY2536" s="16"/>
    </row>
    <row r="2537">
      <c r="A2537" s="16"/>
      <c r="B2537" s="16"/>
      <c r="C2537" s="22"/>
      <c r="D2537" s="16"/>
      <c r="E2537" s="16"/>
      <c r="F2537" s="16"/>
      <c r="G2537" s="16"/>
      <c r="H2537" s="16"/>
      <c r="I2537" s="23"/>
      <c r="J2537" s="23"/>
      <c r="K2537" s="16"/>
      <c r="L2537" s="23"/>
      <c r="M2537" s="23"/>
      <c r="N2537" s="23"/>
      <c r="O2537" s="16"/>
      <c r="P2537" s="23"/>
      <c r="Q2537" s="23"/>
      <c r="R2537" s="23"/>
      <c r="S2537" s="16"/>
      <c r="T2537" s="23"/>
      <c r="U2537" s="23"/>
      <c r="V2537" s="23"/>
      <c r="W2537" s="16"/>
      <c r="X2537" s="23"/>
      <c r="Y2537" s="23"/>
      <c r="Z2537" s="23"/>
      <c r="AA2537" s="16"/>
      <c r="AB2537" s="23"/>
      <c r="AC2537" s="23"/>
      <c r="AD2537" s="23"/>
      <c r="AE2537" s="16"/>
      <c r="AF2537" s="23"/>
      <c r="AG2537" s="23"/>
      <c r="AH2537" s="23"/>
      <c r="AI2537" s="16"/>
      <c r="AJ2537" s="23"/>
      <c r="AK2537" s="23"/>
      <c r="AL2537" s="23"/>
      <c r="AM2537" s="16"/>
      <c r="AN2537" s="23"/>
      <c r="AO2537" s="23"/>
      <c r="AP2537" s="23"/>
      <c r="AQ2537" s="16"/>
      <c r="AR2537" s="23"/>
      <c r="AS2537" s="23"/>
      <c r="AT2537" s="23"/>
      <c r="AU2537" s="16"/>
      <c r="AV2537" s="23"/>
      <c r="AW2537" s="23"/>
      <c r="AX2537" s="23"/>
      <c r="AY2537" s="16"/>
      <c r="AZ2537" s="23"/>
      <c r="BA2537" s="23"/>
      <c r="BB2537" s="23"/>
      <c r="BC2537" s="16"/>
      <c r="BD2537" s="23"/>
      <c r="BE2537" s="23"/>
      <c r="BF2537" s="23"/>
      <c r="BG2537" s="16"/>
      <c r="BH2537" s="23"/>
      <c r="BI2537" s="23"/>
      <c r="BJ2537" s="23"/>
      <c r="BN2537" s="23"/>
      <c r="BO2537" s="23"/>
      <c r="BP2537" s="16"/>
      <c r="BQ2537" s="16"/>
      <c r="BR2537" s="23"/>
      <c r="BS2537" s="16"/>
      <c r="BT2537" s="16"/>
      <c r="BU2537" s="16"/>
      <c r="BV2537" s="16"/>
      <c r="BW2537" s="16"/>
      <c r="BX2537" s="16"/>
      <c r="BY2537" s="16"/>
    </row>
    <row r="2538">
      <c r="A2538" s="16"/>
      <c r="B2538" s="16"/>
      <c r="C2538" s="22"/>
      <c r="D2538" s="16"/>
      <c r="E2538" s="16"/>
      <c r="F2538" s="16"/>
      <c r="G2538" s="16"/>
      <c r="H2538" s="16"/>
      <c r="I2538" s="23"/>
      <c r="J2538" s="23"/>
      <c r="K2538" s="16"/>
      <c r="L2538" s="23"/>
      <c r="M2538" s="23"/>
      <c r="N2538" s="23"/>
      <c r="O2538" s="16"/>
      <c r="P2538" s="23"/>
      <c r="Q2538" s="23"/>
      <c r="R2538" s="23"/>
      <c r="S2538" s="16"/>
      <c r="T2538" s="23"/>
      <c r="U2538" s="23"/>
      <c r="V2538" s="23"/>
      <c r="W2538" s="16"/>
      <c r="X2538" s="23"/>
      <c r="Y2538" s="23"/>
      <c r="Z2538" s="23"/>
      <c r="AA2538" s="16"/>
      <c r="AB2538" s="23"/>
      <c r="AC2538" s="23"/>
      <c r="AD2538" s="23"/>
      <c r="AE2538" s="16"/>
      <c r="AF2538" s="23"/>
      <c r="AG2538" s="23"/>
      <c r="AH2538" s="23"/>
      <c r="AI2538" s="16"/>
      <c r="AJ2538" s="23"/>
      <c r="AK2538" s="23"/>
      <c r="AL2538" s="23"/>
      <c r="AM2538" s="16"/>
      <c r="AN2538" s="23"/>
      <c r="AO2538" s="23"/>
      <c r="AP2538" s="23"/>
      <c r="AQ2538" s="16"/>
      <c r="AR2538" s="23"/>
      <c r="AS2538" s="23"/>
      <c r="AT2538" s="23"/>
      <c r="AU2538" s="16"/>
      <c r="AV2538" s="23"/>
      <c r="AW2538" s="23"/>
      <c r="AX2538" s="23"/>
      <c r="AY2538" s="16"/>
      <c r="AZ2538" s="23"/>
      <c r="BA2538" s="23"/>
      <c r="BB2538" s="23"/>
      <c r="BC2538" s="16"/>
      <c r="BD2538" s="23"/>
      <c r="BE2538" s="23"/>
      <c r="BF2538" s="23"/>
      <c r="BG2538" s="16"/>
      <c r="BH2538" s="23"/>
      <c r="BI2538" s="23"/>
      <c r="BJ2538" s="23"/>
      <c r="BN2538" s="23"/>
      <c r="BO2538" s="23"/>
      <c r="BP2538" s="16"/>
      <c r="BQ2538" s="16"/>
      <c r="BR2538" s="23"/>
      <c r="BS2538" s="16"/>
      <c r="BT2538" s="16"/>
      <c r="BU2538" s="16"/>
      <c r="BV2538" s="16"/>
      <c r="BW2538" s="16"/>
      <c r="BX2538" s="16"/>
      <c r="BY2538" s="16"/>
    </row>
    <row r="2539">
      <c r="A2539" s="16"/>
      <c r="B2539" s="16"/>
      <c r="C2539" s="22"/>
      <c r="D2539" s="16"/>
      <c r="E2539" s="16"/>
      <c r="F2539" s="16"/>
      <c r="G2539" s="16"/>
      <c r="H2539" s="16"/>
      <c r="I2539" s="23"/>
      <c r="J2539" s="23"/>
      <c r="K2539" s="16"/>
      <c r="L2539" s="23"/>
      <c r="M2539" s="23"/>
      <c r="N2539" s="23"/>
      <c r="O2539" s="16"/>
      <c r="P2539" s="23"/>
      <c r="Q2539" s="23"/>
      <c r="R2539" s="23"/>
      <c r="S2539" s="16"/>
      <c r="T2539" s="23"/>
      <c r="U2539" s="23"/>
      <c r="V2539" s="23"/>
      <c r="W2539" s="16"/>
      <c r="X2539" s="23"/>
      <c r="Y2539" s="23"/>
      <c r="Z2539" s="23"/>
      <c r="AA2539" s="16"/>
      <c r="AB2539" s="23"/>
      <c r="AC2539" s="23"/>
      <c r="AD2539" s="23"/>
      <c r="AE2539" s="16"/>
      <c r="AF2539" s="23"/>
      <c r="AG2539" s="23"/>
      <c r="AH2539" s="23"/>
      <c r="AI2539" s="16"/>
      <c r="AJ2539" s="23"/>
      <c r="AK2539" s="23"/>
      <c r="AL2539" s="23"/>
      <c r="AM2539" s="16"/>
      <c r="AN2539" s="23"/>
      <c r="AO2539" s="23"/>
      <c r="AP2539" s="23"/>
      <c r="AQ2539" s="16"/>
      <c r="AR2539" s="23"/>
      <c r="AS2539" s="23"/>
      <c r="AT2539" s="23"/>
      <c r="AU2539" s="16"/>
      <c r="AV2539" s="23"/>
      <c r="AW2539" s="23"/>
      <c r="AX2539" s="23"/>
      <c r="AY2539" s="16"/>
      <c r="AZ2539" s="23"/>
      <c r="BA2539" s="23"/>
      <c r="BB2539" s="23"/>
      <c r="BC2539" s="16"/>
      <c r="BD2539" s="23"/>
      <c r="BE2539" s="23"/>
      <c r="BF2539" s="23"/>
      <c r="BG2539" s="16"/>
      <c r="BH2539" s="23"/>
      <c r="BI2539" s="23"/>
      <c r="BJ2539" s="23"/>
      <c r="BN2539" s="23"/>
      <c r="BO2539" s="23"/>
      <c r="BP2539" s="16"/>
      <c r="BQ2539" s="16"/>
      <c r="BR2539" s="23"/>
      <c r="BS2539" s="16"/>
      <c r="BT2539" s="16"/>
      <c r="BU2539" s="16"/>
      <c r="BV2539" s="16"/>
      <c r="BW2539" s="16"/>
      <c r="BX2539" s="16"/>
      <c r="BY2539" s="16"/>
    </row>
    <row r="2540">
      <c r="A2540" s="16"/>
      <c r="B2540" s="16"/>
      <c r="C2540" s="22"/>
      <c r="D2540" s="16"/>
      <c r="E2540" s="16"/>
      <c r="F2540" s="16"/>
      <c r="G2540" s="16"/>
      <c r="H2540" s="16"/>
      <c r="I2540" s="23"/>
      <c r="J2540" s="23"/>
      <c r="K2540" s="16"/>
      <c r="L2540" s="23"/>
      <c r="M2540" s="23"/>
      <c r="N2540" s="23"/>
      <c r="O2540" s="16"/>
      <c r="P2540" s="23"/>
      <c r="Q2540" s="23"/>
      <c r="R2540" s="23"/>
      <c r="S2540" s="16"/>
      <c r="T2540" s="23"/>
      <c r="U2540" s="23"/>
      <c r="V2540" s="23"/>
      <c r="W2540" s="16"/>
      <c r="X2540" s="23"/>
      <c r="Y2540" s="23"/>
      <c r="Z2540" s="23"/>
      <c r="AA2540" s="16"/>
      <c r="AB2540" s="23"/>
      <c r="AC2540" s="23"/>
      <c r="AD2540" s="23"/>
      <c r="AE2540" s="16"/>
      <c r="AF2540" s="23"/>
      <c r="AG2540" s="23"/>
      <c r="AH2540" s="23"/>
      <c r="AI2540" s="16"/>
      <c r="AJ2540" s="23"/>
      <c r="AK2540" s="23"/>
      <c r="AL2540" s="23"/>
      <c r="AM2540" s="16"/>
      <c r="AN2540" s="23"/>
      <c r="AO2540" s="23"/>
      <c r="AP2540" s="23"/>
      <c r="AQ2540" s="16"/>
      <c r="AR2540" s="23"/>
      <c r="AS2540" s="23"/>
      <c r="AT2540" s="23"/>
      <c r="AU2540" s="16"/>
      <c r="AV2540" s="23"/>
      <c r="AW2540" s="23"/>
      <c r="AX2540" s="23"/>
      <c r="AY2540" s="16"/>
      <c r="AZ2540" s="23"/>
      <c r="BA2540" s="23"/>
      <c r="BB2540" s="23"/>
      <c r="BC2540" s="16"/>
      <c r="BD2540" s="23"/>
      <c r="BE2540" s="23"/>
      <c r="BF2540" s="23"/>
      <c r="BG2540" s="16"/>
      <c r="BH2540" s="23"/>
      <c r="BI2540" s="23"/>
      <c r="BJ2540" s="23"/>
      <c r="BN2540" s="23"/>
      <c r="BO2540" s="23"/>
      <c r="BP2540" s="16"/>
      <c r="BQ2540" s="16"/>
      <c r="BR2540" s="23"/>
      <c r="BS2540" s="16"/>
      <c r="BT2540" s="16"/>
      <c r="BU2540" s="16"/>
      <c r="BV2540" s="16"/>
      <c r="BW2540" s="16"/>
      <c r="BX2540" s="16"/>
      <c r="BY2540" s="16"/>
    </row>
    <row r="2541">
      <c r="A2541" s="16"/>
      <c r="B2541" s="16"/>
      <c r="C2541" s="22"/>
      <c r="D2541" s="16"/>
      <c r="E2541" s="16"/>
      <c r="F2541" s="16"/>
      <c r="G2541" s="16"/>
      <c r="H2541" s="16"/>
      <c r="I2541" s="23"/>
      <c r="J2541" s="23"/>
      <c r="K2541" s="16"/>
      <c r="L2541" s="23"/>
      <c r="M2541" s="23"/>
      <c r="N2541" s="23"/>
      <c r="O2541" s="16"/>
      <c r="P2541" s="23"/>
      <c r="Q2541" s="23"/>
      <c r="R2541" s="23"/>
      <c r="S2541" s="16"/>
      <c r="T2541" s="23"/>
      <c r="U2541" s="23"/>
      <c r="V2541" s="23"/>
      <c r="W2541" s="16"/>
      <c r="X2541" s="23"/>
      <c r="Y2541" s="23"/>
      <c r="Z2541" s="23"/>
      <c r="AA2541" s="16"/>
      <c r="AB2541" s="23"/>
      <c r="AC2541" s="23"/>
      <c r="AD2541" s="23"/>
      <c r="AE2541" s="16"/>
      <c r="AF2541" s="23"/>
      <c r="AG2541" s="23"/>
      <c r="AH2541" s="23"/>
      <c r="AI2541" s="16"/>
      <c r="AJ2541" s="23"/>
      <c r="AK2541" s="23"/>
      <c r="AL2541" s="23"/>
      <c r="AM2541" s="16"/>
      <c r="AN2541" s="23"/>
      <c r="AO2541" s="23"/>
      <c r="AP2541" s="23"/>
      <c r="AQ2541" s="16"/>
      <c r="AR2541" s="23"/>
      <c r="AS2541" s="23"/>
      <c r="AT2541" s="23"/>
      <c r="AU2541" s="16"/>
      <c r="AV2541" s="23"/>
      <c r="AW2541" s="23"/>
      <c r="AX2541" s="23"/>
      <c r="AY2541" s="16"/>
      <c r="AZ2541" s="23"/>
      <c r="BA2541" s="23"/>
      <c r="BB2541" s="23"/>
      <c r="BC2541" s="16"/>
      <c r="BD2541" s="23"/>
      <c r="BE2541" s="23"/>
      <c r="BF2541" s="23"/>
      <c r="BG2541" s="16"/>
      <c r="BH2541" s="23"/>
      <c r="BI2541" s="23"/>
      <c r="BJ2541" s="23"/>
      <c r="BN2541" s="23"/>
      <c r="BO2541" s="23"/>
      <c r="BP2541" s="16"/>
      <c r="BQ2541" s="16"/>
      <c r="BR2541" s="23"/>
      <c r="BS2541" s="16"/>
      <c r="BT2541" s="16"/>
      <c r="BU2541" s="16"/>
      <c r="BV2541" s="16"/>
      <c r="BW2541" s="16"/>
      <c r="BX2541" s="16"/>
      <c r="BY2541" s="16"/>
    </row>
    <row r="2542">
      <c r="A2542" s="16"/>
      <c r="B2542" s="16"/>
      <c r="C2542" s="22"/>
      <c r="D2542" s="16"/>
      <c r="E2542" s="16"/>
      <c r="F2542" s="16"/>
      <c r="G2542" s="16"/>
      <c r="H2542" s="16"/>
      <c r="I2542" s="23"/>
      <c r="J2542" s="23"/>
      <c r="K2542" s="16"/>
      <c r="L2542" s="23"/>
      <c r="M2542" s="23"/>
      <c r="N2542" s="23"/>
      <c r="O2542" s="16"/>
      <c r="P2542" s="23"/>
      <c r="Q2542" s="23"/>
      <c r="R2542" s="23"/>
      <c r="S2542" s="16"/>
      <c r="T2542" s="23"/>
      <c r="U2542" s="23"/>
      <c r="V2542" s="23"/>
      <c r="W2542" s="16"/>
      <c r="X2542" s="23"/>
      <c r="Y2542" s="23"/>
      <c r="Z2542" s="23"/>
      <c r="AA2542" s="16"/>
      <c r="AB2542" s="23"/>
      <c r="AC2542" s="23"/>
      <c r="AD2542" s="23"/>
      <c r="AE2542" s="16"/>
      <c r="AF2542" s="23"/>
      <c r="AG2542" s="23"/>
      <c r="AH2542" s="23"/>
      <c r="AI2542" s="16"/>
      <c r="AJ2542" s="23"/>
      <c r="AK2542" s="23"/>
      <c r="AL2542" s="23"/>
      <c r="AM2542" s="16"/>
      <c r="AN2542" s="23"/>
      <c r="AO2542" s="23"/>
      <c r="AP2542" s="23"/>
      <c r="AQ2542" s="16"/>
      <c r="AR2542" s="23"/>
      <c r="AS2542" s="23"/>
      <c r="AT2542" s="23"/>
      <c r="AU2542" s="16"/>
      <c r="AV2542" s="23"/>
      <c r="AW2542" s="23"/>
      <c r="AX2542" s="23"/>
      <c r="AY2542" s="16"/>
      <c r="AZ2542" s="23"/>
      <c r="BA2542" s="23"/>
      <c r="BB2542" s="23"/>
      <c r="BC2542" s="16"/>
      <c r="BD2542" s="23"/>
      <c r="BE2542" s="23"/>
      <c r="BF2542" s="23"/>
      <c r="BG2542" s="16"/>
      <c r="BH2542" s="23"/>
      <c r="BI2542" s="23"/>
      <c r="BJ2542" s="23"/>
      <c r="BN2542" s="23"/>
      <c r="BO2542" s="23"/>
      <c r="BP2542" s="16"/>
      <c r="BQ2542" s="16"/>
      <c r="BR2542" s="23"/>
      <c r="BS2542" s="16"/>
      <c r="BT2542" s="16"/>
      <c r="BU2542" s="16"/>
      <c r="BV2542" s="16"/>
      <c r="BW2542" s="16"/>
      <c r="BX2542" s="16"/>
      <c r="BY2542" s="16"/>
    </row>
    <row r="2543">
      <c r="A2543" s="16"/>
      <c r="B2543" s="16"/>
      <c r="C2543" s="22"/>
      <c r="D2543" s="16"/>
      <c r="E2543" s="16"/>
      <c r="F2543" s="16"/>
      <c r="G2543" s="16"/>
      <c r="H2543" s="16"/>
      <c r="I2543" s="23"/>
      <c r="J2543" s="23"/>
      <c r="K2543" s="16"/>
      <c r="L2543" s="23"/>
      <c r="M2543" s="23"/>
      <c r="N2543" s="23"/>
      <c r="O2543" s="16"/>
      <c r="P2543" s="23"/>
      <c r="Q2543" s="23"/>
      <c r="R2543" s="23"/>
      <c r="S2543" s="16"/>
      <c r="T2543" s="23"/>
      <c r="U2543" s="23"/>
      <c r="V2543" s="23"/>
      <c r="W2543" s="16"/>
      <c r="X2543" s="23"/>
      <c r="Y2543" s="23"/>
      <c r="Z2543" s="23"/>
      <c r="AA2543" s="16"/>
      <c r="AB2543" s="23"/>
      <c r="AC2543" s="23"/>
      <c r="AD2543" s="23"/>
      <c r="AE2543" s="16"/>
      <c r="AF2543" s="23"/>
      <c r="AG2543" s="23"/>
      <c r="AH2543" s="23"/>
      <c r="AI2543" s="16"/>
      <c r="AJ2543" s="23"/>
      <c r="AK2543" s="23"/>
      <c r="AL2543" s="23"/>
      <c r="AM2543" s="16"/>
      <c r="AN2543" s="23"/>
      <c r="AO2543" s="23"/>
      <c r="AP2543" s="23"/>
      <c r="AQ2543" s="16"/>
      <c r="AR2543" s="23"/>
      <c r="AS2543" s="23"/>
      <c r="AT2543" s="23"/>
      <c r="AU2543" s="16"/>
      <c r="AV2543" s="23"/>
      <c r="AW2543" s="23"/>
      <c r="AX2543" s="23"/>
      <c r="AY2543" s="16"/>
      <c r="AZ2543" s="23"/>
      <c r="BA2543" s="23"/>
      <c r="BB2543" s="23"/>
      <c r="BC2543" s="16"/>
      <c r="BD2543" s="23"/>
      <c r="BE2543" s="23"/>
      <c r="BF2543" s="23"/>
      <c r="BG2543" s="16"/>
      <c r="BH2543" s="23"/>
      <c r="BI2543" s="23"/>
      <c r="BJ2543" s="23"/>
      <c r="BN2543" s="23"/>
      <c r="BO2543" s="23"/>
      <c r="BP2543" s="16"/>
      <c r="BQ2543" s="16"/>
      <c r="BR2543" s="23"/>
      <c r="BS2543" s="16"/>
      <c r="BT2543" s="16"/>
      <c r="BU2543" s="16"/>
      <c r="BV2543" s="16"/>
      <c r="BW2543" s="16"/>
      <c r="BX2543" s="16"/>
      <c r="BY2543" s="16"/>
    </row>
    <row r="2544">
      <c r="A2544" s="16"/>
      <c r="B2544" s="16"/>
      <c r="C2544" s="22"/>
      <c r="D2544" s="16"/>
      <c r="E2544" s="16"/>
      <c r="F2544" s="16"/>
      <c r="G2544" s="16"/>
      <c r="H2544" s="16"/>
      <c r="I2544" s="23"/>
      <c r="J2544" s="23"/>
      <c r="K2544" s="16"/>
      <c r="L2544" s="23"/>
      <c r="M2544" s="23"/>
      <c r="N2544" s="23"/>
      <c r="O2544" s="16"/>
      <c r="P2544" s="23"/>
      <c r="Q2544" s="23"/>
      <c r="R2544" s="23"/>
      <c r="S2544" s="16"/>
      <c r="T2544" s="23"/>
      <c r="U2544" s="23"/>
      <c r="V2544" s="23"/>
      <c r="W2544" s="16"/>
      <c r="X2544" s="23"/>
      <c r="Y2544" s="23"/>
      <c r="Z2544" s="23"/>
      <c r="AA2544" s="16"/>
      <c r="AB2544" s="23"/>
      <c r="AC2544" s="23"/>
      <c r="AD2544" s="23"/>
      <c r="AE2544" s="16"/>
      <c r="AF2544" s="23"/>
      <c r="AG2544" s="23"/>
      <c r="AH2544" s="23"/>
      <c r="AI2544" s="16"/>
      <c r="AJ2544" s="23"/>
      <c r="AK2544" s="23"/>
      <c r="AL2544" s="23"/>
      <c r="AM2544" s="16"/>
      <c r="AN2544" s="23"/>
      <c r="AO2544" s="23"/>
      <c r="AP2544" s="23"/>
      <c r="AQ2544" s="16"/>
      <c r="AR2544" s="23"/>
      <c r="AS2544" s="23"/>
      <c r="AT2544" s="23"/>
      <c r="AU2544" s="16"/>
      <c r="AV2544" s="23"/>
      <c r="AW2544" s="23"/>
      <c r="AX2544" s="23"/>
      <c r="AY2544" s="16"/>
      <c r="AZ2544" s="23"/>
      <c r="BA2544" s="23"/>
      <c r="BB2544" s="23"/>
      <c r="BC2544" s="16"/>
      <c r="BD2544" s="23"/>
      <c r="BE2544" s="23"/>
      <c r="BF2544" s="23"/>
      <c r="BG2544" s="16"/>
      <c r="BH2544" s="23"/>
      <c r="BI2544" s="23"/>
      <c r="BJ2544" s="23"/>
      <c r="BN2544" s="23"/>
      <c r="BO2544" s="23"/>
      <c r="BP2544" s="16"/>
      <c r="BQ2544" s="16"/>
      <c r="BR2544" s="23"/>
      <c r="BS2544" s="16"/>
      <c r="BT2544" s="16"/>
      <c r="BU2544" s="16"/>
      <c r="BV2544" s="16"/>
      <c r="BW2544" s="16"/>
      <c r="BX2544" s="16"/>
      <c r="BY2544" s="16"/>
    </row>
    <row r="2545">
      <c r="A2545" s="16"/>
      <c r="B2545" s="16"/>
      <c r="C2545" s="22"/>
      <c r="D2545" s="16"/>
      <c r="E2545" s="16"/>
      <c r="F2545" s="16"/>
      <c r="G2545" s="16"/>
      <c r="H2545" s="16"/>
      <c r="I2545" s="23"/>
      <c r="J2545" s="23"/>
      <c r="K2545" s="16"/>
      <c r="L2545" s="23"/>
      <c r="M2545" s="23"/>
      <c r="N2545" s="23"/>
      <c r="O2545" s="16"/>
      <c r="P2545" s="23"/>
      <c r="Q2545" s="23"/>
      <c r="R2545" s="23"/>
      <c r="S2545" s="16"/>
      <c r="T2545" s="23"/>
      <c r="U2545" s="23"/>
      <c r="V2545" s="23"/>
      <c r="W2545" s="16"/>
      <c r="X2545" s="23"/>
      <c r="Y2545" s="23"/>
      <c r="Z2545" s="23"/>
      <c r="AA2545" s="16"/>
      <c r="AB2545" s="23"/>
      <c r="AC2545" s="23"/>
      <c r="AD2545" s="23"/>
      <c r="AE2545" s="16"/>
      <c r="AF2545" s="23"/>
      <c r="AG2545" s="23"/>
      <c r="AH2545" s="23"/>
      <c r="AI2545" s="16"/>
      <c r="AJ2545" s="23"/>
      <c r="AK2545" s="23"/>
      <c r="AL2545" s="23"/>
      <c r="AM2545" s="16"/>
      <c r="AN2545" s="23"/>
      <c r="AO2545" s="23"/>
      <c r="AP2545" s="23"/>
      <c r="AQ2545" s="16"/>
      <c r="AR2545" s="23"/>
      <c r="AS2545" s="23"/>
      <c r="AT2545" s="23"/>
      <c r="AU2545" s="16"/>
      <c r="AV2545" s="23"/>
      <c r="AW2545" s="23"/>
      <c r="AX2545" s="23"/>
      <c r="AY2545" s="16"/>
      <c r="AZ2545" s="23"/>
      <c r="BA2545" s="23"/>
      <c r="BB2545" s="23"/>
      <c r="BC2545" s="16"/>
      <c r="BD2545" s="23"/>
      <c r="BE2545" s="23"/>
      <c r="BF2545" s="23"/>
      <c r="BG2545" s="16"/>
      <c r="BH2545" s="23"/>
      <c r="BI2545" s="23"/>
      <c r="BJ2545" s="23"/>
      <c r="BN2545" s="23"/>
      <c r="BO2545" s="23"/>
      <c r="BP2545" s="16"/>
      <c r="BQ2545" s="16"/>
      <c r="BR2545" s="23"/>
      <c r="BS2545" s="16"/>
      <c r="BT2545" s="16"/>
      <c r="BU2545" s="16"/>
      <c r="BV2545" s="16"/>
      <c r="BW2545" s="16"/>
      <c r="BX2545" s="16"/>
      <c r="BY2545" s="16"/>
    </row>
    <row r="2546">
      <c r="A2546" s="16"/>
      <c r="B2546" s="16"/>
      <c r="C2546" s="22"/>
      <c r="D2546" s="16"/>
      <c r="E2546" s="16"/>
      <c r="F2546" s="16"/>
      <c r="G2546" s="16"/>
      <c r="H2546" s="16"/>
      <c r="I2546" s="23"/>
      <c r="J2546" s="23"/>
      <c r="K2546" s="16"/>
      <c r="L2546" s="23"/>
      <c r="M2546" s="23"/>
      <c r="N2546" s="23"/>
      <c r="O2546" s="16"/>
      <c r="P2546" s="23"/>
      <c r="Q2546" s="23"/>
      <c r="R2546" s="23"/>
      <c r="S2546" s="16"/>
      <c r="T2546" s="23"/>
      <c r="U2546" s="23"/>
      <c r="V2546" s="23"/>
      <c r="W2546" s="16"/>
      <c r="X2546" s="23"/>
      <c r="Y2546" s="23"/>
      <c r="Z2546" s="23"/>
      <c r="AA2546" s="16"/>
      <c r="AB2546" s="23"/>
      <c r="AC2546" s="23"/>
      <c r="AD2546" s="23"/>
      <c r="AE2546" s="16"/>
      <c r="AF2546" s="23"/>
      <c r="AG2546" s="23"/>
      <c r="AH2546" s="23"/>
      <c r="AI2546" s="16"/>
      <c r="AJ2546" s="23"/>
      <c r="AK2546" s="23"/>
      <c r="AL2546" s="23"/>
      <c r="AM2546" s="16"/>
      <c r="AN2546" s="23"/>
      <c r="AO2546" s="23"/>
      <c r="AP2546" s="23"/>
      <c r="AQ2546" s="16"/>
      <c r="AR2546" s="23"/>
      <c r="AS2546" s="23"/>
      <c r="AT2546" s="23"/>
      <c r="AU2546" s="16"/>
      <c r="AV2546" s="23"/>
      <c r="AW2546" s="23"/>
      <c r="AX2546" s="23"/>
      <c r="AY2546" s="16"/>
      <c r="AZ2546" s="23"/>
      <c r="BA2546" s="23"/>
      <c r="BB2546" s="23"/>
      <c r="BC2546" s="16"/>
      <c r="BD2546" s="23"/>
      <c r="BE2546" s="23"/>
      <c r="BF2546" s="23"/>
      <c r="BG2546" s="16"/>
      <c r="BH2546" s="23"/>
      <c r="BI2546" s="23"/>
      <c r="BJ2546" s="23"/>
      <c r="BN2546" s="23"/>
      <c r="BO2546" s="23"/>
      <c r="BP2546" s="16"/>
      <c r="BQ2546" s="16"/>
      <c r="BR2546" s="23"/>
      <c r="BS2546" s="16"/>
      <c r="BT2546" s="16"/>
      <c r="BU2546" s="16"/>
      <c r="BV2546" s="16"/>
      <c r="BW2546" s="16"/>
      <c r="BX2546" s="16"/>
      <c r="BY2546" s="16"/>
    </row>
    <row r="2547">
      <c r="A2547" s="16"/>
      <c r="B2547" s="16"/>
      <c r="C2547" s="22"/>
      <c r="D2547" s="16"/>
      <c r="E2547" s="16"/>
      <c r="F2547" s="16"/>
      <c r="G2547" s="16"/>
      <c r="H2547" s="16"/>
      <c r="I2547" s="23"/>
      <c r="J2547" s="23"/>
      <c r="K2547" s="16"/>
      <c r="L2547" s="23"/>
      <c r="M2547" s="23"/>
      <c r="N2547" s="23"/>
      <c r="O2547" s="16"/>
      <c r="P2547" s="23"/>
      <c r="Q2547" s="23"/>
      <c r="R2547" s="23"/>
      <c r="S2547" s="16"/>
      <c r="T2547" s="23"/>
      <c r="U2547" s="23"/>
      <c r="V2547" s="23"/>
      <c r="W2547" s="16"/>
      <c r="X2547" s="23"/>
      <c r="Y2547" s="23"/>
      <c r="Z2547" s="23"/>
      <c r="AA2547" s="16"/>
      <c r="AB2547" s="23"/>
      <c r="AC2547" s="23"/>
      <c r="AD2547" s="23"/>
      <c r="AE2547" s="16"/>
      <c r="AF2547" s="23"/>
      <c r="AG2547" s="23"/>
      <c r="AH2547" s="23"/>
      <c r="AI2547" s="16"/>
      <c r="AJ2547" s="23"/>
      <c r="AK2547" s="23"/>
      <c r="AL2547" s="23"/>
      <c r="AM2547" s="16"/>
      <c r="AN2547" s="23"/>
      <c r="AO2547" s="23"/>
      <c r="AP2547" s="23"/>
      <c r="AQ2547" s="16"/>
      <c r="AR2547" s="23"/>
      <c r="AS2547" s="23"/>
      <c r="AT2547" s="23"/>
      <c r="AU2547" s="16"/>
      <c r="AV2547" s="23"/>
      <c r="AW2547" s="23"/>
      <c r="AX2547" s="23"/>
      <c r="AY2547" s="16"/>
      <c r="AZ2547" s="23"/>
      <c r="BA2547" s="23"/>
      <c r="BB2547" s="23"/>
      <c r="BC2547" s="16"/>
      <c r="BD2547" s="23"/>
      <c r="BE2547" s="23"/>
      <c r="BF2547" s="23"/>
      <c r="BG2547" s="16"/>
      <c r="BH2547" s="23"/>
      <c r="BI2547" s="23"/>
      <c r="BJ2547" s="23"/>
      <c r="BN2547" s="23"/>
      <c r="BO2547" s="23"/>
      <c r="BP2547" s="16"/>
      <c r="BQ2547" s="16"/>
      <c r="BR2547" s="23"/>
      <c r="BS2547" s="16"/>
      <c r="BT2547" s="16"/>
      <c r="BU2547" s="16"/>
      <c r="BV2547" s="16"/>
      <c r="BW2547" s="16"/>
      <c r="BX2547" s="16"/>
      <c r="BY2547" s="16"/>
    </row>
    <row r="2548">
      <c r="A2548" s="16"/>
      <c r="B2548" s="16"/>
      <c r="C2548" s="22"/>
      <c r="D2548" s="16"/>
      <c r="E2548" s="16"/>
      <c r="F2548" s="16"/>
      <c r="G2548" s="16"/>
      <c r="H2548" s="16"/>
      <c r="I2548" s="23"/>
      <c r="J2548" s="23"/>
      <c r="K2548" s="16"/>
      <c r="L2548" s="23"/>
      <c r="M2548" s="23"/>
      <c r="N2548" s="23"/>
      <c r="O2548" s="16"/>
      <c r="P2548" s="23"/>
      <c r="Q2548" s="23"/>
      <c r="R2548" s="23"/>
      <c r="S2548" s="16"/>
      <c r="T2548" s="23"/>
      <c r="U2548" s="23"/>
      <c r="V2548" s="23"/>
      <c r="W2548" s="16"/>
      <c r="X2548" s="23"/>
      <c r="Y2548" s="23"/>
      <c r="Z2548" s="23"/>
      <c r="AA2548" s="16"/>
      <c r="AB2548" s="23"/>
      <c r="AC2548" s="23"/>
      <c r="AD2548" s="23"/>
      <c r="AE2548" s="16"/>
      <c r="AF2548" s="23"/>
      <c r="AG2548" s="23"/>
      <c r="AH2548" s="23"/>
      <c r="AI2548" s="16"/>
      <c r="AJ2548" s="23"/>
      <c r="AK2548" s="23"/>
      <c r="AL2548" s="23"/>
      <c r="AM2548" s="16"/>
      <c r="AN2548" s="23"/>
      <c r="AO2548" s="23"/>
      <c r="AP2548" s="23"/>
      <c r="AQ2548" s="16"/>
      <c r="AR2548" s="23"/>
      <c r="AS2548" s="23"/>
      <c r="AT2548" s="23"/>
      <c r="AU2548" s="16"/>
      <c r="AV2548" s="23"/>
      <c r="AW2548" s="23"/>
      <c r="AX2548" s="23"/>
      <c r="AY2548" s="16"/>
      <c r="AZ2548" s="23"/>
      <c r="BA2548" s="23"/>
      <c r="BB2548" s="23"/>
      <c r="BC2548" s="16"/>
      <c r="BD2548" s="23"/>
      <c r="BE2548" s="23"/>
      <c r="BF2548" s="23"/>
      <c r="BG2548" s="16"/>
      <c r="BH2548" s="23"/>
      <c r="BI2548" s="23"/>
      <c r="BJ2548" s="23"/>
      <c r="BN2548" s="23"/>
      <c r="BO2548" s="23"/>
      <c r="BP2548" s="16"/>
      <c r="BQ2548" s="16"/>
      <c r="BR2548" s="23"/>
      <c r="BS2548" s="16"/>
      <c r="BT2548" s="16"/>
      <c r="BU2548" s="16"/>
      <c r="BV2548" s="16"/>
      <c r="BW2548" s="16"/>
      <c r="BX2548" s="16"/>
      <c r="BY2548" s="16"/>
    </row>
    <row r="2549">
      <c r="A2549" s="16"/>
      <c r="B2549" s="16"/>
      <c r="C2549" s="22"/>
      <c r="D2549" s="16"/>
      <c r="E2549" s="16"/>
      <c r="F2549" s="16"/>
      <c r="G2549" s="16"/>
      <c r="H2549" s="16"/>
      <c r="I2549" s="23"/>
      <c r="J2549" s="23"/>
      <c r="K2549" s="16"/>
      <c r="L2549" s="23"/>
      <c r="M2549" s="23"/>
      <c r="N2549" s="23"/>
      <c r="O2549" s="16"/>
      <c r="P2549" s="23"/>
      <c r="Q2549" s="23"/>
      <c r="R2549" s="23"/>
      <c r="S2549" s="16"/>
      <c r="T2549" s="23"/>
      <c r="U2549" s="23"/>
      <c r="V2549" s="23"/>
      <c r="W2549" s="16"/>
      <c r="X2549" s="23"/>
      <c r="Y2549" s="23"/>
      <c r="Z2549" s="23"/>
      <c r="AA2549" s="16"/>
      <c r="AB2549" s="23"/>
      <c r="AC2549" s="23"/>
      <c r="AD2549" s="23"/>
      <c r="AE2549" s="16"/>
      <c r="AF2549" s="23"/>
      <c r="AG2549" s="23"/>
      <c r="AH2549" s="23"/>
      <c r="AI2549" s="16"/>
      <c r="AJ2549" s="23"/>
      <c r="AK2549" s="23"/>
      <c r="AL2549" s="23"/>
      <c r="AM2549" s="16"/>
      <c r="AN2549" s="23"/>
      <c r="AO2549" s="23"/>
      <c r="AP2549" s="23"/>
      <c r="AQ2549" s="16"/>
      <c r="AR2549" s="23"/>
      <c r="AS2549" s="23"/>
      <c r="AT2549" s="23"/>
      <c r="AU2549" s="16"/>
      <c r="AV2549" s="23"/>
      <c r="AW2549" s="23"/>
      <c r="AX2549" s="23"/>
      <c r="AY2549" s="16"/>
      <c r="AZ2549" s="23"/>
      <c r="BA2549" s="23"/>
      <c r="BB2549" s="23"/>
      <c r="BC2549" s="16"/>
      <c r="BD2549" s="23"/>
      <c r="BE2549" s="23"/>
      <c r="BF2549" s="23"/>
      <c r="BG2549" s="16"/>
      <c r="BH2549" s="23"/>
      <c r="BI2549" s="23"/>
      <c r="BJ2549" s="23"/>
      <c r="BN2549" s="23"/>
      <c r="BO2549" s="23"/>
      <c r="BP2549" s="16"/>
      <c r="BQ2549" s="16"/>
      <c r="BR2549" s="23"/>
      <c r="BS2549" s="16"/>
      <c r="BT2549" s="16"/>
      <c r="BU2549" s="16"/>
      <c r="BV2549" s="16"/>
      <c r="BW2549" s="16"/>
      <c r="BX2549" s="16"/>
      <c r="BY2549" s="16"/>
    </row>
    <row r="2550">
      <c r="A2550" s="16"/>
      <c r="B2550" s="16"/>
      <c r="C2550" s="22"/>
      <c r="D2550" s="16"/>
      <c r="E2550" s="16"/>
      <c r="F2550" s="16"/>
      <c r="G2550" s="16"/>
      <c r="H2550" s="16"/>
      <c r="I2550" s="23"/>
      <c r="J2550" s="23"/>
      <c r="K2550" s="16"/>
      <c r="L2550" s="23"/>
      <c r="M2550" s="23"/>
      <c r="N2550" s="23"/>
      <c r="O2550" s="16"/>
      <c r="P2550" s="23"/>
      <c r="Q2550" s="23"/>
      <c r="R2550" s="23"/>
      <c r="S2550" s="16"/>
      <c r="T2550" s="23"/>
      <c r="U2550" s="23"/>
      <c r="V2550" s="23"/>
      <c r="W2550" s="16"/>
      <c r="X2550" s="23"/>
      <c r="Y2550" s="23"/>
      <c r="Z2550" s="23"/>
      <c r="AA2550" s="16"/>
      <c r="AB2550" s="23"/>
      <c r="AC2550" s="23"/>
      <c r="AD2550" s="23"/>
      <c r="AE2550" s="16"/>
      <c r="AF2550" s="23"/>
      <c r="AG2550" s="23"/>
      <c r="AH2550" s="23"/>
      <c r="AI2550" s="16"/>
      <c r="AJ2550" s="23"/>
      <c r="AK2550" s="23"/>
      <c r="AL2550" s="23"/>
      <c r="AM2550" s="16"/>
      <c r="AN2550" s="23"/>
      <c r="AO2550" s="23"/>
      <c r="AP2550" s="23"/>
      <c r="AQ2550" s="16"/>
      <c r="AR2550" s="23"/>
      <c r="AS2550" s="23"/>
      <c r="AT2550" s="23"/>
      <c r="AU2550" s="16"/>
      <c r="AV2550" s="23"/>
      <c r="AW2550" s="23"/>
      <c r="AX2550" s="23"/>
      <c r="AY2550" s="16"/>
      <c r="AZ2550" s="23"/>
      <c r="BA2550" s="23"/>
      <c r="BB2550" s="23"/>
      <c r="BC2550" s="16"/>
      <c r="BD2550" s="23"/>
      <c r="BE2550" s="23"/>
      <c r="BF2550" s="23"/>
      <c r="BG2550" s="16"/>
      <c r="BH2550" s="23"/>
      <c r="BI2550" s="23"/>
      <c r="BJ2550" s="23"/>
      <c r="BN2550" s="23"/>
      <c r="BO2550" s="23"/>
      <c r="BP2550" s="16"/>
      <c r="BQ2550" s="16"/>
      <c r="BR2550" s="23"/>
      <c r="BS2550" s="16"/>
      <c r="BT2550" s="16"/>
      <c r="BU2550" s="16"/>
      <c r="BV2550" s="16"/>
      <c r="BW2550" s="16"/>
      <c r="BX2550" s="16"/>
      <c r="BY2550" s="16"/>
    </row>
    <row r="2551">
      <c r="A2551" s="16"/>
      <c r="B2551" s="16"/>
      <c r="C2551" s="22"/>
      <c r="D2551" s="16"/>
      <c r="E2551" s="16"/>
      <c r="F2551" s="16"/>
      <c r="G2551" s="16"/>
      <c r="H2551" s="16"/>
      <c r="I2551" s="23"/>
      <c r="J2551" s="23"/>
      <c r="K2551" s="16"/>
      <c r="L2551" s="23"/>
      <c r="M2551" s="23"/>
      <c r="N2551" s="23"/>
      <c r="O2551" s="16"/>
      <c r="P2551" s="23"/>
      <c r="Q2551" s="23"/>
      <c r="R2551" s="23"/>
      <c r="S2551" s="16"/>
      <c r="T2551" s="23"/>
      <c r="U2551" s="23"/>
      <c r="V2551" s="23"/>
      <c r="W2551" s="16"/>
      <c r="X2551" s="23"/>
      <c r="Y2551" s="23"/>
      <c r="Z2551" s="23"/>
      <c r="AA2551" s="16"/>
      <c r="AB2551" s="23"/>
      <c r="AC2551" s="23"/>
      <c r="AD2551" s="23"/>
      <c r="AE2551" s="16"/>
      <c r="AF2551" s="23"/>
      <c r="AG2551" s="23"/>
      <c r="AH2551" s="23"/>
      <c r="AI2551" s="16"/>
      <c r="AJ2551" s="23"/>
      <c r="AK2551" s="23"/>
      <c r="AL2551" s="23"/>
      <c r="AM2551" s="16"/>
      <c r="AN2551" s="23"/>
      <c r="AO2551" s="23"/>
      <c r="AP2551" s="23"/>
      <c r="AQ2551" s="16"/>
      <c r="AR2551" s="23"/>
      <c r="AS2551" s="23"/>
      <c r="AT2551" s="23"/>
      <c r="AU2551" s="16"/>
      <c r="AV2551" s="23"/>
      <c r="AW2551" s="23"/>
      <c r="AX2551" s="23"/>
      <c r="AY2551" s="16"/>
      <c r="AZ2551" s="23"/>
      <c r="BA2551" s="23"/>
      <c r="BB2551" s="23"/>
      <c r="BC2551" s="16"/>
      <c r="BD2551" s="23"/>
      <c r="BE2551" s="23"/>
      <c r="BF2551" s="23"/>
      <c r="BG2551" s="16"/>
      <c r="BH2551" s="23"/>
      <c r="BI2551" s="23"/>
      <c r="BJ2551" s="23"/>
      <c r="BN2551" s="23"/>
      <c r="BO2551" s="23"/>
      <c r="BP2551" s="16"/>
      <c r="BQ2551" s="16"/>
      <c r="BR2551" s="23"/>
      <c r="BS2551" s="16"/>
      <c r="BT2551" s="16"/>
      <c r="BU2551" s="16"/>
      <c r="BV2551" s="16"/>
      <c r="BW2551" s="16"/>
      <c r="BX2551" s="16"/>
      <c r="BY2551" s="16"/>
    </row>
    <row r="2552">
      <c r="A2552" s="16"/>
      <c r="B2552" s="16"/>
      <c r="C2552" s="22"/>
      <c r="D2552" s="16"/>
      <c r="E2552" s="16"/>
      <c r="F2552" s="16"/>
      <c r="G2552" s="16"/>
      <c r="H2552" s="16"/>
      <c r="I2552" s="23"/>
      <c r="J2552" s="23"/>
      <c r="K2552" s="16"/>
      <c r="L2552" s="23"/>
      <c r="M2552" s="23"/>
      <c r="N2552" s="23"/>
      <c r="O2552" s="16"/>
      <c r="P2552" s="23"/>
      <c r="Q2552" s="23"/>
      <c r="R2552" s="23"/>
      <c r="S2552" s="16"/>
      <c r="T2552" s="23"/>
      <c r="U2552" s="23"/>
      <c r="V2552" s="23"/>
      <c r="W2552" s="16"/>
      <c r="X2552" s="23"/>
      <c r="Y2552" s="23"/>
      <c r="Z2552" s="23"/>
      <c r="AA2552" s="16"/>
      <c r="AB2552" s="23"/>
      <c r="AC2552" s="23"/>
      <c r="AD2552" s="23"/>
      <c r="AE2552" s="16"/>
      <c r="AF2552" s="23"/>
      <c r="AG2552" s="23"/>
      <c r="AH2552" s="23"/>
      <c r="AI2552" s="16"/>
      <c r="AJ2552" s="23"/>
      <c r="AK2552" s="23"/>
      <c r="AL2552" s="23"/>
      <c r="AM2552" s="16"/>
      <c r="AN2552" s="23"/>
      <c r="AO2552" s="23"/>
      <c r="AP2552" s="23"/>
      <c r="AQ2552" s="16"/>
      <c r="AR2552" s="23"/>
      <c r="AS2552" s="23"/>
      <c r="AT2552" s="23"/>
      <c r="AU2552" s="16"/>
      <c r="AV2552" s="23"/>
      <c r="AW2552" s="23"/>
      <c r="AX2552" s="23"/>
      <c r="AY2552" s="16"/>
      <c r="AZ2552" s="23"/>
      <c r="BA2552" s="23"/>
      <c r="BB2552" s="23"/>
      <c r="BC2552" s="16"/>
      <c r="BD2552" s="23"/>
      <c r="BE2552" s="23"/>
      <c r="BF2552" s="23"/>
      <c r="BG2552" s="16"/>
      <c r="BH2552" s="23"/>
      <c r="BI2552" s="23"/>
      <c r="BJ2552" s="23"/>
      <c r="BN2552" s="23"/>
      <c r="BO2552" s="23"/>
      <c r="BP2552" s="16"/>
      <c r="BQ2552" s="16"/>
      <c r="BR2552" s="23"/>
      <c r="BS2552" s="16"/>
      <c r="BT2552" s="16"/>
      <c r="BU2552" s="16"/>
      <c r="BV2552" s="16"/>
      <c r="BW2552" s="16"/>
      <c r="BX2552" s="16"/>
      <c r="BY2552" s="16"/>
    </row>
    <row r="2553">
      <c r="A2553" s="16"/>
      <c r="B2553" s="16"/>
      <c r="C2553" s="22"/>
      <c r="D2553" s="16"/>
      <c r="E2553" s="16"/>
      <c r="F2553" s="16"/>
      <c r="G2553" s="16"/>
      <c r="H2553" s="16"/>
      <c r="I2553" s="23"/>
      <c r="J2553" s="23"/>
      <c r="K2553" s="16"/>
      <c r="L2553" s="23"/>
      <c r="M2553" s="23"/>
      <c r="N2553" s="23"/>
      <c r="O2553" s="16"/>
      <c r="P2553" s="23"/>
      <c r="Q2553" s="23"/>
      <c r="R2553" s="23"/>
      <c r="S2553" s="16"/>
      <c r="T2553" s="23"/>
      <c r="U2553" s="23"/>
      <c r="V2553" s="23"/>
      <c r="W2553" s="16"/>
      <c r="X2553" s="23"/>
      <c r="Y2553" s="23"/>
      <c r="Z2553" s="23"/>
      <c r="AA2553" s="16"/>
      <c r="AB2553" s="23"/>
      <c r="AC2553" s="23"/>
      <c r="AD2553" s="23"/>
      <c r="AE2553" s="16"/>
      <c r="AF2553" s="23"/>
      <c r="AG2553" s="23"/>
      <c r="AH2553" s="23"/>
      <c r="AI2553" s="16"/>
      <c r="AJ2553" s="23"/>
      <c r="AK2553" s="23"/>
      <c r="AL2553" s="23"/>
      <c r="AM2553" s="16"/>
      <c r="AN2553" s="23"/>
      <c r="AO2553" s="23"/>
      <c r="AP2553" s="23"/>
      <c r="AQ2553" s="16"/>
      <c r="AR2553" s="23"/>
      <c r="AS2553" s="23"/>
      <c r="AT2553" s="23"/>
      <c r="AU2553" s="16"/>
      <c r="AV2553" s="23"/>
      <c r="AW2553" s="23"/>
      <c r="AX2553" s="23"/>
      <c r="AY2553" s="16"/>
      <c r="AZ2553" s="23"/>
      <c r="BA2553" s="23"/>
      <c r="BB2553" s="23"/>
      <c r="BC2553" s="16"/>
      <c r="BD2553" s="23"/>
      <c r="BE2553" s="23"/>
      <c r="BF2553" s="23"/>
      <c r="BG2553" s="16"/>
      <c r="BH2553" s="23"/>
      <c r="BI2553" s="23"/>
      <c r="BJ2553" s="23"/>
      <c r="BN2553" s="23"/>
      <c r="BO2553" s="23"/>
      <c r="BP2553" s="16"/>
      <c r="BQ2553" s="16"/>
      <c r="BR2553" s="23"/>
      <c r="BS2553" s="16"/>
      <c r="BT2553" s="16"/>
      <c r="BU2553" s="16"/>
      <c r="BV2553" s="16"/>
      <c r="BW2553" s="16"/>
      <c r="BX2553" s="16"/>
      <c r="BY2553" s="16"/>
    </row>
    <row r="2554">
      <c r="A2554" s="16"/>
      <c r="B2554" s="16"/>
      <c r="C2554" s="22"/>
      <c r="D2554" s="16"/>
      <c r="E2554" s="16"/>
      <c r="F2554" s="16"/>
      <c r="G2554" s="16"/>
      <c r="H2554" s="16"/>
      <c r="I2554" s="23"/>
      <c r="J2554" s="23"/>
      <c r="K2554" s="16"/>
      <c r="L2554" s="23"/>
      <c r="M2554" s="23"/>
      <c r="N2554" s="23"/>
      <c r="O2554" s="16"/>
      <c r="P2554" s="23"/>
      <c r="Q2554" s="23"/>
      <c r="R2554" s="23"/>
      <c r="S2554" s="16"/>
      <c r="T2554" s="23"/>
      <c r="U2554" s="23"/>
      <c r="V2554" s="23"/>
      <c r="W2554" s="16"/>
      <c r="X2554" s="23"/>
      <c r="Y2554" s="23"/>
      <c r="Z2554" s="23"/>
      <c r="AA2554" s="16"/>
      <c r="AB2554" s="23"/>
      <c r="AC2554" s="23"/>
      <c r="AD2554" s="23"/>
      <c r="AE2554" s="16"/>
      <c r="AF2554" s="23"/>
      <c r="AG2554" s="23"/>
      <c r="AH2554" s="23"/>
      <c r="AI2554" s="16"/>
      <c r="AJ2554" s="23"/>
      <c r="AK2554" s="23"/>
      <c r="AL2554" s="23"/>
      <c r="AM2554" s="16"/>
      <c r="AN2554" s="23"/>
      <c r="AO2554" s="23"/>
      <c r="AP2554" s="23"/>
      <c r="AQ2554" s="16"/>
      <c r="AR2554" s="23"/>
      <c r="AS2554" s="23"/>
      <c r="AT2554" s="23"/>
      <c r="AU2554" s="16"/>
      <c r="AV2554" s="23"/>
      <c r="AW2554" s="23"/>
      <c r="AX2554" s="23"/>
      <c r="AY2554" s="16"/>
      <c r="AZ2554" s="23"/>
      <c r="BA2554" s="23"/>
      <c r="BB2554" s="23"/>
      <c r="BC2554" s="16"/>
      <c r="BD2554" s="23"/>
      <c r="BE2554" s="23"/>
      <c r="BF2554" s="23"/>
      <c r="BG2554" s="16"/>
      <c r="BH2554" s="23"/>
      <c r="BI2554" s="23"/>
      <c r="BJ2554" s="23"/>
      <c r="BN2554" s="23"/>
      <c r="BO2554" s="23"/>
      <c r="BP2554" s="16"/>
      <c r="BQ2554" s="16"/>
      <c r="BR2554" s="23"/>
      <c r="BS2554" s="16"/>
      <c r="BT2554" s="16"/>
      <c r="BU2554" s="16"/>
      <c r="BV2554" s="16"/>
      <c r="BW2554" s="16"/>
      <c r="BX2554" s="16"/>
      <c r="BY2554" s="16"/>
    </row>
    <row r="2555">
      <c r="A2555" s="16"/>
      <c r="B2555" s="16"/>
      <c r="C2555" s="22"/>
      <c r="D2555" s="16"/>
      <c r="E2555" s="16"/>
      <c r="F2555" s="16"/>
      <c r="G2555" s="16"/>
      <c r="H2555" s="16"/>
      <c r="I2555" s="23"/>
      <c r="J2555" s="23"/>
      <c r="K2555" s="16"/>
      <c r="L2555" s="23"/>
      <c r="M2555" s="23"/>
      <c r="N2555" s="23"/>
      <c r="O2555" s="16"/>
      <c r="P2555" s="23"/>
      <c r="Q2555" s="23"/>
      <c r="R2555" s="23"/>
      <c r="S2555" s="16"/>
      <c r="T2555" s="23"/>
      <c r="U2555" s="23"/>
      <c r="V2555" s="23"/>
      <c r="W2555" s="16"/>
      <c r="X2555" s="23"/>
      <c r="Y2555" s="23"/>
      <c r="Z2555" s="23"/>
      <c r="AA2555" s="16"/>
      <c r="AB2555" s="23"/>
      <c r="AC2555" s="23"/>
      <c r="AD2555" s="23"/>
      <c r="AE2555" s="16"/>
      <c r="AF2555" s="23"/>
      <c r="AG2555" s="23"/>
      <c r="AH2555" s="23"/>
      <c r="AI2555" s="16"/>
      <c r="AJ2555" s="23"/>
      <c r="AK2555" s="23"/>
      <c r="AL2555" s="23"/>
      <c r="AM2555" s="16"/>
      <c r="AN2555" s="23"/>
      <c r="AO2555" s="23"/>
      <c r="AP2555" s="23"/>
      <c r="AQ2555" s="16"/>
      <c r="AR2555" s="23"/>
      <c r="AS2555" s="23"/>
      <c r="AT2555" s="23"/>
      <c r="AU2555" s="16"/>
      <c r="AV2555" s="23"/>
      <c r="AW2555" s="23"/>
      <c r="AX2555" s="23"/>
      <c r="AY2555" s="16"/>
      <c r="AZ2555" s="23"/>
      <c r="BA2555" s="23"/>
      <c r="BB2555" s="23"/>
      <c r="BC2555" s="16"/>
      <c r="BD2555" s="23"/>
      <c r="BE2555" s="23"/>
      <c r="BF2555" s="23"/>
      <c r="BG2555" s="16"/>
      <c r="BH2555" s="23"/>
      <c r="BI2555" s="23"/>
      <c r="BJ2555" s="23"/>
      <c r="BN2555" s="23"/>
      <c r="BO2555" s="23"/>
      <c r="BP2555" s="16"/>
      <c r="BQ2555" s="16"/>
      <c r="BR2555" s="23"/>
      <c r="BS2555" s="16"/>
      <c r="BT2555" s="16"/>
      <c r="BU2555" s="16"/>
      <c r="BV2555" s="16"/>
      <c r="BW2555" s="16"/>
      <c r="BX2555" s="16"/>
      <c r="BY2555" s="16"/>
    </row>
    <row r="2556">
      <c r="A2556" s="16"/>
      <c r="B2556" s="16"/>
      <c r="C2556" s="22"/>
      <c r="D2556" s="16"/>
      <c r="E2556" s="16"/>
      <c r="F2556" s="16"/>
      <c r="G2556" s="16"/>
      <c r="H2556" s="16"/>
      <c r="I2556" s="23"/>
      <c r="J2556" s="23"/>
      <c r="K2556" s="16"/>
      <c r="L2556" s="23"/>
      <c r="M2556" s="23"/>
      <c r="N2556" s="23"/>
      <c r="O2556" s="16"/>
      <c r="P2556" s="23"/>
      <c r="Q2556" s="23"/>
      <c r="R2556" s="23"/>
      <c r="S2556" s="16"/>
      <c r="T2556" s="23"/>
      <c r="U2556" s="23"/>
      <c r="V2556" s="23"/>
      <c r="W2556" s="16"/>
      <c r="X2556" s="23"/>
      <c r="Y2556" s="23"/>
      <c r="Z2556" s="23"/>
      <c r="AA2556" s="16"/>
      <c r="AB2556" s="23"/>
      <c r="AC2556" s="23"/>
      <c r="AD2556" s="23"/>
      <c r="AE2556" s="16"/>
      <c r="AF2556" s="23"/>
      <c r="AG2556" s="23"/>
      <c r="AH2556" s="23"/>
      <c r="AI2556" s="16"/>
      <c r="AJ2556" s="23"/>
      <c r="AK2556" s="23"/>
      <c r="AL2556" s="23"/>
      <c r="AM2556" s="16"/>
      <c r="AN2556" s="23"/>
      <c r="AO2556" s="23"/>
      <c r="AP2556" s="23"/>
      <c r="AQ2556" s="16"/>
      <c r="AR2556" s="23"/>
      <c r="AS2556" s="23"/>
      <c r="AT2556" s="23"/>
      <c r="AU2556" s="16"/>
      <c r="AV2556" s="23"/>
      <c r="AW2556" s="23"/>
      <c r="AX2556" s="23"/>
      <c r="AY2556" s="16"/>
      <c r="AZ2556" s="23"/>
      <c r="BA2556" s="23"/>
      <c r="BB2556" s="23"/>
      <c r="BC2556" s="16"/>
      <c r="BD2556" s="23"/>
      <c r="BE2556" s="23"/>
      <c r="BF2556" s="23"/>
      <c r="BG2556" s="16"/>
      <c r="BH2556" s="23"/>
      <c r="BI2556" s="23"/>
      <c r="BJ2556" s="23"/>
      <c r="BN2556" s="23"/>
      <c r="BO2556" s="23"/>
      <c r="BP2556" s="16"/>
      <c r="BQ2556" s="16"/>
      <c r="BR2556" s="23"/>
      <c r="BS2556" s="16"/>
      <c r="BT2556" s="16"/>
      <c r="BU2556" s="16"/>
      <c r="BV2556" s="16"/>
      <c r="BW2556" s="16"/>
      <c r="BX2556" s="16"/>
      <c r="BY2556" s="16"/>
    </row>
    <row r="2557">
      <c r="A2557" s="16"/>
      <c r="B2557" s="16"/>
      <c r="C2557" s="22"/>
      <c r="D2557" s="16"/>
      <c r="E2557" s="16"/>
      <c r="F2557" s="16"/>
      <c r="G2557" s="16"/>
      <c r="H2557" s="16"/>
      <c r="I2557" s="23"/>
      <c r="J2557" s="23"/>
      <c r="K2557" s="16"/>
      <c r="L2557" s="23"/>
      <c r="M2557" s="23"/>
      <c r="N2557" s="23"/>
      <c r="O2557" s="16"/>
      <c r="P2557" s="23"/>
      <c r="Q2557" s="23"/>
      <c r="R2557" s="23"/>
      <c r="S2557" s="16"/>
      <c r="T2557" s="23"/>
      <c r="U2557" s="23"/>
      <c r="V2557" s="23"/>
      <c r="W2557" s="16"/>
      <c r="X2557" s="23"/>
      <c r="Y2557" s="23"/>
      <c r="Z2557" s="23"/>
      <c r="AA2557" s="16"/>
      <c r="AB2557" s="23"/>
      <c r="AC2557" s="23"/>
      <c r="AD2557" s="23"/>
      <c r="AE2557" s="16"/>
      <c r="AF2557" s="23"/>
      <c r="AG2557" s="23"/>
      <c r="AH2557" s="23"/>
      <c r="AI2557" s="16"/>
      <c r="AJ2557" s="23"/>
      <c r="AK2557" s="23"/>
      <c r="AL2557" s="23"/>
      <c r="AM2557" s="16"/>
      <c r="AN2557" s="23"/>
      <c r="AO2557" s="23"/>
      <c r="AP2557" s="23"/>
      <c r="AQ2557" s="16"/>
      <c r="AR2557" s="23"/>
      <c r="AS2557" s="23"/>
      <c r="AT2557" s="23"/>
      <c r="AU2557" s="16"/>
      <c r="AV2557" s="23"/>
      <c r="AW2557" s="23"/>
      <c r="AX2557" s="23"/>
      <c r="AY2557" s="16"/>
      <c r="AZ2557" s="23"/>
      <c r="BA2557" s="23"/>
      <c r="BB2557" s="23"/>
      <c r="BC2557" s="16"/>
      <c r="BD2557" s="23"/>
      <c r="BE2557" s="23"/>
      <c r="BF2557" s="23"/>
      <c r="BG2557" s="16"/>
      <c r="BH2557" s="23"/>
      <c r="BI2557" s="23"/>
      <c r="BJ2557" s="23"/>
      <c r="BN2557" s="23"/>
      <c r="BO2557" s="23"/>
      <c r="BP2557" s="16"/>
      <c r="BQ2557" s="16"/>
      <c r="BR2557" s="23"/>
      <c r="BS2557" s="16"/>
      <c r="BT2557" s="16"/>
      <c r="BU2557" s="16"/>
      <c r="BV2557" s="16"/>
      <c r="BW2557" s="16"/>
      <c r="BX2557" s="16"/>
      <c r="BY2557" s="16"/>
    </row>
    <row r="2558">
      <c r="A2558" s="16"/>
      <c r="B2558" s="16"/>
      <c r="C2558" s="22"/>
      <c r="D2558" s="16"/>
      <c r="E2558" s="16"/>
      <c r="F2558" s="16"/>
      <c r="G2558" s="16"/>
      <c r="H2558" s="16"/>
      <c r="I2558" s="23"/>
      <c r="J2558" s="23"/>
      <c r="K2558" s="16"/>
      <c r="L2558" s="23"/>
      <c r="M2558" s="23"/>
      <c r="N2558" s="23"/>
      <c r="O2558" s="16"/>
      <c r="P2558" s="23"/>
      <c r="Q2558" s="23"/>
      <c r="R2558" s="23"/>
      <c r="S2558" s="16"/>
      <c r="T2558" s="23"/>
      <c r="U2558" s="23"/>
      <c r="V2558" s="23"/>
      <c r="W2558" s="16"/>
      <c r="X2558" s="23"/>
      <c r="Y2558" s="23"/>
      <c r="Z2558" s="23"/>
      <c r="AA2558" s="16"/>
      <c r="AB2558" s="23"/>
      <c r="AC2558" s="23"/>
      <c r="AD2558" s="23"/>
      <c r="AE2558" s="16"/>
      <c r="AF2558" s="23"/>
      <c r="AG2558" s="23"/>
      <c r="AH2558" s="23"/>
      <c r="AI2558" s="16"/>
      <c r="AJ2558" s="23"/>
      <c r="AK2558" s="23"/>
      <c r="AL2558" s="23"/>
      <c r="AM2558" s="16"/>
      <c r="AN2558" s="23"/>
      <c r="AO2558" s="23"/>
      <c r="AP2558" s="23"/>
      <c r="AQ2558" s="16"/>
      <c r="AR2558" s="23"/>
      <c r="AS2558" s="23"/>
      <c r="AT2558" s="23"/>
      <c r="AU2558" s="16"/>
      <c r="AV2558" s="23"/>
      <c r="AW2558" s="23"/>
      <c r="AX2558" s="23"/>
      <c r="AY2558" s="16"/>
      <c r="AZ2558" s="23"/>
      <c r="BA2558" s="23"/>
      <c r="BB2558" s="23"/>
      <c r="BC2558" s="16"/>
      <c r="BD2558" s="23"/>
      <c r="BE2558" s="23"/>
      <c r="BF2558" s="23"/>
      <c r="BG2558" s="16"/>
      <c r="BH2558" s="23"/>
      <c r="BI2558" s="23"/>
      <c r="BJ2558" s="23"/>
      <c r="BN2558" s="23"/>
      <c r="BO2558" s="23"/>
      <c r="BP2558" s="16"/>
      <c r="BQ2558" s="16"/>
      <c r="BR2558" s="23"/>
      <c r="BS2558" s="16"/>
      <c r="BT2558" s="16"/>
      <c r="BU2558" s="16"/>
      <c r="BV2558" s="16"/>
      <c r="BW2558" s="16"/>
      <c r="BX2558" s="16"/>
      <c r="BY2558" s="16"/>
    </row>
    <row r="2559">
      <c r="A2559" s="16"/>
      <c r="B2559" s="16"/>
      <c r="C2559" s="22"/>
      <c r="D2559" s="16"/>
      <c r="E2559" s="16"/>
      <c r="F2559" s="16"/>
      <c r="G2559" s="16"/>
      <c r="H2559" s="16"/>
      <c r="I2559" s="23"/>
      <c r="J2559" s="23"/>
      <c r="K2559" s="16"/>
      <c r="L2559" s="23"/>
      <c r="M2559" s="23"/>
      <c r="N2559" s="23"/>
      <c r="O2559" s="16"/>
      <c r="P2559" s="23"/>
      <c r="Q2559" s="23"/>
      <c r="R2559" s="23"/>
      <c r="S2559" s="16"/>
      <c r="T2559" s="23"/>
      <c r="U2559" s="23"/>
      <c r="V2559" s="23"/>
      <c r="W2559" s="16"/>
      <c r="X2559" s="23"/>
      <c r="Y2559" s="23"/>
      <c r="Z2559" s="23"/>
      <c r="AA2559" s="16"/>
      <c r="AB2559" s="23"/>
      <c r="AC2559" s="23"/>
      <c r="AD2559" s="23"/>
      <c r="AE2559" s="16"/>
      <c r="AF2559" s="23"/>
      <c r="AG2559" s="23"/>
      <c r="AH2559" s="23"/>
      <c r="AI2559" s="16"/>
      <c r="AJ2559" s="23"/>
      <c r="AK2559" s="23"/>
      <c r="AL2559" s="23"/>
      <c r="AM2559" s="16"/>
      <c r="AN2559" s="23"/>
      <c r="AO2559" s="23"/>
      <c r="AP2559" s="23"/>
      <c r="AQ2559" s="16"/>
      <c r="AR2559" s="23"/>
      <c r="AS2559" s="23"/>
      <c r="AT2559" s="23"/>
      <c r="AU2559" s="16"/>
      <c r="AV2559" s="23"/>
      <c r="AW2559" s="23"/>
      <c r="AX2559" s="23"/>
      <c r="AY2559" s="16"/>
      <c r="AZ2559" s="23"/>
      <c r="BA2559" s="23"/>
      <c r="BB2559" s="23"/>
      <c r="BC2559" s="16"/>
      <c r="BD2559" s="23"/>
      <c r="BE2559" s="23"/>
      <c r="BF2559" s="23"/>
      <c r="BG2559" s="16"/>
      <c r="BH2559" s="23"/>
      <c r="BI2559" s="23"/>
      <c r="BJ2559" s="23"/>
      <c r="BN2559" s="23"/>
      <c r="BO2559" s="23"/>
      <c r="BP2559" s="16"/>
      <c r="BQ2559" s="16"/>
      <c r="BR2559" s="23"/>
      <c r="BS2559" s="16"/>
      <c r="BT2559" s="16"/>
      <c r="BU2559" s="16"/>
      <c r="BV2559" s="16"/>
      <c r="BW2559" s="16"/>
      <c r="BX2559" s="16"/>
      <c r="BY2559" s="16"/>
    </row>
    <row r="2560">
      <c r="A2560" s="16"/>
      <c r="B2560" s="16"/>
      <c r="C2560" s="22"/>
      <c r="D2560" s="16"/>
      <c r="E2560" s="16"/>
      <c r="F2560" s="16"/>
      <c r="G2560" s="16"/>
      <c r="H2560" s="16"/>
      <c r="I2560" s="23"/>
      <c r="J2560" s="23"/>
      <c r="K2560" s="16"/>
      <c r="L2560" s="23"/>
      <c r="M2560" s="23"/>
      <c r="N2560" s="23"/>
      <c r="O2560" s="16"/>
      <c r="P2560" s="23"/>
      <c r="Q2560" s="23"/>
      <c r="R2560" s="23"/>
      <c r="S2560" s="16"/>
      <c r="T2560" s="23"/>
      <c r="U2560" s="23"/>
      <c r="V2560" s="23"/>
      <c r="W2560" s="16"/>
      <c r="X2560" s="23"/>
      <c r="Y2560" s="23"/>
      <c r="Z2560" s="23"/>
      <c r="AA2560" s="16"/>
      <c r="AB2560" s="23"/>
      <c r="AC2560" s="23"/>
      <c r="AD2560" s="23"/>
      <c r="AE2560" s="16"/>
      <c r="AF2560" s="23"/>
      <c r="AG2560" s="23"/>
      <c r="AH2560" s="23"/>
      <c r="AI2560" s="16"/>
      <c r="AJ2560" s="23"/>
      <c r="AK2560" s="23"/>
      <c r="AL2560" s="23"/>
      <c r="AM2560" s="16"/>
      <c r="AN2560" s="23"/>
      <c r="AO2560" s="23"/>
      <c r="AP2560" s="23"/>
      <c r="AQ2560" s="16"/>
      <c r="AR2560" s="23"/>
      <c r="AS2560" s="23"/>
      <c r="AT2560" s="23"/>
      <c r="AU2560" s="16"/>
      <c r="AV2560" s="23"/>
      <c r="AW2560" s="23"/>
      <c r="AX2560" s="23"/>
      <c r="AY2560" s="16"/>
      <c r="AZ2560" s="23"/>
      <c r="BA2560" s="23"/>
      <c r="BB2560" s="23"/>
      <c r="BC2560" s="16"/>
      <c r="BD2560" s="23"/>
      <c r="BE2560" s="23"/>
      <c r="BF2560" s="23"/>
      <c r="BG2560" s="16"/>
      <c r="BH2560" s="23"/>
      <c r="BI2560" s="23"/>
      <c r="BJ2560" s="23"/>
      <c r="BN2560" s="23"/>
      <c r="BO2560" s="23"/>
      <c r="BP2560" s="16"/>
      <c r="BQ2560" s="16"/>
      <c r="BR2560" s="23"/>
      <c r="BS2560" s="16"/>
      <c r="BT2560" s="16"/>
      <c r="BU2560" s="16"/>
      <c r="BV2560" s="16"/>
      <c r="BW2560" s="16"/>
      <c r="BX2560" s="16"/>
      <c r="BY2560" s="16"/>
    </row>
    <row r="2561">
      <c r="A2561" s="16"/>
      <c r="B2561" s="16"/>
      <c r="C2561" s="22"/>
      <c r="D2561" s="16"/>
      <c r="E2561" s="16"/>
      <c r="F2561" s="16"/>
      <c r="G2561" s="16"/>
      <c r="H2561" s="16"/>
      <c r="I2561" s="23"/>
      <c r="J2561" s="23"/>
      <c r="K2561" s="16"/>
      <c r="L2561" s="23"/>
      <c r="M2561" s="23"/>
      <c r="N2561" s="23"/>
      <c r="O2561" s="16"/>
      <c r="P2561" s="23"/>
      <c r="Q2561" s="23"/>
      <c r="R2561" s="23"/>
      <c r="S2561" s="16"/>
      <c r="T2561" s="23"/>
      <c r="U2561" s="23"/>
      <c r="V2561" s="23"/>
      <c r="W2561" s="16"/>
      <c r="X2561" s="23"/>
      <c r="Y2561" s="23"/>
      <c r="Z2561" s="23"/>
      <c r="AA2561" s="16"/>
      <c r="AB2561" s="23"/>
      <c r="AC2561" s="23"/>
      <c r="AD2561" s="23"/>
      <c r="AE2561" s="16"/>
      <c r="AF2561" s="23"/>
      <c r="AG2561" s="23"/>
      <c r="AH2561" s="23"/>
      <c r="AI2561" s="16"/>
      <c r="AJ2561" s="23"/>
      <c r="AK2561" s="23"/>
      <c r="AL2561" s="23"/>
      <c r="AM2561" s="16"/>
      <c r="AN2561" s="23"/>
      <c r="AO2561" s="23"/>
      <c r="AP2561" s="23"/>
      <c r="AQ2561" s="16"/>
      <c r="AR2561" s="23"/>
      <c r="AS2561" s="23"/>
      <c r="AT2561" s="23"/>
      <c r="AU2561" s="16"/>
      <c r="AV2561" s="23"/>
      <c r="AW2561" s="23"/>
      <c r="AX2561" s="23"/>
      <c r="AY2561" s="16"/>
      <c r="AZ2561" s="23"/>
      <c r="BA2561" s="23"/>
      <c r="BB2561" s="23"/>
      <c r="BC2561" s="16"/>
      <c r="BD2561" s="23"/>
      <c r="BE2561" s="23"/>
      <c r="BF2561" s="23"/>
      <c r="BG2561" s="16"/>
      <c r="BH2561" s="23"/>
      <c r="BI2561" s="23"/>
      <c r="BJ2561" s="23"/>
      <c r="BN2561" s="23"/>
      <c r="BO2561" s="23"/>
      <c r="BP2561" s="16"/>
      <c r="BQ2561" s="16"/>
      <c r="BR2561" s="23"/>
      <c r="BS2561" s="16"/>
      <c r="BT2561" s="16"/>
      <c r="BU2561" s="16"/>
      <c r="BV2561" s="16"/>
      <c r="BW2561" s="16"/>
      <c r="BX2561" s="16"/>
      <c r="BY2561" s="16"/>
    </row>
    <row r="2562">
      <c r="A2562" s="16"/>
      <c r="B2562" s="16"/>
      <c r="C2562" s="22"/>
      <c r="D2562" s="16"/>
      <c r="E2562" s="16"/>
      <c r="F2562" s="16"/>
      <c r="G2562" s="16"/>
      <c r="H2562" s="16"/>
      <c r="I2562" s="23"/>
      <c r="J2562" s="23"/>
      <c r="K2562" s="16"/>
      <c r="L2562" s="23"/>
      <c r="M2562" s="23"/>
      <c r="N2562" s="23"/>
      <c r="O2562" s="16"/>
      <c r="P2562" s="23"/>
      <c r="Q2562" s="23"/>
      <c r="R2562" s="23"/>
      <c r="S2562" s="16"/>
      <c r="T2562" s="23"/>
      <c r="U2562" s="23"/>
      <c r="V2562" s="23"/>
      <c r="W2562" s="16"/>
      <c r="X2562" s="23"/>
      <c r="Y2562" s="23"/>
      <c r="Z2562" s="23"/>
      <c r="AA2562" s="16"/>
      <c r="AB2562" s="23"/>
      <c r="AC2562" s="23"/>
      <c r="AD2562" s="23"/>
      <c r="AE2562" s="16"/>
      <c r="AF2562" s="23"/>
      <c r="AG2562" s="23"/>
      <c r="AH2562" s="23"/>
      <c r="AI2562" s="16"/>
      <c r="AJ2562" s="23"/>
      <c r="AK2562" s="23"/>
      <c r="AL2562" s="23"/>
      <c r="AM2562" s="16"/>
      <c r="AN2562" s="23"/>
      <c r="AO2562" s="23"/>
      <c r="AP2562" s="23"/>
      <c r="AQ2562" s="16"/>
      <c r="AR2562" s="23"/>
      <c r="AS2562" s="23"/>
      <c r="AT2562" s="23"/>
      <c r="AU2562" s="16"/>
      <c r="AV2562" s="23"/>
      <c r="AW2562" s="23"/>
      <c r="AX2562" s="23"/>
      <c r="AY2562" s="16"/>
      <c r="AZ2562" s="23"/>
      <c r="BA2562" s="23"/>
      <c r="BB2562" s="23"/>
      <c r="BC2562" s="16"/>
      <c r="BD2562" s="23"/>
      <c r="BE2562" s="23"/>
      <c r="BF2562" s="23"/>
      <c r="BG2562" s="16"/>
      <c r="BH2562" s="23"/>
      <c r="BI2562" s="23"/>
      <c r="BJ2562" s="23"/>
      <c r="BN2562" s="23"/>
      <c r="BO2562" s="23"/>
      <c r="BP2562" s="16"/>
      <c r="BQ2562" s="16"/>
      <c r="BR2562" s="23"/>
      <c r="BS2562" s="16"/>
      <c r="BT2562" s="16"/>
      <c r="BU2562" s="16"/>
      <c r="BV2562" s="16"/>
      <c r="BW2562" s="16"/>
      <c r="BX2562" s="16"/>
      <c r="BY2562" s="16"/>
    </row>
    <row r="2563">
      <c r="A2563" s="16"/>
      <c r="B2563" s="16"/>
      <c r="C2563" s="22"/>
      <c r="D2563" s="16"/>
      <c r="E2563" s="16"/>
      <c r="F2563" s="16"/>
      <c r="G2563" s="16"/>
      <c r="H2563" s="16"/>
      <c r="I2563" s="23"/>
      <c r="J2563" s="23"/>
      <c r="K2563" s="16"/>
      <c r="L2563" s="23"/>
      <c r="M2563" s="23"/>
      <c r="N2563" s="23"/>
      <c r="O2563" s="16"/>
      <c r="P2563" s="23"/>
      <c r="Q2563" s="23"/>
      <c r="R2563" s="23"/>
      <c r="S2563" s="16"/>
      <c r="T2563" s="23"/>
      <c r="U2563" s="23"/>
      <c r="V2563" s="23"/>
      <c r="W2563" s="16"/>
      <c r="X2563" s="23"/>
      <c r="Y2563" s="23"/>
      <c r="Z2563" s="23"/>
      <c r="AA2563" s="16"/>
      <c r="AB2563" s="23"/>
      <c r="AC2563" s="23"/>
      <c r="AD2563" s="23"/>
      <c r="AE2563" s="16"/>
      <c r="AF2563" s="23"/>
      <c r="AG2563" s="23"/>
      <c r="AH2563" s="23"/>
      <c r="AI2563" s="16"/>
      <c r="AJ2563" s="23"/>
      <c r="AK2563" s="23"/>
      <c r="AL2563" s="23"/>
      <c r="AM2563" s="16"/>
      <c r="AN2563" s="23"/>
      <c r="AO2563" s="23"/>
      <c r="AP2563" s="23"/>
      <c r="AQ2563" s="16"/>
      <c r="AR2563" s="23"/>
      <c r="AS2563" s="23"/>
      <c r="AT2563" s="23"/>
      <c r="AU2563" s="16"/>
      <c r="AV2563" s="23"/>
      <c r="AW2563" s="23"/>
      <c r="AX2563" s="23"/>
      <c r="AY2563" s="16"/>
      <c r="AZ2563" s="23"/>
      <c r="BA2563" s="23"/>
      <c r="BB2563" s="23"/>
      <c r="BC2563" s="16"/>
      <c r="BD2563" s="23"/>
      <c r="BE2563" s="23"/>
      <c r="BF2563" s="23"/>
      <c r="BG2563" s="16"/>
      <c r="BH2563" s="23"/>
      <c r="BI2563" s="23"/>
      <c r="BJ2563" s="23"/>
      <c r="BN2563" s="23"/>
      <c r="BO2563" s="23"/>
      <c r="BP2563" s="16"/>
      <c r="BQ2563" s="16"/>
      <c r="BR2563" s="23"/>
      <c r="BS2563" s="16"/>
      <c r="BT2563" s="16"/>
      <c r="BU2563" s="16"/>
      <c r="BV2563" s="16"/>
      <c r="BW2563" s="16"/>
      <c r="BX2563" s="16"/>
      <c r="BY2563" s="16"/>
    </row>
    <row r="2564">
      <c r="A2564" s="16"/>
      <c r="B2564" s="16"/>
      <c r="C2564" s="22"/>
      <c r="D2564" s="16"/>
      <c r="E2564" s="16"/>
      <c r="F2564" s="16"/>
      <c r="G2564" s="16"/>
      <c r="H2564" s="16"/>
      <c r="I2564" s="23"/>
      <c r="J2564" s="23"/>
      <c r="K2564" s="16"/>
      <c r="L2564" s="23"/>
      <c r="M2564" s="23"/>
      <c r="N2564" s="23"/>
      <c r="O2564" s="16"/>
      <c r="P2564" s="23"/>
      <c r="Q2564" s="23"/>
      <c r="R2564" s="23"/>
      <c r="S2564" s="16"/>
      <c r="T2564" s="23"/>
      <c r="U2564" s="23"/>
      <c r="V2564" s="23"/>
      <c r="W2564" s="16"/>
      <c r="X2564" s="23"/>
      <c r="Y2564" s="23"/>
      <c r="Z2564" s="23"/>
      <c r="AA2564" s="16"/>
      <c r="AB2564" s="23"/>
      <c r="AC2564" s="23"/>
      <c r="AD2564" s="23"/>
      <c r="AE2564" s="16"/>
      <c r="AF2564" s="23"/>
      <c r="AG2564" s="23"/>
      <c r="AH2564" s="23"/>
      <c r="AI2564" s="16"/>
      <c r="AJ2564" s="23"/>
      <c r="AK2564" s="23"/>
      <c r="AL2564" s="23"/>
      <c r="AM2564" s="16"/>
      <c r="AN2564" s="23"/>
      <c r="AO2564" s="23"/>
      <c r="AP2564" s="23"/>
      <c r="AQ2564" s="16"/>
      <c r="AR2564" s="23"/>
      <c r="AS2564" s="23"/>
      <c r="AT2564" s="23"/>
      <c r="AU2564" s="16"/>
      <c r="AV2564" s="23"/>
      <c r="AW2564" s="23"/>
      <c r="AX2564" s="23"/>
      <c r="AY2564" s="16"/>
      <c r="AZ2564" s="23"/>
      <c r="BA2564" s="23"/>
      <c r="BB2564" s="23"/>
      <c r="BC2564" s="16"/>
      <c r="BD2564" s="23"/>
      <c r="BE2564" s="23"/>
      <c r="BF2564" s="23"/>
      <c r="BG2564" s="16"/>
      <c r="BH2564" s="23"/>
      <c r="BI2564" s="23"/>
      <c r="BJ2564" s="23"/>
      <c r="BN2564" s="23"/>
      <c r="BO2564" s="23"/>
      <c r="BP2564" s="16"/>
      <c r="BQ2564" s="16"/>
      <c r="BR2564" s="23"/>
      <c r="BS2564" s="16"/>
      <c r="BT2564" s="16"/>
      <c r="BU2564" s="16"/>
      <c r="BV2564" s="16"/>
      <c r="BW2564" s="16"/>
      <c r="BX2564" s="16"/>
      <c r="BY2564" s="16"/>
    </row>
    <row r="2565">
      <c r="A2565" s="16"/>
      <c r="B2565" s="16"/>
      <c r="C2565" s="22"/>
      <c r="D2565" s="16"/>
      <c r="E2565" s="16"/>
      <c r="F2565" s="16"/>
      <c r="G2565" s="16"/>
      <c r="H2565" s="16"/>
      <c r="I2565" s="23"/>
      <c r="J2565" s="23"/>
      <c r="K2565" s="16"/>
      <c r="L2565" s="23"/>
      <c r="M2565" s="23"/>
      <c r="N2565" s="23"/>
      <c r="O2565" s="16"/>
      <c r="P2565" s="23"/>
      <c r="Q2565" s="23"/>
      <c r="R2565" s="23"/>
      <c r="S2565" s="16"/>
      <c r="T2565" s="23"/>
      <c r="U2565" s="23"/>
      <c r="V2565" s="23"/>
      <c r="W2565" s="16"/>
      <c r="X2565" s="23"/>
      <c r="Y2565" s="23"/>
      <c r="Z2565" s="23"/>
      <c r="AA2565" s="16"/>
      <c r="AB2565" s="23"/>
      <c r="AC2565" s="23"/>
      <c r="AD2565" s="23"/>
      <c r="AE2565" s="16"/>
      <c r="AF2565" s="23"/>
      <c r="AG2565" s="23"/>
      <c r="AH2565" s="23"/>
      <c r="AI2565" s="16"/>
      <c r="AJ2565" s="23"/>
      <c r="AK2565" s="23"/>
      <c r="AL2565" s="23"/>
      <c r="AM2565" s="16"/>
      <c r="AN2565" s="23"/>
      <c r="AO2565" s="23"/>
      <c r="AP2565" s="23"/>
      <c r="AQ2565" s="16"/>
      <c r="AR2565" s="23"/>
      <c r="AS2565" s="23"/>
      <c r="AT2565" s="23"/>
      <c r="AU2565" s="16"/>
      <c r="AV2565" s="23"/>
      <c r="AW2565" s="23"/>
      <c r="AX2565" s="23"/>
      <c r="AY2565" s="16"/>
      <c r="AZ2565" s="23"/>
      <c r="BA2565" s="23"/>
      <c r="BB2565" s="23"/>
      <c r="BC2565" s="16"/>
      <c r="BD2565" s="23"/>
      <c r="BE2565" s="23"/>
      <c r="BF2565" s="23"/>
      <c r="BG2565" s="16"/>
      <c r="BH2565" s="23"/>
      <c r="BI2565" s="23"/>
      <c r="BJ2565" s="23"/>
      <c r="BN2565" s="23"/>
      <c r="BO2565" s="23"/>
      <c r="BP2565" s="16"/>
      <c r="BQ2565" s="16"/>
      <c r="BR2565" s="23"/>
      <c r="BS2565" s="16"/>
      <c r="BT2565" s="16"/>
      <c r="BU2565" s="16"/>
      <c r="BV2565" s="16"/>
      <c r="BW2565" s="16"/>
      <c r="BX2565" s="16"/>
      <c r="BY2565" s="16"/>
    </row>
    <row r="2566">
      <c r="A2566" s="16"/>
      <c r="B2566" s="16"/>
      <c r="C2566" s="22"/>
      <c r="D2566" s="16"/>
      <c r="E2566" s="16"/>
      <c r="F2566" s="16"/>
      <c r="G2566" s="16"/>
      <c r="H2566" s="16"/>
      <c r="I2566" s="23"/>
      <c r="J2566" s="23"/>
      <c r="K2566" s="16"/>
      <c r="L2566" s="23"/>
      <c r="M2566" s="23"/>
      <c r="N2566" s="23"/>
      <c r="O2566" s="16"/>
      <c r="P2566" s="23"/>
      <c r="Q2566" s="23"/>
      <c r="R2566" s="23"/>
      <c r="S2566" s="16"/>
      <c r="T2566" s="23"/>
      <c r="U2566" s="23"/>
      <c r="V2566" s="23"/>
      <c r="W2566" s="16"/>
      <c r="X2566" s="23"/>
      <c r="Y2566" s="23"/>
      <c r="Z2566" s="23"/>
      <c r="AA2566" s="16"/>
      <c r="AB2566" s="23"/>
      <c r="AC2566" s="23"/>
      <c r="AD2566" s="23"/>
      <c r="AE2566" s="16"/>
      <c r="AF2566" s="23"/>
      <c r="AG2566" s="23"/>
      <c r="AH2566" s="23"/>
      <c r="AI2566" s="16"/>
      <c r="AJ2566" s="23"/>
      <c r="AK2566" s="23"/>
      <c r="AL2566" s="23"/>
      <c r="AM2566" s="16"/>
      <c r="AN2566" s="23"/>
      <c r="AO2566" s="23"/>
      <c r="AP2566" s="23"/>
      <c r="AQ2566" s="16"/>
      <c r="AR2566" s="23"/>
      <c r="AS2566" s="23"/>
      <c r="AT2566" s="23"/>
      <c r="AU2566" s="16"/>
      <c r="AV2566" s="23"/>
      <c r="AW2566" s="23"/>
      <c r="AX2566" s="23"/>
      <c r="AY2566" s="16"/>
      <c r="AZ2566" s="23"/>
      <c r="BA2566" s="23"/>
      <c r="BB2566" s="23"/>
      <c r="BC2566" s="16"/>
      <c r="BD2566" s="23"/>
      <c r="BE2566" s="23"/>
      <c r="BF2566" s="23"/>
      <c r="BG2566" s="16"/>
      <c r="BH2566" s="23"/>
      <c r="BI2566" s="23"/>
      <c r="BJ2566" s="23"/>
      <c r="BN2566" s="23"/>
      <c r="BO2566" s="23"/>
      <c r="BP2566" s="16"/>
      <c r="BQ2566" s="16"/>
      <c r="BR2566" s="23"/>
      <c r="BS2566" s="16"/>
      <c r="BT2566" s="16"/>
      <c r="BU2566" s="16"/>
      <c r="BV2566" s="16"/>
      <c r="BW2566" s="16"/>
      <c r="BX2566" s="16"/>
      <c r="BY2566" s="16"/>
    </row>
    <row r="2567">
      <c r="A2567" s="16"/>
      <c r="B2567" s="16"/>
      <c r="C2567" s="22"/>
      <c r="D2567" s="16"/>
      <c r="E2567" s="16"/>
      <c r="F2567" s="16"/>
      <c r="G2567" s="16"/>
      <c r="H2567" s="16"/>
      <c r="I2567" s="23"/>
      <c r="J2567" s="23"/>
      <c r="K2567" s="16"/>
      <c r="L2567" s="23"/>
      <c r="M2567" s="23"/>
      <c r="N2567" s="23"/>
      <c r="O2567" s="16"/>
      <c r="P2567" s="23"/>
      <c r="Q2567" s="23"/>
      <c r="R2567" s="23"/>
      <c r="S2567" s="16"/>
      <c r="T2567" s="23"/>
      <c r="U2567" s="23"/>
      <c r="V2567" s="23"/>
      <c r="W2567" s="16"/>
      <c r="X2567" s="23"/>
      <c r="Y2567" s="23"/>
      <c r="Z2567" s="23"/>
      <c r="AA2567" s="16"/>
      <c r="AB2567" s="23"/>
      <c r="AC2567" s="23"/>
      <c r="AD2567" s="23"/>
      <c r="AE2567" s="16"/>
      <c r="AF2567" s="23"/>
      <c r="AG2567" s="23"/>
      <c r="AH2567" s="23"/>
      <c r="AI2567" s="16"/>
      <c r="AJ2567" s="23"/>
      <c r="AK2567" s="23"/>
      <c r="AL2567" s="23"/>
      <c r="AM2567" s="16"/>
      <c r="AN2567" s="23"/>
      <c r="AO2567" s="23"/>
      <c r="AP2567" s="23"/>
      <c r="AQ2567" s="16"/>
      <c r="AR2567" s="23"/>
      <c r="AS2567" s="23"/>
      <c r="AT2567" s="23"/>
      <c r="AU2567" s="16"/>
      <c r="AV2567" s="23"/>
      <c r="AW2567" s="23"/>
      <c r="AX2567" s="23"/>
      <c r="AY2567" s="16"/>
      <c r="AZ2567" s="23"/>
      <c r="BA2567" s="23"/>
      <c r="BB2567" s="23"/>
      <c r="BC2567" s="16"/>
      <c r="BD2567" s="23"/>
      <c r="BE2567" s="23"/>
      <c r="BF2567" s="23"/>
      <c r="BG2567" s="16"/>
      <c r="BH2567" s="23"/>
      <c r="BI2567" s="23"/>
      <c r="BJ2567" s="23"/>
      <c r="BN2567" s="23"/>
      <c r="BO2567" s="23"/>
      <c r="BP2567" s="16"/>
      <c r="BQ2567" s="16"/>
      <c r="BR2567" s="23"/>
      <c r="BS2567" s="16"/>
      <c r="BT2567" s="16"/>
      <c r="BU2567" s="16"/>
      <c r="BV2567" s="16"/>
      <c r="BW2567" s="16"/>
      <c r="BX2567" s="16"/>
      <c r="BY2567" s="16"/>
    </row>
    <row r="2568">
      <c r="A2568" s="16"/>
      <c r="B2568" s="16"/>
      <c r="C2568" s="22"/>
      <c r="D2568" s="16"/>
      <c r="E2568" s="16"/>
      <c r="F2568" s="16"/>
      <c r="G2568" s="16"/>
      <c r="H2568" s="16"/>
      <c r="I2568" s="23"/>
      <c r="J2568" s="23"/>
      <c r="K2568" s="16"/>
      <c r="L2568" s="23"/>
      <c r="M2568" s="23"/>
      <c r="N2568" s="23"/>
      <c r="O2568" s="16"/>
      <c r="P2568" s="23"/>
      <c r="Q2568" s="23"/>
      <c r="R2568" s="23"/>
      <c r="S2568" s="16"/>
      <c r="T2568" s="23"/>
      <c r="U2568" s="23"/>
      <c r="V2568" s="23"/>
      <c r="W2568" s="16"/>
      <c r="X2568" s="23"/>
      <c r="Y2568" s="23"/>
      <c r="Z2568" s="23"/>
      <c r="AA2568" s="16"/>
      <c r="AB2568" s="23"/>
      <c r="AC2568" s="23"/>
      <c r="AD2568" s="23"/>
      <c r="AE2568" s="16"/>
      <c r="AF2568" s="23"/>
      <c r="AG2568" s="23"/>
      <c r="AH2568" s="23"/>
      <c r="AI2568" s="16"/>
      <c r="AJ2568" s="23"/>
      <c r="AK2568" s="23"/>
      <c r="AL2568" s="23"/>
      <c r="AM2568" s="16"/>
      <c r="AN2568" s="23"/>
      <c r="AO2568" s="23"/>
      <c r="AP2568" s="23"/>
      <c r="AQ2568" s="16"/>
      <c r="AR2568" s="23"/>
      <c r="AS2568" s="23"/>
      <c r="AT2568" s="23"/>
      <c r="AU2568" s="16"/>
      <c r="AV2568" s="23"/>
      <c r="AW2568" s="23"/>
      <c r="AX2568" s="23"/>
      <c r="AY2568" s="16"/>
      <c r="AZ2568" s="23"/>
      <c r="BA2568" s="23"/>
      <c r="BB2568" s="23"/>
      <c r="BC2568" s="16"/>
      <c r="BD2568" s="23"/>
      <c r="BE2568" s="23"/>
      <c r="BF2568" s="23"/>
      <c r="BG2568" s="16"/>
      <c r="BH2568" s="23"/>
      <c r="BI2568" s="23"/>
      <c r="BJ2568" s="23"/>
      <c r="BN2568" s="23"/>
      <c r="BO2568" s="23"/>
      <c r="BP2568" s="16"/>
      <c r="BQ2568" s="16"/>
      <c r="BR2568" s="23"/>
      <c r="BS2568" s="16"/>
      <c r="BT2568" s="16"/>
      <c r="BU2568" s="16"/>
      <c r="BV2568" s="16"/>
      <c r="BW2568" s="16"/>
      <c r="BX2568" s="16"/>
      <c r="BY2568" s="16"/>
    </row>
    <row r="2569">
      <c r="A2569" s="16"/>
      <c r="B2569" s="16"/>
      <c r="C2569" s="22"/>
      <c r="D2569" s="16"/>
      <c r="E2569" s="16"/>
      <c r="F2569" s="16"/>
      <c r="G2569" s="16"/>
      <c r="H2569" s="16"/>
      <c r="I2569" s="23"/>
      <c r="J2569" s="23"/>
      <c r="K2569" s="16"/>
      <c r="L2569" s="23"/>
      <c r="M2569" s="23"/>
      <c r="N2569" s="23"/>
      <c r="O2569" s="16"/>
      <c r="P2569" s="23"/>
      <c r="Q2569" s="23"/>
      <c r="R2569" s="23"/>
      <c r="S2569" s="16"/>
      <c r="T2569" s="23"/>
      <c r="U2569" s="23"/>
      <c r="V2569" s="23"/>
      <c r="W2569" s="16"/>
      <c r="X2569" s="23"/>
      <c r="Y2569" s="23"/>
      <c r="Z2569" s="23"/>
      <c r="AA2569" s="16"/>
      <c r="AB2569" s="23"/>
      <c r="AC2569" s="23"/>
      <c r="AD2569" s="23"/>
      <c r="AE2569" s="16"/>
      <c r="AF2569" s="23"/>
      <c r="AG2569" s="23"/>
      <c r="AH2569" s="23"/>
      <c r="AI2569" s="16"/>
      <c r="AJ2569" s="23"/>
      <c r="AK2569" s="23"/>
      <c r="AL2569" s="23"/>
      <c r="AM2569" s="16"/>
      <c r="AN2569" s="23"/>
      <c r="AO2569" s="23"/>
      <c r="AP2569" s="23"/>
      <c r="AQ2569" s="16"/>
      <c r="AR2569" s="23"/>
      <c r="AS2569" s="23"/>
      <c r="AT2569" s="23"/>
      <c r="AU2569" s="16"/>
      <c r="AV2569" s="23"/>
      <c r="AW2569" s="23"/>
      <c r="AX2569" s="23"/>
      <c r="AY2569" s="16"/>
      <c r="AZ2569" s="23"/>
      <c r="BA2569" s="23"/>
      <c r="BB2569" s="23"/>
      <c r="BC2569" s="16"/>
      <c r="BD2569" s="23"/>
      <c r="BE2569" s="23"/>
      <c r="BF2569" s="23"/>
      <c r="BG2569" s="16"/>
      <c r="BH2569" s="23"/>
      <c r="BI2569" s="23"/>
      <c r="BJ2569" s="23"/>
      <c r="BN2569" s="23"/>
      <c r="BO2569" s="23"/>
      <c r="BP2569" s="16"/>
      <c r="BQ2569" s="16"/>
      <c r="BR2569" s="23"/>
      <c r="BS2569" s="16"/>
      <c r="BT2569" s="16"/>
      <c r="BU2569" s="16"/>
      <c r="BV2569" s="16"/>
      <c r="BW2569" s="16"/>
      <c r="BX2569" s="16"/>
      <c r="BY2569" s="16"/>
    </row>
    <row r="2570">
      <c r="A2570" s="16"/>
      <c r="B2570" s="16"/>
      <c r="C2570" s="22"/>
      <c r="D2570" s="16"/>
      <c r="E2570" s="16"/>
      <c r="F2570" s="16"/>
      <c r="G2570" s="16"/>
      <c r="H2570" s="16"/>
      <c r="I2570" s="23"/>
      <c r="J2570" s="23"/>
      <c r="K2570" s="16"/>
      <c r="L2570" s="23"/>
      <c r="M2570" s="23"/>
      <c r="N2570" s="23"/>
      <c r="O2570" s="16"/>
      <c r="P2570" s="23"/>
      <c r="Q2570" s="23"/>
      <c r="R2570" s="23"/>
      <c r="S2570" s="16"/>
      <c r="T2570" s="23"/>
      <c r="U2570" s="23"/>
      <c r="V2570" s="23"/>
      <c r="W2570" s="16"/>
      <c r="X2570" s="23"/>
      <c r="Y2570" s="23"/>
      <c r="Z2570" s="23"/>
      <c r="AA2570" s="16"/>
      <c r="AB2570" s="23"/>
      <c r="AC2570" s="23"/>
      <c r="AD2570" s="23"/>
      <c r="AE2570" s="16"/>
      <c r="AF2570" s="23"/>
      <c r="AG2570" s="23"/>
      <c r="AH2570" s="23"/>
      <c r="AI2570" s="16"/>
      <c r="AJ2570" s="23"/>
      <c r="AK2570" s="23"/>
      <c r="AL2570" s="23"/>
      <c r="AM2570" s="16"/>
      <c r="AN2570" s="23"/>
      <c r="AO2570" s="23"/>
      <c r="AP2570" s="23"/>
      <c r="AQ2570" s="16"/>
      <c r="AR2570" s="23"/>
      <c r="AS2570" s="23"/>
      <c r="AT2570" s="23"/>
      <c r="AU2570" s="16"/>
      <c r="AV2570" s="23"/>
      <c r="AW2570" s="23"/>
      <c r="AX2570" s="23"/>
      <c r="AY2570" s="16"/>
      <c r="AZ2570" s="23"/>
      <c r="BA2570" s="23"/>
      <c r="BB2570" s="23"/>
      <c r="BC2570" s="16"/>
      <c r="BD2570" s="23"/>
      <c r="BE2570" s="23"/>
      <c r="BF2570" s="23"/>
      <c r="BG2570" s="16"/>
      <c r="BH2570" s="23"/>
      <c r="BI2570" s="23"/>
      <c r="BJ2570" s="23"/>
      <c r="BN2570" s="23"/>
      <c r="BO2570" s="23"/>
      <c r="BP2570" s="16"/>
      <c r="BQ2570" s="16"/>
      <c r="BR2570" s="23"/>
      <c r="BS2570" s="16"/>
      <c r="BT2570" s="16"/>
      <c r="BU2570" s="16"/>
      <c r="BV2570" s="16"/>
      <c r="BW2570" s="16"/>
      <c r="BX2570" s="16"/>
      <c r="BY2570" s="16"/>
    </row>
    <row r="2571">
      <c r="A2571" s="16"/>
      <c r="B2571" s="16"/>
      <c r="C2571" s="22"/>
      <c r="D2571" s="16"/>
      <c r="E2571" s="16"/>
      <c r="F2571" s="16"/>
      <c r="G2571" s="16"/>
      <c r="H2571" s="16"/>
      <c r="I2571" s="23"/>
      <c r="J2571" s="23"/>
      <c r="K2571" s="16"/>
      <c r="L2571" s="23"/>
      <c r="M2571" s="23"/>
      <c r="N2571" s="23"/>
      <c r="O2571" s="16"/>
      <c r="P2571" s="23"/>
      <c r="Q2571" s="23"/>
      <c r="R2571" s="23"/>
      <c r="S2571" s="16"/>
      <c r="T2571" s="23"/>
      <c r="U2571" s="23"/>
      <c r="V2571" s="23"/>
      <c r="W2571" s="16"/>
      <c r="X2571" s="23"/>
      <c r="Y2571" s="23"/>
      <c r="Z2571" s="23"/>
      <c r="AA2571" s="16"/>
      <c r="AB2571" s="23"/>
      <c r="AC2571" s="23"/>
      <c r="AD2571" s="23"/>
      <c r="AE2571" s="16"/>
      <c r="AF2571" s="23"/>
      <c r="AG2571" s="23"/>
      <c r="AH2571" s="23"/>
      <c r="AI2571" s="16"/>
      <c r="AJ2571" s="23"/>
      <c r="AK2571" s="23"/>
      <c r="AL2571" s="23"/>
      <c r="AM2571" s="16"/>
      <c r="AN2571" s="23"/>
      <c r="AO2571" s="23"/>
      <c r="AP2571" s="23"/>
      <c r="AQ2571" s="16"/>
      <c r="AR2571" s="23"/>
      <c r="AS2571" s="23"/>
      <c r="AT2571" s="23"/>
      <c r="AU2571" s="16"/>
      <c r="AV2571" s="23"/>
      <c r="AW2571" s="23"/>
      <c r="AX2571" s="23"/>
      <c r="AY2571" s="16"/>
      <c r="AZ2571" s="23"/>
      <c r="BA2571" s="23"/>
      <c r="BB2571" s="23"/>
      <c r="BC2571" s="16"/>
      <c r="BD2571" s="23"/>
      <c r="BE2571" s="23"/>
      <c r="BF2571" s="23"/>
      <c r="BG2571" s="16"/>
      <c r="BH2571" s="23"/>
      <c r="BI2571" s="23"/>
      <c r="BJ2571" s="23"/>
      <c r="BN2571" s="23"/>
      <c r="BO2571" s="23"/>
      <c r="BP2571" s="16"/>
      <c r="BQ2571" s="16"/>
      <c r="BR2571" s="23"/>
      <c r="BS2571" s="16"/>
      <c r="BT2571" s="16"/>
      <c r="BU2571" s="16"/>
      <c r="BV2571" s="16"/>
      <c r="BW2571" s="16"/>
      <c r="BX2571" s="16"/>
      <c r="BY2571" s="16"/>
    </row>
    <row r="2572">
      <c r="A2572" s="16"/>
      <c r="B2572" s="16"/>
      <c r="C2572" s="22"/>
      <c r="D2572" s="16"/>
      <c r="E2572" s="16"/>
      <c r="F2572" s="16"/>
      <c r="G2572" s="16"/>
      <c r="H2572" s="16"/>
      <c r="I2572" s="23"/>
      <c r="J2572" s="23"/>
      <c r="K2572" s="16"/>
      <c r="L2572" s="23"/>
      <c r="M2572" s="23"/>
      <c r="N2572" s="23"/>
      <c r="O2572" s="16"/>
      <c r="P2572" s="23"/>
      <c r="Q2572" s="23"/>
      <c r="R2572" s="23"/>
      <c r="S2572" s="16"/>
      <c r="T2572" s="23"/>
      <c r="U2572" s="23"/>
      <c r="V2572" s="23"/>
      <c r="W2572" s="16"/>
      <c r="X2572" s="23"/>
      <c r="Y2572" s="23"/>
      <c r="Z2572" s="23"/>
      <c r="AA2572" s="16"/>
      <c r="AB2572" s="23"/>
      <c r="AC2572" s="23"/>
      <c r="AD2572" s="23"/>
      <c r="AE2572" s="16"/>
      <c r="AF2572" s="23"/>
      <c r="AG2572" s="23"/>
      <c r="AH2572" s="23"/>
      <c r="AI2572" s="16"/>
      <c r="AJ2572" s="23"/>
      <c r="AK2572" s="23"/>
      <c r="AL2572" s="23"/>
      <c r="AM2572" s="16"/>
      <c r="AN2572" s="23"/>
      <c r="AO2572" s="23"/>
      <c r="AP2572" s="23"/>
      <c r="AQ2572" s="16"/>
      <c r="AR2572" s="23"/>
      <c r="AS2572" s="23"/>
      <c r="AT2572" s="23"/>
      <c r="AU2572" s="16"/>
      <c r="AV2572" s="23"/>
      <c r="AW2572" s="23"/>
      <c r="AX2572" s="23"/>
      <c r="AY2572" s="16"/>
      <c r="AZ2572" s="23"/>
      <c r="BA2572" s="23"/>
      <c r="BB2572" s="23"/>
      <c r="BC2572" s="16"/>
      <c r="BD2572" s="23"/>
      <c r="BE2572" s="23"/>
      <c r="BF2572" s="23"/>
      <c r="BG2572" s="16"/>
      <c r="BH2572" s="23"/>
      <c r="BI2572" s="23"/>
      <c r="BJ2572" s="23"/>
      <c r="BN2572" s="23"/>
      <c r="BO2572" s="23"/>
      <c r="BP2572" s="16"/>
      <c r="BQ2572" s="16"/>
      <c r="BR2572" s="23"/>
      <c r="BS2572" s="16"/>
      <c r="BT2572" s="16"/>
      <c r="BU2572" s="16"/>
      <c r="BV2572" s="16"/>
      <c r="BW2572" s="16"/>
      <c r="BX2572" s="16"/>
      <c r="BY2572" s="16"/>
    </row>
    <row r="2573">
      <c r="A2573" s="16"/>
      <c r="B2573" s="16"/>
      <c r="C2573" s="22"/>
      <c r="D2573" s="16"/>
      <c r="E2573" s="16"/>
      <c r="F2573" s="16"/>
      <c r="G2573" s="16"/>
      <c r="H2573" s="16"/>
      <c r="I2573" s="23"/>
      <c r="J2573" s="23"/>
      <c r="K2573" s="16"/>
      <c r="L2573" s="23"/>
      <c r="M2573" s="23"/>
      <c r="N2573" s="23"/>
      <c r="O2573" s="16"/>
      <c r="P2573" s="23"/>
      <c r="Q2573" s="23"/>
      <c r="R2573" s="23"/>
      <c r="S2573" s="16"/>
      <c r="T2573" s="23"/>
      <c r="U2573" s="23"/>
      <c r="V2573" s="23"/>
      <c r="W2573" s="16"/>
      <c r="X2573" s="23"/>
      <c r="Y2573" s="23"/>
      <c r="Z2573" s="23"/>
      <c r="AA2573" s="16"/>
      <c r="AB2573" s="23"/>
      <c r="AC2573" s="23"/>
      <c r="AD2573" s="23"/>
      <c r="AE2573" s="16"/>
      <c r="AF2573" s="23"/>
      <c r="AG2573" s="23"/>
      <c r="AH2573" s="23"/>
      <c r="AI2573" s="16"/>
      <c r="AJ2573" s="23"/>
      <c r="AK2573" s="23"/>
      <c r="AL2573" s="23"/>
      <c r="AM2573" s="16"/>
      <c r="AN2573" s="23"/>
      <c r="AO2573" s="23"/>
      <c r="AP2573" s="23"/>
      <c r="AQ2573" s="16"/>
      <c r="AR2573" s="23"/>
      <c r="AS2573" s="23"/>
      <c r="AT2573" s="23"/>
      <c r="AU2573" s="16"/>
      <c r="AV2573" s="23"/>
      <c r="AW2573" s="23"/>
      <c r="AX2573" s="23"/>
      <c r="AY2573" s="16"/>
      <c r="AZ2573" s="23"/>
      <c r="BA2573" s="23"/>
      <c r="BB2573" s="23"/>
      <c r="BC2573" s="16"/>
      <c r="BD2573" s="23"/>
      <c r="BE2573" s="23"/>
      <c r="BF2573" s="23"/>
      <c r="BG2573" s="16"/>
      <c r="BH2573" s="23"/>
      <c r="BI2573" s="23"/>
      <c r="BJ2573" s="23"/>
      <c r="BN2573" s="23"/>
      <c r="BO2573" s="23"/>
      <c r="BP2573" s="16"/>
      <c r="BQ2573" s="16"/>
      <c r="BR2573" s="23"/>
      <c r="BS2573" s="16"/>
      <c r="BT2573" s="16"/>
      <c r="BU2573" s="16"/>
      <c r="BV2573" s="16"/>
      <c r="BW2573" s="16"/>
      <c r="BX2573" s="16"/>
      <c r="BY2573" s="16"/>
    </row>
    <row r="2574">
      <c r="A2574" s="16"/>
      <c r="B2574" s="16"/>
      <c r="C2574" s="22"/>
      <c r="D2574" s="16"/>
      <c r="E2574" s="16"/>
      <c r="F2574" s="16"/>
      <c r="G2574" s="16"/>
      <c r="H2574" s="16"/>
      <c r="I2574" s="23"/>
      <c r="J2574" s="23"/>
      <c r="K2574" s="16"/>
      <c r="L2574" s="23"/>
      <c r="M2574" s="23"/>
      <c r="N2574" s="23"/>
      <c r="O2574" s="16"/>
      <c r="P2574" s="23"/>
      <c r="Q2574" s="23"/>
      <c r="R2574" s="23"/>
      <c r="S2574" s="16"/>
      <c r="T2574" s="23"/>
      <c r="U2574" s="23"/>
      <c r="V2574" s="23"/>
      <c r="W2574" s="16"/>
      <c r="X2574" s="23"/>
      <c r="Y2574" s="23"/>
      <c r="Z2574" s="23"/>
      <c r="AA2574" s="16"/>
      <c r="AB2574" s="23"/>
      <c r="AC2574" s="23"/>
      <c r="AD2574" s="23"/>
      <c r="AE2574" s="16"/>
      <c r="AF2574" s="23"/>
      <c r="AG2574" s="23"/>
      <c r="AH2574" s="23"/>
      <c r="AI2574" s="16"/>
      <c r="AJ2574" s="23"/>
      <c r="AK2574" s="23"/>
      <c r="AL2574" s="23"/>
      <c r="AM2574" s="16"/>
      <c r="AN2574" s="23"/>
      <c r="AO2574" s="23"/>
      <c r="AP2574" s="23"/>
      <c r="AQ2574" s="16"/>
      <c r="AR2574" s="23"/>
      <c r="AS2574" s="23"/>
      <c r="AT2574" s="23"/>
      <c r="AU2574" s="16"/>
      <c r="AV2574" s="23"/>
      <c r="AW2574" s="23"/>
      <c r="AX2574" s="23"/>
      <c r="AY2574" s="16"/>
      <c r="AZ2574" s="23"/>
      <c r="BA2574" s="23"/>
      <c r="BB2574" s="23"/>
      <c r="BC2574" s="16"/>
      <c r="BD2574" s="23"/>
      <c r="BE2574" s="23"/>
      <c r="BF2574" s="23"/>
      <c r="BG2574" s="16"/>
      <c r="BH2574" s="23"/>
      <c r="BI2574" s="23"/>
      <c r="BJ2574" s="23"/>
      <c r="BN2574" s="23"/>
      <c r="BO2574" s="23"/>
      <c r="BP2574" s="16"/>
      <c r="BQ2574" s="16"/>
      <c r="BR2574" s="23"/>
      <c r="BS2574" s="16"/>
      <c r="BT2574" s="16"/>
      <c r="BU2574" s="16"/>
      <c r="BV2574" s="16"/>
      <c r="BW2574" s="16"/>
      <c r="BX2574" s="16"/>
      <c r="BY2574" s="16"/>
    </row>
    <row r="2575">
      <c r="A2575" s="16"/>
      <c r="B2575" s="16"/>
      <c r="C2575" s="22"/>
      <c r="D2575" s="16"/>
      <c r="E2575" s="16"/>
      <c r="F2575" s="16"/>
      <c r="G2575" s="16"/>
      <c r="H2575" s="16"/>
      <c r="I2575" s="23"/>
      <c r="J2575" s="23"/>
      <c r="K2575" s="16"/>
      <c r="L2575" s="23"/>
      <c r="M2575" s="23"/>
      <c r="N2575" s="23"/>
      <c r="O2575" s="16"/>
      <c r="P2575" s="23"/>
      <c r="Q2575" s="23"/>
      <c r="R2575" s="23"/>
      <c r="S2575" s="16"/>
      <c r="T2575" s="23"/>
      <c r="U2575" s="23"/>
      <c r="V2575" s="23"/>
      <c r="W2575" s="16"/>
      <c r="X2575" s="23"/>
      <c r="Y2575" s="23"/>
      <c r="Z2575" s="23"/>
      <c r="AA2575" s="16"/>
      <c r="AB2575" s="23"/>
      <c r="AC2575" s="23"/>
      <c r="AD2575" s="23"/>
      <c r="AE2575" s="16"/>
      <c r="AF2575" s="23"/>
      <c r="AG2575" s="23"/>
      <c r="AH2575" s="23"/>
      <c r="AI2575" s="16"/>
      <c r="AJ2575" s="23"/>
      <c r="AK2575" s="23"/>
      <c r="AL2575" s="23"/>
      <c r="AM2575" s="16"/>
      <c r="AN2575" s="23"/>
      <c r="AO2575" s="23"/>
      <c r="AP2575" s="23"/>
      <c r="AQ2575" s="16"/>
      <c r="AR2575" s="23"/>
      <c r="AS2575" s="23"/>
      <c r="AT2575" s="23"/>
      <c r="AU2575" s="16"/>
      <c r="AV2575" s="23"/>
      <c r="AW2575" s="23"/>
      <c r="AX2575" s="23"/>
      <c r="AY2575" s="16"/>
      <c r="AZ2575" s="23"/>
      <c r="BA2575" s="23"/>
      <c r="BB2575" s="23"/>
      <c r="BC2575" s="16"/>
      <c r="BD2575" s="23"/>
      <c r="BE2575" s="23"/>
      <c r="BF2575" s="23"/>
      <c r="BG2575" s="16"/>
      <c r="BH2575" s="23"/>
      <c r="BI2575" s="23"/>
      <c r="BJ2575" s="23"/>
      <c r="BN2575" s="23"/>
      <c r="BO2575" s="23"/>
      <c r="BP2575" s="16"/>
      <c r="BQ2575" s="16"/>
      <c r="BR2575" s="23"/>
      <c r="BS2575" s="16"/>
      <c r="BT2575" s="16"/>
      <c r="BU2575" s="16"/>
      <c r="BV2575" s="16"/>
      <c r="BW2575" s="16"/>
      <c r="BX2575" s="16"/>
      <c r="BY2575" s="16"/>
    </row>
    <row r="2576">
      <c r="A2576" s="16"/>
      <c r="B2576" s="16"/>
      <c r="C2576" s="22"/>
      <c r="D2576" s="16"/>
      <c r="E2576" s="16"/>
      <c r="F2576" s="16"/>
      <c r="G2576" s="16"/>
      <c r="H2576" s="16"/>
      <c r="I2576" s="23"/>
      <c r="J2576" s="23"/>
      <c r="K2576" s="16"/>
      <c r="L2576" s="23"/>
      <c r="M2576" s="23"/>
      <c r="N2576" s="23"/>
      <c r="O2576" s="16"/>
      <c r="P2576" s="23"/>
      <c r="Q2576" s="23"/>
      <c r="R2576" s="23"/>
      <c r="S2576" s="16"/>
      <c r="T2576" s="23"/>
      <c r="U2576" s="23"/>
      <c r="V2576" s="23"/>
      <c r="W2576" s="16"/>
      <c r="X2576" s="23"/>
      <c r="Y2576" s="23"/>
      <c r="Z2576" s="23"/>
      <c r="AA2576" s="16"/>
      <c r="AB2576" s="23"/>
      <c r="AC2576" s="23"/>
      <c r="AD2576" s="23"/>
      <c r="AE2576" s="16"/>
      <c r="AF2576" s="23"/>
      <c r="AG2576" s="23"/>
      <c r="AH2576" s="23"/>
      <c r="AI2576" s="16"/>
      <c r="AJ2576" s="23"/>
      <c r="AK2576" s="23"/>
      <c r="AL2576" s="23"/>
      <c r="AM2576" s="16"/>
      <c r="AN2576" s="23"/>
      <c r="AO2576" s="23"/>
      <c r="AP2576" s="23"/>
      <c r="AQ2576" s="16"/>
      <c r="AR2576" s="23"/>
      <c r="AS2576" s="23"/>
      <c r="AT2576" s="23"/>
      <c r="AU2576" s="16"/>
      <c r="AV2576" s="23"/>
      <c r="AW2576" s="23"/>
      <c r="AX2576" s="23"/>
      <c r="AY2576" s="16"/>
      <c r="AZ2576" s="23"/>
      <c r="BA2576" s="23"/>
      <c r="BB2576" s="23"/>
      <c r="BC2576" s="16"/>
      <c r="BD2576" s="23"/>
      <c r="BE2576" s="23"/>
      <c r="BF2576" s="23"/>
      <c r="BG2576" s="16"/>
      <c r="BH2576" s="23"/>
      <c r="BI2576" s="23"/>
      <c r="BJ2576" s="23"/>
      <c r="BN2576" s="23"/>
      <c r="BO2576" s="23"/>
      <c r="BP2576" s="16"/>
      <c r="BQ2576" s="16"/>
      <c r="BR2576" s="23"/>
      <c r="BS2576" s="16"/>
      <c r="BT2576" s="16"/>
      <c r="BU2576" s="16"/>
      <c r="BV2576" s="16"/>
      <c r="BW2576" s="16"/>
      <c r="BX2576" s="16"/>
      <c r="BY2576" s="16"/>
    </row>
    <row r="2577">
      <c r="A2577" s="16"/>
      <c r="B2577" s="16"/>
      <c r="C2577" s="22"/>
      <c r="D2577" s="16"/>
      <c r="E2577" s="16"/>
      <c r="F2577" s="16"/>
      <c r="G2577" s="16"/>
      <c r="H2577" s="16"/>
      <c r="I2577" s="23"/>
      <c r="J2577" s="23"/>
      <c r="K2577" s="16"/>
      <c r="L2577" s="23"/>
      <c r="M2577" s="23"/>
      <c r="N2577" s="23"/>
      <c r="O2577" s="16"/>
      <c r="P2577" s="23"/>
      <c r="Q2577" s="23"/>
      <c r="R2577" s="23"/>
      <c r="S2577" s="16"/>
      <c r="T2577" s="23"/>
      <c r="U2577" s="23"/>
      <c r="V2577" s="23"/>
      <c r="W2577" s="16"/>
      <c r="X2577" s="23"/>
      <c r="Y2577" s="23"/>
      <c r="Z2577" s="23"/>
      <c r="AA2577" s="16"/>
      <c r="AB2577" s="23"/>
      <c r="AC2577" s="23"/>
      <c r="AD2577" s="23"/>
      <c r="AE2577" s="16"/>
      <c r="AF2577" s="23"/>
      <c r="AG2577" s="23"/>
      <c r="AH2577" s="23"/>
      <c r="AI2577" s="16"/>
      <c r="AJ2577" s="23"/>
      <c r="AK2577" s="23"/>
      <c r="AL2577" s="23"/>
      <c r="AM2577" s="16"/>
      <c r="AN2577" s="23"/>
      <c r="AO2577" s="23"/>
      <c r="AP2577" s="23"/>
      <c r="AQ2577" s="16"/>
      <c r="AR2577" s="23"/>
      <c r="AS2577" s="23"/>
      <c r="AT2577" s="23"/>
      <c r="AU2577" s="16"/>
      <c r="AV2577" s="23"/>
      <c r="AW2577" s="23"/>
      <c r="AX2577" s="23"/>
      <c r="AY2577" s="16"/>
      <c r="AZ2577" s="23"/>
      <c r="BA2577" s="23"/>
      <c r="BB2577" s="23"/>
      <c r="BC2577" s="16"/>
      <c r="BD2577" s="23"/>
      <c r="BE2577" s="23"/>
      <c r="BF2577" s="23"/>
      <c r="BG2577" s="16"/>
      <c r="BH2577" s="23"/>
      <c r="BI2577" s="23"/>
      <c r="BJ2577" s="23"/>
      <c r="BN2577" s="23"/>
      <c r="BO2577" s="23"/>
      <c r="BP2577" s="16"/>
      <c r="BQ2577" s="16"/>
      <c r="BR2577" s="23"/>
      <c r="BS2577" s="16"/>
      <c r="BT2577" s="16"/>
      <c r="BU2577" s="16"/>
      <c r="BV2577" s="16"/>
      <c r="BW2577" s="16"/>
      <c r="BX2577" s="16"/>
      <c r="BY2577" s="16"/>
    </row>
    <row r="2578">
      <c r="A2578" s="16"/>
      <c r="B2578" s="16"/>
      <c r="C2578" s="22"/>
      <c r="D2578" s="16"/>
      <c r="E2578" s="16"/>
      <c r="F2578" s="16"/>
      <c r="G2578" s="16"/>
      <c r="H2578" s="16"/>
      <c r="I2578" s="23"/>
      <c r="J2578" s="23"/>
      <c r="K2578" s="16"/>
      <c r="L2578" s="23"/>
      <c r="M2578" s="23"/>
      <c r="N2578" s="23"/>
      <c r="O2578" s="16"/>
      <c r="P2578" s="23"/>
      <c r="Q2578" s="23"/>
      <c r="R2578" s="23"/>
      <c r="S2578" s="16"/>
      <c r="T2578" s="23"/>
      <c r="U2578" s="23"/>
      <c r="V2578" s="23"/>
      <c r="W2578" s="16"/>
      <c r="X2578" s="23"/>
      <c r="Y2578" s="23"/>
      <c r="Z2578" s="23"/>
      <c r="AA2578" s="16"/>
      <c r="AB2578" s="23"/>
      <c r="AC2578" s="23"/>
      <c r="AD2578" s="23"/>
      <c r="AE2578" s="16"/>
      <c r="AF2578" s="23"/>
      <c r="AG2578" s="23"/>
      <c r="AH2578" s="23"/>
      <c r="AI2578" s="16"/>
      <c r="AJ2578" s="23"/>
      <c r="AK2578" s="23"/>
      <c r="AL2578" s="23"/>
      <c r="AM2578" s="16"/>
      <c r="AN2578" s="23"/>
      <c r="AO2578" s="23"/>
      <c r="AP2578" s="23"/>
      <c r="AQ2578" s="16"/>
      <c r="AR2578" s="23"/>
      <c r="AS2578" s="23"/>
      <c r="AT2578" s="23"/>
      <c r="AU2578" s="16"/>
      <c r="AV2578" s="23"/>
      <c r="AW2578" s="23"/>
      <c r="AX2578" s="23"/>
      <c r="AY2578" s="16"/>
      <c r="AZ2578" s="23"/>
      <c r="BA2578" s="23"/>
      <c r="BB2578" s="23"/>
      <c r="BC2578" s="16"/>
      <c r="BD2578" s="23"/>
      <c r="BE2578" s="23"/>
      <c r="BF2578" s="23"/>
      <c r="BG2578" s="16"/>
      <c r="BH2578" s="23"/>
      <c r="BI2578" s="23"/>
      <c r="BJ2578" s="23"/>
      <c r="BN2578" s="23"/>
      <c r="BO2578" s="23"/>
      <c r="BP2578" s="16"/>
      <c r="BQ2578" s="16"/>
      <c r="BR2578" s="23"/>
      <c r="BS2578" s="16"/>
      <c r="BT2578" s="16"/>
      <c r="BU2578" s="16"/>
      <c r="BV2578" s="16"/>
      <c r="BW2578" s="16"/>
      <c r="BX2578" s="16"/>
      <c r="BY2578" s="16"/>
    </row>
    <row r="2579">
      <c r="A2579" s="16"/>
      <c r="B2579" s="16"/>
      <c r="C2579" s="22"/>
      <c r="D2579" s="16"/>
      <c r="E2579" s="16"/>
      <c r="F2579" s="16"/>
      <c r="G2579" s="16"/>
      <c r="H2579" s="16"/>
      <c r="I2579" s="23"/>
      <c r="J2579" s="23"/>
      <c r="K2579" s="16"/>
      <c r="L2579" s="23"/>
      <c r="M2579" s="23"/>
      <c r="N2579" s="23"/>
      <c r="O2579" s="16"/>
      <c r="P2579" s="23"/>
      <c r="Q2579" s="23"/>
      <c r="R2579" s="23"/>
      <c r="S2579" s="16"/>
      <c r="T2579" s="23"/>
      <c r="U2579" s="23"/>
      <c r="V2579" s="23"/>
      <c r="W2579" s="16"/>
      <c r="X2579" s="23"/>
      <c r="Y2579" s="23"/>
      <c r="Z2579" s="23"/>
      <c r="AA2579" s="16"/>
      <c r="AB2579" s="23"/>
      <c r="AC2579" s="23"/>
      <c r="AD2579" s="23"/>
      <c r="AE2579" s="16"/>
      <c r="AF2579" s="23"/>
      <c r="AG2579" s="23"/>
      <c r="AH2579" s="23"/>
      <c r="AI2579" s="16"/>
      <c r="AJ2579" s="23"/>
      <c r="AK2579" s="23"/>
      <c r="AL2579" s="23"/>
      <c r="AM2579" s="16"/>
      <c r="AN2579" s="23"/>
      <c r="AO2579" s="23"/>
      <c r="AP2579" s="23"/>
      <c r="AQ2579" s="16"/>
      <c r="AR2579" s="23"/>
      <c r="AS2579" s="23"/>
      <c r="AT2579" s="23"/>
      <c r="AU2579" s="16"/>
      <c r="AV2579" s="23"/>
      <c r="AW2579" s="23"/>
      <c r="AX2579" s="23"/>
      <c r="AY2579" s="16"/>
      <c r="AZ2579" s="23"/>
      <c r="BA2579" s="23"/>
      <c r="BB2579" s="23"/>
      <c r="BC2579" s="16"/>
      <c r="BD2579" s="23"/>
      <c r="BE2579" s="23"/>
      <c r="BF2579" s="23"/>
      <c r="BG2579" s="16"/>
      <c r="BH2579" s="23"/>
      <c r="BI2579" s="23"/>
      <c r="BJ2579" s="23"/>
      <c r="BN2579" s="23"/>
      <c r="BO2579" s="23"/>
      <c r="BP2579" s="16"/>
      <c r="BQ2579" s="16"/>
      <c r="BR2579" s="23"/>
      <c r="BS2579" s="16"/>
      <c r="BT2579" s="16"/>
      <c r="BU2579" s="16"/>
      <c r="BV2579" s="16"/>
      <c r="BW2579" s="16"/>
      <c r="BX2579" s="16"/>
      <c r="BY2579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8</v>
      </c>
      <c r="G1" s="3" t="s">
        <v>20</v>
      </c>
      <c r="H1" s="3" t="s">
        <v>22</v>
      </c>
      <c r="I1" s="3" t="s">
        <v>24</v>
      </c>
      <c r="J1" s="3" t="s">
        <v>27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36</v>
      </c>
      <c r="Q1" s="3" t="s">
        <v>37</v>
      </c>
      <c r="R1" s="3" t="s">
        <v>39</v>
      </c>
      <c r="S1" s="3" t="s">
        <v>41</v>
      </c>
      <c r="T1" s="3" t="s">
        <v>42</v>
      </c>
      <c r="U1" s="3" t="s">
        <v>44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51</v>
      </c>
      <c r="AA1" s="3" t="s">
        <v>52</v>
      </c>
      <c r="AB1" s="3" t="s">
        <v>54</v>
      </c>
      <c r="AC1" s="3" t="s">
        <v>55</v>
      </c>
      <c r="AD1" s="3" t="s">
        <v>57</v>
      </c>
      <c r="AE1" s="3" t="s">
        <v>58</v>
      </c>
      <c r="AF1" s="3" t="s">
        <v>61</v>
      </c>
      <c r="AG1" s="3" t="s">
        <v>63</v>
      </c>
      <c r="AH1" s="3" t="s">
        <v>64</v>
      </c>
      <c r="AI1" s="3" t="s">
        <v>65</v>
      </c>
      <c r="AJ1" s="3" t="s">
        <v>67</v>
      </c>
      <c r="AK1" s="3" t="s">
        <v>69</v>
      </c>
      <c r="AL1" s="3" t="s">
        <v>71</v>
      </c>
      <c r="AM1" s="3" t="s">
        <v>73</v>
      </c>
      <c r="AN1" s="3" t="s">
        <v>75</v>
      </c>
      <c r="AO1" s="3" t="s">
        <v>76</v>
      </c>
      <c r="AP1" s="3" t="s">
        <v>77</v>
      </c>
      <c r="AQ1" s="3" t="s">
        <v>78</v>
      </c>
      <c r="AR1" s="3" t="s">
        <v>79</v>
      </c>
      <c r="AS1" s="3" t="s">
        <v>80</v>
      </c>
      <c r="AT1" s="3" t="s">
        <v>82</v>
      </c>
      <c r="AU1" s="3" t="s">
        <v>83</v>
      </c>
      <c r="AV1" s="3" t="s">
        <v>84</v>
      </c>
      <c r="AW1" s="3" t="s">
        <v>86</v>
      </c>
      <c r="AX1" s="3" t="s">
        <v>87</v>
      </c>
      <c r="AY1" s="3" t="s">
        <v>89</v>
      </c>
      <c r="AZ1" s="3" t="s">
        <v>90</v>
      </c>
      <c r="BA1" s="3" t="s">
        <v>91</v>
      </c>
      <c r="BB1" s="3" t="s">
        <v>92</v>
      </c>
      <c r="BC1" s="3" t="s">
        <v>94</v>
      </c>
      <c r="BD1" s="3" t="s">
        <v>95</v>
      </c>
      <c r="BE1" s="3" t="s">
        <v>97</v>
      </c>
      <c r="BF1" s="3" t="s">
        <v>98</v>
      </c>
      <c r="BG1" s="3" t="s">
        <v>99</v>
      </c>
      <c r="BH1" s="3" t="s">
        <v>102</v>
      </c>
      <c r="BI1" s="3" t="s">
        <v>103</v>
      </c>
      <c r="BJ1" s="3" t="s">
        <v>105</v>
      </c>
      <c r="BK1" s="3" t="s">
        <v>106</v>
      </c>
      <c r="BL1" s="3" t="s">
        <v>107</v>
      </c>
      <c r="BM1" s="3" t="s">
        <v>110</v>
      </c>
      <c r="BN1" s="3" t="s">
        <v>111</v>
      </c>
      <c r="BO1" s="3" t="s">
        <v>113</v>
      </c>
      <c r="BP1" s="3" t="s">
        <v>7</v>
      </c>
      <c r="BQ1" s="3" t="s">
        <v>21</v>
      </c>
      <c r="BR1" s="3" t="s">
        <v>115</v>
      </c>
      <c r="BS1" s="3" t="s">
        <v>1</v>
      </c>
      <c r="BT1" s="3" t="s">
        <v>9</v>
      </c>
      <c r="BU1" s="3" t="s">
        <v>11</v>
      </c>
      <c r="BV1" s="3" t="s">
        <v>12</v>
      </c>
      <c r="BW1" s="3" t="s">
        <v>13</v>
      </c>
      <c r="BX1" s="3" t="s">
        <v>14</v>
      </c>
      <c r="BY1" s="3" t="s">
        <v>15</v>
      </c>
    </row>
    <row r="2">
      <c r="A2" s="16" t="s">
        <v>28</v>
      </c>
      <c r="B2" s="16" t="s">
        <v>35</v>
      </c>
      <c r="C2" s="20">
        <v>45261.0</v>
      </c>
      <c r="D2" s="16" t="s">
        <v>40</v>
      </c>
      <c r="F2" s="16" t="s">
        <v>45</v>
      </c>
      <c r="G2" s="16" t="s">
        <v>150</v>
      </c>
      <c r="H2" s="16">
        <v>7.0</v>
      </c>
      <c r="I2" s="16">
        <v>7.0</v>
      </c>
      <c r="J2" s="16">
        <v>49.0</v>
      </c>
      <c r="K2" s="16" t="s">
        <v>152</v>
      </c>
      <c r="L2" s="16">
        <v>1.0</v>
      </c>
      <c r="M2" s="16">
        <v>16.83</v>
      </c>
      <c r="N2" s="16">
        <v>16.83</v>
      </c>
      <c r="O2" s="16" t="s">
        <v>154</v>
      </c>
      <c r="P2" s="16">
        <v>10.0</v>
      </c>
      <c r="Q2" s="16">
        <v>25.0</v>
      </c>
      <c r="R2" s="16">
        <v>250.0</v>
      </c>
      <c r="S2" s="16" t="s">
        <v>155</v>
      </c>
      <c r="T2" s="16">
        <v>5.0</v>
      </c>
      <c r="U2" s="16">
        <v>4.0</v>
      </c>
      <c r="V2" s="16">
        <v>20.0</v>
      </c>
      <c r="W2" s="16" t="s">
        <v>159</v>
      </c>
      <c r="X2" s="16">
        <v>15.0</v>
      </c>
      <c r="Y2" s="16">
        <v>11.0</v>
      </c>
      <c r="Z2" s="16">
        <v>165.0</v>
      </c>
      <c r="AD2" s="16">
        <v>0.0</v>
      </c>
      <c r="AH2" s="16">
        <v>0.0</v>
      </c>
      <c r="AL2" s="16">
        <v>0.0</v>
      </c>
      <c r="AP2" s="16">
        <v>0.0</v>
      </c>
      <c r="AT2" s="16">
        <v>0.0</v>
      </c>
      <c r="AX2" s="16">
        <v>0.0</v>
      </c>
      <c r="BF2" s="16">
        <v>0.0</v>
      </c>
      <c r="BJ2" s="16">
        <v>0.0</v>
      </c>
      <c r="BN2" s="16">
        <v>0.0</v>
      </c>
      <c r="BO2" s="16">
        <v>500.83</v>
      </c>
      <c r="BP2" s="16"/>
      <c r="BQ2" s="16"/>
      <c r="BR2" s="16"/>
      <c r="BS2" s="16"/>
      <c r="BT2" s="16"/>
      <c r="BU2" s="16"/>
      <c r="BV2" s="16"/>
      <c r="BW2" s="16"/>
      <c r="BX2" s="16"/>
      <c r="BY2" s="16"/>
    </row>
    <row r="3">
      <c r="A3" s="16" t="s">
        <v>53</v>
      </c>
      <c r="B3" s="16" t="s">
        <v>35</v>
      </c>
      <c r="C3" s="20">
        <v>45261.0</v>
      </c>
      <c r="D3" s="16" t="s">
        <v>56</v>
      </c>
      <c r="F3" s="16" t="s">
        <v>59</v>
      </c>
      <c r="G3" s="16" t="s">
        <v>169</v>
      </c>
      <c r="H3" s="16">
        <v>11.0</v>
      </c>
      <c r="I3" s="16">
        <v>20.0</v>
      </c>
      <c r="J3" s="16">
        <v>220.0</v>
      </c>
      <c r="N3" s="16">
        <v>0.0</v>
      </c>
      <c r="R3" s="16">
        <v>0.0</v>
      </c>
      <c r="V3" s="16">
        <v>0.0</v>
      </c>
      <c r="Z3" s="16">
        <v>0.0</v>
      </c>
      <c r="AD3" s="16">
        <v>0.0</v>
      </c>
      <c r="AH3" s="16">
        <v>0.0</v>
      </c>
      <c r="AL3" s="16">
        <v>0.0</v>
      </c>
      <c r="AP3" s="16">
        <v>0.0</v>
      </c>
      <c r="AT3" s="16">
        <v>0.0</v>
      </c>
      <c r="AX3" s="16">
        <v>0.0</v>
      </c>
      <c r="BF3" s="16">
        <v>0.0</v>
      </c>
      <c r="BJ3" s="16">
        <v>0.0</v>
      </c>
      <c r="BN3" s="16">
        <v>0.0</v>
      </c>
      <c r="BO3" s="16">
        <v>220.0</v>
      </c>
      <c r="BP3" s="16"/>
      <c r="BQ3" s="16"/>
      <c r="BR3" s="16"/>
      <c r="BS3" s="16"/>
      <c r="BT3" s="16"/>
      <c r="BU3" s="16"/>
      <c r="BV3" s="16"/>
      <c r="BW3" s="16"/>
      <c r="BX3" s="16"/>
      <c r="BY3" s="16"/>
    </row>
    <row r="4">
      <c r="A4" s="16" t="s">
        <v>81</v>
      </c>
      <c r="B4" s="16" t="s">
        <v>35</v>
      </c>
      <c r="C4" s="20">
        <v>45262.0</v>
      </c>
      <c r="D4" s="16" t="s">
        <v>85</v>
      </c>
      <c r="F4" s="16" t="s">
        <v>88</v>
      </c>
      <c r="G4" s="21" t="s">
        <v>178</v>
      </c>
      <c r="H4" s="16">
        <v>1.0</v>
      </c>
      <c r="I4" s="16">
        <v>22.9</v>
      </c>
      <c r="J4" s="16">
        <v>22.9</v>
      </c>
      <c r="K4" s="16" t="s">
        <v>182</v>
      </c>
      <c r="L4" s="16">
        <v>1.0</v>
      </c>
      <c r="M4" s="16">
        <v>10.9</v>
      </c>
      <c r="N4" s="16">
        <v>10.9</v>
      </c>
      <c r="O4" s="16" t="s">
        <v>183</v>
      </c>
      <c r="P4" s="16">
        <v>1.0</v>
      </c>
      <c r="Q4" s="16">
        <v>15.9</v>
      </c>
      <c r="R4" s="16">
        <v>15.9</v>
      </c>
      <c r="S4" s="16" t="s">
        <v>185</v>
      </c>
      <c r="T4" s="16">
        <v>1.0</v>
      </c>
      <c r="U4" s="16">
        <v>59.9</v>
      </c>
      <c r="V4" s="16">
        <v>59.9</v>
      </c>
      <c r="W4" s="16" t="s">
        <v>186</v>
      </c>
      <c r="X4" s="16">
        <v>2.0</v>
      </c>
      <c r="Y4" s="16">
        <v>9.9</v>
      </c>
      <c r="Z4" s="16">
        <v>19.8</v>
      </c>
      <c r="AA4" s="16" t="s">
        <v>188</v>
      </c>
      <c r="AB4" s="16">
        <v>2.0</v>
      </c>
      <c r="AC4" s="16">
        <v>13.9</v>
      </c>
      <c r="AD4" s="16">
        <v>27.8</v>
      </c>
      <c r="AE4" s="16" t="s">
        <v>189</v>
      </c>
      <c r="AF4" s="16">
        <v>1.0</v>
      </c>
      <c r="AG4" s="16">
        <v>3.99</v>
      </c>
      <c r="AH4" s="16">
        <v>3.99</v>
      </c>
      <c r="AI4" s="16" t="s">
        <v>192</v>
      </c>
      <c r="AJ4" s="16">
        <v>5.0</v>
      </c>
      <c r="AK4" s="16">
        <v>9.9</v>
      </c>
      <c r="AL4" s="16">
        <v>49.5</v>
      </c>
      <c r="AM4" s="16" t="s">
        <v>196</v>
      </c>
      <c r="AN4" s="16">
        <v>4.0</v>
      </c>
      <c r="AO4" s="16">
        <v>12.5</v>
      </c>
      <c r="AP4" s="16">
        <v>50.0</v>
      </c>
      <c r="AQ4" s="16" t="s">
        <v>198</v>
      </c>
      <c r="AR4" s="16">
        <v>1.0</v>
      </c>
      <c r="AS4" s="16">
        <v>14.9</v>
      </c>
      <c r="AT4" s="16">
        <v>14.9</v>
      </c>
      <c r="AU4" s="16" t="s">
        <v>192</v>
      </c>
      <c r="AV4" s="16">
        <v>1.0</v>
      </c>
      <c r="AW4" s="16">
        <v>14.9</v>
      </c>
      <c r="AX4" s="16">
        <v>14.9</v>
      </c>
      <c r="AY4" s="16" t="s">
        <v>203</v>
      </c>
      <c r="AZ4" s="16">
        <v>1.0</v>
      </c>
      <c r="BA4" s="16">
        <v>12.9</v>
      </c>
      <c r="BB4" s="16">
        <v>12.0</v>
      </c>
      <c r="BC4" s="16" t="s">
        <v>206</v>
      </c>
      <c r="BD4" s="16">
        <v>6.0</v>
      </c>
      <c r="BE4" s="16">
        <v>13.9</v>
      </c>
      <c r="BF4" s="16">
        <v>83.4</v>
      </c>
      <c r="BG4" s="16" t="s">
        <v>206</v>
      </c>
      <c r="BH4" s="16">
        <v>2.0</v>
      </c>
      <c r="BI4" s="16">
        <v>37.15</v>
      </c>
      <c r="BJ4" s="16">
        <v>74.3</v>
      </c>
      <c r="BN4" s="16">
        <v>0.0</v>
      </c>
      <c r="BO4" s="16">
        <v>460.19</v>
      </c>
      <c r="BP4" s="16"/>
      <c r="BQ4" s="16"/>
      <c r="BR4" s="16"/>
      <c r="BS4" s="16"/>
      <c r="BT4" s="16"/>
      <c r="BU4" s="16"/>
      <c r="BV4" s="16"/>
      <c r="BW4" s="16"/>
      <c r="BX4" s="16"/>
      <c r="BY4" s="16"/>
    </row>
    <row r="5">
      <c r="A5" s="16" t="s">
        <v>93</v>
      </c>
      <c r="B5" s="16" t="s">
        <v>35</v>
      </c>
      <c r="C5" s="20">
        <v>45262.0</v>
      </c>
      <c r="D5" s="16" t="s">
        <v>96</v>
      </c>
      <c r="F5" s="16" t="s">
        <v>100</v>
      </c>
      <c r="G5" s="16" t="s">
        <v>216</v>
      </c>
      <c r="H5" s="16">
        <v>1.0</v>
      </c>
      <c r="I5" s="16">
        <v>127.08</v>
      </c>
      <c r="J5" s="16">
        <v>127.08</v>
      </c>
      <c r="N5" s="16">
        <v>0.0</v>
      </c>
      <c r="R5" s="16">
        <v>0.0</v>
      </c>
      <c r="V5" s="16">
        <v>0.0</v>
      </c>
      <c r="Z5" s="16">
        <v>0.0</v>
      </c>
      <c r="AD5" s="16">
        <v>0.0</v>
      </c>
      <c r="AH5" s="16">
        <v>0.0</v>
      </c>
      <c r="AL5" s="16">
        <v>0.0</v>
      </c>
      <c r="AP5" s="16">
        <v>0.0</v>
      </c>
      <c r="AT5" s="16">
        <v>0.0</v>
      </c>
      <c r="AX5" s="16">
        <v>0.0</v>
      </c>
      <c r="BF5" s="16">
        <v>0.0</v>
      </c>
      <c r="BJ5" s="16">
        <v>0.0</v>
      </c>
      <c r="BN5" s="16">
        <v>0.0</v>
      </c>
      <c r="BO5" s="16">
        <v>127.08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</row>
    <row r="6">
      <c r="A6" s="16" t="s">
        <v>108</v>
      </c>
      <c r="B6" s="16" t="s">
        <v>35</v>
      </c>
      <c r="C6" s="22">
        <v>45272.0</v>
      </c>
      <c r="D6" s="16" t="s">
        <v>112</v>
      </c>
      <c r="F6" s="16" t="s">
        <v>45</v>
      </c>
      <c r="G6" s="16" t="s">
        <v>226</v>
      </c>
      <c r="H6" s="23">
        <v>5.0</v>
      </c>
      <c r="I6" s="23">
        <v>7.8</v>
      </c>
      <c r="J6" s="23">
        <v>39.0</v>
      </c>
      <c r="K6" s="16" t="s">
        <v>152</v>
      </c>
      <c r="L6" s="23">
        <v>2.73</v>
      </c>
      <c r="M6" s="23">
        <v>3.4</v>
      </c>
      <c r="N6" s="23">
        <v>9.28</v>
      </c>
      <c r="O6" s="16" t="s">
        <v>230</v>
      </c>
      <c r="P6" s="23">
        <v>6.15</v>
      </c>
      <c r="Q6" s="23">
        <v>26.0</v>
      </c>
      <c r="R6" s="23">
        <v>159.9</v>
      </c>
      <c r="S6" s="16" t="s">
        <v>155</v>
      </c>
      <c r="T6" s="23">
        <v>5.82</v>
      </c>
      <c r="U6" s="23">
        <v>4.9</v>
      </c>
      <c r="V6" s="23">
        <v>28.52</v>
      </c>
      <c r="W6" s="16" t="s">
        <v>159</v>
      </c>
      <c r="X6" s="23">
        <v>12.0</v>
      </c>
      <c r="Y6" s="23">
        <v>12.0</v>
      </c>
      <c r="Z6" s="23">
        <v>144.0</v>
      </c>
      <c r="AD6" s="23">
        <v>0.0</v>
      </c>
      <c r="AH6" s="23">
        <v>0.0</v>
      </c>
      <c r="AL6" s="23">
        <v>0.0</v>
      </c>
      <c r="AP6" s="23">
        <v>0.0</v>
      </c>
      <c r="AT6" s="23">
        <v>0.0</v>
      </c>
      <c r="AX6" s="23">
        <v>0.0</v>
      </c>
      <c r="BF6" s="23">
        <v>0.0</v>
      </c>
      <c r="BJ6" s="23">
        <v>0.0</v>
      </c>
      <c r="BN6" s="23">
        <v>0.0</v>
      </c>
      <c r="BO6" s="23">
        <v>380.7</v>
      </c>
      <c r="BP6" s="16" t="s">
        <v>114</v>
      </c>
      <c r="BQ6" s="16" t="b">
        <v>1</v>
      </c>
      <c r="BR6" s="23">
        <v>380.7</v>
      </c>
      <c r="BS6" s="16" t="s">
        <v>119</v>
      </c>
      <c r="BT6" s="16" t="b">
        <v>1</v>
      </c>
      <c r="BU6" s="16"/>
      <c r="BV6" s="16"/>
      <c r="BW6" s="16"/>
      <c r="BX6" s="16"/>
      <c r="BY6" s="16"/>
    </row>
    <row r="7">
      <c r="A7" s="16" t="s">
        <v>120</v>
      </c>
      <c r="B7" s="16" t="s">
        <v>35</v>
      </c>
      <c r="C7" s="22">
        <v>45272.0</v>
      </c>
      <c r="D7" s="16" t="s">
        <v>122</v>
      </c>
      <c r="F7" s="16" t="s">
        <v>125</v>
      </c>
      <c r="G7" s="16" t="s">
        <v>238</v>
      </c>
      <c r="H7" s="23">
        <v>12.0</v>
      </c>
      <c r="I7" s="23">
        <v>4.4</v>
      </c>
      <c r="J7" s="23">
        <v>52.8</v>
      </c>
      <c r="K7" s="16" t="s">
        <v>240</v>
      </c>
      <c r="L7" s="23">
        <v>6.0</v>
      </c>
      <c r="M7" s="23">
        <v>4.4</v>
      </c>
      <c r="N7" s="23">
        <v>26.4</v>
      </c>
      <c r="O7" s="16" t="s">
        <v>242</v>
      </c>
      <c r="P7" s="23">
        <v>6.0</v>
      </c>
      <c r="Q7" s="23">
        <v>4.4</v>
      </c>
      <c r="R7" s="23">
        <v>26.4</v>
      </c>
      <c r="S7" s="16" t="s">
        <v>243</v>
      </c>
      <c r="T7" s="23">
        <v>6.0</v>
      </c>
      <c r="U7" s="23">
        <v>4.4</v>
      </c>
      <c r="V7" s="23">
        <v>26.4</v>
      </c>
      <c r="Z7" s="23">
        <v>0.0</v>
      </c>
      <c r="AD7" s="23">
        <v>0.0</v>
      </c>
      <c r="AH7" s="23">
        <v>0.0</v>
      </c>
      <c r="AL7" s="23">
        <v>0.0</v>
      </c>
      <c r="AP7" s="23">
        <v>0.0</v>
      </c>
      <c r="AT7" s="23">
        <v>0.0</v>
      </c>
      <c r="AX7" s="23">
        <v>0.0</v>
      </c>
      <c r="BF7" s="23">
        <v>0.0</v>
      </c>
      <c r="BJ7" s="23">
        <v>0.0</v>
      </c>
      <c r="BN7" s="23">
        <v>0.0</v>
      </c>
      <c r="BO7" s="23">
        <v>132.0</v>
      </c>
      <c r="BP7" s="16" t="s">
        <v>123</v>
      </c>
      <c r="BQ7" s="16" t="b">
        <v>1</v>
      </c>
      <c r="BR7" s="23">
        <v>132.0</v>
      </c>
      <c r="BS7" s="16" t="s">
        <v>119</v>
      </c>
      <c r="BT7" s="16" t="b">
        <v>1</v>
      </c>
      <c r="BU7" s="16"/>
      <c r="BV7" s="16"/>
      <c r="BW7" s="16"/>
      <c r="BX7" s="16"/>
      <c r="BY7" s="16"/>
    </row>
    <row r="8">
      <c r="A8" s="16" t="s">
        <v>128</v>
      </c>
      <c r="B8" s="16" t="s">
        <v>35</v>
      </c>
      <c r="C8" s="22">
        <v>45272.0</v>
      </c>
      <c r="D8" s="16" t="s">
        <v>129</v>
      </c>
      <c r="F8" s="16" t="s">
        <v>132</v>
      </c>
      <c r="G8" s="16" t="s">
        <v>247</v>
      </c>
      <c r="H8" s="23">
        <v>20.0</v>
      </c>
      <c r="I8" s="23">
        <v>0.99</v>
      </c>
      <c r="J8" s="23">
        <v>19.8</v>
      </c>
      <c r="K8" s="16" t="s">
        <v>249</v>
      </c>
      <c r="L8" s="23">
        <v>2.0</v>
      </c>
      <c r="M8" s="23">
        <v>10.59</v>
      </c>
      <c r="N8" s="23">
        <v>21.18</v>
      </c>
      <c r="R8" s="23">
        <v>0.0</v>
      </c>
      <c r="V8" s="23">
        <v>0.0</v>
      </c>
      <c r="Z8" s="23">
        <v>0.0</v>
      </c>
      <c r="AD8" s="23">
        <v>0.0</v>
      </c>
      <c r="AH8" s="23">
        <v>0.0</v>
      </c>
      <c r="AL8" s="23">
        <v>0.0</v>
      </c>
      <c r="AP8" s="23">
        <v>0.0</v>
      </c>
      <c r="AT8" s="23">
        <v>0.0</v>
      </c>
      <c r="AX8" s="23">
        <v>0.0</v>
      </c>
      <c r="BF8" s="23">
        <v>0.0</v>
      </c>
      <c r="BJ8" s="23">
        <v>0.0</v>
      </c>
      <c r="BN8" s="23">
        <v>0.0</v>
      </c>
      <c r="BO8" s="23">
        <v>40.98</v>
      </c>
      <c r="BP8" s="16" t="s">
        <v>131</v>
      </c>
      <c r="BQ8" s="16" t="b">
        <v>1</v>
      </c>
      <c r="BR8" s="23">
        <v>40.98</v>
      </c>
      <c r="BT8" s="16" t="b">
        <v>0</v>
      </c>
      <c r="BU8" s="16"/>
      <c r="BV8" s="16"/>
      <c r="BW8" s="16"/>
      <c r="BX8" s="16"/>
      <c r="BY8" s="16"/>
    </row>
    <row r="9">
      <c r="A9" s="16" t="s">
        <v>135</v>
      </c>
      <c r="B9" s="16" t="s">
        <v>35</v>
      </c>
      <c r="C9" s="22">
        <v>45273.0</v>
      </c>
      <c r="D9" s="16" t="s">
        <v>137</v>
      </c>
      <c r="F9" s="16" t="s">
        <v>140</v>
      </c>
      <c r="G9" s="16">
        <v>1.2539885E7</v>
      </c>
      <c r="H9" s="23">
        <v>14.0</v>
      </c>
      <c r="I9" s="23">
        <v>25.0</v>
      </c>
      <c r="J9" s="23">
        <v>350.0</v>
      </c>
      <c r="N9" s="23">
        <v>0.0</v>
      </c>
      <c r="R9" s="23">
        <v>0.0</v>
      </c>
      <c r="V9" s="23">
        <v>0.0</v>
      </c>
      <c r="Z9" s="23">
        <v>0.0</v>
      </c>
      <c r="AD9" s="23">
        <v>0.0</v>
      </c>
      <c r="AH9" s="23">
        <v>0.0</v>
      </c>
      <c r="AL9" s="23">
        <v>0.0</v>
      </c>
      <c r="AP9" s="23">
        <v>0.0</v>
      </c>
      <c r="AT9" s="23">
        <v>0.0</v>
      </c>
      <c r="AX9" s="23">
        <v>0.0</v>
      </c>
      <c r="BF9" s="23">
        <v>0.0</v>
      </c>
      <c r="BJ9" s="23">
        <v>0.0</v>
      </c>
      <c r="BN9" s="23">
        <v>0.0</v>
      </c>
      <c r="BO9" s="23">
        <v>350.0</v>
      </c>
      <c r="BP9" s="16" t="s">
        <v>138</v>
      </c>
      <c r="BQ9" s="16" t="b">
        <v>1</v>
      </c>
      <c r="BR9" s="23">
        <v>350.0</v>
      </c>
      <c r="BS9" s="16" t="s">
        <v>119</v>
      </c>
      <c r="BT9" s="16" t="b">
        <v>1</v>
      </c>
      <c r="BU9" s="16"/>
      <c r="BV9" s="16"/>
      <c r="BW9" s="16"/>
      <c r="BX9" s="16"/>
      <c r="BY9" s="16"/>
    </row>
    <row r="10">
      <c r="A10" s="16" t="s">
        <v>143</v>
      </c>
      <c r="B10" s="16" t="s">
        <v>35</v>
      </c>
      <c r="C10" s="22">
        <v>45273.0</v>
      </c>
      <c r="D10" s="16" t="s">
        <v>145</v>
      </c>
      <c r="F10" s="16" t="s">
        <v>147</v>
      </c>
      <c r="G10" s="16" t="s">
        <v>262</v>
      </c>
      <c r="H10" s="23">
        <v>4.0</v>
      </c>
      <c r="I10" s="23">
        <v>22.0</v>
      </c>
      <c r="J10" s="23">
        <v>88.0</v>
      </c>
      <c r="K10" s="16" t="s">
        <v>264</v>
      </c>
      <c r="L10" s="23">
        <v>4.0</v>
      </c>
      <c r="M10" s="23">
        <v>20.0</v>
      </c>
      <c r="N10" s="23">
        <v>80.0</v>
      </c>
      <c r="O10" s="16" t="s">
        <v>266</v>
      </c>
      <c r="P10" s="23">
        <v>2.0</v>
      </c>
      <c r="Q10" s="23">
        <v>18.0</v>
      </c>
      <c r="R10" s="23">
        <v>36.0</v>
      </c>
      <c r="S10" s="16">
        <v>7.9788768E7</v>
      </c>
      <c r="T10" s="23">
        <v>1.0</v>
      </c>
      <c r="U10" s="23">
        <v>30.0</v>
      </c>
      <c r="V10" s="23">
        <v>30.0</v>
      </c>
      <c r="Z10" s="23">
        <v>0.0</v>
      </c>
      <c r="AD10" s="23">
        <v>0.0</v>
      </c>
      <c r="AH10" s="23">
        <v>0.0</v>
      </c>
      <c r="AL10" s="23">
        <v>0.0</v>
      </c>
      <c r="AP10" s="23">
        <v>0.0</v>
      </c>
      <c r="AT10" s="23">
        <v>0.0</v>
      </c>
      <c r="AX10" s="23">
        <v>0.0</v>
      </c>
      <c r="BF10" s="23">
        <v>0.0</v>
      </c>
      <c r="BJ10" s="23">
        <v>0.0</v>
      </c>
      <c r="BN10" s="23">
        <v>0.0</v>
      </c>
      <c r="BO10" s="23">
        <v>234.0</v>
      </c>
      <c r="BP10" s="16" t="s">
        <v>146</v>
      </c>
      <c r="BQ10" s="16" t="b">
        <v>1</v>
      </c>
      <c r="BR10" s="23">
        <v>234.0</v>
      </c>
      <c r="BS10" s="16" t="s">
        <v>151</v>
      </c>
      <c r="BT10" s="16" t="b">
        <v>1</v>
      </c>
      <c r="BU10" s="16"/>
      <c r="BV10" s="16"/>
      <c r="BW10" s="16"/>
      <c r="BX10" s="16"/>
      <c r="BY10" s="16"/>
    </row>
    <row r="11">
      <c r="A11" s="16" t="s">
        <v>153</v>
      </c>
      <c r="B11" s="16" t="s">
        <v>35</v>
      </c>
      <c r="C11" s="22">
        <v>45274.0</v>
      </c>
      <c r="D11" s="16" t="s">
        <v>112</v>
      </c>
      <c r="F11" s="16" t="s">
        <v>157</v>
      </c>
      <c r="G11" s="16" t="s">
        <v>226</v>
      </c>
      <c r="H11" s="23">
        <v>5.0</v>
      </c>
      <c r="I11" s="23">
        <v>6.8</v>
      </c>
      <c r="J11" s="23">
        <v>34.0</v>
      </c>
      <c r="K11" s="16" t="s">
        <v>230</v>
      </c>
      <c r="L11" s="23">
        <v>1.0</v>
      </c>
      <c r="M11" s="23">
        <v>201.37</v>
      </c>
      <c r="N11" s="23">
        <v>201.37</v>
      </c>
      <c r="O11" s="16" t="s">
        <v>155</v>
      </c>
      <c r="P11" s="23">
        <v>1.0</v>
      </c>
      <c r="Q11" s="23">
        <v>25.53</v>
      </c>
      <c r="R11" s="23">
        <v>25.53</v>
      </c>
      <c r="S11" s="16" t="s">
        <v>159</v>
      </c>
      <c r="T11" s="23">
        <v>15.0</v>
      </c>
      <c r="U11" s="23">
        <v>12.5</v>
      </c>
      <c r="V11" s="23">
        <v>187.5</v>
      </c>
      <c r="Z11" s="23">
        <v>0.0</v>
      </c>
      <c r="AD11" s="23">
        <v>0.0</v>
      </c>
      <c r="AH11" s="23">
        <v>0.0</v>
      </c>
      <c r="AL11" s="23">
        <v>0.0</v>
      </c>
      <c r="AP11" s="23">
        <v>0.0</v>
      </c>
      <c r="AT11" s="23">
        <v>0.0</v>
      </c>
      <c r="AX11" s="23">
        <v>0.0</v>
      </c>
      <c r="BF11" s="23">
        <v>0.0</v>
      </c>
      <c r="BJ11" s="23">
        <v>0.0</v>
      </c>
      <c r="BN11" s="23">
        <v>0.0</v>
      </c>
      <c r="BO11" s="23">
        <v>448.4</v>
      </c>
      <c r="BP11" s="16" t="s">
        <v>156</v>
      </c>
      <c r="BQ11" s="16" t="b">
        <v>1</v>
      </c>
      <c r="BR11" s="23">
        <v>448.5</v>
      </c>
      <c r="BS11" s="16" t="s">
        <v>160</v>
      </c>
      <c r="BT11" s="16" t="b">
        <v>1</v>
      </c>
      <c r="BU11" s="16"/>
      <c r="BV11" s="16"/>
      <c r="BW11" s="16"/>
      <c r="BX11" s="16"/>
      <c r="BY11" s="16"/>
    </row>
    <row r="12">
      <c r="A12" s="16" t="s">
        <v>162</v>
      </c>
      <c r="B12" s="16" t="s">
        <v>35</v>
      </c>
      <c r="C12" s="22">
        <v>45275.0</v>
      </c>
      <c r="D12" s="16" t="s">
        <v>112</v>
      </c>
      <c r="F12" s="16" t="s">
        <v>157</v>
      </c>
      <c r="G12" s="16" t="s">
        <v>226</v>
      </c>
      <c r="H12" s="23">
        <v>5.0</v>
      </c>
      <c r="I12" s="23">
        <v>6.8</v>
      </c>
      <c r="J12" s="23">
        <v>34.0</v>
      </c>
      <c r="K12" s="16" t="s">
        <v>152</v>
      </c>
      <c r="L12" s="23">
        <v>1.0</v>
      </c>
      <c r="M12" s="23">
        <v>13.32</v>
      </c>
      <c r="N12" s="23">
        <v>13.32</v>
      </c>
      <c r="O12" s="16" t="s">
        <v>230</v>
      </c>
      <c r="P12" s="23">
        <v>8.0</v>
      </c>
      <c r="Q12" s="23">
        <v>25.0</v>
      </c>
      <c r="R12" s="23">
        <v>200.0</v>
      </c>
      <c r="S12" s="16" t="s">
        <v>155</v>
      </c>
      <c r="T12" s="23">
        <v>1.0</v>
      </c>
      <c r="U12" s="23">
        <v>23.78</v>
      </c>
      <c r="V12" s="23">
        <v>23.78</v>
      </c>
      <c r="W12" s="16">
        <v>1.2539885E7</v>
      </c>
      <c r="X12" s="23">
        <v>10.0</v>
      </c>
      <c r="Y12" s="23">
        <v>8.0</v>
      </c>
      <c r="Z12" s="23">
        <v>80.0</v>
      </c>
      <c r="AA12" s="16" t="s">
        <v>159</v>
      </c>
      <c r="AB12" s="23">
        <v>15.0</v>
      </c>
      <c r="AC12" s="23">
        <v>12.5</v>
      </c>
      <c r="AD12" s="23">
        <v>187.5</v>
      </c>
      <c r="AH12" s="23">
        <v>0.0</v>
      </c>
      <c r="AL12" s="23">
        <v>0.0</v>
      </c>
      <c r="AP12" s="23">
        <v>0.0</v>
      </c>
      <c r="AT12" s="23">
        <v>0.0</v>
      </c>
      <c r="AX12" s="23">
        <v>0.0</v>
      </c>
      <c r="BF12" s="23">
        <v>0.0</v>
      </c>
      <c r="BJ12" s="23">
        <v>0.0</v>
      </c>
      <c r="BN12" s="23">
        <v>0.0</v>
      </c>
      <c r="BO12" s="23">
        <v>538.6</v>
      </c>
      <c r="BP12" s="16" t="s">
        <v>163</v>
      </c>
      <c r="BQ12" s="16" t="b">
        <v>1</v>
      </c>
      <c r="BR12" s="23">
        <v>538.6</v>
      </c>
      <c r="BS12" s="16" t="s">
        <v>119</v>
      </c>
      <c r="BT12" s="16" t="b">
        <v>1</v>
      </c>
      <c r="BU12" s="16"/>
      <c r="BV12" s="16"/>
      <c r="BW12" s="16"/>
      <c r="BX12" s="16"/>
      <c r="BY12" s="16"/>
    </row>
    <row r="13">
      <c r="A13" s="16" t="s">
        <v>166</v>
      </c>
      <c r="B13" s="16" t="s">
        <v>35</v>
      </c>
      <c r="C13" s="22">
        <v>45275.0</v>
      </c>
      <c r="D13" s="16" t="s">
        <v>137</v>
      </c>
      <c r="F13" s="16" t="s">
        <v>171</v>
      </c>
      <c r="G13" s="16">
        <v>1.2539885E7</v>
      </c>
      <c r="H13" s="23">
        <v>18.0</v>
      </c>
      <c r="I13" s="23">
        <v>25.0</v>
      </c>
      <c r="J13" s="23">
        <v>450.0</v>
      </c>
      <c r="N13" s="23">
        <v>0.0</v>
      </c>
      <c r="R13" s="23">
        <v>0.0</v>
      </c>
      <c r="V13" s="23">
        <v>0.0</v>
      </c>
      <c r="Z13" s="23">
        <v>0.0</v>
      </c>
      <c r="AD13" s="23">
        <v>0.0</v>
      </c>
      <c r="AH13" s="23">
        <v>0.0</v>
      </c>
      <c r="AL13" s="23">
        <v>0.0</v>
      </c>
      <c r="AP13" s="23">
        <v>0.0</v>
      </c>
      <c r="AT13" s="23">
        <v>0.0</v>
      </c>
      <c r="AX13" s="23">
        <v>0.0</v>
      </c>
      <c r="BF13" s="23">
        <v>0.0</v>
      </c>
      <c r="BJ13" s="23">
        <v>0.0</v>
      </c>
      <c r="BN13" s="23">
        <v>0.0</v>
      </c>
      <c r="BO13" s="23">
        <v>450.0</v>
      </c>
      <c r="BP13" s="16" t="s">
        <v>168</v>
      </c>
      <c r="BQ13" s="16" t="b">
        <v>1</v>
      </c>
      <c r="BR13" s="23">
        <v>450.0</v>
      </c>
      <c r="BS13" s="16" t="s">
        <v>119</v>
      </c>
      <c r="BT13" s="16" t="b">
        <v>1</v>
      </c>
      <c r="BU13" s="16"/>
      <c r="BV13" s="16"/>
      <c r="BW13" s="16"/>
      <c r="BX13" s="16"/>
      <c r="BY13" s="16"/>
    </row>
    <row r="14">
      <c r="A14" s="16" t="s">
        <v>174</v>
      </c>
      <c r="B14" s="16" t="s">
        <v>35</v>
      </c>
      <c r="C14" s="22">
        <v>45276.0</v>
      </c>
      <c r="D14" s="16" t="s">
        <v>175</v>
      </c>
      <c r="F14" s="16" t="s">
        <v>177</v>
      </c>
      <c r="G14" s="16" t="s">
        <v>305</v>
      </c>
      <c r="H14" s="23">
        <v>1.0</v>
      </c>
      <c r="I14" s="23">
        <v>94.4</v>
      </c>
      <c r="J14" s="23">
        <v>94.4</v>
      </c>
      <c r="N14" s="23">
        <v>0.0</v>
      </c>
      <c r="R14" s="23">
        <v>0.0</v>
      </c>
      <c r="V14" s="23">
        <v>0.0</v>
      </c>
      <c r="Z14" s="23">
        <v>0.0</v>
      </c>
      <c r="AD14" s="23">
        <v>0.0</v>
      </c>
      <c r="AH14" s="23">
        <v>0.0</v>
      </c>
      <c r="AL14" s="23">
        <v>0.0</v>
      </c>
      <c r="AP14" s="23">
        <v>0.0</v>
      </c>
      <c r="AT14" s="23">
        <v>0.0</v>
      </c>
      <c r="AX14" s="23">
        <v>0.0</v>
      </c>
      <c r="BF14" s="23">
        <v>0.0</v>
      </c>
      <c r="BJ14" s="23">
        <v>0.0</v>
      </c>
      <c r="BN14" s="23">
        <v>0.0</v>
      </c>
      <c r="BO14" s="23">
        <v>94.4</v>
      </c>
      <c r="BP14" s="16" t="s">
        <v>176</v>
      </c>
      <c r="BQ14" s="16" t="b">
        <v>1</v>
      </c>
      <c r="BR14" s="23">
        <v>94.4</v>
      </c>
      <c r="BT14" s="16" t="b">
        <v>0</v>
      </c>
      <c r="BU14" s="16"/>
      <c r="BV14" s="16"/>
      <c r="BW14" s="16"/>
      <c r="BX14" s="16"/>
      <c r="BY14" s="16"/>
    </row>
    <row r="15">
      <c r="A15" s="16" t="s">
        <v>180</v>
      </c>
      <c r="B15" s="16" t="s">
        <v>35</v>
      </c>
      <c r="C15" s="22">
        <v>45277.0</v>
      </c>
      <c r="D15" s="23">
        <v>8.627274E7</v>
      </c>
      <c r="F15" s="16" t="s">
        <v>157</v>
      </c>
      <c r="G15" s="16">
        <v>1.2539885E7</v>
      </c>
      <c r="H15" s="23">
        <v>16.0</v>
      </c>
      <c r="I15" s="23">
        <v>8.79</v>
      </c>
      <c r="J15" s="23">
        <v>140.64</v>
      </c>
      <c r="K15" s="16" t="s">
        <v>226</v>
      </c>
      <c r="L15" s="23">
        <v>5.0</v>
      </c>
      <c r="M15" s="23">
        <v>9.98</v>
      </c>
      <c r="N15" s="23">
        <v>49.9</v>
      </c>
      <c r="O15" s="16" t="s">
        <v>155</v>
      </c>
      <c r="P15" s="23">
        <v>1.0</v>
      </c>
      <c r="Q15" s="23">
        <v>20.52</v>
      </c>
      <c r="R15" s="23">
        <v>20.52</v>
      </c>
      <c r="S15" s="16" t="s">
        <v>230</v>
      </c>
      <c r="T15" s="23">
        <v>1.0</v>
      </c>
      <c r="U15" s="23">
        <v>120.65</v>
      </c>
      <c r="V15" s="23">
        <v>120.65</v>
      </c>
      <c r="Z15" s="23">
        <v>0.0</v>
      </c>
      <c r="AD15" s="23">
        <v>0.0</v>
      </c>
      <c r="AH15" s="23">
        <v>0.0</v>
      </c>
      <c r="AL15" s="23">
        <v>0.0</v>
      </c>
      <c r="AP15" s="23">
        <v>0.0</v>
      </c>
      <c r="AT15" s="23">
        <v>0.0</v>
      </c>
      <c r="AX15" s="23">
        <v>0.0</v>
      </c>
      <c r="BF15" s="23">
        <v>0.0</v>
      </c>
      <c r="BJ15" s="23">
        <v>0.0</v>
      </c>
      <c r="BN15" s="23">
        <v>0.0</v>
      </c>
      <c r="BO15" s="23">
        <v>331.71</v>
      </c>
      <c r="BP15" s="16" t="s">
        <v>184</v>
      </c>
      <c r="BQ15" s="16" t="b">
        <v>1</v>
      </c>
      <c r="BR15" s="23">
        <v>331.71</v>
      </c>
      <c r="BT15" s="16" t="b">
        <v>0</v>
      </c>
      <c r="BU15" s="16"/>
      <c r="BV15" s="16"/>
      <c r="BW15" s="16"/>
      <c r="BX15" s="16"/>
      <c r="BY15" s="16"/>
    </row>
    <row r="16">
      <c r="A16" s="16" t="s">
        <v>190</v>
      </c>
      <c r="B16" s="16" t="s">
        <v>35</v>
      </c>
      <c r="C16" s="22">
        <v>45278.0</v>
      </c>
      <c r="D16" s="16" t="s">
        <v>193</v>
      </c>
      <c r="F16" s="16" t="s">
        <v>195</v>
      </c>
      <c r="G16" s="16" t="s">
        <v>335</v>
      </c>
      <c r="H16" s="23">
        <v>1.0</v>
      </c>
      <c r="I16" s="23">
        <v>39.84</v>
      </c>
      <c r="J16" s="23">
        <v>39.84</v>
      </c>
      <c r="K16" s="16" t="s">
        <v>338</v>
      </c>
      <c r="L16" s="23">
        <v>2.0</v>
      </c>
      <c r="M16" s="23">
        <v>28.89</v>
      </c>
      <c r="N16" s="23">
        <v>57.78</v>
      </c>
      <c r="O16" s="16" t="s">
        <v>338</v>
      </c>
      <c r="P16" s="23">
        <v>2.0</v>
      </c>
      <c r="Q16" s="23">
        <v>28.88</v>
      </c>
      <c r="R16" s="23">
        <v>57.76</v>
      </c>
      <c r="S16" s="16" t="s">
        <v>335</v>
      </c>
      <c r="T16" s="23">
        <v>2.0</v>
      </c>
      <c r="U16" s="23">
        <v>40.22</v>
      </c>
      <c r="V16" s="23">
        <v>80.44</v>
      </c>
      <c r="W16" s="16" t="s">
        <v>338</v>
      </c>
      <c r="X16" s="23">
        <v>4.0</v>
      </c>
      <c r="Y16" s="23">
        <v>43.32</v>
      </c>
      <c r="Z16" s="23">
        <v>173.28</v>
      </c>
      <c r="AD16" s="23">
        <v>0.0</v>
      </c>
      <c r="AH16" s="23">
        <v>0.0</v>
      </c>
      <c r="AL16" s="23">
        <v>0.0</v>
      </c>
      <c r="AP16" s="23">
        <v>0.0</v>
      </c>
      <c r="AT16" s="23">
        <v>0.0</v>
      </c>
      <c r="AX16" s="23">
        <v>0.0</v>
      </c>
      <c r="BF16" s="23">
        <v>0.0</v>
      </c>
      <c r="BJ16" s="23">
        <v>0.0</v>
      </c>
      <c r="BN16" s="23">
        <v>0.0</v>
      </c>
      <c r="BO16" s="23">
        <v>409.1</v>
      </c>
      <c r="BP16" s="16" t="s">
        <v>194</v>
      </c>
      <c r="BQ16" s="16" t="b">
        <v>1</v>
      </c>
      <c r="BR16" s="23">
        <v>408.32</v>
      </c>
      <c r="BS16" s="16" t="s">
        <v>199</v>
      </c>
      <c r="BT16" s="16" t="b">
        <v>1</v>
      </c>
      <c r="BU16" s="16"/>
      <c r="BV16" s="16"/>
      <c r="BW16" s="16"/>
      <c r="BX16" s="16"/>
      <c r="BY16" s="16"/>
    </row>
    <row r="17">
      <c r="A17" s="16" t="s">
        <v>200</v>
      </c>
      <c r="B17" s="16" t="s">
        <v>35</v>
      </c>
      <c r="C17" s="22">
        <v>45278.0</v>
      </c>
      <c r="D17" s="16" t="s">
        <v>137</v>
      </c>
      <c r="F17" s="16" t="s">
        <v>140</v>
      </c>
      <c r="G17" s="16">
        <v>1.2539885E7</v>
      </c>
      <c r="H17" s="23">
        <v>25.0</v>
      </c>
      <c r="I17" s="23">
        <v>28.0</v>
      </c>
      <c r="J17" s="23">
        <v>700.0</v>
      </c>
      <c r="N17" s="23">
        <v>0.0</v>
      </c>
      <c r="R17" s="23">
        <v>0.0</v>
      </c>
      <c r="V17" s="23">
        <v>0.0</v>
      </c>
      <c r="Z17" s="23">
        <v>0.0</v>
      </c>
      <c r="AD17" s="23">
        <v>0.0</v>
      </c>
      <c r="AH17" s="23">
        <v>0.0</v>
      </c>
      <c r="AL17" s="23">
        <v>0.0</v>
      </c>
      <c r="AP17" s="23">
        <v>0.0</v>
      </c>
      <c r="AT17" s="23">
        <v>0.0</v>
      </c>
      <c r="AX17" s="23">
        <v>0.0</v>
      </c>
      <c r="BF17" s="23">
        <v>0.0</v>
      </c>
      <c r="BJ17" s="23">
        <v>0.0</v>
      </c>
      <c r="BN17" s="23">
        <v>0.0</v>
      </c>
      <c r="BO17" s="23">
        <v>700.0</v>
      </c>
      <c r="BP17" s="16" t="s">
        <v>204</v>
      </c>
      <c r="BQ17" s="16" t="b">
        <v>1</v>
      </c>
      <c r="BR17" s="23">
        <v>700.0</v>
      </c>
      <c r="BS17" s="16" t="s">
        <v>208</v>
      </c>
      <c r="BT17" s="16" t="b">
        <v>1</v>
      </c>
      <c r="BU17" s="16"/>
      <c r="BV17" s="16"/>
      <c r="BW17" s="16"/>
      <c r="BX17" s="16"/>
      <c r="BY17" s="16"/>
    </row>
    <row r="18">
      <c r="A18" s="16" t="s">
        <v>209</v>
      </c>
      <c r="B18" s="16" t="s">
        <v>35</v>
      </c>
      <c r="C18" s="22">
        <v>45278.0</v>
      </c>
      <c r="D18" s="16" t="s">
        <v>112</v>
      </c>
      <c r="F18" s="16" t="s">
        <v>157</v>
      </c>
      <c r="G18" s="16" t="s">
        <v>226</v>
      </c>
      <c r="H18" s="23">
        <v>5.0</v>
      </c>
      <c r="I18" s="23">
        <v>6.3</v>
      </c>
      <c r="J18" s="23">
        <v>31.5</v>
      </c>
      <c r="K18" s="16" t="s">
        <v>152</v>
      </c>
      <c r="L18" s="23">
        <v>1.0</v>
      </c>
      <c r="M18" s="23">
        <v>10.32</v>
      </c>
      <c r="N18" s="23">
        <v>10.32</v>
      </c>
      <c r="O18" s="16" t="s">
        <v>155</v>
      </c>
      <c r="P18" s="23">
        <v>1.0</v>
      </c>
      <c r="Q18" s="23">
        <v>12.65</v>
      </c>
      <c r="R18" s="23">
        <v>12.65</v>
      </c>
      <c r="V18" s="23">
        <v>0.0</v>
      </c>
      <c r="Z18" s="23">
        <v>0.0</v>
      </c>
      <c r="AD18" s="23">
        <v>0.0</v>
      </c>
      <c r="AH18" s="23">
        <v>0.0</v>
      </c>
      <c r="AL18" s="23">
        <v>0.0</v>
      </c>
      <c r="AP18" s="23">
        <v>0.0</v>
      </c>
      <c r="AT18" s="23">
        <v>0.0</v>
      </c>
      <c r="AX18" s="23">
        <v>0.0</v>
      </c>
      <c r="BF18" s="23">
        <v>0.0</v>
      </c>
      <c r="BJ18" s="23">
        <v>0.0</v>
      </c>
      <c r="BN18" s="23">
        <v>0.0</v>
      </c>
      <c r="BO18" s="23">
        <v>54.47</v>
      </c>
      <c r="BP18" s="16" t="s">
        <v>211</v>
      </c>
      <c r="BQ18" s="16" t="b">
        <v>1</v>
      </c>
      <c r="BR18" s="23">
        <v>54.47</v>
      </c>
      <c r="BS18" s="16" t="s">
        <v>208</v>
      </c>
      <c r="BT18" s="16" t="b">
        <v>1</v>
      </c>
      <c r="BU18" s="16"/>
      <c r="BV18" s="16"/>
      <c r="BW18" s="16"/>
      <c r="BX18" s="16"/>
      <c r="BY18" s="16"/>
    </row>
    <row r="19">
      <c r="A19" s="16" t="s">
        <v>214</v>
      </c>
      <c r="B19" s="16" t="s">
        <v>35</v>
      </c>
      <c r="C19" s="22">
        <v>45279.0</v>
      </c>
      <c r="D19" s="16" t="s">
        <v>112</v>
      </c>
      <c r="F19" s="16" t="s">
        <v>157</v>
      </c>
      <c r="G19" s="16" t="s">
        <v>226</v>
      </c>
      <c r="H19" s="23">
        <v>5.0</v>
      </c>
      <c r="I19" s="23">
        <v>8.3</v>
      </c>
      <c r="J19" s="23">
        <v>41.5</v>
      </c>
      <c r="K19" s="16" t="s">
        <v>152</v>
      </c>
      <c r="L19" s="23">
        <v>1.0</v>
      </c>
      <c r="M19" s="23">
        <v>10.88</v>
      </c>
      <c r="N19" s="23">
        <v>10.88</v>
      </c>
      <c r="O19" s="16" t="s">
        <v>230</v>
      </c>
      <c r="P19" s="23">
        <v>1.0</v>
      </c>
      <c r="Q19" s="23">
        <v>132.6</v>
      </c>
      <c r="R19" s="23">
        <v>132.6</v>
      </c>
      <c r="S19" s="16" t="s">
        <v>155</v>
      </c>
      <c r="T19" s="23">
        <v>1.0</v>
      </c>
      <c r="U19" s="23">
        <v>18.52</v>
      </c>
      <c r="V19" s="23">
        <v>18.52</v>
      </c>
      <c r="W19" s="16" t="s">
        <v>159</v>
      </c>
      <c r="X19" s="23">
        <v>8.0</v>
      </c>
      <c r="Y19" s="23">
        <v>12.0</v>
      </c>
      <c r="Z19" s="23">
        <v>96.0</v>
      </c>
      <c r="AD19" s="23">
        <v>0.0</v>
      </c>
      <c r="AH19" s="23">
        <v>0.0</v>
      </c>
      <c r="AL19" s="23">
        <v>0.0</v>
      </c>
      <c r="AP19" s="23">
        <v>0.0</v>
      </c>
      <c r="AT19" s="23">
        <v>0.0</v>
      </c>
      <c r="AX19" s="23">
        <v>0.0</v>
      </c>
      <c r="BF19" s="23">
        <v>0.0</v>
      </c>
      <c r="BJ19" s="23">
        <v>0.0</v>
      </c>
      <c r="BN19" s="23">
        <v>0.0</v>
      </c>
      <c r="BO19" s="23">
        <v>299.5</v>
      </c>
      <c r="BP19" s="16" t="s">
        <v>217</v>
      </c>
      <c r="BQ19" s="16" t="b">
        <v>1</v>
      </c>
      <c r="BR19" s="23">
        <v>299.5</v>
      </c>
      <c r="BS19" s="16" t="s">
        <v>208</v>
      </c>
      <c r="BT19" s="16" t="b">
        <v>1</v>
      </c>
      <c r="BU19" s="16"/>
      <c r="BV19" s="16"/>
      <c r="BW19" s="16"/>
      <c r="BX19" s="16"/>
      <c r="BY19" s="16"/>
    </row>
    <row r="20">
      <c r="A20" s="16" t="s">
        <v>220</v>
      </c>
      <c r="B20" s="16" t="s">
        <v>35</v>
      </c>
      <c r="C20" s="22">
        <v>45280.0</v>
      </c>
      <c r="D20" s="16" t="s">
        <v>137</v>
      </c>
      <c r="F20" s="16" t="s">
        <v>171</v>
      </c>
      <c r="G20" s="16">
        <v>1.2539885E7</v>
      </c>
      <c r="H20" s="23">
        <v>10.0</v>
      </c>
      <c r="I20" s="23">
        <v>25.0</v>
      </c>
      <c r="J20" s="23">
        <v>250.0</v>
      </c>
      <c r="N20" s="23">
        <v>0.0</v>
      </c>
      <c r="R20" s="23">
        <v>0.0</v>
      </c>
      <c r="V20" s="23">
        <v>0.0</v>
      </c>
      <c r="Z20" s="23">
        <v>0.0</v>
      </c>
      <c r="AD20" s="23">
        <v>0.0</v>
      </c>
      <c r="AH20" s="23">
        <v>0.0</v>
      </c>
      <c r="AL20" s="23">
        <v>0.0</v>
      </c>
      <c r="AP20" s="23">
        <v>0.0</v>
      </c>
      <c r="AT20" s="23">
        <v>0.0</v>
      </c>
      <c r="AX20" s="23">
        <v>0.0</v>
      </c>
      <c r="BF20" s="23">
        <v>0.0</v>
      </c>
      <c r="BJ20" s="23">
        <v>0.0</v>
      </c>
      <c r="BN20" s="23">
        <v>0.0</v>
      </c>
      <c r="BO20" s="23">
        <v>250.0</v>
      </c>
      <c r="BP20" s="16" t="s">
        <v>221</v>
      </c>
      <c r="BQ20" s="16" t="b">
        <v>1</v>
      </c>
      <c r="BR20" s="23">
        <v>250.0</v>
      </c>
      <c r="BS20" s="16" t="s">
        <v>208</v>
      </c>
      <c r="BT20" s="16" t="b">
        <v>1</v>
      </c>
      <c r="BU20" s="16"/>
      <c r="BV20" s="16"/>
      <c r="BW20" s="16"/>
      <c r="BX20" s="16"/>
      <c r="BY20" s="16"/>
    </row>
    <row r="21">
      <c r="A21" s="16" t="s">
        <v>224</v>
      </c>
      <c r="B21" s="16" t="s">
        <v>35</v>
      </c>
      <c r="C21" s="22">
        <v>45281.0</v>
      </c>
      <c r="D21" s="16" t="s">
        <v>112</v>
      </c>
      <c r="F21" s="16" t="s">
        <v>157</v>
      </c>
      <c r="G21" s="16" t="s">
        <v>226</v>
      </c>
      <c r="H21" s="23">
        <v>7.0</v>
      </c>
      <c r="I21" s="23">
        <v>7.8</v>
      </c>
      <c r="J21" s="23">
        <v>54.6</v>
      </c>
      <c r="K21" s="16" t="s">
        <v>152</v>
      </c>
      <c r="L21" s="23">
        <v>1.0</v>
      </c>
      <c r="M21" s="23">
        <v>15.04</v>
      </c>
      <c r="N21" s="23">
        <v>15.04</v>
      </c>
      <c r="O21" s="16" t="s">
        <v>230</v>
      </c>
      <c r="P21" s="23">
        <v>8.0</v>
      </c>
      <c r="Q21" s="23">
        <v>26.0</v>
      </c>
      <c r="R21" s="23">
        <v>208.0</v>
      </c>
      <c r="S21" s="16" t="s">
        <v>155</v>
      </c>
      <c r="T21" s="23">
        <v>1.0</v>
      </c>
      <c r="U21" s="23">
        <v>43.36</v>
      </c>
      <c r="V21" s="23">
        <v>43.36</v>
      </c>
      <c r="W21" s="16" t="s">
        <v>159</v>
      </c>
      <c r="X21" s="23">
        <v>15.0</v>
      </c>
      <c r="Y21" s="23">
        <v>12.0</v>
      </c>
      <c r="Z21" s="23">
        <v>180.0</v>
      </c>
      <c r="AD21" s="23">
        <v>0.0</v>
      </c>
      <c r="AH21" s="23">
        <v>0.0</v>
      </c>
      <c r="AL21" s="23">
        <v>0.0</v>
      </c>
      <c r="AP21" s="23">
        <v>0.0</v>
      </c>
      <c r="AT21" s="23">
        <v>0.0</v>
      </c>
      <c r="AX21" s="23">
        <v>0.0</v>
      </c>
      <c r="BF21" s="23">
        <v>0.0</v>
      </c>
      <c r="BJ21" s="23">
        <v>0.0</v>
      </c>
      <c r="BN21" s="23">
        <v>0.0</v>
      </c>
      <c r="BO21" s="23">
        <v>501.0</v>
      </c>
      <c r="BP21" s="16" t="s">
        <v>228</v>
      </c>
      <c r="BQ21" s="16" t="b">
        <v>1</v>
      </c>
      <c r="BR21" s="23">
        <v>501.0</v>
      </c>
      <c r="BS21" s="16" t="s">
        <v>208</v>
      </c>
      <c r="BT21" s="16" t="b">
        <v>1</v>
      </c>
      <c r="BU21" s="16"/>
      <c r="BV21" s="16"/>
      <c r="BW21" s="16"/>
      <c r="BX21" s="16"/>
      <c r="BY21" s="16"/>
    </row>
    <row r="22">
      <c r="A22" s="16" t="s">
        <v>232</v>
      </c>
      <c r="B22" s="16" t="s">
        <v>35</v>
      </c>
      <c r="C22" s="22">
        <v>45282.0</v>
      </c>
      <c r="D22" s="16" t="s">
        <v>233</v>
      </c>
      <c r="F22" s="16" t="s">
        <v>236</v>
      </c>
      <c r="G22" s="16" t="s">
        <v>305</v>
      </c>
      <c r="H22" s="23">
        <v>1.0</v>
      </c>
      <c r="I22" s="23">
        <v>108.16</v>
      </c>
      <c r="J22" s="23">
        <v>108.16</v>
      </c>
      <c r="N22" s="23">
        <v>0.0</v>
      </c>
      <c r="R22" s="23">
        <v>0.0</v>
      </c>
      <c r="V22" s="23">
        <v>0.0</v>
      </c>
      <c r="Z22" s="23">
        <v>0.0</v>
      </c>
      <c r="AD22" s="23">
        <v>0.0</v>
      </c>
      <c r="AH22" s="23">
        <v>0.0</v>
      </c>
      <c r="AL22" s="23">
        <v>0.0</v>
      </c>
      <c r="AP22" s="23">
        <v>0.0</v>
      </c>
      <c r="AT22" s="23">
        <v>0.0</v>
      </c>
      <c r="AX22" s="23">
        <v>0.0</v>
      </c>
      <c r="BF22" s="23">
        <v>0.0</v>
      </c>
      <c r="BJ22" s="23">
        <v>0.0</v>
      </c>
      <c r="BN22" s="23">
        <v>0.0</v>
      </c>
      <c r="BO22" s="23">
        <v>108.16</v>
      </c>
      <c r="BP22" s="16" t="s">
        <v>235</v>
      </c>
      <c r="BQ22" s="16" t="b">
        <v>1</v>
      </c>
      <c r="BR22" s="23">
        <v>108.16</v>
      </c>
      <c r="BT22" s="16" t="b">
        <v>0</v>
      </c>
      <c r="BU22" s="16"/>
      <c r="BV22" s="16"/>
      <c r="BW22" s="16"/>
      <c r="BX22" s="16"/>
      <c r="BY22" s="16"/>
    </row>
    <row r="23">
      <c r="A23" s="16" t="s">
        <v>241</v>
      </c>
      <c r="B23" s="16" t="s">
        <v>35</v>
      </c>
      <c r="C23" s="22">
        <v>45282.0</v>
      </c>
      <c r="D23" s="16" t="s">
        <v>137</v>
      </c>
      <c r="F23" s="16" t="s">
        <v>171</v>
      </c>
      <c r="G23" s="16">
        <v>1.2539885E7</v>
      </c>
      <c r="H23" s="23">
        <v>20.0</v>
      </c>
      <c r="I23" s="23">
        <v>25.0</v>
      </c>
      <c r="J23" s="23">
        <v>500.0</v>
      </c>
      <c r="N23" s="23">
        <v>0.0</v>
      </c>
      <c r="R23" s="23">
        <v>0.0</v>
      </c>
      <c r="V23" s="23">
        <v>0.0</v>
      </c>
      <c r="Z23" s="23">
        <v>0.0</v>
      </c>
      <c r="AD23" s="23">
        <v>0.0</v>
      </c>
      <c r="AH23" s="23">
        <v>0.0</v>
      </c>
      <c r="AL23" s="23">
        <v>0.0</v>
      </c>
      <c r="AP23" s="23">
        <v>0.0</v>
      </c>
      <c r="AT23" s="23">
        <v>0.0</v>
      </c>
      <c r="AX23" s="23">
        <v>0.0</v>
      </c>
      <c r="BF23" s="23">
        <v>0.0</v>
      </c>
      <c r="BJ23" s="23">
        <v>0.0</v>
      </c>
      <c r="BN23" s="23">
        <v>0.0</v>
      </c>
      <c r="BO23" s="23">
        <v>500.0</v>
      </c>
      <c r="BP23" s="16" t="s">
        <v>245</v>
      </c>
      <c r="BQ23" s="16" t="b">
        <v>1</v>
      </c>
      <c r="BR23" s="23">
        <v>500.0</v>
      </c>
      <c r="BS23" s="16" t="s">
        <v>208</v>
      </c>
      <c r="BT23" s="16" t="b">
        <v>1</v>
      </c>
      <c r="BU23" s="16"/>
      <c r="BV23" s="16"/>
      <c r="BW23" s="16"/>
      <c r="BX23" s="16"/>
      <c r="BY23" s="16"/>
    </row>
    <row r="24">
      <c r="A24" s="16" t="s">
        <v>248</v>
      </c>
      <c r="B24" s="16" t="s">
        <v>35</v>
      </c>
      <c r="C24" s="22">
        <v>45282.0</v>
      </c>
      <c r="D24" s="16" t="s">
        <v>112</v>
      </c>
      <c r="F24" s="16" t="s">
        <v>157</v>
      </c>
      <c r="G24" s="16" t="s">
        <v>226</v>
      </c>
      <c r="H24" s="23">
        <v>4.0</v>
      </c>
      <c r="I24" s="23">
        <v>7.3</v>
      </c>
      <c r="J24" s="23">
        <v>29.2</v>
      </c>
      <c r="K24" s="16" t="s">
        <v>155</v>
      </c>
      <c r="L24" s="23">
        <v>1.0</v>
      </c>
      <c r="M24" s="23">
        <v>19.3</v>
      </c>
      <c r="N24" s="23">
        <v>19.3</v>
      </c>
      <c r="O24" s="16" t="s">
        <v>159</v>
      </c>
      <c r="P24" s="23">
        <v>10.0</v>
      </c>
      <c r="Q24" s="23">
        <v>12.0</v>
      </c>
      <c r="R24" s="23">
        <v>120.0</v>
      </c>
      <c r="V24" s="23">
        <v>0.0</v>
      </c>
      <c r="Z24" s="23">
        <v>0.0</v>
      </c>
      <c r="AD24" s="23">
        <v>0.0</v>
      </c>
      <c r="AH24" s="23">
        <v>0.0</v>
      </c>
      <c r="AL24" s="23">
        <v>0.0</v>
      </c>
      <c r="AP24" s="23">
        <v>0.0</v>
      </c>
      <c r="AT24" s="23">
        <v>0.0</v>
      </c>
      <c r="AX24" s="23">
        <v>0.0</v>
      </c>
      <c r="BF24" s="23">
        <v>0.0</v>
      </c>
      <c r="BJ24" s="23">
        <v>0.0</v>
      </c>
      <c r="BN24" s="23">
        <v>0.0</v>
      </c>
      <c r="BO24" s="23">
        <v>168.5</v>
      </c>
      <c r="BP24" s="16" t="s">
        <v>251</v>
      </c>
      <c r="BQ24" s="16" t="b">
        <v>1</v>
      </c>
      <c r="BR24" s="23">
        <v>168.5</v>
      </c>
      <c r="BS24" s="16" t="s">
        <v>208</v>
      </c>
      <c r="BT24" s="16" t="b">
        <v>1</v>
      </c>
      <c r="BU24" s="16"/>
      <c r="BV24" s="16"/>
      <c r="BW24" s="16"/>
      <c r="BX24" s="16"/>
      <c r="BY24" s="16"/>
    </row>
    <row r="25">
      <c r="A25" s="16" t="s">
        <v>254</v>
      </c>
      <c r="B25" s="16" t="s">
        <v>35</v>
      </c>
      <c r="C25" s="22">
        <v>45286.0</v>
      </c>
      <c r="D25" s="16" t="s">
        <v>112</v>
      </c>
      <c r="F25" s="16" t="s">
        <v>157</v>
      </c>
      <c r="G25" s="16" t="s">
        <v>226</v>
      </c>
      <c r="H25" s="23">
        <v>1.0</v>
      </c>
      <c r="I25" s="23">
        <v>23.4</v>
      </c>
      <c r="J25" s="23">
        <v>23.4</v>
      </c>
      <c r="K25" s="16" t="s">
        <v>152</v>
      </c>
      <c r="L25" s="23">
        <v>1.0</v>
      </c>
      <c r="M25" s="23">
        <v>10.52</v>
      </c>
      <c r="N25" s="23">
        <v>10.52</v>
      </c>
      <c r="O25" s="16" t="s">
        <v>230</v>
      </c>
      <c r="P25" s="23">
        <v>1.0</v>
      </c>
      <c r="Q25" s="23">
        <v>211.64</v>
      </c>
      <c r="R25" s="23">
        <v>211.64</v>
      </c>
      <c r="S25" s="16" t="s">
        <v>155</v>
      </c>
      <c r="T25" s="23">
        <v>1.0</v>
      </c>
      <c r="U25" s="23">
        <v>29.15</v>
      </c>
      <c r="V25" s="23">
        <v>29.15</v>
      </c>
      <c r="W25" s="16" t="s">
        <v>159</v>
      </c>
      <c r="X25" s="23">
        <v>1.0</v>
      </c>
      <c r="Y25" s="23">
        <v>125.0</v>
      </c>
      <c r="Z25" s="23">
        <v>125.0</v>
      </c>
      <c r="AD25" s="23">
        <v>0.0</v>
      </c>
      <c r="AH25" s="23">
        <v>0.0</v>
      </c>
      <c r="AL25" s="23">
        <v>0.0</v>
      </c>
      <c r="AP25" s="23">
        <v>0.0</v>
      </c>
      <c r="AT25" s="23">
        <v>0.0</v>
      </c>
      <c r="AX25" s="23">
        <v>0.0</v>
      </c>
      <c r="BF25" s="23">
        <v>0.0</v>
      </c>
      <c r="BJ25" s="23">
        <v>0.0</v>
      </c>
      <c r="BN25" s="23">
        <v>0.0</v>
      </c>
      <c r="BO25" s="23">
        <v>399.71</v>
      </c>
      <c r="BP25" s="16" t="s">
        <v>258</v>
      </c>
      <c r="BQ25" s="16" t="b">
        <v>1</v>
      </c>
      <c r="BR25" s="23">
        <v>399.71</v>
      </c>
      <c r="BS25" s="16" t="s">
        <v>208</v>
      </c>
      <c r="BT25" s="16" t="b">
        <v>1</v>
      </c>
      <c r="BU25" s="16"/>
      <c r="BV25" s="16"/>
      <c r="BW25" s="16"/>
      <c r="BX25" s="16"/>
      <c r="BY25" s="16"/>
    </row>
    <row r="26">
      <c r="A26" s="16" t="s">
        <v>261</v>
      </c>
      <c r="B26" s="16" t="s">
        <v>35</v>
      </c>
      <c r="C26" s="22">
        <v>45286.0</v>
      </c>
      <c r="D26" s="16" t="s">
        <v>112</v>
      </c>
      <c r="F26" s="16" t="s">
        <v>157</v>
      </c>
      <c r="G26" s="16" t="s">
        <v>226</v>
      </c>
      <c r="H26" s="23">
        <v>1.0</v>
      </c>
      <c r="I26" s="23">
        <v>54.6</v>
      </c>
      <c r="J26" s="23">
        <v>54.6</v>
      </c>
      <c r="K26" s="16" t="s">
        <v>152</v>
      </c>
      <c r="L26" s="23">
        <v>1.0</v>
      </c>
      <c r="M26" s="23">
        <v>13.6</v>
      </c>
      <c r="N26" s="23">
        <v>13.6</v>
      </c>
      <c r="O26" s="16" t="s">
        <v>230</v>
      </c>
      <c r="P26" s="23">
        <v>1.0</v>
      </c>
      <c r="Q26" s="23">
        <v>159.51</v>
      </c>
      <c r="R26" s="23">
        <v>159.51</v>
      </c>
      <c r="S26" s="16" t="s">
        <v>155</v>
      </c>
      <c r="T26" s="23">
        <v>1.0</v>
      </c>
      <c r="U26" s="23">
        <v>41.3</v>
      </c>
      <c r="V26" s="23">
        <v>41.3</v>
      </c>
      <c r="W26" s="16" t="s">
        <v>159</v>
      </c>
      <c r="X26" s="23">
        <v>1.0</v>
      </c>
      <c r="Y26" s="23">
        <v>187.5</v>
      </c>
      <c r="Z26" s="23">
        <v>187.5</v>
      </c>
      <c r="AD26" s="23">
        <v>0.0</v>
      </c>
      <c r="AH26" s="23">
        <v>0.0</v>
      </c>
      <c r="AL26" s="23">
        <v>0.0</v>
      </c>
      <c r="AP26" s="23">
        <v>0.0</v>
      </c>
      <c r="AT26" s="23">
        <v>0.0</v>
      </c>
      <c r="AX26" s="23">
        <v>0.0</v>
      </c>
      <c r="BF26" s="23">
        <v>0.0</v>
      </c>
      <c r="BJ26" s="23">
        <v>0.0</v>
      </c>
      <c r="BN26" s="23">
        <v>0.0</v>
      </c>
      <c r="BO26" s="23">
        <v>456.51</v>
      </c>
      <c r="BP26" s="16" t="s">
        <v>265</v>
      </c>
      <c r="BQ26" s="16" t="b">
        <v>1</v>
      </c>
      <c r="BR26" s="23">
        <v>456.51</v>
      </c>
      <c r="BS26" s="16" t="s">
        <v>208</v>
      </c>
      <c r="BT26" s="16" t="b">
        <v>1</v>
      </c>
      <c r="BU26" s="16"/>
      <c r="BV26" s="16"/>
      <c r="BW26" s="16"/>
      <c r="BX26" s="16"/>
      <c r="BY26" s="16"/>
    </row>
    <row r="27">
      <c r="A27" s="16" t="s">
        <v>268</v>
      </c>
      <c r="B27" s="16" t="s">
        <v>35</v>
      </c>
      <c r="C27" s="22">
        <v>45286.0</v>
      </c>
      <c r="D27" s="16" t="s">
        <v>137</v>
      </c>
      <c r="F27" s="16" t="s">
        <v>171</v>
      </c>
      <c r="G27" s="16">
        <v>1.2539885E7</v>
      </c>
      <c r="H27" s="23">
        <v>22.0</v>
      </c>
      <c r="I27" s="23">
        <v>25.0</v>
      </c>
      <c r="J27" s="23">
        <v>550.0</v>
      </c>
      <c r="N27" s="23">
        <v>0.0</v>
      </c>
      <c r="R27" s="23">
        <v>0.0</v>
      </c>
      <c r="V27" s="23">
        <v>0.0</v>
      </c>
      <c r="Z27" s="23">
        <v>0.0</v>
      </c>
      <c r="AD27" s="23">
        <v>0.0</v>
      </c>
      <c r="AH27" s="23">
        <v>0.0</v>
      </c>
      <c r="AL27" s="23">
        <v>0.0</v>
      </c>
      <c r="AP27" s="23">
        <v>0.0</v>
      </c>
      <c r="AT27" s="23">
        <v>0.0</v>
      </c>
      <c r="AX27" s="23">
        <v>0.0</v>
      </c>
      <c r="BF27" s="23">
        <v>0.0</v>
      </c>
      <c r="BJ27" s="23">
        <v>0.0</v>
      </c>
      <c r="BN27" s="23">
        <v>0.0</v>
      </c>
      <c r="BO27" s="23">
        <v>550.0</v>
      </c>
      <c r="BP27" s="16" t="s">
        <v>271</v>
      </c>
      <c r="BQ27" s="16" t="b">
        <v>1</v>
      </c>
      <c r="BR27" s="23">
        <v>550.0</v>
      </c>
      <c r="BS27" s="16" t="s">
        <v>275</v>
      </c>
      <c r="BT27" s="16" t="b">
        <v>1</v>
      </c>
      <c r="BU27" s="16"/>
      <c r="BV27" s="16"/>
      <c r="BW27" s="16"/>
      <c r="BX27" s="16"/>
      <c r="BY27" s="16"/>
    </row>
    <row r="28">
      <c r="A28" s="16" t="s">
        <v>277</v>
      </c>
      <c r="B28" s="16" t="s">
        <v>35</v>
      </c>
      <c r="C28" s="22">
        <v>45287.0</v>
      </c>
      <c r="D28" s="16" t="s">
        <v>112</v>
      </c>
      <c r="F28" s="16" t="s">
        <v>157</v>
      </c>
      <c r="G28" s="16" t="s">
        <v>226</v>
      </c>
      <c r="H28" s="23">
        <v>1.0</v>
      </c>
      <c r="I28" s="23">
        <v>39.06</v>
      </c>
      <c r="J28" s="23">
        <v>39.06</v>
      </c>
      <c r="K28" s="16" t="s">
        <v>230</v>
      </c>
      <c r="L28" s="23">
        <v>1.0</v>
      </c>
      <c r="M28" s="23">
        <v>151.13</v>
      </c>
      <c r="N28" s="23">
        <v>151.13</v>
      </c>
      <c r="O28" s="16" t="s">
        <v>155</v>
      </c>
      <c r="P28" s="23">
        <v>1.0</v>
      </c>
      <c r="Q28" s="23">
        <v>29.15</v>
      </c>
      <c r="R28" s="23">
        <v>29.15</v>
      </c>
      <c r="V28" s="23">
        <v>0.0</v>
      </c>
      <c r="Z28" s="23">
        <v>0.0</v>
      </c>
      <c r="AD28" s="23">
        <v>0.0</v>
      </c>
      <c r="AH28" s="23">
        <v>0.0</v>
      </c>
      <c r="AL28" s="23">
        <v>0.0</v>
      </c>
      <c r="AP28" s="23">
        <v>0.0</v>
      </c>
      <c r="AT28" s="23">
        <v>0.0</v>
      </c>
      <c r="AX28" s="23">
        <v>0.0</v>
      </c>
      <c r="BF28" s="23">
        <v>0.0</v>
      </c>
      <c r="BJ28" s="23">
        <v>0.0</v>
      </c>
      <c r="BN28" s="23">
        <v>0.0</v>
      </c>
      <c r="BO28" s="23">
        <v>219.34</v>
      </c>
      <c r="BP28" s="16" t="s">
        <v>280</v>
      </c>
      <c r="BQ28" s="16" t="b">
        <v>1</v>
      </c>
      <c r="BR28" s="23">
        <v>219.34</v>
      </c>
      <c r="BS28" s="16" t="s">
        <v>208</v>
      </c>
      <c r="BT28" s="16" t="b">
        <v>1</v>
      </c>
      <c r="BU28" s="16"/>
      <c r="BV28" s="16"/>
      <c r="BW28" s="16"/>
      <c r="BX28" s="16"/>
      <c r="BY28" s="16"/>
    </row>
    <row r="29">
      <c r="A29" s="16" t="s">
        <v>284</v>
      </c>
      <c r="B29" s="16" t="s">
        <v>35</v>
      </c>
      <c r="C29" s="22">
        <v>45288.0</v>
      </c>
      <c r="D29" s="16" t="s">
        <v>286</v>
      </c>
      <c r="F29" s="16" t="s">
        <v>289</v>
      </c>
      <c r="G29" s="16" t="s">
        <v>570</v>
      </c>
      <c r="H29" s="23">
        <v>1.0</v>
      </c>
      <c r="I29" s="23">
        <v>11.98</v>
      </c>
      <c r="J29" s="23">
        <v>11.98</v>
      </c>
      <c r="N29" s="23">
        <v>0.0</v>
      </c>
      <c r="R29" s="23">
        <v>0.0</v>
      </c>
      <c r="V29" s="23">
        <v>0.0</v>
      </c>
      <c r="Z29" s="23">
        <v>0.0</v>
      </c>
      <c r="AD29" s="23">
        <v>0.0</v>
      </c>
      <c r="AH29" s="23">
        <v>0.0</v>
      </c>
      <c r="AL29" s="23">
        <v>0.0</v>
      </c>
      <c r="AP29" s="23">
        <v>0.0</v>
      </c>
      <c r="AT29" s="23">
        <v>0.0</v>
      </c>
      <c r="AX29" s="23">
        <v>0.0</v>
      </c>
      <c r="BF29" s="23">
        <v>0.0</v>
      </c>
      <c r="BJ29" s="23">
        <v>0.0</v>
      </c>
      <c r="BN29" s="23">
        <v>0.0</v>
      </c>
      <c r="BO29" s="23">
        <v>11.98</v>
      </c>
      <c r="BP29" s="16" t="s">
        <v>287</v>
      </c>
      <c r="BQ29" s="16" t="b">
        <v>1</v>
      </c>
      <c r="BR29" s="23">
        <v>11.98</v>
      </c>
      <c r="BS29" s="16" t="s">
        <v>208</v>
      </c>
      <c r="BT29" s="16" t="b">
        <v>1</v>
      </c>
      <c r="BU29" s="16"/>
      <c r="BV29" s="16"/>
      <c r="BW29" s="16"/>
      <c r="BX29" s="16"/>
      <c r="BY29" s="16"/>
    </row>
    <row r="30">
      <c r="A30" s="16" t="s">
        <v>292</v>
      </c>
      <c r="B30" s="16" t="s">
        <v>35</v>
      </c>
      <c r="C30" s="22">
        <v>45288.0</v>
      </c>
      <c r="D30" s="16" t="s">
        <v>294</v>
      </c>
      <c r="F30" s="16" t="s">
        <v>297</v>
      </c>
      <c r="G30" s="16" t="s">
        <v>580</v>
      </c>
      <c r="H30" s="23">
        <v>1.0</v>
      </c>
      <c r="I30" s="23">
        <v>130.0</v>
      </c>
      <c r="J30" s="23">
        <v>130.0</v>
      </c>
      <c r="N30" s="23">
        <v>0.0</v>
      </c>
      <c r="R30" s="23">
        <v>0.0</v>
      </c>
      <c r="V30" s="23">
        <v>0.0</v>
      </c>
      <c r="Z30" s="23">
        <v>0.0</v>
      </c>
      <c r="AD30" s="23">
        <v>0.0</v>
      </c>
      <c r="AH30" s="23">
        <v>0.0</v>
      </c>
      <c r="AL30" s="23">
        <v>0.0</v>
      </c>
      <c r="AP30" s="23">
        <v>0.0</v>
      </c>
      <c r="AT30" s="23">
        <v>0.0</v>
      </c>
      <c r="AX30" s="23">
        <v>0.0</v>
      </c>
      <c r="BF30" s="23">
        <v>0.0</v>
      </c>
      <c r="BJ30" s="23">
        <v>0.0</v>
      </c>
      <c r="BN30" s="23">
        <v>0.0</v>
      </c>
      <c r="BO30" s="23">
        <v>130.0</v>
      </c>
      <c r="BP30" s="16" t="s">
        <v>296</v>
      </c>
      <c r="BQ30" s="16" t="b">
        <v>1</v>
      </c>
      <c r="BR30" s="23">
        <v>130.0</v>
      </c>
      <c r="BS30" s="16" t="s">
        <v>298</v>
      </c>
      <c r="BT30" s="16" t="b">
        <v>1</v>
      </c>
      <c r="BU30" s="16"/>
      <c r="BV30" s="16"/>
      <c r="BW30" s="16"/>
      <c r="BX30" s="16"/>
      <c r="BY30" s="16"/>
    </row>
    <row r="31">
      <c r="A31" s="16" t="s">
        <v>300</v>
      </c>
      <c r="B31" s="16" t="s">
        <v>35</v>
      </c>
      <c r="C31" s="22">
        <v>45288.0</v>
      </c>
      <c r="D31" s="16" t="s">
        <v>112</v>
      </c>
      <c r="F31" s="16" t="s">
        <v>157</v>
      </c>
      <c r="G31" s="16" t="s">
        <v>226</v>
      </c>
      <c r="H31" s="23">
        <v>5.0</v>
      </c>
      <c r="I31" s="23">
        <v>9.8</v>
      </c>
      <c r="J31" s="23">
        <v>49.0</v>
      </c>
      <c r="K31" s="16" t="s">
        <v>230</v>
      </c>
      <c r="L31" s="23">
        <v>1.0</v>
      </c>
      <c r="M31" s="23">
        <v>216.0</v>
      </c>
      <c r="N31" s="23">
        <v>216.0</v>
      </c>
      <c r="O31" s="16" t="s">
        <v>155</v>
      </c>
      <c r="P31" s="23">
        <v>1.0</v>
      </c>
      <c r="Q31" s="23">
        <v>31.39</v>
      </c>
      <c r="R31" s="23">
        <v>31.39</v>
      </c>
      <c r="S31" s="16">
        <v>1.2539885E7</v>
      </c>
      <c r="T31" s="23">
        <v>1.0</v>
      </c>
      <c r="U31" s="23">
        <v>98.0</v>
      </c>
      <c r="V31" s="23">
        <v>98.0</v>
      </c>
      <c r="Z31" s="23">
        <v>0.0</v>
      </c>
      <c r="AD31" s="23">
        <v>0.0</v>
      </c>
      <c r="AH31" s="23">
        <v>0.0</v>
      </c>
      <c r="AL31" s="23">
        <v>0.0</v>
      </c>
      <c r="AP31" s="23">
        <v>0.0</v>
      </c>
      <c r="AT31" s="23">
        <v>0.0</v>
      </c>
      <c r="AX31" s="23">
        <v>0.0</v>
      </c>
      <c r="BF31" s="23">
        <v>0.0</v>
      </c>
      <c r="BJ31" s="23">
        <v>0.0</v>
      </c>
      <c r="BN31" s="23">
        <v>0.0</v>
      </c>
      <c r="BO31" s="23">
        <v>394.39</v>
      </c>
      <c r="BP31" s="16" t="s">
        <v>301</v>
      </c>
      <c r="BQ31" s="16" t="b">
        <v>1</v>
      </c>
      <c r="BR31" s="23">
        <v>394.39</v>
      </c>
      <c r="BS31" s="16" t="s">
        <v>208</v>
      </c>
      <c r="BT31" s="16" t="b">
        <v>1</v>
      </c>
      <c r="BU31" s="16"/>
      <c r="BV31" s="16"/>
      <c r="BW31" s="16"/>
      <c r="BX31" s="16"/>
      <c r="BY31" s="16"/>
    </row>
    <row r="32">
      <c r="A32" s="16" t="s">
        <v>304</v>
      </c>
      <c r="B32" s="16" t="s">
        <v>35</v>
      </c>
      <c r="C32" s="22">
        <v>45289.0</v>
      </c>
      <c r="D32" s="16" t="s">
        <v>307</v>
      </c>
      <c r="F32" s="16" t="s">
        <v>311</v>
      </c>
      <c r="G32" s="16" t="s">
        <v>606</v>
      </c>
      <c r="H32" s="23">
        <v>1.0</v>
      </c>
      <c r="I32" s="23">
        <v>16.9</v>
      </c>
      <c r="J32" s="23">
        <v>16.9</v>
      </c>
      <c r="N32" s="23">
        <v>0.0</v>
      </c>
      <c r="R32" s="23">
        <v>0.0</v>
      </c>
      <c r="V32" s="23">
        <v>0.0</v>
      </c>
      <c r="Z32" s="23">
        <v>0.0</v>
      </c>
      <c r="AD32" s="23">
        <v>0.0</v>
      </c>
      <c r="AH32" s="23">
        <v>0.0</v>
      </c>
      <c r="AL32" s="23">
        <v>0.0</v>
      </c>
      <c r="AP32" s="23">
        <v>0.0</v>
      </c>
      <c r="AT32" s="23">
        <v>0.0</v>
      </c>
      <c r="AX32" s="23">
        <v>0.0</v>
      </c>
      <c r="BF32" s="23">
        <v>0.0</v>
      </c>
      <c r="BJ32" s="23">
        <v>0.0</v>
      </c>
      <c r="BN32" s="23">
        <v>0.0</v>
      </c>
      <c r="BO32" s="23">
        <v>16.9</v>
      </c>
      <c r="BP32" s="16" t="s">
        <v>309</v>
      </c>
      <c r="BQ32" s="16" t="b">
        <v>1</v>
      </c>
      <c r="BR32" s="23">
        <v>16.9</v>
      </c>
      <c r="BS32" s="16" t="s">
        <v>208</v>
      </c>
      <c r="BT32" s="16" t="b">
        <v>1</v>
      </c>
      <c r="BU32" s="16"/>
      <c r="BV32" s="16"/>
      <c r="BW32" s="16"/>
      <c r="BX32" s="16"/>
      <c r="BY32" s="16"/>
    </row>
    <row r="33">
      <c r="A33" s="16" t="s">
        <v>314</v>
      </c>
      <c r="B33" s="16" t="s">
        <v>35</v>
      </c>
      <c r="C33" s="22">
        <v>45289.0</v>
      </c>
      <c r="D33" s="16" t="s">
        <v>122</v>
      </c>
      <c r="F33" s="16" t="s">
        <v>319</v>
      </c>
      <c r="G33" s="16" t="s">
        <v>238</v>
      </c>
      <c r="H33" s="23">
        <v>12.0</v>
      </c>
      <c r="I33" s="23">
        <v>4.4</v>
      </c>
      <c r="J33" s="23">
        <v>52.8</v>
      </c>
      <c r="K33" s="16" t="s">
        <v>242</v>
      </c>
      <c r="L33" s="23">
        <v>12.0</v>
      </c>
      <c r="M33" s="23">
        <v>4.4</v>
      </c>
      <c r="N33" s="23">
        <v>52.8</v>
      </c>
      <c r="O33" s="16" t="s">
        <v>243</v>
      </c>
      <c r="P33" s="23">
        <v>12.0</v>
      </c>
      <c r="Q33" s="23">
        <v>4.4</v>
      </c>
      <c r="R33" s="23">
        <v>52.8</v>
      </c>
      <c r="V33" s="23">
        <v>0.0</v>
      </c>
      <c r="Z33" s="23">
        <v>0.0</v>
      </c>
      <c r="AD33" s="23">
        <v>0.0</v>
      </c>
      <c r="AH33" s="23">
        <v>0.0</v>
      </c>
      <c r="AL33" s="23">
        <v>0.0</v>
      </c>
      <c r="AP33" s="23">
        <v>0.0</v>
      </c>
      <c r="AT33" s="23">
        <v>0.0</v>
      </c>
      <c r="AX33" s="23">
        <v>0.0</v>
      </c>
      <c r="BF33" s="23">
        <v>0.0</v>
      </c>
      <c r="BJ33" s="23">
        <v>0.0</v>
      </c>
      <c r="BN33" s="23">
        <v>0.0</v>
      </c>
      <c r="BO33" s="23">
        <v>158.4</v>
      </c>
      <c r="BP33" s="16" t="s">
        <v>318</v>
      </c>
      <c r="BQ33" s="16" t="b">
        <v>1</v>
      </c>
      <c r="BR33" s="23">
        <v>158.4</v>
      </c>
      <c r="BS33" s="16" t="s">
        <v>208</v>
      </c>
      <c r="BT33" s="16" t="b">
        <v>1</v>
      </c>
      <c r="BU33" s="16"/>
      <c r="BV33" s="16"/>
      <c r="BW33" s="16"/>
      <c r="BX33" s="16"/>
      <c r="BY33" s="16"/>
    </row>
    <row r="34">
      <c r="A34" s="16" t="s">
        <v>323</v>
      </c>
      <c r="B34" s="16" t="s">
        <v>35</v>
      </c>
      <c r="C34" s="22">
        <v>45289.0</v>
      </c>
      <c r="D34" s="16" t="s">
        <v>112</v>
      </c>
      <c r="F34" s="16" t="s">
        <v>157</v>
      </c>
      <c r="G34" s="16" t="s">
        <v>226</v>
      </c>
      <c r="H34" s="23">
        <v>1.0</v>
      </c>
      <c r="I34" s="23">
        <v>66.5</v>
      </c>
      <c r="J34" s="23">
        <v>66.5</v>
      </c>
      <c r="K34" s="16" t="s">
        <v>230</v>
      </c>
      <c r="L34" s="23">
        <v>1.0</v>
      </c>
      <c r="M34" s="23">
        <v>130.0</v>
      </c>
      <c r="N34" s="23">
        <v>130.0</v>
      </c>
      <c r="O34" s="16" t="s">
        <v>155</v>
      </c>
      <c r="P34" s="23">
        <v>1.0</v>
      </c>
      <c r="Q34" s="23">
        <v>27.6</v>
      </c>
      <c r="R34" s="23">
        <v>27.6</v>
      </c>
      <c r="S34" s="16" t="s">
        <v>159</v>
      </c>
      <c r="T34" s="23">
        <v>1.0</v>
      </c>
      <c r="U34" s="23">
        <v>195.0</v>
      </c>
      <c r="V34" s="23">
        <v>195.0</v>
      </c>
      <c r="Z34" s="23">
        <v>0.0</v>
      </c>
      <c r="AD34" s="23">
        <v>0.0</v>
      </c>
      <c r="AH34" s="23">
        <v>0.0</v>
      </c>
      <c r="AL34" s="23">
        <v>0.0</v>
      </c>
      <c r="AP34" s="23">
        <v>0.0</v>
      </c>
      <c r="AT34" s="23">
        <v>0.0</v>
      </c>
      <c r="AX34" s="23">
        <v>0.0</v>
      </c>
      <c r="BF34" s="23">
        <v>0.0</v>
      </c>
      <c r="BJ34" s="23">
        <v>0.0</v>
      </c>
      <c r="BN34" s="23">
        <v>0.0</v>
      </c>
      <c r="BO34" s="23">
        <v>419.1</v>
      </c>
      <c r="BP34" s="16" t="s">
        <v>326</v>
      </c>
      <c r="BQ34" s="16" t="b">
        <v>1</v>
      </c>
      <c r="BR34" s="23">
        <v>419.1</v>
      </c>
      <c r="BS34" s="16" t="s">
        <v>208</v>
      </c>
      <c r="BT34" s="16" t="b">
        <v>1</v>
      </c>
      <c r="BU34" s="16"/>
      <c r="BV34" s="16"/>
      <c r="BW34" s="16"/>
      <c r="BX34" s="16"/>
      <c r="BY34" s="16"/>
    </row>
    <row r="35">
      <c r="A35" s="16" t="s">
        <v>330</v>
      </c>
      <c r="B35" s="16" t="s">
        <v>35</v>
      </c>
      <c r="C35" s="22">
        <v>45289.0</v>
      </c>
      <c r="D35" s="16" t="s">
        <v>137</v>
      </c>
      <c r="F35" s="16" t="s">
        <v>171</v>
      </c>
      <c r="G35" s="16">
        <v>1.2539885E7</v>
      </c>
      <c r="H35" s="23">
        <v>20.0</v>
      </c>
      <c r="I35" s="23">
        <v>25.0</v>
      </c>
      <c r="J35" s="23">
        <v>500.0</v>
      </c>
      <c r="N35" s="23">
        <v>0.0</v>
      </c>
      <c r="R35" s="23">
        <v>0.0</v>
      </c>
      <c r="V35" s="23">
        <v>0.0</v>
      </c>
      <c r="Z35" s="23">
        <v>0.0</v>
      </c>
      <c r="AD35" s="23">
        <v>0.0</v>
      </c>
      <c r="AH35" s="23">
        <v>0.0</v>
      </c>
      <c r="AL35" s="23">
        <v>0.0</v>
      </c>
      <c r="AP35" s="23">
        <v>0.0</v>
      </c>
      <c r="AT35" s="23">
        <v>0.0</v>
      </c>
      <c r="AX35" s="23">
        <v>0.0</v>
      </c>
      <c r="BF35" s="23">
        <v>0.0</v>
      </c>
      <c r="BJ35" s="23">
        <v>0.0</v>
      </c>
      <c r="BN35" s="23">
        <v>0.0</v>
      </c>
      <c r="BO35" s="23">
        <v>500.0</v>
      </c>
      <c r="BP35" s="16" t="s">
        <v>333</v>
      </c>
      <c r="BQ35" s="16" t="b">
        <v>1</v>
      </c>
      <c r="BR35" s="23">
        <v>500.0</v>
      </c>
      <c r="BS35" s="16" t="s">
        <v>208</v>
      </c>
      <c r="BT35" s="16" t="b">
        <v>1</v>
      </c>
      <c r="BU35" s="16"/>
      <c r="BV35" s="16"/>
      <c r="BW35" s="16"/>
      <c r="BX35" s="16"/>
      <c r="BY35" s="16"/>
    </row>
    <row r="36">
      <c r="A36" s="16" t="s">
        <v>340</v>
      </c>
      <c r="B36" s="16" t="s">
        <v>35</v>
      </c>
      <c r="C36" s="22">
        <v>45289.0</v>
      </c>
      <c r="D36" s="16" t="s">
        <v>233</v>
      </c>
      <c r="F36" s="16" t="s">
        <v>343</v>
      </c>
      <c r="G36" s="16" t="s">
        <v>305</v>
      </c>
      <c r="H36" s="23">
        <v>1.0</v>
      </c>
      <c r="I36" s="23">
        <v>154.29</v>
      </c>
      <c r="J36" s="23">
        <v>154.29</v>
      </c>
      <c r="N36" s="23">
        <v>0.0</v>
      </c>
      <c r="R36" s="23">
        <v>0.0</v>
      </c>
      <c r="V36" s="23">
        <v>0.0</v>
      </c>
      <c r="Z36" s="23">
        <v>0.0</v>
      </c>
      <c r="AD36" s="23">
        <v>0.0</v>
      </c>
      <c r="AH36" s="23">
        <v>0.0</v>
      </c>
      <c r="AL36" s="23">
        <v>0.0</v>
      </c>
      <c r="AP36" s="23">
        <v>0.0</v>
      </c>
      <c r="AT36" s="23">
        <v>0.0</v>
      </c>
      <c r="AX36" s="23">
        <v>0.0</v>
      </c>
      <c r="BF36" s="23">
        <v>0.0</v>
      </c>
      <c r="BJ36" s="23">
        <v>0.0</v>
      </c>
      <c r="BN36" s="23">
        <v>0.0</v>
      </c>
      <c r="BO36" s="23">
        <v>154.29</v>
      </c>
      <c r="BP36" s="16" t="s">
        <v>342</v>
      </c>
      <c r="BQ36" s="16" t="b">
        <v>1</v>
      </c>
      <c r="BR36" s="23">
        <v>154.29</v>
      </c>
      <c r="BT36" s="16" t="b">
        <v>0</v>
      </c>
      <c r="BU36" s="16"/>
      <c r="BV36" s="16"/>
      <c r="BW36" s="16"/>
      <c r="BX36" s="16"/>
      <c r="BY36" s="16"/>
    </row>
    <row r="37">
      <c r="A37" s="16" t="s">
        <v>347</v>
      </c>
      <c r="B37" s="16" t="s">
        <v>35</v>
      </c>
      <c r="C37" s="22">
        <v>45293.0</v>
      </c>
      <c r="D37" s="16" t="s">
        <v>137</v>
      </c>
      <c r="F37" s="16" t="s">
        <v>171</v>
      </c>
      <c r="G37" s="16">
        <v>1.2539885E7</v>
      </c>
      <c r="H37" s="23">
        <v>30.0</v>
      </c>
      <c r="I37" s="23">
        <v>20.0</v>
      </c>
      <c r="J37" s="23">
        <v>600.0</v>
      </c>
      <c r="N37" s="23">
        <v>0.0</v>
      </c>
      <c r="R37" s="23">
        <v>0.0</v>
      </c>
      <c r="V37" s="23">
        <v>0.0</v>
      </c>
      <c r="Z37" s="23">
        <v>0.0</v>
      </c>
      <c r="AD37" s="23">
        <v>0.0</v>
      </c>
      <c r="AH37" s="23">
        <v>0.0</v>
      </c>
      <c r="AL37" s="23">
        <v>0.0</v>
      </c>
      <c r="AP37" s="23">
        <v>0.0</v>
      </c>
      <c r="AT37" s="23">
        <v>0.0</v>
      </c>
      <c r="AX37" s="23">
        <v>0.0</v>
      </c>
      <c r="BF37" s="23">
        <v>0.0</v>
      </c>
      <c r="BJ37" s="23">
        <v>0.0</v>
      </c>
      <c r="BN37" s="23">
        <v>0.0</v>
      </c>
      <c r="BO37" s="23">
        <v>600.0</v>
      </c>
      <c r="BP37" s="16" t="s">
        <v>349</v>
      </c>
      <c r="BQ37" s="16" t="b">
        <v>1</v>
      </c>
      <c r="BR37" s="23">
        <v>600.0</v>
      </c>
      <c r="BS37" s="16" t="s">
        <v>208</v>
      </c>
      <c r="BT37" s="16" t="b">
        <v>1</v>
      </c>
      <c r="BU37" s="16"/>
      <c r="BV37" s="16"/>
      <c r="BW37" s="16"/>
      <c r="BX37" s="16"/>
      <c r="BY37" s="16"/>
    </row>
    <row r="38">
      <c r="A38" s="16" t="s">
        <v>351</v>
      </c>
      <c r="B38" s="16" t="s">
        <v>35</v>
      </c>
      <c r="C38" s="22">
        <v>45293.0</v>
      </c>
      <c r="D38" s="16" t="s">
        <v>353</v>
      </c>
      <c r="F38" s="16" t="s">
        <v>356</v>
      </c>
      <c r="G38" s="16" t="s">
        <v>661</v>
      </c>
      <c r="H38" s="23">
        <v>1.0</v>
      </c>
      <c r="I38" s="23">
        <v>144.89</v>
      </c>
      <c r="J38" s="23">
        <v>144.89</v>
      </c>
      <c r="N38" s="23">
        <v>0.0</v>
      </c>
      <c r="R38" s="23">
        <v>0.0</v>
      </c>
      <c r="V38" s="23">
        <v>0.0</v>
      </c>
      <c r="Z38" s="23">
        <v>0.0</v>
      </c>
      <c r="AD38" s="23">
        <v>0.0</v>
      </c>
      <c r="AH38" s="23">
        <v>0.0</v>
      </c>
      <c r="AL38" s="23">
        <v>0.0</v>
      </c>
      <c r="AP38" s="23">
        <v>0.0</v>
      </c>
      <c r="AT38" s="23">
        <v>0.0</v>
      </c>
      <c r="AX38" s="23">
        <v>0.0</v>
      </c>
      <c r="BF38" s="23">
        <v>0.0</v>
      </c>
      <c r="BJ38" s="23">
        <v>0.0</v>
      </c>
      <c r="BN38" s="23">
        <v>0.0</v>
      </c>
      <c r="BO38" s="23">
        <v>144.89</v>
      </c>
      <c r="BP38" s="16" t="s">
        <v>354</v>
      </c>
      <c r="BQ38" s="16" t="b">
        <v>1</v>
      </c>
      <c r="BR38" s="23">
        <v>144.89</v>
      </c>
      <c r="BS38" s="16" t="s">
        <v>208</v>
      </c>
      <c r="BT38" s="16" t="b">
        <v>1</v>
      </c>
      <c r="BU38" s="16"/>
      <c r="BV38" s="16"/>
      <c r="BW38" s="16"/>
      <c r="BX38" s="16"/>
      <c r="BY38" s="16"/>
    </row>
    <row r="39">
      <c r="A39" s="16" t="s">
        <v>359</v>
      </c>
      <c r="B39" s="16" t="s">
        <v>35</v>
      </c>
      <c r="C39" s="22">
        <v>45293.0</v>
      </c>
      <c r="D39" s="16" t="s">
        <v>360</v>
      </c>
      <c r="F39" s="16" t="s">
        <v>363</v>
      </c>
      <c r="G39" s="16" t="s">
        <v>670</v>
      </c>
      <c r="H39" s="23">
        <v>1.0</v>
      </c>
      <c r="I39" s="23">
        <v>1378.0</v>
      </c>
      <c r="J39" s="23">
        <v>1378.0</v>
      </c>
      <c r="N39" s="23">
        <v>0.0</v>
      </c>
      <c r="R39" s="23">
        <v>0.0</v>
      </c>
      <c r="V39" s="23">
        <v>0.0</v>
      </c>
      <c r="Z39" s="23">
        <v>0.0</v>
      </c>
      <c r="AD39" s="23">
        <v>0.0</v>
      </c>
      <c r="AH39" s="23">
        <v>0.0</v>
      </c>
      <c r="AL39" s="23">
        <v>0.0</v>
      </c>
      <c r="AP39" s="23">
        <v>0.0</v>
      </c>
      <c r="AT39" s="23">
        <v>0.0</v>
      </c>
      <c r="AX39" s="23">
        <v>0.0</v>
      </c>
      <c r="BF39" s="23">
        <v>0.0</v>
      </c>
      <c r="BJ39" s="23">
        <v>0.0</v>
      </c>
      <c r="BN39" s="23">
        <v>0.0</v>
      </c>
      <c r="BO39" s="23">
        <v>1378.0</v>
      </c>
      <c r="BP39" s="16" t="s">
        <v>361</v>
      </c>
      <c r="BQ39" s="16" t="b">
        <v>1</v>
      </c>
      <c r="BR39" s="23">
        <v>1378.0</v>
      </c>
      <c r="BS39" s="16" t="s">
        <v>208</v>
      </c>
      <c r="BT39" s="16" t="b">
        <v>1</v>
      </c>
      <c r="BU39" s="16"/>
      <c r="BV39" s="16"/>
      <c r="BW39" s="16"/>
      <c r="BX39" s="16"/>
      <c r="BY39" s="16"/>
    </row>
    <row r="40">
      <c r="A40" s="16" t="s">
        <v>366</v>
      </c>
      <c r="B40" s="16" t="s">
        <v>35</v>
      </c>
      <c r="C40" s="22">
        <v>45293.0</v>
      </c>
      <c r="D40" s="16" t="s">
        <v>175</v>
      </c>
      <c r="F40" s="16" t="s">
        <v>369</v>
      </c>
      <c r="G40" s="16" t="s">
        <v>678</v>
      </c>
      <c r="H40" s="23">
        <v>2.0</v>
      </c>
      <c r="I40" s="23">
        <v>3.29</v>
      </c>
      <c r="J40" s="23">
        <v>6.58</v>
      </c>
      <c r="K40" s="16" t="s">
        <v>679</v>
      </c>
      <c r="L40" s="23">
        <v>1.0</v>
      </c>
      <c r="M40" s="23">
        <v>15.99</v>
      </c>
      <c r="N40" s="23">
        <v>15.99</v>
      </c>
      <c r="O40" s="16" t="s">
        <v>683</v>
      </c>
      <c r="P40" s="23">
        <v>1.0</v>
      </c>
      <c r="Q40" s="23">
        <v>12.99</v>
      </c>
      <c r="R40" s="23">
        <v>12.99</v>
      </c>
      <c r="S40" s="16" t="s">
        <v>685</v>
      </c>
      <c r="T40" s="23">
        <v>1.0</v>
      </c>
      <c r="U40" s="23">
        <v>6.99</v>
      </c>
      <c r="V40" s="23">
        <v>6.99</v>
      </c>
      <c r="W40" s="16" t="s">
        <v>688</v>
      </c>
      <c r="X40" s="23">
        <v>12.0</v>
      </c>
      <c r="Y40" s="23">
        <v>4.29</v>
      </c>
      <c r="Z40" s="23">
        <v>51.48</v>
      </c>
      <c r="AA40" s="16" t="s">
        <v>691</v>
      </c>
      <c r="AB40" s="23">
        <v>12.0</v>
      </c>
      <c r="AC40" s="23">
        <v>10.99</v>
      </c>
      <c r="AD40" s="23">
        <v>131.88</v>
      </c>
      <c r="AE40" s="16" t="s">
        <v>693</v>
      </c>
      <c r="AF40" s="23">
        <v>1.0</v>
      </c>
      <c r="AG40" s="23">
        <v>38.99</v>
      </c>
      <c r="AH40" s="23">
        <v>38.99</v>
      </c>
      <c r="AI40" s="16" t="s">
        <v>247</v>
      </c>
      <c r="AJ40" s="23">
        <v>15.0</v>
      </c>
      <c r="AK40" s="23">
        <v>1.29</v>
      </c>
      <c r="AL40" s="23">
        <v>19.35</v>
      </c>
      <c r="AP40" s="23">
        <v>0.0</v>
      </c>
      <c r="AT40" s="23">
        <v>0.0</v>
      </c>
      <c r="AX40" s="23">
        <v>0.0</v>
      </c>
      <c r="BF40" s="23">
        <v>0.0</v>
      </c>
      <c r="BJ40" s="23">
        <v>0.0</v>
      </c>
      <c r="BN40" s="23">
        <v>0.0</v>
      </c>
      <c r="BO40" s="23">
        <v>284.25</v>
      </c>
      <c r="BP40" s="16" t="s">
        <v>368</v>
      </c>
      <c r="BQ40" s="16" t="b">
        <v>1</v>
      </c>
      <c r="BR40" s="23">
        <v>284.25</v>
      </c>
      <c r="BS40" s="16" t="s">
        <v>208</v>
      </c>
      <c r="BT40" s="16" t="b">
        <v>1</v>
      </c>
      <c r="BU40" s="16"/>
      <c r="BV40" s="16"/>
      <c r="BW40" s="16"/>
      <c r="BX40" s="16"/>
      <c r="BY40" s="16"/>
    </row>
    <row r="41">
      <c r="A41" s="16" t="s">
        <v>373</v>
      </c>
      <c r="B41" s="16" t="s">
        <v>35</v>
      </c>
      <c r="C41" s="22">
        <v>45293.0</v>
      </c>
      <c r="D41" s="16" t="s">
        <v>112</v>
      </c>
      <c r="F41" s="16" t="s">
        <v>157</v>
      </c>
      <c r="G41" s="16" t="s">
        <v>226</v>
      </c>
      <c r="H41" s="23">
        <v>1.0</v>
      </c>
      <c r="I41" s="23">
        <v>48.8</v>
      </c>
      <c r="J41" s="23">
        <v>48.8</v>
      </c>
      <c r="K41" s="16" t="s">
        <v>152</v>
      </c>
      <c r="L41" s="23">
        <v>1.0</v>
      </c>
      <c r="M41" s="23">
        <v>9.0</v>
      </c>
      <c r="N41" s="23">
        <v>9.0</v>
      </c>
      <c r="O41" s="16" t="s">
        <v>230</v>
      </c>
      <c r="P41" s="23">
        <v>1.0</v>
      </c>
      <c r="Q41" s="23">
        <v>211.12</v>
      </c>
      <c r="R41" s="23">
        <v>211.12</v>
      </c>
      <c r="S41" s="16" t="s">
        <v>155</v>
      </c>
      <c r="T41" s="23">
        <v>1.0</v>
      </c>
      <c r="U41" s="23">
        <v>26.97</v>
      </c>
      <c r="V41" s="23">
        <v>26.97</v>
      </c>
      <c r="Z41" s="23">
        <v>0.0</v>
      </c>
      <c r="AD41" s="23">
        <v>0.0</v>
      </c>
      <c r="AH41" s="23">
        <v>0.0</v>
      </c>
      <c r="AL41" s="23">
        <v>0.0</v>
      </c>
      <c r="AP41" s="23">
        <v>0.0</v>
      </c>
      <c r="AT41" s="23">
        <v>0.0</v>
      </c>
      <c r="AX41" s="23">
        <v>0.0</v>
      </c>
      <c r="BF41" s="23">
        <v>0.0</v>
      </c>
      <c r="BJ41" s="23">
        <v>0.0</v>
      </c>
      <c r="BN41" s="23">
        <v>0.0</v>
      </c>
      <c r="BO41" s="23">
        <v>295.89</v>
      </c>
      <c r="BP41" s="16" t="s">
        <v>376</v>
      </c>
      <c r="BQ41" s="16" t="b">
        <v>1</v>
      </c>
      <c r="BR41" s="23">
        <v>295.89</v>
      </c>
      <c r="BS41" s="16" t="s">
        <v>208</v>
      </c>
      <c r="BT41" s="16" t="b">
        <v>1</v>
      </c>
      <c r="BU41" s="16"/>
      <c r="BV41" s="16"/>
      <c r="BW41" s="16"/>
      <c r="BX41" s="16"/>
      <c r="BY41" s="16"/>
    </row>
    <row r="42">
      <c r="A42" s="16" t="s">
        <v>380</v>
      </c>
      <c r="B42" s="16" t="s">
        <v>35</v>
      </c>
      <c r="C42" s="22">
        <v>45294.0</v>
      </c>
      <c r="D42" s="16" t="s">
        <v>307</v>
      </c>
      <c r="F42" s="16" t="s">
        <v>386</v>
      </c>
      <c r="G42" s="16" t="s">
        <v>712</v>
      </c>
      <c r="H42" s="23">
        <v>1.0</v>
      </c>
      <c r="I42" s="23">
        <v>26.9</v>
      </c>
      <c r="J42" s="23">
        <v>26.9</v>
      </c>
      <c r="K42" s="16" t="s">
        <v>714</v>
      </c>
      <c r="L42" s="23">
        <v>1.0</v>
      </c>
      <c r="M42" s="23">
        <v>38.9</v>
      </c>
      <c r="N42" s="23">
        <v>38.9</v>
      </c>
      <c r="O42" s="16" t="s">
        <v>717</v>
      </c>
      <c r="P42" s="23">
        <v>1.0</v>
      </c>
      <c r="Q42" s="23">
        <v>12.9</v>
      </c>
      <c r="R42" s="23">
        <v>12.9</v>
      </c>
      <c r="S42" s="16" t="s">
        <v>717</v>
      </c>
      <c r="T42" s="23">
        <v>1.0</v>
      </c>
      <c r="U42" s="23">
        <v>12.5</v>
      </c>
      <c r="V42" s="23">
        <v>12.5</v>
      </c>
      <c r="W42" s="16" t="s">
        <v>719</v>
      </c>
      <c r="X42" s="23">
        <v>1.0</v>
      </c>
      <c r="Y42" s="23">
        <v>74.9</v>
      </c>
      <c r="Z42" s="23">
        <v>74.9</v>
      </c>
      <c r="AD42" s="23">
        <v>0.0</v>
      </c>
      <c r="AH42" s="23">
        <v>0.0</v>
      </c>
      <c r="AL42" s="23">
        <v>0.0</v>
      </c>
      <c r="AP42" s="23">
        <v>0.0</v>
      </c>
      <c r="AT42" s="23">
        <v>0.0</v>
      </c>
      <c r="AX42" s="23">
        <v>0.0</v>
      </c>
      <c r="BF42" s="23">
        <v>0.0</v>
      </c>
      <c r="BJ42" s="23">
        <v>0.0</v>
      </c>
      <c r="BN42" s="23">
        <v>0.0</v>
      </c>
      <c r="BO42" s="23">
        <v>166.1</v>
      </c>
      <c r="BP42" s="16" t="s">
        <v>383</v>
      </c>
      <c r="BQ42" s="16" t="b">
        <v>1</v>
      </c>
      <c r="BR42" s="23">
        <v>166.1</v>
      </c>
      <c r="BS42" s="16" t="s">
        <v>388</v>
      </c>
      <c r="BT42" s="16" t="b">
        <v>1</v>
      </c>
      <c r="BU42" s="16"/>
      <c r="BV42" s="16"/>
      <c r="BW42" s="16"/>
      <c r="BX42" s="16"/>
      <c r="BY42" s="16"/>
    </row>
    <row r="43">
      <c r="A43" s="16" t="s">
        <v>389</v>
      </c>
      <c r="B43" s="16" t="s">
        <v>35</v>
      </c>
      <c r="C43" s="22">
        <v>45294.0</v>
      </c>
      <c r="D43" s="16" t="s">
        <v>112</v>
      </c>
      <c r="F43" s="16" t="s">
        <v>157</v>
      </c>
      <c r="G43" s="16" t="s">
        <v>226</v>
      </c>
      <c r="H43" s="23">
        <v>4.0</v>
      </c>
      <c r="I43" s="23">
        <v>9.3</v>
      </c>
      <c r="J43" s="23">
        <v>37.2</v>
      </c>
      <c r="K43" s="16" t="s">
        <v>152</v>
      </c>
      <c r="L43" s="23">
        <v>1.0</v>
      </c>
      <c r="M43" s="23">
        <v>9.3</v>
      </c>
      <c r="N43" s="23">
        <v>9.3</v>
      </c>
      <c r="O43" s="16" t="s">
        <v>155</v>
      </c>
      <c r="P43" s="23">
        <v>6.0</v>
      </c>
      <c r="Q43" s="23">
        <v>6.3</v>
      </c>
      <c r="R43" s="23">
        <v>37.8</v>
      </c>
      <c r="S43" s="16" t="s">
        <v>159</v>
      </c>
      <c r="T43" s="23">
        <v>12.0</v>
      </c>
      <c r="U43" s="23">
        <v>13.5</v>
      </c>
      <c r="V43" s="23">
        <v>162.0</v>
      </c>
      <c r="Z43" s="23">
        <v>0.0</v>
      </c>
      <c r="AD43" s="23">
        <v>0.0</v>
      </c>
      <c r="AH43" s="23">
        <v>0.0</v>
      </c>
      <c r="AL43" s="23">
        <v>0.0</v>
      </c>
      <c r="AP43" s="23">
        <v>0.0</v>
      </c>
      <c r="AT43" s="23">
        <v>0.0</v>
      </c>
      <c r="AX43" s="23">
        <v>0.0</v>
      </c>
      <c r="BF43" s="23">
        <v>0.0</v>
      </c>
      <c r="BJ43" s="23">
        <v>0.0</v>
      </c>
      <c r="BN43" s="23">
        <v>0.0</v>
      </c>
      <c r="BO43" s="23">
        <v>246.3</v>
      </c>
      <c r="BP43" s="16" t="s">
        <v>391</v>
      </c>
      <c r="BQ43" s="16" t="b">
        <v>1</v>
      </c>
      <c r="BR43" s="23">
        <v>246.3</v>
      </c>
      <c r="BS43" s="16" t="s">
        <v>208</v>
      </c>
      <c r="BT43" s="16" t="b">
        <v>1</v>
      </c>
      <c r="BU43" s="16"/>
      <c r="BV43" s="16"/>
      <c r="BW43" s="16"/>
      <c r="BX43" s="16"/>
      <c r="BY43" s="16"/>
    </row>
    <row r="44">
      <c r="A44" s="16" t="s">
        <v>395</v>
      </c>
      <c r="B44" s="16" t="s">
        <v>35</v>
      </c>
      <c r="C44" s="22">
        <v>45295.0</v>
      </c>
      <c r="D44" s="16" t="s">
        <v>112</v>
      </c>
      <c r="F44" s="16" t="s">
        <v>157</v>
      </c>
      <c r="G44" s="16" t="s">
        <v>152</v>
      </c>
      <c r="H44" s="23">
        <v>1.0</v>
      </c>
      <c r="I44" s="23">
        <v>7.51</v>
      </c>
      <c r="J44" s="23">
        <v>7.51</v>
      </c>
      <c r="K44" s="16" t="s">
        <v>230</v>
      </c>
      <c r="L44" s="23">
        <v>8.1</v>
      </c>
      <c r="M44" s="23">
        <v>24.0</v>
      </c>
      <c r="N44" s="23">
        <v>194.4</v>
      </c>
      <c r="O44" s="16" t="s">
        <v>155</v>
      </c>
      <c r="P44" s="23">
        <v>5.0</v>
      </c>
      <c r="Q44" s="23">
        <v>7.5</v>
      </c>
      <c r="R44" s="23">
        <v>37.5</v>
      </c>
      <c r="S44" s="16" t="s">
        <v>159</v>
      </c>
      <c r="T44" s="23">
        <v>10.0</v>
      </c>
      <c r="U44" s="23">
        <v>13.0</v>
      </c>
      <c r="V44" s="23">
        <v>130.0</v>
      </c>
      <c r="Z44" s="23">
        <v>0.0</v>
      </c>
      <c r="AD44" s="23">
        <v>0.0</v>
      </c>
      <c r="AH44" s="23">
        <v>0.0</v>
      </c>
      <c r="AL44" s="23">
        <v>0.0</v>
      </c>
      <c r="AP44" s="23">
        <v>0.0</v>
      </c>
      <c r="AT44" s="23">
        <v>0.0</v>
      </c>
      <c r="AX44" s="23">
        <v>0.0</v>
      </c>
      <c r="BF44" s="23">
        <v>0.0</v>
      </c>
      <c r="BJ44" s="23">
        <v>0.0</v>
      </c>
      <c r="BN44" s="23">
        <v>0.0</v>
      </c>
      <c r="BO44" s="23">
        <v>369.41</v>
      </c>
      <c r="BP44" s="16" t="s">
        <v>397</v>
      </c>
      <c r="BQ44" s="16" t="b">
        <v>1</v>
      </c>
      <c r="BR44" s="23">
        <v>369.41</v>
      </c>
      <c r="BS44" s="16" t="s">
        <v>298</v>
      </c>
      <c r="BT44" s="16" t="b">
        <v>1</v>
      </c>
      <c r="BU44" s="16"/>
      <c r="BV44" s="16"/>
      <c r="BW44" s="16"/>
      <c r="BX44" s="16"/>
      <c r="BY44" s="16"/>
    </row>
    <row r="45">
      <c r="A45" s="16" t="s">
        <v>402</v>
      </c>
      <c r="B45" s="16" t="s">
        <v>35</v>
      </c>
      <c r="C45" s="22">
        <v>45296.0</v>
      </c>
      <c r="D45" s="16" t="s">
        <v>404</v>
      </c>
      <c r="F45" s="16" t="s">
        <v>408</v>
      </c>
      <c r="G45" s="16" t="s">
        <v>305</v>
      </c>
      <c r="H45" s="23">
        <v>1.0</v>
      </c>
      <c r="I45" s="23">
        <v>161.89</v>
      </c>
      <c r="J45" s="23">
        <v>161.89</v>
      </c>
      <c r="N45" s="23">
        <v>0.0</v>
      </c>
      <c r="R45" s="23">
        <v>0.0</v>
      </c>
      <c r="V45" s="23">
        <v>0.0</v>
      </c>
      <c r="Z45" s="23">
        <v>0.0</v>
      </c>
      <c r="AD45" s="23">
        <v>0.0</v>
      </c>
      <c r="AH45" s="23">
        <v>0.0</v>
      </c>
      <c r="AL45" s="23">
        <v>0.0</v>
      </c>
      <c r="AP45" s="23">
        <v>0.0</v>
      </c>
      <c r="AT45" s="23">
        <v>0.0</v>
      </c>
      <c r="AX45" s="23">
        <v>0.0</v>
      </c>
      <c r="BF45" s="23">
        <v>0.0</v>
      </c>
      <c r="BJ45" s="23">
        <v>0.0</v>
      </c>
      <c r="BN45" s="23">
        <v>0.0</v>
      </c>
      <c r="BO45" s="23">
        <v>161.89</v>
      </c>
      <c r="BP45" s="16" t="s">
        <v>406</v>
      </c>
      <c r="BQ45" s="16" t="b">
        <v>1</v>
      </c>
      <c r="BR45" s="23">
        <v>161.89</v>
      </c>
      <c r="BS45" s="16" t="s">
        <v>411</v>
      </c>
      <c r="BT45" s="16" t="b">
        <v>1</v>
      </c>
      <c r="BU45" s="16"/>
      <c r="BV45" s="16"/>
      <c r="BW45" s="16"/>
      <c r="BX45" s="16"/>
      <c r="BY45" s="16"/>
    </row>
    <row r="46">
      <c r="A46" s="16" t="s">
        <v>412</v>
      </c>
      <c r="B46" s="16" t="s">
        <v>35</v>
      </c>
      <c r="C46" s="22">
        <v>45296.0</v>
      </c>
      <c r="D46" s="16" t="s">
        <v>137</v>
      </c>
      <c r="F46" s="16" t="s">
        <v>415</v>
      </c>
      <c r="G46" s="16">
        <v>1.2539885E7</v>
      </c>
      <c r="H46" s="23">
        <v>20.0</v>
      </c>
      <c r="I46" s="23">
        <v>30.0</v>
      </c>
      <c r="J46" s="23">
        <v>600.0</v>
      </c>
      <c r="N46" s="23">
        <v>0.0</v>
      </c>
      <c r="R46" s="23">
        <v>0.0</v>
      </c>
      <c r="V46" s="23">
        <v>0.0</v>
      </c>
      <c r="Z46" s="23">
        <v>0.0</v>
      </c>
      <c r="AD46" s="23">
        <v>0.0</v>
      </c>
      <c r="AH46" s="23">
        <v>0.0</v>
      </c>
      <c r="AL46" s="23">
        <v>0.0</v>
      </c>
      <c r="AP46" s="23">
        <v>0.0</v>
      </c>
      <c r="AT46" s="23">
        <v>0.0</v>
      </c>
      <c r="AX46" s="23">
        <v>0.0</v>
      </c>
      <c r="BF46" s="23">
        <v>0.0</v>
      </c>
      <c r="BJ46" s="23">
        <v>0.0</v>
      </c>
      <c r="BN46" s="23">
        <v>0.0</v>
      </c>
      <c r="BO46" s="23">
        <v>600.0</v>
      </c>
      <c r="BP46" s="16" t="s">
        <v>414</v>
      </c>
      <c r="BQ46" s="16" t="b">
        <v>1</v>
      </c>
      <c r="BR46" s="23">
        <v>600.0</v>
      </c>
      <c r="BS46" s="16" t="s">
        <v>411</v>
      </c>
      <c r="BT46" s="16" t="b">
        <v>1</v>
      </c>
      <c r="BU46" s="16"/>
      <c r="BV46" s="16"/>
      <c r="BW46" s="16"/>
      <c r="BX46" s="16"/>
      <c r="BY46" s="16"/>
    </row>
    <row r="47">
      <c r="A47" s="16" t="s">
        <v>418</v>
      </c>
      <c r="B47" s="16" t="s">
        <v>35</v>
      </c>
      <c r="C47" s="22">
        <v>45274.0</v>
      </c>
      <c r="D47" s="16" t="s">
        <v>420</v>
      </c>
      <c r="F47" s="16" t="s">
        <v>356</v>
      </c>
      <c r="G47" s="16" t="s">
        <v>789</v>
      </c>
      <c r="H47" s="23">
        <v>3.0</v>
      </c>
      <c r="I47" s="23">
        <v>59.44</v>
      </c>
      <c r="J47" s="23">
        <v>178.32</v>
      </c>
      <c r="K47" s="16" t="s">
        <v>249</v>
      </c>
      <c r="L47" s="23">
        <v>24.0</v>
      </c>
      <c r="M47" s="23">
        <v>5.76</v>
      </c>
      <c r="N47" s="23">
        <v>138.24</v>
      </c>
      <c r="O47" s="16" t="s">
        <v>249</v>
      </c>
      <c r="P47" s="23">
        <v>24.0</v>
      </c>
      <c r="Q47" s="23">
        <v>5.54</v>
      </c>
      <c r="R47" s="23">
        <v>132.96</v>
      </c>
      <c r="S47" s="16" t="s">
        <v>794</v>
      </c>
      <c r="T47" s="23">
        <v>3.0</v>
      </c>
      <c r="U47" s="23">
        <v>18.49</v>
      </c>
      <c r="V47" s="23">
        <v>55.47</v>
      </c>
      <c r="W47" s="16" t="s">
        <v>794</v>
      </c>
      <c r="X47" s="23">
        <v>3.0</v>
      </c>
      <c r="Y47" s="23">
        <v>18.41</v>
      </c>
      <c r="Z47" s="23">
        <v>55.23</v>
      </c>
      <c r="AA47" s="16" t="s">
        <v>797</v>
      </c>
      <c r="AB47" s="23">
        <v>10.0</v>
      </c>
      <c r="AC47" s="23">
        <v>4.67</v>
      </c>
      <c r="AD47" s="23">
        <v>46.7</v>
      </c>
      <c r="AE47" s="16" t="s">
        <v>797</v>
      </c>
      <c r="AF47" s="23">
        <v>10.0</v>
      </c>
      <c r="AG47" s="23">
        <v>5.17</v>
      </c>
      <c r="AH47" s="23">
        <v>51.7</v>
      </c>
      <c r="AI47" s="16" t="s">
        <v>802</v>
      </c>
      <c r="AJ47" s="23">
        <v>24.0</v>
      </c>
      <c r="AK47" s="23">
        <v>12.37</v>
      </c>
      <c r="AL47" s="23">
        <v>296.88</v>
      </c>
      <c r="AP47" s="23">
        <v>0.0</v>
      </c>
      <c r="AT47" s="23">
        <v>0.0</v>
      </c>
      <c r="AX47" s="23">
        <v>0.0</v>
      </c>
      <c r="BF47" s="23">
        <v>0.0</v>
      </c>
      <c r="BJ47" s="23">
        <v>0.0</v>
      </c>
      <c r="BN47" s="23">
        <v>0.0</v>
      </c>
      <c r="BO47" s="23">
        <v>955.5</v>
      </c>
      <c r="BP47" s="16" t="s">
        <v>422</v>
      </c>
      <c r="BQ47" s="16" t="b">
        <v>1</v>
      </c>
      <c r="BR47" s="23">
        <v>955.5</v>
      </c>
      <c r="BT47" s="16" t="b">
        <v>0</v>
      </c>
      <c r="BU47" s="16"/>
      <c r="BV47" s="16"/>
      <c r="BW47" s="16"/>
      <c r="BX47" s="16"/>
      <c r="BY47" s="16"/>
    </row>
    <row r="48">
      <c r="A48" s="16" t="s">
        <v>427</v>
      </c>
      <c r="B48" s="16" t="s">
        <v>35</v>
      </c>
      <c r="C48" s="22">
        <v>45296.0</v>
      </c>
      <c r="D48" s="16" t="s">
        <v>286</v>
      </c>
      <c r="F48" s="16" t="s">
        <v>431</v>
      </c>
      <c r="G48" s="16" t="s">
        <v>812</v>
      </c>
      <c r="H48" s="23">
        <v>1.0</v>
      </c>
      <c r="I48" s="23">
        <v>10.0</v>
      </c>
      <c r="J48" s="23">
        <v>10.0</v>
      </c>
      <c r="N48" s="23">
        <v>0.0</v>
      </c>
      <c r="R48" s="23">
        <v>0.0</v>
      </c>
      <c r="V48" s="23">
        <v>0.0</v>
      </c>
      <c r="Z48" s="23">
        <v>0.0</v>
      </c>
      <c r="AD48" s="23">
        <v>0.0</v>
      </c>
      <c r="AH48" s="23">
        <v>0.0</v>
      </c>
      <c r="AL48" s="23">
        <v>0.0</v>
      </c>
      <c r="AP48" s="23">
        <v>0.0</v>
      </c>
      <c r="AT48" s="23">
        <v>0.0</v>
      </c>
      <c r="AX48" s="23">
        <v>0.0</v>
      </c>
      <c r="BF48" s="23">
        <v>0.0</v>
      </c>
      <c r="BJ48" s="23">
        <v>0.0</v>
      </c>
      <c r="BN48" s="23">
        <v>0.0</v>
      </c>
      <c r="BO48" s="23">
        <v>10.0</v>
      </c>
      <c r="BP48" s="16" t="s">
        <v>429</v>
      </c>
      <c r="BQ48" s="16" t="b">
        <v>1</v>
      </c>
      <c r="BR48" s="23">
        <v>10.0</v>
      </c>
      <c r="BT48" s="16" t="b">
        <v>0</v>
      </c>
      <c r="BU48" s="16"/>
      <c r="BV48" s="16"/>
      <c r="BW48" s="16"/>
      <c r="BX48" s="16"/>
      <c r="BY48" s="16"/>
    </row>
    <row r="49">
      <c r="A49" s="16" t="s">
        <v>434</v>
      </c>
      <c r="B49" s="16" t="s">
        <v>35</v>
      </c>
      <c r="C49" s="22">
        <v>45296.0</v>
      </c>
      <c r="D49" s="16" t="s">
        <v>112</v>
      </c>
      <c r="F49" s="16" t="s">
        <v>157</v>
      </c>
      <c r="G49" s="16" t="s">
        <v>226</v>
      </c>
      <c r="H49" s="23">
        <v>5.0</v>
      </c>
      <c r="I49" s="23">
        <v>7.3</v>
      </c>
      <c r="J49" s="23">
        <v>36.5</v>
      </c>
      <c r="K49" s="16" t="s">
        <v>152</v>
      </c>
      <c r="L49" s="23">
        <v>1.0</v>
      </c>
      <c r="M49" s="23">
        <v>12.0</v>
      </c>
      <c r="N49" s="23">
        <v>12.0</v>
      </c>
      <c r="O49" s="16" t="s">
        <v>230</v>
      </c>
      <c r="P49" s="23">
        <v>1.0</v>
      </c>
      <c r="Q49" s="23">
        <v>144.48</v>
      </c>
      <c r="R49" s="23">
        <v>144.48</v>
      </c>
      <c r="S49" s="16" t="s">
        <v>155</v>
      </c>
      <c r="T49" s="23">
        <v>1.0</v>
      </c>
      <c r="U49" s="23">
        <v>47.99</v>
      </c>
      <c r="V49" s="23">
        <v>47.99</v>
      </c>
      <c r="W49" s="16" t="s">
        <v>159</v>
      </c>
      <c r="X49" s="23">
        <v>10.0</v>
      </c>
      <c r="Y49" s="23">
        <v>13.5</v>
      </c>
      <c r="Z49" s="23">
        <v>135.0</v>
      </c>
      <c r="AD49" s="23">
        <v>0.0</v>
      </c>
      <c r="AH49" s="23">
        <v>0.0</v>
      </c>
      <c r="AL49" s="23">
        <v>0.0</v>
      </c>
      <c r="AP49" s="23">
        <v>0.0</v>
      </c>
      <c r="AT49" s="23">
        <v>0.0</v>
      </c>
      <c r="AX49" s="23">
        <v>0.0</v>
      </c>
      <c r="BF49" s="23">
        <v>0.0</v>
      </c>
      <c r="BJ49" s="23">
        <v>0.0</v>
      </c>
      <c r="BN49" s="23">
        <v>0.0</v>
      </c>
      <c r="BO49" s="23">
        <v>375.97</v>
      </c>
      <c r="BP49" s="16" t="s">
        <v>436</v>
      </c>
      <c r="BQ49" s="16" t="b">
        <v>1</v>
      </c>
      <c r="BR49" s="23">
        <v>375.97</v>
      </c>
      <c r="BS49" s="16" t="s">
        <v>208</v>
      </c>
      <c r="BT49" s="16" t="b">
        <v>1</v>
      </c>
      <c r="BU49" s="16"/>
      <c r="BV49" s="16"/>
      <c r="BW49" s="16"/>
      <c r="BX49" s="16"/>
      <c r="BY49" s="16"/>
    </row>
    <row r="50">
      <c r="A50" s="16" t="s">
        <v>441</v>
      </c>
      <c r="B50" s="16" t="s">
        <v>35</v>
      </c>
      <c r="C50" s="22">
        <v>45299.0</v>
      </c>
      <c r="D50" s="16" t="s">
        <v>137</v>
      </c>
      <c r="F50" s="16" t="s">
        <v>415</v>
      </c>
      <c r="G50" s="16">
        <v>1.2539885E7</v>
      </c>
      <c r="H50" s="23">
        <v>15.0</v>
      </c>
      <c r="I50" s="23">
        <v>20.0</v>
      </c>
      <c r="J50" s="23">
        <v>300.0</v>
      </c>
      <c r="N50" s="23">
        <v>0.0</v>
      </c>
      <c r="R50" s="23">
        <v>0.0</v>
      </c>
      <c r="V50" s="23">
        <v>0.0</v>
      </c>
      <c r="Z50" s="23">
        <v>0.0</v>
      </c>
      <c r="AD50" s="23">
        <v>0.0</v>
      </c>
      <c r="AH50" s="23">
        <v>0.0</v>
      </c>
      <c r="AL50" s="23">
        <v>0.0</v>
      </c>
      <c r="AP50" s="23">
        <v>0.0</v>
      </c>
      <c r="AT50" s="23">
        <v>0.0</v>
      </c>
      <c r="AX50" s="23">
        <v>0.0</v>
      </c>
      <c r="BF50" s="23">
        <v>0.0</v>
      </c>
      <c r="BJ50" s="23">
        <v>0.0</v>
      </c>
      <c r="BN50" s="23">
        <v>0.0</v>
      </c>
      <c r="BO50" s="23">
        <v>300.0</v>
      </c>
      <c r="BP50" s="16" t="s">
        <v>443</v>
      </c>
      <c r="BQ50" s="16" t="b">
        <v>1</v>
      </c>
      <c r="BR50" s="23">
        <v>300.0</v>
      </c>
      <c r="BS50" s="16" t="s">
        <v>445</v>
      </c>
      <c r="BT50" s="16" t="b">
        <v>1</v>
      </c>
      <c r="BU50" s="16"/>
      <c r="BV50" s="16"/>
      <c r="BW50" s="16"/>
      <c r="BX50" s="16"/>
      <c r="BY50" s="16"/>
    </row>
    <row r="51">
      <c r="A51" s="16" t="s">
        <v>446</v>
      </c>
      <c r="B51" s="16" t="s">
        <v>35</v>
      </c>
      <c r="C51" s="22">
        <v>45301.0</v>
      </c>
      <c r="D51" s="16" t="s">
        <v>404</v>
      </c>
      <c r="F51" s="16" t="s">
        <v>449</v>
      </c>
      <c r="G51" s="16" t="s">
        <v>249</v>
      </c>
      <c r="H51" s="23">
        <v>1.0</v>
      </c>
      <c r="I51" s="23">
        <v>47.94</v>
      </c>
      <c r="J51" s="23">
        <v>47.94</v>
      </c>
      <c r="N51" s="23">
        <v>0.0</v>
      </c>
      <c r="R51" s="23">
        <v>0.0</v>
      </c>
      <c r="V51" s="23">
        <v>0.0</v>
      </c>
      <c r="Z51" s="23">
        <v>0.0</v>
      </c>
      <c r="AD51" s="23">
        <v>0.0</v>
      </c>
      <c r="AH51" s="23">
        <v>0.0</v>
      </c>
      <c r="AL51" s="23">
        <v>0.0</v>
      </c>
      <c r="AP51" s="23">
        <v>0.0</v>
      </c>
      <c r="AT51" s="23">
        <v>0.0</v>
      </c>
      <c r="AX51" s="23">
        <v>0.0</v>
      </c>
      <c r="BF51" s="23">
        <v>0.0</v>
      </c>
      <c r="BJ51" s="23">
        <v>0.0</v>
      </c>
      <c r="BN51" s="23">
        <v>0.0</v>
      </c>
      <c r="BO51" s="23">
        <v>47.94</v>
      </c>
      <c r="BP51" s="16" t="s">
        <v>448</v>
      </c>
      <c r="BQ51" s="16" t="b">
        <v>1</v>
      </c>
      <c r="BR51" s="23">
        <v>47.94</v>
      </c>
      <c r="BS51" s="23">
        <v>735925.0</v>
      </c>
      <c r="BT51" s="16" t="b">
        <v>1</v>
      </c>
      <c r="BU51" s="16"/>
      <c r="BV51" s="16"/>
      <c r="BW51" s="16"/>
      <c r="BX51" s="16"/>
      <c r="BY51" s="16"/>
    </row>
    <row r="52">
      <c r="A52" s="16" t="s">
        <v>453</v>
      </c>
      <c r="B52" s="16" t="s">
        <v>35</v>
      </c>
      <c r="C52" s="22">
        <v>45302.0</v>
      </c>
      <c r="D52" s="16" t="s">
        <v>286</v>
      </c>
      <c r="F52" s="16" t="s">
        <v>456</v>
      </c>
      <c r="G52" s="16" t="s">
        <v>854</v>
      </c>
      <c r="H52" s="23">
        <v>1.0</v>
      </c>
      <c r="I52" s="23">
        <v>21.0</v>
      </c>
      <c r="J52" s="23">
        <v>21.0</v>
      </c>
      <c r="N52" s="23">
        <v>0.0</v>
      </c>
      <c r="R52" s="23">
        <v>0.0</v>
      </c>
      <c r="V52" s="23">
        <v>0.0</v>
      </c>
      <c r="Z52" s="23">
        <v>0.0</v>
      </c>
      <c r="AD52" s="23">
        <v>0.0</v>
      </c>
      <c r="AH52" s="23">
        <v>0.0</v>
      </c>
      <c r="AL52" s="23">
        <v>0.0</v>
      </c>
      <c r="AP52" s="23">
        <v>0.0</v>
      </c>
      <c r="AT52" s="23">
        <v>0.0</v>
      </c>
      <c r="AX52" s="23">
        <v>0.0</v>
      </c>
      <c r="BF52" s="23">
        <v>0.0</v>
      </c>
      <c r="BJ52" s="23">
        <v>0.0</v>
      </c>
      <c r="BN52" s="23">
        <v>0.0</v>
      </c>
      <c r="BO52" s="23">
        <v>21.0</v>
      </c>
      <c r="BP52" s="16" t="s">
        <v>455</v>
      </c>
      <c r="BQ52" s="16" t="b">
        <v>1</v>
      </c>
      <c r="BR52" s="23">
        <v>21.0</v>
      </c>
      <c r="BS52" s="23">
        <v>736016.0</v>
      </c>
      <c r="BT52" s="16" t="b">
        <v>1</v>
      </c>
      <c r="BU52" s="16"/>
      <c r="BV52" s="16"/>
      <c r="BW52" s="16"/>
      <c r="BX52" s="16"/>
      <c r="BY52" s="16"/>
    </row>
    <row r="53">
      <c r="A53" s="16" t="s">
        <v>459</v>
      </c>
      <c r="B53" s="16" t="s">
        <v>35</v>
      </c>
      <c r="C53" s="22">
        <v>45302.0</v>
      </c>
      <c r="D53" s="16" t="s">
        <v>460</v>
      </c>
      <c r="F53" s="16" t="s">
        <v>462</v>
      </c>
      <c r="G53" s="16" t="s">
        <v>862</v>
      </c>
      <c r="H53" s="23">
        <v>1.0</v>
      </c>
      <c r="I53" s="23">
        <v>320.0</v>
      </c>
      <c r="J53" s="23">
        <v>320.0</v>
      </c>
      <c r="N53" s="23">
        <v>0.0</v>
      </c>
      <c r="R53" s="23">
        <v>0.0</v>
      </c>
      <c r="V53" s="23">
        <v>0.0</v>
      </c>
      <c r="Z53" s="23">
        <v>0.0</v>
      </c>
      <c r="AD53" s="23">
        <v>0.0</v>
      </c>
      <c r="AH53" s="23">
        <v>0.0</v>
      </c>
      <c r="AL53" s="23">
        <v>0.0</v>
      </c>
      <c r="AP53" s="23">
        <v>0.0</v>
      </c>
      <c r="AT53" s="23">
        <v>0.0</v>
      </c>
      <c r="AX53" s="23">
        <v>0.0</v>
      </c>
      <c r="BF53" s="23">
        <v>0.0</v>
      </c>
      <c r="BJ53" s="23">
        <v>0.0</v>
      </c>
      <c r="BN53" s="23">
        <v>0.0</v>
      </c>
      <c r="BO53" s="23">
        <v>320.0</v>
      </c>
      <c r="BP53" s="16" t="s">
        <v>461</v>
      </c>
      <c r="BQ53" s="16" t="b">
        <v>1</v>
      </c>
      <c r="BR53" s="23">
        <v>320.0</v>
      </c>
      <c r="BT53" s="16" t="b">
        <v>0</v>
      </c>
      <c r="BU53" s="16"/>
      <c r="BV53" s="16"/>
      <c r="BW53" s="16"/>
      <c r="BX53" s="16"/>
      <c r="BY53" s="16"/>
    </row>
    <row r="54">
      <c r="A54" s="16" t="s">
        <v>464</v>
      </c>
      <c r="B54" s="16" t="s">
        <v>35</v>
      </c>
      <c r="C54" s="22">
        <v>45302.0</v>
      </c>
      <c r="D54" s="16" t="s">
        <v>460</v>
      </c>
      <c r="F54" s="16" t="s">
        <v>469</v>
      </c>
      <c r="G54" s="16" t="s">
        <v>873</v>
      </c>
      <c r="H54" s="23">
        <v>1.0</v>
      </c>
      <c r="I54" s="23">
        <v>390.0</v>
      </c>
      <c r="J54" s="23">
        <v>390.0</v>
      </c>
      <c r="N54" s="23">
        <v>0.0</v>
      </c>
      <c r="R54" s="23">
        <v>0.0</v>
      </c>
      <c r="V54" s="23">
        <v>0.0</v>
      </c>
      <c r="Z54" s="23">
        <v>0.0</v>
      </c>
      <c r="AD54" s="23">
        <v>0.0</v>
      </c>
      <c r="AH54" s="23">
        <v>0.0</v>
      </c>
      <c r="AL54" s="23">
        <v>0.0</v>
      </c>
      <c r="AP54" s="23">
        <v>0.0</v>
      </c>
      <c r="AT54" s="23">
        <v>0.0</v>
      </c>
      <c r="AX54" s="23">
        <v>0.0</v>
      </c>
      <c r="BF54" s="23">
        <v>0.0</v>
      </c>
      <c r="BJ54" s="23">
        <v>0.0</v>
      </c>
      <c r="BN54" s="23">
        <v>0.0</v>
      </c>
      <c r="BO54" s="23">
        <v>390.0</v>
      </c>
      <c r="BP54" s="16" t="s">
        <v>467</v>
      </c>
      <c r="BQ54" s="16" t="b">
        <v>1</v>
      </c>
      <c r="BR54" s="23">
        <v>390.0</v>
      </c>
      <c r="BT54" s="16" t="b">
        <v>0</v>
      </c>
      <c r="BU54" s="16"/>
      <c r="BV54" s="16"/>
      <c r="BW54" s="16"/>
      <c r="BX54" s="16"/>
      <c r="BY54" s="16"/>
    </row>
    <row r="55">
      <c r="A55" s="16" t="s">
        <v>470</v>
      </c>
      <c r="B55" s="16" t="s">
        <v>35</v>
      </c>
      <c r="C55" s="22">
        <v>45302.0</v>
      </c>
      <c r="D55" s="16" t="s">
        <v>420</v>
      </c>
      <c r="F55" s="16" t="s">
        <v>147</v>
      </c>
      <c r="G55" s="16" t="s">
        <v>789</v>
      </c>
      <c r="H55" s="23">
        <v>2.0</v>
      </c>
      <c r="I55" s="23">
        <v>73.29</v>
      </c>
      <c r="J55" s="23">
        <v>146.58</v>
      </c>
      <c r="K55" s="16" t="s">
        <v>887</v>
      </c>
      <c r="L55" s="23">
        <v>1.0</v>
      </c>
      <c r="M55" s="23">
        <v>85.85</v>
      </c>
      <c r="N55" s="23">
        <v>85.85</v>
      </c>
      <c r="O55" s="16" t="s">
        <v>249</v>
      </c>
      <c r="P55" s="23">
        <v>24.0</v>
      </c>
      <c r="Q55" s="23">
        <v>5.76</v>
      </c>
      <c r="R55" s="23">
        <v>138.24</v>
      </c>
      <c r="S55" s="16" t="s">
        <v>249</v>
      </c>
      <c r="T55" s="23">
        <v>24.0</v>
      </c>
      <c r="U55" s="23">
        <v>5.54</v>
      </c>
      <c r="V55" s="23">
        <v>132.96</v>
      </c>
      <c r="W55" s="16" t="s">
        <v>249</v>
      </c>
      <c r="X55" s="23">
        <v>12.0</v>
      </c>
      <c r="Y55" s="23">
        <v>11.27</v>
      </c>
      <c r="Z55" s="23">
        <v>135.24</v>
      </c>
      <c r="AA55" s="16" t="s">
        <v>794</v>
      </c>
      <c r="AB55" s="23">
        <v>2.0</v>
      </c>
      <c r="AC55" s="23">
        <v>18.41</v>
      </c>
      <c r="AD55" s="23">
        <v>36.82</v>
      </c>
      <c r="AE55" s="16" t="s">
        <v>794</v>
      </c>
      <c r="AF55" s="23">
        <v>2.0</v>
      </c>
      <c r="AG55" s="23">
        <v>18.19</v>
      </c>
      <c r="AH55" s="23">
        <v>36.38</v>
      </c>
      <c r="AL55" s="23">
        <v>0.0</v>
      </c>
      <c r="AP55" s="23">
        <v>0.0</v>
      </c>
      <c r="AT55" s="23">
        <v>0.0</v>
      </c>
      <c r="AX55" s="23">
        <v>0.0</v>
      </c>
      <c r="BF55" s="23">
        <v>0.0</v>
      </c>
      <c r="BJ55" s="23">
        <v>0.0</v>
      </c>
      <c r="BN55" s="23">
        <v>0.0</v>
      </c>
      <c r="BO55" s="23">
        <v>712.07</v>
      </c>
      <c r="BP55" s="16" t="s">
        <v>472</v>
      </c>
      <c r="BQ55" s="16" t="b">
        <v>1</v>
      </c>
      <c r="BR55" s="23">
        <v>712.07</v>
      </c>
      <c r="BS55" s="23">
        <v>736329.0</v>
      </c>
      <c r="BT55" s="16" t="b">
        <v>1</v>
      </c>
      <c r="BU55" s="16"/>
      <c r="BV55" s="16"/>
      <c r="BW55" s="16"/>
      <c r="BX55" s="16"/>
      <c r="BY55" s="16"/>
    </row>
    <row r="56">
      <c r="A56" s="16" t="s">
        <v>474</v>
      </c>
      <c r="B56" s="16" t="s">
        <v>35</v>
      </c>
      <c r="C56" s="22">
        <v>45302.0</v>
      </c>
      <c r="D56" s="16" t="s">
        <v>112</v>
      </c>
      <c r="F56" s="16" t="s">
        <v>157</v>
      </c>
      <c r="G56" s="16" t="s">
        <v>226</v>
      </c>
      <c r="H56" s="23">
        <v>1.0</v>
      </c>
      <c r="I56" s="23">
        <v>61.75</v>
      </c>
      <c r="J56" s="23">
        <v>61.75</v>
      </c>
      <c r="K56" s="16" t="s">
        <v>230</v>
      </c>
      <c r="L56" s="23">
        <v>1.0</v>
      </c>
      <c r="M56" s="23">
        <v>121.25</v>
      </c>
      <c r="N56" s="23">
        <v>121.25</v>
      </c>
      <c r="O56" s="16" t="s">
        <v>155</v>
      </c>
      <c r="P56" s="23">
        <v>1.0</v>
      </c>
      <c r="Q56" s="23">
        <v>28.41</v>
      </c>
      <c r="R56" s="23">
        <v>28.41</v>
      </c>
      <c r="S56" s="23">
        <v>1.2539885E7</v>
      </c>
      <c r="T56" s="23">
        <v>1.0</v>
      </c>
      <c r="U56" s="23">
        <v>92.8</v>
      </c>
      <c r="V56" s="23">
        <v>92.8</v>
      </c>
      <c r="W56" s="16" t="s">
        <v>159</v>
      </c>
      <c r="X56" s="23">
        <v>8.0</v>
      </c>
      <c r="Y56" s="23">
        <v>13.5</v>
      </c>
      <c r="Z56" s="23">
        <v>108.0</v>
      </c>
      <c r="AA56" s="16" t="s">
        <v>226</v>
      </c>
      <c r="AB56" s="23">
        <v>6.0</v>
      </c>
      <c r="AC56" s="23">
        <v>7.5</v>
      </c>
      <c r="AD56" s="23">
        <v>45.0</v>
      </c>
      <c r="AE56" s="16" t="s">
        <v>152</v>
      </c>
      <c r="AF56" s="23">
        <v>1.0</v>
      </c>
      <c r="AG56" s="23">
        <v>9.49</v>
      </c>
      <c r="AH56" s="23">
        <v>9.49</v>
      </c>
      <c r="AI56" s="16" t="s">
        <v>230</v>
      </c>
      <c r="AJ56" s="23">
        <v>8.0</v>
      </c>
      <c r="AK56" s="23">
        <v>25.0</v>
      </c>
      <c r="AL56" s="23">
        <v>200.0</v>
      </c>
      <c r="AM56" s="16" t="s">
        <v>155</v>
      </c>
      <c r="AN56" s="23">
        <v>1.0</v>
      </c>
      <c r="AO56" s="23">
        <v>45.85</v>
      </c>
      <c r="AP56" s="23">
        <v>45.85</v>
      </c>
      <c r="AQ56" s="16" t="s">
        <v>159</v>
      </c>
      <c r="AR56" s="23">
        <v>12.0</v>
      </c>
      <c r="AS56" s="23">
        <v>13.5</v>
      </c>
      <c r="AT56" s="23">
        <v>162.0</v>
      </c>
      <c r="AX56" s="23">
        <v>0.0</v>
      </c>
      <c r="BF56" s="23">
        <v>0.0</v>
      </c>
      <c r="BJ56" s="23">
        <v>0.0</v>
      </c>
      <c r="BN56" s="23">
        <v>0.0</v>
      </c>
      <c r="BO56" s="23">
        <v>874.55</v>
      </c>
      <c r="BP56" s="16" t="s">
        <v>476</v>
      </c>
      <c r="BQ56" s="16" t="b">
        <v>1</v>
      </c>
      <c r="BR56" s="23">
        <v>874.55</v>
      </c>
      <c r="BS56" s="23">
        <v>736052.0</v>
      </c>
      <c r="BT56" s="16" t="b">
        <v>1</v>
      </c>
      <c r="BU56" s="16"/>
      <c r="BV56" s="16"/>
      <c r="BW56" s="16"/>
      <c r="BX56" s="16"/>
      <c r="BY56" s="16"/>
    </row>
    <row r="57">
      <c r="A57" s="16" t="s">
        <v>479</v>
      </c>
      <c r="B57" s="16" t="s">
        <v>35</v>
      </c>
      <c r="C57" s="22">
        <v>45303.0</v>
      </c>
      <c r="D57" s="16" t="s">
        <v>122</v>
      </c>
      <c r="F57" s="16" t="s">
        <v>482</v>
      </c>
      <c r="G57" s="16" t="s">
        <v>238</v>
      </c>
      <c r="H57" s="23">
        <v>12.0</v>
      </c>
      <c r="I57" s="23">
        <v>4.4</v>
      </c>
      <c r="J57" s="23">
        <v>52.8</v>
      </c>
      <c r="K57" s="16" t="s">
        <v>927</v>
      </c>
      <c r="L57" s="23">
        <v>6.0</v>
      </c>
      <c r="M57" s="23">
        <v>4.4</v>
      </c>
      <c r="N57" s="23">
        <v>26.4</v>
      </c>
      <c r="O57" s="16" t="s">
        <v>242</v>
      </c>
      <c r="P57" s="23">
        <v>6.0</v>
      </c>
      <c r="Q57" s="23">
        <v>4.4</v>
      </c>
      <c r="R57" s="23">
        <v>26.4</v>
      </c>
      <c r="V57" s="23">
        <v>0.0</v>
      </c>
      <c r="Z57" s="23">
        <v>0.0</v>
      </c>
      <c r="AD57" s="23">
        <v>0.0</v>
      </c>
      <c r="AH57" s="23">
        <v>0.0</v>
      </c>
      <c r="AL57" s="23">
        <v>0.0</v>
      </c>
      <c r="AP57" s="23">
        <v>0.0</v>
      </c>
      <c r="AT57" s="23">
        <v>0.0</v>
      </c>
      <c r="AX57" s="23">
        <v>0.0</v>
      </c>
      <c r="BF57" s="23">
        <v>0.0</v>
      </c>
      <c r="BJ57" s="23">
        <v>0.0</v>
      </c>
      <c r="BN57" s="23">
        <v>0.0</v>
      </c>
      <c r="BO57" s="23">
        <v>105.6</v>
      </c>
      <c r="BP57" s="16" t="s">
        <v>481</v>
      </c>
      <c r="BQ57" s="16" t="b">
        <v>1</v>
      </c>
      <c r="BR57" s="23">
        <v>105.6</v>
      </c>
      <c r="BS57" s="23">
        <v>737400.0</v>
      </c>
      <c r="BT57" s="16" t="b">
        <v>1</v>
      </c>
      <c r="BU57" s="16"/>
      <c r="BV57" s="16"/>
      <c r="BW57" s="16"/>
      <c r="BX57" s="16"/>
      <c r="BY57" s="16"/>
    </row>
    <row r="58">
      <c r="A58" s="16" t="s">
        <v>484</v>
      </c>
      <c r="B58" s="16" t="s">
        <v>35</v>
      </c>
      <c r="C58" s="22">
        <v>45303.0</v>
      </c>
      <c r="D58" s="16" t="s">
        <v>175</v>
      </c>
      <c r="F58" s="16" t="s">
        <v>486</v>
      </c>
      <c r="G58" s="16" t="s">
        <v>305</v>
      </c>
      <c r="H58" s="23">
        <v>1.0</v>
      </c>
      <c r="I58" s="23">
        <v>19.75</v>
      </c>
      <c r="J58" s="23">
        <v>19.75</v>
      </c>
      <c r="K58" s="16" t="s">
        <v>305</v>
      </c>
      <c r="L58" s="23">
        <v>1.0</v>
      </c>
      <c r="M58" s="23">
        <v>24.99</v>
      </c>
      <c r="N58" s="23">
        <v>24.99</v>
      </c>
      <c r="R58" s="23">
        <v>0.0</v>
      </c>
      <c r="V58" s="23">
        <v>0.0</v>
      </c>
      <c r="Z58" s="23">
        <v>0.0</v>
      </c>
      <c r="AD58" s="23">
        <v>0.0</v>
      </c>
      <c r="AH58" s="23">
        <v>0.0</v>
      </c>
      <c r="AL58" s="23">
        <v>0.0</v>
      </c>
      <c r="AP58" s="23">
        <v>0.0</v>
      </c>
      <c r="AT58" s="23">
        <v>0.0</v>
      </c>
      <c r="AX58" s="23">
        <v>0.0</v>
      </c>
      <c r="BF58" s="23">
        <v>0.0</v>
      </c>
      <c r="BJ58" s="23">
        <v>0.0</v>
      </c>
      <c r="BN58" s="23">
        <v>0.0</v>
      </c>
      <c r="BO58" s="23">
        <v>44.74</v>
      </c>
      <c r="BP58" s="16" t="s">
        <v>485</v>
      </c>
      <c r="BQ58" s="16" t="b">
        <v>1</v>
      </c>
      <c r="BR58" s="23">
        <v>44.74</v>
      </c>
      <c r="BS58" s="23">
        <v>737398.0</v>
      </c>
      <c r="BT58" s="16" t="b">
        <v>1</v>
      </c>
      <c r="BU58" s="16"/>
      <c r="BV58" s="16"/>
      <c r="BW58" s="16"/>
      <c r="BX58" s="16"/>
      <c r="BY58" s="16"/>
    </row>
    <row r="59">
      <c r="A59" s="16" t="s">
        <v>489</v>
      </c>
      <c r="B59" s="16" t="s">
        <v>35</v>
      </c>
      <c r="C59" s="22">
        <v>45304.0</v>
      </c>
      <c r="D59" s="16" t="s">
        <v>112</v>
      </c>
      <c r="F59" s="16" t="s">
        <v>157</v>
      </c>
      <c r="G59" s="16" t="s">
        <v>226</v>
      </c>
      <c r="H59" s="23">
        <v>8.0</v>
      </c>
      <c r="I59" s="23">
        <v>9.0</v>
      </c>
      <c r="J59" s="23">
        <v>72.0</v>
      </c>
      <c r="K59" s="16" t="s">
        <v>152</v>
      </c>
      <c r="L59" s="23">
        <v>1.0</v>
      </c>
      <c r="M59" s="23">
        <v>13.02</v>
      </c>
      <c r="N59" s="23">
        <v>13.02</v>
      </c>
      <c r="O59" s="16" t="s">
        <v>230</v>
      </c>
      <c r="P59" s="23">
        <v>6.0</v>
      </c>
      <c r="Q59" s="23">
        <v>24.0</v>
      </c>
      <c r="R59" s="23">
        <v>144.0</v>
      </c>
      <c r="S59" s="16" t="s">
        <v>155</v>
      </c>
      <c r="T59" s="23">
        <v>1.0</v>
      </c>
      <c r="U59" s="23">
        <v>28.14</v>
      </c>
      <c r="V59" s="23">
        <v>28.14</v>
      </c>
      <c r="W59" s="16" t="s">
        <v>159</v>
      </c>
      <c r="X59" s="23">
        <v>15.0</v>
      </c>
      <c r="Y59" s="23">
        <v>13.5</v>
      </c>
      <c r="Z59" s="23">
        <v>202.5</v>
      </c>
      <c r="AD59" s="23">
        <v>0.0</v>
      </c>
      <c r="AH59" s="23">
        <v>0.0</v>
      </c>
      <c r="AL59" s="23">
        <v>0.0</v>
      </c>
      <c r="AP59" s="23">
        <v>0.0</v>
      </c>
      <c r="AT59" s="23">
        <v>0.0</v>
      </c>
      <c r="AX59" s="23">
        <v>0.0</v>
      </c>
      <c r="BF59" s="23">
        <v>0.0</v>
      </c>
      <c r="BJ59" s="23">
        <v>0.0</v>
      </c>
      <c r="BN59" s="23">
        <v>0.0</v>
      </c>
      <c r="BO59" s="23">
        <v>459.66</v>
      </c>
      <c r="BP59" s="16" t="s">
        <v>490</v>
      </c>
      <c r="BQ59" s="16" t="b">
        <v>1</v>
      </c>
      <c r="BR59" s="23">
        <v>459.66</v>
      </c>
      <c r="BS59" s="23">
        <v>738339.0</v>
      </c>
      <c r="BT59" s="16" t="b">
        <v>1</v>
      </c>
      <c r="BU59" s="16"/>
      <c r="BV59" s="16"/>
      <c r="BW59" s="16"/>
      <c r="BX59" s="16"/>
      <c r="BY59" s="16"/>
    </row>
    <row r="60">
      <c r="A60" s="16" t="s">
        <v>493</v>
      </c>
      <c r="B60" s="16" t="s">
        <v>35</v>
      </c>
      <c r="C60" s="22">
        <v>45304.0</v>
      </c>
      <c r="D60" s="16" t="s">
        <v>137</v>
      </c>
      <c r="F60" s="16" t="s">
        <v>171</v>
      </c>
      <c r="G60" s="16">
        <v>1.2539885E7</v>
      </c>
      <c r="H60" s="23">
        <v>45.0</v>
      </c>
      <c r="I60" s="23">
        <v>20.0</v>
      </c>
      <c r="J60" s="23">
        <v>900.0</v>
      </c>
      <c r="N60" s="23">
        <v>0.0</v>
      </c>
      <c r="R60" s="23">
        <v>0.0</v>
      </c>
      <c r="V60" s="23">
        <v>0.0</v>
      </c>
      <c r="Z60" s="23">
        <v>0.0</v>
      </c>
      <c r="AD60" s="23">
        <v>0.0</v>
      </c>
      <c r="AH60" s="23">
        <v>0.0</v>
      </c>
      <c r="AL60" s="23">
        <v>0.0</v>
      </c>
      <c r="AP60" s="23">
        <v>0.0</v>
      </c>
      <c r="AT60" s="23">
        <v>0.0</v>
      </c>
      <c r="AX60" s="23">
        <v>0.0</v>
      </c>
      <c r="BF60" s="23">
        <v>0.0</v>
      </c>
      <c r="BJ60" s="23">
        <v>0.0</v>
      </c>
      <c r="BN60" s="23">
        <v>0.0</v>
      </c>
      <c r="BO60" s="23">
        <v>900.0</v>
      </c>
      <c r="BP60" s="16" t="s">
        <v>495</v>
      </c>
      <c r="BQ60" s="16" t="b">
        <v>1</v>
      </c>
      <c r="BR60" s="23">
        <v>900.0</v>
      </c>
      <c r="BS60" s="23">
        <v>738486.0</v>
      </c>
      <c r="BT60" s="16" t="b">
        <v>1</v>
      </c>
      <c r="BU60" s="16"/>
      <c r="BV60" s="16"/>
      <c r="BW60" s="16"/>
      <c r="BX60" s="16"/>
      <c r="BY60" s="16"/>
    </row>
    <row r="61">
      <c r="A61" s="16" t="s">
        <v>498</v>
      </c>
      <c r="B61" s="16" t="s">
        <v>35</v>
      </c>
      <c r="C61" s="22">
        <v>45308.0</v>
      </c>
      <c r="D61" s="16" t="s">
        <v>122</v>
      </c>
      <c r="F61" s="16" t="s">
        <v>319</v>
      </c>
      <c r="G61" s="16" t="s">
        <v>238</v>
      </c>
      <c r="H61" s="23">
        <v>10.0</v>
      </c>
      <c r="I61" s="23">
        <v>4.4</v>
      </c>
      <c r="J61" s="23">
        <v>44.0</v>
      </c>
      <c r="K61" s="16" t="s">
        <v>240</v>
      </c>
      <c r="L61" s="23">
        <v>6.0</v>
      </c>
      <c r="M61" s="23">
        <v>4.4</v>
      </c>
      <c r="N61" s="23">
        <v>26.4</v>
      </c>
      <c r="O61" s="16" t="s">
        <v>242</v>
      </c>
      <c r="P61" s="23">
        <v>6.0</v>
      </c>
      <c r="Q61" s="23">
        <v>4.4</v>
      </c>
      <c r="R61" s="23">
        <v>26.4</v>
      </c>
      <c r="S61" s="16" t="s">
        <v>243</v>
      </c>
      <c r="T61" s="23">
        <v>6.0</v>
      </c>
      <c r="U61" s="23">
        <v>4.4</v>
      </c>
      <c r="V61" s="23">
        <v>26.4</v>
      </c>
      <c r="Z61" s="23">
        <v>0.0</v>
      </c>
      <c r="AD61" s="23">
        <v>0.0</v>
      </c>
      <c r="AH61" s="23">
        <v>0.0</v>
      </c>
      <c r="AL61" s="23">
        <v>0.0</v>
      </c>
      <c r="AP61" s="23">
        <v>0.0</v>
      </c>
      <c r="AT61" s="23">
        <v>0.0</v>
      </c>
      <c r="AX61" s="23">
        <v>0.0</v>
      </c>
      <c r="BF61" s="23">
        <v>0.0</v>
      </c>
      <c r="BJ61" s="23">
        <v>0.0</v>
      </c>
      <c r="BN61" s="23">
        <v>0.0</v>
      </c>
      <c r="BO61" s="23">
        <v>123.2</v>
      </c>
      <c r="BP61" s="16" t="s">
        <v>500</v>
      </c>
      <c r="BQ61" s="16" t="b">
        <v>1</v>
      </c>
      <c r="BR61" s="23">
        <v>132.0</v>
      </c>
      <c r="BS61" s="23">
        <v>744491.0</v>
      </c>
      <c r="BT61" s="16" t="b">
        <v>1</v>
      </c>
      <c r="BU61" s="16"/>
      <c r="BV61" s="16"/>
      <c r="BW61" s="16"/>
      <c r="BX61" s="16"/>
      <c r="BY61" s="16"/>
    </row>
    <row r="62">
      <c r="A62" s="16" t="s">
        <v>503</v>
      </c>
      <c r="B62" s="16" t="s">
        <v>35</v>
      </c>
      <c r="C62" s="22">
        <v>45308.0</v>
      </c>
      <c r="D62" s="16" t="s">
        <v>122</v>
      </c>
      <c r="F62" s="16" t="s">
        <v>506</v>
      </c>
      <c r="G62" s="16" t="s">
        <v>981</v>
      </c>
      <c r="H62" s="23">
        <v>6.0</v>
      </c>
      <c r="I62" s="23">
        <v>4.35</v>
      </c>
      <c r="J62" s="23">
        <v>26.1</v>
      </c>
      <c r="N62" s="23">
        <v>0.0</v>
      </c>
      <c r="R62" s="23">
        <v>0.0</v>
      </c>
      <c r="V62" s="23">
        <v>0.0</v>
      </c>
      <c r="Z62" s="23">
        <v>0.0</v>
      </c>
      <c r="AD62" s="23">
        <v>0.0</v>
      </c>
      <c r="AH62" s="23">
        <v>0.0</v>
      </c>
      <c r="AL62" s="23">
        <v>0.0</v>
      </c>
      <c r="AP62" s="23">
        <v>0.0</v>
      </c>
      <c r="AT62" s="23">
        <v>0.0</v>
      </c>
      <c r="AX62" s="23">
        <v>0.0</v>
      </c>
      <c r="BF62" s="23">
        <v>0.0</v>
      </c>
      <c r="BJ62" s="23">
        <v>0.0</v>
      </c>
      <c r="BN62" s="23">
        <v>0.0</v>
      </c>
      <c r="BO62" s="23">
        <v>26.1</v>
      </c>
      <c r="BP62" s="16" t="s">
        <v>505</v>
      </c>
      <c r="BQ62" s="16" t="b">
        <v>1</v>
      </c>
      <c r="BR62" s="23">
        <v>26.1</v>
      </c>
      <c r="BS62" s="23">
        <v>744489.0</v>
      </c>
      <c r="BT62" s="16" t="b">
        <v>1</v>
      </c>
      <c r="BU62" s="16"/>
      <c r="BV62" s="16"/>
      <c r="BW62" s="16"/>
      <c r="BX62" s="16"/>
      <c r="BY62" s="16"/>
    </row>
    <row r="63">
      <c r="A63" s="16" t="s">
        <v>509</v>
      </c>
      <c r="B63" s="16" t="s">
        <v>35</v>
      </c>
      <c r="C63" s="22">
        <v>45308.0</v>
      </c>
      <c r="D63" s="16" t="s">
        <v>137</v>
      </c>
      <c r="F63" s="16" t="s">
        <v>140</v>
      </c>
      <c r="G63" s="16">
        <v>1.2539885E7</v>
      </c>
      <c r="H63" s="23">
        <v>30.0</v>
      </c>
      <c r="I63" s="23">
        <v>20.0</v>
      </c>
      <c r="J63" s="23">
        <v>600.0</v>
      </c>
      <c r="N63" s="23">
        <v>0.0</v>
      </c>
      <c r="R63" s="23">
        <v>0.0</v>
      </c>
      <c r="V63" s="23">
        <v>0.0</v>
      </c>
      <c r="Z63" s="23">
        <v>0.0</v>
      </c>
      <c r="AD63" s="23">
        <v>0.0</v>
      </c>
      <c r="AH63" s="23">
        <v>0.0</v>
      </c>
      <c r="AL63" s="23">
        <v>0.0</v>
      </c>
      <c r="AP63" s="23">
        <v>0.0</v>
      </c>
      <c r="AT63" s="23">
        <v>0.0</v>
      </c>
      <c r="AX63" s="23">
        <v>0.0</v>
      </c>
      <c r="BF63" s="23">
        <v>0.0</v>
      </c>
      <c r="BJ63" s="23">
        <v>0.0</v>
      </c>
      <c r="BN63" s="23">
        <v>0.0</v>
      </c>
      <c r="BO63" s="23">
        <v>600.0</v>
      </c>
      <c r="BP63" s="16" t="s">
        <v>511</v>
      </c>
      <c r="BQ63" s="16" t="b">
        <v>1</v>
      </c>
      <c r="BR63" s="23">
        <v>600.0</v>
      </c>
      <c r="BS63" s="23">
        <v>744830.0</v>
      </c>
      <c r="BT63" s="16" t="b">
        <v>1</v>
      </c>
      <c r="BU63" s="16"/>
      <c r="BV63" s="16"/>
      <c r="BW63" s="16"/>
      <c r="BX63" s="16"/>
      <c r="BY63" s="16"/>
    </row>
    <row r="64">
      <c r="A64" s="16" t="s">
        <v>514</v>
      </c>
      <c r="B64" s="16" t="s">
        <v>35</v>
      </c>
      <c r="C64" s="22">
        <v>45306.0</v>
      </c>
      <c r="D64" s="16" t="s">
        <v>112</v>
      </c>
      <c r="F64" s="16" t="s">
        <v>45</v>
      </c>
      <c r="G64" s="16" t="s">
        <v>226</v>
      </c>
      <c r="H64" s="23">
        <v>5.0</v>
      </c>
      <c r="I64" s="23">
        <v>9.0</v>
      </c>
      <c r="J64" s="23">
        <v>45.0</v>
      </c>
      <c r="K64" s="16" t="s">
        <v>152</v>
      </c>
      <c r="L64" s="23">
        <v>1.0</v>
      </c>
      <c r="M64" s="23">
        <v>10.17</v>
      </c>
      <c r="N64" s="23">
        <v>10.17</v>
      </c>
      <c r="O64" s="16" t="s">
        <v>230</v>
      </c>
      <c r="P64" s="23">
        <v>1.0</v>
      </c>
      <c r="Q64" s="23">
        <v>125.28</v>
      </c>
      <c r="R64" s="23">
        <v>125.28</v>
      </c>
      <c r="S64" s="16" t="s">
        <v>155</v>
      </c>
      <c r="T64" s="23">
        <v>1.0</v>
      </c>
      <c r="U64" s="23">
        <v>34.56</v>
      </c>
      <c r="V64" s="23">
        <v>34.56</v>
      </c>
      <c r="W64" s="16" t="s">
        <v>159</v>
      </c>
      <c r="X64" s="23">
        <v>10.0</v>
      </c>
      <c r="Y64" s="23">
        <v>13.5</v>
      </c>
      <c r="Z64" s="23">
        <v>135.0</v>
      </c>
      <c r="AD64" s="23">
        <v>0.0</v>
      </c>
      <c r="AH64" s="23">
        <v>0.0</v>
      </c>
      <c r="AL64" s="23">
        <v>0.0</v>
      </c>
      <c r="AP64" s="23">
        <v>0.0</v>
      </c>
      <c r="AT64" s="23">
        <v>0.0</v>
      </c>
      <c r="AX64" s="23">
        <v>0.0</v>
      </c>
      <c r="BF64" s="23">
        <v>0.0</v>
      </c>
      <c r="BJ64" s="23">
        <v>0.0</v>
      </c>
      <c r="BN64" s="23">
        <v>0.0</v>
      </c>
      <c r="BO64" s="23">
        <v>350.01</v>
      </c>
      <c r="BP64" s="16" t="s">
        <v>515</v>
      </c>
      <c r="BQ64" s="16" t="b">
        <v>1</v>
      </c>
      <c r="BR64" s="23">
        <v>350.01</v>
      </c>
      <c r="BT64" s="16" t="b">
        <v>0</v>
      </c>
      <c r="BU64" s="16"/>
      <c r="BV64" s="16"/>
      <c r="BW64" s="16"/>
      <c r="BX64" s="16"/>
      <c r="BY64" s="16"/>
    </row>
    <row r="65">
      <c r="A65" s="16" t="s">
        <v>517</v>
      </c>
      <c r="B65" s="16" t="s">
        <v>35</v>
      </c>
      <c r="C65" s="22">
        <v>45309.0</v>
      </c>
      <c r="D65" s="16" t="s">
        <v>112</v>
      </c>
      <c r="F65" s="16" t="s">
        <v>45</v>
      </c>
      <c r="G65" s="16" t="s">
        <v>226</v>
      </c>
      <c r="H65" s="23">
        <v>5.0</v>
      </c>
      <c r="I65" s="23">
        <v>8.0</v>
      </c>
      <c r="J65" s="23">
        <v>40.0</v>
      </c>
      <c r="K65" s="16" t="s">
        <v>152</v>
      </c>
      <c r="L65" s="23">
        <v>1.0</v>
      </c>
      <c r="M65" s="23">
        <v>13.87</v>
      </c>
      <c r="N65" s="23">
        <v>13.87</v>
      </c>
      <c r="O65" s="16" t="s">
        <v>155</v>
      </c>
      <c r="P65" s="23">
        <v>1.0</v>
      </c>
      <c r="Q65" s="23">
        <v>34.82</v>
      </c>
      <c r="R65" s="23">
        <v>34.82</v>
      </c>
      <c r="S65" s="16" t="s">
        <v>159</v>
      </c>
      <c r="T65" s="23">
        <v>10.0</v>
      </c>
      <c r="U65" s="23">
        <v>13.7</v>
      </c>
      <c r="V65" s="23">
        <v>137.0</v>
      </c>
      <c r="Z65" s="23">
        <v>0.0</v>
      </c>
      <c r="AD65" s="23">
        <v>0.0</v>
      </c>
      <c r="AH65" s="23">
        <v>0.0</v>
      </c>
      <c r="AL65" s="23">
        <v>0.0</v>
      </c>
      <c r="AP65" s="23">
        <v>0.0</v>
      </c>
      <c r="AT65" s="23">
        <v>0.0</v>
      </c>
      <c r="AX65" s="23">
        <v>0.0</v>
      </c>
      <c r="BF65" s="23">
        <v>0.0</v>
      </c>
      <c r="BJ65" s="23">
        <v>0.0</v>
      </c>
      <c r="BN65" s="23">
        <v>0.0</v>
      </c>
      <c r="BO65" s="23">
        <v>225.69</v>
      </c>
      <c r="BP65" s="16" t="s">
        <v>518</v>
      </c>
      <c r="BQ65" s="16" t="b">
        <v>1</v>
      </c>
      <c r="BR65" s="23">
        <v>225.09</v>
      </c>
      <c r="BT65" s="16" t="b">
        <v>0</v>
      </c>
      <c r="BU65" s="16"/>
      <c r="BV65" s="16"/>
      <c r="BW65" s="16"/>
      <c r="BX65" s="16"/>
      <c r="BY65" s="16"/>
    </row>
    <row r="66">
      <c r="A66" s="16" t="s">
        <v>520</v>
      </c>
      <c r="B66" s="16" t="s">
        <v>35</v>
      </c>
      <c r="C66" s="22">
        <v>45310.0</v>
      </c>
      <c r="D66" s="23">
        <v>2.6065919E7</v>
      </c>
      <c r="F66" s="16" t="s">
        <v>522</v>
      </c>
      <c r="G66" s="16" t="s">
        <v>1022</v>
      </c>
      <c r="H66" s="23">
        <v>1.0</v>
      </c>
      <c r="I66" s="23">
        <v>225.0</v>
      </c>
      <c r="J66" s="23">
        <v>225.0</v>
      </c>
      <c r="N66" s="23">
        <v>0.0</v>
      </c>
      <c r="R66" s="23">
        <v>0.0</v>
      </c>
      <c r="V66" s="23">
        <v>0.0</v>
      </c>
      <c r="Z66" s="23">
        <v>0.0</v>
      </c>
      <c r="AD66" s="23">
        <v>0.0</v>
      </c>
      <c r="AH66" s="23">
        <v>0.0</v>
      </c>
      <c r="AL66" s="23">
        <v>0.0</v>
      </c>
      <c r="AP66" s="23">
        <v>0.0</v>
      </c>
      <c r="AT66" s="23">
        <v>0.0</v>
      </c>
      <c r="AX66" s="23">
        <v>0.0</v>
      </c>
      <c r="BF66" s="23">
        <v>0.0</v>
      </c>
      <c r="BJ66" s="23">
        <v>0.0</v>
      </c>
      <c r="BN66" s="23">
        <v>0.0</v>
      </c>
      <c r="BO66" s="23">
        <v>225.0</v>
      </c>
      <c r="BP66" s="16" t="s">
        <v>521</v>
      </c>
      <c r="BQ66" s="16" t="b">
        <v>1</v>
      </c>
      <c r="BR66" s="23">
        <v>225.0</v>
      </c>
      <c r="BS66" s="16" t="s">
        <v>445</v>
      </c>
      <c r="BT66" s="16" t="b">
        <v>1</v>
      </c>
      <c r="BU66" s="16"/>
      <c r="BV66" s="16"/>
      <c r="BW66" s="16"/>
      <c r="BX66" s="16"/>
      <c r="BY66" s="16"/>
    </row>
    <row r="67">
      <c r="A67" s="16" t="s">
        <v>525</v>
      </c>
      <c r="B67" s="16" t="s">
        <v>35</v>
      </c>
      <c r="C67" s="22">
        <v>45310.0</v>
      </c>
      <c r="D67" s="23">
        <v>8.627274E7</v>
      </c>
      <c r="F67" s="16" t="s">
        <v>528</v>
      </c>
      <c r="G67" s="16" t="s">
        <v>247</v>
      </c>
      <c r="H67" s="23">
        <v>15.0</v>
      </c>
      <c r="I67" s="23">
        <v>0.99</v>
      </c>
      <c r="J67" s="23">
        <v>14.85</v>
      </c>
      <c r="K67" s="16" t="s">
        <v>305</v>
      </c>
      <c r="L67" s="23">
        <v>1.0</v>
      </c>
      <c r="M67" s="23">
        <v>126.69</v>
      </c>
      <c r="N67" s="23">
        <v>126.69</v>
      </c>
      <c r="R67" s="23">
        <v>0.0</v>
      </c>
      <c r="V67" s="23">
        <v>0.0</v>
      </c>
      <c r="Z67" s="23">
        <v>0.0</v>
      </c>
      <c r="AD67" s="23">
        <v>0.0</v>
      </c>
      <c r="AH67" s="23">
        <v>0.0</v>
      </c>
      <c r="AL67" s="23">
        <v>0.0</v>
      </c>
      <c r="AP67" s="23">
        <v>0.0</v>
      </c>
      <c r="AT67" s="23">
        <v>0.0</v>
      </c>
      <c r="AX67" s="23">
        <v>0.0</v>
      </c>
      <c r="BF67" s="23">
        <v>0.0</v>
      </c>
      <c r="BJ67" s="23">
        <v>0.0</v>
      </c>
      <c r="BN67" s="23">
        <v>0.0</v>
      </c>
      <c r="BO67" s="23">
        <v>141.54</v>
      </c>
      <c r="BP67" s="16" t="s">
        <v>527</v>
      </c>
      <c r="BQ67" s="16" t="b">
        <v>1</v>
      </c>
      <c r="BR67" s="23">
        <v>141.54</v>
      </c>
      <c r="BT67" s="16" t="b">
        <v>0</v>
      </c>
      <c r="BU67" s="16"/>
      <c r="BV67" s="16"/>
      <c r="BW67" s="16"/>
      <c r="BX67" s="16"/>
      <c r="BY67" s="16"/>
    </row>
    <row r="68">
      <c r="A68" s="16" t="s">
        <v>530</v>
      </c>
      <c r="B68" s="16" t="s">
        <v>35</v>
      </c>
      <c r="C68" s="22">
        <v>45307.0</v>
      </c>
      <c r="D68" s="23">
        <v>8.627274E7</v>
      </c>
      <c r="F68" s="16" t="s">
        <v>88</v>
      </c>
      <c r="G68" s="16" t="s">
        <v>1041</v>
      </c>
      <c r="H68" s="23">
        <v>1.0</v>
      </c>
      <c r="I68" s="23">
        <v>9.99</v>
      </c>
      <c r="J68" s="23">
        <v>9.99</v>
      </c>
      <c r="K68" s="16" t="s">
        <v>1043</v>
      </c>
      <c r="L68" s="23">
        <v>2.0</v>
      </c>
      <c r="M68" s="23">
        <v>12.99</v>
      </c>
      <c r="N68" s="23">
        <v>25.98</v>
      </c>
      <c r="O68" s="16" t="s">
        <v>1046</v>
      </c>
      <c r="P68" s="23">
        <v>2.0</v>
      </c>
      <c r="Q68" s="23">
        <v>4.99</v>
      </c>
      <c r="R68" s="23">
        <v>9.98</v>
      </c>
      <c r="S68" s="16" t="s">
        <v>1047</v>
      </c>
      <c r="T68" s="23">
        <v>1.0</v>
      </c>
      <c r="U68" s="23">
        <v>129.81</v>
      </c>
      <c r="V68" s="23">
        <v>129.81</v>
      </c>
      <c r="Z68" s="23">
        <v>0.0</v>
      </c>
      <c r="AD68" s="23">
        <v>0.0</v>
      </c>
      <c r="AH68" s="23">
        <v>0.0</v>
      </c>
      <c r="AL68" s="23">
        <v>0.0</v>
      </c>
      <c r="AP68" s="23">
        <v>0.0</v>
      </c>
      <c r="AT68" s="23">
        <v>0.0</v>
      </c>
      <c r="AX68" s="23">
        <v>0.0</v>
      </c>
      <c r="BF68" s="23">
        <v>0.0</v>
      </c>
      <c r="BJ68" s="23">
        <v>0.0</v>
      </c>
      <c r="BN68" s="23">
        <v>0.0</v>
      </c>
      <c r="BO68" s="23">
        <v>175.76</v>
      </c>
      <c r="BP68" s="16" t="s">
        <v>532</v>
      </c>
      <c r="BQ68" s="16" t="b">
        <v>1</v>
      </c>
      <c r="BR68" s="23">
        <v>175.76</v>
      </c>
      <c r="BT68" s="16" t="b">
        <v>0</v>
      </c>
      <c r="BU68" s="16" t="s">
        <v>533</v>
      </c>
      <c r="BV68" s="16"/>
      <c r="BW68" s="16"/>
      <c r="BX68" s="16"/>
      <c r="BY68" s="16"/>
    </row>
    <row r="69">
      <c r="A69" s="16" t="s">
        <v>536</v>
      </c>
      <c r="B69" s="16" t="s">
        <v>35</v>
      </c>
      <c r="C69" s="22">
        <v>45317.0</v>
      </c>
      <c r="F69" s="16" t="s">
        <v>538</v>
      </c>
      <c r="G69" s="16" t="s">
        <v>1054</v>
      </c>
      <c r="H69" s="16">
        <v>1.0</v>
      </c>
      <c r="I69" s="23">
        <v>5123.2</v>
      </c>
      <c r="J69" s="23">
        <v>5123.2</v>
      </c>
      <c r="BO69" s="23">
        <v>5123.2</v>
      </c>
      <c r="BR69" s="23">
        <v>5123.2</v>
      </c>
      <c r="BU69" s="16" t="s">
        <v>539</v>
      </c>
      <c r="BV69" s="16" t="s">
        <v>541</v>
      </c>
      <c r="BW69" s="16"/>
      <c r="BX69" s="16"/>
      <c r="BY69" s="16"/>
    </row>
    <row r="70">
      <c r="A70" s="16" t="s">
        <v>542</v>
      </c>
      <c r="B70" s="16" t="s">
        <v>35</v>
      </c>
      <c r="C70" s="22">
        <v>45313.0</v>
      </c>
      <c r="D70" s="16" t="s">
        <v>543</v>
      </c>
      <c r="F70" s="16" t="s">
        <v>140</v>
      </c>
      <c r="G70" s="16">
        <v>1.2539885E7</v>
      </c>
      <c r="H70" s="23">
        <v>16.0</v>
      </c>
      <c r="I70" s="23">
        <v>20.0</v>
      </c>
      <c r="J70" s="23">
        <v>320.0</v>
      </c>
      <c r="N70" s="23">
        <v>0.0</v>
      </c>
      <c r="R70" s="23">
        <v>0.0</v>
      </c>
      <c r="V70" s="23">
        <v>0.0</v>
      </c>
      <c r="Z70" s="23">
        <v>0.0</v>
      </c>
      <c r="AD70" s="23">
        <v>0.0</v>
      </c>
      <c r="AH70" s="23">
        <v>0.0</v>
      </c>
      <c r="AL70" s="23">
        <v>0.0</v>
      </c>
      <c r="AP70" s="23">
        <v>0.0</v>
      </c>
      <c r="AT70" s="23">
        <v>0.0</v>
      </c>
      <c r="AX70" s="23">
        <v>0.0</v>
      </c>
      <c r="BF70" s="23">
        <v>0.0</v>
      </c>
      <c r="BJ70" s="23">
        <v>0.0</v>
      </c>
      <c r="BN70" s="23">
        <v>0.0</v>
      </c>
      <c r="BO70" s="23">
        <v>320.0</v>
      </c>
      <c r="BP70" s="16" t="s">
        <v>544</v>
      </c>
      <c r="BQ70" s="16" t="b">
        <v>1</v>
      </c>
      <c r="BR70" s="23">
        <v>320.0</v>
      </c>
      <c r="BT70" s="16" t="b">
        <v>0</v>
      </c>
      <c r="BU70" s="16" t="s">
        <v>546</v>
      </c>
    </row>
    <row r="71">
      <c r="A71" s="16" t="s">
        <v>547</v>
      </c>
      <c r="B71" s="16" t="s">
        <v>35</v>
      </c>
      <c r="C71" s="22">
        <v>45314.0</v>
      </c>
      <c r="D71" s="16" t="s">
        <v>548</v>
      </c>
      <c r="F71" s="16" t="s">
        <v>551</v>
      </c>
      <c r="G71" s="16" t="s">
        <v>717</v>
      </c>
      <c r="H71" s="23">
        <v>4.0</v>
      </c>
      <c r="I71" s="23">
        <v>12.0</v>
      </c>
      <c r="J71" s="23">
        <v>48.0</v>
      </c>
      <c r="N71" s="23">
        <v>0.0</v>
      </c>
      <c r="R71" s="23">
        <v>0.0</v>
      </c>
      <c r="V71" s="23">
        <v>0.0</v>
      </c>
      <c r="Z71" s="23">
        <v>0.0</v>
      </c>
      <c r="AD71" s="23">
        <v>0.0</v>
      </c>
      <c r="AH71" s="23">
        <v>0.0</v>
      </c>
      <c r="AL71" s="23">
        <v>0.0</v>
      </c>
      <c r="AP71" s="23">
        <v>0.0</v>
      </c>
      <c r="AT71" s="23">
        <v>0.0</v>
      </c>
      <c r="AX71" s="23">
        <v>0.0</v>
      </c>
      <c r="BF71" s="23">
        <v>0.0</v>
      </c>
      <c r="BJ71" s="23">
        <v>0.0</v>
      </c>
      <c r="BN71" s="23">
        <v>0.0</v>
      </c>
      <c r="BO71" s="23">
        <v>48.0</v>
      </c>
      <c r="BP71" s="16" t="s">
        <v>550</v>
      </c>
      <c r="BQ71" s="16" t="b">
        <v>1</v>
      </c>
      <c r="BR71" s="23">
        <v>48.0</v>
      </c>
      <c r="BS71" s="16" t="s">
        <v>552</v>
      </c>
      <c r="BT71" s="16" t="b">
        <v>1</v>
      </c>
      <c r="BU71" s="16" t="s">
        <v>546</v>
      </c>
    </row>
    <row r="72">
      <c r="A72" s="16" t="s">
        <v>553</v>
      </c>
      <c r="B72" s="16" t="s">
        <v>35</v>
      </c>
      <c r="C72" s="22">
        <v>45315.0</v>
      </c>
      <c r="D72" s="16" t="s">
        <v>112</v>
      </c>
      <c r="F72" s="16" t="s">
        <v>157</v>
      </c>
      <c r="G72" s="16" t="s">
        <v>226</v>
      </c>
      <c r="H72" s="23">
        <v>5.0</v>
      </c>
      <c r="I72" s="23">
        <v>8.0</v>
      </c>
      <c r="J72" s="23">
        <v>40.0</v>
      </c>
      <c r="K72" s="16" t="s">
        <v>152</v>
      </c>
      <c r="L72" s="23">
        <v>1.0</v>
      </c>
      <c r="M72" s="23">
        <v>10.3</v>
      </c>
      <c r="N72" s="23">
        <v>10.3</v>
      </c>
      <c r="O72" s="16" t="s">
        <v>230</v>
      </c>
      <c r="P72" s="23">
        <v>1.0</v>
      </c>
      <c r="Q72" s="23">
        <v>128.4</v>
      </c>
      <c r="R72" s="23">
        <v>128.4</v>
      </c>
      <c r="S72" s="16" t="s">
        <v>155</v>
      </c>
      <c r="T72" s="23">
        <v>1.0</v>
      </c>
      <c r="U72" s="23">
        <v>31.13</v>
      </c>
      <c r="V72" s="23">
        <v>31.13</v>
      </c>
      <c r="W72" s="16" t="s">
        <v>159</v>
      </c>
      <c r="X72" s="23">
        <v>12.0</v>
      </c>
      <c r="Y72" s="23">
        <v>12.5</v>
      </c>
      <c r="Z72" s="23">
        <v>150.0</v>
      </c>
      <c r="AD72" s="23">
        <v>0.0</v>
      </c>
      <c r="AH72" s="23">
        <v>0.0</v>
      </c>
      <c r="AL72" s="23">
        <v>0.0</v>
      </c>
      <c r="AP72" s="23">
        <v>0.0</v>
      </c>
      <c r="AT72" s="23">
        <v>0.0</v>
      </c>
      <c r="AX72" s="23">
        <v>0.0</v>
      </c>
      <c r="BF72" s="23">
        <v>0.0</v>
      </c>
      <c r="BJ72" s="23">
        <v>0.0</v>
      </c>
      <c r="BN72" s="23">
        <v>0.0</v>
      </c>
      <c r="BO72" s="23">
        <v>359.83</v>
      </c>
      <c r="BP72" s="16" t="s">
        <v>555</v>
      </c>
      <c r="BQ72" s="16" t="b">
        <v>1</v>
      </c>
      <c r="BR72" s="23">
        <v>359.83</v>
      </c>
      <c r="BS72" s="23">
        <v>755641.0</v>
      </c>
      <c r="BT72" s="16" t="b">
        <v>1</v>
      </c>
      <c r="BU72" s="16" t="s">
        <v>546</v>
      </c>
    </row>
    <row r="73">
      <c r="A73" s="16" t="s">
        <v>558</v>
      </c>
      <c r="B73" s="16" t="s">
        <v>35</v>
      </c>
      <c r="C73" s="22">
        <v>45316.0</v>
      </c>
      <c r="D73" s="16" t="s">
        <v>559</v>
      </c>
      <c r="F73" s="16" t="s">
        <v>195</v>
      </c>
      <c r="G73" s="16" t="s">
        <v>1073</v>
      </c>
      <c r="H73" s="23">
        <v>2.0</v>
      </c>
      <c r="I73" s="23">
        <v>17.5</v>
      </c>
      <c r="J73" s="23">
        <v>35.0</v>
      </c>
      <c r="K73" s="16" t="s">
        <v>1074</v>
      </c>
      <c r="L73" s="23">
        <v>6.0</v>
      </c>
      <c r="M73" s="23">
        <v>34.0</v>
      </c>
      <c r="N73" s="23">
        <v>204.0</v>
      </c>
      <c r="O73" s="16" t="s">
        <v>1075</v>
      </c>
      <c r="P73" s="23">
        <v>2.0</v>
      </c>
      <c r="Q73" s="23">
        <v>17.5</v>
      </c>
      <c r="R73" s="23">
        <v>35.0</v>
      </c>
      <c r="S73" s="16" t="s">
        <v>1077</v>
      </c>
      <c r="T73" s="23">
        <v>3.0</v>
      </c>
      <c r="U73" s="23">
        <v>24.0</v>
      </c>
      <c r="V73" s="23">
        <v>72.0</v>
      </c>
      <c r="W73" s="16" t="s">
        <v>1079</v>
      </c>
      <c r="X73" s="23">
        <v>25.0</v>
      </c>
      <c r="Y73" s="23">
        <v>15.0</v>
      </c>
      <c r="Z73" s="23">
        <v>375.0</v>
      </c>
      <c r="AA73" s="16" t="s">
        <v>1080</v>
      </c>
      <c r="AB73" s="23">
        <v>15.0</v>
      </c>
      <c r="AC73" s="23">
        <v>15.0</v>
      </c>
      <c r="AD73" s="23">
        <v>225.0</v>
      </c>
      <c r="AE73" s="16" t="s">
        <v>1081</v>
      </c>
      <c r="AF73" s="23">
        <v>2.0</v>
      </c>
      <c r="AG73" s="23">
        <v>44.0</v>
      </c>
      <c r="AH73" s="23">
        <v>88.0</v>
      </c>
      <c r="AI73" s="16" t="s">
        <v>1083</v>
      </c>
      <c r="AJ73" s="23">
        <v>2.0</v>
      </c>
      <c r="AK73" s="23">
        <v>16.0</v>
      </c>
      <c r="AL73" s="23">
        <v>32.0</v>
      </c>
      <c r="AM73" s="16" t="s">
        <v>1085</v>
      </c>
      <c r="AN73" s="23">
        <v>2.0</v>
      </c>
      <c r="AO73" s="23">
        <v>34.0</v>
      </c>
      <c r="AP73" s="23">
        <v>68.0</v>
      </c>
      <c r="AT73" s="23">
        <v>0.0</v>
      </c>
      <c r="AX73" s="23">
        <v>0.0</v>
      </c>
      <c r="BF73" s="23">
        <v>0.0</v>
      </c>
      <c r="BJ73" s="23">
        <v>0.0</v>
      </c>
      <c r="BN73" s="23">
        <v>0.0</v>
      </c>
      <c r="BO73" s="23">
        <v>1134.0</v>
      </c>
      <c r="BP73" s="16" t="s">
        <v>560</v>
      </c>
      <c r="BQ73" s="16" t="b">
        <v>1</v>
      </c>
      <c r="BR73" s="23">
        <v>1134.0</v>
      </c>
      <c r="BT73" s="16" t="b">
        <v>0</v>
      </c>
      <c r="BU73" s="16" t="s">
        <v>546</v>
      </c>
    </row>
    <row r="74">
      <c r="A74" s="16" t="s">
        <v>562</v>
      </c>
      <c r="B74" s="16" t="s">
        <v>35</v>
      </c>
      <c r="C74" s="22">
        <v>45316.0</v>
      </c>
      <c r="D74" s="16" t="s">
        <v>559</v>
      </c>
      <c r="E74" s="16" t="s">
        <v>564</v>
      </c>
      <c r="F74" s="16" t="s">
        <v>195</v>
      </c>
      <c r="G74" s="16" t="s">
        <v>1077</v>
      </c>
      <c r="H74" s="23">
        <v>1.0</v>
      </c>
      <c r="I74" s="23">
        <v>24.0</v>
      </c>
      <c r="J74" s="23">
        <v>24.0</v>
      </c>
      <c r="K74" s="16" t="s">
        <v>1091</v>
      </c>
      <c r="L74" s="23">
        <v>1.0</v>
      </c>
      <c r="M74" s="23">
        <v>30.0</v>
      </c>
      <c r="N74" s="23">
        <v>30.0</v>
      </c>
      <c r="R74" s="23">
        <v>0.0</v>
      </c>
      <c r="V74" s="23">
        <v>0.0</v>
      </c>
      <c r="Z74" s="23">
        <v>0.0</v>
      </c>
      <c r="AD74" s="23">
        <v>0.0</v>
      </c>
      <c r="AH74" s="23">
        <v>0.0</v>
      </c>
      <c r="AL74" s="23">
        <v>0.0</v>
      </c>
      <c r="AP74" s="23">
        <v>0.0</v>
      </c>
      <c r="AT74" s="23">
        <v>0.0</v>
      </c>
      <c r="AX74" s="23">
        <v>0.0</v>
      </c>
      <c r="BF74" s="23">
        <v>0.0</v>
      </c>
      <c r="BJ74" s="23">
        <v>0.0</v>
      </c>
      <c r="BN74" s="23">
        <v>0.0</v>
      </c>
      <c r="BO74" s="23">
        <v>54.0</v>
      </c>
      <c r="BP74" s="16" t="s">
        <v>565</v>
      </c>
      <c r="BQ74" s="16" t="b">
        <v>1</v>
      </c>
      <c r="BR74" s="23">
        <v>54.0</v>
      </c>
      <c r="BT74" s="16" t="b">
        <v>0</v>
      </c>
      <c r="BU74" s="16" t="s">
        <v>546</v>
      </c>
    </row>
    <row r="75">
      <c r="A75" s="16" t="s">
        <v>566</v>
      </c>
      <c r="B75" s="16" t="s">
        <v>35</v>
      </c>
      <c r="C75" s="22">
        <v>45316.0</v>
      </c>
      <c r="D75" s="16" t="s">
        <v>559</v>
      </c>
      <c r="F75" s="16" t="s">
        <v>569</v>
      </c>
      <c r="G75" s="16" t="s">
        <v>1098</v>
      </c>
      <c r="H75" s="23">
        <v>1.0</v>
      </c>
      <c r="I75" s="23">
        <v>17.82</v>
      </c>
      <c r="J75" s="23">
        <v>17.82</v>
      </c>
      <c r="N75" s="23">
        <v>0.0</v>
      </c>
      <c r="R75" s="23">
        <v>0.0</v>
      </c>
      <c r="V75" s="23">
        <v>0.0</v>
      </c>
      <c r="Z75" s="23">
        <v>0.0</v>
      </c>
      <c r="AD75" s="23">
        <v>0.0</v>
      </c>
      <c r="AH75" s="23">
        <v>0.0</v>
      </c>
      <c r="AL75" s="23">
        <v>0.0</v>
      </c>
      <c r="AP75" s="23">
        <v>0.0</v>
      </c>
      <c r="AT75" s="23">
        <v>0.0</v>
      </c>
      <c r="AX75" s="23">
        <v>0.0</v>
      </c>
      <c r="BF75" s="23">
        <v>0.0</v>
      </c>
      <c r="BJ75" s="23">
        <v>0.0</v>
      </c>
      <c r="BN75" s="23">
        <v>0.0</v>
      </c>
      <c r="BO75" s="23">
        <v>17.82</v>
      </c>
      <c r="BP75" s="16" t="s">
        <v>568</v>
      </c>
      <c r="BQ75" s="16" t="b">
        <v>1</v>
      </c>
      <c r="BR75" s="23">
        <v>17.82</v>
      </c>
      <c r="BT75" s="16" t="b">
        <v>0</v>
      </c>
      <c r="BU75" s="16" t="s">
        <v>546</v>
      </c>
    </row>
    <row r="76">
      <c r="A76" s="16" t="s">
        <v>571</v>
      </c>
      <c r="B76" s="16" t="s">
        <v>35</v>
      </c>
      <c r="C76" s="22">
        <v>45317.0</v>
      </c>
      <c r="D76" s="16" t="s">
        <v>543</v>
      </c>
      <c r="F76" s="16" t="s">
        <v>140</v>
      </c>
      <c r="G76" s="16">
        <v>1.2539885E7</v>
      </c>
      <c r="H76" s="23">
        <v>14.0</v>
      </c>
      <c r="I76" s="23">
        <v>20.0</v>
      </c>
      <c r="J76" s="23">
        <v>280.0</v>
      </c>
      <c r="N76" s="23">
        <v>0.0</v>
      </c>
      <c r="R76" s="23">
        <v>0.0</v>
      </c>
      <c r="V76" s="23">
        <v>0.0</v>
      </c>
      <c r="Z76" s="23">
        <v>0.0</v>
      </c>
      <c r="AD76" s="23">
        <v>0.0</v>
      </c>
      <c r="AH76" s="23">
        <v>0.0</v>
      </c>
      <c r="AL76" s="23">
        <v>0.0</v>
      </c>
      <c r="AP76" s="23">
        <v>0.0</v>
      </c>
      <c r="AT76" s="23">
        <v>0.0</v>
      </c>
      <c r="AX76" s="23">
        <v>0.0</v>
      </c>
      <c r="BF76" s="23">
        <v>0.0</v>
      </c>
      <c r="BJ76" s="23">
        <v>0.0</v>
      </c>
      <c r="BN76" s="23">
        <v>0.0</v>
      </c>
      <c r="BO76" s="23">
        <v>280.0</v>
      </c>
      <c r="BP76" s="16" t="s">
        <v>573</v>
      </c>
      <c r="BQ76" s="16" t="b">
        <v>1</v>
      </c>
      <c r="BR76" s="23">
        <v>280.0</v>
      </c>
      <c r="BT76" s="16" t="b">
        <v>0</v>
      </c>
      <c r="BU76" s="16" t="s">
        <v>546</v>
      </c>
    </row>
    <row r="77">
      <c r="A77" s="16" t="s">
        <v>575</v>
      </c>
      <c r="B77" s="16" t="s">
        <v>35</v>
      </c>
      <c r="C77" s="22">
        <v>45318.0</v>
      </c>
      <c r="D77" s="16" t="s">
        <v>112</v>
      </c>
      <c r="F77" s="16" t="s">
        <v>157</v>
      </c>
      <c r="G77" s="16" t="s">
        <v>226</v>
      </c>
      <c r="H77" s="23">
        <v>6.0</v>
      </c>
      <c r="I77" s="23">
        <v>8.0</v>
      </c>
      <c r="J77" s="23">
        <v>48.0</v>
      </c>
      <c r="K77" s="16" t="s">
        <v>152</v>
      </c>
      <c r="L77" s="23">
        <v>1.0</v>
      </c>
      <c r="M77" s="23">
        <v>13.32</v>
      </c>
      <c r="N77" s="23">
        <v>13.32</v>
      </c>
      <c r="O77" s="16" t="s">
        <v>230</v>
      </c>
      <c r="P77" s="23">
        <v>1.0</v>
      </c>
      <c r="Q77" s="23">
        <v>146.4</v>
      </c>
      <c r="R77" s="23">
        <v>146.4</v>
      </c>
      <c r="S77" s="16" t="s">
        <v>155</v>
      </c>
      <c r="T77" s="23">
        <v>1.0</v>
      </c>
      <c r="U77" s="23">
        <v>37.97</v>
      </c>
      <c r="V77" s="23">
        <v>37.97</v>
      </c>
      <c r="W77" s="16" t="s">
        <v>159</v>
      </c>
      <c r="X77" s="23">
        <v>15.0</v>
      </c>
      <c r="Y77" s="23">
        <v>12.5</v>
      </c>
      <c r="Z77" s="23">
        <v>187.5</v>
      </c>
      <c r="AD77" s="23">
        <v>0.0</v>
      </c>
      <c r="AH77" s="23">
        <v>0.0</v>
      </c>
      <c r="AL77" s="23">
        <v>0.0</v>
      </c>
      <c r="AP77" s="23">
        <v>0.0</v>
      </c>
      <c r="AT77" s="23">
        <v>0.0</v>
      </c>
      <c r="AX77" s="23">
        <v>0.0</v>
      </c>
      <c r="BF77" s="23">
        <v>0.0</v>
      </c>
      <c r="BJ77" s="23">
        <v>0.0</v>
      </c>
      <c r="BN77" s="23">
        <v>0.0</v>
      </c>
      <c r="BO77" s="23">
        <v>433.19</v>
      </c>
      <c r="BP77" s="16" t="s">
        <v>577</v>
      </c>
      <c r="BQ77" s="16" t="b">
        <v>1</v>
      </c>
      <c r="BR77" s="23">
        <v>433.19</v>
      </c>
      <c r="BS77" s="23">
        <v>755656.0</v>
      </c>
      <c r="BT77" s="16" t="b">
        <v>1</v>
      </c>
      <c r="BU77" s="16" t="s">
        <v>546</v>
      </c>
    </row>
    <row r="78">
      <c r="A78" s="16" t="s">
        <v>579</v>
      </c>
      <c r="B78" s="16" t="s">
        <v>35</v>
      </c>
      <c r="C78" s="22">
        <v>45320.0</v>
      </c>
      <c r="D78" s="16" t="s">
        <v>460</v>
      </c>
      <c r="F78" s="16" t="s">
        <v>23</v>
      </c>
      <c r="G78" s="16" t="s">
        <v>305</v>
      </c>
      <c r="H78" s="16">
        <v>1.0</v>
      </c>
      <c r="I78" s="23">
        <v>122.5</v>
      </c>
      <c r="J78" s="23">
        <v>122.5</v>
      </c>
      <c r="BO78" s="23">
        <v>122.5</v>
      </c>
      <c r="BR78" s="23">
        <v>122.5</v>
      </c>
      <c r="BU78" s="16" t="s">
        <v>539</v>
      </c>
    </row>
    <row r="79">
      <c r="A79" s="16" t="s">
        <v>583</v>
      </c>
      <c r="B79" s="16" t="s">
        <v>35</v>
      </c>
      <c r="C79" s="22">
        <v>45320.0</v>
      </c>
      <c r="D79" s="16" t="s">
        <v>460</v>
      </c>
      <c r="F79" s="16" t="s">
        <v>584</v>
      </c>
      <c r="G79" s="16" t="s">
        <v>1121</v>
      </c>
      <c r="H79" s="16">
        <v>1.0</v>
      </c>
      <c r="I79" s="23">
        <v>459.4</v>
      </c>
      <c r="J79" s="23">
        <v>459.4</v>
      </c>
      <c r="BO79" s="23">
        <v>459.4</v>
      </c>
      <c r="BR79" s="23">
        <v>459.4</v>
      </c>
      <c r="BU79" s="16" t="s">
        <v>539</v>
      </c>
    </row>
    <row r="80">
      <c r="A80" s="16" t="s">
        <v>587</v>
      </c>
      <c r="B80" s="16" t="s">
        <v>35</v>
      </c>
      <c r="C80" s="22">
        <v>45320.0</v>
      </c>
      <c r="D80" s="16" t="s">
        <v>460</v>
      </c>
      <c r="F80" s="16" t="s">
        <v>589</v>
      </c>
      <c r="G80" s="16" t="s">
        <v>1126</v>
      </c>
      <c r="H80" s="16">
        <v>1.0</v>
      </c>
      <c r="I80" s="23">
        <v>30.0</v>
      </c>
      <c r="J80" s="23">
        <v>30.0</v>
      </c>
      <c r="BO80" s="23">
        <v>30.0</v>
      </c>
      <c r="BR80" s="23">
        <v>30.0</v>
      </c>
      <c r="BU80" s="16" t="s">
        <v>539</v>
      </c>
    </row>
    <row r="81">
      <c r="A81" s="16" t="s">
        <v>592</v>
      </c>
      <c r="B81" s="16" t="s">
        <v>35</v>
      </c>
      <c r="C81" s="22">
        <v>45320.0</v>
      </c>
      <c r="D81" s="16" t="s">
        <v>137</v>
      </c>
      <c r="F81" s="16" t="s">
        <v>140</v>
      </c>
      <c r="G81" s="16">
        <v>1.2539885E7</v>
      </c>
      <c r="H81" s="23">
        <v>13.0</v>
      </c>
      <c r="I81" s="23">
        <v>20.0</v>
      </c>
      <c r="J81" s="23">
        <v>260.0</v>
      </c>
      <c r="N81" s="23">
        <v>0.0</v>
      </c>
      <c r="R81" s="23">
        <v>0.0</v>
      </c>
      <c r="V81" s="23">
        <v>0.0</v>
      </c>
      <c r="Z81" s="23">
        <v>0.0</v>
      </c>
      <c r="AD81" s="23">
        <v>0.0</v>
      </c>
      <c r="AH81" s="23">
        <v>0.0</v>
      </c>
      <c r="AL81" s="23">
        <v>0.0</v>
      </c>
      <c r="AP81" s="23">
        <v>0.0</v>
      </c>
      <c r="AT81" s="23">
        <v>0.0</v>
      </c>
      <c r="AX81" s="23">
        <v>0.0</v>
      </c>
      <c r="BF81" s="23">
        <v>0.0</v>
      </c>
      <c r="BJ81" s="23">
        <v>0.0</v>
      </c>
      <c r="BN81" s="23">
        <v>0.0</v>
      </c>
      <c r="BO81" s="23">
        <v>260.0</v>
      </c>
      <c r="BP81" s="16" t="s">
        <v>593</v>
      </c>
      <c r="BQ81" s="16" t="b">
        <v>1</v>
      </c>
      <c r="BR81" s="23">
        <v>260.0</v>
      </c>
      <c r="BS81" s="23">
        <v>758676.0</v>
      </c>
      <c r="BT81" s="16" t="b">
        <v>1</v>
      </c>
      <c r="BU81" s="16" t="s">
        <v>546</v>
      </c>
    </row>
    <row r="82">
      <c r="A82" s="16" t="s">
        <v>594</v>
      </c>
      <c r="B82" s="16" t="s">
        <v>35</v>
      </c>
      <c r="C82" s="22">
        <v>45320.0</v>
      </c>
      <c r="D82" s="16" t="s">
        <v>595</v>
      </c>
      <c r="F82" s="16" t="s">
        <v>598</v>
      </c>
      <c r="G82" s="16" t="s">
        <v>1136</v>
      </c>
      <c r="H82" s="23">
        <v>1.0</v>
      </c>
      <c r="I82" s="23">
        <v>130.0</v>
      </c>
      <c r="J82" s="23">
        <v>130.0</v>
      </c>
      <c r="N82" s="23">
        <v>0.0</v>
      </c>
      <c r="R82" s="23">
        <v>0.0</v>
      </c>
      <c r="V82" s="23">
        <v>0.0</v>
      </c>
      <c r="Z82" s="23">
        <v>0.0</v>
      </c>
      <c r="AD82" s="23">
        <v>0.0</v>
      </c>
      <c r="AH82" s="23">
        <v>0.0</v>
      </c>
      <c r="AL82" s="23">
        <v>0.0</v>
      </c>
      <c r="AP82" s="23">
        <v>0.0</v>
      </c>
      <c r="AT82" s="23">
        <v>0.0</v>
      </c>
      <c r="AX82" s="23">
        <v>0.0</v>
      </c>
      <c r="BF82" s="23">
        <v>0.0</v>
      </c>
      <c r="BJ82" s="23">
        <v>0.0</v>
      </c>
      <c r="BN82" s="23">
        <v>0.0</v>
      </c>
      <c r="BO82" s="23">
        <v>130.0</v>
      </c>
      <c r="BP82" s="16" t="s">
        <v>596</v>
      </c>
      <c r="BQ82" s="16" t="b">
        <v>1</v>
      </c>
      <c r="BR82" s="23">
        <v>130.0</v>
      </c>
      <c r="BS82" s="23">
        <v>758863.0</v>
      </c>
      <c r="BT82" s="16" t="b">
        <v>1</v>
      </c>
      <c r="BU82" s="16" t="s">
        <v>546</v>
      </c>
    </row>
    <row r="83">
      <c r="A83" s="16" t="s">
        <v>601</v>
      </c>
      <c r="B83" s="16" t="s">
        <v>35</v>
      </c>
      <c r="C83" s="22">
        <v>45313.0</v>
      </c>
      <c r="D83" s="23">
        <v>6.8893939E7</v>
      </c>
      <c r="F83" s="16" t="s">
        <v>605</v>
      </c>
      <c r="G83" s="16" t="s">
        <v>1145</v>
      </c>
      <c r="H83" s="23">
        <v>1.0</v>
      </c>
      <c r="I83" s="23">
        <v>2496.99</v>
      </c>
      <c r="J83" s="23">
        <v>2496.99</v>
      </c>
      <c r="N83" s="23">
        <v>0.0</v>
      </c>
      <c r="R83" s="23">
        <v>0.0</v>
      </c>
      <c r="V83" s="23">
        <v>0.0</v>
      </c>
      <c r="Z83" s="23">
        <v>0.0</v>
      </c>
      <c r="AD83" s="23">
        <v>0.0</v>
      </c>
      <c r="AH83" s="23">
        <v>0.0</v>
      </c>
      <c r="AL83" s="23">
        <v>0.0</v>
      </c>
      <c r="AP83" s="23">
        <v>0.0</v>
      </c>
      <c r="AT83" s="23">
        <v>0.0</v>
      </c>
      <c r="AX83" s="23">
        <v>0.0</v>
      </c>
      <c r="BF83" s="23">
        <v>0.0</v>
      </c>
      <c r="BJ83" s="23">
        <v>0.0</v>
      </c>
      <c r="BN83" s="23">
        <v>0.0</v>
      </c>
      <c r="BO83" s="23">
        <v>2496.99</v>
      </c>
      <c r="BP83" s="16" t="s">
        <v>604</v>
      </c>
      <c r="BQ83" s="16" t="b">
        <v>1</v>
      </c>
      <c r="BR83" s="23">
        <v>2496.99</v>
      </c>
      <c r="BT83" s="16" t="b">
        <v>0</v>
      </c>
      <c r="BU83" s="16" t="s">
        <v>546</v>
      </c>
    </row>
    <row r="84">
      <c r="A84" s="16" t="s">
        <v>608</v>
      </c>
      <c r="B84" s="16" t="s">
        <v>35</v>
      </c>
      <c r="C84" s="22">
        <v>45321.0</v>
      </c>
      <c r="D84" s="16" t="s">
        <v>609</v>
      </c>
      <c r="F84" s="16" t="s">
        <v>611</v>
      </c>
      <c r="G84" s="16" t="s">
        <v>1152</v>
      </c>
      <c r="H84" s="16">
        <v>1.0</v>
      </c>
      <c r="I84" s="23">
        <v>96.62</v>
      </c>
      <c r="J84" s="23">
        <v>96.62</v>
      </c>
      <c r="BO84" s="23">
        <v>96.62</v>
      </c>
      <c r="BR84" s="23">
        <v>96.62</v>
      </c>
      <c r="BU84" s="16" t="s">
        <v>539</v>
      </c>
    </row>
    <row r="85">
      <c r="A85" s="16" t="s">
        <v>614</v>
      </c>
      <c r="B85" s="16" t="s">
        <v>35</v>
      </c>
      <c r="C85" s="22">
        <v>45321.0</v>
      </c>
      <c r="D85" s="16" t="s">
        <v>616</v>
      </c>
      <c r="F85" s="16" t="s">
        <v>617</v>
      </c>
      <c r="G85" s="16" t="s">
        <v>1159</v>
      </c>
      <c r="H85" s="16">
        <v>1.0</v>
      </c>
      <c r="I85" s="23">
        <v>1189.27</v>
      </c>
      <c r="J85" s="23">
        <v>1189.27</v>
      </c>
      <c r="BO85" s="23">
        <v>1189.27</v>
      </c>
      <c r="BR85" s="23">
        <v>1189.27</v>
      </c>
      <c r="BU85" s="16" t="s">
        <v>539</v>
      </c>
    </row>
    <row r="86">
      <c r="A86" s="16" t="s">
        <v>618</v>
      </c>
      <c r="B86" s="16" t="s">
        <v>35</v>
      </c>
      <c r="C86" s="22">
        <v>45323.0</v>
      </c>
      <c r="D86" s="16" t="s">
        <v>460</v>
      </c>
      <c r="F86" s="16" t="s">
        <v>620</v>
      </c>
      <c r="G86" s="16" t="s">
        <v>1164</v>
      </c>
      <c r="H86" s="16">
        <v>1.0</v>
      </c>
      <c r="I86" s="23">
        <v>70.0</v>
      </c>
      <c r="J86" s="23">
        <v>70.0</v>
      </c>
      <c r="BO86" s="23">
        <v>70.0</v>
      </c>
      <c r="BR86" s="23">
        <v>70.0</v>
      </c>
      <c r="BU86" s="16" t="s">
        <v>539</v>
      </c>
    </row>
    <row r="87">
      <c r="A87" s="16" t="s">
        <v>621</v>
      </c>
      <c r="B87" s="16" t="s">
        <v>35</v>
      </c>
      <c r="C87" s="22">
        <v>45324.0</v>
      </c>
      <c r="F87" s="16" t="s">
        <v>623</v>
      </c>
      <c r="G87" s="16" t="s">
        <v>1168</v>
      </c>
      <c r="H87" s="16">
        <v>1.0</v>
      </c>
      <c r="I87" s="23">
        <v>200.0</v>
      </c>
      <c r="J87" s="23">
        <v>200.0</v>
      </c>
      <c r="BO87" s="23">
        <v>200.0</v>
      </c>
      <c r="BR87" s="23">
        <v>200.0</v>
      </c>
      <c r="BU87" s="16" t="s">
        <v>539</v>
      </c>
      <c r="BV87" s="16" t="s">
        <v>624</v>
      </c>
      <c r="BW87" s="16"/>
      <c r="BX87" s="16"/>
      <c r="BY87" s="16"/>
    </row>
    <row r="88">
      <c r="A88" s="16" t="s">
        <v>625</v>
      </c>
      <c r="B88" s="16" t="s">
        <v>35</v>
      </c>
      <c r="C88" s="22">
        <v>45322.0</v>
      </c>
      <c r="D88" s="16" t="s">
        <v>112</v>
      </c>
      <c r="F88" s="16" t="s">
        <v>45</v>
      </c>
      <c r="G88" s="16" t="s">
        <v>226</v>
      </c>
      <c r="H88" s="23">
        <v>5.0</v>
      </c>
      <c r="I88" s="23">
        <v>8.3</v>
      </c>
      <c r="J88" s="23">
        <v>41.5</v>
      </c>
      <c r="K88" s="16" t="s">
        <v>152</v>
      </c>
      <c r="L88" s="23">
        <v>1.0</v>
      </c>
      <c r="M88" s="23">
        <v>13.65</v>
      </c>
      <c r="N88" s="23">
        <v>13.65</v>
      </c>
      <c r="O88" s="16" t="s">
        <v>230</v>
      </c>
      <c r="P88" s="23">
        <v>1.0</v>
      </c>
      <c r="Q88" s="23">
        <v>203.0</v>
      </c>
      <c r="R88" s="23">
        <v>203.0</v>
      </c>
      <c r="S88" s="16" t="s">
        <v>155</v>
      </c>
      <c r="T88" s="23">
        <v>1.0</v>
      </c>
      <c r="U88" s="23">
        <v>37.3</v>
      </c>
      <c r="V88" s="23">
        <v>37.3</v>
      </c>
      <c r="Z88" s="23">
        <v>0.0</v>
      </c>
      <c r="AD88" s="23">
        <v>0.0</v>
      </c>
      <c r="AH88" s="23">
        <v>0.0</v>
      </c>
      <c r="AL88" s="23">
        <v>0.0</v>
      </c>
      <c r="AP88" s="23">
        <v>0.0</v>
      </c>
      <c r="AT88" s="23">
        <v>0.0</v>
      </c>
      <c r="AX88" s="23">
        <v>0.0</v>
      </c>
      <c r="BF88" s="23">
        <v>0.0</v>
      </c>
      <c r="BJ88" s="23">
        <v>0.0</v>
      </c>
      <c r="BN88" s="23">
        <v>0.0</v>
      </c>
      <c r="BO88" s="23">
        <v>295.45</v>
      </c>
      <c r="BP88" s="16" t="s">
        <v>626</v>
      </c>
      <c r="BQ88" s="16" t="b">
        <v>1</v>
      </c>
      <c r="BR88" s="23">
        <v>295.45</v>
      </c>
      <c r="BS88" s="23">
        <v>761685.0</v>
      </c>
      <c r="BT88" s="16" t="b">
        <v>1</v>
      </c>
      <c r="BU88" s="16" t="s">
        <v>546</v>
      </c>
    </row>
    <row r="89">
      <c r="A89" s="16" t="s">
        <v>628</v>
      </c>
      <c r="B89" s="16" t="s">
        <v>35</v>
      </c>
      <c r="C89" s="22">
        <v>45322.0</v>
      </c>
      <c r="D89" s="16" t="s">
        <v>137</v>
      </c>
      <c r="F89" s="16" t="s">
        <v>59</v>
      </c>
      <c r="G89" s="16">
        <v>1.2539885E7</v>
      </c>
      <c r="H89" s="23">
        <v>20.0</v>
      </c>
      <c r="I89" s="23">
        <v>20.0</v>
      </c>
      <c r="J89" s="23">
        <v>400.0</v>
      </c>
      <c r="N89" s="23">
        <v>0.0</v>
      </c>
      <c r="R89" s="23">
        <v>0.0</v>
      </c>
      <c r="V89" s="23">
        <v>0.0</v>
      </c>
      <c r="Z89" s="23">
        <v>0.0</v>
      </c>
      <c r="AD89" s="23">
        <v>0.0</v>
      </c>
      <c r="AH89" s="23">
        <v>0.0</v>
      </c>
      <c r="AL89" s="23">
        <v>0.0</v>
      </c>
      <c r="AP89" s="23">
        <v>0.0</v>
      </c>
      <c r="AT89" s="23">
        <v>0.0</v>
      </c>
      <c r="AX89" s="23">
        <v>0.0</v>
      </c>
      <c r="BF89" s="23">
        <v>0.0</v>
      </c>
      <c r="BJ89" s="23">
        <v>0.0</v>
      </c>
      <c r="BN89" s="23">
        <v>0.0</v>
      </c>
      <c r="BO89" s="23">
        <v>400.0</v>
      </c>
      <c r="BP89" s="16" t="s">
        <v>630</v>
      </c>
      <c r="BQ89" s="16" t="b">
        <v>1</v>
      </c>
      <c r="BR89" s="23">
        <v>400.0</v>
      </c>
      <c r="BS89" s="23">
        <v>761201.0</v>
      </c>
      <c r="BT89" s="16" t="b">
        <v>1</v>
      </c>
      <c r="BU89" s="16" t="s">
        <v>546</v>
      </c>
    </row>
    <row r="90">
      <c r="A90" s="16" t="s">
        <v>632</v>
      </c>
      <c r="B90" s="16" t="s">
        <v>35</v>
      </c>
      <c r="C90" s="22">
        <v>45322.0</v>
      </c>
      <c r="D90" s="16" t="s">
        <v>145</v>
      </c>
      <c r="F90" s="16" t="s">
        <v>634</v>
      </c>
      <c r="G90" s="16" t="s">
        <v>1195</v>
      </c>
      <c r="H90" s="23">
        <v>3.0</v>
      </c>
      <c r="I90" s="23">
        <v>23.0</v>
      </c>
      <c r="J90" s="23">
        <v>69.0</v>
      </c>
      <c r="K90" s="16" t="s">
        <v>1197</v>
      </c>
      <c r="L90" s="23">
        <v>3.0</v>
      </c>
      <c r="M90" s="23">
        <v>21.0</v>
      </c>
      <c r="N90" s="23">
        <v>63.0</v>
      </c>
      <c r="O90" s="16" t="s">
        <v>1046</v>
      </c>
      <c r="P90" s="23">
        <v>2.0</v>
      </c>
      <c r="Q90" s="23">
        <v>23.0</v>
      </c>
      <c r="R90" s="23">
        <v>46.0</v>
      </c>
      <c r="S90" s="16" t="s">
        <v>797</v>
      </c>
      <c r="T90" s="23">
        <v>1.0</v>
      </c>
      <c r="U90" s="23">
        <v>23.0</v>
      </c>
      <c r="V90" s="23">
        <v>23.0</v>
      </c>
      <c r="W90" s="16" t="s">
        <v>266</v>
      </c>
      <c r="X90" s="23">
        <v>1.0</v>
      </c>
      <c r="Y90" s="23">
        <v>19.0</v>
      </c>
      <c r="Z90" s="23">
        <v>19.0</v>
      </c>
      <c r="AD90" s="23">
        <v>0.0</v>
      </c>
      <c r="AH90" s="23">
        <v>0.0</v>
      </c>
      <c r="AL90" s="23">
        <v>0.0</v>
      </c>
      <c r="AP90" s="23">
        <v>0.0</v>
      </c>
      <c r="AT90" s="23">
        <v>0.0</v>
      </c>
      <c r="AX90" s="23">
        <v>0.0</v>
      </c>
      <c r="BF90" s="23">
        <v>0.0</v>
      </c>
      <c r="BJ90" s="23">
        <v>0.0</v>
      </c>
      <c r="BN90" s="23">
        <v>0.0</v>
      </c>
      <c r="BO90" s="23">
        <v>220.0</v>
      </c>
      <c r="BP90" s="16" t="s">
        <v>633</v>
      </c>
      <c r="BQ90" s="16" t="b">
        <v>1</v>
      </c>
      <c r="BR90" s="23">
        <v>220.0</v>
      </c>
      <c r="BS90" s="23">
        <v>761250.0</v>
      </c>
      <c r="BT90" s="16" t="b">
        <v>1</v>
      </c>
      <c r="BU90" s="16" t="s">
        <v>546</v>
      </c>
    </row>
    <row r="91">
      <c r="A91" s="16" t="s">
        <v>636</v>
      </c>
      <c r="B91" s="16" t="s">
        <v>35</v>
      </c>
      <c r="C91" s="22">
        <v>45324.0</v>
      </c>
      <c r="D91" s="16" t="s">
        <v>112</v>
      </c>
      <c r="F91" s="16" t="s">
        <v>157</v>
      </c>
      <c r="G91" s="16" t="s">
        <v>226</v>
      </c>
      <c r="H91" s="23">
        <v>8.0</v>
      </c>
      <c r="I91" s="23">
        <v>9.5</v>
      </c>
      <c r="J91" s="23">
        <v>76.0</v>
      </c>
      <c r="K91" s="16" t="s">
        <v>152</v>
      </c>
      <c r="L91" s="23">
        <v>1.0</v>
      </c>
      <c r="M91" s="23">
        <v>13.64</v>
      </c>
      <c r="N91" s="23">
        <v>13.64</v>
      </c>
      <c r="O91" s="16" t="s">
        <v>230</v>
      </c>
      <c r="P91" s="23">
        <v>8.0</v>
      </c>
      <c r="Q91" s="23">
        <v>24.0</v>
      </c>
      <c r="R91" s="23">
        <v>192.0</v>
      </c>
      <c r="S91" s="16" t="s">
        <v>155</v>
      </c>
      <c r="T91" s="23">
        <v>1.0</v>
      </c>
      <c r="U91" s="23">
        <v>60.17</v>
      </c>
      <c r="V91" s="23">
        <v>60.17</v>
      </c>
      <c r="W91" s="16" t="s">
        <v>159</v>
      </c>
      <c r="X91" s="23">
        <v>15.0</v>
      </c>
      <c r="Y91" s="23">
        <v>12.0</v>
      </c>
      <c r="Z91" s="23">
        <v>180.0</v>
      </c>
      <c r="AD91" s="23">
        <v>0.0</v>
      </c>
      <c r="AH91" s="23">
        <v>0.0</v>
      </c>
      <c r="AL91" s="23">
        <v>0.0</v>
      </c>
      <c r="AP91" s="23">
        <v>0.0</v>
      </c>
      <c r="AT91" s="23">
        <v>0.0</v>
      </c>
      <c r="AX91" s="23">
        <v>0.0</v>
      </c>
      <c r="BF91" s="23">
        <v>0.0</v>
      </c>
      <c r="BJ91" s="23">
        <v>0.0</v>
      </c>
      <c r="BN91" s="23">
        <v>0.0</v>
      </c>
      <c r="BO91" s="23">
        <v>521.81</v>
      </c>
      <c r="BP91" s="16" t="s">
        <v>638</v>
      </c>
      <c r="BQ91" s="16" t="b">
        <v>1</v>
      </c>
      <c r="BR91" s="23">
        <v>521.81</v>
      </c>
      <c r="BS91" s="23">
        <v>763858.0</v>
      </c>
      <c r="BT91" s="16" t="b">
        <v>1</v>
      </c>
      <c r="BU91" s="16" t="s">
        <v>546</v>
      </c>
    </row>
    <row r="92">
      <c r="A92" s="23">
        <v>7.98492E7</v>
      </c>
      <c r="B92" s="16" t="s">
        <v>35</v>
      </c>
      <c r="C92" s="22">
        <v>45326.0</v>
      </c>
      <c r="D92" s="16" t="s">
        <v>137</v>
      </c>
      <c r="F92" s="16" t="s">
        <v>641</v>
      </c>
      <c r="G92" s="16">
        <v>1.2539885E7</v>
      </c>
      <c r="H92" s="23">
        <v>10.0</v>
      </c>
      <c r="I92" s="23">
        <v>20.0</v>
      </c>
      <c r="J92" s="23">
        <v>200.0</v>
      </c>
      <c r="N92" s="23">
        <v>0.0</v>
      </c>
      <c r="R92" s="23">
        <v>0.0</v>
      </c>
      <c r="V92" s="23">
        <v>0.0</v>
      </c>
      <c r="Z92" s="23">
        <v>0.0</v>
      </c>
      <c r="AD92" s="23">
        <v>0.0</v>
      </c>
      <c r="AH92" s="23">
        <v>0.0</v>
      </c>
      <c r="AL92" s="23">
        <v>0.0</v>
      </c>
      <c r="AP92" s="23">
        <v>0.0</v>
      </c>
      <c r="AT92" s="23">
        <v>0.0</v>
      </c>
      <c r="AX92" s="23">
        <v>0.0</v>
      </c>
      <c r="BF92" s="23">
        <v>0.0</v>
      </c>
      <c r="BJ92" s="23">
        <v>0.0</v>
      </c>
      <c r="BN92" s="23">
        <v>0.0</v>
      </c>
      <c r="BO92" s="23">
        <v>200.0</v>
      </c>
      <c r="BP92" s="16" t="s">
        <v>640</v>
      </c>
      <c r="BQ92" s="16" t="b">
        <v>1</v>
      </c>
      <c r="BR92" s="23">
        <v>200.0</v>
      </c>
      <c r="BS92" s="23">
        <v>766506.0</v>
      </c>
      <c r="BT92" s="16" t="b">
        <v>1</v>
      </c>
      <c r="BU92" s="16" t="s">
        <v>546</v>
      </c>
    </row>
    <row r="93">
      <c r="A93" s="16" t="s">
        <v>644</v>
      </c>
      <c r="B93" s="16" t="s">
        <v>35</v>
      </c>
      <c r="C93" s="22">
        <v>45328.0</v>
      </c>
      <c r="F93" s="16" t="s">
        <v>645</v>
      </c>
      <c r="G93" s="16" t="s">
        <v>1239</v>
      </c>
      <c r="H93" s="16">
        <v>1.0</v>
      </c>
      <c r="I93" s="23">
        <v>2547.13</v>
      </c>
      <c r="J93" s="23">
        <v>2547.13</v>
      </c>
      <c r="BO93" s="23">
        <v>2547.13</v>
      </c>
      <c r="BR93" s="23">
        <v>2547.13</v>
      </c>
      <c r="BU93" s="16" t="s">
        <v>539</v>
      </c>
      <c r="BV93" s="16" t="s">
        <v>624</v>
      </c>
      <c r="BW93" s="16"/>
      <c r="BX93" s="16"/>
      <c r="BY93" s="16"/>
    </row>
    <row r="94">
      <c r="A94" s="16" t="s">
        <v>646</v>
      </c>
      <c r="B94" s="16" t="s">
        <v>35</v>
      </c>
      <c r="C94" s="22">
        <v>45328.0</v>
      </c>
      <c r="F94" s="16" t="s">
        <v>645</v>
      </c>
      <c r="G94" s="16" t="s">
        <v>1239</v>
      </c>
      <c r="H94" s="16">
        <v>1.0</v>
      </c>
      <c r="I94" s="23">
        <v>1720.89</v>
      </c>
      <c r="J94" s="23">
        <v>1720.89</v>
      </c>
      <c r="BO94" s="23">
        <v>1720.89</v>
      </c>
      <c r="BR94" s="23">
        <v>1720.89</v>
      </c>
      <c r="BU94" s="16" t="s">
        <v>539</v>
      </c>
      <c r="BV94" s="16" t="s">
        <v>648</v>
      </c>
      <c r="BW94" s="16"/>
      <c r="BX94" s="16"/>
      <c r="BY94" s="16"/>
    </row>
    <row r="95">
      <c r="A95" s="16" t="s">
        <v>650</v>
      </c>
      <c r="B95" s="16" t="s">
        <v>35</v>
      </c>
      <c r="C95" s="22">
        <v>45328.0</v>
      </c>
      <c r="F95" s="16" t="s">
        <v>645</v>
      </c>
      <c r="G95" s="16" t="s">
        <v>1239</v>
      </c>
      <c r="H95" s="16">
        <v>1.0</v>
      </c>
      <c r="I95" s="23">
        <v>266.13</v>
      </c>
      <c r="J95" s="23">
        <v>266.13</v>
      </c>
      <c r="BO95" s="23">
        <v>266.13</v>
      </c>
      <c r="BR95" s="23">
        <v>266.13</v>
      </c>
      <c r="BU95" s="16" t="s">
        <v>539</v>
      </c>
      <c r="BV95" s="16" t="s">
        <v>651</v>
      </c>
      <c r="BW95" s="16"/>
      <c r="BX95" s="16"/>
      <c r="BY95" s="16"/>
    </row>
    <row r="96">
      <c r="A96" s="16" t="s">
        <v>653</v>
      </c>
      <c r="B96" s="16" t="s">
        <v>35</v>
      </c>
      <c r="C96" s="22">
        <v>45328.0</v>
      </c>
      <c r="F96" s="16" t="s">
        <v>654</v>
      </c>
      <c r="G96" s="16" t="s">
        <v>1259</v>
      </c>
      <c r="H96" s="16">
        <v>1.0</v>
      </c>
      <c r="I96" s="23">
        <v>3089.49</v>
      </c>
      <c r="J96" s="23">
        <v>3089.49</v>
      </c>
      <c r="BO96" s="23">
        <v>3089.49</v>
      </c>
      <c r="BR96" s="23">
        <v>3089.49</v>
      </c>
      <c r="BU96" s="16" t="s">
        <v>539</v>
      </c>
      <c r="BV96" s="16" t="s">
        <v>651</v>
      </c>
      <c r="BW96" s="16"/>
      <c r="BX96" s="16"/>
      <c r="BY96" s="16"/>
    </row>
    <row r="97">
      <c r="A97" s="16" t="s">
        <v>657</v>
      </c>
      <c r="B97" s="16" t="s">
        <v>35</v>
      </c>
      <c r="C97" s="22">
        <v>45328.0</v>
      </c>
      <c r="F97" s="16" t="s">
        <v>645</v>
      </c>
      <c r="G97" s="16" t="s">
        <v>1239</v>
      </c>
      <c r="H97" s="16">
        <v>1.0</v>
      </c>
      <c r="I97" s="23">
        <v>894.23</v>
      </c>
      <c r="J97" s="23">
        <v>894.23</v>
      </c>
      <c r="BO97" s="23">
        <v>894.23</v>
      </c>
      <c r="BR97" s="23">
        <v>894.23</v>
      </c>
      <c r="BU97" s="16" t="s">
        <v>539</v>
      </c>
      <c r="BV97" s="16" t="s">
        <v>658</v>
      </c>
      <c r="BW97" s="16"/>
      <c r="BX97" s="16"/>
      <c r="BY97" s="16"/>
    </row>
    <row r="98">
      <c r="A98" s="16" t="s">
        <v>660</v>
      </c>
      <c r="B98" s="16" t="s">
        <v>35</v>
      </c>
      <c r="C98" s="22">
        <v>45328.0</v>
      </c>
      <c r="F98" s="16" t="s">
        <v>663</v>
      </c>
      <c r="G98" s="16" t="s">
        <v>1239</v>
      </c>
      <c r="H98" s="16">
        <v>1.0</v>
      </c>
      <c r="I98" s="23">
        <v>678.45</v>
      </c>
      <c r="J98" s="23">
        <v>678.45</v>
      </c>
      <c r="BO98" s="23">
        <v>678.45</v>
      </c>
      <c r="BR98" s="23">
        <v>678.45</v>
      </c>
      <c r="BU98" s="16" t="s">
        <v>539</v>
      </c>
      <c r="BV98" s="16" t="s">
        <v>664</v>
      </c>
      <c r="BW98" s="16"/>
      <c r="BX98" s="16"/>
      <c r="BY98" s="16"/>
    </row>
    <row r="99">
      <c r="A99" s="16" t="s">
        <v>665</v>
      </c>
      <c r="B99" s="16" t="s">
        <v>35</v>
      </c>
      <c r="C99" s="22">
        <v>45328.0</v>
      </c>
      <c r="F99" s="16" t="s">
        <v>666</v>
      </c>
      <c r="G99" s="16" t="s">
        <v>1270</v>
      </c>
      <c r="H99" s="16">
        <v>1.0</v>
      </c>
      <c r="I99" s="23">
        <v>10000.0</v>
      </c>
      <c r="J99" s="23">
        <v>10000.0</v>
      </c>
      <c r="BO99" s="23">
        <v>10000.0</v>
      </c>
      <c r="BR99" s="23">
        <v>10000.0</v>
      </c>
      <c r="BU99" s="16" t="s">
        <v>539</v>
      </c>
      <c r="BV99" s="16" t="s">
        <v>668</v>
      </c>
      <c r="BW99" s="16"/>
      <c r="BX99" s="16"/>
      <c r="BY99" s="16"/>
    </row>
    <row r="100">
      <c r="A100" s="16" t="s">
        <v>669</v>
      </c>
      <c r="B100" s="16" t="s">
        <v>35</v>
      </c>
      <c r="C100" s="22">
        <v>45328.0</v>
      </c>
      <c r="F100" s="16" t="s">
        <v>666</v>
      </c>
      <c r="G100" s="16" t="s">
        <v>1270</v>
      </c>
      <c r="H100" s="16">
        <v>1.0</v>
      </c>
      <c r="I100" s="23">
        <v>10000.0</v>
      </c>
      <c r="J100" s="23">
        <v>10000.0</v>
      </c>
      <c r="BO100" s="23">
        <v>10000.0</v>
      </c>
      <c r="BR100" s="23">
        <v>10000.0</v>
      </c>
      <c r="BU100" s="16" t="s">
        <v>539</v>
      </c>
      <c r="BV100" s="16" t="s">
        <v>671</v>
      </c>
      <c r="BW100" s="16"/>
      <c r="BX100" s="16"/>
      <c r="BY100" s="16"/>
    </row>
    <row r="101">
      <c r="A101" s="16" t="s">
        <v>672</v>
      </c>
      <c r="B101" s="16" t="s">
        <v>35</v>
      </c>
      <c r="C101" s="22">
        <v>45328.0</v>
      </c>
      <c r="D101" s="16" t="s">
        <v>673</v>
      </c>
      <c r="F101" s="16" t="s">
        <v>675</v>
      </c>
      <c r="G101" s="16" t="s">
        <v>1280</v>
      </c>
      <c r="H101" s="16">
        <v>1.0</v>
      </c>
      <c r="I101" s="23">
        <v>828.94</v>
      </c>
      <c r="J101" s="23">
        <v>828.94</v>
      </c>
      <c r="BO101" s="23">
        <v>828.94</v>
      </c>
      <c r="BR101" s="23">
        <v>828.94</v>
      </c>
      <c r="BU101" s="16" t="s">
        <v>539</v>
      </c>
    </row>
    <row r="102">
      <c r="A102" s="16" t="s">
        <v>677</v>
      </c>
      <c r="B102" s="16" t="s">
        <v>35</v>
      </c>
      <c r="C102" s="22">
        <v>45328.0</v>
      </c>
      <c r="F102" s="16" t="s">
        <v>680</v>
      </c>
      <c r="G102" s="16" t="s">
        <v>1270</v>
      </c>
      <c r="H102" s="16">
        <v>1.0</v>
      </c>
      <c r="I102" s="23">
        <v>10000.0</v>
      </c>
      <c r="J102" s="23">
        <v>10000.0</v>
      </c>
      <c r="BO102" s="23">
        <v>10000.0</v>
      </c>
      <c r="BR102" s="23">
        <v>10000.0</v>
      </c>
      <c r="BU102" s="16" t="s">
        <v>539</v>
      </c>
      <c r="BV102" s="16" t="s">
        <v>682</v>
      </c>
      <c r="BW102" s="16"/>
      <c r="BX102" s="16"/>
      <c r="BY102" s="16"/>
    </row>
    <row r="103">
      <c r="A103" s="16" t="s">
        <v>687</v>
      </c>
      <c r="B103" s="16" t="s">
        <v>35</v>
      </c>
      <c r="C103" s="22">
        <v>45329.0</v>
      </c>
      <c r="D103" s="16" t="s">
        <v>609</v>
      </c>
      <c r="F103" s="16" t="s">
        <v>690</v>
      </c>
      <c r="G103" s="16" t="s">
        <v>1152</v>
      </c>
      <c r="H103" s="16">
        <v>1.0</v>
      </c>
      <c r="I103" s="23">
        <v>136.72</v>
      </c>
      <c r="J103" s="23">
        <v>136.72</v>
      </c>
      <c r="BO103" s="23">
        <v>136.72</v>
      </c>
      <c r="BR103" s="23">
        <v>136.72</v>
      </c>
      <c r="BU103" s="16" t="s">
        <v>539</v>
      </c>
    </row>
    <row r="104">
      <c r="A104" s="16" t="s">
        <v>694</v>
      </c>
      <c r="B104" s="16" t="s">
        <v>35</v>
      </c>
      <c r="C104" s="22">
        <v>45329.0</v>
      </c>
      <c r="D104" s="16" t="s">
        <v>460</v>
      </c>
      <c r="F104" s="16" t="s">
        <v>695</v>
      </c>
      <c r="G104" s="16" t="s">
        <v>1291</v>
      </c>
      <c r="H104" s="16">
        <v>1.0</v>
      </c>
      <c r="I104" s="23">
        <v>45.87</v>
      </c>
      <c r="J104" s="23">
        <v>45.87</v>
      </c>
      <c r="BO104" s="23">
        <v>45.87</v>
      </c>
      <c r="BR104" s="23">
        <v>45.87</v>
      </c>
      <c r="BU104" s="16" t="s">
        <v>539</v>
      </c>
    </row>
    <row r="105">
      <c r="A105" s="16" t="s">
        <v>696</v>
      </c>
      <c r="B105" s="16" t="s">
        <v>35</v>
      </c>
      <c r="C105" s="22">
        <v>45324.0</v>
      </c>
      <c r="D105" s="16" t="s">
        <v>112</v>
      </c>
      <c r="E105" s="16" t="s">
        <v>698</v>
      </c>
      <c r="F105" s="16" t="s">
        <v>45</v>
      </c>
      <c r="G105" s="16" t="s">
        <v>226</v>
      </c>
      <c r="H105" s="23">
        <v>8.0</v>
      </c>
      <c r="I105" s="23">
        <v>9.5</v>
      </c>
      <c r="J105" s="23">
        <v>76.0</v>
      </c>
      <c r="K105" s="16" t="s">
        <v>152</v>
      </c>
      <c r="L105" s="23">
        <v>1.0</v>
      </c>
      <c r="M105" s="23">
        <v>13.64</v>
      </c>
      <c r="N105" s="23">
        <v>13.64</v>
      </c>
      <c r="O105" s="16" t="s">
        <v>230</v>
      </c>
      <c r="P105" s="23">
        <v>8.0</v>
      </c>
      <c r="Q105" s="23">
        <v>24.0</v>
      </c>
      <c r="R105" s="23">
        <v>192.0</v>
      </c>
      <c r="S105" s="16" t="s">
        <v>155</v>
      </c>
      <c r="T105" s="23">
        <v>1.0</v>
      </c>
      <c r="U105" s="23">
        <v>60.17</v>
      </c>
      <c r="V105" s="23">
        <v>60.17</v>
      </c>
      <c r="W105" s="16" t="s">
        <v>159</v>
      </c>
      <c r="X105" s="23">
        <v>15.0</v>
      </c>
      <c r="Y105" s="23">
        <v>12.0</v>
      </c>
      <c r="Z105" s="23">
        <v>180.0</v>
      </c>
      <c r="AD105" s="23">
        <v>0.0</v>
      </c>
      <c r="AH105" s="23">
        <v>0.0</v>
      </c>
      <c r="AL105" s="23">
        <v>0.0</v>
      </c>
      <c r="AP105" s="23">
        <v>0.0</v>
      </c>
      <c r="AT105" s="23">
        <v>0.0</v>
      </c>
      <c r="AX105" s="23">
        <v>0.0</v>
      </c>
      <c r="BF105" s="23">
        <v>0.0</v>
      </c>
      <c r="BJ105" s="23">
        <v>0.0</v>
      </c>
      <c r="BN105" s="23">
        <v>0.0</v>
      </c>
      <c r="BO105" s="23">
        <v>521.81</v>
      </c>
      <c r="BP105" s="16" t="s">
        <v>699</v>
      </c>
      <c r="BQ105" s="16" t="b">
        <v>1</v>
      </c>
      <c r="BR105" s="23">
        <v>521.81</v>
      </c>
      <c r="BS105" s="23">
        <v>763858.0</v>
      </c>
      <c r="BT105" s="16" t="b">
        <v>1</v>
      </c>
      <c r="BU105" s="16" t="s">
        <v>546</v>
      </c>
    </row>
    <row r="106">
      <c r="A106" s="16" t="s">
        <v>701</v>
      </c>
      <c r="B106" s="16" t="s">
        <v>35</v>
      </c>
      <c r="C106" s="22">
        <v>45324.0</v>
      </c>
      <c r="D106" s="16" t="s">
        <v>233</v>
      </c>
      <c r="E106" s="16" t="s">
        <v>702</v>
      </c>
      <c r="F106" s="16" t="s">
        <v>705</v>
      </c>
      <c r="G106" s="16" t="s">
        <v>247</v>
      </c>
      <c r="H106" s="23">
        <v>12.0</v>
      </c>
      <c r="I106" s="23">
        <v>0.99</v>
      </c>
      <c r="J106" s="23">
        <v>11.88</v>
      </c>
      <c r="K106" s="16" t="s">
        <v>691</v>
      </c>
      <c r="L106" s="23">
        <v>4.0</v>
      </c>
      <c r="M106" s="23">
        <v>7.69</v>
      </c>
      <c r="N106" s="23">
        <v>30.76</v>
      </c>
      <c r="O106" s="16" t="s">
        <v>305</v>
      </c>
      <c r="P106" s="23">
        <v>1.0</v>
      </c>
      <c r="Q106" s="23">
        <v>250.75</v>
      </c>
      <c r="R106" s="23">
        <v>250.75</v>
      </c>
      <c r="V106" s="23">
        <v>0.0</v>
      </c>
      <c r="Z106" s="23">
        <v>0.0</v>
      </c>
      <c r="AD106" s="23">
        <v>0.0</v>
      </c>
      <c r="AH106" s="23">
        <v>0.0</v>
      </c>
      <c r="AL106" s="23">
        <v>0.0</v>
      </c>
      <c r="AP106" s="23">
        <v>0.0</v>
      </c>
      <c r="AT106" s="23">
        <v>0.0</v>
      </c>
      <c r="AX106" s="23">
        <v>0.0</v>
      </c>
      <c r="BF106" s="23">
        <v>0.0</v>
      </c>
      <c r="BJ106" s="23">
        <v>0.0</v>
      </c>
      <c r="BN106" s="23">
        <v>0.0</v>
      </c>
      <c r="BO106" s="23">
        <v>293.39</v>
      </c>
      <c r="BP106" s="16" t="s">
        <v>703</v>
      </c>
      <c r="BQ106" s="16" t="b">
        <v>1</v>
      </c>
      <c r="BR106" s="23">
        <v>293.39</v>
      </c>
      <c r="BT106" s="16" t="b">
        <v>0</v>
      </c>
      <c r="BU106" s="16" t="s">
        <v>546</v>
      </c>
    </row>
    <row r="107">
      <c r="A107" s="16" t="s">
        <v>706</v>
      </c>
      <c r="B107" s="16" t="s">
        <v>35</v>
      </c>
      <c r="C107" s="22">
        <v>45328.0</v>
      </c>
      <c r="D107" s="16" t="s">
        <v>112</v>
      </c>
      <c r="E107" s="16" t="s">
        <v>707</v>
      </c>
      <c r="F107" s="16" t="s">
        <v>45</v>
      </c>
      <c r="G107" s="16" t="s">
        <v>226</v>
      </c>
      <c r="H107" s="23">
        <v>6.0</v>
      </c>
      <c r="I107" s="23">
        <v>9.3</v>
      </c>
      <c r="J107" s="23">
        <v>55.8</v>
      </c>
      <c r="K107" s="16" t="s">
        <v>230</v>
      </c>
      <c r="L107" s="23">
        <v>1.0</v>
      </c>
      <c r="M107" s="23">
        <v>100.2</v>
      </c>
      <c r="N107" s="23">
        <v>100.2</v>
      </c>
      <c r="O107" s="16" t="s">
        <v>155</v>
      </c>
      <c r="P107" s="23">
        <v>1.0</v>
      </c>
      <c r="Q107" s="23">
        <v>61.46</v>
      </c>
      <c r="R107" s="23">
        <v>61.46</v>
      </c>
      <c r="S107" s="16" t="s">
        <v>159</v>
      </c>
      <c r="T107" s="23">
        <v>15.0</v>
      </c>
      <c r="U107" s="23">
        <v>12.0</v>
      </c>
      <c r="V107" s="23">
        <v>180.0</v>
      </c>
      <c r="Z107" s="23">
        <v>0.0</v>
      </c>
      <c r="AD107" s="23">
        <v>0.0</v>
      </c>
      <c r="AH107" s="23">
        <v>0.0</v>
      </c>
      <c r="AL107" s="23">
        <v>0.0</v>
      </c>
      <c r="AP107" s="23">
        <v>0.0</v>
      </c>
      <c r="AT107" s="23">
        <v>0.0</v>
      </c>
      <c r="AX107" s="23">
        <v>0.0</v>
      </c>
      <c r="BF107" s="23">
        <v>0.0</v>
      </c>
      <c r="BJ107" s="23">
        <v>0.0</v>
      </c>
      <c r="BN107" s="23">
        <v>0.0</v>
      </c>
      <c r="BO107" s="23">
        <v>397.46</v>
      </c>
      <c r="BP107" s="16" t="s">
        <v>709</v>
      </c>
      <c r="BQ107" s="16" t="b">
        <v>1</v>
      </c>
      <c r="BR107" s="23">
        <v>397.46</v>
      </c>
      <c r="BS107" s="23">
        <v>769824.0</v>
      </c>
      <c r="BT107" s="16" t="b">
        <v>1</v>
      </c>
      <c r="BU107" s="16" t="s">
        <v>546</v>
      </c>
    </row>
    <row r="108">
      <c r="A108" s="16" t="s">
        <v>711</v>
      </c>
      <c r="B108" s="16" t="s">
        <v>35</v>
      </c>
      <c r="C108" s="22">
        <v>45328.0</v>
      </c>
      <c r="D108" s="16" t="s">
        <v>137</v>
      </c>
      <c r="E108" s="16" t="s">
        <v>713</v>
      </c>
      <c r="F108" s="16" t="s">
        <v>59</v>
      </c>
      <c r="G108" s="16">
        <v>1.2539885E7</v>
      </c>
      <c r="H108" s="23">
        <v>1.0</v>
      </c>
      <c r="I108" s="23">
        <v>400.0</v>
      </c>
      <c r="J108" s="23">
        <v>400.0</v>
      </c>
      <c r="N108" s="23">
        <v>0.0</v>
      </c>
      <c r="R108" s="23">
        <v>0.0</v>
      </c>
      <c r="V108" s="23">
        <v>0.0</v>
      </c>
      <c r="Z108" s="23">
        <v>0.0</v>
      </c>
      <c r="AD108" s="23">
        <v>0.0</v>
      </c>
      <c r="AH108" s="23">
        <v>0.0</v>
      </c>
      <c r="AL108" s="23">
        <v>0.0</v>
      </c>
      <c r="AP108" s="23">
        <v>0.0</v>
      </c>
      <c r="AT108" s="23">
        <v>0.0</v>
      </c>
      <c r="AX108" s="23">
        <v>0.0</v>
      </c>
      <c r="BF108" s="23">
        <v>0.0</v>
      </c>
      <c r="BJ108" s="23">
        <v>0.0</v>
      </c>
      <c r="BN108" s="23">
        <v>0.0</v>
      </c>
      <c r="BO108" s="23">
        <v>400.0</v>
      </c>
      <c r="BP108" s="16" t="s">
        <v>716</v>
      </c>
      <c r="BQ108" s="16" t="b">
        <v>1</v>
      </c>
      <c r="BR108" s="23">
        <v>400.0</v>
      </c>
      <c r="BS108" s="23">
        <v>769867.0</v>
      </c>
      <c r="BT108" s="16" t="b">
        <v>1</v>
      </c>
      <c r="BU108" s="16" t="s">
        <v>546</v>
      </c>
    </row>
    <row r="109">
      <c r="A109" s="16" t="s">
        <v>720</v>
      </c>
      <c r="B109" s="16" t="s">
        <v>35</v>
      </c>
      <c r="C109" s="22">
        <v>45328.0</v>
      </c>
      <c r="D109" s="16" t="s">
        <v>233</v>
      </c>
      <c r="E109" s="16" t="s">
        <v>721</v>
      </c>
      <c r="F109" s="16" t="s">
        <v>724</v>
      </c>
      <c r="G109" s="16" t="s">
        <v>1327</v>
      </c>
      <c r="H109" s="23">
        <v>1.0</v>
      </c>
      <c r="I109" s="23">
        <v>74.97</v>
      </c>
      <c r="J109" s="23">
        <v>74.97</v>
      </c>
      <c r="N109" s="23">
        <v>0.0</v>
      </c>
      <c r="R109" s="23">
        <v>0.0</v>
      </c>
      <c r="V109" s="23">
        <v>0.0</v>
      </c>
      <c r="Z109" s="23">
        <v>0.0</v>
      </c>
      <c r="AD109" s="23">
        <v>0.0</v>
      </c>
      <c r="AH109" s="23">
        <v>0.0</v>
      </c>
      <c r="AL109" s="23">
        <v>0.0</v>
      </c>
      <c r="AP109" s="23">
        <v>0.0</v>
      </c>
      <c r="AT109" s="23">
        <v>0.0</v>
      </c>
      <c r="AX109" s="23">
        <v>0.0</v>
      </c>
      <c r="BF109" s="23">
        <v>0.0</v>
      </c>
      <c r="BJ109" s="23">
        <v>0.0</v>
      </c>
      <c r="BN109" s="23">
        <v>0.0</v>
      </c>
      <c r="BO109" s="23">
        <v>74.97</v>
      </c>
      <c r="BP109" s="16" t="s">
        <v>722</v>
      </c>
      <c r="BQ109" s="16" t="b">
        <v>1</v>
      </c>
      <c r="BR109" s="23">
        <v>74.97</v>
      </c>
      <c r="BT109" s="16" t="b">
        <v>0</v>
      </c>
      <c r="BU109" s="16" t="s">
        <v>546</v>
      </c>
    </row>
    <row r="110">
      <c r="A110" s="16" t="s">
        <v>725</v>
      </c>
      <c r="B110" s="16" t="s">
        <v>35</v>
      </c>
      <c r="C110" s="22">
        <v>45330.0</v>
      </c>
      <c r="D110" s="16" t="s">
        <v>112</v>
      </c>
      <c r="E110" s="16" t="s">
        <v>726</v>
      </c>
      <c r="F110" s="16" t="s">
        <v>45</v>
      </c>
      <c r="G110" s="16" t="s">
        <v>226</v>
      </c>
      <c r="H110" s="23">
        <v>8.0</v>
      </c>
      <c r="I110" s="23">
        <v>6.5</v>
      </c>
      <c r="J110" s="23">
        <v>52.0</v>
      </c>
      <c r="K110" s="16" t="s">
        <v>152</v>
      </c>
      <c r="L110" s="23">
        <v>1.0</v>
      </c>
      <c r="M110" s="23">
        <v>16.38</v>
      </c>
      <c r="N110" s="23">
        <v>16.38</v>
      </c>
      <c r="O110" s="16" t="s">
        <v>230</v>
      </c>
      <c r="P110" s="23">
        <v>8.0</v>
      </c>
      <c r="Q110" s="23">
        <v>24.0</v>
      </c>
      <c r="R110" s="23">
        <v>192.0</v>
      </c>
      <c r="S110" s="16" t="s">
        <v>155</v>
      </c>
      <c r="T110" s="23">
        <v>1.0</v>
      </c>
      <c r="U110" s="23">
        <v>65.44</v>
      </c>
      <c r="V110" s="23">
        <v>65.44</v>
      </c>
      <c r="W110" s="16" t="s">
        <v>159</v>
      </c>
      <c r="X110" s="23">
        <v>15.0</v>
      </c>
      <c r="Y110" s="23">
        <v>12.0</v>
      </c>
      <c r="Z110" s="23">
        <v>180.0</v>
      </c>
      <c r="AD110" s="23">
        <v>0.0</v>
      </c>
      <c r="AH110" s="23">
        <v>0.0</v>
      </c>
      <c r="AL110" s="23">
        <v>0.0</v>
      </c>
      <c r="AP110" s="23">
        <v>0.0</v>
      </c>
      <c r="AT110" s="23">
        <v>0.0</v>
      </c>
      <c r="AX110" s="23">
        <v>0.0</v>
      </c>
      <c r="BF110" s="23">
        <v>0.0</v>
      </c>
      <c r="BJ110" s="23">
        <v>0.0</v>
      </c>
      <c r="BN110" s="23">
        <v>0.0</v>
      </c>
      <c r="BO110" s="23">
        <v>505.82</v>
      </c>
      <c r="BP110" s="16" t="s">
        <v>728</v>
      </c>
      <c r="BQ110" s="16" t="b">
        <v>1</v>
      </c>
      <c r="BR110" s="23">
        <v>505.82</v>
      </c>
      <c r="BS110" s="23">
        <v>772170.0</v>
      </c>
      <c r="BT110" s="16" t="b">
        <v>1</v>
      </c>
      <c r="BU110" s="16" t="s">
        <v>546</v>
      </c>
    </row>
    <row r="111">
      <c r="A111" s="16" t="s">
        <v>731</v>
      </c>
      <c r="B111" s="16" t="s">
        <v>35</v>
      </c>
      <c r="C111" s="22">
        <v>45331.0</v>
      </c>
      <c r="D111" s="16" t="s">
        <v>420</v>
      </c>
      <c r="E111" s="16" t="s">
        <v>733</v>
      </c>
      <c r="F111" s="16" t="s">
        <v>736</v>
      </c>
      <c r="G111" s="16" t="s">
        <v>1343</v>
      </c>
      <c r="H111" s="23">
        <v>25.0</v>
      </c>
      <c r="I111" s="23">
        <v>4.94</v>
      </c>
      <c r="J111" s="23">
        <v>123.5</v>
      </c>
      <c r="K111" s="16" t="s">
        <v>794</v>
      </c>
      <c r="L111" s="23">
        <v>1.0</v>
      </c>
      <c r="M111" s="23">
        <v>184.5</v>
      </c>
      <c r="N111" s="23">
        <v>184.5</v>
      </c>
      <c r="O111" s="16" t="s">
        <v>1346</v>
      </c>
      <c r="P111" s="23">
        <v>1.0</v>
      </c>
      <c r="Q111" s="23">
        <v>78.64</v>
      </c>
      <c r="R111" s="23">
        <v>78.64</v>
      </c>
      <c r="S111" s="16" t="s">
        <v>249</v>
      </c>
      <c r="T111" s="23">
        <v>1.0</v>
      </c>
      <c r="U111" s="23">
        <v>567.84</v>
      </c>
      <c r="V111" s="23">
        <v>567.84</v>
      </c>
      <c r="W111" s="16" t="s">
        <v>1350</v>
      </c>
      <c r="X111" s="23">
        <v>1.0</v>
      </c>
      <c r="Y111" s="23">
        <v>64.5</v>
      </c>
      <c r="Z111" s="23">
        <v>64.5</v>
      </c>
      <c r="AD111" s="23">
        <v>0.0</v>
      </c>
      <c r="AH111" s="23">
        <v>0.0</v>
      </c>
      <c r="AL111" s="23">
        <v>0.0</v>
      </c>
      <c r="AP111" s="23">
        <v>0.0</v>
      </c>
      <c r="AT111" s="23">
        <v>0.0</v>
      </c>
      <c r="AX111" s="23">
        <v>0.0</v>
      </c>
      <c r="BF111" s="23">
        <v>0.0</v>
      </c>
      <c r="BJ111" s="23">
        <v>0.0</v>
      </c>
      <c r="BN111" s="23">
        <v>0.0</v>
      </c>
      <c r="BO111" s="23">
        <v>1018.98</v>
      </c>
      <c r="BP111" s="16" t="s">
        <v>735</v>
      </c>
      <c r="BQ111" s="16" t="b">
        <v>1</v>
      </c>
      <c r="BR111" s="23">
        <v>1018.98</v>
      </c>
      <c r="BS111" s="23">
        <v>772546.0</v>
      </c>
      <c r="BT111" s="16" t="b">
        <v>1</v>
      </c>
      <c r="BU111" s="16" t="s">
        <v>546</v>
      </c>
    </row>
    <row r="112">
      <c r="A112" s="16" t="s">
        <v>739</v>
      </c>
      <c r="B112" s="16" t="s">
        <v>35</v>
      </c>
      <c r="C112" s="22">
        <v>45331.0</v>
      </c>
      <c r="D112" s="16" t="s">
        <v>137</v>
      </c>
      <c r="E112" s="16" t="s">
        <v>741</v>
      </c>
      <c r="F112" s="16" t="s">
        <v>59</v>
      </c>
      <c r="G112" s="16">
        <v>1.2539885E7</v>
      </c>
      <c r="H112" s="23">
        <v>1.0</v>
      </c>
      <c r="I112" s="23">
        <v>400.0</v>
      </c>
      <c r="J112" s="23">
        <v>400.0</v>
      </c>
      <c r="N112" s="23">
        <v>0.0</v>
      </c>
      <c r="R112" s="23">
        <v>0.0</v>
      </c>
      <c r="V112" s="23">
        <v>0.0</v>
      </c>
      <c r="Z112" s="23">
        <v>0.0</v>
      </c>
      <c r="AD112" s="23">
        <v>0.0</v>
      </c>
      <c r="AH112" s="23">
        <v>0.0</v>
      </c>
      <c r="AL112" s="23">
        <v>0.0</v>
      </c>
      <c r="AP112" s="23">
        <v>0.0</v>
      </c>
      <c r="AT112" s="23">
        <v>0.0</v>
      </c>
      <c r="AX112" s="23">
        <v>0.0</v>
      </c>
      <c r="BF112" s="23">
        <v>0.0</v>
      </c>
      <c r="BJ112" s="23">
        <v>0.0</v>
      </c>
      <c r="BN112" s="23">
        <v>0.0</v>
      </c>
      <c r="BO112" s="23">
        <v>400.0</v>
      </c>
      <c r="BP112" s="16" t="s">
        <v>743</v>
      </c>
      <c r="BQ112" s="16" t="b">
        <v>1</v>
      </c>
      <c r="BR112" s="23">
        <v>400.0</v>
      </c>
      <c r="BS112" s="23">
        <v>773371.0</v>
      </c>
      <c r="BT112" s="16" t="b">
        <v>1</v>
      </c>
      <c r="BU112" s="16" t="s">
        <v>546</v>
      </c>
    </row>
    <row r="113">
      <c r="A113" s="16" t="s">
        <v>745</v>
      </c>
      <c r="B113" s="16" t="s">
        <v>35</v>
      </c>
      <c r="C113" s="22">
        <v>45331.0</v>
      </c>
      <c r="F113" s="16" t="s">
        <v>748</v>
      </c>
      <c r="G113" s="16" t="s">
        <v>1239</v>
      </c>
      <c r="H113" s="16">
        <v>1.0</v>
      </c>
      <c r="I113" s="23">
        <v>559.51</v>
      </c>
      <c r="J113" s="23">
        <v>559.51</v>
      </c>
      <c r="BO113" s="23">
        <v>559.51</v>
      </c>
      <c r="BR113" s="23">
        <v>559.51</v>
      </c>
      <c r="BU113" s="16" t="s">
        <v>539</v>
      </c>
      <c r="BV113" s="16" t="s">
        <v>664</v>
      </c>
      <c r="BW113" s="16"/>
      <c r="BX113" s="16"/>
      <c r="BY113" s="16"/>
    </row>
    <row r="114">
      <c r="A114" s="16" t="s">
        <v>752</v>
      </c>
      <c r="B114" s="16" t="s">
        <v>35</v>
      </c>
      <c r="C114" s="22">
        <v>45332.0</v>
      </c>
      <c r="D114" s="16" t="s">
        <v>112</v>
      </c>
      <c r="E114" s="16" t="s">
        <v>754</v>
      </c>
      <c r="F114" s="16" t="s">
        <v>45</v>
      </c>
      <c r="G114" s="16" t="s">
        <v>226</v>
      </c>
      <c r="H114" s="23">
        <v>8.0</v>
      </c>
      <c r="I114" s="23">
        <v>6.5</v>
      </c>
      <c r="J114" s="23">
        <v>52.0</v>
      </c>
      <c r="K114" s="16" t="s">
        <v>152</v>
      </c>
      <c r="L114" s="23">
        <v>1.0</v>
      </c>
      <c r="M114" s="23">
        <v>15.6</v>
      </c>
      <c r="N114" s="23">
        <v>15.6</v>
      </c>
      <c r="O114" s="16" t="s">
        <v>230</v>
      </c>
      <c r="P114" s="23">
        <v>5.0</v>
      </c>
      <c r="Q114" s="23">
        <v>23.0</v>
      </c>
      <c r="R114" s="23">
        <v>115.0</v>
      </c>
      <c r="S114" s="16" t="s">
        <v>155</v>
      </c>
      <c r="T114" s="23">
        <v>1.0</v>
      </c>
      <c r="U114" s="23">
        <v>39.1</v>
      </c>
      <c r="V114" s="23">
        <v>39.1</v>
      </c>
      <c r="W114" s="16" t="s">
        <v>159</v>
      </c>
      <c r="X114" s="23">
        <v>10.0</v>
      </c>
      <c r="Y114" s="23">
        <v>12.0</v>
      </c>
      <c r="Z114" s="23">
        <v>120.0</v>
      </c>
      <c r="AD114" s="23">
        <v>0.0</v>
      </c>
      <c r="AH114" s="23">
        <v>0.0</v>
      </c>
      <c r="AL114" s="23">
        <v>0.0</v>
      </c>
      <c r="AP114" s="23">
        <v>0.0</v>
      </c>
      <c r="AT114" s="23">
        <v>0.0</v>
      </c>
      <c r="AX114" s="23">
        <v>0.0</v>
      </c>
      <c r="BF114" s="23">
        <v>0.0</v>
      </c>
      <c r="BJ114" s="23">
        <v>0.0</v>
      </c>
      <c r="BN114" s="23">
        <v>0.0</v>
      </c>
      <c r="BO114" s="23">
        <v>341.7</v>
      </c>
      <c r="BP114" s="16" t="s">
        <v>756</v>
      </c>
      <c r="BQ114" s="16" t="b">
        <v>1</v>
      </c>
      <c r="BR114" s="23">
        <v>341.7</v>
      </c>
      <c r="BS114" s="23">
        <v>774763.0</v>
      </c>
      <c r="BT114" s="16" t="b">
        <v>1</v>
      </c>
      <c r="BU114" s="16" t="s">
        <v>546</v>
      </c>
    </row>
    <row r="115">
      <c r="A115" s="16" t="s">
        <v>757</v>
      </c>
      <c r="B115" s="16" t="s">
        <v>35</v>
      </c>
      <c r="C115" s="22">
        <v>45332.0</v>
      </c>
      <c r="D115" s="16" t="s">
        <v>404</v>
      </c>
      <c r="E115" s="16" t="s">
        <v>759</v>
      </c>
      <c r="F115" s="16" t="s">
        <v>528</v>
      </c>
      <c r="G115" s="16" t="s">
        <v>305</v>
      </c>
      <c r="H115" s="23">
        <v>1.0</v>
      </c>
      <c r="I115" s="23">
        <v>116.62</v>
      </c>
      <c r="J115" s="23">
        <v>116.62</v>
      </c>
      <c r="N115" s="23">
        <v>0.0</v>
      </c>
      <c r="R115" s="23">
        <v>0.0</v>
      </c>
      <c r="V115" s="23">
        <v>0.0</v>
      </c>
      <c r="Z115" s="23">
        <v>0.0</v>
      </c>
      <c r="AD115" s="23">
        <v>0.0</v>
      </c>
      <c r="AH115" s="23">
        <v>0.0</v>
      </c>
      <c r="AL115" s="23">
        <v>0.0</v>
      </c>
      <c r="AP115" s="23">
        <v>0.0</v>
      </c>
      <c r="AT115" s="23">
        <v>0.0</v>
      </c>
      <c r="AX115" s="23">
        <v>0.0</v>
      </c>
      <c r="BF115" s="23">
        <v>0.0</v>
      </c>
      <c r="BJ115" s="23">
        <v>0.0</v>
      </c>
      <c r="BN115" s="23">
        <v>0.0</v>
      </c>
      <c r="BO115" s="23">
        <v>116.62</v>
      </c>
      <c r="BP115" s="16" t="s">
        <v>760</v>
      </c>
      <c r="BQ115" s="16" t="b">
        <v>1</v>
      </c>
      <c r="BR115" s="23">
        <v>116.62</v>
      </c>
      <c r="BT115" s="16" t="b">
        <v>0</v>
      </c>
      <c r="BU115" s="16" t="s">
        <v>546</v>
      </c>
    </row>
    <row r="116">
      <c r="A116" s="16" t="s">
        <v>762</v>
      </c>
      <c r="B116" s="16" t="s">
        <v>35</v>
      </c>
      <c r="C116" s="22">
        <v>45330.0</v>
      </c>
      <c r="D116" s="16" t="s">
        <v>764</v>
      </c>
      <c r="E116" s="16" t="s">
        <v>765</v>
      </c>
      <c r="F116" s="16" t="s">
        <v>767</v>
      </c>
      <c r="G116" s="16" t="s">
        <v>1073</v>
      </c>
      <c r="H116" s="23">
        <v>2.0</v>
      </c>
      <c r="I116" s="23">
        <v>18.24</v>
      </c>
      <c r="J116" s="23">
        <v>36.48</v>
      </c>
      <c r="K116" s="16" t="s">
        <v>1384</v>
      </c>
      <c r="L116" s="23">
        <v>1.0</v>
      </c>
      <c r="M116" s="23">
        <v>17.7</v>
      </c>
      <c r="N116" s="23">
        <v>17.7</v>
      </c>
      <c r="O116" s="16" t="s">
        <v>1074</v>
      </c>
      <c r="P116" s="23">
        <v>2.0</v>
      </c>
      <c r="Q116" s="23">
        <v>34.0</v>
      </c>
      <c r="R116" s="23">
        <v>68.0</v>
      </c>
      <c r="S116" s="16" t="s">
        <v>1387</v>
      </c>
      <c r="T116" s="23">
        <v>1.0</v>
      </c>
      <c r="U116" s="23">
        <v>42.0</v>
      </c>
      <c r="V116" s="23">
        <v>42.0</v>
      </c>
      <c r="W116" s="16" t="s">
        <v>1075</v>
      </c>
      <c r="X116" s="23">
        <v>2.0</v>
      </c>
      <c r="Y116" s="23">
        <v>17.5</v>
      </c>
      <c r="Z116" s="23">
        <v>35.0</v>
      </c>
      <c r="AA116" s="16" t="s">
        <v>1077</v>
      </c>
      <c r="AB116" s="23">
        <v>3.0</v>
      </c>
      <c r="AC116" s="23">
        <v>24.0</v>
      </c>
      <c r="AD116" s="23">
        <v>72.0</v>
      </c>
      <c r="AE116" s="16" t="s">
        <v>1079</v>
      </c>
      <c r="AF116" s="23">
        <v>5.0</v>
      </c>
      <c r="AG116" s="23">
        <v>15.0</v>
      </c>
      <c r="AH116" s="23">
        <v>75.0</v>
      </c>
      <c r="AI116" s="16" t="s">
        <v>1085</v>
      </c>
      <c r="AJ116" s="23">
        <v>3.0</v>
      </c>
      <c r="AK116" s="23">
        <v>34.0</v>
      </c>
      <c r="AL116" s="23">
        <v>102.0</v>
      </c>
      <c r="AP116" s="23">
        <v>0.0</v>
      </c>
      <c r="AT116" s="23">
        <v>0.0</v>
      </c>
      <c r="AX116" s="23">
        <v>0.0</v>
      </c>
      <c r="BF116" s="23">
        <v>0.0</v>
      </c>
      <c r="BJ116" s="23">
        <v>0.0</v>
      </c>
      <c r="BN116" s="23">
        <v>0.0</v>
      </c>
      <c r="BO116" s="23">
        <v>448.18</v>
      </c>
      <c r="BP116" s="16" t="s">
        <v>766</v>
      </c>
      <c r="BQ116" s="16" t="b">
        <v>1</v>
      </c>
      <c r="BR116" s="23">
        <v>448.18</v>
      </c>
      <c r="BT116" s="16" t="b">
        <v>0</v>
      </c>
      <c r="BU116" s="16" t="s">
        <v>546</v>
      </c>
    </row>
    <row r="117">
      <c r="A117" s="16" t="s">
        <v>768</v>
      </c>
      <c r="B117" s="16" t="s">
        <v>35</v>
      </c>
      <c r="C117" s="22">
        <v>45328.0</v>
      </c>
      <c r="D117" s="23">
        <v>6.8893939E7</v>
      </c>
      <c r="E117" s="16" t="s">
        <v>769</v>
      </c>
      <c r="F117" s="16" t="s">
        <v>772</v>
      </c>
      <c r="G117" s="16" t="s">
        <v>1145</v>
      </c>
      <c r="H117" s="23">
        <v>1.0</v>
      </c>
      <c r="I117" s="23">
        <v>1550.5</v>
      </c>
      <c r="J117" s="23">
        <v>1550.5</v>
      </c>
      <c r="K117" s="16" t="s">
        <v>1394</v>
      </c>
      <c r="L117" s="23">
        <v>1.0</v>
      </c>
      <c r="M117" s="23">
        <v>1550.59</v>
      </c>
      <c r="N117" s="23">
        <v>1550.59</v>
      </c>
      <c r="R117" s="23">
        <v>0.0</v>
      </c>
      <c r="V117" s="23">
        <v>0.0</v>
      </c>
      <c r="Z117" s="23">
        <v>0.0</v>
      </c>
      <c r="AD117" s="23">
        <v>0.0</v>
      </c>
      <c r="AH117" s="23">
        <v>0.0</v>
      </c>
      <c r="AL117" s="23">
        <v>0.0</v>
      </c>
      <c r="AP117" s="23">
        <v>0.0</v>
      </c>
      <c r="AT117" s="23">
        <v>0.0</v>
      </c>
      <c r="AX117" s="23">
        <v>0.0</v>
      </c>
      <c r="BF117" s="23">
        <v>0.0</v>
      </c>
      <c r="BJ117" s="23">
        <v>0.0</v>
      </c>
      <c r="BN117" s="23">
        <v>0.0</v>
      </c>
      <c r="BO117" s="23">
        <v>3101.09</v>
      </c>
      <c r="BP117" s="16" t="s">
        <v>770</v>
      </c>
      <c r="BQ117" s="16" t="b">
        <v>1</v>
      </c>
      <c r="BR117" s="23">
        <v>3101.09</v>
      </c>
      <c r="BT117" s="16" t="b">
        <v>0</v>
      </c>
      <c r="BU117" s="16" t="s">
        <v>546</v>
      </c>
    </row>
    <row r="118">
      <c r="A118" s="16" t="s">
        <v>773</v>
      </c>
      <c r="B118" s="16" t="s">
        <v>35</v>
      </c>
      <c r="C118" s="22">
        <v>45334.0</v>
      </c>
      <c r="D118" s="16" t="s">
        <v>137</v>
      </c>
      <c r="E118" s="16" t="s">
        <v>775</v>
      </c>
      <c r="F118" s="16" t="s">
        <v>140</v>
      </c>
      <c r="G118" s="16">
        <v>1.2539885E7</v>
      </c>
      <c r="H118" s="23">
        <v>1.0</v>
      </c>
      <c r="I118" s="23">
        <v>300.0</v>
      </c>
      <c r="J118" s="23">
        <v>300.0</v>
      </c>
      <c r="N118" s="23">
        <v>0.0</v>
      </c>
      <c r="R118" s="23">
        <v>0.0</v>
      </c>
      <c r="V118" s="23">
        <v>0.0</v>
      </c>
      <c r="Z118" s="23">
        <v>0.0</v>
      </c>
      <c r="AD118" s="23">
        <v>0.0</v>
      </c>
      <c r="AH118" s="23">
        <v>0.0</v>
      </c>
      <c r="AL118" s="23">
        <v>0.0</v>
      </c>
      <c r="AP118" s="23">
        <v>0.0</v>
      </c>
      <c r="AT118" s="23">
        <v>0.0</v>
      </c>
      <c r="AX118" s="23">
        <v>0.0</v>
      </c>
      <c r="BF118" s="23">
        <v>0.0</v>
      </c>
      <c r="BJ118" s="23">
        <v>0.0</v>
      </c>
      <c r="BN118" s="23">
        <v>0.0</v>
      </c>
      <c r="BO118" s="23">
        <v>300.0</v>
      </c>
      <c r="BP118" s="16" t="s">
        <v>776</v>
      </c>
      <c r="BQ118" s="16" t="b">
        <v>1</v>
      </c>
      <c r="BR118" s="23">
        <v>300.0</v>
      </c>
      <c r="BS118" s="23">
        <v>778415.0</v>
      </c>
      <c r="BT118" s="16" t="b">
        <v>1</v>
      </c>
      <c r="BU118" s="16" t="s">
        <v>546</v>
      </c>
    </row>
    <row r="119">
      <c r="A119" s="16" t="s">
        <v>778</v>
      </c>
      <c r="B119" s="16" t="s">
        <v>35</v>
      </c>
      <c r="C119" s="22">
        <v>45334.0</v>
      </c>
      <c r="D119" s="16" t="s">
        <v>780</v>
      </c>
      <c r="E119" s="16" t="s">
        <v>782</v>
      </c>
      <c r="F119" s="16" t="s">
        <v>195</v>
      </c>
      <c r="G119" s="16" t="s">
        <v>1073</v>
      </c>
      <c r="H119" s="23">
        <v>4.0</v>
      </c>
      <c r="I119" s="23">
        <v>18.34</v>
      </c>
      <c r="J119" s="23">
        <v>73.36</v>
      </c>
      <c r="K119" s="16" t="s">
        <v>1384</v>
      </c>
      <c r="L119" s="23">
        <v>1.0</v>
      </c>
      <c r="M119" s="23">
        <v>25.6</v>
      </c>
      <c r="N119" s="23">
        <v>25.6</v>
      </c>
      <c r="O119" s="16" t="s">
        <v>1404</v>
      </c>
      <c r="P119" s="23">
        <v>1.0</v>
      </c>
      <c r="Q119" s="23">
        <v>16.0</v>
      </c>
      <c r="R119" s="23">
        <v>16.0</v>
      </c>
      <c r="S119" s="16" t="s">
        <v>1074</v>
      </c>
      <c r="T119" s="23">
        <v>7.0</v>
      </c>
      <c r="U119" s="23">
        <v>34.0</v>
      </c>
      <c r="V119" s="23">
        <v>238.0</v>
      </c>
      <c r="W119" s="16" t="s">
        <v>1075</v>
      </c>
      <c r="X119" s="23">
        <v>4.0</v>
      </c>
      <c r="Y119" s="23">
        <v>17.0</v>
      </c>
      <c r="Z119" s="23">
        <v>68.0</v>
      </c>
      <c r="AA119" s="16" t="s">
        <v>1077</v>
      </c>
      <c r="AB119" s="23">
        <v>4.0</v>
      </c>
      <c r="AC119" s="23">
        <v>24.0</v>
      </c>
      <c r="AD119" s="23">
        <v>96.0</v>
      </c>
      <c r="AE119" s="16" t="s">
        <v>1079</v>
      </c>
      <c r="AF119" s="23">
        <v>40.0</v>
      </c>
      <c r="AG119" s="23">
        <v>15.0</v>
      </c>
      <c r="AH119" s="23">
        <v>600.0</v>
      </c>
      <c r="AI119" s="16" t="s">
        <v>1081</v>
      </c>
      <c r="AJ119" s="23">
        <v>2.0</v>
      </c>
      <c r="AK119" s="23">
        <v>45.0</v>
      </c>
      <c r="AL119" s="23">
        <v>90.0</v>
      </c>
      <c r="AM119" s="16" t="s">
        <v>1074</v>
      </c>
      <c r="AN119" s="23">
        <v>10.0</v>
      </c>
      <c r="AO119" s="23">
        <v>34.0</v>
      </c>
      <c r="AP119" s="23">
        <v>340.0</v>
      </c>
      <c r="AT119" s="23">
        <v>0.0</v>
      </c>
      <c r="AX119" s="23">
        <v>0.0</v>
      </c>
      <c r="BF119" s="23">
        <v>0.0</v>
      </c>
      <c r="BJ119" s="23">
        <v>0.0</v>
      </c>
      <c r="BN119" s="23">
        <v>0.0</v>
      </c>
      <c r="BO119" s="23">
        <v>1546.96</v>
      </c>
      <c r="BP119" s="16" t="s">
        <v>784</v>
      </c>
      <c r="BQ119" s="16" t="b">
        <v>1</v>
      </c>
      <c r="BR119" s="23">
        <v>1546.96</v>
      </c>
      <c r="BT119" s="16" t="b">
        <v>0</v>
      </c>
      <c r="BU119" s="16" t="s">
        <v>546</v>
      </c>
    </row>
    <row r="120">
      <c r="A120" s="16" t="s">
        <v>787</v>
      </c>
      <c r="B120" s="16" t="s">
        <v>35</v>
      </c>
      <c r="C120" s="22">
        <v>45335.0</v>
      </c>
      <c r="D120" s="16" t="s">
        <v>112</v>
      </c>
      <c r="E120" s="16" t="s">
        <v>790</v>
      </c>
      <c r="F120" s="16" t="s">
        <v>792</v>
      </c>
      <c r="G120" s="16" t="s">
        <v>226</v>
      </c>
      <c r="H120" s="23">
        <v>9.0</v>
      </c>
      <c r="I120" s="23">
        <v>7.0</v>
      </c>
      <c r="J120" s="23">
        <v>63.0</v>
      </c>
      <c r="K120" s="16" t="s">
        <v>152</v>
      </c>
      <c r="L120" s="23">
        <v>1.0</v>
      </c>
      <c r="M120" s="23">
        <v>13.08</v>
      </c>
      <c r="N120" s="23">
        <v>13.08</v>
      </c>
      <c r="O120" s="16" t="s">
        <v>230</v>
      </c>
      <c r="P120" s="23">
        <v>1.0</v>
      </c>
      <c r="Q120" s="23">
        <v>122.4</v>
      </c>
      <c r="R120" s="23">
        <v>122.4</v>
      </c>
      <c r="S120" s="16" t="s">
        <v>159</v>
      </c>
      <c r="T120" s="23">
        <v>12.0</v>
      </c>
      <c r="U120" s="23">
        <v>13.0</v>
      </c>
      <c r="V120" s="23">
        <v>156.0</v>
      </c>
      <c r="Z120" s="23">
        <v>0.0</v>
      </c>
      <c r="AD120" s="23">
        <v>0.0</v>
      </c>
      <c r="AH120" s="23">
        <v>0.0</v>
      </c>
      <c r="AL120" s="23">
        <v>0.0</v>
      </c>
      <c r="AP120" s="23">
        <v>0.0</v>
      </c>
      <c r="AT120" s="23">
        <v>0.0</v>
      </c>
      <c r="AX120" s="23">
        <v>0.0</v>
      </c>
      <c r="BF120" s="23">
        <v>0.0</v>
      </c>
      <c r="BJ120" s="23">
        <v>0.0</v>
      </c>
      <c r="BN120" s="23">
        <v>0.0</v>
      </c>
      <c r="BO120" s="23">
        <v>354.48</v>
      </c>
      <c r="BP120" s="16" t="s">
        <v>791</v>
      </c>
      <c r="BQ120" s="16" t="b">
        <v>1</v>
      </c>
      <c r="BR120" s="23">
        <v>354.48</v>
      </c>
      <c r="BS120" s="23">
        <v>779870.0</v>
      </c>
      <c r="BT120" s="16" t="b">
        <v>1</v>
      </c>
      <c r="BU120" s="16" t="s">
        <v>546</v>
      </c>
    </row>
    <row r="121">
      <c r="A121" s="16" t="s">
        <v>795</v>
      </c>
      <c r="B121" s="16" t="s">
        <v>35</v>
      </c>
      <c r="C121" s="22">
        <v>45335.0</v>
      </c>
      <c r="D121" s="16" t="s">
        <v>122</v>
      </c>
      <c r="E121" s="16" t="s">
        <v>798</v>
      </c>
      <c r="F121" s="16" t="s">
        <v>801</v>
      </c>
      <c r="G121" s="16" t="s">
        <v>238</v>
      </c>
      <c r="H121" s="23">
        <v>36.0</v>
      </c>
      <c r="I121" s="23">
        <v>5.4</v>
      </c>
      <c r="J121" s="23">
        <v>194.4</v>
      </c>
      <c r="N121" s="23">
        <v>0.0</v>
      </c>
      <c r="R121" s="23">
        <v>0.0</v>
      </c>
      <c r="V121" s="23">
        <v>0.0</v>
      </c>
      <c r="Z121" s="23">
        <v>0.0</v>
      </c>
      <c r="AD121" s="23">
        <v>0.0</v>
      </c>
      <c r="AH121" s="23">
        <v>0.0</v>
      </c>
      <c r="AL121" s="23">
        <v>0.0</v>
      </c>
      <c r="AP121" s="23">
        <v>0.0</v>
      </c>
      <c r="AT121" s="23">
        <v>0.0</v>
      </c>
      <c r="AX121" s="23">
        <v>0.0</v>
      </c>
      <c r="BF121" s="23">
        <v>0.0</v>
      </c>
      <c r="BJ121" s="23">
        <v>0.0</v>
      </c>
      <c r="BN121" s="23">
        <v>0.0</v>
      </c>
      <c r="BO121" s="23">
        <v>194.4</v>
      </c>
      <c r="BP121" s="16" t="s">
        <v>800</v>
      </c>
      <c r="BQ121" s="16" t="b">
        <v>1</v>
      </c>
      <c r="BR121" s="23">
        <v>194.4</v>
      </c>
      <c r="BS121" s="23">
        <v>780223.0</v>
      </c>
      <c r="BT121" s="16" t="b">
        <v>1</v>
      </c>
      <c r="BU121" s="16" t="s">
        <v>546</v>
      </c>
    </row>
    <row r="122">
      <c r="A122" s="16" t="s">
        <v>806</v>
      </c>
      <c r="B122" s="16" t="s">
        <v>35</v>
      </c>
      <c r="C122" s="22">
        <v>45335.0</v>
      </c>
      <c r="D122" s="16" t="s">
        <v>808</v>
      </c>
      <c r="E122" s="16" t="s">
        <v>809</v>
      </c>
      <c r="F122" s="16" t="s">
        <v>767</v>
      </c>
      <c r="G122" s="16" t="s">
        <v>1425</v>
      </c>
      <c r="H122" s="23">
        <v>20.0</v>
      </c>
      <c r="I122" s="23">
        <v>12.36</v>
      </c>
      <c r="J122" s="23">
        <v>247.2</v>
      </c>
      <c r="K122" s="16" t="s">
        <v>1426</v>
      </c>
      <c r="L122" s="23">
        <v>2.0</v>
      </c>
      <c r="M122" s="23">
        <v>32.4</v>
      </c>
      <c r="N122" s="23">
        <v>64.8</v>
      </c>
      <c r="O122" s="16" t="s">
        <v>1427</v>
      </c>
      <c r="P122" s="23">
        <v>2.0</v>
      </c>
      <c r="Q122" s="23">
        <v>32.4</v>
      </c>
      <c r="R122" s="23">
        <v>64.8</v>
      </c>
      <c r="S122" s="16" t="s">
        <v>338</v>
      </c>
      <c r="T122" s="23">
        <v>9.0</v>
      </c>
      <c r="U122" s="23">
        <v>7.95</v>
      </c>
      <c r="V122" s="23">
        <v>71.55</v>
      </c>
      <c r="Z122" s="23">
        <v>0.0</v>
      </c>
      <c r="AD122" s="23">
        <v>0.0</v>
      </c>
      <c r="AH122" s="23">
        <v>0.0</v>
      </c>
      <c r="AL122" s="23">
        <v>0.0</v>
      </c>
      <c r="AP122" s="23">
        <v>0.0</v>
      </c>
      <c r="AT122" s="23">
        <v>0.0</v>
      </c>
      <c r="AX122" s="23">
        <v>0.0</v>
      </c>
      <c r="BF122" s="23">
        <v>0.0</v>
      </c>
      <c r="BJ122" s="23">
        <v>0.0</v>
      </c>
      <c r="BN122" s="23">
        <v>0.0</v>
      </c>
      <c r="BO122" s="23">
        <v>448.35</v>
      </c>
      <c r="BP122" s="16" t="s">
        <v>811</v>
      </c>
      <c r="BQ122" s="16" t="b">
        <v>1</v>
      </c>
      <c r="BR122" s="23">
        <v>448.35</v>
      </c>
      <c r="BS122" s="23">
        <v>779936.0</v>
      </c>
      <c r="BT122" s="16" t="b">
        <v>1</v>
      </c>
      <c r="BU122" s="16" t="s">
        <v>546</v>
      </c>
    </row>
    <row r="123">
      <c r="A123" s="16" t="s">
        <v>814</v>
      </c>
      <c r="B123" s="16" t="s">
        <v>35</v>
      </c>
      <c r="C123" s="22">
        <v>45337.0</v>
      </c>
      <c r="D123" s="16" t="s">
        <v>460</v>
      </c>
      <c r="F123" s="16" t="s">
        <v>817</v>
      </c>
      <c r="G123" s="16" t="s">
        <v>1434</v>
      </c>
      <c r="H123" s="16">
        <v>1.0</v>
      </c>
      <c r="I123" s="23">
        <v>204.0</v>
      </c>
      <c r="J123" s="23">
        <v>204.0</v>
      </c>
      <c r="BO123" s="23">
        <v>204.0</v>
      </c>
      <c r="BR123" s="23">
        <v>204.0</v>
      </c>
      <c r="BU123" s="16" t="s">
        <v>539</v>
      </c>
    </row>
    <row r="124">
      <c r="A124" s="16" t="s">
        <v>819</v>
      </c>
      <c r="B124" s="16" t="s">
        <v>35</v>
      </c>
      <c r="C124" s="22">
        <v>45336.0</v>
      </c>
      <c r="D124" s="16" t="s">
        <v>543</v>
      </c>
      <c r="E124" s="16" t="s">
        <v>820</v>
      </c>
      <c r="F124" s="16" t="s">
        <v>140</v>
      </c>
      <c r="G124" s="16">
        <v>1.2539885E7</v>
      </c>
      <c r="H124" s="23">
        <v>1.0</v>
      </c>
      <c r="I124" s="23">
        <v>200.0</v>
      </c>
      <c r="J124" s="23">
        <v>200.0</v>
      </c>
      <c r="N124" s="23">
        <v>0.0</v>
      </c>
      <c r="R124" s="23">
        <v>0.0</v>
      </c>
      <c r="V124" s="23">
        <v>0.0</v>
      </c>
      <c r="Z124" s="23">
        <v>0.0</v>
      </c>
      <c r="AD124" s="23">
        <v>0.0</v>
      </c>
      <c r="AH124" s="23">
        <v>0.0</v>
      </c>
      <c r="AL124" s="23">
        <v>0.0</v>
      </c>
      <c r="AP124" s="23">
        <v>0.0</v>
      </c>
      <c r="AT124" s="23">
        <v>0.0</v>
      </c>
      <c r="AX124" s="23">
        <v>0.0</v>
      </c>
      <c r="BF124" s="23">
        <v>0.0</v>
      </c>
      <c r="BJ124" s="23">
        <v>0.0</v>
      </c>
      <c r="BN124" s="23">
        <v>0.0</v>
      </c>
      <c r="BO124" s="23">
        <v>200.0</v>
      </c>
      <c r="BP124" s="16" t="s">
        <v>821</v>
      </c>
      <c r="BQ124" s="16" t="b">
        <v>1</v>
      </c>
      <c r="BR124" s="23">
        <v>200.0</v>
      </c>
      <c r="BS124" s="23">
        <v>783268.0</v>
      </c>
      <c r="BT124" s="16" t="b">
        <v>1</v>
      </c>
      <c r="BU124" s="16" t="s">
        <v>546</v>
      </c>
    </row>
    <row r="125">
      <c r="A125" s="16" t="s">
        <v>824</v>
      </c>
      <c r="B125" s="16" t="s">
        <v>35</v>
      </c>
      <c r="C125" s="22">
        <v>45341.0</v>
      </c>
      <c r="D125" s="16" t="s">
        <v>137</v>
      </c>
      <c r="E125" s="16" t="s">
        <v>827</v>
      </c>
      <c r="F125" s="16" t="s">
        <v>157</v>
      </c>
      <c r="G125" s="16">
        <v>1.2539885E7</v>
      </c>
      <c r="H125" s="23">
        <v>1.0</v>
      </c>
      <c r="I125" s="23">
        <v>380.0</v>
      </c>
      <c r="J125" s="23">
        <v>380.0</v>
      </c>
      <c r="N125" s="23">
        <v>0.0</v>
      </c>
      <c r="R125" s="23">
        <v>0.0</v>
      </c>
      <c r="V125" s="23">
        <v>0.0</v>
      </c>
      <c r="Z125" s="23">
        <v>0.0</v>
      </c>
      <c r="AD125" s="23">
        <v>0.0</v>
      </c>
      <c r="AH125" s="23">
        <v>0.0</v>
      </c>
      <c r="AL125" s="23">
        <v>0.0</v>
      </c>
      <c r="AP125" s="23">
        <v>0.0</v>
      </c>
      <c r="AT125" s="23">
        <v>0.0</v>
      </c>
      <c r="AX125" s="23">
        <v>0.0</v>
      </c>
      <c r="BF125" s="23">
        <v>0.0</v>
      </c>
      <c r="BJ125" s="23">
        <v>0.0</v>
      </c>
      <c r="BN125" s="23">
        <v>0.0</v>
      </c>
      <c r="BO125" s="23">
        <v>380.0</v>
      </c>
      <c r="BP125" s="16" t="s">
        <v>829</v>
      </c>
      <c r="BQ125" s="16" t="b">
        <v>1</v>
      </c>
      <c r="BR125" s="23">
        <v>380.0</v>
      </c>
      <c r="BS125" s="23">
        <v>787420.0</v>
      </c>
      <c r="BT125" s="16" t="b">
        <v>1</v>
      </c>
      <c r="BU125" s="16" t="s">
        <v>546</v>
      </c>
    </row>
    <row r="126">
      <c r="A126" s="16" t="s">
        <v>833</v>
      </c>
      <c r="B126" s="16" t="s">
        <v>35</v>
      </c>
      <c r="C126" s="22">
        <v>45342.0</v>
      </c>
      <c r="D126" s="23">
        <v>2.6065919E7</v>
      </c>
      <c r="E126" s="16" t="s">
        <v>834</v>
      </c>
      <c r="F126" s="16" t="s">
        <v>837</v>
      </c>
      <c r="G126" s="16" t="s">
        <v>1022</v>
      </c>
      <c r="H126" s="23">
        <v>1.0</v>
      </c>
      <c r="I126" s="23">
        <v>50.0</v>
      </c>
      <c r="J126" s="23">
        <v>50.0</v>
      </c>
      <c r="N126" s="23">
        <v>0.0</v>
      </c>
      <c r="R126" s="23">
        <v>0.0</v>
      </c>
      <c r="V126" s="23">
        <v>0.0</v>
      </c>
      <c r="Z126" s="23">
        <v>0.0</v>
      </c>
      <c r="AD126" s="23">
        <v>0.0</v>
      </c>
      <c r="AH126" s="23">
        <v>0.0</v>
      </c>
      <c r="AL126" s="23">
        <v>0.0</v>
      </c>
      <c r="AP126" s="23">
        <v>0.0</v>
      </c>
      <c r="AT126" s="23">
        <v>0.0</v>
      </c>
      <c r="AX126" s="23">
        <v>0.0</v>
      </c>
      <c r="BF126" s="23">
        <v>0.0</v>
      </c>
      <c r="BJ126" s="23">
        <v>0.0</v>
      </c>
      <c r="BN126" s="23">
        <v>0.0</v>
      </c>
      <c r="BO126" s="23">
        <v>50.0</v>
      </c>
      <c r="BP126" s="16" t="s">
        <v>836</v>
      </c>
      <c r="BQ126" s="16" t="b">
        <v>1</v>
      </c>
      <c r="BR126" s="23">
        <v>50.0</v>
      </c>
      <c r="BS126" s="23">
        <v>788694.0</v>
      </c>
      <c r="BT126" s="16" t="b">
        <v>1</v>
      </c>
      <c r="BU126" s="16" t="s">
        <v>546</v>
      </c>
    </row>
    <row r="127">
      <c r="A127" s="16" t="s">
        <v>838</v>
      </c>
      <c r="B127" s="16" t="s">
        <v>35</v>
      </c>
      <c r="C127" s="22">
        <v>45342.0</v>
      </c>
      <c r="D127" s="23">
        <v>2.6065919E7</v>
      </c>
      <c r="E127" s="16" t="s">
        <v>834</v>
      </c>
      <c r="F127" s="16" t="s">
        <v>837</v>
      </c>
      <c r="G127" s="16" t="s">
        <v>1022</v>
      </c>
      <c r="H127" s="23">
        <v>1.0</v>
      </c>
      <c r="I127" s="23">
        <v>25.0</v>
      </c>
      <c r="J127" s="23">
        <v>25.0</v>
      </c>
      <c r="N127" s="23">
        <v>0.0</v>
      </c>
      <c r="R127" s="23">
        <v>0.0</v>
      </c>
      <c r="V127" s="23">
        <v>0.0</v>
      </c>
      <c r="Z127" s="23">
        <v>0.0</v>
      </c>
      <c r="AD127" s="23">
        <v>0.0</v>
      </c>
      <c r="AH127" s="23">
        <v>0.0</v>
      </c>
      <c r="AL127" s="23">
        <v>0.0</v>
      </c>
      <c r="AP127" s="23">
        <v>0.0</v>
      </c>
      <c r="AT127" s="23">
        <v>0.0</v>
      </c>
      <c r="AX127" s="23">
        <v>0.0</v>
      </c>
      <c r="BF127" s="23">
        <v>0.0</v>
      </c>
      <c r="BJ127" s="23">
        <v>0.0</v>
      </c>
      <c r="BN127" s="23">
        <v>0.0</v>
      </c>
      <c r="BO127" s="23">
        <v>25.0</v>
      </c>
      <c r="BP127" s="16" t="s">
        <v>840</v>
      </c>
      <c r="BQ127" s="16" t="b">
        <v>1</v>
      </c>
      <c r="BR127" s="23">
        <v>25.0</v>
      </c>
      <c r="BS127" s="23">
        <v>788697.0</v>
      </c>
      <c r="BT127" s="16" t="b">
        <v>1</v>
      </c>
      <c r="BU127" s="16" t="s">
        <v>546</v>
      </c>
    </row>
    <row r="128">
      <c r="A128" s="16" t="s">
        <v>844</v>
      </c>
      <c r="B128" s="16" t="s">
        <v>35</v>
      </c>
      <c r="C128" s="22">
        <v>45338.0</v>
      </c>
      <c r="D128" s="16" t="s">
        <v>137</v>
      </c>
      <c r="E128" s="16" t="s">
        <v>846</v>
      </c>
      <c r="F128" s="16" t="s">
        <v>848</v>
      </c>
      <c r="G128" s="16">
        <v>1.2539885E7</v>
      </c>
      <c r="H128" s="23">
        <v>1.0</v>
      </c>
      <c r="I128" s="23">
        <v>200.0</v>
      </c>
      <c r="J128" s="23">
        <v>200.0</v>
      </c>
      <c r="N128" s="23">
        <v>0.0</v>
      </c>
      <c r="R128" s="23">
        <v>0.0</v>
      </c>
      <c r="V128" s="23">
        <v>0.0</v>
      </c>
      <c r="Z128" s="23">
        <v>0.0</v>
      </c>
      <c r="AD128" s="23">
        <v>0.0</v>
      </c>
      <c r="AH128" s="23">
        <v>0.0</v>
      </c>
      <c r="AL128" s="23">
        <v>0.0</v>
      </c>
      <c r="AP128" s="23">
        <v>0.0</v>
      </c>
      <c r="AT128" s="23">
        <v>0.0</v>
      </c>
      <c r="AX128" s="23">
        <v>0.0</v>
      </c>
      <c r="BF128" s="23">
        <v>0.0</v>
      </c>
      <c r="BJ128" s="23">
        <v>0.0</v>
      </c>
      <c r="BN128" s="23">
        <v>0.0</v>
      </c>
      <c r="BO128" s="23">
        <v>200.0</v>
      </c>
      <c r="BP128" s="16" t="s">
        <v>847</v>
      </c>
      <c r="BQ128" s="16" t="b">
        <v>1</v>
      </c>
      <c r="BR128" s="23">
        <v>200.0</v>
      </c>
      <c r="BS128" s="23">
        <v>783268.0</v>
      </c>
      <c r="BT128" s="16" t="b">
        <v>1</v>
      </c>
      <c r="BU128" s="16" t="s">
        <v>546</v>
      </c>
    </row>
    <row r="129">
      <c r="A129" s="16" t="s">
        <v>850</v>
      </c>
      <c r="B129" s="16" t="s">
        <v>35</v>
      </c>
      <c r="C129" s="22">
        <v>45341.0</v>
      </c>
      <c r="D129" s="16" t="s">
        <v>112</v>
      </c>
      <c r="E129" s="16" t="s">
        <v>852</v>
      </c>
      <c r="F129" s="16" t="s">
        <v>45</v>
      </c>
      <c r="G129" s="16" t="s">
        <v>226</v>
      </c>
      <c r="H129" s="23">
        <v>5.0</v>
      </c>
      <c r="I129" s="23">
        <v>7.3</v>
      </c>
      <c r="J129" s="23">
        <v>36.5</v>
      </c>
      <c r="K129" s="16" t="s">
        <v>230</v>
      </c>
      <c r="L129" s="23">
        <v>1.0</v>
      </c>
      <c r="M129" s="23">
        <v>123.24</v>
      </c>
      <c r="N129" s="23">
        <v>123.24</v>
      </c>
      <c r="O129" s="16" t="s">
        <v>155</v>
      </c>
      <c r="P129" s="23">
        <v>1.0</v>
      </c>
      <c r="Q129" s="23">
        <v>42.74</v>
      </c>
      <c r="R129" s="23">
        <v>42.74</v>
      </c>
      <c r="S129" s="16" t="s">
        <v>159</v>
      </c>
      <c r="T129" s="23">
        <v>10.0</v>
      </c>
      <c r="U129" s="23">
        <v>13.0</v>
      </c>
      <c r="V129" s="23">
        <v>130.0</v>
      </c>
      <c r="Z129" s="23">
        <v>0.0</v>
      </c>
      <c r="AD129" s="23">
        <v>0.0</v>
      </c>
      <c r="AH129" s="23">
        <v>0.0</v>
      </c>
      <c r="AL129" s="23">
        <v>0.0</v>
      </c>
      <c r="AP129" s="23">
        <v>0.0</v>
      </c>
      <c r="AT129" s="23">
        <v>0.0</v>
      </c>
      <c r="AX129" s="23">
        <v>0.0</v>
      </c>
      <c r="BF129" s="23">
        <v>0.0</v>
      </c>
      <c r="BJ129" s="23">
        <v>0.0</v>
      </c>
      <c r="BN129" s="23">
        <v>0.0</v>
      </c>
      <c r="BO129" s="23">
        <v>332.48</v>
      </c>
      <c r="BP129" s="16" t="s">
        <v>853</v>
      </c>
      <c r="BQ129" s="16" t="b">
        <v>1</v>
      </c>
      <c r="BR129" s="23">
        <v>332.48</v>
      </c>
      <c r="BS129" s="23">
        <v>789739.0</v>
      </c>
      <c r="BT129" s="16" t="b">
        <v>1</v>
      </c>
      <c r="BU129" s="16" t="s">
        <v>546</v>
      </c>
    </row>
    <row r="130">
      <c r="A130" s="16" t="s">
        <v>856</v>
      </c>
      <c r="B130" s="16" t="s">
        <v>35</v>
      </c>
      <c r="C130" s="22">
        <v>45343.0</v>
      </c>
      <c r="D130" s="16" t="s">
        <v>858</v>
      </c>
      <c r="E130" s="16" t="s">
        <v>859</v>
      </c>
      <c r="F130" s="16" t="s">
        <v>772</v>
      </c>
      <c r="G130" s="16" t="s">
        <v>1478</v>
      </c>
      <c r="H130" s="23">
        <v>1.0</v>
      </c>
      <c r="I130" s="23">
        <v>658.96</v>
      </c>
      <c r="J130" s="23">
        <v>658.96</v>
      </c>
      <c r="N130" s="23">
        <v>0.0</v>
      </c>
      <c r="R130" s="23">
        <v>0.0</v>
      </c>
      <c r="V130" s="23">
        <v>0.0</v>
      </c>
      <c r="Z130" s="23">
        <v>0.0</v>
      </c>
      <c r="AD130" s="23">
        <v>0.0</v>
      </c>
      <c r="AH130" s="23">
        <v>0.0</v>
      </c>
      <c r="AL130" s="23">
        <v>0.0</v>
      </c>
      <c r="AP130" s="23">
        <v>0.0</v>
      </c>
      <c r="AT130" s="23">
        <v>0.0</v>
      </c>
      <c r="AX130" s="23">
        <v>0.0</v>
      </c>
      <c r="BF130" s="23">
        <v>0.0</v>
      </c>
      <c r="BJ130" s="23">
        <v>0.0</v>
      </c>
      <c r="BN130" s="23">
        <v>0.0</v>
      </c>
      <c r="BO130" s="23">
        <v>658.96</v>
      </c>
      <c r="BP130" s="16" t="s">
        <v>861</v>
      </c>
      <c r="BQ130" s="16" t="b">
        <v>1</v>
      </c>
      <c r="BR130" s="23">
        <v>658.96</v>
      </c>
      <c r="BT130" s="16" t="b">
        <v>0</v>
      </c>
      <c r="BU130" s="16" t="s">
        <v>546</v>
      </c>
    </row>
    <row r="131">
      <c r="A131" s="16" t="s">
        <v>864</v>
      </c>
      <c r="B131" s="16" t="s">
        <v>35</v>
      </c>
      <c r="C131" s="22">
        <v>45343.0</v>
      </c>
      <c r="D131" s="16" t="s">
        <v>112</v>
      </c>
      <c r="E131" s="16" t="s">
        <v>865</v>
      </c>
      <c r="F131" s="16" t="s">
        <v>45</v>
      </c>
      <c r="G131" s="16" t="s">
        <v>226</v>
      </c>
      <c r="H131" s="23">
        <v>5.0</v>
      </c>
      <c r="I131" s="23">
        <v>8.0</v>
      </c>
      <c r="J131" s="23">
        <v>40.0</v>
      </c>
      <c r="K131" s="16" t="s">
        <v>152</v>
      </c>
      <c r="L131" s="23">
        <v>1.0</v>
      </c>
      <c r="M131" s="23">
        <v>17.2</v>
      </c>
      <c r="N131" s="23">
        <v>17.2</v>
      </c>
      <c r="O131" s="16" t="s">
        <v>230</v>
      </c>
      <c r="P131" s="23">
        <v>1.0</v>
      </c>
      <c r="Q131" s="23">
        <v>122.4</v>
      </c>
      <c r="R131" s="23">
        <v>122.4</v>
      </c>
      <c r="S131" s="16" t="s">
        <v>155</v>
      </c>
      <c r="T131" s="23">
        <v>1.0</v>
      </c>
      <c r="U131" s="23">
        <v>27.8</v>
      </c>
      <c r="V131" s="23">
        <v>27.8</v>
      </c>
      <c r="Z131" s="23">
        <v>0.0</v>
      </c>
      <c r="AD131" s="23">
        <v>0.0</v>
      </c>
      <c r="AH131" s="23">
        <v>0.0</v>
      </c>
      <c r="AL131" s="23">
        <v>0.0</v>
      </c>
      <c r="AP131" s="23">
        <v>0.0</v>
      </c>
      <c r="AT131" s="23">
        <v>0.0</v>
      </c>
      <c r="AX131" s="23">
        <v>0.0</v>
      </c>
      <c r="BF131" s="23">
        <v>0.0</v>
      </c>
      <c r="BJ131" s="23">
        <v>0.0</v>
      </c>
      <c r="BN131" s="23">
        <v>0.0</v>
      </c>
      <c r="BO131" s="23">
        <v>207.4</v>
      </c>
      <c r="BP131" s="16" t="s">
        <v>867</v>
      </c>
      <c r="BQ131" s="16" t="b">
        <v>1</v>
      </c>
      <c r="BR131" s="23">
        <v>207.4</v>
      </c>
      <c r="BS131" s="23">
        <v>789741.0</v>
      </c>
      <c r="BT131" s="16" t="b">
        <v>1</v>
      </c>
      <c r="BU131" s="16" t="s">
        <v>546</v>
      </c>
    </row>
    <row r="132">
      <c r="A132" s="16" t="s">
        <v>870</v>
      </c>
      <c r="B132" s="16" t="s">
        <v>35</v>
      </c>
      <c r="C132" s="22">
        <v>45345.0</v>
      </c>
      <c r="D132" s="16" t="s">
        <v>112</v>
      </c>
      <c r="E132" s="16" t="s">
        <v>872</v>
      </c>
      <c r="F132" s="16" t="s">
        <v>875</v>
      </c>
      <c r="G132" s="16" t="s">
        <v>226</v>
      </c>
      <c r="H132" s="23">
        <v>5.0</v>
      </c>
      <c r="I132" s="23">
        <v>8.0</v>
      </c>
      <c r="J132" s="23">
        <v>40.0</v>
      </c>
      <c r="K132" s="16" t="s">
        <v>152</v>
      </c>
      <c r="L132" s="23">
        <v>1.0</v>
      </c>
      <c r="M132" s="23">
        <v>15.48</v>
      </c>
      <c r="N132" s="23">
        <v>15.48</v>
      </c>
      <c r="O132" s="16" t="s">
        <v>230</v>
      </c>
      <c r="P132" s="23">
        <v>1.0</v>
      </c>
      <c r="Q132" s="23">
        <v>151.2</v>
      </c>
      <c r="R132" s="23">
        <v>151.2</v>
      </c>
      <c r="S132" s="16" t="s">
        <v>155</v>
      </c>
      <c r="T132" s="23">
        <v>1.0</v>
      </c>
      <c r="U132" s="23">
        <v>57.26</v>
      </c>
      <c r="V132" s="23">
        <v>57.26</v>
      </c>
      <c r="W132" s="16" t="s">
        <v>159</v>
      </c>
      <c r="X132" s="23">
        <v>12.0</v>
      </c>
      <c r="Y132" s="23">
        <v>14.0</v>
      </c>
      <c r="Z132" s="23">
        <v>168.0</v>
      </c>
      <c r="AD132" s="23">
        <v>0.0</v>
      </c>
      <c r="AH132" s="23">
        <v>0.0</v>
      </c>
      <c r="AL132" s="23">
        <v>0.0</v>
      </c>
      <c r="AP132" s="23">
        <v>0.0</v>
      </c>
      <c r="AT132" s="23">
        <v>0.0</v>
      </c>
      <c r="AX132" s="23">
        <v>0.0</v>
      </c>
      <c r="BF132" s="23">
        <v>0.0</v>
      </c>
      <c r="BJ132" s="23">
        <v>0.0</v>
      </c>
      <c r="BN132" s="23">
        <v>0.0</v>
      </c>
      <c r="BO132" s="23">
        <v>431.94</v>
      </c>
      <c r="BP132" s="16" t="s">
        <v>874</v>
      </c>
      <c r="BQ132" s="16" t="b">
        <v>1</v>
      </c>
      <c r="BR132" s="23">
        <v>431.94</v>
      </c>
      <c r="BS132" s="23">
        <v>791429.0</v>
      </c>
      <c r="BT132" s="16" t="b">
        <v>1</v>
      </c>
      <c r="BU132" s="16" t="s">
        <v>546</v>
      </c>
    </row>
    <row r="133">
      <c r="A133" s="16" t="s">
        <v>880</v>
      </c>
      <c r="B133" s="16" t="s">
        <v>35</v>
      </c>
      <c r="C133" s="22">
        <v>45344.0</v>
      </c>
      <c r="D133" s="23">
        <v>2.6065919E7</v>
      </c>
      <c r="E133" s="16" t="s">
        <v>882</v>
      </c>
      <c r="F133" s="16" t="s">
        <v>837</v>
      </c>
      <c r="G133" s="16" t="s">
        <v>1022</v>
      </c>
      <c r="H133" s="23">
        <v>1.0</v>
      </c>
      <c r="I133" s="23">
        <v>200.0</v>
      </c>
      <c r="J133" s="23">
        <v>200.0</v>
      </c>
      <c r="N133" s="23">
        <v>0.0</v>
      </c>
      <c r="R133" s="23">
        <v>0.0</v>
      </c>
      <c r="V133" s="23">
        <v>0.0</v>
      </c>
      <c r="Z133" s="23">
        <v>0.0</v>
      </c>
      <c r="AD133" s="23">
        <v>0.0</v>
      </c>
      <c r="AH133" s="23">
        <v>0.0</v>
      </c>
      <c r="AL133" s="23">
        <v>0.0</v>
      </c>
      <c r="AP133" s="23">
        <v>0.0</v>
      </c>
      <c r="AT133" s="23">
        <v>0.0</v>
      </c>
      <c r="AX133" s="23">
        <v>0.0</v>
      </c>
      <c r="BF133" s="23">
        <v>0.0</v>
      </c>
      <c r="BJ133" s="23">
        <v>0.0</v>
      </c>
      <c r="BN133" s="23">
        <v>0.0</v>
      </c>
      <c r="BO133" s="23">
        <v>200.0</v>
      </c>
      <c r="BP133" s="16" t="s">
        <v>884</v>
      </c>
      <c r="BQ133" s="16" t="b">
        <v>1</v>
      </c>
      <c r="BR133" s="23">
        <v>200.0</v>
      </c>
      <c r="BS133" s="23">
        <v>7886967.0</v>
      </c>
      <c r="BT133" s="16" t="b">
        <v>1</v>
      </c>
      <c r="BU133" s="16" t="s">
        <v>546</v>
      </c>
    </row>
    <row r="134">
      <c r="A134" s="16" t="s">
        <v>888</v>
      </c>
      <c r="B134" s="16" t="s">
        <v>35</v>
      </c>
      <c r="C134" s="22">
        <v>45329.0</v>
      </c>
      <c r="D134" s="16" t="s">
        <v>890</v>
      </c>
      <c r="E134" s="16" t="s">
        <v>891</v>
      </c>
      <c r="F134" s="16" t="s">
        <v>893</v>
      </c>
      <c r="G134" s="16" t="s">
        <v>1510</v>
      </c>
      <c r="H134" s="23">
        <v>1.0</v>
      </c>
      <c r="I134" s="23">
        <v>14405.48</v>
      </c>
      <c r="J134" s="23">
        <v>14405.48</v>
      </c>
      <c r="N134" s="23">
        <v>0.0</v>
      </c>
      <c r="R134" s="23">
        <v>0.0</v>
      </c>
      <c r="V134" s="23">
        <v>0.0</v>
      </c>
      <c r="Z134" s="23">
        <v>0.0</v>
      </c>
      <c r="AD134" s="23">
        <v>0.0</v>
      </c>
      <c r="AH134" s="23">
        <v>0.0</v>
      </c>
      <c r="AL134" s="23">
        <v>0.0</v>
      </c>
      <c r="AP134" s="23">
        <v>0.0</v>
      </c>
      <c r="AT134" s="23">
        <v>0.0</v>
      </c>
      <c r="AX134" s="23">
        <v>0.0</v>
      </c>
      <c r="BF134" s="23">
        <v>0.0</v>
      </c>
      <c r="BJ134" s="23">
        <v>0.0</v>
      </c>
      <c r="BN134" s="23">
        <v>0.0</v>
      </c>
      <c r="BO134" s="23">
        <v>14405.48</v>
      </c>
      <c r="BP134" s="16" t="s">
        <v>892</v>
      </c>
      <c r="BQ134" s="16" t="b">
        <v>1</v>
      </c>
      <c r="BR134" s="23">
        <v>14405.48</v>
      </c>
      <c r="BT134" s="16" t="b">
        <v>0</v>
      </c>
      <c r="BU134" s="16" t="s">
        <v>546</v>
      </c>
    </row>
    <row r="135">
      <c r="A135" s="16" t="s">
        <v>895</v>
      </c>
      <c r="B135" s="16" t="s">
        <v>35</v>
      </c>
      <c r="C135" s="22">
        <v>45330.0</v>
      </c>
      <c r="D135" s="16" t="s">
        <v>890</v>
      </c>
      <c r="E135" s="16" t="s">
        <v>897</v>
      </c>
      <c r="F135" s="16" t="s">
        <v>899</v>
      </c>
      <c r="G135" s="16" t="s">
        <v>1517</v>
      </c>
      <c r="H135" s="23">
        <v>1.0</v>
      </c>
      <c r="I135" s="23">
        <v>11251.78</v>
      </c>
      <c r="J135" s="23">
        <v>11251.78</v>
      </c>
      <c r="N135" s="23">
        <v>0.0</v>
      </c>
      <c r="R135" s="23">
        <v>0.0</v>
      </c>
      <c r="V135" s="23">
        <v>0.0</v>
      </c>
      <c r="Z135" s="23">
        <v>0.0</v>
      </c>
      <c r="AD135" s="23">
        <v>0.0</v>
      </c>
      <c r="AH135" s="23">
        <v>0.0</v>
      </c>
      <c r="AL135" s="23">
        <v>0.0</v>
      </c>
      <c r="AP135" s="23">
        <v>0.0</v>
      </c>
      <c r="AT135" s="23">
        <v>0.0</v>
      </c>
      <c r="AX135" s="23">
        <v>0.0</v>
      </c>
      <c r="BF135" s="23">
        <v>0.0</v>
      </c>
      <c r="BJ135" s="23">
        <v>0.0</v>
      </c>
      <c r="BN135" s="23">
        <v>0.0</v>
      </c>
      <c r="BO135" s="23">
        <v>11251.78</v>
      </c>
      <c r="BP135" s="16" t="s">
        <v>898</v>
      </c>
      <c r="BQ135" s="16" t="b">
        <v>1</v>
      </c>
      <c r="BR135" s="23">
        <v>11251.78</v>
      </c>
      <c r="BT135" s="16" t="b">
        <v>0</v>
      </c>
      <c r="BU135" s="16" t="s">
        <v>546</v>
      </c>
    </row>
    <row r="136">
      <c r="A136" s="16" t="s">
        <v>902</v>
      </c>
      <c r="B136" s="16" t="s">
        <v>35</v>
      </c>
      <c r="C136" s="22">
        <v>45343.0</v>
      </c>
      <c r="D136" s="16" t="s">
        <v>890</v>
      </c>
      <c r="E136" s="16" t="s">
        <v>903</v>
      </c>
      <c r="F136" s="16" t="s">
        <v>906</v>
      </c>
      <c r="G136" s="16" t="s">
        <v>1517</v>
      </c>
      <c r="H136" s="23">
        <v>1.0</v>
      </c>
      <c r="I136" s="23">
        <v>10983.67</v>
      </c>
      <c r="J136" s="23">
        <v>10983.67</v>
      </c>
      <c r="N136" s="23">
        <v>0.0</v>
      </c>
      <c r="R136" s="23">
        <v>0.0</v>
      </c>
      <c r="V136" s="23">
        <v>0.0</v>
      </c>
      <c r="Z136" s="23">
        <v>0.0</v>
      </c>
      <c r="AD136" s="23">
        <v>0.0</v>
      </c>
      <c r="AH136" s="23">
        <v>0.0</v>
      </c>
      <c r="AL136" s="23">
        <v>0.0</v>
      </c>
      <c r="AP136" s="23">
        <v>0.0</v>
      </c>
      <c r="AT136" s="23">
        <v>0.0</v>
      </c>
      <c r="AX136" s="23">
        <v>0.0</v>
      </c>
      <c r="BF136" s="23">
        <v>0.0</v>
      </c>
      <c r="BJ136" s="23">
        <v>0.0</v>
      </c>
      <c r="BN136" s="23">
        <v>0.0</v>
      </c>
      <c r="BO136" s="23">
        <v>10983.67</v>
      </c>
      <c r="BP136" s="16" t="s">
        <v>905</v>
      </c>
      <c r="BQ136" s="16" t="b">
        <v>1</v>
      </c>
      <c r="BR136" s="23">
        <v>10983.67</v>
      </c>
      <c r="BT136" s="16" t="b">
        <v>0</v>
      </c>
      <c r="BU136" s="16" t="s">
        <v>546</v>
      </c>
    </row>
    <row r="137">
      <c r="A137" s="16" t="s">
        <v>909</v>
      </c>
      <c r="B137" s="16" t="s">
        <v>35</v>
      </c>
      <c r="C137" s="22">
        <v>45343.0</v>
      </c>
      <c r="D137" s="16" t="s">
        <v>890</v>
      </c>
      <c r="E137" s="16" t="s">
        <v>911</v>
      </c>
      <c r="F137" s="16" t="s">
        <v>893</v>
      </c>
      <c r="G137" s="16" t="s">
        <v>1510</v>
      </c>
      <c r="H137" s="23">
        <v>1.0</v>
      </c>
      <c r="I137" s="23">
        <v>26388.57</v>
      </c>
      <c r="J137" s="23">
        <v>26388.57</v>
      </c>
      <c r="N137" s="23">
        <v>0.0</v>
      </c>
      <c r="R137" s="23">
        <v>0.0</v>
      </c>
      <c r="V137" s="23">
        <v>0.0</v>
      </c>
      <c r="Z137" s="23">
        <v>0.0</v>
      </c>
      <c r="AD137" s="23">
        <v>0.0</v>
      </c>
      <c r="AH137" s="23">
        <v>0.0</v>
      </c>
      <c r="AL137" s="23">
        <v>0.0</v>
      </c>
      <c r="AP137" s="23">
        <v>0.0</v>
      </c>
      <c r="AT137" s="23">
        <v>0.0</v>
      </c>
      <c r="AX137" s="23">
        <v>0.0</v>
      </c>
      <c r="BF137" s="23">
        <v>0.0</v>
      </c>
      <c r="BJ137" s="23">
        <v>0.0</v>
      </c>
      <c r="BN137" s="23">
        <v>0.0</v>
      </c>
      <c r="BO137" s="23">
        <v>26388.57</v>
      </c>
      <c r="BP137" s="16" t="s">
        <v>912</v>
      </c>
      <c r="BQ137" s="16" t="b">
        <v>1</v>
      </c>
      <c r="BR137" s="23">
        <v>26388.57</v>
      </c>
      <c r="BT137" s="16" t="b">
        <v>0</v>
      </c>
      <c r="BU137" s="16" t="s">
        <v>546</v>
      </c>
    </row>
    <row r="138">
      <c r="A138" s="16" t="s">
        <v>915</v>
      </c>
      <c r="B138" s="16" t="s">
        <v>35</v>
      </c>
      <c r="C138" s="22">
        <v>45348.0</v>
      </c>
      <c r="D138" s="16" t="s">
        <v>137</v>
      </c>
      <c r="E138" s="16" t="s">
        <v>917</v>
      </c>
      <c r="F138" s="16" t="s">
        <v>792</v>
      </c>
      <c r="G138" s="16">
        <v>1.2539885E7</v>
      </c>
      <c r="H138" s="23">
        <v>1.0</v>
      </c>
      <c r="I138" s="23">
        <v>180.0</v>
      </c>
      <c r="J138" s="23">
        <v>180.0</v>
      </c>
      <c r="N138" s="23">
        <v>0.0</v>
      </c>
      <c r="R138" s="23">
        <v>0.0</v>
      </c>
      <c r="V138" s="23">
        <v>0.0</v>
      </c>
      <c r="Z138" s="23">
        <v>0.0</v>
      </c>
      <c r="AD138" s="23">
        <v>0.0</v>
      </c>
      <c r="AH138" s="23">
        <v>0.0</v>
      </c>
      <c r="AL138" s="23">
        <v>0.0</v>
      </c>
      <c r="AP138" s="23">
        <v>0.0</v>
      </c>
      <c r="AT138" s="23">
        <v>0.0</v>
      </c>
      <c r="AX138" s="23">
        <v>0.0</v>
      </c>
      <c r="BF138" s="23">
        <v>0.0</v>
      </c>
      <c r="BJ138" s="23">
        <v>0.0</v>
      </c>
      <c r="BN138" s="23">
        <v>0.0</v>
      </c>
      <c r="BO138" s="23">
        <v>180.0</v>
      </c>
      <c r="BP138" s="16" t="s">
        <v>919</v>
      </c>
      <c r="BQ138" s="16" t="b">
        <v>1</v>
      </c>
      <c r="BR138" s="23">
        <v>180.0</v>
      </c>
      <c r="BT138" s="16" t="b">
        <v>0</v>
      </c>
      <c r="BU138" s="16" t="s">
        <v>546</v>
      </c>
    </row>
    <row r="139">
      <c r="A139" s="16" t="s">
        <v>923</v>
      </c>
      <c r="B139" s="16" t="s">
        <v>35</v>
      </c>
      <c r="C139" s="22">
        <v>45348.0</v>
      </c>
      <c r="D139" s="16" t="s">
        <v>460</v>
      </c>
      <c r="F139" s="16" t="s">
        <v>925</v>
      </c>
      <c r="G139" s="16" t="s">
        <v>1536</v>
      </c>
      <c r="H139" s="16">
        <v>1.0</v>
      </c>
      <c r="I139" s="23">
        <v>60.0</v>
      </c>
      <c r="J139" s="23">
        <v>60.0</v>
      </c>
      <c r="BO139" s="23">
        <v>60.0</v>
      </c>
      <c r="BR139" s="23">
        <v>60.0</v>
      </c>
      <c r="BU139" s="16" t="s">
        <v>539</v>
      </c>
    </row>
    <row r="140">
      <c r="A140" s="16" t="s">
        <v>929</v>
      </c>
      <c r="B140" s="16" t="s">
        <v>35</v>
      </c>
      <c r="C140" s="22">
        <v>45348.0</v>
      </c>
      <c r="D140" s="16" t="s">
        <v>460</v>
      </c>
      <c r="F140" s="16" t="s">
        <v>931</v>
      </c>
      <c r="G140" s="16" t="s">
        <v>1126</v>
      </c>
      <c r="H140" s="16">
        <v>1.0</v>
      </c>
      <c r="I140" s="23">
        <v>30.0</v>
      </c>
      <c r="J140" s="23">
        <v>30.0</v>
      </c>
      <c r="BO140" s="23">
        <v>30.0</v>
      </c>
      <c r="BR140" s="23">
        <v>30.0</v>
      </c>
      <c r="BU140" s="16" t="s">
        <v>539</v>
      </c>
    </row>
    <row r="141">
      <c r="A141" s="16" t="s">
        <v>934</v>
      </c>
      <c r="B141" s="16" t="s">
        <v>35</v>
      </c>
      <c r="C141" s="22">
        <v>45348.0</v>
      </c>
      <c r="F141" s="16" t="s">
        <v>936</v>
      </c>
      <c r="G141" s="16" t="s">
        <v>1168</v>
      </c>
      <c r="H141" s="16">
        <v>1.0</v>
      </c>
      <c r="I141" s="23">
        <v>200.0</v>
      </c>
      <c r="J141" s="23">
        <v>200.0</v>
      </c>
      <c r="BO141" s="23">
        <v>200.0</v>
      </c>
      <c r="BR141" s="23">
        <v>200.0</v>
      </c>
      <c r="BU141" s="16" t="s">
        <v>539</v>
      </c>
      <c r="BV141" s="16" t="s">
        <v>624</v>
      </c>
      <c r="BW141" s="16"/>
      <c r="BX141" s="16"/>
      <c r="BY141" s="16"/>
    </row>
    <row r="142">
      <c r="A142" s="16" t="s">
        <v>939</v>
      </c>
      <c r="B142" s="16" t="s">
        <v>35</v>
      </c>
      <c r="C142" s="22">
        <v>45349.0</v>
      </c>
      <c r="D142" s="16" t="s">
        <v>941</v>
      </c>
      <c r="F142" s="16" t="s">
        <v>943</v>
      </c>
      <c r="G142" s="16" t="s">
        <v>1552</v>
      </c>
      <c r="H142" s="16">
        <v>1.0</v>
      </c>
      <c r="I142" s="23">
        <v>156.0</v>
      </c>
      <c r="J142" s="23">
        <v>156.0</v>
      </c>
      <c r="BO142" s="23">
        <v>156.0</v>
      </c>
      <c r="BR142" s="23">
        <v>156.0</v>
      </c>
      <c r="BU142" s="16" t="s">
        <v>539</v>
      </c>
    </row>
    <row r="143">
      <c r="A143" s="16" t="s">
        <v>945</v>
      </c>
      <c r="B143" s="16" t="s">
        <v>35</v>
      </c>
      <c r="C143" s="22">
        <v>45345.0</v>
      </c>
      <c r="D143" s="16" t="s">
        <v>112</v>
      </c>
      <c r="E143" s="16" t="s">
        <v>947</v>
      </c>
      <c r="F143" s="16" t="s">
        <v>792</v>
      </c>
      <c r="G143" s="16" t="s">
        <v>159</v>
      </c>
      <c r="H143" s="23">
        <v>12.0</v>
      </c>
      <c r="I143" s="23">
        <v>14.0</v>
      </c>
      <c r="J143" s="23">
        <v>168.0</v>
      </c>
      <c r="K143" s="16" t="s">
        <v>155</v>
      </c>
      <c r="L143" s="23">
        <v>1.0</v>
      </c>
      <c r="M143" s="23">
        <v>57.26</v>
      </c>
      <c r="N143" s="23">
        <v>57.26</v>
      </c>
      <c r="O143" s="16" t="s">
        <v>230</v>
      </c>
      <c r="P143" s="23">
        <v>1.0</v>
      </c>
      <c r="Q143" s="23">
        <v>151.2</v>
      </c>
      <c r="R143" s="23">
        <v>151.2</v>
      </c>
      <c r="S143" s="16" t="s">
        <v>152</v>
      </c>
      <c r="T143" s="23">
        <v>1.0</v>
      </c>
      <c r="U143" s="23">
        <v>15.48</v>
      </c>
      <c r="V143" s="23">
        <v>15.48</v>
      </c>
      <c r="W143" s="16" t="s">
        <v>226</v>
      </c>
      <c r="X143" s="23">
        <v>5.0</v>
      </c>
      <c r="Y143" s="23">
        <v>8.0</v>
      </c>
      <c r="Z143" s="23">
        <v>40.0</v>
      </c>
      <c r="AD143" s="23">
        <v>0.0</v>
      </c>
      <c r="AH143" s="23">
        <v>0.0</v>
      </c>
      <c r="AL143" s="23">
        <v>0.0</v>
      </c>
      <c r="AP143" s="23">
        <v>0.0</v>
      </c>
      <c r="AT143" s="23">
        <v>0.0</v>
      </c>
      <c r="AX143" s="23">
        <v>0.0</v>
      </c>
      <c r="BF143" s="23">
        <v>0.0</v>
      </c>
      <c r="BJ143" s="23">
        <v>0.0</v>
      </c>
      <c r="BN143" s="23">
        <v>0.0</v>
      </c>
      <c r="BO143" s="23">
        <v>431.94</v>
      </c>
      <c r="BP143" s="16" t="s">
        <v>949</v>
      </c>
      <c r="BQ143" s="16" t="b">
        <v>1</v>
      </c>
      <c r="BR143" s="23">
        <v>431.94</v>
      </c>
      <c r="BS143" s="23">
        <v>791429.0</v>
      </c>
      <c r="BT143" s="16" t="b">
        <v>1</v>
      </c>
      <c r="BU143" s="16" t="s">
        <v>546</v>
      </c>
    </row>
    <row r="144">
      <c r="A144" s="16" t="s">
        <v>951</v>
      </c>
      <c r="B144" s="16" t="s">
        <v>35</v>
      </c>
      <c r="C144" s="22">
        <v>45346.0</v>
      </c>
      <c r="D144" s="16" t="s">
        <v>112</v>
      </c>
      <c r="E144" s="16" t="s">
        <v>953</v>
      </c>
      <c r="F144" s="16" t="s">
        <v>792</v>
      </c>
      <c r="G144" s="16" t="s">
        <v>226</v>
      </c>
      <c r="H144" s="23">
        <v>3.0</v>
      </c>
      <c r="I144" s="23">
        <v>8.0</v>
      </c>
      <c r="J144" s="23">
        <v>24.0</v>
      </c>
      <c r="K144" s="16" t="s">
        <v>230</v>
      </c>
      <c r="L144" s="23">
        <v>1.0</v>
      </c>
      <c r="M144" s="23">
        <v>92.0</v>
      </c>
      <c r="N144" s="23">
        <v>92.0</v>
      </c>
      <c r="O144" s="16" t="s">
        <v>155</v>
      </c>
      <c r="P144" s="23">
        <v>1.0</v>
      </c>
      <c r="Q144" s="23">
        <v>39.2</v>
      </c>
      <c r="R144" s="23">
        <v>39.2</v>
      </c>
      <c r="V144" s="23">
        <v>0.0</v>
      </c>
      <c r="Z144" s="23">
        <v>0.0</v>
      </c>
      <c r="AD144" s="23">
        <v>0.0</v>
      </c>
      <c r="AH144" s="23">
        <v>0.0</v>
      </c>
      <c r="AL144" s="23">
        <v>0.0</v>
      </c>
      <c r="AP144" s="23">
        <v>0.0</v>
      </c>
      <c r="AT144" s="23">
        <v>0.0</v>
      </c>
      <c r="AX144" s="23">
        <v>0.0</v>
      </c>
      <c r="BF144" s="23">
        <v>0.0</v>
      </c>
      <c r="BJ144" s="23">
        <v>0.0</v>
      </c>
      <c r="BN144" s="23">
        <v>0.0</v>
      </c>
      <c r="BO144" s="23">
        <v>155.2</v>
      </c>
      <c r="BP144" s="16" t="s">
        <v>954</v>
      </c>
      <c r="BQ144" s="16" t="b">
        <v>1</v>
      </c>
      <c r="BR144" s="23">
        <v>155.2</v>
      </c>
      <c r="BS144" s="23">
        <v>792663.0</v>
      </c>
      <c r="BT144" s="16" t="b">
        <v>1</v>
      </c>
      <c r="BU144" s="16" t="s">
        <v>546</v>
      </c>
    </row>
    <row r="145">
      <c r="A145" s="16" t="s">
        <v>956</v>
      </c>
      <c r="B145" s="16" t="s">
        <v>35</v>
      </c>
      <c r="C145" s="22">
        <v>45348.0</v>
      </c>
      <c r="D145" s="16" t="s">
        <v>595</v>
      </c>
      <c r="E145" s="16" t="s">
        <v>957</v>
      </c>
      <c r="F145" s="16" t="s">
        <v>960</v>
      </c>
      <c r="G145" s="16" t="s">
        <v>717</v>
      </c>
      <c r="H145" s="23">
        <v>1.0</v>
      </c>
      <c r="I145" s="23">
        <v>20.0</v>
      </c>
      <c r="J145" s="23">
        <v>20.0</v>
      </c>
      <c r="N145" s="23">
        <v>0.0</v>
      </c>
      <c r="R145" s="23">
        <v>0.0</v>
      </c>
      <c r="V145" s="23">
        <v>0.0</v>
      </c>
      <c r="Z145" s="23">
        <v>0.0</v>
      </c>
      <c r="AD145" s="23">
        <v>0.0</v>
      </c>
      <c r="AH145" s="23">
        <v>0.0</v>
      </c>
      <c r="AL145" s="23">
        <v>0.0</v>
      </c>
      <c r="AP145" s="23">
        <v>0.0</v>
      </c>
      <c r="AT145" s="23">
        <v>0.0</v>
      </c>
      <c r="AX145" s="23">
        <v>0.0</v>
      </c>
      <c r="BF145" s="23">
        <v>0.0</v>
      </c>
      <c r="BJ145" s="23">
        <v>0.0</v>
      </c>
      <c r="BN145" s="23">
        <v>0.0</v>
      </c>
      <c r="BO145" s="23">
        <v>20.0</v>
      </c>
      <c r="BP145" s="16" t="s">
        <v>958</v>
      </c>
      <c r="BQ145" s="16" t="b">
        <v>1</v>
      </c>
      <c r="BR145" s="23">
        <v>20.0</v>
      </c>
      <c r="BS145" s="23">
        <v>795882.0</v>
      </c>
      <c r="BT145" s="16" t="b">
        <v>1</v>
      </c>
      <c r="BU145" s="16" t="s">
        <v>546</v>
      </c>
    </row>
    <row r="146">
      <c r="A146" s="16" t="s">
        <v>962</v>
      </c>
      <c r="B146" s="16" t="s">
        <v>35</v>
      </c>
      <c r="C146" s="22">
        <v>45349.0</v>
      </c>
      <c r="D146" s="16" t="s">
        <v>112</v>
      </c>
      <c r="E146" s="16" t="s">
        <v>964</v>
      </c>
      <c r="F146" s="16" t="s">
        <v>45</v>
      </c>
      <c r="G146" s="16" t="s">
        <v>230</v>
      </c>
      <c r="H146" s="23">
        <v>5.0</v>
      </c>
      <c r="I146" s="23">
        <v>24.0</v>
      </c>
      <c r="J146" s="23">
        <v>120.0</v>
      </c>
      <c r="K146" s="16" t="s">
        <v>152</v>
      </c>
      <c r="L146" s="23">
        <v>1.0</v>
      </c>
      <c r="M146" s="23">
        <v>13.2</v>
      </c>
      <c r="N146" s="23">
        <v>13.2</v>
      </c>
      <c r="O146" s="16" t="s">
        <v>226</v>
      </c>
      <c r="P146" s="23">
        <v>5.0</v>
      </c>
      <c r="Q146" s="23">
        <v>8.0</v>
      </c>
      <c r="R146" s="23">
        <v>40.0</v>
      </c>
      <c r="V146" s="23">
        <v>0.0</v>
      </c>
      <c r="Z146" s="23">
        <v>0.0</v>
      </c>
      <c r="AD146" s="23">
        <v>0.0</v>
      </c>
      <c r="AH146" s="23">
        <v>0.0</v>
      </c>
      <c r="AL146" s="23">
        <v>0.0</v>
      </c>
      <c r="AP146" s="23">
        <v>0.0</v>
      </c>
      <c r="AT146" s="23">
        <v>0.0</v>
      </c>
      <c r="AX146" s="23">
        <v>0.0</v>
      </c>
      <c r="BF146" s="23">
        <v>0.0</v>
      </c>
      <c r="BJ146" s="23">
        <v>0.0</v>
      </c>
      <c r="BN146" s="23">
        <v>0.0</v>
      </c>
      <c r="BO146" s="23">
        <v>173.2</v>
      </c>
      <c r="BP146" s="16" t="s">
        <v>965</v>
      </c>
      <c r="BQ146" s="16" t="b">
        <v>1</v>
      </c>
      <c r="BR146" s="23">
        <v>173.2</v>
      </c>
      <c r="BS146" s="23">
        <v>797233.0</v>
      </c>
      <c r="BT146" s="16" t="b">
        <v>1</v>
      </c>
      <c r="BU146" s="16" t="s">
        <v>546</v>
      </c>
    </row>
    <row r="147">
      <c r="A147" s="16" t="s">
        <v>969</v>
      </c>
      <c r="B147" s="16" t="s">
        <v>35</v>
      </c>
      <c r="C147" s="22">
        <v>45351.0</v>
      </c>
      <c r="D147" s="16" t="s">
        <v>764</v>
      </c>
      <c r="E147" s="16" t="s">
        <v>971</v>
      </c>
      <c r="F147" s="16" t="s">
        <v>195</v>
      </c>
      <c r="G147" s="16" t="s">
        <v>1073</v>
      </c>
      <c r="H147" s="23">
        <v>1.0</v>
      </c>
      <c r="I147" s="23">
        <v>35.3</v>
      </c>
      <c r="J147" s="23">
        <v>35.3</v>
      </c>
      <c r="K147" s="16" t="s">
        <v>1404</v>
      </c>
      <c r="L147" s="23">
        <v>2.0</v>
      </c>
      <c r="M147" s="23">
        <v>16.0</v>
      </c>
      <c r="N147" s="23">
        <v>32.0</v>
      </c>
      <c r="O147" s="16" t="s">
        <v>1074</v>
      </c>
      <c r="P147" s="23">
        <v>7.0</v>
      </c>
      <c r="Q147" s="23">
        <v>32.0</v>
      </c>
      <c r="R147" s="23">
        <v>224.0</v>
      </c>
      <c r="S147" s="16" t="s">
        <v>1075</v>
      </c>
      <c r="T147" s="23">
        <v>4.0</v>
      </c>
      <c r="U147" s="23">
        <v>17.0</v>
      </c>
      <c r="V147" s="23">
        <v>68.0</v>
      </c>
      <c r="W147" s="16" t="s">
        <v>1079</v>
      </c>
      <c r="X147" s="23">
        <v>20.0</v>
      </c>
      <c r="Y147" s="23">
        <v>16.2</v>
      </c>
      <c r="Z147" s="23">
        <v>324.0</v>
      </c>
      <c r="AA147" s="16" t="s">
        <v>1080</v>
      </c>
      <c r="AB147" s="23">
        <v>7.0</v>
      </c>
      <c r="AC147" s="23">
        <v>16.3</v>
      </c>
      <c r="AD147" s="23">
        <v>114.1</v>
      </c>
      <c r="AE147" s="16" t="s">
        <v>1081</v>
      </c>
      <c r="AF147" s="23">
        <v>2.0</v>
      </c>
      <c r="AG147" s="23">
        <v>45.0</v>
      </c>
      <c r="AH147" s="23">
        <v>90.0</v>
      </c>
      <c r="AI147" s="16" t="s">
        <v>1083</v>
      </c>
      <c r="AJ147" s="23">
        <v>2.0</v>
      </c>
      <c r="AK147" s="23">
        <v>16.0</v>
      </c>
      <c r="AL147" s="23">
        <v>32.0</v>
      </c>
      <c r="AM147" s="16" t="s">
        <v>1085</v>
      </c>
      <c r="AN147" s="23">
        <v>2.0</v>
      </c>
      <c r="AO147" s="23">
        <v>34.0</v>
      </c>
      <c r="AP147" s="23">
        <v>68.0</v>
      </c>
      <c r="AT147" s="23">
        <v>0.0</v>
      </c>
      <c r="AX147" s="23">
        <v>0.0</v>
      </c>
      <c r="BF147" s="23">
        <v>0.0</v>
      </c>
      <c r="BJ147" s="23">
        <v>0.0</v>
      </c>
      <c r="BN147" s="23">
        <v>0.0</v>
      </c>
      <c r="BO147" s="23">
        <v>987.4</v>
      </c>
      <c r="BP147" s="16" t="s">
        <v>974</v>
      </c>
      <c r="BQ147" s="16" t="b">
        <v>1</v>
      </c>
      <c r="BR147" s="23">
        <v>987.4</v>
      </c>
      <c r="BT147" s="16" t="b">
        <v>0</v>
      </c>
      <c r="BU147" s="16" t="s">
        <v>546</v>
      </c>
    </row>
    <row r="148">
      <c r="A148" s="16" t="s">
        <v>976</v>
      </c>
      <c r="B148" s="16" t="s">
        <v>35</v>
      </c>
      <c r="C148" s="22">
        <v>45353.0</v>
      </c>
      <c r="D148" s="16" t="s">
        <v>112</v>
      </c>
      <c r="E148" s="16" t="s">
        <v>978</v>
      </c>
      <c r="F148" s="16" t="s">
        <v>157</v>
      </c>
      <c r="G148" s="16" t="s">
        <v>226</v>
      </c>
      <c r="H148" s="23">
        <v>6.0</v>
      </c>
      <c r="I148" s="23">
        <v>8.0</v>
      </c>
      <c r="J148" s="23">
        <v>48.0</v>
      </c>
      <c r="K148" s="16" t="s">
        <v>152</v>
      </c>
      <c r="L148" s="23">
        <v>3.0</v>
      </c>
      <c r="M148" s="23">
        <v>4.4</v>
      </c>
      <c r="N148" s="23">
        <v>13.2</v>
      </c>
      <c r="O148" s="16" t="s">
        <v>230</v>
      </c>
      <c r="P148" s="23">
        <v>5.0</v>
      </c>
      <c r="Q148" s="23">
        <v>24.0</v>
      </c>
      <c r="R148" s="23">
        <v>120.0</v>
      </c>
      <c r="S148" s="16" t="s">
        <v>155</v>
      </c>
      <c r="T148" s="23">
        <v>1.0</v>
      </c>
      <c r="U148" s="23">
        <v>36.52</v>
      </c>
      <c r="V148" s="23">
        <v>36.52</v>
      </c>
      <c r="W148" s="16" t="s">
        <v>159</v>
      </c>
      <c r="X148" s="23">
        <v>12.0</v>
      </c>
      <c r="Y148" s="23">
        <v>14.0</v>
      </c>
      <c r="Z148" s="23">
        <v>168.0</v>
      </c>
      <c r="AD148" s="23">
        <v>0.0</v>
      </c>
      <c r="AH148" s="23">
        <v>0.0</v>
      </c>
      <c r="AL148" s="23">
        <v>0.0</v>
      </c>
      <c r="AP148" s="23">
        <v>0.0</v>
      </c>
      <c r="AT148" s="23">
        <v>0.0</v>
      </c>
      <c r="AX148" s="23">
        <v>0.0</v>
      </c>
      <c r="BF148" s="23">
        <v>0.0</v>
      </c>
      <c r="BJ148" s="23">
        <v>0.0</v>
      </c>
      <c r="BN148" s="23">
        <v>0.0</v>
      </c>
      <c r="BO148" s="23">
        <v>385.72</v>
      </c>
      <c r="BP148" s="16" t="s">
        <v>979</v>
      </c>
      <c r="BQ148" s="16" t="b">
        <v>1</v>
      </c>
      <c r="BR148" s="23">
        <v>385.72</v>
      </c>
      <c r="BS148" s="23">
        <v>801538.0</v>
      </c>
      <c r="BT148" s="16" t="b">
        <v>1</v>
      </c>
      <c r="BU148" s="16" t="s">
        <v>546</v>
      </c>
    </row>
    <row r="149">
      <c r="A149" s="16" t="s">
        <v>982</v>
      </c>
      <c r="B149" s="16" t="s">
        <v>35</v>
      </c>
      <c r="C149" s="22">
        <v>45353.0</v>
      </c>
      <c r="D149" s="16" t="s">
        <v>137</v>
      </c>
      <c r="E149" s="16" t="s">
        <v>984</v>
      </c>
      <c r="F149" s="16" t="s">
        <v>171</v>
      </c>
      <c r="G149" s="16">
        <v>1.2539885E7</v>
      </c>
      <c r="H149" s="23">
        <v>15.0</v>
      </c>
      <c r="I149" s="23">
        <v>20.0</v>
      </c>
      <c r="J149" s="23">
        <v>300.0</v>
      </c>
      <c r="N149" s="23">
        <v>0.0</v>
      </c>
      <c r="R149" s="23">
        <v>0.0</v>
      </c>
      <c r="V149" s="23">
        <v>0.0</v>
      </c>
      <c r="Z149" s="23">
        <v>0.0</v>
      </c>
      <c r="AD149" s="23">
        <v>0.0</v>
      </c>
      <c r="AH149" s="23">
        <v>0.0</v>
      </c>
      <c r="AL149" s="23">
        <v>0.0</v>
      </c>
      <c r="AP149" s="23">
        <v>0.0</v>
      </c>
      <c r="AT149" s="23">
        <v>0.0</v>
      </c>
      <c r="AX149" s="23">
        <v>0.0</v>
      </c>
      <c r="BF149" s="23">
        <v>0.0</v>
      </c>
      <c r="BJ149" s="23">
        <v>0.0</v>
      </c>
      <c r="BN149" s="23">
        <v>0.0</v>
      </c>
      <c r="BO149" s="23">
        <v>300.0</v>
      </c>
      <c r="BP149" s="16" t="s">
        <v>986</v>
      </c>
      <c r="BQ149" s="16" t="b">
        <v>1</v>
      </c>
      <c r="BR149" s="23">
        <v>300.0</v>
      </c>
      <c r="BS149" s="23">
        <v>801559.0</v>
      </c>
      <c r="BT149" s="16" t="b">
        <v>1</v>
      </c>
      <c r="BU149" s="16" t="s">
        <v>546</v>
      </c>
    </row>
    <row r="150">
      <c r="A150" s="16" t="s">
        <v>989</v>
      </c>
      <c r="B150" s="16" t="s">
        <v>35</v>
      </c>
      <c r="C150" s="22">
        <v>45352.0</v>
      </c>
      <c r="D150" s="23">
        <v>2.6065919E7</v>
      </c>
      <c r="E150" s="16" t="s">
        <v>991</v>
      </c>
      <c r="F150" s="16" t="s">
        <v>994</v>
      </c>
      <c r="G150" s="16" t="s">
        <v>1022</v>
      </c>
      <c r="H150" s="23">
        <v>1.0</v>
      </c>
      <c r="I150" s="23">
        <v>225.0</v>
      </c>
      <c r="J150" s="23">
        <v>225.0</v>
      </c>
      <c r="N150" s="23">
        <v>0.0</v>
      </c>
      <c r="R150" s="23">
        <v>0.0</v>
      </c>
      <c r="V150" s="23">
        <v>0.0</v>
      </c>
      <c r="Z150" s="23">
        <v>0.0</v>
      </c>
      <c r="AD150" s="23">
        <v>0.0</v>
      </c>
      <c r="AH150" s="23">
        <v>0.0</v>
      </c>
      <c r="AL150" s="23">
        <v>0.0</v>
      </c>
      <c r="AP150" s="23">
        <v>0.0</v>
      </c>
      <c r="AT150" s="23">
        <v>0.0</v>
      </c>
      <c r="AX150" s="23">
        <v>0.0</v>
      </c>
      <c r="BF150" s="23">
        <v>0.0</v>
      </c>
      <c r="BJ150" s="23">
        <v>0.0</v>
      </c>
      <c r="BN150" s="23">
        <v>0.0</v>
      </c>
      <c r="BO150" s="23">
        <v>225.0</v>
      </c>
      <c r="BP150" s="16" t="s">
        <v>992</v>
      </c>
      <c r="BQ150" s="16" t="b">
        <v>1</v>
      </c>
      <c r="BR150" s="23">
        <v>225.0</v>
      </c>
      <c r="BS150" s="23">
        <v>800790.0</v>
      </c>
      <c r="BT150" s="16" t="b">
        <v>1</v>
      </c>
      <c r="BU150" s="16" t="s">
        <v>546</v>
      </c>
    </row>
    <row r="151">
      <c r="A151" s="16" t="s">
        <v>996</v>
      </c>
      <c r="B151" s="16" t="s">
        <v>35</v>
      </c>
      <c r="C151" s="22">
        <v>45352.0</v>
      </c>
      <c r="D151" s="16" t="s">
        <v>112</v>
      </c>
      <c r="E151" s="16" t="s">
        <v>998</v>
      </c>
      <c r="F151" s="16" t="s">
        <v>792</v>
      </c>
      <c r="G151" s="16" t="s">
        <v>226</v>
      </c>
      <c r="H151" s="23">
        <v>8.0</v>
      </c>
      <c r="I151" s="23">
        <v>7.5</v>
      </c>
      <c r="J151" s="23">
        <v>60.0</v>
      </c>
      <c r="K151" s="16" t="s">
        <v>152</v>
      </c>
      <c r="L151" s="23">
        <v>4.0</v>
      </c>
      <c r="M151" s="23">
        <v>4.2</v>
      </c>
      <c r="N151" s="23">
        <v>16.8</v>
      </c>
      <c r="O151" s="16" t="s">
        <v>230</v>
      </c>
      <c r="P151" s="23">
        <v>7.0</v>
      </c>
      <c r="Q151" s="23">
        <v>23.0</v>
      </c>
      <c r="R151" s="23">
        <v>161.0</v>
      </c>
      <c r="S151" s="16" t="s">
        <v>159</v>
      </c>
      <c r="T151" s="23">
        <v>4.0</v>
      </c>
      <c r="U151" s="23">
        <v>14.5</v>
      </c>
      <c r="V151" s="23">
        <v>58.0</v>
      </c>
      <c r="Z151" s="23">
        <v>0.0</v>
      </c>
      <c r="AD151" s="23">
        <v>0.0</v>
      </c>
      <c r="AH151" s="23">
        <v>0.0</v>
      </c>
      <c r="AL151" s="23">
        <v>0.0</v>
      </c>
      <c r="AP151" s="23">
        <v>0.0</v>
      </c>
      <c r="AT151" s="23">
        <v>0.0</v>
      </c>
      <c r="AX151" s="23">
        <v>0.0</v>
      </c>
      <c r="BF151" s="23">
        <v>0.0</v>
      </c>
      <c r="BJ151" s="23">
        <v>0.0</v>
      </c>
      <c r="BN151" s="23">
        <v>0.0</v>
      </c>
      <c r="BO151" s="23">
        <v>295.8</v>
      </c>
      <c r="BP151" s="16" t="s">
        <v>999</v>
      </c>
      <c r="BQ151" s="16" t="b">
        <v>1</v>
      </c>
      <c r="BR151" s="23">
        <v>295.8</v>
      </c>
      <c r="BS151" s="23">
        <v>800236.0</v>
      </c>
      <c r="BT151" s="16" t="b">
        <v>1</v>
      </c>
      <c r="BU151" s="16" t="s">
        <v>546</v>
      </c>
    </row>
    <row r="152">
      <c r="A152" s="16" t="s">
        <v>1001</v>
      </c>
      <c r="B152" s="16" t="s">
        <v>35</v>
      </c>
      <c r="C152" s="22">
        <v>45355.0</v>
      </c>
      <c r="D152" s="23">
        <v>8.627274E7</v>
      </c>
      <c r="E152" s="16" t="s">
        <v>1002</v>
      </c>
      <c r="F152" s="16" t="s">
        <v>1005</v>
      </c>
      <c r="G152" s="16" t="s">
        <v>249</v>
      </c>
      <c r="H152" s="23">
        <v>1.0</v>
      </c>
      <c r="I152" s="23">
        <v>24.99</v>
      </c>
      <c r="J152" s="23">
        <v>24.99</v>
      </c>
      <c r="N152" s="23">
        <v>0.0</v>
      </c>
      <c r="R152" s="23">
        <v>0.0</v>
      </c>
      <c r="V152" s="23">
        <v>0.0</v>
      </c>
      <c r="Z152" s="23">
        <v>0.0</v>
      </c>
      <c r="AD152" s="23">
        <v>0.0</v>
      </c>
      <c r="AH152" s="23">
        <v>0.0</v>
      </c>
      <c r="AL152" s="23">
        <v>0.0</v>
      </c>
      <c r="AP152" s="23">
        <v>0.0</v>
      </c>
      <c r="AT152" s="23">
        <v>0.0</v>
      </c>
      <c r="AX152" s="23">
        <v>0.0</v>
      </c>
      <c r="BF152" s="23">
        <v>0.0</v>
      </c>
      <c r="BJ152" s="23">
        <v>0.0</v>
      </c>
      <c r="BN152" s="23">
        <v>0.0</v>
      </c>
      <c r="BO152" s="23">
        <v>24.99</v>
      </c>
      <c r="BP152" s="16" t="s">
        <v>1004</v>
      </c>
      <c r="BQ152" s="16" t="b">
        <v>1</v>
      </c>
      <c r="BR152" s="23">
        <v>24.99</v>
      </c>
      <c r="BT152" s="16" t="b">
        <v>0</v>
      </c>
      <c r="BU152" s="16" t="s">
        <v>546</v>
      </c>
    </row>
    <row r="153">
      <c r="A153" s="16" t="s">
        <v>1008</v>
      </c>
      <c r="B153" s="16" t="s">
        <v>35</v>
      </c>
      <c r="C153" s="22">
        <v>45355.0</v>
      </c>
      <c r="D153" s="16" t="s">
        <v>137</v>
      </c>
      <c r="E153" s="16" t="s">
        <v>1010</v>
      </c>
      <c r="F153" s="16" t="s">
        <v>792</v>
      </c>
      <c r="G153" s="16">
        <v>1.2539885E7</v>
      </c>
      <c r="H153" s="23">
        <v>5.0</v>
      </c>
      <c r="I153" s="23">
        <v>20.0</v>
      </c>
      <c r="J153" s="23">
        <v>100.0</v>
      </c>
      <c r="N153" s="23">
        <v>0.0</v>
      </c>
      <c r="R153" s="23">
        <v>0.0</v>
      </c>
      <c r="V153" s="23">
        <v>0.0</v>
      </c>
      <c r="Z153" s="23">
        <v>0.0</v>
      </c>
      <c r="AD153" s="23">
        <v>0.0</v>
      </c>
      <c r="AH153" s="23">
        <v>0.0</v>
      </c>
      <c r="AL153" s="23">
        <v>0.0</v>
      </c>
      <c r="AP153" s="23">
        <v>0.0</v>
      </c>
      <c r="AT153" s="23">
        <v>0.0</v>
      </c>
      <c r="AX153" s="23">
        <v>0.0</v>
      </c>
      <c r="BF153" s="23">
        <v>0.0</v>
      </c>
      <c r="BJ153" s="23">
        <v>0.0</v>
      </c>
      <c r="BN153" s="23">
        <v>0.0</v>
      </c>
      <c r="BO153" s="23">
        <v>100.0</v>
      </c>
      <c r="BP153" s="16" t="s">
        <v>1011</v>
      </c>
      <c r="BQ153" s="16" t="b">
        <v>1</v>
      </c>
      <c r="BR153" s="23">
        <v>100.0</v>
      </c>
      <c r="BS153" s="23">
        <v>805331.0</v>
      </c>
      <c r="BT153" s="16" t="b">
        <v>1</v>
      </c>
      <c r="BU153" s="16" t="s">
        <v>546</v>
      </c>
    </row>
    <row r="154">
      <c r="A154" s="16" t="s">
        <v>1015</v>
      </c>
      <c r="B154" s="16" t="s">
        <v>35</v>
      </c>
      <c r="C154" s="22">
        <v>45355.0</v>
      </c>
      <c r="D154" s="16" t="s">
        <v>1016</v>
      </c>
      <c r="E154" s="16" t="s">
        <v>1017</v>
      </c>
      <c r="F154" s="16" t="s">
        <v>1020</v>
      </c>
      <c r="G154" s="16" t="s">
        <v>1648</v>
      </c>
      <c r="H154" s="23">
        <v>1.0</v>
      </c>
      <c r="I154" s="23">
        <v>152.69</v>
      </c>
      <c r="J154" s="23">
        <v>152.69</v>
      </c>
      <c r="N154" s="23">
        <v>0.0</v>
      </c>
      <c r="R154" s="23">
        <v>0.0</v>
      </c>
      <c r="V154" s="23">
        <v>0.0</v>
      </c>
      <c r="Z154" s="23">
        <v>0.0</v>
      </c>
      <c r="AD154" s="23">
        <v>0.0</v>
      </c>
      <c r="AH154" s="23">
        <v>0.0</v>
      </c>
      <c r="AL154" s="23">
        <v>0.0</v>
      </c>
      <c r="AP154" s="23">
        <v>0.0</v>
      </c>
      <c r="AT154" s="23">
        <v>0.0</v>
      </c>
      <c r="AX154" s="23">
        <v>0.0</v>
      </c>
      <c r="BF154" s="23">
        <v>0.0</v>
      </c>
      <c r="BJ154" s="23">
        <v>0.0</v>
      </c>
      <c r="BN154" s="23">
        <v>0.0</v>
      </c>
      <c r="BO154" s="23">
        <v>152.69</v>
      </c>
      <c r="BP154" s="16" t="s">
        <v>1019</v>
      </c>
      <c r="BQ154" s="16" t="b">
        <v>1</v>
      </c>
      <c r="BR154" s="23">
        <v>152.69</v>
      </c>
      <c r="BT154" s="16" t="b">
        <v>0</v>
      </c>
      <c r="BU154" s="16" t="s">
        <v>546</v>
      </c>
    </row>
    <row r="155">
      <c r="A155" s="16" t="s">
        <v>1023</v>
      </c>
      <c r="B155" s="16" t="s">
        <v>35</v>
      </c>
      <c r="C155" s="22">
        <v>45355.0</v>
      </c>
      <c r="D155" s="23">
        <v>6.8893939E7</v>
      </c>
      <c r="E155" s="16" t="s">
        <v>1025</v>
      </c>
      <c r="F155" s="16" t="s">
        <v>605</v>
      </c>
      <c r="G155" s="16" t="s">
        <v>1653</v>
      </c>
      <c r="H155" s="23">
        <v>1.0</v>
      </c>
      <c r="I155" s="23">
        <v>81.96</v>
      </c>
      <c r="J155" s="23">
        <v>81.96</v>
      </c>
      <c r="N155" s="23">
        <v>0.0</v>
      </c>
      <c r="R155" s="23">
        <v>0.0</v>
      </c>
      <c r="V155" s="23">
        <v>0.0</v>
      </c>
      <c r="Z155" s="23">
        <v>0.0</v>
      </c>
      <c r="AD155" s="23">
        <v>0.0</v>
      </c>
      <c r="AH155" s="23">
        <v>0.0</v>
      </c>
      <c r="AL155" s="23">
        <v>0.0</v>
      </c>
      <c r="AP155" s="23">
        <v>0.0</v>
      </c>
      <c r="AT155" s="23">
        <v>0.0</v>
      </c>
      <c r="AX155" s="23">
        <v>0.0</v>
      </c>
      <c r="BF155" s="23">
        <v>0.0</v>
      </c>
      <c r="BJ155" s="23">
        <v>0.0</v>
      </c>
      <c r="BN155" s="23">
        <v>0.0</v>
      </c>
      <c r="BO155" s="23">
        <v>81.96</v>
      </c>
      <c r="BP155" s="16" t="s">
        <v>1026</v>
      </c>
      <c r="BQ155" s="16" t="b">
        <v>1</v>
      </c>
      <c r="BR155" s="23">
        <v>81.96</v>
      </c>
      <c r="BT155" s="16" t="b">
        <v>0</v>
      </c>
      <c r="BU155" s="16" t="s">
        <v>546</v>
      </c>
    </row>
    <row r="156">
      <c r="A156" s="16" t="s">
        <v>1029</v>
      </c>
      <c r="B156" s="16" t="s">
        <v>35</v>
      </c>
      <c r="C156" s="22">
        <v>45355.0</v>
      </c>
      <c r="D156" s="16" t="s">
        <v>112</v>
      </c>
      <c r="E156" s="16" t="s">
        <v>1030</v>
      </c>
      <c r="F156" s="16" t="s">
        <v>792</v>
      </c>
      <c r="G156" s="16" t="s">
        <v>230</v>
      </c>
      <c r="H156" s="23">
        <v>5.0</v>
      </c>
      <c r="I156" s="23">
        <v>24.0</v>
      </c>
      <c r="J156" s="23">
        <v>120.0</v>
      </c>
      <c r="K156" s="16" t="s">
        <v>155</v>
      </c>
      <c r="L156" s="23">
        <v>4.0</v>
      </c>
      <c r="M156" s="23">
        <v>7.5</v>
      </c>
      <c r="N156" s="23">
        <v>30.0</v>
      </c>
      <c r="O156" s="16" t="s">
        <v>159</v>
      </c>
      <c r="P156" s="23">
        <v>10.0</v>
      </c>
      <c r="Q156" s="23">
        <v>14.0</v>
      </c>
      <c r="R156" s="23">
        <v>140.0</v>
      </c>
      <c r="V156" s="23">
        <v>0.0</v>
      </c>
      <c r="Z156" s="23">
        <v>0.0</v>
      </c>
      <c r="AD156" s="23">
        <v>0.0</v>
      </c>
      <c r="AH156" s="23">
        <v>0.0</v>
      </c>
      <c r="AL156" s="23">
        <v>0.0</v>
      </c>
      <c r="AP156" s="23">
        <v>0.0</v>
      </c>
      <c r="AT156" s="23">
        <v>0.0</v>
      </c>
      <c r="AX156" s="23">
        <v>0.0</v>
      </c>
      <c r="BF156" s="23">
        <v>0.0</v>
      </c>
      <c r="BJ156" s="23">
        <v>0.0</v>
      </c>
      <c r="BN156" s="23">
        <v>0.0</v>
      </c>
      <c r="BO156" s="23">
        <v>290.0</v>
      </c>
      <c r="BP156" s="16" t="s">
        <v>1032</v>
      </c>
      <c r="BQ156" s="16" t="b">
        <v>1</v>
      </c>
      <c r="BR156" s="23">
        <v>290.0</v>
      </c>
      <c r="BS156" s="23">
        <v>805546.0</v>
      </c>
      <c r="BT156" s="16" t="b">
        <v>1</v>
      </c>
      <c r="BU156" s="16" t="s">
        <v>546</v>
      </c>
    </row>
    <row r="157">
      <c r="A157" s="16" t="s">
        <v>1035</v>
      </c>
      <c r="B157" s="16" t="s">
        <v>35</v>
      </c>
      <c r="C157" s="22">
        <v>45361.0</v>
      </c>
      <c r="D157" s="16" t="s">
        <v>1036</v>
      </c>
      <c r="E157" s="16" t="s">
        <v>1037</v>
      </c>
      <c r="F157" s="16" t="s">
        <v>1040</v>
      </c>
      <c r="G157" s="16" t="s">
        <v>1668</v>
      </c>
      <c r="H157" s="23">
        <v>1.0</v>
      </c>
      <c r="I157" s="23">
        <v>106.7</v>
      </c>
      <c r="J157" s="23">
        <v>106.7</v>
      </c>
      <c r="N157" s="23">
        <v>0.0</v>
      </c>
      <c r="R157" s="23">
        <v>0.0</v>
      </c>
      <c r="V157" s="23">
        <v>0.0</v>
      </c>
      <c r="Z157" s="23">
        <v>0.0</v>
      </c>
      <c r="AD157" s="23">
        <v>0.0</v>
      </c>
      <c r="AH157" s="23">
        <v>0.0</v>
      </c>
      <c r="AL157" s="23">
        <v>0.0</v>
      </c>
      <c r="AP157" s="23">
        <v>0.0</v>
      </c>
      <c r="AT157" s="23">
        <v>0.0</v>
      </c>
      <c r="AX157" s="23">
        <v>0.0</v>
      </c>
      <c r="BF157" s="23">
        <v>0.0</v>
      </c>
      <c r="BJ157" s="23">
        <v>0.0</v>
      </c>
      <c r="BN157" s="23">
        <v>0.0</v>
      </c>
      <c r="BO157" s="23">
        <v>106.7</v>
      </c>
      <c r="BP157" s="16" t="s">
        <v>1039</v>
      </c>
      <c r="BQ157" s="16" t="b">
        <v>1</v>
      </c>
      <c r="BR157" s="23">
        <v>106.7</v>
      </c>
      <c r="BT157" s="16" t="b">
        <v>0</v>
      </c>
      <c r="BU157" s="16" t="s">
        <v>546</v>
      </c>
    </row>
    <row r="158">
      <c r="A158" s="16" t="s">
        <v>1044</v>
      </c>
      <c r="B158" s="16" t="s">
        <v>35</v>
      </c>
      <c r="C158" s="22">
        <v>45355.0</v>
      </c>
      <c r="D158" s="23">
        <v>6.8893939E7</v>
      </c>
      <c r="E158" s="16" t="s">
        <v>1048</v>
      </c>
      <c r="F158" s="16" t="s">
        <v>772</v>
      </c>
      <c r="G158" s="16" t="s">
        <v>1145</v>
      </c>
      <c r="H158" s="23">
        <v>1.0</v>
      </c>
      <c r="I158" s="23">
        <v>1553.92</v>
      </c>
      <c r="J158" s="23">
        <v>1553.92</v>
      </c>
      <c r="N158" s="23">
        <v>0.0</v>
      </c>
      <c r="R158" s="23">
        <v>0.0</v>
      </c>
      <c r="V158" s="23">
        <v>0.0</v>
      </c>
      <c r="Z158" s="23">
        <v>0.0</v>
      </c>
      <c r="AD158" s="23">
        <v>0.0</v>
      </c>
      <c r="AH158" s="23">
        <v>0.0</v>
      </c>
      <c r="AL158" s="23">
        <v>0.0</v>
      </c>
      <c r="AP158" s="23">
        <v>0.0</v>
      </c>
      <c r="AT158" s="23">
        <v>0.0</v>
      </c>
      <c r="AX158" s="23">
        <v>0.0</v>
      </c>
      <c r="BF158" s="23">
        <v>0.0</v>
      </c>
      <c r="BJ158" s="23">
        <v>0.0</v>
      </c>
      <c r="BN158" s="23">
        <v>0.0</v>
      </c>
      <c r="BO158" s="23">
        <v>1553.92</v>
      </c>
      <c r="BP158" s="16" t="s">
        <v>1049</v>
      </c>
      <c r="BQ158" s="16" t="b">
        <v>1</v>
      </c>
      <c r="BR158" s="23">
        <v>1553.92</v>
      </c>
      <c r="BT158" s="16" t="b">
        <v>0</v>
      </c>
      <c r="BU158" s="16" t="s">
        <v>546</v>
      </c>
    </row>
    <row r="159">
      <c r="A159" s="16" t="s">
        <v>1052</v>
      </c>
      <c r="B159" s="16" t="s">
        <v>35</v>
      </c>
      <c r="C159" s="22">
        <v>45357.0</v>
      </c>
      <c r="D159" s="16" t="s">
        <v>145</v>
      </c>
      <c r="E159" s="16" t="s">
        <v>1055</v>
      </c>
      <c r="F159" s="16" t="s">
        <v>1058</v>
      </c>
      <c r="G159" s="16" t="s">
        <v>1195</v>
      </c>
      <c r="H159" s="23">
        <v>3.0</v>
      </c>
      <c r="I159" s="23">
        <v>23.0</v>
      </c>
      <c r="J159" s="23">
        <v>69.0</v>
      </c>
      <c r="K159" s="16" t="s">
        <v>1197</v>
      </c>
      <c r="L159" s="23">
        <v>4.0</v>
      </c>
      <c r="M159" s="23">
        <v>21.0</v>
      </c>
      <c r="N159" s="23">
        <v>84.0</v>
      </c>
      <c r="O159" s="16" t="s">
        <v>1683</v>
      </c>
      <c r="P159" s="23">
        <v>1.0</v>
      </c>
      <c r="Q159" s="23">
        <v>23.0</v>
      </c>
      <c r="R159" s="23">
        <v>23.0</v>
      </c>
      <c r="S159" s="16">
        <v>7.9788768E7</v>
      </c>
      <c r="T159" s="23">
        <v>3.0</v>
      </c>
      <c r="U159" s="23">
        <v>4.5</v>
      </c>
      <c r="V159" s="23">
        <v>13.5</v>
      </c>
      <c r="Z159" s="23">
        <v>0.0</v>
      </c>
      <c r="AD159" s="23">
        <v>0.0</v>
      </c>
      <c r="AH159" s="23">
        <v>0.0</v>
      </c>
      <c r="AL159" s="23">
        <v>0.0</v>
      </c>
      <c r="AP159" s="23">
        <v>0.0</v>
      </c>
      <c r="AT159" s="23">
        <v>0.0</v>
      </c>
      <c r="AX159" s="23">
        <v>0.0</v>
      </c>
      <c r="BF159" s="23">
        <v>0.0</v>
      </c>
      <c r="BJ159" s="23">
        <v>0.0</v>
      </c>
      <c r="BN159" s="23">
        <v>0.0</v>
      </c>
      <c r="BO159" s="23">
        <v>189.5</v>
      </c>
      <c r="BP159" s="16" t="s">
        <v>1057</v>
      </c>
      <c r="BQ159" s="16" t="b">
        <v>1</v>
      </c>
      <c r="BR159" s="23">
        <v>189.5</v>
      </c>
      <c r="BT159" s="16" t="b">
        <v>0</v>
      </c>
      <c r="BU159" s="16" t="s">
        <v>546</v>
      </c>
    </row>
    <row r="160">
      <c r="A160" s="16" t="s">
        <v>1059</v>
      </c>
      <c r="B160" s="16" t="s">
        <v>35</v>
      </c>
      <c r="C160" s="22">
        <v>45352.0</v>
      </c>
      <c r="D160" s="16" t="s">
        <v>858</v>
      </c>
      <c r="E160" s="16" t="s">
        <v>1061</v>
      </c>
      <c r="F160" s="16" t="s">
        <v>605</v>
      </c>
      <c r="G160" s="16" t="s">
        <v>1145</v>
      </c>
      <c r="H160" s="23">
        <v>1.0</v>
      </c>
      <c r="I160" s="23">
        <v>530.57</v>
      </c>
      <c r="J160" s="23">
        <v>530.57</v>
      </c>
      <c r="K160" s="16" t="s">
        <v>1690</v>
      </c>
      <c r="L160" s="23">
        <v>1.0</v>
      </c>
      <c r="M160" s="23">
        <v>530.57</v>
      </c>
      <c r="N160" s="23">
        <v>530.57</v>
      </c>
      <c r="O160" s="16" t="s">
        <v>1145</v>
      </c>
      <c r="P160" s="23">
        <v>1.0</v>
      </c>
      <c r="Q160" s="23">
        <v>530.57</v>
      </c>
      <c r="R160" s="23">
        <v>530.57</v>
      </c>
      <c r="S160" s="16" t="s">
        <v>1394</v>
      </c>
      <c r="T160" s="23">
        <v>1.0</v>
      </c>
      <c r="U160" s="23">
        <v>530.57</v>
      </c>
      <c r="V160" s="23">
        <v>530.57</v>
      </c>
      <c r="Z160" s="23">
        <v>0.0</v>
      </c>
      <c r="AD160" s="23">
        <v>0.0</v>
      </c>
      <c r="AH160" s="23">
        <v>0.0</v>
      </c>
      <c r="AL160" s="23">
        <v>0.0</v>
      </c>
      <c r="AP160" s="23">
        <v>0.0</v>
      </c>
      <c r="AT160" s="23">
        <v>0.0</v>
      </c>
      <c r="AX160" s="23">
        <v>0.0</v>
      </c>
      <c r="BF160" s="23">
        <v>0.0</v>
      </c>
      <c r="BJ160" s="23">
        <v>0.0</v>
      </c>
      <c r="BN160" s="23">
        <v>0.0</v>
      </c>
      <c r="BO160" s="23">
        <v>2122.28</v>
      </c>
      <c r="BP160" s="16" t="s">
        <v>1063</v>
      </c>
      <c r="BQ160" s="16" t="b">
        <v>1</v>
      </c>
      <c r="BR160" s="23">
        <v>2122.28</v>
      </c>
      <c r="BT160" s="16" t="b">
        <v>0</v>
      </c>
      <c r="BU160" s="16" t="s">
        <v>546</v>
      </c>
    </row>
    <row r="161">
      <c r="A161" s="16" t="s">
        <v>1065</v>
      </c>
      <c r="B161" s="16" t="s">
        <v>35</v>
      </c>
      <c r="C161" s="22">
        <v>45357.0</v>
      </c>
      <c r="F161" s="16" t="s">
        <v>1067</v>
      </c>
      <c r="G161" s="16" t="s">
        <v>1239</v>
      </c>
      <c r="H161" s="16">
        <v>1.0</v>
      </c>
      <c r="I161" s="23">
        <v>1451.01</v>
      </c>
      <c r="J161" s="23">
        <v>1451.01</v>
      </c>
      <c r="BO161" s="23">
        <v>1451.01</v>
      </c>
      <c r="BR161" s="23">
        <v>1451.01</v>
      </c>
      <c r="BU161" s="16" t="s">
        <v>539</v>
      </c>
      <c r="BV161" s="16" t="s">
        <v>658</v>
      </c>
      <c r="BW161" s="16"/>
      <c r="BX161" s="16"/>
      <c r="BY161" s="16"/>
    </row>
    <row r="162">
      <c r="A162" s="16" t="s">
        <v>1069</v>
      </c>
      <c r="B162" s="16" t="s">
        <v>35</v>
      </c>
      <c r="C162" s="22">
        <v>45357.0</v>
      </c>
      <c r="F162" s="16" t="s">
        <v>1071</v>
      </c>
      <c r="G162" s="16" t="s">
        <v>1239</v>
      </c>
      <c r="H162" s="16">
        <v>1.0</v>
      </c>
      <c r="I162" s="23">
        <v>1505.62</v>
      </c>
      <c r="J162" s="23">
        <v>1505.62</v>
      </c>
      <c r="BO162" s="23">
        <v>1505.62</v>
      </c>
      <c r="BR162" s="23">
        <v>1505.62</v>
      </c>
      <c r="BU162" s="16" t="s">
        <v>539</v>
      </c>
      <c r="BV162" s="16" t="s">
        <v>648</v>
      </c>
      <c r="BW162" s="16"/>
      <c r="BX162" s="16"/>
      <c r="BY162" s="16"/>
    </row>
    <row r="163">
      <c r="A163" s="16" t="s">
        <v>1072</v>
      </c>
      <c r="B163" s="16" t="s">
        <v>35</v>
      </c>
      <c r="C163" s="22">
        <v>45357.0</v>
      </c>
      <c r="F163" s="16" t="s">
        <v>1076</v>
      </c>
      <c r="G163" s="16" t="s">
        <v>1168</v>
      </c>
      <c r="H163" s="16">
        <v>1.0</v>
      </c>
      <c r="I163" s="23">
        <v>500.0</v>
      </c>
      <c r="J163" s="23">
        <v>500.0</v>
      </c>
      <c r="BO163" s="23">
        <v>500.0</v>
      </c>
      <c r="BR163" s="23">
        <v>500.0</v>
      </c>
      <c r="BU163" s="16" t="s">
        <v>539</v>
      </c>
      <c r="BV163" s="16" t="s">
        <v>651</v>
      </c>
      <c r="BW163" s="16"/>
      <c r="BX163" s="16"/>
      <c r="BY163" s="16"/>
    </row>
    <row r="164">
      <c r="A164" s="16" t="s">
        <v>1082</v>
      </c>
      <c r="B164" s="16" t="s">
        <v>35</v>
      </c>
      <c r="C164" s="22">
        <v>45357.0</v>
      </c>
      <c r="F164" s="16" t="s">
        <v>1087</v>
      </c>
      <c r="G164" s="16" t="s">
        <v>1239</v>
      </c>
      <c r="H164" s="16">
        <v>1.0</v>
      </c>
      <c r="I164" s="23">
        <v>1427.41</v>
      </c>
      <c r="J164" s="23">
        <v>1427.41</v>
      </c>
      <c r="BO164" s="23">
        <v>1427.41</v>
      </c>
      <c r="BR164" s="23">
        <v>1427.41</v>
      </c>
      <c r="BU164" s="16" t="s">
        <v>539</v>
      </c>
      <c r="BV164" s="16" t="s">
        <v>651</v>
      </c>
      <c r="BW164" s="16"/>
      <c r="BX164" s="16"/>
      <c r="BY164" s="16"/>
    </row>
    <row r="165">
      <c r="A165" s="16" t="s">
        <v>1089</v>
      </c>
      <c r="B165" s="16" t="s">
        <v>35</v>
      </c>
      <c r="C165" s="22">
        <v>45358.0</v>
      </c>
      <c r="F165" s="16" t="s">
        <v>1092</v>
      </c>
      <c r="G165" s="16" t="s">
        <v>1239</v>
      </c>
      <c r="H165" s="16">
        <v>1.0</v>
      </c>
      <c r="I165" s="23">
        <v>2575.76</v>
      </c>
      <c r="J165" s="23">
        <v>2575.76</v>
      </c>
      <c r="BO165" s="23">
        <v>2575.76</v>
      </c>
      <c r="BR165" s="23">
        <v>2575.76</v>
      </c>
      <c r="BU165" s="16" t="s">
        <v>539</v>
      </c>
      <c r="BV165" s="16" t="s">
        <v>624</v>
      </c>
      <c r="BW165" s="16"/>
      <c r="BX165" s="16"/>
      <c r="BY165" s="16"/>
    </row>
    <row r="166">
      <c r="A166" s="16" t="s">
        <v>1095</v>
      </c>
      <c r="B166" s="16" t="s">
        <v>35</v>
      </c>
      <c r="C166" s="22">
        <v>45358.0</v>
      </c>
      <c r="F166" s="16" t="s">
        <v>1099</v>
      </c>
      <c r="G166" s="16" t="s">
        <v>1239</v>
      </c>
      <c r="H166" s="16">
        <v>1.0</v>
      </c>
      <c r="I166" s="23">
        <v>1194.23</v>
      </c>
      <c r="J166" s="23">
        <v>1194.23</v>
      </c>
      <c r="BO166" s="23">
        <v>1194.23</v>
      </c>
      <c r="BR166" s="23">
        <v>1194.23</v>
      </c>
      <c r="BU166" s="16" t="s">
        <v>539</v>
      </c>
      <c r="BV166" s="16" t="s">
        <v>1100</v>
      </c>
      <c r="BW166" s="16"/>
      <c r="BX166" s="16"/>
      <c r="BY166" s="16"/>
    </row>
    <row r="167">
      <c r="A167" s="16" t="s">
        <v>1103</v>
      </c>
      <c r="B167" s="16" t="s">
        <v>35</v>
      </c>
      <c r="C167" s="22">
        <v>45358.0</v>
      </c>
      <c r="F167" s="16" t="s">
        <v>1106</v>
      </c>
      <c r="G167" s="16" t="s">
        <v>1239</v>
      </c>
      <c r="H167" s="16">
        <v>1.0</v>
      </c>
      <c r="I167" s="23">
        <v>2056.01</v>
      </c>
      <c r="J167" s="23">
        <v>2056.01</v>
      </c>
      <c r="BO167" s="23">
        <v>2056.01</v>
      </c>
      <c r="BR167" s="23">
        <v>2056.01</v>
      </c>
      <c r="BU167" s="16" t="s">
        <v>539</v>
      </c>
      <c r="BV167" s="16" t="s">
        <v>664</v>
      </c>
      <c r="BW167" s="16"/>
      <c r="BX167" s="16"/>
      <c r="BY167" s="16"/>
    </row>
    <row r="168">
      <c r="A168" s="16" t="s">
        <v>1108</v>
      </c>
      <c r="B168" s="16" t="s">
        <v>35</v>
      </c>
      <c r="C168" s="22">
        <v>45358.0</v>
      </c>
      <c r="D168" s="16" t="s">
        <v>460</v>
      </c>
      <c r="F168" s="16" t="s">
        <v>1110</v>
      </c>
      <c r="G168" s="16" t="s">
        <v>1164</v>
      </c>
      <c r="H168" s="16">
        <v>1.0</v>
      </c>
      <c r="I168" s="23">
        <v>987.0</v>
      </c>
      <c r="J168" s="23">
        <v>987.0</v>
      </c>
      <c r="BO168" s="23">
        <v>987.0</v>
      </c>
      <c r="BR168" s="23">
        <v>987.0</v>
      </c>
      <c r="BU168" s="16" t="s">
        <v>539</v>
      </c>
    </row>
    <row r="169">
      <c r="A169" s="16" t="s">
        <v>1113</v>
      </c>
      <c r="B169" s="16" t="s">
        <v>35</v>
      </c>
      <c r="C169" s="22">
        <v>45355.0</v>
      </c>
      <c r="D169" s="16" t="s">
        <v>1016</v>
      </c>
      <c r="E169" s="16" t="s">
        <v>1115</v>
      </c>
      <c r="F169" s="16" t="s">
        <v>1117</v>
      </c>
      <c r="G169" s="16" t="s">
        <v>1648</v>
      </c>
      <c r="H169" s="23">
        <v>1.0</v>
      </c>
      <c r="I169" s="23">
        <v>70.65</v>
      </c>
      <c r="J169" s="23">
        <v>70.65</v>
      </c>
      <c r="N169" s="23">
        <v>0.0</v>
      </c>
      <c r="R169" s="23">
        <v>0.0</v>
      </c>
      <c r="V169" s="23">
        <v>0.0</v>
      </c>
      <c r="Z169" s="23">
        <v>0.0</v>
      </c>
      <c r="AD169" s="23">
        <v>0.0</v>
      </c>
      <c r="AH169" s="23">
        <v>0.0</v>
      </c>
      <c r="AL169" s="23">
        <v>0.0</v>
      </c>
      <c r="AP169" s="23">
        <v>0.0</v>
      </c>
      <c r="AT169" s="23">
        <v>0.0</v>
      </c>
      <c r="AX169" s="23">
        <v>0.0</v>
      </c>
      <c r="BF169" s="23">
        <v>0.0</v>
      </c>
      <c r="BJ169" s="23">
        <v>0.0</v>
      </c>
      <c r="BN169" s="23">
        <v>0.0</v>
      </c>
      <c r="BO169" s="23">
        <v>70.65</v>
      </c>
      <c r="BP169" s="16" t="s">
        <v>1116</v>
      </c>
      <c r="BQ169" s="16" t="b">
        <v>1</v>
      </c>
      <c r="BR169" s="23">
        <v>70.65</v>
      </c>
      <c r="BT169" s="16" t="b">
        <v>0</v>
      </c>
      <c r="BU169" s="16" t="s">
        <v>546</v>
      </c>
    </row>
    <row r="170">
      <c r="A170" s="16" t="s">
        <v>1120</v>
      </c>
      <c r="B170" s="16" t="s">
        <v>35</v>
      </c>
      <c r="C170" s="22">
        <v>45357.0</v>
      </c>
      <c r="D170" s="16" t="s">
        <v>137</v>
      </c>
      <c r="E170" s="16" t="s">
        <v>1123</v>
      </c>
      <c r="F170" s="16" t="s">
        <v>415</v>
      </c>
      <c r="G170" s="16">
        <v>1.2539885E7</v>
      </c>
      <c r="H170" s="23">
        <v>1.0</v>
      </c>
      <c r="I170" s="23">
        <v>260.0</v>
      </c>
      <c r="J170" s="23">
        <v>260.0</v>
      </c>
      <c r="N170" s="23">
        <v>0.0</v>
      </c>
      <c r="R170" s="23">
        <v>0.0</v>
      </c>
      <c r="V170" s="23">
        <v>0.0</v>
      </c>
      <c r="Z170" s="23">
        <v>0.0</v>
      </c>
      <c r="AD170" s="23">
        <v>0.0</v>
      </c>
      <c r="AH170" s="23">
        <v>0.0</v>
      </c>
      <c r="AL170" s="23">
        <v>0.0</v>
      </c>
      <c r="AP170" s="23">
        <v>0.0</v>
      </c>
      <c r="AT170" s="23">
        <v>0.0</v>
      </c>
      <c r="AX170" s="23">
        <v>0.0</v>
      </c>
      <c r="BF170" s="23">
        <v>0.0</v>
      </c>
      <c r="BJ170" s="23">
        <v>0.0</v>
      </c>
      <c r="BN170" s="23">
        <v>0.0</v>
      </c>
      <c r="BO170" s="23">
        <v>260.0</v>
      </c>
      <c r="BP170" s="16" t="s">
        <v>1124</v>
      </c>
      <c r="BQ170" s="16" t="b">
        <v>1</v>
      </c>
      <c r="BR170" s="23">
        <v>260.0</v>
      </c>
      <c r="BS170" s="23">
        <v>807798.0</v>
      </c>
      <c r="BT170" s="16" t="b">
        <v>1</v>
      </c>
      <c r="BU170" s="16" t="s">
        <v>546</v>
      </c>
    </row>
    <row r="171">
      <c r="A171" s="16" t="s">
        <v>1127</v>
      </c>
      <c r="B171" s="16" t="s">
        <v>35</v>
      </c>
      <c r="C171" s="22">
        <v>45358.0</v>
      </c>
      <c r="D171" s="16" t="s">
        <v>1129</v>
      </c>
      <c r="E171" s="16" t="s">
        <v>1130</v>
      </c>
      <c r="F171" s="16" t="s">
        <v>1133</v>
      </c>
      <c r="G171" s="16" t="s">
        <v>1725</v>
      </c>
      <c r="H171" s="23">
        <v>1.0</v>
      </c>
      <c r="I171" s="23">
        <v>216.0</v>
      </c>
      <c r="J171" s="23">
        <v>216.0</v>
      </c>
      <c r="K171" s="16" t="s">
        <v>1728</v>
      </c>
      <c r="L171" s="23">
        <v>1.0</v>
      </c>
      <c r="M171" s="23">
        <v>216.0</v>
      </c>
      <c r="N171" s="23">
        <v>216.0</v>
      </c>
      <c r="R171" s="23">
        <v>0.0</v>
      </c>
      <c r="V171" s="23">
        <v>0.0</v>
      </c>
      <c r="Z171" s="23">
        <v>0.0</v>
      </c>
      <c r="AD171" s="23">
        <v>0.0</v>
      </c>
      <c r="AH171" s="23">
        <v>0.0</v>
      </c>
      <c r="AL171" s="23">
        <v>0.0</v>
      </c>
      <c r="AP171" s="23">
        <v>0.0</v>
      </c>
      <c r="AT171" s="23">
        <v>0.0</v>
      </c>
      <c r="AX171" s="23">
        <v>0.0</v>
      </c>
      <c r="BF171" s="23">
        <v>0.0</v>
      </c>
      <c r="BJ171" s="23">
        <v>0.0</v>
      </c>
      <c r="BN171" s="23">
        <v>0.0</v>
      </c>
      <c r="BO171" s="23">
        <v>432.0</v>
      </c>
      <c r="BP171" s="16" t="s">
        <v>1131</v>
      </c>
      <c r="BQ171" s="16" t="b">
        <v>1</v>
      </c>
      <c r="BR171" s="23">
        <v>432.0</v>
      </c>
      <c r="BT171" s="16" t="b">
        <v>0</v>
      </c>
      <c r="BU171" s="16" t="s">
        <v>546</v>
      </c>
    </row>
    <row r="172">
      <c r="A172" s="16" t="s">
        <v>1135</v>
      </c>
      <c r="B172" s="16" t="s">
        <v>35</v>
      </c>
      <c r="C172" s="22">
        <v>45358.0</v>
      </c>
      <c r="D172" s="16" t="s">
        <v>1129</v>
      </c>
      <c r="E172" s="16" t="s">
        <v>1138</v>
      </c>
      <c r="F172" s="16" t="s">
        <v>1140</v>
      </c>
      <c r="G172" s="16" t="s">
        <v>1728</v>
      </c>
      <c r="H172" s="23">
        <v>1.0</v>
      </c>
      <c r="I172" s="23">
        <v>90.0</v>
      </c>
      <c r="J172" s="23">
        <v>90.0</v>
      </c>
      <c r="N172" s="23">
        <v>0.0</v>
      </c>
      <c r="R172" s="23">
        <v>0.0</v>
      </c>
      <c r="V172" s="23">
        <v>0.0</v>
      </c>
      <c r="Z172" s="23">
        <v>0.0</v>
      </c>
      <c r="AD172" s="23">
        <v>0.0</v>
      </c>
      <c r="AH172" s="23">
        <v>0.0</v>
      </c>
      <c r="AL172" s="23">
        <v>0.0</v>
      </c>
      <c r="AP172" s="23">
        <v>0.0</v>
      </c>
      <c r="AT172" s="23">
        <v>0.0</v>
      </c>
      <c r="AX172" s="23">
        <v>0.0</v>
      </c>
      <c r="BF172" s="23">
        <v>0.0</v>
      </c>
      <c r="BJ172" s="23">
        <v>0.0</v>
      </c>
      <c r="BN172" s="23">
        <v>0.0</v>
      </c>
      <c r="BO172" s="23">
        <v>90.0</v>
      </c>
      <c r="BP172" s="16" t="s">
        <v>1139</v>
      </c>
      <c r="BQ172" s="16" t="b">
        <v>1</v>
      </c>
      <c r="BR172" s="23">
        <v>90.0</v>
      </c>
      <c r="BT172" s="16" t="b">
        <v>0</v>
      </c>
      <c r="BU172" s="16" t="s">
        <v>546</v>
      </c>
    </row>
    <row r="173">
      <c r="A173" s="16" t="s">
        <v>1143</v>
      </c>
      <c r="B173" s="16" t="s">
        <v>35</v>
      </c>
      <c r="C173" s="22">
        <v>45359.0</v>
      </c>
      <c r="D173" s="16" t="s">
        <v>1146</v>
      </c>
      <c r="F173" s="16" t="s">
        <v>1148</v>
      </c>
      <c r="G173" s="16" t="s">
        <v>1164</v>
      </c>
      <c r="H173" s="16">
        <v>1.0</v>
      </c>
      <c r="I173" s="23">
        <v>150.0</v>
      </c>
      <c r="J173" s="23">
        <v>150.0</v>
      </c>
      <c r="BO173" s="23">
        <v>150.0</v>
      </c>
      <c r="BR173" s="23">
        <v>150.0</v>
      </c>
      <c r="BU173" s="16" t="s">
        <v>539</v>
      </c>
    </row>
    <row r="174">
      <c r="A174" s="16" t="s">
        <v>1150</v>
      </c>
      <c r="B174" s="16" t="s">
        <v>35</v>
      </c>
      <c r="C174" s="22">
        <v>45359.0</v>
      </c>
      <c r="D174" s="16" t="s">
        <v>460</v>
      </c>
      <c r="F174" s="16" t="s">
        <v>1156</v>
      </c>
      <c r="G174" s="16" t="s">
        <v>305</v>
      </c>
      <c r="H174" s="16">
        <v>1.0</v>
      </c>
      <c r="I174" s="23">
        <v>75.85</v>
      </c>
      <c r="J174" s="23">
        <v>75.85</v>
      </c>
      <c r="BO174" s="23">
        <v>75.85</v>
      </c>
      <c r="BR174" s="23">
        <v>75.85</v>
      </c>
      <c r="BU174" s="16" t="s">
        <v>539</v>
      </c>
    </row>
    <row r="175">
      <c r="A175" s="16" t="s">
        <v>1157</v>
      </c>
      <c r="B175" s="16" t="s">
        <v>35</v>
      </c>
      <c r="C175" s="22">
        <v>45359.0</v>
      </c>
      <c r="D175" s="16" t="s">
        <v>1160</v>
      </c>
      <c r="F175" s="16" t="s">
        <v>1161</v>
      </c>
      <c r="G175" s="16" t="s">
        <v>1653</v>
      </c>
      <c r="H175" s="16">
        <v>1.0</v>
      </c>
      <c r="I175" s="23">
        <v>1223.0</v>
      </c>
      <c r="J175" s="23">
        <v>1223.0</v>
      </c>
      <c r="BO175" s="23">
        <v>1223.0</v>
      </c>
      <c r="BR175" s="23">
        <v>1223.0</v>
      </c>
      <c r="BU175" s="16" t="s">
        <v>539</v>
      </c>
    </row>
    <row r="176">
      <c r="A176" s="16" t="s">
        <v>1163</v>
      </c>
      <c r="B176" s="16" t="s">
        <v>35</v>
      </c>
      <c r="C176" s="22">
        <v>45359.0</v>
      </c>
      <c r="D176" s="16" t="s">
        <v>460</v>
      </c>
      <c r="F176" s="16" t="s">
        <v>1166</v>
      </c>
      <c r="G176" s="16" t="s">
        <v>1164</v>
      </c>
      <c r="H176" s="16">
        <v>1.0</v>
      </c>
      <c r="I176" s="23">
        <v>1191.3</v>
      </c>
      <c r="J176" s="23">
        <v>1191.3</v>
      </c>
      <c r="BO176" s="23">
        <v>1191.3</v>
      </c>
      <c r="BR176" s="23">
        <v>1191.3</v>
      </c>
      <c r="BU176" s="16" t="s">
        <v>539</v>
      </c>
    </row>
    <row r="177">
      <c r="A177" s="16" t="s">
        <v>1170</v>
      </c>
      <c r="B177" s="16" t="s">
        <v>35</v>
      </c>
      <c r="C177" s="22">
        <v>45359.0</v>
      </c>
      <c r="D177" s="16" t="s">
        <v>609</v>
      </c>
      <c r="F177" s="16" t="s">
        <v>1172</v>
      </c>
      <c r="G177" s="16" t="s">
        <v>1152</v>
      </c>
      <c r="H177" s="16">
        <v>1.0</v>
      </c>
      <c r="I177" s="23">
        <v>205.08</v>
      </c>
      <c r="J177" s="23">
        <v>205.08</v>
      </c>
      <c r="BO177" s="23">
        <v>205.08</v>
      </c>
      <c r="BR177" s="23">
        <v>205.08</v>
      </c>
      <c r="BU177" s="16" t="s">
        <v>539</v>
      </c>
    </row>
    <row r="178">
      <c r="A178" s="16" t="s">
        <v>1173</v>
      </c>
      <c r="B178" s="16" t="s">
        <v>35</v>
      </c>
      <c r="C178" s="22">
        <v>45357.0</v>
      </c>
      <c r="D178" s="16" t="s">
        <v>890</v>
      </c>
      <c r="E178" s="16" t="s">
        <v>1175</v>
      </c>
      <c r="F178" s="16" t="s">
        <v>1177</v>
      </c>
      <c r="G178" s="16" t="s">
        <v>1510</v>
      </c>
      <c r="H178" s="23">
        <v>1.0</v>
      </c>
      <c r="I178" s="23">
        <v>11878.45</v>
      </c>
      <c r="J178" s="23">
        <v>11878.45</v>
      </c>
      <c r="N178" s="23">
        <v>0.0</v>
      </c>
      <c r="R178" s="23">
        <v>0.0</v>
      </c>
      <c r="V178" s="23">
        <v>0.0</v>
      </c>
      <c r="Z178" s="23">
        <v>0.0</v>
      </c>
      <c r="AD178" s="23">
        <v>0.0</v>
      </c>
      <c r="AH178" s="23">
        <v>0.0</v>
      </c>
      <c r="AL178" s="23">
        <v>0.0</v>
      </c>
      <c r="AP178" s="23">
        <v>0.0</v>
      </c>
      <c r="AT178" s="23">
        <v>0.0</v>
      </c>
      <c r="AX178" s="23">
        <v>0.0</v>
      </c>
      <c r="BF178" s="23">
        <v>0.0</v>
      </c>
      <c r="BJ178" s="23">
        <v>0.0</v>
      </c>
      <c r="BN178" s="23">
        <v>0.0</v>
      </c>
      <c r="BO178" s="23">
        <v>11878.45</v>
      </c>
      <c r="BP178" s="16" t="s">
        <v>1176</v>
      </c>
      <c r="BQ178" s="16" t="b">
        <v>1</v>
      </c>
      <c r="BR178" s="23">
        <v>11878.45</v>
      </c>
      <c r="BT178" s="16" t="b">
        <v>0</v>
      </c>
      <c r="BU178" s="16" t="s">
        <v>546</v>
      </c>
    </row>
    <row r="179">
      <c r="A179" s="16" t="s">
        <v>1181</v>
      </c>
      <c r="B179" s="16" t="s">
        <v>35</v>
      </c>
      <c r="C179" s="22">
        <v>45358.0</v>
      </c>
      <c r="D179" s="16" t="s">
        <v>890</v>
      </c>
      <c r="E179" s="16" t="s">
        <v>1182</v>
      </c>
      <c r="F179" s="16" t="s">
        <v>1184</v>
      </c>
      <c r="G179" s="16" t="s">
        <v>1517</v>
      </c>
      <c r="H179" s="23">
        <v>1.0</v>
      </c>
      <c r="I179" s="23">
        <v>9226.02</v>
      </c>
      <c r="J179" s="23">
        <v>9226.02</v>
      </c>
      <c r="N179" s="23">
        <v>0.0</v>
      </c>
      <c r="R179" s="23">
        <v>0.0</v>
      </c>
      <c r="V179" s="23">
        <v>0.0</v>
      </c>
      <c r="Z179" s="23">
        <v>0.0</v>
      </c>
      <c r="AD179" s="23">
        <v>0.0</v>
      </c>
      <c r="AH179" s="23">
        <v>0.0</v>
      </c>
      <c r="AL179" s="23">
        <v>0.0</v>
      </c>
      <c r="AP179" s="23">
        <v>0.0</v>
      </c>
      <c r="AT179" s="23">
        <v>0.0</v>
      </c>
      <c r="AX179" s="23">
        <v>0.0</v>
      </c>
      <c r="BF179" s="23">
        <v>0.0</v>
      </c>
      <c r="BJ179" s="23">
        <v>0.0</v>
      </c>
      <c r="BN179" s="23">
        <v>0.0</v>
      </c>
      <c r="BO179" s="23">
        <v>9226.02</v>
      </c>
      <c r="BP179" s="16" t="s">
        <v>1183</v>
      </c>
      <c r="BQ179" s="16" t="b">
        <v>1</v>
      </c>
      <c r="BR179" s="23">
        <v>9226.02</v>
      </c>
      <c r="BT179" s="16" t="b">
        <v>0</v>
      </c>
      <c r="BU179" s="16" t="s">
        <v>546</v>
      </c>
    </row>
    <row r="180">
      <c r="A180" s="16" t="s">
        <v>1186</v>
      </c>
      <c r="B180" s="16" t="s">
        <v>35</v>
      </c>
      <c r="C180" s="22">
        <v>45362.0</v>
      </c>
      <c r="D180" s="16" t="s">
        <v>1188</v>
      </c>
      <c r="E180" s="16" t="s">
        <v>1189</v>
      </c>
      <c r="F180" s="16" t="s">
        <v>1191</v>
      </c>
      <c r="G180" s="16" t="s">
        <v>1757</v>
      </c>
      <c r="H180" s="23">
        <v>1.0</v>
      </c>
      <c r="I180" s="23">
        <v>27.0</v>
      </c>
      <c r="J180" s="23">
        <v>27.0</v>
      </c>
      <c r="N180" s="23">
        <v>0.0</v>
      </c>
      <c r="R180" s="23">
        <v>0.0</v>
      </c>
      <c r="V180" s="23">
        <v>0.0</v>
      </c>
      <c r="Z180" s="23">
        <v>0.0</v>
      </c>
      <c r="AD180" s="23">
        <v>0.0</v>
      </c>
      <c r="AH180" s="23">
        <v>0.0</v>
      </c>
      <c r="AL180" s="23">
        <v>0.0</v>
      </c>
      <c r="AP180" s="23">
        <v>0.0</v>
      </c>
      <c r="AT180" s="23">
        <v>0.0</v>
      </c>
      <c r="AX180" s="23">
        <v>0.0</v>
      </c>
      <c r="BF180" s="23">
        <v>0.0</v>
      </c>
      <c r="BJ180" s="23">
        <v>0.0</v>
      </c>
      <c r="BN180" s="23">
        <v>0.0</v>
      </c>
      <c r="BO180" s="23">
        <v>27.0</v>
      </c>
      <c r="BP180" s="16" t="s">
        <v>1190</v>
      </c>
      <c r="BQ180" s="16" t="b">
        <v>1</v>
      </c>
      <c r="BR180" s="23">
        <v>27.0</v>
      </c>
      <c r="BS180" s="23">
        <v>814389.0</v>
      </c>
      <c r="BT180" s="16" t="b">
        <v>1</v>
      </c>
      <c r="BU180" s="16" t="s">
        <v>546</v>
      </c>
    </row>
    <row r="181">
      <c r="A181" s="16" t="s">
        <v>1194</v>
      </c>
      <c r="B181" s="16" t="s">
        <v>35</v>
      </c>
      <c r="C181" s="22">
        <v>45362.0</v>
      </c>
      <c r="D181" s="23">
        <v>8.627274E7</v>
      </c>
      <c r="E181" s="16" t="s">
        <v>1198</v>
      </c>
      <c r="F181" s="16" t="s">
        <v>1201</v>
      </c>
      <c r="G181" s="16" t="s">
        <v>249</v>
      </c>
      <c r="H181" s="23">
        <v>5.0</v>
      </c>
      <c r="I181" s="23">
        <v>4.99</v>
      </c>
      <c r="J181" s="23">
        <v>24.95</v>
      </c>
      <c r="K181" s="16" t="s">
        <v>1764</v>
      </c>
      <c r="L181" s="23">
        <v>4.0</v>
      </c>
      <c r="M181" s="23">
        <v>7.99</v>
      </c>
      <c r="N181" s="23">
        <v>31.96</v>
      </c>
      <c r="R181" s="23">
        <v>0.0</v>
      </c>
      <c r="V181" s="23">
        <v>0.0</v>
      </c>
      <c r="Z181" s="23">
        <v>0.0</v>
      </c>
      <c r="AD181" s="23">
        <v>0.0</v>
      </c>
      <c r="AH181" s="23">
        <v>0.0</v>
      </c>
      <c r="AL181" s="23">
        <v>0.0</v>
      </c>
      <c r="AP181" s="23">
        <v>0.0</v>
      </c>
      <c r="AT181" s="23">
        <v>0.0</v>
      </c>
      <c r="AX181" s="23">
        <v>0.0</v>
      </c>
      <c r="BF181" s="23">
        <v>0.0</v>
      </c>
      <c r="BJ181" s="23">
        <v>0.0</v>
      </c>
      <c r="BN181" s="23">
        <v>0.0</v>
      </c>
      <c r="BO181" s="23">
        <v>56.91</v>
      </c>
      <c r="BP181" s="16" t="s">
        <v>1200</v>
      </c>
      <c r="BQ181" s="16" t="b">
        <v>1</v>
      </c>
      <c r="BR181" s="23">
        <v>56.91</v>
      </c>
      <c r="BT181" s="16" t="b">
        <v>0</v>
      </c>
      <c r="BU181" s="16" t="s">
        <v>546</v>
      </c>
    </row>
    <row r="182">
      <c r="A182" s="16" t="s">
        <v>1205</v>
      </c>
      <c r="B182" s="16" t="s">
        <v>35</v>
      </c>
      <c r="C182" s="22">
        <v>45362.0</v>
      </c>
      <c r="D182" s="16" t="s">
        <v>543</v>
      </c>
      <c r="E182" s="16" t="s">
        <v>1207</v>
      </c>
      <c r="F182" s="16" t="s">
        <v>157</v>
      </c>
      <c r="G182" s="16">
        <v>1.2539885E7</v>
      </c>
      <c r="H182" s="23">
        <v>1.0</v>
      </c>
      <c r="I182" s="23">
        <v>120.0</v>
      </c>
      <c r="J182" s="23">
        <v>120.0</v>
      </c>
      <c r="N182" s="23">
        <v>0.0</v>
      </c>
      <c r="R182" s="23">
        <v>0.0</v>
      </c>
      <c r="V182" s="23">
        <v>0.0</v>
      </c>
      <c r="Z182" s="23">
        <v>0.0</v>
      </c>
      <c r="AD182" s="23">
        <v>0.0</v>
      </c>
      <c r="AH182" s="23">
        <v>0.0</v>
      </c>
      <c r="AL182" s="23">
        <v>0.0</v>
      </c>
      <c r="AP182" s="23">
        <v>0.0</v>
      </c>
      <c r="AT182" s="23">
        <v>0.0</v>
      </c>
      <c r="AX182" s="23">
        <v>0.0</v>
      </c>
      <c r="BF182" s="23">
        <v>0.0</v>
      </c>
      <c r="BJ182" s="23">
        <v>0.0</v>
      </c>
      <c r="BN182" s="23">
        <v>0.0</v>
      </c>
      <c r="BO182" s="23">
        <v>120.0</v>
      </c>
      <c r="BP182" s="16" t="s">
        <v>1209</v>
      </c>
      <c r="BQ182" s="16" t="b">
        <v>1</v>
      </c>
      <c r="BR182" s="23">
        <v>120.0</v>
      </c>
      <c r="BS182" s="23">
        <v>814439.0</v>
      </c>
      <c r="BT182" s="16" t="b">
        <v>1</v>
      </c>
      <c r="BU182" s="16" t="s">
        <v>546</v>
      </c>
    </row>
    <row r="183">
      <c r="A183" s="16" t="s">
        <v>1212</v>
      </c>
      <c r="B183" s="16" t="s">
        <v>35</v>
      </c>
      <c r="C183" s="22">
        <v>45334.0</v>
      </c>
      <c r="D183" s="16" t="s">
        <v>193</v>
      </c>
      <c r="E183" s="16" t="s">
        <v>1214</v>
      </c>
      <c r="F183" s="16" t="s">
        <v>195</v>
      </c>
      <c r="G183" s="16" t="s">
        <v>338</v>
      </c>
      <c r="H183" s="23">
        <v>3.0</v>
      </c>
      <c r="I183" s="23">
        <v>28.88</v>
      </c>
      <c r="J183" s="23">
        <v>86.64</v>
      </c>
      <c r="K183" s="16" t="s">
        <v>335</v>
      </c>
      <c r="L183" s="23">
        <v>2.0</v>
      </c>
      <c r="M183" s="23">
        <v>39.84</v>
      </c>
      <c r="N183" s="23">
        <v>79.68</v>
      </c>
      <c r="O183" s="16" t="s">
        <v>1777</v>
      </c>
      <c r="P183" s="23">
        <v>2.0</v>
      </c>
      <c r="Q183" s="23">
        <v>29.88</v>
      </c>
      <c r="R183" s="23">
        <v>59.76</v>
      </c>
      <c r="S183" s="16" t="s">
        <v>335</v>
      </c>
      <c r="T183" s="23">
        <v>3.0</v>
      </c>
      <c r="U183" s="23">
        <v>39.84</v>
      </c>
      <c r="V183" s="23">
        <v>119.52</v>
      </c>
      <c r="W183" s="16" t="s">
        <v>338</v>
      </c>
      <c r="X183" s="23">
        <v>3.0</v>
      </c>
      <c r="Y183" s="23">
        <v>43.32</v>
      </c>
      <c r="Z183" s="23">
        <v>129.96</v>
      </c>
      <c r="AD183" s="23">
        <v>0.0</v>
      </c>
      <c r="AH183" s="23">
        <v>0.0</v>
      </c>
      <c r="AL183" s="23">
        <v>0.0</v>
      </c>
      <c r="AP183" s="23">
        <v>0.0</v>
      </c>
      <c r="AT183" s="23">
        <v>0.0</v>
      </c>
      <c r="AX183" s="23">
        <v>0.0</v>
      </c>
      <c r="BF183" s="23">
        <v>0.0</v>
      </c>
      <c r="BJ183" s="23">
        <v>0.0</v>
      </c>
      <c r="BN183" s="23">
        <v>0.0</v>
      </c>
      <c r="BO183" s="23">
        <v>475.56</v>
      </c>
      <c r="BP183" s="16" t="s">
        <v>1216</v>
      </c>
      <c r="BQ183" s="16" t="b">
        <v>1</v>
      </c>
      <c r="BR183" s="23">
        <v>475.56</v>
      </c>
      <c r="BT183" s="16" t="b">
        <v>0</v>
      </c>
      <c r="BU183" s="16" t="s">
        <v>546</v>
      </c>
    </row>
    <row r="184">
      <c r="A184" s="16" t="s">
        <v>1220</v>
      </c>
      <c r="B184" s="16" t="s">
        <v>35</v>
      </c>
      <c r="C184" s="22">
        <v>45358.0</v>
      </c>
      <c r="D184" s="16" t="s">
        <v>307</v>
      </c>
      <c r="E184" s="16" t="s">
        <v>1222</v>
      </c>
      <c r="F184" s="16" t="s">
        <v>1225</v>
      </c>
      <c r="G184" s="16" t="s">
        <v>1728</v>
      </c>
      <c r="H184" s="23">
        <v>1.0</v>
      </c>
      <c r="I184" s="23">
        <v>119.9</v>
      </c>
      <c r="J184" s="23">
        <v>119.9</v>
      </c>
      <c r="K184" s="16" t="s">
        <v>1787</v>
      </c>
      <c r="L184" s="23">
        <v>1.0</v>
      </c>
      <c r="M184" s="23">
        <v>28.9</v>
      </c>
      <c r="N184" s="23">
        <v>28.9</v>
      </c>
      <c r="O184" s="16" t="s">
        <v>1787</v>
      </c>
      <c r="P184" s="23">
        <v>1.0</v>
      </c>
      <c r="Q184" s="23">
        <v>89.9</v>
      </c>
      <c r="R184" s="23">
        <v>89.9</v>
      </c>
      <c r="V184" s="23">
        <v>0.0</v>
      </c>
      <c r="Z184" s="23">
        <v>0.0</v>
      </c>
      <c r="AD184" s="23">
        <v>0.0</v>
      </c>
      <c r="AH184" s="23">
        <v>0.0</v>
      </c>
      <c r="AL184" s="23">
        <v>0.0</v>
      </c>
      <c r="AP184" s="23">
        <v>0.0</v>
      </c>
      <c r="AT184" s="23">
        <v>0.0</v>
      </c>
      <c r="AX184" s="23">
        <v>0.0</v>
      </c>
      <c r="BF184" s="23">
        <v>0.0</v>
      </c>
      <c r="BJ184" s="23">
        <v>0.0</v>
      </c>
      <c r="BN184" s="23">
        <v>0.0</v>
      </c>
      <c r="BO184" s="23">
        <v>238.7</v>
      </c>
      <c r="BP184" s="16" t="s">
        <v>1224</v>
      </c>
      <c r="BQ184" s="16" t="b">
        <v>1</v>
      </c>
      <c r="BR184" s="23">
        <v>238.7</v>
      </c>
      <c r="BT184" s="16" t="b">
        <v>0</v>
      </c>
      <c r="BU184" s="16" t="s">
        <v>546</v>
      </c>
    </row>
    <row r="185">
      <c r="A185" s="16" t="s">
        <v>1227</v>
      </c>
      <c r="B185" s="16" t="s">
        <v>35</v>
      </c>
      <c r="C185" s="22">
        <v>45351.0</v>
      </c>
      <c r="D185" s="23">
        <v>6.8893939E7</v>
      </c>
      <c r="E185" s="16" t="s">
        <v>1228</v>
      </c>
      <c r="F185" s="16" t="s">
        <v>605</v>
      </c>
      <c r="G185" s="16" t="s">
        <v>1792</v>
      </c>
      <c r="H185" s="23">
        <v>1.0</v>
      </c>
      <c r="I185" s="23">
        <v>62.18</v>
      </c>
      <c r="J185" s="23">
        <v>62.18</v>
      </c>
      <c r="N185" s="23">
        <v>0.0</v>
      </c>
      <c r="R185" s="23">
        <v>0.0</v>
      </c>
      <c r="V185" s="23">
        <v>0.0</v>
      </c>
      <c r="Z185" s="23">
        <v>0.0</v>
      </c>
      <c r="AD185" s="23">
        <v>0.0</v>
      </c>
      <c r="AH185" s="23">
        <v>0.0</v>
      </c>
      <c r="AL185" s="23">
        <v>0.0</v>
      </c>
      <c r="AP185" s="23">
        <v>0.0</v>
      </c>
      <c r="AT185" s="23">
        <v>0.0</v>
      </c>
      <c r="AX185" s="23">
        <v>0.0</v>
      </c>
      <c r="BF185" s="23">
        <v>0.0</v>
      </c>
      <c r="BJ185" s="23">
        <v>0.0</v>
      </c>
      <c r="BN185" s="23">
        <v>0.0</v>
      </c>
      <c r="BO185" s="23">
        <v>62.18</v>
      </c>
      <c r="BP185" s="16" t="s">
        <v>1229</v>
      </c>
      <c r="BQ185" s="16" t="b">
        <v>1</v>
      </c>
      <c r="BR185" s="23">
        <v>62.18</v>
      </c>
      <c r="BT185" s="16" t="b">
        <v>0</v>
      </c>
      <c r="BU185" s="16" t="s">
        <v>546</v>
      </c>
    </row>
    <row r="186">
      <c r="A186" s="16" t="s">
        <v>1232</v>
      </c>
      <c r="B186" s="16" t="s">
        <v>35</v>
      </c>
      <c r="C186" s="22">
        <v>45362.0</v>
      </c>
      <c r="D186" s="16" t="s">
        <v>543</v>
      </c>
      <c r="E186" s="16" t="s">
        <v>1234</v>
      </c>
      <c r="F186" s="16" t="s">
        <v>415</v>
      </c>
      <c r="G186" s="16">
        <v>1.2539885E7</v>
      </c>
      <c r="H186" s="23">
        <v>1.0</v>
      </c>
      <c r="I186" s="23">
        <v>120.0</v>
      </c>
      <c r="J186" s="23">
        <v>120.0</v>
      </c>
      <c r="N186" s="23">
        <v>0.0</v>
      </c>
      <c r="R186" s="23">
        <v>0.0</v>
      </c>
      <c r="V186" s="23">
        <v>0.0</v>
      </c>
      <c r="Z186" s="23">
        <v>0.0</v>
      </c>
      <c r="AD186" s="23">
        <v>0.0</v>
      </c>
      <c r="AH186" s="23">
        <v>0.0</v>
      </c>
      <c r="AL186" s="23">
        <v>0.0</v>
      </c>
      <c r="AP186" s="23">
        <v>0.0</v>
      </c>
      <c r="AT186" s="23">
        <v>0.0</v>
      </c>
      <c r="AX186" s="23">
        <v>0.0</v>
      </c>
      <c r="BF186" s="23">
        <v>0.0</v>
      </c>
      <c r="BJ186" s="23">
        <v>0.0</v>
      </c>
      <c r="BN186" s="23">
        <v>0.0</v>
      </c>
      <c r="BO186" s="23">
        <v>120.0</v>
      </c>
      <c r="BP186" s="16" t="s">
        <v>1235</v>
      </c>
      <c r="BQ186" s="16" t="b">
        <v>1</v>
      </c>
      <c r="BR186" s="23">
        <v>120.0</v>
      </c>
      <c r="BS186" s="23">
        <v>814439.0</v>
      </c>
      <c r="BT186" s="16" t="b">
        <v>1</v>
      </c>
      <c r="BU186" s="16" t="s">
        <v>546</v>
      </c>
    </row>
    <row r="187">
      <c r="A187" s="16" t="s">
        <v>1238</v>
      </c>
      <c r="B187" s="16" t="s">
        <v>35</v>
      </c>
      <c r="C187" s="22">
        <v>45364.0</v>
      </c>
      <c r="D187" s="16" t="s">
        <v>137</v>
      </c>
      <c r="E187" s="16" t="s">
        <v>1241</v>
      </c>
      <c r="F187" s="16" t="s">
        <v>792</v>
      </c>
      <c r="G187" s="16">
        <v>1.2539885E7</v>
      </c>
      <c r="H187" s="23">
        <v>1.0</v>
      </c>
      <c r="I187" s="23">
        <v>440.0</v>
      </c>
      <c r="J187" s="23">
        <v>440.0</v>
      </c>
      <c r="N187" s="23">
        <v>0.0</v>
      </c>
      <c r="R187" s="23">
        <v>0.0</v>
      </c>
      <c r="V187" s="23">
        <v>0.0</v>
      </c>
      <c r="Z187" s="23">
        <v>0.0</v>
      </c>
      <c r="AD187" s="23">
        <v>0.0</v>
      </c>
      <c r="AH187" s="23">
        <v>0.0</v>
      </c>
      <c r="AL187" s="23">
        <v>0.0</v>
      </c>
      <c r="AP187" s="23">
        <v>0.0</v>
      </c>
      <c r="AT187" s="23">
        <v>0.0</v>
      </c>
      <c r="AX187" s="23">
        <v>0.0</v>
      </c>
      <c r="BF187" s="23">
        <v>0.0</v>
      </c>
      <c r="BJ187" s="23">
        <v>0.0</v>
      </c>
      <c r="BN187" s="23">
        <v>0.0</v>
      </c>
      <c r="BO187" s="23">
        <v>440.0</v>
      </c>
      <c r="BP187" s="16" t="s">
        <v>1242</v>
      </c>
      <c r="BQ187" s="16" t="b">
        <v>1</v>
      </c>
      <c r="BR187" s="23">
        <v>440.0</v>
      </c>
      <c r="BS187" s="23">
        <v>816852.0</v>
      </c>
      <c r="BT187" s="16" t="b">
        <v>1</v>
      </c>
      <c r="BU187" s="16" t="s">
        <v>546</v>
      </c>
    </row>
    <row r="188">
      <c r="A188" s="16" t="s">
        <v>1245</v>
      </c>
      <c r="B188" s="16" t="s">
        <v>35</v>
      </c>
      <c r="C188" s="22">
        <v>45364.0</v>
      </c>
      <c r="D188" s="16" t="s">
        <v>1188</v>
      </c>
      <c r="E188" s="16" t="s">
        <v>1248</v>
      </c>
      <c r="F188" s="16" t="s">
        <v>1250</v>
      </c>
      <c r="G188" s="16" t="s">
        <v>1757</v>
      </c>
      <c r="H188" s="23">
        <v>1.0</v>
      </c>
      <c r="I188" s="23">
        <v>27.0</v>
      </c>
      <c r="J188" s="23">
        <v>27.0</v>
      </c>
      <c r="N188" s="23">
        <v>0.0</v>
      </c>
      <c r="R188" s="23">
        <v>0.0</v>
      </c>
      <c r="V188" s="23">
        <v>0.0</v>
      </c>
      <c r="Z188" s="23">
        <v>0.0</v>
      </c>
      <c r="AD188" s="23">
        <v>0.0</v>
      </c>
      <c r="AH188" s="23">
        <v>0.0</v>
      </c>
      <c r="AL188" s="23">
        <v>0.0</v>
      </c>
      <c r="AP188" s="23">
        <v>0.0</v>
      </c>
      <c r="AT188" s="23">
        <v>0.0</v>
      </c>
      <c r="AX188" s="23">
        <v>0.0</v>
      </c>
      <c r="BF188" s="23">
        <v>0.0</v>
      </c>
      <c r="BJ188" s="23">
        <v>0.0</v>
      </c>
      <c r="BN188" s="23">
        <v>0.0</v>
      </c>
      <c r="BO188" s="23">
        <v>27.0</v>
      </c>
      <c r="BP188" s="16" t="s">
        <v>1249</v>
      </c>
      <c r="BQ188" s="16" t="b">
        <v>1</v>
      </c>
      <c r="BR188" s="23">
        <v>27.0</v>
      </c>
      <c r="BS188" s="23">
        <v>817019.0</v>
      </c>
      <c r="BT188" s="16" t="b">
        <v>1</v>
      </c>
      <c r="BU188" s="16" t="s">
        <v>546</v>
      </c>
    </row>
    <row r="189">
      <c r="A189" s="16" t="s">
        <v>1254</v>
      </c>
      <c r="B189" s="16" t="s">
        <v>35</v>
      </c>
      <c r="C189" s="22">
        <v>45364.0</v>
      </c>
      <c r="D189" s="16" t="s">
        <v>112</v>
      </c>
      <c r="E189" s="16" t="s">
        <v>1256</v>
      </c>
      <c r="F189" s="16" t="s">
        <v>157</v>
      </c>
      <c r="G189" s="16" t="s">
        <v>226</v>
      </c>
      <c r="H189" s="23">
        <v>6.0</v>
      </c>
      <c r="I189" s="23">
        <v>9.0</v>
      </c>
      <c r="J189" s="23">
        <v>54.0</v>
      </c>
      <c r="K189" s="16" t="s">
        <v>152</v>
      </c>
      <c r="L189" s="23">
        <v>3.0</v>
      </c>
      <c r="M189" s="23">
        <v>4.4</v>
      </c>
      <c r="N189" s="23">
        <v>13.2</v>
      </c>
      <c r="O189" s="16" t="s">
        <v>230</v>
      </c>
      <c r="P189" s="23">
        <v>4.0</v>
      </c>
      <c r="Q189" s="23">
        <v>25.0</v>
      </c>
      <c r="R189" s="23">
        <v>100.0</v>
      </c>
      <c r="S189" s="16" t="s">
        <v>155</v>
      </c>
      <c r="T189" s="23">
        <v>1.0</v>
      </c>
      <c r="U189" s="23">
        <v>33.82</v>
      </c>
      <c r="V189" s="23">
        <v>33.82</v>
      </c>
      <c r="W189" s="16" t="s">
        <v>159</v>
      </c>
      <c r="X189" s="23">
        <v>10.0</v>
      </c>
      <c r="Y189" s="23">
        <v>14.0</v>
      </c>
      <c r="Z189" s="23">
        <v>140.0</v>
      </c>
      <c r="AD189" s="23">
        <v>0.0</v>
      </c>
      <c r="AH189" s="23">
        <v>0.0</v>
      </c>
      <c r="AL189" s="23">
        <v>0.0</v>
      </c>
      <c r="AP189" s="23">
        <v>0.0</v>
      </c>
      <c r="AT189" s="23">
        <v>0.0</v>
      </c>
      <c r="AX189" s="23">
        <v>0.0</v>
      </c>
      <c r="BF189" s="23">
        <v>0.0</v>
      </c>
      <c r="BJ189" s="23">
        <v>0.0</v>
      </c>
      <c r="BN189" s="23">
        <v>0.0</v>
      </c>
      <c r="BO189" s="23">
        <v>341.02</v>
      </c>
      <c r="BP189" s="16" t="s">
        <v>1257</v>
      </c>
      <c r="BQ189" s="16" t="b">
        <v>1</v>
      </c>
      <c r="BR189" s="23">
        <v>341.0</v>
      </c>
      <c r="BS189" s="23">
        <v>817023.0</v>
      </c>
      <c r="BT189" s="16" t="b">
        <v>1</v>
      </c>
      <c r="BU189" s="16" t="s">
        <v>546</v>
      </c>
    </row>
    <row r="190">
      <c r="A190" s="16" t="s">
        <v>1260</v>
      </c>
      <c r="B190" s="16" t="s">
        <v>35</v>
      </c>
      <c r="C190" s="22">
        <v>45364.0</v>
      </c>
      <c r="D190" s="16" t="s">
        <v>112</v>
      </c>
      <c r="E190" s="16" t="s">
        <v>1256</v>
      </c>
      <c r="F190" s="16" t="s">
        <v>157</v>
      </c>
      <c r="G190" s="16" t="s">
        <v>155</v>
      </c>
      <c r="H190" s="23">
        <v>1.0</v>
      </c>
      <c r="I190" s="23">
        <v>39.07</v>
      </c>
      <c r="J190" s="23">
        <v>39.07</v>
      </c>
      <c r="K190" s="16" t="s">
        <v>230</v>
      </c>
      <c r="L190" s="23">
        <v>4.0</v>
      </c>
      <c r="M190" s="23">
        <v>24.0</v>
      </c>
      <c r="N190" s="23">
        <v>96.0</v>
      </c>
      <c r="O190" s="16" t="s">
        <v>152</v>
      </c>
      <c r="P190" s="23">
        <v>1.0</v>
      </c>
      <c r="Q190" s="23">
        <v>13.53</v>
      </c>
      <c r="R190" s="23">
        <v>13.53</v>
      </c>
      <c r="S190" s="16" t="s">
        <v>226</v>
      </c>
      <c r="T190" s="23">
        <v>5.0</v>
      </c>
      <c r="U190" s="23">
        <v>7.0</v>
      </c>
      <c r="V190" s="23">
        <v>35.0</v>
      </c>
      <c r="Z190" s="23">
        <v>0.0</v>
      </c>
      <c r="AD190" s="23">
        <v>0.0</v>
      </c>
      <c r="AH190" s="23">
        <v>0.0</v>
      </c>
      <c r="AL190" s="23">
        <v>0.0</v>
      </c>
      <c r="AP190" s="23">
        <v>0.0</v>
      </c>
      <c r="AT190" s="23">
        <v>0.0</v>
      </c>
      <c r="AX190" s="23">
        <v>0.0</v>
      </c>
      <c r="BF190" s="23">
        <v>0.0</v>
      </c>
      <c r="BJ190" s="23">
        <v>0.0</v>
      </c>
      <c r="BN190" s="23">
        <v>0.0</v>
      </c>
      <c r="BO190" s="23">
        <v>183.6</v>
      </c>
      <c r="BP190" s="16" t="s">
        <v>1262</v>
      </c>
      <c r="BQ190" s="16" t="b">
        <v>1</v>
      </c>
      <c r="BR190" s="23">
        <v>183.6</v>
      </c>
      <c r="BS190" s="23">
        <v>817025.0</v>
      </c>
      <c r="BT190" s="16" t="b">
        <v>1</v>
      </c>
      <c r="BU190" s="16" t="s">
        <v>546</v>
      </c>
    </row>
    <row r="191">
      <c r="A191" s="16" t="s">
        <v>1265</v>
      </c>
      <c r="B191" s="16" t="s">
        <v>35</v>
      </c>
      <c r="C191" s="22">
        <v>45364.0</v>
      </c>
      <c r="D191" s="16" t="s">
        <v>1267</v>
      </c>
      <c r="F191" s="16" t="s">
        <v>1269</v>
      </c>
      <c r="G191" s="16" t="s">
        <v>1848</v>
      </c>
      <c r="H191" s="16">
        <v>1.0</v>
      </c>
      <c r="I191" s="23">
        <v>100.0</v>
      </c>
      <c r="J191" s="23">
        <v>100.0</v>
      </c>
      <c r="BO191" s="23">
        <v>100.0</v>
      </c>
      <c r="BR191" s="23">
        <v>100.0</v>
      </c>
      <c r="BU191" s="16" t="s">
        <v>539</v>
      </c>
    </row>
    <row r="192">
      <c r="A192" s="16" t="s">
        <v>1273</v>
      </c>
      <c r="B192" s="16" t="s">
        <v>35</v>
      </c>
      <c r="C192" s="22">
        <v>45364.0</v>
      </c>
      <c r="D192" s="16" t="s">
        <v>1275</v>
      </c>
      <c r="F192" s="16" t="s">
        <v>1276</v>
      </c>
      <c r="G192" s="16" t="s">
        <v>1854</v>
      </c>
      <c r="H192" s="16">
        <v>1.0</v>
      </c>
      <c r="I192" s="23">
        <v>550.0</v>
      </c>
      <c r="J192" s="23">
        <v>550.0</v>
      </c>
      <c r="BO192" s="23">
        <v>550.0</v>
      </c>
      <c r="BR192" s="23">
        <v>550.0</v>
      </c>
      <c r="BU192" s="16" t="s">
        <v>539</v>
      </c>
    </row>
    <row r="193">
      <c r="A193" s="16" t="s">
        <v>1278</v>
      </c>
      <c r="B193" s="16" t="s">
        <v>35</v>
      </c>
      <c r="C193" s="22">
        <v>45362.0</v>
      </c>
      <c r="D193" s="16" t="s">
        <v>1281</v>
      </c>
      <c r="E193" s="16" t="s">
        <v>1282</v>
      </c>
      <c r="F193" s="16" t="s">
        <v>1191</v>
      </c>
      <c r="G193" s="16" t="s">
        <v>1757</v>
      </c>
      <c r="H193" s="23">
        <v>1.0</v>
      </c>
      <c r="I193" s="23">
        <v>27.0</v>
      </c>
      <c r="J193" s="23">
        <v>27.0</v>
      </c>
      <c r="N193" s="23">
        <v>0.0</v>
      </c>
      <c r="R193" s="23">
        <v>0.0</v>
      </c>
      <c r="V193" s="23">
        <v>0.0</v>
      </c>
      <c r="Z193" s="23">
        <v>0.0</v>
      </c>
      <c r="AD193" s="23">
        <v>0.0</v>
      </c>
      <c r="AH193" s="23">
        <v>0.0</v>
      </c>
      <c r="AL193" s="23">
        <v>0.0</v>
      </c>
      <c r="AP193" s="23">
        <v>0.0</v>
      </c>
      <c r="AT193" s="23">
        <v>0.0</v>
      </c>
      <c r="AX193" s="23">
        <v>0.0</v>
      </c>
      <c r="BF193" s="23">
        <v>0.0</v>
      </c>
      <c r="BJ193" s="23">
        <v>0.0</v>
      </c>
      <c r="BN193" s="23">
        <v>0.0</v>
      </c>
      <c r="BO193" s="23">
        <v>27.0</v>
      </c>
      <c r="BP193" s="16" t="s">
        <v>1284</v>
      </c>
      <c r="BQ193" s="16" t="b">
        <v>1</v>
      </c>
      <c r="BR193" s="23">
        <v>27.0</v>
      </c>
      <c r="BS193" s="23">
        <v>817204.0</v>
      </c>
      <c r="BT193" s="16" t="b">
        <v>1</v>
      </c>
      <c r="BU193" s="16" t="s">
        <v>546</v>
      </c>
    </row>
    <row r="194">
      <c r="A194" s="16" t="s">
        <v>1286</v>
      </c>
      <c r="B194" s="16" t="s">
        <v>35</v>
      </c>
      <c r="C194" s="22">
        <v>45362.0</v>
      </c>
      <c r="D194" s="16" t="s">
        <v>1281</v>
      </c>
      <c r="E194" s="16" t="s">
        <v>1282</v>
      </c>
      <c r="F194" s="16" t="s">
        <v>1191</v>
      </c>
      <c r="G194" s="16" t="s">
        <v>1757</v>
      </c>
      <c r="H194" s="23">
        <v>1.0</v>
      </c>
      <c r="I194" s="23">
        <v>27.0</v>
      </c>
      <c r="J194" s="23">
        <v>27.0</v>
      </c>
      <c r="N194" s="23">
        <v>0.0</v>
      </c>
      <c r="R194" s="23">
        <v>0.0</v>
      </c>
      <c r="V194" s="23">
        <v>0.0</v>
      </c>
      <c r="Z194" s="23">
        <v>0.0</v>
      </c>
      <c r="AD194" s="23">
        <v>0.0</v>
      </c>
      <c r="AH194" s="23">
        <v>0.0</v>
      </c>
      <c r="AL194" s="23">
        <v>0.0</v>
      </c>
      <c r="AP194" s="23">
        <v>0.0</v>
      </c>
      <c r="AT194" s="23">
        <v>0.0</v>
      </c>
      <c r="AX194" s="23">
        <v>0.0</v>
      </c>
      <c r="BF194" s="23">
        <v>0.0</v>
      </c>
      <c r="BJ194" s="23">
        <v>0.0</v>
      </c>
      <c r="BN194" s="23">
        <v>0.0</v>
      </c>
      <c r="BO194" s="23">
        <v>27.0</v>
      </c>
      <c r="BP194" s="16" t="s">
        <v>1289</v>
      </c>
      <c r="BQ194" s="16" t="b">
        <v>1</v>
      </c>
      <c r="BR194" s="23">
        <v>27.0</v>
      </c>
      <c r="BS194" s="23">
        <v>817201.0</v>
      </c>
      <c r="BT194" s="16" t="b">
        <v>1</v>
      </c>
      <c r="BU194" s="16" t="s">
        <v>546</v>
      </c>
    </row>
    <row r="195">
      <c r="A195" s="16" t="s">
        <v>1293</v>
      </c>
      <c r="B195" s="16" t="s">
        <v>35</v>
      </c>
      <c r="C195" s="22">
        <v>45363.0</v>
      </c>
      <c r="D195" s="16" t="s">
        <v>175</v>
      </c>
      <c r="E195" s="16" t="s">
        <v>1295</v>
      </c>
      <c r="F195" s="16" t="s">
        <v>1298</v>
      </c>
      <c r="G195" s="16" t="s">
        <v>305</v>
      </c>
      <c r="H195" s="23">
        <v>1.0</v>
      </c>
      <c r="I195" s="23">
        <v>47.64</v>
      </c>
      <c r="J195" s="23">
        <v>47.64</v>
      </c>
      <c r="N195" s="23">
        <v>0.0</v>
      </c>
      <c r="R195" s="23">
        <v>0.0</v>
      </c>
      <c r="V195" s="23">
        <v>0.0</v>
      </c>
      <c r="Z195" s="23">
        <v>0.0</v>
      </c>
      <c r="AD195" s="23">
        <v>0.0</v>
      </c>
      <c r="AH195" s="23">
        <v>0.0</v>
      </c>
      <c r="AL195" s="23">
        <v>0.0</v>
      </c>
      <c r="AP195" s="23">
        <v>0.0</v>
      </c>
      <c r="AT195" s="23">
        <v>0.0</v>
      </c>
      <c r="AX195" s="23">
        <v>0.0</v>
      </c>
      <c r="BF195" s="23">
        <v>0.0</v>
      </c>
      <c r="BJ195" s="23">
        <v>0.0</v>
      </c>
      <c r="BN195" s="23">
        <v>0.0</v>
      </c>
      <c r="BO195" s="23">
        <v>47.64</v>
      </c>
      <c r="BP195" s="16" t="s">
        <v>1297</v>
      </c>
      <c r="BQ195" s="16" t="b">
        <v>1</v>
      </c>
      <c r="BR195" s="23">
        <v>47.64</v>
      </c>
      <c r="BT195" s="16" t="b">
        <v>0</v>
      </c>
      <c r="BU195" s="16" t="s">
        <v>546</v>
      </c>
    </row>
    <row r="196">
      <c r="A196" s="16" t="s">
        <v>1300</v>
      </c>
      <c r="B196" s="16" t="s">
        <v>35</v>
      </c>
      <c r="C196" s="22">
        <v>45365.0</v>
      </c>
      <c r="D196" s="16" t="s">
        <v>353</v>
      </c>
      <c r="E196" s="16" t="s">
        <v>1302</v>
      </c>
      <c r="F196" s="16" t="s">
        <v>1306</v>
      </c>
      <c r="G196" s="16" t="s">
        <v>1889</v>
      </c>
      <c r="H196" s="23">
        <v>1.0</v>
      </c>
      <c r="I196" s="23">
        <v>64.95</v>
      </c>
      <c r="J196" s="23">
        <v>64.95</v>
      </c>
      <c r="N196" s="23">
        <v>0.0</v>
      </c>
      <c r="R196" s="23">
        <v>0.0</v>
      </c>
      <c r="V196" s="23">
        <v>0.0</v>
      </c>
      <c r="Z196" s="23">
        <v>0.0</v>
      </c>
      <c r="AD196" s="23">
        <v>0.0</v>
      </c>
      <c r="AH196" s="23">
        <v>0.0</v>
      </c>
      <c r="AL196" s="23">
        <v>0.0</v>
      </c>
      <c r="AP196" s="23">
        <v>0.0</v>
      </c>
      <c r="AT196" s="23">
        <v>0.0</v>
      </c>
      <c r="AX196" s="23">
        <v>0.0</v>
      </c>
      <c r="BF196" s="23">
        <v>0.0</v>
      </c>
      <c r="BJ196" s="23">
        <v>0.0</v>
      </c>
      <c r="BN196" s="23">
        <v>0.0</v>
      </c>
      <c r="BO196" s="23">
        <v>64.95</v>
      </c>
      <c r="BP196" s="16" t="s">
        <v>1305</v>
      </c>
      <c r="BQ196" s="16" t="b">
        <v>1</v>
      </c>
      <c r="BR196" s="23">
        <v>64.95</v>
      </c>
      <c r="BT196" s="16" t="b">
        <v>0</v>
      </c>
      <c r="BU196" s="16" t="s">
        <v>546</v>
      </c>
    </row>
    <row r="197">
      <c r="A197" s="16" t="s">
        <v>1308</v>
      </c>
      <c r="B197" s="16" t="s">
        <v>35</v>
      </c>
      <c r="C197" s="22">
        <v>45365.0</v>
      </c>
      <c r="D197" s="16" t="s">
        <v>1310</v>
      </c>
      <c r="E197" s="16" t="s">
        <v>1311</v>
      </c>
      <c r="F197" s="16" t="s">
        <v>1314</v>
      </c>
      <c r="G197" s="16" t="s">
        <v>1787</v>
      </c>
      <c r="H197" s="23">
        <v>1.0</v>
      </c>
      <c r="I197" s="23">
        <v>35.6</v>
      </c>
      <c r="J197" s="23">
        <v>35.6</v>
      </c>
      <c r="N197" s="23">
        <v>0.0</v>
      </c>
      <c r="R197" s="23">
        <v>0.0</v>
      </c>
      <c r="V197" s="23">
        <v>0.0</v>
      </c>
      <c r="Z197" s="23">
        <v>0.0</v>
      </c>
      <c r="AD197" s="23">
        <v>0.0</v>
      </c>
      <c r="AH197" s="23">
        <v>0.0</v>
      </c>
      <c r="AL197" s="23">
        <v>0.0</v>
      </c>
      <c r="AP197" s="23">
        <v>0.0</v>
      </c>
      <c r="AT197" s="23">
        <v>0.0</v>
      </c>
      <c r="AX197" s="23">
        <v>0.0</v>
      </c>
      <c r="BF197" s="23">
        <v>0.0</v>
      </c>
      <c r="BJ197" s="23">
        <v>0.0</v>
      </c>
      <c r="BN197" s="23">
        <v>0.0</v>
      </c>
      <c r="BO197" s="23">
        <v>35.6</v>
      </c>
      <c r="BP197" s="16" t="s">
        <v>1313</v>
      </c>
      <c r="BQ197" s="16" t="b">
        <v>1</v>
      </c>
      <c r="BR197" s="23">
        <v>35.6</v>
      </c>
      <c r="BT197" s="16" t="b">
        <v>0</v>
      </c>
      <c r="BU197" s="16" t="s">
        <v>546</v>
      </c>
    </row>
    <row r="198">
      <c r="A198" s="16" t="s">
        <v>1318</v>
      </c>
      <c r="B198" s="16" t="s">
        <v>35</v>
      </c>
      <c r="C198" s="22">
        <v>45365.0</v>
      </c>
      <c r="D198" s="16" t="s">
        <v>1320</v>
      </c>
      <c r="E198" s="16" t="s">
        <v>1321</v>
      </c>
      <c r="F198" s="16" t="s">
        <v>1324</v>
      </c>
      <c r="G198" s="16" t="s">
        <v>1904</v>
      </c>
      <c r="H198" s="23">
        <v>1.0</v>
      </c>
      <c r="I198" s="23">
        <v>96.0</v>
      </c>
      <c r="J198" s="23">
        <v>96.0</v>
      </c>
      <c r="N198" s="23">
        <v>0.0</v>
      </c>
      <c r="R198" s="23">
        <v>0.0</v>
      </c>
      <c r="V198" s="23">
        <v>0.0</v>
      </c>
      <c r="Z198" s="23">
        <v>0.0</v>
      </c>
      <c r="AD198" s="23">
        <v>0.0</v>
      </c>
      <c r="AH198" s="23">
        <v>0.0</v>
      </c>
      <c r="AL198" s="23">
        <v>0.0</v>
      </c>
      <c r="AP198" s="23">
        <v>0.0</v>
      </c>
      <c r="AT198" s="23">
        <v>0.0</v>
      </c>
      <c r="AX198" s="23">
        <v>0.0</v>
      </c>
      <c r="BF198" s="23">
        <v>0.0</v>
      </c>
      <c r="BJ198" s="23">
        <v>0.0</v>
      </c>
      <c r="BN198" s="23">
        <v>0.0</v>
      </c>
      <c r="BO198" s="23">
        <v>96.0</v>
      </c>
      <c r="BP198" s="16" t="s">
        <v>1323</v>
      </c>
      <c r="BQ198" s="16" t="b">
        <v>1</v>
      </c>
      <c r="BR198" s="23">
        <v>96.0</v>
      </c>
      <c r="BT198" s="16" t="b">
        <v>0</v>
      </c>
      <c r="BU198" s="16" t="s">
        <v>546</v>
      </c>
    </row>
    <row r="199">
      <c r="A199" s="16" t="s">
        <v>1326</v>
      </c>
      <c r="B199" s="16" t="s">
        <v>35</v>
      </c>
      <c r="C199" s="22">
        <v>45365.0</v>
      </c>
      <c r="F199" s="16" t="s">
        <v>1329</v>
      </c>
      <c r="G199" s="16" t="s">
        <v>1168</v>
      </c>
      <c r="H199" s="16">
        <v>1.0</v>
      </c>
      <c r="I199" s="23">
        <v>100.0</v>
      </c>
      <c r="J199" s="23">
        <v>100.0</v>
      </c>
      <c r="BO199" s="23">
        <v>100.0</v>
      </c>
      <c r="BR199" s="23">
        <v>100.0</v>
      </c>
      <c r="BU199" s="16" t="s">
        <v>539</v>
      </c>
      <c r="BV199" s="16" t="s">
        <v>651</v>
      </c>
      <c r="BW199" s="16"/>
      <c r="BX199" s="16"/>
      <c r="BY199" s="16"/>
    </row>
    <row r="200">
      <c r="A200" s="16" t="s">
        <v>1334</v>
      </c>
      <c r="B200" s="16" t="s">
        <v>35</v>
      </c>
      <c r="C200" s="22">
        <v>45366.0</v>
      </c>
      <c r="D200" s="16" t="s">
        <v>112</v>
      </c>
      <c r="E200" s="16" t="s">
        <v>1335</v>
      </c>
      <c r="F200" s="16" t="s">
        <v>157</v>
      </c>
      <c r="G200" s="16" t="s">
        <v>226</v>
      </c>
      <c r="H200" s="23">
        <v>5.0</v>
      </c>
      <c r="I200" s="23">
        <v>7.5</v>
      </c>
      <c r="J200" s="23">
        <v>37.5</v>
      </c>
      <c r="K200" s="16" t="s">
        <v>152</v>
      </c>
      <c r="L200" s="23">
        <v>1.0</v>
      </c>
      <c r="M200" s="23">
        <v>19.95</v>
      </c>
      <c r="N200" s="23">
        <v>19.95</v>
      </c>
      <c r="O200" s="16" t="s">
        <v>230</v>
      </c>
      <c r="P200" s="23">
        <v>1.0</v>
      </c>
      <c r="Q200" s="23">
        <v>196.2</v>
      </c>
      <c r="R200" s="23">
        <v>196.2</v>
      </c>
      <c r="S200" s="16" t="s">
        <v>155</v>
      </c>
      <c r="T200" s="23">
        <v>1.0</v>
      </c>
      <c r="U200" s="23">
        <v>62.59</v>
      </c>
      <c r="V200" s="23">
        <v>62.59</v>
      </c>
      <c r="W200" s="16" t="s">
        <v>159</v>
      </c>
      <c r="X200" s="23">
        <v>1.0</v>
      </c>
      <c r="Y200" s="23">
        <v>210.0</v>
      </c>
      <c r="Z200" s="23">
        <v>210.0</v>
      </c>
      <c r="AD200" s="23">
        <v>0.0</v>
      </c>
      <c r="AH200" s="23">
        <v>0.0</v>
      </c>
      <c r="AL200" s="23">
        <v>0.0</v>
      </c>
      <c r="AP200" s="23">
        <v>0.0</v>
      </c>
      <c r="AT200" s="23">
        <v>0.0</v>
      </c>
      <c r="AX200" s="23">
        <v>0.0</v>
      </c>
      <c r="BF200" s="23">
        <v>0.0</v>
      </c>
      <c r="BJ200" s="23">
        <v>0.0</v>
      </c>
      <c r="BN200" s="23">
        <v>0.0</v>
      </c>
      <c r="BO200" s="23">
        <v>526.24</v>
      </c>
      <c r="BP200" s="16" t="s">
        <v>1336</v>
      </c>
      <c r="BQ200" s="16" t="b">
        <v>1</v>
      </c>
      <c r="BR200" s="23">
        <v>526.24</v>
      </c>
      <c r="BS200" s="23">
        <v>819506.0</v>
      </c>
      <c r="BT200" s="16" t="b">
        <v>1</v>
      </c>
      <c r="BU200" s="16" t="s">
        <v>546</v>
      </c>
    </row>
    <row r="201">
      <c r="A201" s="16" t="s">
        <v>1338</v>
      </c>
      <c r="B201" s="16" t="s">
        <v>35</v>
      </c>
      <c r="C201" s="22">
        <v>45366.0</v>
      </c>
      <c r="D201" s="16" t="s">
        <v>420</v>
      </c>
      <c r="E201" s="16" t="s">
        <v>1339</v>
      </c>
      <c r="F201" s="16" t="s">
        <v>1341</v>
      </c>
      <c r="G201" s="16" t="s">
        <v>789</v>
      </c>
      <c r="H201" s="23">
        <v>3.0</v>
      </c>
      <c r="I201" s="23">
        <v>73.09</v>
      </c>
      <c r="J201" s="23">
        <v>219.27</v>
      </c>
      <c r="K201" s="16" t="s">
        <v>794</v>
      </c>
      <c r="L201" s="23">
        <v>6.0</v>
      </c>
      <c r="M201" s="23">
        <v>21.02</v>
      </c>
      <c r="N201" s="23">
        <v>126.12</v>
      </c>
      <c r="O201" s="16" t="s">
        <v>249</v>
      </c>
      <c r="P201" s="23">
        <v>60.0</v>
      </c>
      <c r="Q201" s="23">
        <v>11.27</v>
      </c>
      <c r="R201" s="23">
        <v>676.2</v>
      </c>
      <c r="S201" s="16" t="s">
        <v>249</v>
      </c>
      <c r="T201" s="23">
        <v>20.0</v>
      </c>
      <c r="U201" s="23">
        <v>5.72</v>
      </c>
      <c r="V201" s="23">
        <v>114.4</v>
      </c>
      <c r="W201" s="16" t="s">
        <v>693</v>
      </c>
      <c r="X201" s="23">
        <v>12.0</v>
      </c>
      <c r="Y201" s="23">
        <v>4.92</v>
      </c>
      <c r="Z201" s="23">
        <v>59.04</v>
      </c>
      <c r="AA201" s="16" t="s">
        <v>693</v>
      </c>
      <c r="AB201" s="23">
        <v>1.0</v>
      </c>
      <c r="AC201" s="23">
        <v>0.6</v>
      </c>
      <c r="AD201" s="23">
        <v>0.6</v>
      </c>
      <c r="AH201" s="23">
        <v>0.0</v>
      </c>
      <c r="AL201" s="23">
        <v>0.0</v>
      </c>
      <c r="AP201" s="23">
        <v>0.0</v>
      </c>
      <c r="AT201" s="23">
        <v>0.0</v>
      </c>
      <c r="AX201" s="23">
        <v>0.0</v>
      </c>
      <c r="BF201" s="23">
        <v>0.0</v>
      </c>
      <c r="BJ201" s="23">
        <v>0.0</v>
      </c>
      <c r="BN201" s="23">
        <v>0.0</v>
      </c>
      <c r="BO201" s="23">
        <v>1195.63</v>
      </c>
      <c r="BP201" s="16" t="s">
        <v>1340</v>
      </c>
      <c r="BQ201" s="16" t="b">
        <v>1</v>
      </c>
      <c r="BR201" s="23">
        <v>1195.63</v>
      </c>
      <c r="BS201" s="23">
        <v>819356.0</v>
      </c>
      <c r="BT201" s="16" t="b">
        <v>1</v>
      </c>
      <c r="BU201" s="16" t="s">
        <v>546</v>
      </c>
    </row>
    <row r="202">
      <c r="A202" s="16" t="s">
        <v>1345</v>
      </c>
      <c r="B202" s="16" t="s">
        <v>35</v>
      </c>
      <c r="C202" s="22">
        <v>45367.0</v>
      </c>
      <c r="D202" s="16" t="s">
        <v>112</v>
      </c>
      <c r="E202" s="16" t="s">
        <v>1348</v>
      </c>
      <c r="F202" s="16" t="s">
        <v>157</v>
      </c>
      <c r="G202" s="16" t="s">
        <v>159</v>
      </c>
      <c r="H202" s="23">
        <v>10.0</v>
      </c>
      <c r="I202" s="23">
        <v>14.0</v>
      </c>
      <c r="J202" s="23">
        <v>140.0</v>
      </c>
      <c r="K202" s="16" t="s">
        <v>155</v>
      </c>
      <c r="L202" s="23">
        <v>5.0</v>
      </c>
      <c r="M202" s="23">
        <v>8.0</v>
      </c>
      <c r="N202" s="23">
        <v>40.0</v>
      </c>
      <c r="O202" s="16" t="s">
        <v>230</v>
      </c>
      <c r="P202" s="23">
        <v>4.0</v>
      </c>
      <c r="Q202" s="23">
        <v>24.0</v>
      </c>
      <c r="R202" s="23">
        <v>96.0</v>
      </c>
      <c r="S202" s="16" t="s">
        <v>226</v>
      </c>
      <c r="T202" s="23">
        <v>4.0</v>
      </c>
      <c r="U202" s="23">
        <v>7.5</v>
      </c>
      <c r="V202" s="23">
        <v>30.0</v>
      </c>
      <c r="Z202" s="23">
        <v>0.0</v>
      </c>
      <c r="AD202" s="23">
        <v>0.0</v>
      </c>
      <c r="AH202" s="23">
        <v>0.0</v>
      </c>
      <c r="AL202" s="23">
        <v>0.0</v>
      </c>
      <c r="AP202" s="23">
        <v>0.0</v>
      </c>
      <c r="AT202" s="23">
        <v>0.0</v>
      </c>
      <c r="AX202" s="23">
        <v>0.0</v>
      </c>
      <c r="BF202" s="23">
        <v>0.0</v>
      </c>
      <c r="BJ202" s="23">
        <v>0.0</v>
      </c>
      <c r="BN202" s="23">
        <v>0.0</v>
      </c>
      <c r="BO202" s="23">
        <v>306.0</v>
      </c>
      <c r="BP202" s="16" t="s">
        <v>1351</v>
      </c>
      <c r="BQ202" s="16" t="b">
        <v>1</v>
      </c>
      <c r="BR202" s="23">
        <v>306.0</v>
      </c>
      <c r="BS202" s="23">
        <v>824477.0</v>
      </c>
      <c r="BT202" s="16" t="b">
        <v>1</v>
      </c>
      <c r="BU202" s="16" t="s">
        <v>546</v>
      </c>
    </row>
    <row r="203">
      <c r="A203" s="16" t="s">
        <v>1354</v>
      </c>
      <c r="B203" s="16" t="s">
        <v>35</v>
      </c>
      <c r="C203" s="22">
        <v>45369.0</v>
      </c>
      <c r="D203" s="16" t="s">
        <v>112</v>
      </c>
      <c r="E203" s="16" t="s">
        <v>1357</v>
      </c>
      <c r="F203" s="16" t="s">
        <v>157</v>
      </c>
      <c r="G203" s="16" t="s">
        <v>230</v>
      </c>
      <c r="H203" s="23">
        <v>1.0</v>
      </c>
      <c r="I203" s="23">
        <v>74.76</v>
      </c>
      <c r="J203" s="23">
        <v>74.76</v>
      </c>
      <c r="K203" s="16" t="s">
        <v>152</v>
      </c>
      <c r="L203" s="23">
        <v>1.0</v>
      </c>
      <c r="M203" s="23">
        <v>13.64</v>
      </c>
      <c r="N203" s="23">
        <v>13.64</v>
      </c>
      <c r="O203" s="16" t="s">
        <v>226</v>
      </c>
      <c r="P203" s="23">
        <v>5.0</v>
      </c>
      <c r="Q203" s="23">
        <v>7.0</v>
      </c>
      <c r="R203" s="23">
        <v>35.0</v>
      </c>
      <c r="V203" s="23">
        <v>0.0</v>
      </c>
      <c r="Z203" s="23">
        <v>0.0</v>
      </c>
      <c r="AD203" s="23">
        <v>0.0</v>
      </c>
      <c r="AH203" s="23">
        <v>0.0</v>
      </c>
      <c r="AL203" s="23">
        <v>0.0</v>
      </c>
      <c r="AP203" s="23">
        <v>0.0</v>
      </c>
      <c r="AT203" s="23">
        <v>0.0</v>
      </c>
      <c r="AX203" s="23">
        <v>0.0</v>
      </c>
      <c r="BF203" s="23">
        <v>0.0</v>
      </c>
      <c r="BJ203" s="23">
        <v>0.0</v>
      </c>
      <c r="BN203" s="23">
        <v>0.0</v>
      </c>
      <c r="BO203" s="23">
        <v>123.4</v>
      </c>
      <c r="BP203" s="16" t="s">
        <v>1358</v>
      </c>
      <c r="BQ203" s="16" t="b">
        <v>1</v>
      </c>
      <c r="BR203" s="23">
        <v>123.4</v>
      </c>
      <c r="BS203" s="23">
        <v>824474.0</v>
      </c>
      <c r="BT203" s="16" t="b">
        <v>1</v>
      </c>
      <c r="BU203" s="16" t="s">
        <v>546</v>
      </c>
    </row>
    <row r="204">
      <c r="A204" s="16" t="s">
        <v>1362</v>
      </c>
      <c r="B204" s="16" t="s">
        <v>35</v>
      </c>
      <c r="C204" s="22">
        <v>45369.0</v>
      </c>
      <c r="D204" s="23">
        <v>6.8893939E7</v>
      </c>
      <c r="E204" s="16" t="s">
        <v>1363</v>
      </c>
      <c r="F204" s="16" t="s">
        <v>605</v>
      </c>
      <c r="G204" s="16" t="s">
        <v>1145</v>
      </c>
      <c r="H204" s="23">
        <v>1.0</v>
      </c>
      <c r="I204" s="23">
        <v>3582.4</v>
      </c>
      <c r="J204" s="23">
        <v>3582.4</v>
      </c>
      <c r="K204" s="16" t="s">
        <v>1394</v>
      </c>
      <c r="L204" s="23">
        <v>1.0</v>
      </c>
      <c r="M204" s="23">
        <v>3582.39</v>
      </c>
      <c r="N204" s="23">
        <v>3582.39</v>
      </c>
      <c r="R204" s="23">
        <v>0.0</v>
      </c>
      <c r="V204" s="23">
        <v>0.0</v>
      </c>
      <c r="Z204" s="23">
        <v>0.0</v>
      </c>
      <c r="AD204" s="23">
        <v>0.0</v>
      </c>
      <c r="AH204" s="23">
        <v>0.0</v>
      </c>
      <c r="AL204" s="23">
        <v>0.0</v>
      </c>
      <c r="AP204" s="23">
        <v>0.0</v>
      </c>
      <c r="AT204" s="23">
        <v>0.0</v>
      </c>
      <c r="AX204" s="23">
        <v>0.0</v>
      </c>
      <c r="BF204" s="23">
        <v>0.0</v>
      </c>
      <c r="BJ204" s="23">
        <v>0.0</v>
      </c>
      <c r="BN204" s="23">
        <v>0.0</v>
      </c>
      <c r="BO204" s="23">
        <v>7164.79</v>
      </c>
      <c r="BP204" s="16" t="s">
        <v>1365</v>
      </c>
      <c r="BQ204" s="16" t="b">
        <v>1</v>
      </c>
      <c r="BR204" s="23">
        <v>7164.79</v>
      </c>
      <c r="BT204" s="16" t="b">
        <v>0</v>
      </c>
      <c r="BU204" s="16" t="s">
        <v>546</v>
      </c>
    </row>
    <row r="205">
      <c r="A205" s="16" t="s">
        <v>1367</v>
      </c>
      <c r="B205" s="16" t="s">
        <v>35</v>
      </c>
      <c r="C205" s="22">
        <v>45369.0</v>
      </c>
      <c r="D205" s="16" t="s">
        <v>193</v>
      </c>
      <c r="E205" s="16" t="s">
        <v>1368</v>
      </c>
      <c r="F205" s="16" t="s">
        <v>195</v>
      </c>
      <c r="G205" s="16" t="s">
        <v>338</v>
      </c>
      <c r="H205" s="23">
        <v>9.0</v>
      </c>
      <c r="I205" s="23">
        <v>28.88</v>
      </c>
      <c r="J205" s="23">
        <v>259.92</v>
      </c>
      <c r="K205" s="16" t="s">
        <v>1777</v>
      </c>
      <c r="L205" s="23">
        <v>2.0</v>
      </c>
      <c r="M205" s="23">
        <v>27.64</v>
      </c>
      <c r="N205" s="23">
        <v>55.28</v>
      </c>
      <c r="O205" s="16" t="s">
        <v>335</v>
      </c>
      <c r="P205" s="23">
        <v>4.0</v>
      </c>
      <c r="Q205" s="23">
        <v>39.84</v>
      </c>
      <c r="R205" s="23">
        <v>159.36</v>
      </c>
      <c r="S205" s="16" t="s">
        <v>338</v>
      </c>
      <c r="T205" s="23">
        <v>3.0</v>
      </c>
      <c r="U205" s="23">
        <v>43.32</v>
      </c>
      <c r="V205" s="23">
        <v>129.96</v>
      </c>
      <c r="W205" s="16" t="s">
        <v>1777</v>
      </c>
      <c r="X205" s="23">
        <v>2.0</v>
      </c>
      <c r="Y205" s="23">
        <v>28.39</v>
      </c>
      <c r="Z205" s="23">
        <v>56.78</v>
      </c>
      <c r="AA205" s="16" t="s">
        <v>1777</v>
      </c>
      <c r="AB205" s="23">
        <v>1.0</v>
      </c>
      <c r="AC205" s="23">
        <v>25.4</v>
      </c>
      <c r="AD205" s="23">
        <v>25.4</v>
      </c>
      <c r="AH205" s="23">
        <v>0.0</v>
      </c>
      <c r="AL205" s="23">
        <v>0.0</v>
      </c>
      <c r="AP205" s="23">
        <v>0.0</v>
      </c>
      <c r="AT205" s="23">
        <v>0.0</v>
      </c>
      <c r="AX205" s="23">
        <v>0.0</v>
      </c>
      <c r="BF205" s="23">
        <v>0.0</v>
      </c>
      <c r="BJ205" s="23">
        <v>0.0</v>
      </c>
      <c r="BN205" s="23">
        <v>0.0</v>
      </c>
      <c r="BO205" s="23">
        <v>686.7</v>
      </c>
      <c r="BP205" s="16" t="s">
        <v>1370</v>
      </c>
      <c r="BQ205" s="16" t="b">
        <v>1</v>
      </c>
      <c r="BR205" s="23">
        <v>686.7</v>
      </c>
      <c r="BT205" s="16" t="b">
        <v>0</v>
      </c>
      <c r="BU205" s="16" t="s">
        <v>546</v>
      </c>
    </row>
    <row r="206">
      <c r="A206" s="16" t="s">
        <v>1375</v>
      </c>
      <c r="B206" s="16" t="s">
        <v>35</v>
      </c>
      <c r="C206" s="22">
        <v>45365.0</v>
      </c>
      <c r="D206" s="16" t="s">
        <v>780</v>
      </c>
      <c r="E206" s="16" t="s">
        <v>1377</v>
      </c>
      <c r="F206" s="16" t="s">
        <v>195</v>
      </c>
      <c r="G206" s="16" t="s">
        <v>1384</v>
      </c>
      <c r="H206" s="23">
        <v>1.0</v>
      </c>
      <c r="I206" s="23">
        <v>18.0</v>
      </c>
      <c r="J206" s="23">
        <v>18.0</v>
      </c>
      <c r="K206" s="16" t="s">
        <v>1074</v>
      </c>
      <c r="L206" s="23">
        <v>4.0</v>
      </c>
      <c r="M206" s="23">
        <v>36.0</v>
      </c>
      <c r="N206" s="23">
        <v>144.0</v>
      </c>
      <c r="O206" s="16" t="s">
        <v>1387</v>
      </c>
      <c r="P206" s="23">
        <v>1.0</v>
      </c>
      <c r="Q206" s="23">
        <v>45.0</v>
      </c>
      <c r="R206" s="23">
        <v>45.0</v>
      </c>
      <c r="S206" s="16" t="s">
        <v>1075</v>
      </c>
      <c r="T206" s="23">
        <v>2.0</v>
      </c>
      <c r="U206" s="23">
        <v>18.0</v>
      </c>
      <c r="V206" s="23">
        <v>36.0</v>
      </c>
      <c r="W206" s="16" t="s">
        <v>1077</v>
      </c>
      <c r="X206" s="23">
        <v>3.0</v>
      </c>
      <c r="Y206" s="23">
        <v>25.0</v>
      </c>
      <c r="Z206" s="23">
        <v>75.0</v>
      </c>
      <c r="AA206" s="16" t="s">
        <v>1079</v>
      </c>
      <c r="AB206" s="23">
        <v>25.0</v>
      </c>
      <c r="AC206" s="23">
        <v>16.2</v>
      </c>
      <c r="AD206" s="23">
        <v>405.0</v>
      </c>
      <c r="AE206" s="16" t="s">
        <v>1080</v>
      </c>
      <c r="AF206" s="23">
        <v>15.0</v>
      </c>
      <c r="AG206" s="23">
        <v>16.25</v>
      </c>
      <c r="AH206" s="23">
        <v>243.75</v>
      </c>
      <c r="AI206" s="16" t="s">
        <v>1085</v>
      </c>
      <c r="AJ206" s="23">
        <v>3.0</v>
      </c>
      <c r="AK206" s="23">
        <v>36.0</v>
      </c>
      <c r="AL206" s="23">
        <v>108.0</v>
      </c>
      <c r="AM206" s="16" t="s">
        <v>1077</v>
      </c>
      <c r="AN206" s="23">
        <v>1.0</v>
      </c>
      <c r="AO206" s="23">
        <v>25.0</v>
      </c>
      <c r="AP206" s="23">
        <v>25.0</v>
      </c>
      <c r="AQ206" s="16" t="s">
        <v>1074</v>
      </c>
      <c r="AR206" s="23">
        <v>1.0</v>
      </c>
      <c r="AS206" s="23">
        <v>33.0</v>
      </c>
      <c r="AT206" s="23">
        <v>33.0</v>
      </c>
      <c r="AX206" s="23">
        <v>0.0</v>
      </c>
      <c r="BF206" s="23">
        <v>0.0</v>
      </c>
      <c r="BJ206" s="23">
        <v>0.0</v>
      </c>
      <c r="BN206" s="23">
        <v>0.0</v>
      </c>
      <c r="BO206" s="23">
        <v>1132.75</v>
      </c>
      <c r="BP206" s="16" t="s">
        <v>1378</v>
      </c>
      <c r="BQ206" s="16" t="b">
        <v>1</v>
      </c>
      <c r="BR206" s="23">
        <v>1132.75</v>
      </c>
      <c r="BT206" s="16" t="b">
        <v>0</v>
      </c>
      <c r="BU206" s="16" t="s">
        <v>546</v>
      </c>
    </row>
    <row r="207">
      <c r="A207" s="16" t="s">
        <v>1382</v>
      </c>
      <c r="B207" s="16" t="s">
        <v>35</v>
      </c>
      <c r="C207" s="22">
        <v>45369.0</v>
      </c>
      <c r="D207" s="16" t="s">
        <v>1383</v>
      </c>
      <c r="F207" s="16" t="s">
        <v>1386</v>
      </c>
      <c r="G207" s="16" t="s">
        <v>1653</v>
      </c>
      <c r="H207" s="16">
        <v>1.0</v>
      </c>
      <c r="I207" s="23">
        <v>190.0</v>
      </c>
      <c r="J207" s="23">
        <v>190.0</v>
      </c>
      <c r="BO207" s="23">
        <v>190.0</v>
      </c>
      <c r="BR207" s="23">
        <v>190.0</v>
      </c>
      <c r="BU207" s="16" t="s">
        <v>539</v>
      </c>
    </row>
    <row r="208">
      <c r="A208" s="16" t="s">
        <v>1388</v>
      </c>
      <c r="B208" s="16" t="s">
        <v>35</v>
      </c>
      <c r="C208" s="22">
        <v>45369.0</v>
      </c>
      <c r="D208" s="16" t="s">
        <v>460</v>
      </c>
      <c r="F208" s="16" t="s">
        <v>1390</v>
      </c>
      <c r="G208" s="16" t="s">
        <v>2003</v>
      </c>
      <c r="H208" s="16">
        <v>1.0</v>
      </c>
      <c r="I208" s="23">
        <v>360.0</v>
      </c>
      <c r="J208" s="23">
        <v>360.0</v>
      </c>
      <c r="BO208" s="23">
        <v>360.0</v>
      </c>
      <c r="BR208" s="23">
        <v>360.0</v>
      </c>
      <c r="BU208" s="16" t="s">
        <v>539</v>
      </c>
    </row>
    <row r="209">
      <c r="A209" s="16" t="s">
        <v>1392</v>
      </c>
      <c r="B209" s="16" t="s">
        <v>35</v>
      </c>
      <c r="C209" s="22">
        <v>45369.0</v>
      </c>
      <c r="D209" s="16" t="s">
        <v>460</v>
      </c>
      <c r="F209" s="16" t="s">
        <v>1395</v>
      </c>
      <c r="G209" s="16" t="s">
        <v>1889</v>
      </c>
      <c r="H209" s="16">
        <v>1.0</v>
      </c>
      <c r="I209" s="23">
        <v>40.0</v>
      </c>
      <c r="J209" s="23">
        <v>40.0</v>
      </c>
      <c r="BO209" s="23">
        <v>40.0</v>
      </c>
      <c r="BR209" s="23">
        <v>40.0</v>
      </c>
      <c r="BU209" s="16" t="s">
        <v>539</v>
      </c>
    </row>
    <row r="210">
      <c r="A210" s="16" t="s">
        <v>1397</v>
      </c>
      <c r="B210" s="16" t="s">
        <v>35</v>
      </c>
      <c r="C210" s="22">
        <v>45369.0</v>
      </c>
      <c r="D210" s="16" t="s">
        <v>460</v>
      </c>
      <c r="F210" s="16" t="s">
        <v>1399</v>
      </c>
      <c r="G210" s="16" t="s">
        <v>2012</v>
      </c>
      <c r="H210" s="16">
        <v>1.0</v>
      </c>
      <c r="I210" s="23">
        <v>599.7</v>
      </c>
      <c r="J210" s="23">
        <v>599.7</v>
      </c>
      <c r="BO210" s="23">
        <v>599.7</v>
      </c>
      <c r="BR210" s="23">
        <v>599.7</v>
      </c>
      <c r="BU210" s="16" t="s">
        <v>539</v>
      </c>
    </row>
    <row r="211">
      <c r="A211" s="16" t="s">
        <v>1401</v>
      </c>
      <c r="B211" s="16" t="s">
        <v>35</v>
      </c>
      <c r="C211" s="22">
        <v>45369.0</v>
      </c>
      <c r="D211" s="16" t="s">
        <v>460</v>
      </c>
      <c r="F211" s="16" t="s">
        <v>1402</v>
      </c>
      <c r="G211" s="16" t="s">
        <v>1291</v>
      </c>
      <c r="H211" s="16">
        <v>1.0</v>
      </c>
      <c r="I211" s="23">
        <v>55.0</v>
      </c>
      <c r="J211" s="23">
        <v>55.0</v>
      </c>
      <c r="BO211" s="23">
        <v>55.0</v>
      </c>
      <c r="BR211" s="23">
        <v>55.0</v>
      </c>
      <c r="BU211" s="16" t="s">
        <v>539</v>
      </c>
    </row>
    <row r="212">
      <c r="A212" s="16" t="s">
        <v>1406</v>
      </c>
      <c r="B212" s="16" t="s">
        <v>35</v>
      </c>
      <c r="C212" s="22">
        <v>45369.0</v>
      </c>
      <c r="D212" s="16" t="s">
        <v>460</v>
      </c>
      <c r="F212" s="16" t="s">
        <v>1408</v>
      </c>
      <c r="G212" s="16" t="s">
        <v>2020</v>
      </c>
      <c r="H212" s="16">
        <v>1.0</v>
      </c>
      <c r="I212" s="23">
        <v>156.0</v>
      </c>
      <c r="J212" s="23">
        <v>156.0</v>
      </c>
      <c r="BO212" s="23">
        <v>156.0</v>
      </c>
      <c r="BR212" s="23">
        <v>156.0</v>
      </c>
      <c r="BU212" s="16" t="s">
        <v>539</v>
      </c>
    </row>
    <row r="213">
      <c r="A213" s="16">
        <v>1.48789602E8</v>
      </c>
      <c r="B213" s="16" t="s">
        <v>35</v>
      </c>
      <c r="C213" s="22">
        <v>45369.0</v>
      </c>
      <c r="D213" s="16" t="s">
        <v>460</v>
      </c>
      <c r="F213" s="16" t="s">
        <v>1411</v>
      </c>
      <c r="G213" s="16" t="s">
        <v>2023</v>
      </c>
      <c r="H213" s="16">
        <v>1.0</v>
      </c>
      <c r="I213" s="23">
        <v>3313.0</v>
      </c>
      <c r="J213" s="23">
        <v>3313.0</v>
      </c>
      <c r="BO213" s="23">
        <v>3313.0</v>
      </c>
      <c r="BR213" s="23">
        <v>3313.0</v>
      </c>
      <c r="BU213" s="16" t="s">
        <v>539</v>
      </c>
    </row>
    <row r="214">
      <c r="A214" s="16" t="s">
        <v>1413</v>
      </c>
      <c r="B214" s="16" t="s">
        <v>35</v>
      </c>
      <c r="C214" s="22">
        <v>45370.0</v>
      </c>
      <c r="D214" s="16" t="s">
        <v>1414</v>
      </c>
      <c r="E214" s="16" t="s">
        <v>1415</v>
      </c>
      <c r="F214" s="16" t="s">
        <v>1418</v>
      </c>
      <c r="G214" s="16" t="s">
        <v>1757</v>
      </c>
      <c r="H214" s="23">
        <v>1.0</v>
      </c>
      <c r="I214" s="23">
        <v>50.0</v>
      </c>
      <c r="J214" s="23">
        <v>50.0</v>
      </c>
      <c r="N214" s="23">
        <v>0.0</v>
      </c>
      <c r="R214" s="23">
        <v>0.0</v>
      </c>
      <c r="V214" s="23">
        <v>0.0</v>
      </c>
      <c r="Z214" s="23">
        <v>0.0</v>
      </c>
      <c r="AD214" s="23">
        <v>0.0</v>
      </c>
      <c r="AH214" s="23">
        <v>0.0</v>
      </c>
      <c r="AL214" s="23">
        <v>0.0</v>
      </c>
      <c r="AP214" s="23">
        <v>0.0</v>
      </c>
      <c r="AT214" s="23">
        <v>0.0</v>
      </c>
      <c r="AX214" s="23">
        <v>0.0</v>
      </c>
      <c r="BF214" s="23">
        <v>0.0</v>
      </c>
      <c r="BJ214" s="23">
        <v>0.0</v>
      </c>
      <c r="BN214" s="23">
        <v>0.0</v>
      </c>
      <c r="BO214" s="23">
        <v>50.0</v>
      </c>
      <c r="BP214" s="16" t="s">
        <v>1417</v>
      </c>
      <c r="BQ214" s="16" t="b">
        <v>1</v>
      </c>
      <c r="BR214" s="23">
        <v>50.0</v>
      </c>
      <c r="BS214" s="23">
        <v>808865.0</v>
      </c>
      <c r="BT214" s="16" t="b">
        <v>1</v>
      </c>
      <c r="BU214" s="16" t="s">
        <v>546</v>
      </c>
    </row>
    <row r="215">
      <c r="A215" s="23">
        <v>1.1579572E7</v>
      </c>
      <c r="B215" s="16" t="s">
        <v>35</v>
      </c>
      <c r="C215" s="22">
        <v>45370.0</v>
      </c>
      <c r="D215" s="16" t="s">
        <v>1414</v>
      </c>
      <c r="E215" s="16" t="s">
        <v>1421</v>
      </c>
      <c r="F215" s="16" t="s">
        <v>1424</v>
      </c>
      <c r="G215" s="16" t="s">
        <v>1757</v>
      </c>
      <c r="H215" s="23">
        <v>1.0</v>
      </c>
      <c r="I215" s="23">
        <v>50.0</v>
      </c>
      <c r="J215" s="23">
        <v>50.0</v>
      </c>
      <c r="N215" s="23">
        <v>0.0</v>
      </c>
      <c r="R215" s="23">
        <v>0.0</v>
      </c>
      <c r="V215" s="23">
        <v>0.0</v>
      </c>
      <c r="Z215" s="23">
        <v>0.0</v>
      </c>
      <c r="AD215" s="23">
        <v>0.0</v>
      </c>
      <c r="AH215" s="23">
        <v>0.0</v>
      </c>
      <c r="AL215" s="23">
        <v>0.0</v>
      </c>
      <c r="AP215" s="23">
        <v>0.0</v>
      </c>
      <c r="AT215" s="23">
        <v>0.0</v>
      </c>
      <c r="AX215" s="23">
        <v>0.0</v>
      </c>
      <c r="BF215" s="23">
        <v>0.0</v>
      </c>
      <c r="BJ215" s="23">
        <v>0.0</v>
      </c>
      <c r="BN215" s="23">
        <v>0.0</v>
      </c>
      <c r="BO215" s="23">
        <v>50.0</v>
      </c>
      <c r="BP215" s="16" t="s">
        <v>1423</v>
      </c>
      <c r="BQ215" s="16" t="b">
        <v>1</v>
      </c>
      <c r="BR215" s="23">
        <v>50.0</v>
      </c>
      <c r="BS215" s="23">
        <v>808870.0</v>
      </c>
      <c r="BT215" s="16" t="b">
        <v>1</v>
      </c>
      <c r="BU215" s="16" t="s">
        <v>546</v>
      </c>
    </row>
    <row r="216">
      <c r="A216" s="16" t="s">
        <v>1429</v>
      </c>
      <c r="B216" s="16" t="s">
        <v>35</v>
      </c>
      <c r="C216" s="22">
        <v>45370.0</v>
      </c>
      <c r="D216" s="16" t="s">
        <v>1414</v>
      </c>
      <c r="E216" s="16" t="s">
        <v>1421</v>
      </c>
      <c r="F216" s="16" t="s">
        <v>1424</v>
      </c>
      <c r="G216" s="16" t="s">
        <v>1757</v>
      </c>
      <c r="H216" s="23">
        <v>1.0</v>
      </c>
      <c r="I216" s="23">
        <v>51.0</v>
      </c>
      <c r="J216" s="23">
        <v>51.0</v>
      </c>
      <c r="N216" s="23">
        <v>0.0</v>
      </c>
      <c r="R216" s="23">
        <v>0.0</v>
      </c>
      <c r="V216" s="23">
        <v>0.0</v>
      </c>
      <c r="Z216" s="23">
        <v>0.0</v>
      </c>
      <c r="AD216" s="23">
        <v>0.0</v>
      </c>
      <c r="AH216" s="23">
        <v>0.0</v>
      </c>
      <c r="AL216" s="23">
        <v>0.0</v>
      </c>
      <c r="AP216" s="23">
        <v>0.0</v>
      </c>
      <c r="AT216" s="23">
        <v>0.0</v>
      </c>
      <c r="AX216" s="23">
        <v>0.0</v>
      </c>
      <c r="BF216" s="23">
        <v>0.0</v>
      </c>
      <c r="BJ216" s="23">
        <v>0.0</v>
      </c>
      <c r="BN216" s="23">
        <v>0.0</v>
      </c>
      <c r="BO216" s="23">
        <v>51.0</v>
      </c>
      <c r="BP216" s="16" t="s">
        <v>1432</v>
      </c>
      <c r="BQ216" s="16" t="b">
        <v>1</v>
      </c>
      <c r="BR216" s="23">
        <v>51.0</v>
      </c>
      <c r="BS216" s="23">
        <v>808871.0</v>
      </c>
      <c r="BT216" s="16" t="b">
        <v>1</v>
      </c>
      <c r="BU216" s="16" t="s">
        <v>546</v>
      </c>
    </row>
    <row r="217">
      <c r="A217" s="16" t="s">
        <v>1435</v>
      </c>
      <c r="B217" s="16" t="s">
        <v>35</v>
      </c>
      <c r="C217" s="22">
        <v>45371.0</v>
      </c>
      <c r="D217" s="16" t="s">
        <v>112</v>
      </c>
      <c r="E217" s="16" t="s">
        <v>1437</v>
      </c>
      <c r="F217" s="16" t="s">
        <v>792</v>
      </c>
      <c r="G217" s="16" t="s">
        <v>159</v>
      </c>
      <c r="H217" s="23">
        <v>10.0</v>
      </c>
      <c r="I217" s="23">
        <v>14.0</v>
      </c>
      <c r="J217" s="23">
        <v>140.0</v>
      </c>
      <c r="K217" s="16" t="s">
        <v>230</v>
      </c>
      <c r="L217" s="23">
        <v>5.0</v>
      </c>
      <c r="M217" s="23">
        <v>24.0</v>
      </c>
      <c r="N217" s="23">
        <v>120.0</v>
      </c>
      <c r="O217" s="16" t="s">
        <v>152</v>
      </c>
      <c r="P217" s="23">
        <v>2.0</v>
      </c>
      <c r="Q217" s="23">
        <v>4.4</v>
      </c>
      <c r="R217" s="23">
        <v>8.8</v>
      </c>
      <c r="S217" s="16" t="s">
        <v>226</v>
      </c>
      <c r="T217" s="23">
        <v>5.0</v>
      </c>
      <c r="U217" s="23">
        <v>7.0</v>
      </c>
      <c r="V217" s="23">
        <v>35.0</v>
      </c>
      <c r="Z217" s="23">
        <v>0.0</v>
      </c>
      <c r="AD217" s="23">
        <v>0.0</v>
      </c>
      <c r="AH217" s="23">
        <v>0.0</v>
      </c>
      <c r="AL217" s="23">
        <v>0.0</v>
      </c>
      <c r="AP217" s="23">
        <v>0.0</v>
      </c>
      <c r="AT217" s="23">
        <v>0.0</v>
      </c>
      <c r="AX217" s="23">
        <v>0.0</v>
      </c>
      <c r="BF217" s="23">
        <v>0.0</v>
      </c>
      <c r="BJ217" s="23">
        <v>0.0</v>
      </c>
      <c r="BN217" s="23">
        <v>0.0</v>
      </c>
      <c r="BO217" s="23">
        <v>303.8</v>
      </c>
      <c r="BP217" s="16" t="s">
        <v>1438</v>
      </c>
      <c r="BQ217" s="16" t="b">
        <v>1</v>
      </c>
      <c r="BR217" s="23">
        <v>303.8</v>
      </c>
      <c r="BS217" s="23">
        <v>826612.0</v>
      </c>
      <c r="BT217" s="16" t="b">
        <v>1</v>
      </c>
      <c r="BU217" s="16" t="s">
        <v>546</v>
      </c>
    </row>
    <row r="218">
      <c r="A218" s="16" t="s">
        <v>1441</v>
      </c>
      <c r="B218" s="16" t="s">
        <v>35</v>
      </c>
      <c r="C218" s="22">
        <v>45372.0</v>
      </c>
      <c r="F218" s="16" t="s">
        <v>1329</v>
      </c>
      <c r="G218" s="16" t="s">
        <v>1168</v>
      </c>
      <c r="H218" s="16">
        <v>1.0</v>
      </c>
      <c r="I218" s="23">
        <v>100.0</v>
      </c>
      <c r="J218" s="23">
        <v>100.0</v>
      </c>
      <c r="BO218" s="23">
        <v>100.0</v>
      </c>
      <c r="BR218" s="23">
        <v>100.0</v>
      </c>
      <c r="BU218" s="16" t="s">
        <v>539</v>
      </c>
      <c r="BV218" s="16" t="s">
        <v>651</v>
      </c>
      <c r="BW218" s="16"/>
      <c r="BX218" s="16"/>
      <c r="BY218" s="16"/>
    </row>
    <row r="219">
      <c r="A219" s="16" t="s">
        <v>1444</v>
      </c>
      <c r="B219" s="16" t="s">
        <v>35</v>
      </c>
      <c r="C219" s="22">
        <v>45368.0</v>
      </c>
      <c r="D219" s="16" t="s">
        <v>543</v>
      </c>
      <c r="E219" s="16" t="s">
        <v>1446</v>
      </c>
      <c r="F219" s="16" t="s">
        <v>140</v>
      </c>
      <c r="G219" s="16">
        <v>1.2539885E7</v>
      </c>
      <c r="H219" s="23">
        <v>1.0</v>
      </c>
      <c r="I219" s="23">
        <v>790.0</v>
      </c>
      <c r="J219" s="23">
        <v>790.0</v>
      </c>
      <c r="N219" s="23">
        <v>0.0</v>
      </c>
      <c r="R219" s="23">
        <v>0.0</v>
      </c>
      <c r="V219" s="23">
        <v>0.0</v>
      </c>
      <c r="Z219" s="23">
        <v>0.0</v>
      </c>
      <c r="AD219" s="23">
        <v>0.0</v>
      </c>
      <c r="AH219" s="23">
        <v>0.0</v>
      </c>
      <c r="AL219" s="23">
        <v>0.0</v>
      </c>
      <c r="AP219" s="23">
        <v>0.0</v>
      </c>
      <c r="AT219" s="23">
        <v>0.0</v>
      </c>
      <c r="AX219" s="23">
        <v>0.0</v>
      </c>
      <c r="BF219" s="23">
        <v>0.0</v>
      </c>
      <c r="BJ219" s="23">
        <v>0.0</v>
      </c>
      <c r="BN219" s="23">
        <v>0.0</v>
      </c>
      <c r="BO219" s="23">
        <v>790.0</v>
      </c>
      <c r="BP219" s="16" t="s">
        <v>1447</v>
      </c>
      <c r="BQ219" s="16" t="b">
        <v>1</v>
      </c>
      <c r="BR219" s="23">
        <v>790.0</v>
      </c>
      <c r="BS219" s="23">
        <v>828836.0</v>
      </c>
      <c r="BT219" s="16" t="b">
        <v>1</v>
      </c>
      <c r="BU219" s="16" t="s">
        <v>546</v>
      </c>
    </row>
    <row r="220">
      <c r="A220" s="16" t="s">
        <v>1450</v>
      </c>
      <c r="B220" s="16" t="s">
        <v>35</v>
      </c>
      <c r="C220" s="22">
        <v>45370.0</v>
      </c>
      <c r="D220" s="16" t="s">
        <v>233</v>
      </c>
      <c r="E220" s="16" t="s">
        <v>1453</v>
      </c>
      <c r="F220" s="16" t="s">
        <v>1457</v>
      </c>
      <c r="G220" s="16" t="s">
        <v>1197</v>
      </c>
      <c r="H220" s="23">
        <v>5.0</v>
      </c>
      <c r="I220" s="23">
        <v>4.59</v>
      </c>
      <c r="J220" s="23">
        <v>22.95</v>
      </c>
      <c r="K220" s="16" t="s">
        <v>691</v>
      </c>
      <c r="L220" s="23">
        <v>1.0</v>
      </c>
      <c r="M220" s="23">
        <v>40.25</v>
      </c>
      <c r="N220" s="23">
        <v>40.25</v>
      </c>
      <c r="O220" s="16" t="s">
        <v>1041</v>
      </c>
      <c r="P220" s="23">
        <v>1.0</v>
      </c>
      <c r="Q220" s="23">
        <v>19.9</v>
      </c>
      <c r="R220" s="23">
        <v>19.9</v>
      </c>
      <c r="S220" s="16" t="s">
        <v>2073</v>
      </c>
      <c r="T220" s="23">
        <v>1.0</v>
      </c>
      <c r="U220" s="23">
        <v>12.99</v>
      </c>
      <c r="V220" s="23">
        <v>12.99</v>
      </c>
      <c r="W220" s="16" t="s">
        <v>1683</v>
      </c>
      <c r="X220" s="23">
        <v>1.0</v>
      </c>
      <c r="Y220" s="23">
        <v>36.08</v>
      </c>
      <c r="Z220" s="23">
        <v>36.08</v>
      </c>
      <c r="AD220" s="23">
        <v>0.0</v>
      </c>
      <c r="AH220" s="23">
        <v>0.0</v>
      </c>
      <c r="AL220" s="23">
        <v>0.0</v>
      </c>
      <c r="AP220" s="23">
        <v>0.0</v>
      </c>
      <c r="AT220" s="23">
        <v>0.0</v>
      </c>
      <c r="AX220" s="23">
        <v>0.0</v>
      </c>
      <c r="BF220" s="23">
        <v>0.0</v>
      </c>
      <c r="BJ220" s="23">
        <v>0.0</v>
      </c>
      <c r="BN220" s="23">
        <v>0.0</v>
      </c>
      <c r="BO220" s="23">
        <v>132.17</v>
      </c>
      <c r="BP220" s="16" t="s">
        <v>1455</v>
      </c>
      <c r="BQ220" s="16" t="b">
        <v>1</v>
      </c>
      <c r="BR220" s="23">
        <v>132.17</v>
      </c>
      <c r="BT220" s="16" t="b">
        <v>0</v>
      </c>
      <c r="BU220" s="16" t="s">
        <v>546</v>
      </c>
    </row>
    <row r="221">
      <c r="A221" s="16" t="s">
        <v>1460</v>
      </c>
      <c r="B221" s="16" t="s">
        <v>35</v>
      </c>
      <c r="C221" s="22">
        <v>45372.0</v>
      </c>
      <c r="D221" s="16" t="s">
        <v>764</v>
      </c>
      <c r="E221" s="16" t="s">
        <v>1463</v>
      </c>
      <c r="F221" s="16" t="s">
        <v>767</v>
      </c>
      <c r="G221" s="16" t="s">
        <v>1074</v>
      </c>
      <c r="H221" s="23">
        <v>4.0</v>
      </c>
      <c r="I221" s="23">
        <v>35.0</v>
      </c>
      <c r="J221" s="23">
        <v>140.0</v>
      </c>
      <c r="K221" s="16" t="s">
        <v>1075</v>
      </c>
      <c r="L221" s="23">
        <v>2.0</v>
      </c>
      <c r="M221" s="23">
        <v>17.5</v>
      </c>
      <c r="N221" s="23">
        <v>35.0</v>
      </c>
      <c r="O221" s="16" t="s">
        <v>1077</v>
      </c>
      <c r="P221" s="23">
        <v>3.0</v>
      </c>
      <c r="Q221" s="23">
        <v>25.0</v>
      </c>
      <c r="R221" s="23">
        <v>75.0</v>
      </c>
      <c r="S221" s="16" t="s">
        <v>1079</v>
      </c>
      <c r="T221" s="23">
        <v>10.0</v>
      </c>
      <c r="U221" s="23">
        <v>16.2</v>
      </c>
      <c r="V221" s="23">
        <v>162.0</v>
      </c>
      <c r="W221" s="16" t="s">
        <v>1080</v>
      </c>
      <c r="X221" s="23">
        <v>5.0</v>
      </c>
      <c r="Y221" s="23">
        <v>16.2</v>
      </c>
      <c r="Z221" s="23">
        <v>81.0</v>
      </c>
      <c r="AA221" s="16" t="s">
        <v>1081</v>
      </c>
      <c r="AB221" s="23">
        <v>2.0</v>
      </c>
      <c r="AC221" s="23">
        <v>45.0</v>
      </c>
      <c r="AD221" s="23">
        <v>90.0</v>
      </c>
      <c r="AE221" s="16" t="s">
        <v>1085</v>
      </c>
      <c r="AF221" s="23">
        <v>2.0</v>
      </c>
      <c r="AG221" s="23">
        <v>35.0</v>
      </c>
      <c r="AH221" s="23">
        <v>70.0</v>
      </c>
      <c r="AL221" s="23">
        <v>0.0</v>
      </c>
      <c r="AP221" s="23">
        <v>0.0</v>
      </c>
      <c r="AT221" s="23">
        <v>0.0</v>
      </c>
      <c r="AX221" s="23">
        <v>0.0</v>
      </c>
      <c r="BF221" s="23">
        <v>0.0</v>
      </c>
      <c r="BJ221" s="23">
        <v>0.0</v>
      </c>
      <c r="BN221" s="23">
        <v>0.0</v>
      </c>
      <c r="BO221" s="23">
        <v>653.0</v>
      </c>
      <c r="BP221" s="16" t="s">
        <v>1464</v>
      </c>
      <c r="BQ221" s="16" t="b">
        <v>1</v>
      </c>
      <c r="BR221" s="23">
        <v>653.0</v>
      </c>
      <c r="BT221" s="16" t="b">
        <v>0</v>
      </c>
      <c r="BU221" s="16" t="s">
        <v>546</v>
      </c>
    </row>
    <row r="222">
      <c r="A222" s="16" t="s">
        <v>1466</v>
      </c>
      <c r="B222" s="16" t="s">
        <v>35</v>
      </c>
      <c r="C222" s="22">
        <v>45373.0</v>
      </c>
      <c r="D222" s="16" t="s">
        <v>122</v>
      </c>
      <c r="E222" s="16" t="s">
        <v>1467</v>
      </c>
      <c r="F222" s="16" t="s">
        <v>1469</v>
      </c>
      <c r="G222" s="16" t="s">
        <v>238</v>
      </c>
      <c r="H222" s="23">
        <v>12.0</v>
      </c>
      <c r="I222" s="23">
        <v>5.4</v>
      </c>
      <c r="J222" s="23">
        <v>64.8</v>
      </c>
      <c r="K222" s="16" t="s">
        <v>240</v>
      </c>
      <c r="L222" s="23">
        <v>6.0</v>
      </c>
      <c r="M222" s="23">
        <v>5.4</v>
      </c>
      <c r="N222" s="23">
        <v>32.4</v>
      </c>
      <c r="O222" s="16" t="s">
        <v>242</v>
      </c>
      <c r="P222" s="23">
        <v>6.0</v>
      </c>
      <c r="Q222" s="23">
        <v>5.4</v>
      </c>
      <c r="R222" s="23">
        <v>32.4</v>
      </c>
      <c r="S222" s="16" t="s">
        <v>243</v>
      </c>
      <c r="T222" s="23">
        <v>12.0</v>
      </c>
      <c r="U222" s="23">
        <v>5.6</v>
      </c>
      <c r="V222" s="23">
        <v>67.2</v>
      </c>
      <c r="Z222" s="23">
        <v>0.0</v>
      </c>
      <c r="AD222" s="23">
        <v>0.0</v>
      </c>
      <c r="AH222" s="23">
        <v>0.0</v>
      </c>
      <c r="AL222" s="23">
        <v>0.0</v>
      </c>
      <c r="AP222" s="23">
        <v>0.0</v>
      </c>
      <c r="AT222" s="23">
        <v>0.0</v>
      </c>
      <c r="AX222" s="23">
        <v>0.0</v>
      </c>
      <c r="BF222" s="23">
        <v>0.0</v>
      </c>
      <c r="BJ222" s="23">
        <v>0.0</v>
      </c>
      <c r="BN222" s="23">
        <v>0.0</v>
      </c>
      <c r="BO222" s="23">
        <v>196.8</v>
      </c>
      <c r="BP222" s="16" t="s">
        <v>1468</v>
      </c>
      <c r="BQ222" s="16" t="b">
        <v>1</v>
      </c>
      <c r="BR222" s="23">
        <v>196.8</v>
      </c>
      <c r="BT222" s="16" t="b">
        <v>0</v>
      </c>
      <c r="BU222" s="16" t="s">
        <v>546</v>
      </c>
    </row>
    <row r="223">
      <c r="A223" s="16" t="s">
        <v>1473</v>
      </c>
      <c r="B223" s="16" t="s">
        <v>35</v>
      </c>
      <c r="C223" s="22">
        <v>45373.0</v>
      </c>
      <c r="D223" s="16" t="s">
        <v>1474</v>
      </c>
      <c r="E223" s="16" t="s">
        <v>1476</v>
      </c>
      <c r="F223" s="16" t="s">
        <v>1140</v>
      </c>
      <c r="G223" s="16" t="s">
        <v>1728</v>
      </c>
      <c r="H223" s="23">
        <v>1.0</v>
      </c>
      <c r="I223" s="23">
        <v>69.9</v>
      </c>
      <c r="J223" s="23">
        <v>69.9</v>
      </c>
      <c r="N223" s="23">
        <v>0.0</v>
      </c>
      <c r="R223" s="23">
        <v>0.0</v>
      </c>
      <c r="V223" s="23">
        <v>0.0</v>
      </c>
      <c r="Z223" s="23">
        <v>0.0</v>
      </c>
      <c r="AD223" s="23">
        <v>0.0</v>
      </c>
      <c r="AH223" s="23">
        <v>0.0</v>
      </c>
      <c r="AL223" s="23">
        <v>0.0</v>
      </c>
      <c r="AP223" s="23">
        <v>0.0</v>
      </c>
      <c r="AT223" s="23">
        <v>0.0</v>
      </c>
      <c r="AX223" s="23">
        <v>0.0</v>
      </c>
      <c r="BF223" s="23">
        <v>0.0</v>
      </c>
      <c r="BJ223" s="23">
        <v>0.0</v>
      </c>
      <c r="BN223" s="23">
        <v>0.0</v>
      </c>
      <c r="BO223" s="23">
        <v>69.9</v>
      </c>
      <c r="BP223" s="16" t="s">
        <v>1477</v>
      </c>
      <c r="BQ223" s="16" t="b">
        <v>1</v>
      </c>
      <c r="BR223" s="23">
        <v>69.9</v>
      </c>
      <c r="BS223" s="23">
        <v>829108.0</v>
      </c>
      <c r="BT223" s="16" t="b">
        <v>1</v>
      </c>
      <c r="BU223" s="16" t="s">
        <v>546</v>
      </c>
    </row>
    <row r="224">
      <c r="A224" s="16" t="s">
        <v>1480</v>
      </c>
      <c r="B224" s="16" t="s">
        <v>35</v>
      </c>
      <c r="C224" s="22">
        <v>45373.0</v>
      </c>
      <c r="D224" s="23">
        <v>8.627274E7</v>
      </c>
      <c r="E224" s="16" t="s">
        <v>1482</v>
      </c>
      <c r="F224" s="16" t="s">
        <v>1457</v>
      </c>
      <c r="G224" s="16" t="s">
        <v>247</v>
      </c>
      <c r="H224" s="23">
        <v>18.0</v>
      </c>
      <c r="I224" s="23">
        <v>1.19</v>
      </c>
      <c r="J224" s="23">
        <v>21.42</v>
      </c>
      <c r="K224" s="16" t="s">
        <v>305</v>
      </c>
      <c r="L224" s="23">
        <v>1.0</v>
      </c>
      <c r="M224" s="23">
        <v>59.92</v>
      </c>
      <c r="N224" s="23">
        <v>59.92</v>
      </c>
      <c r="R224" s="23">
        <v>0.0</v>
      </c>
      <c r="V224" s="23">
        <v>0.0</v>
      </c>
      <c r="Z224" s="23">
        <v>0.0</v>
      </c>
      <c r="AD224" s="23">
        <v>0.0</v>
      </c>
      <c r="AH224" s="23">
        <v>0.0</v>
      </c>
      <c r="AL224" s="23">
        <v>0.0</v>
      </c>
      <c r="AP224" s="23">
        <v>0.0</v>
      </c>
      <c r="AT224" s="23">
        <v>0.0</v>
      </c>
      <c r="AX224" s="23">
        <v>0.0</v>
      </c>
      <c r="BF224" s="23">
        <v>0.0</v>
      </c>
      <c r="BJ224" s="23">
        <v>0.0</v>
      </c>
      <c r="BN224" s="23">
        <v>0.0</v>
      </c>
      <c r="BO224" s="23">
        <v>81.34</v>
      </c>
      <c r="BP224" s="16" t="s">
        <v>1483</v>
      </c>
      <c r="BQ224" s="16" t="b">
        <v>1</v>
      </c>
      <c r="BR224" s="23">
        <v>81.34</v>
      </c>
      <c r="BT224" s="16" t="b">
        <v>0</v>
      </c>
      <c r="BU224" s="16" t="s">
        <v>546</v>
      </c>
    </row>
    <row r="225">
      <c r="A225" s="16" t="s">
        <v>1486</v>
      </c>
      <c r="B225" s="16" t="s">
        <v>35</v>
      </c>
      <c r="C225" s="22">
        <v>45375.0</v>
      </c>
      <c r="D225" s="16" t="s">
        <v>1146</v>
      </c>
      <c r="F225" s="16" t="s">
        <v>1489</v>
      </c>
      <c r="G225" s="16" t="s">
        <v>1164</v>
      </c>
      <c r="H225" s="16">
        <v>1.0</v>
      </c>
      <c r="I225" s="23">
        <v>250.0</v>
      </c>
      <c r="J225" s="23">
        <v>250.0</v>
      </c>
      <c r="BO225" s="23">
        <v>250.0</v>
      </c>
      <c r="BR225" s="23">
        <v>250.0</v>
      </c>
      <c r="BU225" s="16" t="s">
        <v>539</v>
      </c>
    </row>
    <row r="226">
      <c r="A226" s="16" t="s">
        <v>1491</v>
      </c>
      <c r="B226" s="16" t="s">
        <v>35</v>
      </c>
      <c r="C226" s="22">
        <v>45372.0</v>
      </c>
      <c r="D226" s="16" t="s">
        <v>890</v>
      </c>
      <c r="E226" s="16" t="s">
        <v>1494</v>
      </c>
      <c r="F226" s="16" t="s">
        <v>893</v>
      </c>
      <c r="G226" s="16" t="s">
        <v>1510</v>
      </c>
      <c r="H226" s="23">
        <v>1.0</v>
      </c>
      <c r="I226" s="23">
        <v>18389.62</v>
      </c>
      <c r="J226" s="23">
        <v>18389.62</v>
      </c>
      <c r="N226" s="23">
        <v>0.0</v>
      </c>
      <c r="R226" s="23">
        <v>0.0</v>
      </c>
      <c r="V226" s="23">
        <v>0.0</v>
      </c>
      <c r="Z226" s="23">
        <v>0.0</v>
      </c>
      <c r="AD226" s="23">
        <v>0.0</v>
      </c>
      <c r="AH226" s="23">
        <v>0.0</v>
      </c>
      <c r="AL226" s="23">
        <v>0.0</v>
      </c>
      <c r="AP226" s="23">
        <v>0.0</v>
      </c>
      <c r="AT226" s="23">
        <v>0.0</v>
      </c>
      <c r="AX226" s="23">
        <v>0.0</v>
      </c>
      <c r="BF226" s="23">
        <v>0.0</v>
      </c>
      <c r="BJ226" s="23">
        <v>0.0</v>
      </c>
      <c r="BN226" s="23">
        <v>0.0</v>
      </c>
      <c r="BO226" s="23">
        <v>18389.62</v>
      </c>
      <c r="BP226" s="16" t="s">
        <v>1495</v>
      </c>
      <c r="BQ226" s="16" t="b">
        <v>1</v>
      </c>
      <c r="BR226" s="23">
        <v>18389.62</v>
      </c>
      <c r="BT226" s="16" t="b">
        <v>0</v>
      </c>
      <c r="BU226" s="16" t="s">
        <v>546</v>
      </c>
    </row>
    <row r="227">
      <c r="A227" s="16" t="s">
        <v>1499</v>
      </c>
      <c r="B227" s="16" t="s">
        <v>35</v>
      </c>
      <c r="C227" s="22">
        <v>45372.0</v>
      </c>
      <c r="D227" s="16" t="s">
        <v>858</v>
      </c>
      <c r="E227" s="16" t="s">
        <v>1500</v>
      </c>
      <c r="F227" s="16" t="s">
        <v>1503</v>
      </c>
      <c r="G227" s="16" t="s">
        <v>1145</v>
      </c>
      <c r="H227" s="23">
        <v>1.0</v>
      </c>
      <c r="I227" s="23">
        <v>1148.18</v>
      </c>
      <c r="J227" s="23">
        <v>1148.18</v>
      </c>
      <c r="N227" s="23">
        <v>0.0</v>
      </c>
      <c r="R227" s="23">
        <v>0.0</v>
      </c>
      <c r="V227" s="23">
        <v>0.0</v>
      </c>
      <c r="Z227" s="23">
        <v>0.0</v>
      </c>
      <c r="AD227" s="23">
        <v>0.0</v>
      </c>
      <c r="AH227" s="23">
        <v>0.0</v>
      </c>
      <c r="AL227" s="23">
        <v>0.0</v>
      </c>
      <c r="AP227" s="23">
        <v>0.0</v>
      </c>
      <c r="AT227" s="23">
        <v>0.0</v>
      </c>
      <c r="AX227" s="23">
        <v>0.0</v>
      </c>
      <c r="BF227" s="23">
        <v>0.0</v>
      </c>
      <c r="BJ227" s="23">
        <v>0.0</v>
      </c>
      <c r="BN227" s="23">
        <v>0.0</v>
      </c>
      <c r="BO227" s="23">
        <v>1148.18</v>
      </c>
      <c r="BP227" s="16" t="s">
        <v>1502</v>
      </c>
      <c r="BQ227" s="16" t="b">
        <v>1</v>
      </c>
      <c r="BR227" s="23">
        <v>1148.18</v>
      </c>
      <c r="BT227" s="16" t="b">
        <v>0</v>
      </c>
      <c r="BU227" s="16" t="s">
        <v>546</v>
      </c>
    </row>
    <row r="228">
      <c r="A228" s="16" t="s">
        <v>1506</v>
      </c>
      <c r="B228" s="16" t="s">
        <v>35</v>
      </c>
      <c r="C228" s="22">
        <v>45373.0</v>
      </c>
      <c r="D228" s="16" t="s">
        <v>890</v>
      </c>
      <c r="E228" s="16" t="s">
        <v>1507</v>
      </c>
      <c r="F228" s="16" t="s">
        <v>1511</v>
      </c>
      <c r="G228" s="16" t="s">
        <v>1517</v>
      </c>
      <c r="H228" s="23">
        <v>1.0</v>
      </c>
      <c r="I228" s="23">
        <v>4484.26</v>
      </c>
      <c r="J228" s="23">
        <v>4484.26</v>
      </c>
      <c r="N228" s="23">
        <v>0.0</v>
      </c>
      <c r="R228" s="23">
        <v>0.0</v>
      </c>
      <c r="V228" s="23">
        <v>0.0</v>
      </c>
      <c r="Z228" s="23">
        <v>0.0</v>
      </c>
      <c r="AD228" s="23">
        <v>0.0</v>
      </c>
      <c r="AH228" s="23">
        <v>0.0</v>
      </c>
      <c r="AL228" s="23">
        <v>0.0</v>
      </c>
      <c r="AP228" s="23">
        <v>0.0</v>
      </c>
      <c r="AT228" s="23">
        <v>0.0</v>
      </c>
      <c r="AX228" s="23">
        <v>0.0</v>
      </c>
      <c r="BF228" s="23">
        <v>0.0</v>
      </c>
      <c r="BJ228" s="23">
        <v>0.0</v>
      </c>
      <c r="BN228" s="23">
        <v>0.0</v>
      </c>
      <c r="BO228" s="23">
        <v>4484.26</v>
      </c>
      <c r="BP228" s="16" t="s">
        <v>1509</v>
      </c>
      <c r="BQ228" s="16" t="b">
        <v>1</v>
      </c>
      <c r="BR228" s="23">
        <v>4484.26</v>
      </c>
      <c r="BT228" s="16" t="b">
        <v>0</v>
      </c>
      <c r="BU228" s="16" t="s">
        <v>546</v>
      </c>
    </row>
    <row r="229">
      <c r="A229" s="16" t="s">
        <v>1513</v>
      </c>
      <c r="B229" s="16" t="s">
        <v>35</v>
      </c>
      <c r="C229" s="22">
        <v>45374.0</v>
      </c>
      <c r="D229" s="16" t="s">
        <v>112</v>
      </c>
      <c r="E229" s="16" t="s">
        <v>1515</v>
      </c>
      <c r="F229" s="16" t="s">
        <v>45</v>
      </c>
      <c r="G229" s="16" t="s">
        <v>159</v>
      </c>
      <c r="H229" s="23">
        <v>10.0</v>
      </c>
      <c r="I229" s="23">
        <v>13.5</v>
      </c>
      <c r="J229" s="23">
        <v>135.0</v>
      </c>
      <c r="K229" s="16" t="s">
        <v>155</v>
      </c>
      <c r="L229" s="23">
        <v>4.5</v>
      </c>
      <c r="M229" s="23">
        <v>7.7</v>
      </c>
      <c r="N229" s="23">
        <v>34.65</v>
      </c>
      <c r="O229" s="16" t="s">
        <v>230</v>
      </c>
      <c r="P229" s="23">
        <v>5.5</v>
      </c>
      <c r="Q229" s="23">
        <v>22.0</v>
      </c>
      <c r="R229" s="23">
        <v>121.0</v>
      </c>
      <c r="S229" s="16" t="s">
        <v>226</v>
      </c>
      <c r="T229" s="23">
        <v>6.0</v>
      </c>
      <c r="U229" s="23">
        <v>7.8</v>
      </c>
      <c r="V229" s="23">
        <v>46.8</v>
      </c>
      <c r="W229" s="16" t="s">
        <v>152</v>
      </c>
      <c r="X229" s="23">
        <v>1.0</v>
      </c>
      <c r="Y229" s="23">
        <v>423.12</v>
      </c>
      <c r="Z229" s="23">
        <v>423.12</v>
      </c>
      <c r="AD229" s="23">
        <v>0.0</v>
      </c>
      <c r="AH229" s="23">
        <v>0.0</v>
      </c>
      <c r="AL229" s="23">
        <v>0.0</v>
      </c>
      <c r="AP229" s="23">
        <v>0.0</v>
      </c>
      <c r="AT229" s="23">
        <v>0.0</v>
      </c>
      <c r="AX229" s="23">
        <v>0.0</v>
      </c>
      <c r="BF229" s="23">
        <v>0.0</v>
      </c>
      <c r="BJ229" s="23">
        <v>0.0</v>
      </c>
      <c r="BN229" s="23">
        <v>0.0</v>
      </c>
      <c r="BO229" s="23">
        <v>760.57</v>
      </c>
      <c r="BP229" s="16" t="s">
        <v>1516</v>
      </c>
      <c r="BQ229" s="16" t="b">
        <v>1</v>
      </c>
      <c r="BR229" s="23">
        <v>760.57</v>
      </c>
      <c r="BS229" s="23">
        <v>829855.0</v>
      </c>
      <c r="BT229" s="16" t="b">
        <v>1</v>
      </c>
      <c r="BU229" s="16" t="s">
        <v>546</v>
      </c>
    </row>
    <row r="230">
      <c r="A230" s="16" t="s">
        <v>1519</v>
      </c>
      <c r="B230" s="16" t="s">
        <v>35</v>
      </c>
      <c r="C230" s="22">
        <v>45376.0</v>
      </c>
      <c r="D230" s="16" t="s">
        <v>460</v>
      </c>
      <c r="F230" s="16" t="s">
        <v>1521</v>
      </c>
      <c r="G230" s="16" t="s">
        <v>238</v>
      </c>
      <c r="H230" s="16">
        <v>1.0</v>
      </c>
      <c r="I230" s="23">
        <v>196.8</v>
      </c>
      <c r="J230" s="23">
        <v>196.8</v>
      </c>
      <c r="BO230" s="23">
        <v>196.8</v>
      </c>
      <c r="BR230" s="23">
        <v>196.8</v>
      </c>
      <c r="BU230" s="16" t="s">
        <v>539</v>
      </c>
    </row>
    <row r="231">
      <c r="A231" s="16" t="s">
        <v>1523</v>
      </c>
      <c r="B231" s="16" t="s">
        <v>35</v>
      </c>
      <c r="C231" s="22">
        <v>45376.0</v>
      </c>
      <c r="D231" s="16" t="s">
        <v>460</v>
      </c>
      <c r="F231" s="16" t="s">
        <v>931</v>
      </c>
      <c r="G231" s="16" t="s">
        <v>1126</v>
      </c>
      <c r="H231" s="16">
        <v>1.0</v>
      </c>
      <c r="I231" s="23">
        <v>30.0</v>
      </c>
      <c r="J231" s="23">
        <v>30.0</v>
      </c>
      <c r="BO231" s="23">
        <v>30.0</v>
      </c>
      <c r="BR231" s="23">
        <v>30.0</v>
      </c>
      <c r="BU231" s="16" t="s">
        <v>539</v>
      </c>
    </row>
    <row r="232">
      <c r="A232" s="16" t="s">
        <v>1526</v>
      </c>
      <c r="B232" s="16" t="s">
        <v>35</v>
      </c>
      <c r="C232" s="22">
        <v>45376.0</v>
      </c>
      <c r="F232" s="16" t="s">
        <v>1527</v>
      </c>
      <c r="G232" s="16" t="s">
        <v>1168</v>
      </c>
      <c r="H232" s="16">
        <v>1.0</v>
      </c>
      <c r="I232" s="23">
        <v>200.0</v>
      </c>
      <c r="J232" s="23">
        <v>200.0</v>
      </c>
      <c r="BO232" s="23">
        <v>200.0</v>
      </c>
      <c r="BR232" s="23">
        <v>200.0</v>
      </c>
      <c r="BU232" s="16" t="s">
        <v>539</v>
      </c>
      <c r="BV232" s="16" t="s">
        <v>624</v>
      </c>
      <c r="BW232" s="16"/>
      <c r="BX232" s="16"/>
      <c r="BY232" s="16"/>
    </row>
    <row r="233">
      <c r="A233" s="16" t="s">
        <v>1529</v>
      </c>
      <c r="B233" s="16" t="s">
        <v>35</v>
      </c>
      <c r="C233" s="22">
        <v>45376.0</v>
      </c>
      <c r="D233" s="16" t="s">
        <v>1530</v>
      </c>
      <c r="F233" s="16" t="s">
        <v>1532</v>
      </c>
      <c r="G233" s="16" t="s">
        <v>1270</v>
      </c>
      <c r="H233" s="16">
        <v>1.0</v>
      </c>
      <c r="I233" s="23">
        <v>500.0</v>
      </c>
      <c r="J233" s="23">
        <v>500.0</v>
      </c>
      <c r="BO233" s="23">
        <v>500.0</v>
      </c>
      <c r="BR233" s="23">
        <v>500.0</v>
      </c>
      <c r="BU233" s="16" t="s">
        <v>539</v>
      </c>
    </row>
    <row r="234">
      <c r="A234" s="16" t="s">
        <v>1535</v>
      </c>
      <c r="B234" s="16" t="s">
        <v>35</v>
      </c>
      <c r="C234" s="22">
        <v>45377.0</v>
      </c>
      <c r="D234" s="16" t="s">
        <v>112</v>
      </c>
      <c r="E234" s="16" t="s">
        <v>1538</v>
      </c>
      <c r="F234" s="16" t="s">
        <v>1543</v>
      </c>
      <c r="G234" s="16" t="s">
        <v>226</v>
      </c>
      <c r="H234" s="23">
        <v>5.0</v>
      </c>
      <c r="I234" s="23">
        <v>7.5</v>
      </c>
      <c r="J234" s="23">
        <v>37.5</v>
      </c>
      <c r="K234" s="16" t="s">
        <v>152</v>
      </c>
      <c r="L234" s="23">
        <v>1.0</v>
      </c>
      <c r="M234" s="23">
        <v>10.25</v>
      </c>
      <c r="N234" s="23">
        <v>10.25</v>
      </c>
      <c r="O234" s="16" t="s">
        <v>230</v>
      </c>
      <c r="P234" s="23">
        <v>1.0</v>
      </c>
      <c r="Q234" s="23">
        <v>92.95</v>
      </c>
      <c r="R234" s="23">
        <v>92.95</v>
      </c>
      <c r="S234" s="16" t="s">
        <v>155</v>
      </c>
      <c r="T234" s="23">
        <v>1.0</v>
      </c>
      <c r="U234" s="23">
        <v>37.63</v>
      </c>
      <c r="V234" s="23">
        <v>37.63</v>
      </c>
      <c r="Z234" s="23">
        <v>0.0</v>
      </c>
      <c r="AD234" s="23">
        <v>0.0</v>
      </c>
      <c r="AH234" s="23">
        <v>0.0</v>
      </c>
      <c r="AL234" s="23">
        <v>0.0</v>
      </c>
      <c r="AP234" s="23">
        <v>0.0</v>
      </c>
      <c r="AT234" s="23">
        <v>0.0</v>
      </c>
      <c r="AX234" s="23">
        <v>0.0</v>
      </c>
      <c r="BF234" s="23">
        <v>0.0</v>
      </c>
      <c r="BJ234" s="23">
        <v>0.0</v>
      </c>
      <c r="BN234" s="23">
        <v>0.0</v>
      </c>
      <c r="BO234" s="23">
        <v>178.33</v>
      </c>
      <c r="BP234" s="16" t="s">
        <v>1541</v>
      </c>
      <c r="BQ234" s="16" t="b">
        <v>1</v>
      </c>
      <c r="BR234" s="23">
        <v>178.33</v>
      </c>
      <c r="BS234" s="16" t="s">
        <v>1543</v>
      </c>
      <c r="BT234" s="16" t="b">
        <v>1</v>
      </c>
      <c r="BU234" s="16" t="s">
        <v>546</v>
      </c>
    </row>
    <row r="235">
      <c r="A235" s="16" t="s">
        <v>1547</v>
      </c>
      <c r="B235" s="16" t="s">
        <v>35</v>
      </c>
      <c r="C235" s="22">
        <v>45378.0</v>
      </c>
      <c r="D235" s="16" t="s">
        <v>1129</v>
      </c>
      <c r="E235" s="16" t="s">
        <v>1548</v>
      </c>
      <c r="F235" s="16" t="s">
        <v>1550</v>
      </c>
      <c r="G235" s="16" t="s">
        <v>2206</v>
      </c>
      <c r="H235" s="23">
        <v>4.0</v>
      </c>
      <c r="I235" s="23">
        <v>16.0</v>
      </c>
      <c r="J235" s="23">
        <v>64.0</v>
      </c>
      <c r="K235" s="16" t="s">
        <v>2208</v>
      </c>
      <c r="L235" s="23">
        <v>1.0</v>
      </c>
      <c r="M235" s="23">
        <v>20.0</v>
      </c>
      <c r="N235" s="23">
        <v>20.0</v>
      </c>
      <c r="R235" s="23">
        <v>0.0</v>
      </c>
      <c r="V235" s="23">
        <v>0.0</v>
      </c>
      <c r="Z235" s="23">
        <v>0.0</v>
      </c>
      <c r="AD235" s="23">
        <v>0.0</v>
      </c>
      <c r="AH235" s="23">
        <v>0.0</v>
      </c>
      <c r="AL235" s="23">
        <v>0.0</v>
      </c>
      <c r="AP235" s="23">
        <v>0.0</v>
      </c>
      <c r="AT235" s="23">
        <v>0.0</v>
      </c>
      <c r="AX235" s="23">
        <v>0.0</v>
      </c>
      <c r="BF235" s="23">
        <v>0.0</v>
      </c>
      <c r="BJ235" s="23">
        <v>0.0</v>
      </c>
      <c r="BN235" s="23">
        <v>0.0</v>
      </c>
      <c r="BO235" s="23">
        <v>84.0</v>
      </c>
      <c r="BP235" s="16" t="s">
        <v>1549</v>
      </c>
      <c r="BQ235" s="16" t="b">
        <v>1</v>
      </c>
      <c r="BR235" s="23">
        <v>84.0</v>
      </c>
      <c r="BS235" s="23">
        <v>835051.0</v>
      </c>
      <c r="BT235" s="16" t="b">
        <v>1</v>
      </c>
      <c r="BU235" s="16" t="s">
        <v>546</v>
      </c>
    </row>
    <row r="236">
      <c r="A236" s="16" t="s">
        <v>1556</v>
      </c>
      <c r="B236" s="16" t="s">
        <v>35</v>
      </c>
      <c r="C236" s="22">
        <v>45378.0</v>
      </c>
      <c r="D236" s="16" t="s">
        <v>1557</v>
      </c>
      <c r="E236" s="16" t="s">
        <v>1559</v>
      </c>
      <c r="F236" s="16" t="s">
        <v>1561</v>
      </c>
      <c r="G236" s="16" t="s">
        <v>1047</v>
      </c>
      <c r="H236" s="23">
        <v>1.0</v>
      </c>
      <c r="I236" s="23">
        <v>110.0</v>
      </c>
      <c r="J236" s="23">
        <v>110.0</v>
      </c>
      <c r="N236" s="23">
        <v>0.0</v>
      </c>
      <c r="R236" s="23">
        <v>0.0</v>
      </c>
      <c r="V236" s="23">
        <v>0.0</v>
      </c>
      <c r="Z236" s="23">
        <v>0.0</v>
      </c>
      <c r="AD236" s="23">
        <v>0.0</v>
      </c>
      <c r="AH236" s="23">
        <v>0.0</v>
      </c>
      <c r="AL236" s="23">
        <v>0.0</v>
      </c>
      <c r="AP236" s="23">
        <v>0.0</v>
      </c>
      <c r="AT236" s="23">
        <v>0.0</v>
      </c>
      <c r="AX236" s="23">
        <v>0.0</v>
      </c>
      <c r="BF236" s="23">
        <v>0.0</v>
      </c>
      <c r="BJ236" s="23">
        <v>0.0</v>
      </c>
      <c r="BN236" s="23">
        <v>0.0</v>
      </c>
      <c r="BO236" s="23">
        <v>110.0</v>
      </c>
      <c r="BP236" s="16" t="s">
        <v>1560</v>
      </c>
      <c r="BQ236" s="16" t="b">
        <v>1</v>
      </c>
      <c r="BR236" s="23">
        <v>110.0</v>
      </c>
      <c r="BT236" s="16" t="b">
        <v>0</v>
      </c>
      <c r="BU236" s="16" t="s">
        <v>546</v>
      </c>
    </row>
    <row r="237">
      <c r="A237" s="16" t="s">
        <v>1564</v>
      </c>
      <c r="B237" s="16" t="s">
        <v>35</v>
      </c>
      <c r="C237" s="22">
        <v>45369.0</v>
      </c>
      <c r="D237" s="16" t="s">
        <v>1036</v>
      </c>
      <c r="E237" s="16" t="s">
        <v>1566</v>
      </c>
      <c r="F237" s="16" t="s">
        <v>1569</v>
      </c>
      <c r="G237" s="16" t="s">
        <v>1668</v>
      </c>
      <c r="H237" s="23">
        <v>1.0</v>
      </c>
      <c r="I237" s="23">
        <v>118.0</v>
      </c>
      <c r="J237" s="23">
        <v>118.0</v>
      </c>
      <c r="N237" s="23">
        <v>0.0</v>
      </c>
      <c r="R237" s="23">
        <v>0.0</v>
      </c>
      <c r="V237" s="23">
        <v>0.0</v>
      </c>
      <c r="Z237" s="23">
        <v>0.0</v>
      </c>
      <c r="AD237" s="23">
        <v>0.0</v>
      </c>
      <c r="AH237" s="23">
        <v>0.0</v>
      </c>
      <c r="AL237" s="23">
        <v>0.0</v>
      </c>
      <c r="AP237" s="23">
        <v>0.0</v>
      </c>
      <c r="AT237" s="23">
        <v>0.0</v>
      </c>
      <c r="AX237" s="23">
        <v>0.0</v>
      </c>
      <c r="BF237" s="23">
        <v>0.0</v>
      </c>
      <c r="BJ237" s="23">
        <v>0.0</v>
      </c>
      <c r="BN237" s="23">
        <v>0.0</v>
      </c>
      <c r="BO237" s="23">
        <v>118.0</v>
      </c>
      <c r="BP237" s="16" t="s">
        <v>1567</v>
      </c>
      <c r="BQ237" s="16" t="b">
        <v>1</v>
      </c>
      <c r="BR237" s="23">
        <v>118.0</v>
      </c>
      <c r="BT237" s="16" t="b">
        <v>0</v>
      </c>
      <c r="BU237" s="16" t="s">
        <v>546</v>
      </c>
    </row>
    <row r="238">
      <c r="A238" s="16" t="s">
        <v>1571</v>
      </c>
      <c r="B238" s="16" t="s">
        <v>35</v>
      </c>
      <c r="C238" s="22">
        <v>45379.0</v>
      </c>
      <c r="D238" s="16" t="s">
        <v>137</v>
      </c>
      <c r="E238" s="16" t="s">
        <v>1573</v>
      </c>
      <c r="F238" s="16" t="s">
        <v>415</v>
      </c>
      <c r="G238" s="16">
        <v>1.2539885E7</v>
      </c>
      <c r="H238" s="23">
        <v>1.0</v>
      </c>
      <c r="I238" s="23">
        <v>220.0</v>
      </c>
      <c r="J238" s="23">
        <v>220.0</v>
      </c>
      <c r="N238" s="23">
        <v>0.0</v>
      </c>
      <c r="R238" s="23">
        <v>0.0</v>
      </c>
      <c r="V238" s="23">
        <v>0.0</v>
      </c>
      <c r="Z238" s="23">
        <v>0.0</v>
      </c>
      <c r="AD238" s="23">
        <v>0.0</v>
      </c>
      <c r="AH238" s="23">
        <v>0.0</v>
      </c>
      <c r="AL238" s="23">
        <v>0.0</v>
      </c>
      <c r="AP238" s="23">
        <v>0.0</v>
      </c>
      <c r="AT238" s="23">
        <v>0.0</v>
      </c>
      <c r="AX238" s="23">
        <v>0.0</v>
      </c>
      <c r="BF238" s="23">
        <v>0.0</v>
      </c>
      <c r="BJ238" s="23">
        <v>0.0</v>
      </c>
      <c r="BN238" s="23">
        <v>0.0</v>
      </c>
      <c r="BO238" s="23">
        <v>220.0</v>
      </c>
      <c r="BP238" s="16" t="s">
        <v>1574</v>
      </c>
      <c r="BQ238" s="16" t="b">
        <v>1</v>
      </c>
      <c r="BR238" s="23">
        <v>220.0</v>
      </c>
      <c r="BS238" s="23">
        <v>836075.0</v>
      </c>
      <c r="BT238" s="16" t="b">
        <v>1</v>
      </c>
      <c r="BU238" s="16" t="s">
        <v>546</v>
      </c>
    </row>
    <row r="239">
      <c r="A239" s="16" t="s">
        <v>1579</v>
      </c>
      <c r="B239" s="16" t="s">
        <v>35</v>
      </c>
      <c r="C239" s="22">
        <v>45395.0</v>
      </c>
      <c r="D239" s="16" t="s">
        <v>1016</v>
      </c>
      <c r="E239" s="16" t="s">
        <v>1581</v>
      </c>
      <c r="F239" s="16" t="s">
        <v>1585</v>
      </c>
      <c r="G239" s="16" t="s">
        <v>1648</v>
      </c>
      <c r="H239" s="23">
        <v>1.0</v>
      </c>
      <c r="I239" s="23">
        <v>140.97</v>
      </c>
      <c r="J239" s="23">
        <v>140.97</v>
      </c>
      <c r="N239" s="23">
        <v>0.0</v>
      </c>
      <c r="R239" s="23">
        <v>0.0</v>
      </c>
      <c r="V239" s="23">
        <v>0.0</v>
      </c>
      <c r="Z239" s="23">
        <v>0.0</v>
      </c>
      <c r="AD239" s="23">
        <v>0.0</v>
      </c>
      <c r="AH239" s="23">
        <v>0.0</v>
      </c>
      <c r="AL239" s="23">
        <v>0.0</v>
      </c>
      <c r="AP239" s="23">
        <v>0.0</v>
      </c>
      <c r="AT239" s="23">
        <v>0.0</v>
      </c>
      <c r="AX239" s="23">
        <v>0.0</v>
      </c>
      <c r="BF239" s="23">
        <v>0.0</v>
      </c>
      <c r="BJ239" s="23">
        <v>0.0</v>
      </c>
      <c r="BN239" s="23">
        <v>0.0</v>
      </c>
      <c r="BO239" s="23">
        <v>140.97</v>
      </c>
      <c r="BP239" s="16" t="s">
        <v>1583</v>
      </c>
      <c r="BQ239" s="16" t="b">
        <v>1</v>
      </c>
      <c r="BR239" s="23">
        <v>140.97</v>
      </c>
      <c r="BT239" s="16" t="b">
        <v>0</v>
      </c>
      <c r="BU239" s="16" t="s">
        <v>546</v>
      </c>
    </row>
    <row r="240">
      <c r="A240" s="16" t="s">
        <v>1587</v>
      </c>
      <c r="B240" s="16" t="s">
        <v>35</v>
      </c>
      <c r="C240" s="22">
        <v>45395.0</v>
      </c>
      <c r="D240" s="16" t="s">
        <v>1016</v>
      </c>
      <c r="E240" s="16" t="s">
        <v>1581</v>
      </c>
      <c r="F240" s="16" t="s">
        <v>1585</v>
      </c>
      <c r="G240" s="16" t="s">
        <v>1648</v>
      </c>
      <c r="H240" s="23">
        <v>1.0</v>
      </c>
      <c r="I240" s="23">
        <v>70.65</v>
      </c>
      <c r="J240" s="23">
        <v>70.65</v>
      </c>
      <c r="N240" s="23">
        <v>0.0</v>
      </c>
      <c r="R240" s="23">
        <v>0.0</v>
      </c>
      <c r="V240" s="23">
        <v>0.0</v>
      </c>
      <c r="Z240" s="23">
        <v>0.0</v>
      </c>
      <c r="AD240" s="23">
        <v>0.0</v>
      </c>
      <c r="AH240" s="23">
        <v>0.0</v>
      </c>
      <c r="AL240" s="23">
        <v>0.0</v>
      </c>
      <c r="AP240" s="23">
        <v>0.0</v>
      </c>
      <c r="AT240" s="23">
        <v>0.0</v>
      </c>
      <c r="AX240" s="23">
        <v>0.0</v>
      </c>
      <c r="BF240" s="23">
        <v>0.0</v>
      </c>
      <c r="BJ240" s="23">
        <v>0.0</v>
      </c>
      <c r="BN240" s="23">
        <v>0.0</v>
      </c>
      <c r="BO240" s="23">
        <v>70.65</v>
      </c>
      <c r="BP240" s="16" t="s">
        <v>1589</v>
      </c>
      <c r="BQ240" s="16" t="b">
        <v>1</v>
      </c>
      <c r="BR240" s="23">
        <v>70.65</v>
      </c>
      <c r="BT240" s="16" t="b">
        <v>0</v>
      </c>
      <c r="BU240" s="16" t="s">
        <v>546</v>
      </c>
    </row>
    <row r="241">
      <c r="A241" s="16" t="s">
        <v>1592</v>
      </c>
      <c r="B241" s="16" t="s">
        <v>35</v>
      </c>
      <c r="C241" s="22">
        <v>45380.0</v>
      </c>
      <c r="D241" s="16" t="s">
        <v>129</v>
      </c>
      <c r="E241" s="16" t="s">
        <v>1594</v>
      </c>
      <c r="F241" s="16" t="s">
        <v>1596</v>
      </c>
      <c r="G241" s="16" t="s">
        <v>305</v>
      </c>
      <c r="H241" s="23">
        <v>1.0</v>
      </c>
      <c r="I241" s="23">
        <v>49.75</v>
      </c>
      <c r="J241" s="23">
        <v>49.75</v>
      </c>
      <c r="N241" s="23">
        <v>0.0</v>
      </c>
      <c r="R241" s="23">
        <v>0.0</v>
      </c>
      <c r="V241" s="23">
        <v>0.0</v>
      </c>
      <c r="Z241" s="23">
        <v>0.0</v>
      </c>
      <c r="AD241" s="23">
        <v>0.0</v>
      </c>
      <c r="AH241" s="23">
        <v>0.0</v>
      </c>
      <c r="AL241" s="23">
        <v>0.0</v>
      </c>
      <c r="AP241" s="23">
        <v>0.0</v>
      </c>
      <c r="AT241" s="23">
        <v>0.0</v>
      </c>
      <c r="AX241" s="23">
        <v>0.0</v>
      </c>
      <c r="BF241" s="23">
        <v>0.0</v>
      </c>
      <c r="BJ241" s="23">
        <v>0.0</v>
      </c>
      <c r="BN241" s="23">
        <v>0.0</v>
      </c>
      <c r="BO241" s="23">
        <v>49.75</v>
      </c>
      <c r="BP241" s="16" t="s">
        <v>1595</v>
      </c>
      <c r="BQ241" s="16" t="b">
        <v>1</v>
      </c>
      <c r="BR241" s="23">
        <v>49.75</v>
      </c>
      <c r="BT241" s="16" t="b">
        <v>0</v>
      </c>
      <c r="BU241" s="16" t="s">
        <v>546</v>
      </c>
    </row>
    <row r="242">
      <c r="A242" s="16" t="s">
        <v>1599</v>
      </c>
      <c r="B242" s="16" t="s">
        <v>35</v>
      </c>
      <c r="C242" s="22">
        <v>45381.0</v>
      </c>
      <c r="D242" s="16" t="s">
        <v>129</v>
      </c>
      <c r="E242" s="16" t="s">
        <v>1601</v>
      </c>
      <c r="F242" s="16" t="s">
        <v>1603</v>
      </c>
      <c r="G242" s="16" t="s">
        <v>305</v>
      </c>
      <c r="H242" s="23">
        <v>1.0</v>
      </c>
      <c r="I242" s="23">
        <v>139.46</v>
      </c>
      <c r="J242" s="23">
        <v>139.46</v>
      </c>
      <c r="N242" s="23">
        <v>0.0</v>
      </c>
      <c r="R242" s="23">
        <v>0.0</v>
      </c>
      <c r="V242" s="23">
        <v>0.0</v>
      </c>
      <c r="Z242" s="23">
        <v>0.0</v>
      </c>
      <c r="AD242" s="23">
        <v>0.0</v>
      </c>
      <c r="AH242" s="23">
        <v>0.0</v>
      </c>
      <c r="AL242" s="23">
        <v>0.0</v>
      </c>
      <c r="AP242" s="23">
        <v>0.0</v>
      </c>
      <c r="AT242" s="23">
        <v>0.0</v>
      </c>
      <c r="AX242" s="23">
        <v>0.0</v>
      </c>
      <c r="BF242" s="23">
        <v>0.0</v>
      </c>
      <c r="BJ242" s="23">
        <v>0.0</v>
      </c>
      <c r="BN242" s="23">
        <v>0.0</v>
      </c>
      <c r="BO242" s="23">
        <v>139.46</v>
      </c>
      <c r="BP242" s="16" t="s">
        <v>1602</v>
      </c>
      <c r="BQ242" s="16" t="b">
        <v>1</v>
      </c>
      <c r="BR242" s="23">
        <v>139.46</v>
      </c>
      <c r="BT242" s="16" t="b">
        <v>0</v>
      </c>
      <c r="BU242" s="16" t="s">
        <v>546</v>
      </c>
    </row>
    <row r="243">
      <c r="A243" s="16" t="s">
        <v>1605</v>
      </c>
      <c r="B243" s="16" t="s">
        <v>35</v>
      </c>
      <c r="C243" s="22">
        <v>45384.0</v>
      </c>
      <c r="D243" s="16" t="s">
        <v>112</v>
      </c>
      <c r="E243" s="16" t="s">
        <v>1606</v>
      </c>
      <c r="F243" s="16" t="s">
        <v>1608</v>
      </c>
      <c r="G243" s="16" t="s">
        <v>159</v>
      </c>
      <c r="H243" s="23">
        <v>10.0</v>
      </c>
      <c r="I243" s="23">
        <v>12.5</v>
      </c>
      <c r="J243" s="23">
        <v>125.0</v>
      </c>
      <c r="K243" s="16" t="s">
        <v>155</v>
      </c>
      <c r="L243" s="23">
        <v>1.0</v>
      </c>
      <c r="M243" s="23">
        <v>43.68</v>
      </c>
      <c r="N243" s="23">
        <v>43.68</v>
      </c>
      <c r="O243" s="16" t="s">
        <v>230</v>
      </c>
      <c r="P243" s="23">
        <v>1.0</v>
      </c>
      <c r="Q243" s="23">
        <v>118.8</v>
      </c>
      <c r="R243" s="23">
        <v>118.8</v>
      </c>
      <c r="S243" s="16" t="s">
        <v>152</v>
      </c>
      <c r="T243" s="23">
        <v>1.0</v>
      </c>
      <c r="U243" s="23">
        <v>37.5</v>
      </c>
      <c r="V243" s="23">
        <v>37.5</v>
      </c>
      <c r="Z243" s="23">
        <v>0.0</v>
      </c>
      <c r="AD243" s="23">
        <v>0.0</v>
      </c>
      <c r="AH243" s="23">
        <v>0.0</v>
      </c>
      <c r="AL243" s="23">
        <v>0.0</v>
      </c>
      <c r="AP243" s="23">
        <v>0.0</v>
      </c>
      <c r="AT243" s="23">
        <v>0.0</v>
      </c>
      <c r="AX243" s="23">
        <v>0.0</v>
      </c>
      <c r="BF243" s="23">
        <v>0.0</v>
      </c>
      <c r="BJ243" s="23">
        <v>0.0</v>
      </c>
      <c r="BN243" s="23">
        <v>0.0</v>
      </c>
      <c r="BO243" s="23">
        <v>324.98</v>
      </c>
      <c r="BP243" s="16" t="s">
        <v>1607</v>
      </c>
      <c r="BQ243" s="16" t="b">
        <v>1</v>
      </c>
      <c r="BR243" s="23">
        <v>324.98</v>
      </c>
      <c r="BS243" s="23">
        <v>842639.0</v>
      </c>
      <c r="BT243" s="16" t="b">
        <v>1</v>
      </c>
      <c r="BU243" s="16" t="s">
        <v>546</v>
      </c>
    </row>
    <row r="244">
      <c r="A244" s="16" t="s">
        <v>1611</v>
      </c>
      <c r="B244" s="16" t="s">
        <v>35</v>
      </c>
      <c r="C244" s="22">
        <v>45384.0</v>
      </c>
      <c r="D244" s="16" t="s">
        <v>286</v>
      </c>
      <c r="E244" s="16" t="s">
        <v>1613</v>
      </c>
      <c r="F244" s="16" t="s">
        <v>1617</v>
      </c>
      <c r="G244" s="16" t="s">
        <v>854</v>
      </c>
      <c r="H244" s="23">
        <v>1.0</v>
      </c>
      <c r="I244" s="23">
        <v>39.97</v>
      </c>
      <c r="J244" s="23">
        <v>39.97</v>
      </c>
      <c r="N244" s="23">
        <v>0.0</v>
      </c>
      <c r="R244" s="23">
        <v>0.0</v>
      </c>
      <c r="V244" s="23">
        <v>0.0</v>
      </c>
      <c r="Z244" s="23">
        <v>0.0</v>
      </c>
      <c r="AD244" s="23">
        <v>0.0</v>
      </c>
      <c r="AH244" s="23">
        <v>0.0</v>
      </c>
      <c r="AL244" s="23">
        <v>0.0</v>
      </c>
      <c r="AP244" s="23">
        <v>0.0</v>
      </c>
      <c r="AT244" s="23">
        <v>0.0</v>
      </c>
      <c r="AX244" s="23">
        <v>0.0</v>
      </c>
      <c r="BF244" s="23">
        <v>0.0</v>
      </c>
      <c r="BJ244" s="23">
        <v>0.0</v>
      </c>
      <c r="BN244" s="23">
        <v>0.0</v>
      </c>
      <c r="BO244" s="23">
        <v>39.97</v>
      </c>
      <c r="BP244" s="16" t="s">
        <v>1615</v>
      </c>
      <c r="BQ244" s="16" t="b">
        <v>1</v>
      </c>
      <c r="BR244" s="23">
        <v>39.97</v>
      </c>
      <c r="BT244" s="16" t="b">
        <v>0</v>
      </c>
      <c r="BU244" s="16" t="s">
        <v>546</v>
      </c>
    </row>
    <row r="245">
      <c r="A245" s="16" t="s">
        <v>1620</v>
      </c>
      <c r="B245" s="16" t="s">
        <v>35</v>
      </c>
      <c r="C245" s="22">
        <v>45385.0</v>
      </c>
      <c r="D245" s="23">
        <v>2.6065919E7</v>
      </c>
      <c r="E245" s="16" t="s">
        <v>1622</v>
      </c>
      <c r="F245" s="16" t="s">
        <v>1624</v>
      </c>
      <c r="G245" s="16" t="s">
        <v>1022</v>
      </c>
      <c r="H245" s="23">
        <v>1.0</v>
      </c>
      <c r="I245" s="23">
        <v>225.0</v>
      </c>
      <c r="J245" s="23">
        <v>225.0</v>
      </c>
      <c r="N245" s="23">
        <v>0.0</v>
      </c>
      <c r="R245" s="23">
        <v>0.0</v>
      </c>
      <c r="V245" s="23">
        <v>0.0</v>
      </c>
      <c r="Z245" s="23">
        <v>0.0</v>
      </c>
      <c r="AD245" s="23">
        <v>0.0</v>
      </c>
      <c r="AH245" s="23">
        <v>0.0</v>
      </c>
      <c r="AL245" s="23">
        <v>0.0</v>
      </c>
      <c r="AP245" s="23">
        <v>0.0</v>
      </c>
      <c r="AT245" s="23">
        <v>0.0</v>
      </c>
      <c r="AX245" s="23">
        <v>0.0</v>
      </c>
      <c r="BF245" s="23">
        <v>0.0</v>
      </c>
      <c r="BJ245" s="23">
        <v>0.0</v>
      </c>
      <c r="BN245" s="23">
        <v>0.0</v>
      </c>
      <c r="BO245" s="23">
        <v>225.0</v>
      </c>
      <c r="BP245" s="16" t="s">
        <v>1623</v>
      </c>
      <c r="BQ245" s="16" t="b">
        <v>1</v>
      </c>
      <c r="BR245" s="23">
        <v>225.0</v>
      </c>
      <c r="BS245" s="23">
        <v>843678.0</v>
      </c>
      <c r="BT245" s="16" t="b">
        <v>1</v>
      </c>
      <c r="BU245" s="16" t="s">
        <v>546</v>
      </c>
    </row>
    <row r="246">
      <c r="A246" s="16" t="s">
        <v>1628</v>
      </c>
      <c r="B246" s="16" t="s">
        <v>35</v>
      </c>
      <c r="C246" s="22">
        <v>45385.0</v>
      </c>
      <c r="D246" s="16" t="s">
        <v>1631</v>
      </c>
      <c r="E246" s="16" t="s">
        <v>1632</v>
      </c>
      <c r="F246" s="16" t="s">
        <v>147</v>
      </c>
      <c r="G246" s="16" t="s">
        <v>1197</v>
      </c>
      <c r="H246" s="23">
        <v>4.0</v>
      </c>
      <c r="I246" s="23">
        <v>21.0</v>
      </c>
      <c r="J246" s="23">
        <v>84.0</v>
      </c>
      <c r="K246" s="16" t="s">
        <v>1195</v>
      </c>
      <c r="L246" s="23">
        <v>3.0</v>
      </c>
      <c r="M246" s="23">
        <v>23.0</v>
      </c>
      <c r="N246" s="23">
        <v>69.0</v>
      </c>
      <c r="O246" s="16" t="s">
        <v>2305</v>
      </c>
      <c r="P246" s="23">
        <v>2.0</v>
      </c>
      <c r="Q246" s="23">
        <v>31.0</v>
      </c>
      <c r="R246" s="23">
        <v>62.0</v>
      </c>
      <c r="S246" s="16" t="s">
        <v>797</v>
      </c>
      <c r="T246" s="23">
        <v>1.0</v>
      </c>
      <c r="U246" s="23">
        <v>23.0</v>
      </c>
      <c r="V246" s="23">
        <v>23.0</v>
      </c>
      <c r="W246" s="16" t="s">
        <v>266</v>
      </c>
      <c r="X246" s="23">
        <v>2.0</v>
      </c>
      <c r="Y246" s="23">
        <v>18.5</v>
      </c>
      <c r="Z246" s="23">
        <v>37.0</v>
      </c>
      <c r="AA246" s="16">
        <v>7.9788768E7</v>
      </c>
      <c r="AB246" s="23">
        <v>1.0</v>
      </c>
      <c r="AC246" s="23">
        <v>31.0</v>
      </c>
      <c r="AD246" s="23">
        <v>31.0</v>
      </c>
      <c r="AE246" s="16" t="s">
        <v>1041</v>
      </c>
      <c r="AF246" s="23">
        <v>7.0</v>
      </c>
      <c r="AG246" s="23">
        <v>4.5</v>
      </c>
      <c r="AH246" s="23">
        <v>31.5</v>
      </c>
      <c r="AL246" s="23">
        <v>0.0</v>
      </c>
      <c r="AP246" s="23">
        <v>0.0</v>
      </c>
      <c r="AT246" s="23">
        <v>0.0</v>
      </c>
      <c r="AX246" s="23">
        <v>0.0</v>
      </c>
      <c r="BF246" s="23">
        <v>0.0</v>
      </c>
      <c r="BJ246" s="23">
        <v>0.0</v>
      </c>
      <c r="BN246" s="23">
        <v>0.0</v>
      </c>
      <c r="BO246" s="23">
        <v>337.5</v>
      </c>
      <c r="BP246" s="16" t="s">
        <v>1634</v>
      </c>
      <c r="BQ246" s="16" t="b">
        <v>1</v>
      </c>
      <c r="BR246" s="23">
        <v>337.5</v>
      </c>
      <c r="BS246" s="23">
        <v>843728.0</v>
      </c>
      <c r="BT246" s="16" t="b">
        <v>1</v>
      </c>
      <c r="BU246" s="16" t="s">
        <v>546</v>
      </c>
    </row>
    <row r="247">
      <c r="A247" s="16" t="s">
        <v>1638</v>
      </c>
      <c r="B247" s="16" t="s">
        <v>35</v>
      </c>
      <c r="C247" s="22">
        <v>45385.0</v>
      </c>
      <c r="D247" s="23">
        <v>2.6065919E7</v>
      </c>
      <c r="E247" s="16" t="s">
        <v>1622</v>
      </c>
      <c r="F247" s="16" t="s">
        <v>1624</v>
      </c>
      <c r="G247" s="16" t="s">
        <v>1022</v>
      </c>
      <c r="H247" s="23">
        <v>1.0</v>
      </c>
      <c r="I247" s="23">
        <v>225.0</v>
      </c>
      <c r="J247" s="23">
        <v>225.0</v>
      </c>
      <c r="N247" s="23">
        <v>0.0</v>
      </c>
      <c r="R247" s="23">
        <v>0.0</v>
      </c>
      <c r="V247" s="23">
        <v>0.0</v>
      </c>
      <c r="Z247" s="23">
        <v>0.0</v>
      </c>
      <c r="AD247" s="23">
        <v>0.0</v>
      </c>
      <c r="AH247" s="23">
        <v>0.0</v>
      </c>
      <c r="AL247" s="23">
        <v>0.0</v>
      </c>
      <c r="AP247" s="23">
        <v>0.0</v>
      </c>
      <c r="AT247" s="23">
        <v>0.0</v>
      </c>
      <c r="AX247" s="23">
        <v>0.0</v>
      </c>
      <c r="BF247" s="23">
        <v>0.0</v>
      </c>
      <c r="BJ247" s="23">
        <v>0.0</v>
      </c>
      <c r="BN247" s="23">
        <v>0.0</v>
      </c>
      <c r="BO247" s="23">
        <v>225.0</v>
      </c>
      <c r="BP247" s="16" t="s">
        <v>1640</v>
      </c>
      <c r="BQ247" s="16" t="b">
        <v>1</v>
      </c>
      <c r="BR247" s="23">
        <v>225.0</v>
      </c>
      <c r="BS247" s="23">
        <v>843678.0</v>
      </c>
      <c r="BT247" s="16" t="b">
        <v>1</v>
      </c>
      <c r="BU247" s="16" t="s">
        <v>546</v>
      </c>
    </row>
    <row r="248">
      <c r="A248" s="16" t="s">
        <v>1643</v>
      </c>
      <c r="B248" s="16" t="s">
        <v>35</v>
      </c>
      <c r="C248" s="22">
        <v>45385.0</v>
      </c>
      <c r="D248" s="16" t="s">
        <v>353</v>
      </c>
      <c r="E248" s="16" t="s">
        <v>1645</v>
      </c>
      <c r="F248" s="16" t="s">
        <v>1647</v>
      </c>
      <c r="G248" s="16" t="s">
        <v>691</v>
      </c>
      <c r="H248" s="23">
        <v>1.0</v>
      </c>
      <c r="I248" s="23">
        <v>104.68</v>
      </c>
      <c r="J248" s="23">
        <v>104.68</v>
      </c>
      <c r="K248" s="16" t="s">
        <v>1536</v>
      </c>
      <c r="L248" s="23">
        <v>10.0</v>
      </c>
      <c r="M248" s="23">
        <v>5.99</v>
      </c>
      <c r="N248" s="23">
        <v>59.9</v>
      </c>
      <c r="O248" s="16" t="s">
        <v>2348</v>
      </c>
      <c r="P248" s="23">
        <v>1.0</v>
      </c>
      <c r="Q248" s="23">
        <v>69.99</v>
      </c>
      <c r="R248" s="23">
        <v>69.99</v>
      </c>
      <c r="S248" s="16" t="s">
        <v>2351</v>
      </c>
      <c r="T248" s="23">
        <v>1.0</v>
      </c>
      <c r="U248" s="23">
        <v>144.95</v>
      </c>
      <c r="V248" s="23">
        <v>144.95</v>
      </c>
      <c r="Z248" s="23">
        <v>0.0</v>
      </c>
      <c r="AD248" s="23">
        <v>0.0</v>
      </c>
      <c r="AH248" s="23">
        <v>0.0</v>
      </c>
      <c r="AL248" s="23">
        <v>0.0</v>
      </c>
      <c r="AP248" s="23">
        <v>0.0</v>
      </c>
      <c r="AT248" s="23">
        <v>0.0</v>
      </c>
      <c r="AX248" s="23">
        <v>0.0</v>
      </c>
      <c r="BF248" s="23">
        <v>0.0</v>
      </c>
      <c r="BJ248" s="23">
        <v>0.0</v>
      </c>
      <c r="BN248" s="23">
        <v>0.0</v>
      </c>
      <c r="BO248" s="23">
        <v>379.52</v>
      </c>
      <c r="BP248" s="16" t="s">
        <v>1646</v>
      </c>
      <c r="BQ248" s="16" t="b">
        <v>1</v>
      </c>
      <c r="BR248" s="23">
        <v>379.52</v>
      </c>
      <c r="BT248" s="16" t="b">
        <v>0</v>
      </c>
      <c r="BU248" s="16" t="s">
        <v>546</v>
      </c>
    </row>
    <row r="249">
      <c r="A249" s="16" t="s">
        <v>1651</v>
      </c>
      <c r="B249" s="16" t="s">
        <v>35</v>
      </c>
      <c r="C249" s="22">
        <v>45385.0</v>
      </c>
      <c r="D249" s="16" t="s">
        <v>1129</v>
      </c>
      <c r="E249" s="16" t="s">
        <v>1652</v>
      </c>
      <c r="F249" s="16" t="s">
        <v>1655</v>
      </c>
      <c r="G249" s="16" t="s">
        <v>2208</v>
      </c>
      <c r="H249" s="23">
        <v>1.0</v>
      </c>
      <c r="I249" s="23">
        <v>12.0</v>
      </c>
      <c r="J249" s="23">
        <v>12.0</v>
      </c>
      <c r="K249" s="16" t="s">
        <v>2368</v>
      </c>
      <c r="L249" s="23">
        <v>2.0</v>
      </c>
      <c r="M249" s="23">
        <v>15.0</v>
      </c>
      <c r="N249" s="23">
        <v>30.0</v>
      </c>
      <c r="O249" s="16" t="s">
        <v>1121</v>
      </c>
      <c r="P249" s="23">
        <v>1.0</v>
      </c>
      <c r="Q249" s="23">
        <v>88.0</v>
      </c>
      <c r="R249" s="23">
        <v>88.0</v>
      </c>
      <c r="V249" s="23">
        <v>0.0</v>
      </c>
      <c r="Z249" s="23">
        <v>0.0</v>
      </c>
      <c r="AD249" s="23">
        <v>0.0</v>
      </c>
      <c r="AH249" s="23">
        <v>0.0</v>
      </c>
      <c r="AL249" s="23">
        <v>0.0</v>
      </c>
      <c r="AP249" s="23">
        <v>0.0</v>
      </c>
      <c r="AT249" s="23">
        <v>0.0</v>
      </c>
      <c r="AX249" s="23">
        <v>0.0</v>
      </c>
      <c r="BF249" s="23">
        <v>0.0</v>
      </c>
      <c r="BJ249" s="23">
        <v>0.0</v>
      </c>
      <c r="BN249" s="23">
        <v>0.0</v>
      </c>
      <c r="BO249" s="23">
        <v>130.0</v>
      </c>
      <c r="BP249" s="16" t="s">
        <v>1654</v>
      </c>
      <c r="BQ249" s="16" t="b">
        <v>1</v>
      </c>
      <c r="BR249" s="23">
        <v>130.0</v>
      </c>
      <c r="BT249" s="16" t="b">
        <v>0</v>
      </c>
      <c r="BU249" s="16" t="s">
        <v>546</v>
      </c>
    </row>
    <row r="250">
      <c r="A250" s="16" t="s">
        <v>1660</v>
      </c>
      <c r="B250" s="16" t="s">
        <v>35</v>
      </c>
      <c r="C250" s="22">
        <v>45386.0</v>
      </c>
      <c r="D250" s="16" t="s">
        <v>286</v>
      </c>
      <c r="E250" s="16" t="s">
        <v>1662</v>
      </c>
      <c r="F250" s="16" t="s">
        <v>1664</v>
      </c>
      <c r="G250" s="16" t="s">
        <v>1904</v>
      </c>
      <c r="H250" s="23">
        <v>1.0</v>
      </c>
      <c r="I250" s="23">
        <v>4.0</v>
      </c>
      <c r="J250" s="23">
        <v>4.0</v>
      </c>
      <c r="N250" s="23">
        <v>0.0</v>
      </c>
      <c r="R250" s="23">
        <v>0.0</v>
      </c>
      <c r="V250" s="23">
        <v>0.0</v>
      </c>
      <c r="Z250" s="23">
        <v>0.0</v>
      </c>
      <c r="AD250" s="23">
        <v>0.0</v>
      </c>
      <c r="AH250" s="23">
        <v>0.0</v>
      </c>
      <c r="AL250" s="23">
        <v>0.0</v>
      </c>
      <c r="AP250" s="23">
        <v>0.0</v>
      </c>
      <c r="AT250" s="23">
        <v>0.0</v>
      </c>
      <c r="AX250" s="23">
        <v>0.0</v>
      </c>
      <c r="BF250" s="23">
        <v>0.0</v>
      </c>
      <c r="BJ250" s="23">
        <v>0.0</v>
      </c>
      <c r="BN250" s="23">
        <v>0.0</v>
      </c>
      <c r="BO250" s="23">
        <v>4.0</v>
      </c>
      <c r="BP250" s="16" t="s">
        <v>1663</v>
      </c>
      <c r="BQ250" s="16" t="b">
        <v>1</v>
      </c>
      <c r="BR250" s="23">
        <v>4.0</v>
      </c>
      <c r="BS250" s="23">
        <v>844693.0</v>
      </c>
      <c r="BT250" s="16" t="b">
        <v>1</v>
      </c>
      <c r="BU250" s="16" t="s">
        <v>546</v>
      </c>
    </row>
    <row r="251">
      <c r="A251" s="16" t="s">
        <v>1667</v>
      </c>
      <c r="B251" s="16" t="s">
        <v>35</v>
      </c>
      <c r="C251" s="22">
        <v>45386.0</v>
      </c>
      <c r="D251" s="16" t="s">
        <v>543</v>
      </c>
      <c r="E251" s="16" t="s">
        <v>1670</v>
      </c>
      <c r="F251" s="16" t="s">
        <v>140</v>
      </c>
      <c r="G251" s="16">
        <v>1.2539885E7</v>
      </c>
      <c r="H251" s="23">
        <v>1.0</v>
      </c>
      <c r="I251" s="23">
        <v>620.0</v>
      </c>
      <c r="J251" s="23">
        <v>620.0</v>
      </c>
      <c r="N251" s="23">
        <v>0.0</v>
      </c>
      <c r="R251" s="23">
        <v>0.0</v>
      </c>
      <c r="V251" s="23">
        <v>0.0</v>
      </c>
      <c r="Z251" s="23">
        <v>0.0</v>
      </c>
      <c r="AD251" s="23">
        <v>0.0</v>
      </c>
      <c r="AH251" s="23">
        <v>0.0</v>
      </c>
      <c r="AL251" s="23">
        <v>0.0</v>
      </c>
      <c r="AP251" s="23">
        <v>0.0</v>
      </c>
      <c r="AT251" s="23">
        <v>0.0</v>
      </c>
      <c r="AX251" s="23">
        <v>0.0</v>
      </c>
      <c r="BF251" s="23">
        <v>0.0</v>
      </c>
      <c r="BJ251" s="23">
        <v>0.0</v>
      </c>
      <c r="BN251" s="23">
        <v>0.0</v>
      </c>
      <c r="BO251" s="23">
        <v>620.0</v>
      </c>
      <c r="BP251" s="16" t="s">
        <v>1671</v>
      </c>
      <c r="BQ251" s="16" t="b">
        <v>1</v>
      </c>
      <c r="BR251" s="23">
        <v>620.0</v>
      </c>
      <c r="BS251" s="23">
        <v>844758.0</v>
      </c>
      <c r="BT251" s="16" t="b">
        <v>1</v>
      </c>
      <c r="BU251" s="16" t="s">
        <v>546</v>
      </c>
    </row>
    <row r="252">
      <c r="A252" s="16" t="s">
        <v>1674</v>
      </c>
      <c r="B252" s="16" t="s">
        <v>35</v>
      </c>
      <c r="C252" s="22">
        <v>45386.0</v>
      </c>
      <c r="D252" s="16" t="s">
        <v>286</v>
      </c>
      <c r="E252" s="16" t="s">
        <v>1676</v>
      </c>
      <c r="F252" s="16" t="s">
        <v>1324</v>
      </c>
      <c r="G252" s="16" t="s">
        <v>1904</v>
      </c>
      <c r="H252" s="23">
        <v>1.0</v>
      </c>
      <c r="I252" s="23">
        <v>1.0</v>
      </c>
      <c r="J252" s="23">
        <v>1.0</v>
      </c>
      <c r="N252" s="23">
        <v>0.0</v>
      </c>
      <c r="R252" s="23">
        <v>0.0</v>
      </c>
      <c r="V252" s="23">
        <v>0.0</v>
      </c>
      <c r="Z252" s="23">
        <v>0.0</v>
      </c>
      <c r="AD252" s="23">
        <v>0.0</v>
      </c>
      <c r="AH252" s="23">
        <v>0.0</v>
      </c>
      <c r="AL252" s="23">
        <v>0.0</v>
      </c>
      <c r="AP252" s="23">
        <v>0.0</v>
      </c>
      <c r="AT252" s="23">
        <v>0.0</v>
      </c>
      <c r="AX252" s="23">
        <v>0.0</v>
      </c>
      <c r="BF252" s="23">
        <v>0.0</v>
      </c>
      <c r="BJ252" s="23">
        <v>0.0</v>
      </c>
      <c r="BN252" s="23">
        <v>0.0</v>
      </c>
      <c r="BO252" s="23">
        <v>1.0</v>
      </c>
      <c r="BP252" s="16" t="s">
        <v>1677</v>
      </c>
      <c r="BQ252" s="16" t="b">
        <v>1</v>
      </c>
      <c r="BR252" s="23">
        <v>1.0</v>
      </c>
      <c r="BS252" s="23">
        <v>844772.0</v>
      </c>
      <c r="BT252" s="16" t="b">
        <v>1</v>
      </c>
      <c r="BU252" s="16" t="s">
        <v>546</v>
      </c>
    </row>
    <row r="253">
      <c r="A253" s="16" t="s">
        <v>1685</v>
      </c>
      <c r="B253" s="16" t="s">
        <v>35</v>
      </c>
      <c r="C253" s="22">
        <v>45386.0</v>
      </c>
      <c r="D253" s="16" t="s">
        <v>112</v>
      </c>
      <c r="E253" s="16" t="s">
        <v>1686</v>
      </c>
      <c r="F253" s="16" t="s">
        <v>157</v>
      </c>
      <c r="G253" s="16" t="s">
        <v>155</v>
      </c>
      <c r="H253" s="23">
        <v>1.0</v>
      </c>
      <c r="I253" s="23">
        <v>37.26</v>
      </c>
      <c r="J253" s="23">
        <v>37.26</v>
      </c>
      <c r="K253" s="16" t="s">
        <v>230</v>
      </c>
      <c r="L253" s="23">
        <v>1.0</v>
      </c>
      <c r="M253" s="23">
        <v>110.0</v>
      </c>
      <c r="N253" s="23">
        <v>110.0</v>
      </c>
      <c r="O253" s="16" t="s">
        <v>226</v>
      </c>
      <c r="P253" s="23">
        <v>6.0</v>
      </c>
      <c r="Q253" s="23">
        <v>7.8</v>
      </c>
      <c r="R253" s="23">
        <v>46.8</v>
      </c>
      <c r="V253" s="23">
        <v>0.0</v>
      </c>
      <c r="Z253" s="23">
        <v>0.0</v>
      </c>
      <c r="AD253" s="23">
        <v>0.0</v>
      </c>
      <c r="AH253" s="23">
        <v>0.0</v>
      </c>
      <c r="AL253" s="23">
        <v>0.0</v>
      </c>
      <c r="AP253" s="23">
        <v>0.0</v>
      </c>
      <c r="AT253" s="23">
        <v>0.0</v>
      </c>
      <c r="AX253" s="23">
        <v>0.0</v>
      </c>
      <c r="BF253" s="23">
        <v>0.0</v>
      </c>
      <c r="BJ253" s="23">
        <v>0.0</v>
      </c>
      <c r="BN253" s="23">
        <v>0.0</v>
      </c>
      <c r="BO253" s="23">
        <v>194.06</v>
      </c>
      <c r="BP253" s="16" t="s">
        <v>1688</v>
      </c>
      <c r="BQ253" s="16" t="b">
        <v>1</v>
      </c>
      <c r="BR253" s="23">
        <v>194.06</v>
      </c>
      <c r="BS253" s="23">
        <v>844760.0</v>
      </c>
      <c r="BT253" s="16" t="b">
        <v>1</v>
      </c>
      <c r="BU253" s="16" t="s">
        <v>546</v>
      </c>
    </row>
    <row r="254">
      <c r="A254" s="16" t="s">
        <v>1691</v>
      </c>
      <c r="B254" s="16" t="s">
        <v>35</v>
      </c>
      <c r="C254" s="22">
        <v>45386.0</v>
      </c>
      <c r="D254" s="16" t="s">
        <v>286</v>
      </c>
      <c r="E254" s="16" t="s">
        <v>1676</v>
      </c>
      <c r="F254" s="16" t="s">
        <v>1324</v>
      </c>
      <c r="G254" s="16" t="s">
        <v>1904</v>
      </c>
      <c r="H254" s="23">
        <v>1.0</v>
      </c>
      <c r="I254" s="23">
        <v>2.0</v>
      </c>
      <c r="J254" s="23">
        <v>2.0</v>
      </c>
      <c r="N254" s="23">
        <v>0.0</v>
      </c>
      <c r="R254" s="23">
        <v>0.0</v>
      </c>
      <c r="V254" s="23">
        <v>0.0</v>
      </c>
      <c r="Z254" s="23">
        <v>0.0</v>
      </c>
      <c r="AD254" s="23">
        <v>0.0</v>
      </c>
      <c r="AH254" s="23">
        <v>0.0</v>
      </c>
      <c r="AL254" s="23">
        <v>0.0</v>
      </c>
      <c r="AP254" s="23">
        <v>0.0</v>
      </c>
      <c r="AT254" s="23">
        <v>0.0</v>
      </c>
      <c r="AX254" s="23">
        <v>0.0</v>
      </c>
      <c r="BF254" s="23">
        <v>0.0</v>
      </c>
      <c r="BJ254" s="23">
        <v>0.0</v>
      </c>
      <c r="BN254" s="23">
        <v>0.0</v>
      </c>
      <c r="BO254" s="23">
        <v>2.0</v>
      </c>
      <c r="BP254" s="16" t="s">
        <v>1695</v>
      </c>
      <c r="BQ254" s="16" t="b">
        <v>1</v>
      </c>
      <c r="BR254" s="23">
        <v>2.0</v>
      </c>
      <c r="BS254" s="23">
        <v>844813.0</v>
      </c>
      <c r="BT254" s="16" t="b">
        <v>1</v>
      </c>
      <c r="BU254" s="16" t="s">
        <v>546</v>
      </c>
    </row>
    <row r="255">
      <c r="A255" s="16" t="s">
        <v>1698</v>
      </c>
      <c r="B255" s="16" t="s">
        <v>35</v>
      </c>
      <c r="C255" s="22">
        <v>45386.0</v>
      </c>
      <c r="F255" s="16" t="s">
        <v>1701</v>
      </c>
      <c r="G255" s="16" t="s">
        <v>1054</v>
      </c>
      <c r="H255" s="16">
        <v>1.0</v>
      </c>
      <c r="I255" s="23">
        <v>4549.1</v>
      </c>
      <c r="J255" s="23">
        <v>4549.1</v>
      </c>
      <c r="BO255" s="23">
        <v>4549.1</v>
      </c>
      <c r="BR255" s="23">
        <v>4549.1</v>
      </c>
      <c r="BU255" s="16" t="s">
        <v>539</v>
      </c>
      <c r="BV255" s="16" t="s">
        <v>648</v>
      </c>
      <c r="BW255" s="16"/>
      <c r="BX255" s="16"/>
      <c r="BY255" s="16"/>
    </row>
    <row r="256">
      <c r="A256" s="16" t="s">
        <v>1703</v>
      </c>
      <c r="B256" s="16" t="s">
        <v>35</v>
      </c>
      <c r="C256" s="22">
        <v>45386.0</v>
      </c>
      <c r="D256" s="16" t="s">
        <v>1705</v>
      </c>
      <c r="F256" s="16" t="s">
        <v>1707</v>
      </c>
      <c r="G256" s="16" t="s">
        <v>2448</v>
      </c>
      <c r="H256" s="16">
        <v>1.0</v>
      </c>
      <c r="I256" s="23">
        <v>644.71</v>
      </c>
      <c r="J256" s="23">
        <v>644.71</v>
      </c>
      <c r="BO256" s="23">
        <v>644.71</v>
      </c>
      <c r="BR256" s="23">
        <v>644.71</v>
      </c>
      <c r="BU256" s="16" t="s">
        <v>539</v>
      </c>
    </row>
    <row r="257">
      <c r="A257" s="16" t="s">
        <v>1709</v>
      </c>
      <c r="B257" s="16" t="s">
        <v>35</v>
      </c>
      <c r="C257" s="22">
        <v>45387.0</v>
      </c>
      <c r="F257" s="16" t="s">
        <v>1712</v>
      </c>
      <c r="G257" s="16" t="s">
        <v>1239</v>
      </c>
      <c r="H257" s="16">
        <v>1.0</v>
      </c>
      <c r="I257" s="23">
        <v>1812.88</v>
      </c>
      <c r="J257" s="23">
        <v>1812.88</v>
      </c>
      <c r="BO257" s="23">
        <v>1812.88</v>
      </c>
      <c r="BR257" s="23">
        <v>1812.88</v>
      </c>
      <c r="BU257" s="16" t="s">
        <v>539</v>
      </c>
      <c r="BV257" s="16" t="s">
        <v>658</v>
      </c>
      <c r="BW257" s="16"/>
      <c r="BX257" s="16"/>
      <c r="BY257" s="16"/>
    </row>
    <row r="258">
      <c r="A258" s="16" t="s">
        <v>1715</v>
      </c>
      <c r="B258" s="16" t="s">
        <v>35</v>
      </c>
      <c r="C258" s="22">
        <v>45387.0</v>
      </c>
      <c r="F258" s="16" t="s">
        <v>1712</v>
      </c>
      <c r="G258" s="16" t="s">
        <v>1239</v>
      </c>
      <c r="H258" s="16">
        <v>1.0</v>
      </c>
      <c r="I258" s="23">
        <v>455.34</v>
      </c>
      <c r="J258" s="23">
        <v>455.34</v>
      </c>
      <c r="BO258" s="23">
        <v>455.34</v>
      </c>
      <c r="BR258" s="23">
        <v>455.34</v>
      </c>
      <c r="BU258" s="16" t="s">
        <v>539</v>
      </c>
      <c r="BV258" s="16" t="s">
        <v>651</v>
      </c>
      <c r="BW258" s="16"/>
      <c r="BX258" s="16"/>
      <c r="BY258" s="16"/>
    </row>
    <row r="259">
      <c r="A259" s="16" t="s">
        <v>1718</v>
      </c>
      <c r="B259" s="16" t="s">
        <v>35</v>
      </c>
      <c r="C259" s="22">
        <v>45387.0</v>
      </c>
      <c r="F259" s="16" t="s">
        <v>1712</v>
      </c>
      <c r="G259" s="16" t="s">
        <v>1239</v>
      </c>
      <c r="H259" s="16">
        <v>1.0</v>
      </c>
      <c r="I259" s="23">
        <v>1239.11</v>
      </c>
      <c r="J259" s="23">
        <v>1239.11</v>
      </c>
      <c r="BO259" s="23">
        <v>1239.11</v>
      </c>
      <c r="BR259" s="23">
        <v>1239.11</v>
      </c>
      <c r="BU259" s="16" t="s">
        <v>539</v>
      </c>
      <c r="BV259" s="16" t="s">
        <v>1100</v>
      </c>
      <c r="BW259" s="16"/>
      <c r="BX259" s="16"/>
      <c r="BY259" s="16"/>
    </row>
    <row r="260">
      <c r="A260" s="16" t="s">
        <v>1721</v>
      </c>
      <c r="B260" s="16" t="s">
        <v>35</v>
      </c>
      <c r="C260" s="22">
        <v>45387.0</v>
      </c>
      <c r="F260" s="16" t="s">
        <v>1712</v>
      </c>
      <c r="G260" s="16" t="s">
        <v>1239</v>
      </c>
      <c r="H260" s="16">
        <v>1.0</v>
      </c>
      <c r="I260" s="23">
        <v>1869.66</v>
      </c>
      <c r="J260" s="23">
        <v>1869.66</v>
      </c>
      <c r="BO260" s="23">
        <v>1869.66</v>
      </c>
      <c r="BR260" s="23">
        <v>1869.66</v>
      </c>
      <c r="BU260" s="16" t="s">
        <v>539</v>
      </c>
      <c r="BV260" s="16" t="s">
        <v>624</v>
      </c>
      <c r="BW260" s="16"/>
      <c r="BX260" s="16"/>
      <c r="BY260" s="16"/>
    </row>
    <row r="261">
      <c r="A261" s="16" t="s">
        <v>1726</v>
      </c>
      <c r="B261" s="16" t="s">
        <v>35</v>
      </c>
      <c r="C261" s="22">
        <v>45387.0</v>
      </c>
      <c r="F261" s="16" t="s">
        <v>1712</v>
      </c>
      <c r="G261" s="16" t="s">
        <v>1239</v>
      </c>
      <c r="H261" s="16">
        <v>1.0</v>
      </c>
      <c r="I261" s="23">
        <v>1869.66</v>
      </c>
      <c r="J261" s="23">
        <v>1869.66</v>
      </c>
      <c r="BO261" s="23">
        <v>1869.66</v>
      </c>
      <c r="BR261" s="23">
        <v>1869.66</v>
      </c>
      <c r="BU261" s="16" t="s">
        <v>539</v>
      </c>
      <c r="BV261" s="16" t="s">
        <v>624</v>
      </c>
      <c r="BW261" s="16"/>
      <c r="BX261" s="16"/>
      <c r="BY261" s="16"/>
    </row>
    <row r="262">
      <c r="A262" s="16">
        <v>1.1762011E8</v>
      </c>
      <c r="B262" s="16" t="s">
        <v>35</v>
      </c>
      <c r="C262" s="22">
        <v>45387.0</v>
      </c>
      <c r="F262" s="16" t="s">
        <v>1712</v>
      </c>
      <c r="G262" s="16" t="s">
        <v>1239</v>
      </c>
      <c r="H262" s="16">
        <v>1.0</v>
      </c>
      <c r="I262" s="23">
        <v>2256.7</v>
      </c>
      <c r="J262" s="23">
        <v>2256.7</v>
      </c>
      <c r="BO262" s="23">
        <v>2256.7</v>
      </c>
      <c r="BR262" s="23">
        <v>2256.7</v>
      </c>
      <c r="BU262" s="16" t="s">
        <v>539</v>
      </c>
      <c r="BV262" s="16" t="s">
        <v>664</v>
      </c>
      <c r="BW262" s="16"/>
      <c r="BX262" s="16"/>
      <c r="BY262" s="16"/>
    </row>
    <row r="263">
      <c r="A263" s="16" t="s">
        <v>1734</v>
      </c>
      <c r="B263" s="16" t="s">
        <v>35</v>
      </c>
      <c r="C263" s="22">
        <v>45385.0</v>
      </c>
      <c r="D263" s="16" t="s">
        <v>808</v>
      </c>
      <c r="E263" s="16" t="s">
        <v>1736</v>
      </c>
      <c r="F263" s="16" t="s">
        <v>767</v>
      </c>
      <c r="G263" s="16" t="s">
        <v>1091</v>
      </c>
      <c r="H263" s="23">
        <v>1.0</v>
      </c>
      <c r="I263" s="23">
        <v>318.0</v>
      </c>
      <c r="J263" s="23">
        <v>318.0</v>
      </c>
      <c r="N263" s="23">
        <v>0.0</v>
      </c>
      <c r="R263" s="23">
        <v>0.0</v>
      </c>
      <c r="V263" s="23">
        <v>0.0</v>
      </c>
      <c r="Z263" s="23">
        <v>0.0</v>
      </c>
      <c r="AD263" s="23">
        <v>0.0</v>
      </c>
      <c r="AH263" s="23">
        <v>0.0</v>
      </c>
      <c r="AL263" s="23">
        <v>0.0</v>
      </c>
      <c r="AP263" s="23">
        <v>0.0</v>
      </c>
      <c r="AT263" s="23">
        <v>0.0</v>
      </c>
      <c r="AX263" s="23">
        <v>0.0</v>
      </c>
      <c r="BF263" s="23">
        <v>0.0</v>
      </c>
      <c r="BJ263" s="23">
        <v>0.0</v>
      </c>
      <c r="BN263" s="23">
        <v>0.0</v>
      </c>
      <c r="BO263" s="23">
        <v>318.0</v>
      </c>
      <c r="BP263" s="16" t="s">
        <v>1737</v>
      </c>
      <c r="BQ263" s="16" t="b">
        <v>1</v>
      </c>
      <c r="BR263" s="23">
        <v>318.0</v>
      </c>
      <c r="BS263" s="23">
        <v>843916.0</v>
      </c>
      <c r="BT263" s="16" t="b">
        <v>1</v>
      </c>
      <c r="BU263" s="16" t="s">
        <v>546</v>
      </c>
    </row>
    <row r="264">
      <c r="A264" s="16" t="s">
        <v>1739</v>
      </c>
      <c r="B264" s="16" t="s">
        <v>35</v>
      </c>
      <c r="C264" s="22">
        <v>45385.0</v>
      </c>
      <c r="D264" s="16" t="s">
        <v>890</v>
      </c>
      <c r="E264" s="16" t="s">
        <v>1741</v>
      </c>
      <c r="F264" s="16" t="s">
        <v>1177</v>
      </c>
      <c r="G264" s="16" t="s">
        <v>1510</v>
      </c>
      <c r="H264" s="23">
        <v>1.0</v>
      </c>
      <c r="I264" s="23">
        <v>12514.97</v>
      </c>
      <c r="J264" s="23">
        <v>12514.97</v>
      </c>
      <c r="N264" s="23">
        <v>0.0</v>
      </c>
      <c r="R264" s="23">
        <v>0.0</v>
      </c>
      <c r="V264" s="23">
        <v>0.0</v>
      </c>
      <c r="Z264" s="23">
        <v>0.0</v>
      </c>
      <c r="AD264" s="23">
        <v>0.0</v>
      </c>
      <c r="AH264" s="23">
        <v>0.0</v>
      </c>
      <c r="AL264" s="23">
        <v>0.0</v>
      </c>
      <c r="AP264" s="23">
        <v>0.0</v>
      </c>
      <c r="AT264" s="23">
        <v>0.0</v>
      </c>
      <c r="AX264" s="23">
        <v>0.0</v>
      </c>
      <c r="BF264" s="23">
        <v>0.0</v>
      </c>
      <c r="BJ264" s="23">
        <v>0.0</v>
      </c>
      <c r="BN264" s="23">
        <v>0.0</v>
      </c>
      <c r="BO264" s="23">
        <v>12514.97</v>
      </c>
      <c r="BP264" s="16" t="s">
        <v>1743</v>
      </c>
      <c r="BQ264" s="16" t="b">
        <v>1</v>
      </c>
      <c r="BR264" s="23">
        <v>12514.97</v>
      </c>
      <c r="BT264" s="16" t="b">
        <v>0</v>
      </c>
      <c r="BU264" s="16" t="s">
        <v>546</v>
      </c>
    </row>
    <row r="265">
      <c r="A265" s="16" t="s">
        <v>1745</v>
      </c>
      <c r="B265" s="16" t="s">
        <v>35</v>
      </c>
      <c r="C265" s="22">
        <v>45386.0</v>
      </c>
      <c r="D265" s="16" t="s">
        <v>890</v>
      </c>
      <c r="E265" s="16" t="s">
        <v>1747</v>
      </c>
      <c r="F265" s="16" t="s">
        <v>1184</v>
      </c>
      <c r="G265" s="16" t="s">
        <v>1517</v>
      </c>
      <c r="H265" s="23">
        <v>1.0</v>
      </c>
      <c r="I265" s="23">
        <v>10035.66</v>
      </c>
      <c r="J265" s="23">
        <v>10035.66</v>
      </c>
      <c r="N265" s="23">
        <v>0.0</v>
      </c>
      <c r="R265" s="23">
        <v>0.0</v>
      </c>
      <c r="V265" s="23">
        <v>0.0</v>
      </c>
      <c r="Z265" s="23">
        <v>0.0</v>
      </c>
      <c r="AD265" s="23">
        <v>0.0</v>
      </c>
      <c r="AH265" s="23">
        <v>0.0</v>
      </c>
      <c r="AL265" s="23">
        <v>0.0</v>
      </c>
      <c r="AP265" s="23">
        <v>0.0</v>
      </c>
      <c r="AT265" s="23">
        <v>0.0</v>
      </c>
      <c r="AX265" s="23">
        <v>0.0</v>
      </c>
      <c r="BF265" s="23">
        <v>0.0</v>
      </c>
      <c r="BJ265" s="23">
        <v>0.0</v>
      </c>
      <c r="BN265" s="23">
        <v>0.0</v>
      </c>
      <c r="BO265" s="23">
        <v>10035.66</v>
      </c>
      <c r="BP265" s="16" t="s">
        <v>1748</v>
      </c>
      <c r="BQ265" s="16" t="b">
        <v>1</v>
      </c>
      <c r="BR265" s="23">
        <v>10035.66</v>
      </c>
      <c r="BT265" s="16" t="b">
        <v>0</v>
      </c>
      <c r="BU265" s="16" t="s">
        <v>546</v>
      </c>
    </row>
    <row r="266">
      <c r="A266" s="16" t="s">
        <v>1750</v>
      </c>
      <c r="B266" s="16" t="s">
        <v>35</v>
      </c>
      <c r="C266" s="22">
        <v>45387.0</v>
      </c>
      <c r="D266" s="16" t="s">
        <v>286</v>
      </c>
      <c r="E266" s="16" t="s">
        <v>1752</v>
      </c>
      <c r="F266" s="16" t="s">
        <v>1754</v>
      </c>
      <c r="G266" s="16" t="s">
        <v>1904</v>
      </c>
      <c r="H266" s="23">
        <v>1.0</v>
      </c>
      <c r="I266" s="23">
        <v>2.0</v>
      </c>
      <c r="J266" s="23">
        <v>2.0</v>
      </c>
      <c r="N266" s="23">
        <v>0.0</v>
      </c>
      <c r="R266" s="23">
        <v>0.0</v>
      </c>
      <c r="V266" s="23">
        <v>0.0</v>
      </c>
      <c r="Z266" s="23">
        <v>0.0</v>
      </c>
      <c r="AD266" s="23">
        <v>0.0</v>
      </c>
      <c r="AH266" s="23">
        <v>0.0</v>
      </c>
      <c r="AL266" s="23">
        <v>0.0</v>
      </c>
      <c r="AP266" s="23">
        <v>0.0</v>
      </c>
      <c r="AT266" s="23">
        <v>0.0</v>
      </c>
      <c r="AX266" s="23">
        <v>0.0</v>
      </c>
      <c r="BF266" s="23">
        <v>0.0</v>
      </c>
      <c r="BJ266" s="23">
        <v>0.0</v>
      </c>
      <c r="BN266" s="23">
        <v>0.0</v>
      </c>
      <c r="BO266" s="23">
        <v>2.0</v>
      </c>
      <c r="BP266" s="16" t="s">
        <v>1753</v>
      </c>
      <c r="BQ266" s="16" t="b">
        <v>1</v>
      </c>
      <c r="BR266" s="23">
        <v>2.0</v>
      </c>
      <c r="BS266" s="23">
        <v>846607.0</v>
      </c>
      <c r="BT266" s="16" t="b">
        <v>1</v>
      </c>
      <c r="BU266" s="16" t="s">
        <v>546</v>
      </c>
    </row>
    <row r="267">
      <c r="A267" s="16" t="s">
        <v>1756</v>
      </c>
      <c r="B267" s="16" t="s">
        <v>35</v>
      </c>
      <c r="C267" s="22">
        <v>45387.0</v>
      </c>
      <c r="D267" s="16" t="s">
        <v>286</v>
      </c>
      <c r="E267" s="16" t="s">
        <v>1752</v>
      </c>
      <c r="F267" s="16" t="s">
        <v>1754</v>
      </c>
      <c r="G267" s="16" t="s">
        <v>1904</v>
      </c>
      <c r="H267" s="23">
        <v>1.0</v>
      </c>
      <c r="I267" s="23">
        <v>4.0</v>
      </c>
      <c r="J267" s="23">
        <v>4.0</v>
      </c>
      <c r="N267" s="23">
        <v>0.0</v>
      </c>
      <c r="R267" s="23">
        <v>0.0</v>
      </c>
      <c r="V267" s="23">
        <v>0.0</v>
      </c>
      <c r="Z267" s="23">
        <v>0.0</v>
      </c>
      <c r="AD267" s="23">
        <v>0.0</v>
      </c>
      <c r="AH267" s="23">
        <v>0.0</v>
      </c>
      <c r="AL267" s="23">
        <v>0.0</v>
      </c>
      <c r="AP267" s="23">
        <v>0.0</v>
      </c>
      <c r="AT267" s="23">
        <v>0.0</v>
      </c>
      <c r="AX267" s="23">
        <v>0.0</v>
      </c>
      <c r="BF267" s="23">
        <v>0.0</v>
      </c>
      <c r="BJ267" s="23">
        <v>0.0</v>
      </c>
      <c r="BN267" s="23">
        <v>0.0</v>
      </c>
      <c r="BO267" s="23">
        <v>4.0</v>
      </c>
      <c r="BP267" s="16" t="s">
        <v>1759</v>
      </c>
      <c r="BQ267" s="16" t="b">
        <v>1</v>
      </c>
      <c r="BR267" s="23">
        <v>4.0</v>
      </c>
      <c r="BS267" s="23">
        <v>846608.0</v>
      </c>
      <c r="BT267" s="16" t="b">
        <v>1</v>
      </c>
      <c r="BU267" s="16" t="s">
        <v>546</v>
      </c>
    </row>
    <row r="268">
      <c r="A268" s="16" t="s">
        <v>1763</v>
      </c>
      <c r="B268" s="16" t="s">
        <v>35</v>
      </c>
      <c r="C268" s="22">
        <v>45387.0</v>
      </c>
      <c r="D268" s="16" t="s">
        <v>404</v>
      </c>
      <c r="E268" s="16" t="s">
        <v>1766</v>
      </c>
      <c r="F268" s="16" t="s">
        <v>1768</v>
      </c>
      <c r="G268" s="16" t="s">
        <v>305</v>
      </c>
      <c r="H268" s="23">
        <v>1.0</v>
      </c>
      <c r="I268" s="23">
        <v>47.47</v>
      </c>
      <c r="J268" s="23">
        <v>47.47</v>
      </c>
      <c r="N268" s="23">
        <v>0.0</v>
      </c>
      <c r="R268" s="23">
        <v>0.0</v>
      </c>
      <c r="V268" s="23">
        <v>0.0</v>
      </c>
      <c r="Z268" s="23">
        <v>0.0</v>
      </c>
      <c r="AD268" s="23">
        <v>0.0</v>
      </c>
      <c r="AH268" s="23">
        <v>0.0</v>
      </c>
      <c r="AL268" s="23">
        <v>0.0</v>
      </c>
      <c r="AP268" s="23">
        <v>0.0</v>
      </c>
      <c r="AT268" s="23">
        <v>0.0</v>
      </c>
      <c r="AX268" s="23">
        <v>0.0</v>
      </c>
      <c r="BF268" s="23">
        <v>0.0</v>
      </c>
      <c r="BJ268" s="23">
        <v>0.0</v>
      </c>
      <c r="BN268" s="23">
        <v>0.0</v>
      </c>
      <c r="BO268" s="23">
        <v>47.47</v>
      </c>
      <c r="BP268" s="16" t="s">
        <v>1767</v>
      </c>
      <c r="BQ268" s="16" t="b">
        <v>1</v>
      </c>
      <c r="BR268" s="23">
        <v>47.47</v>
      </c>
      <c r="BT268" s="16" t="b">
        <v>0</v>
      </c>
      <c r="BU268" s="16" t="s">
        <v>546</v>
      </c>
    </row>
    <row r="269">
      <c r="A269" s="16" t="s">
        <v>1770</v>
      </c>
      <c r="B269" s="16" t="s">
        <v>35</v>
      </c>
      <c r="C269" s="22">
        <v>45389.0</v>
      </c>
      <c r="D269" s="16" t="s">
        <v>543</v>
      </c>
      <c r="E269" s="16" t="s">
        <v>1771</v>
      </c>
      <c r="F269" s="16" t="s">
        <v>1774</v>
      </c>
      <c r="G269" s="16">
        <v>1.2539885E7</v>
      </c>
      <c r="H269" s="23">
        <v>20.0</v>
      </c>
      <c r="I269" s="23">
        <v>20.0</v>
      </c>
      <c r="J269" s="23">
        <v>400.0</v>
      </c>
      <c r="N269" s="23">
        <v>0.0</v>
      </c>
      <c r="R269" s="23">
        <v>0.0</v>
      </c>
      <c r="V269" s="23">
        <v>0.0</v>
      </c>
      <c r="Z269" s="23">
        <v>0.0</v>
      </c>
      <c r="AD269" s="23">
        <v>0.0</v>
      </c>
      <c r="AH269" s="23">
        <v>0.0</v>
      </c>
      <c r="AL269" s="23">
        <v>0.0</v>
      </c>
      <c r="AP269" s="23">
        <v>0.0</v>
      </c>
      <c r="AT269" s="23">
        <v>0.0</v>
      </c>
      <c r="AX269" s="23">
        <v>0.0</v>
      </c>
      <c r="BF269" s="23">
        <v>0.0</v>
      </c>
      <c r="BJ269" s="23">
        <v>0.0</v>
      </c>
      <c r="BN269" s="23">
        <v>0.0</v>
      </c>
      <c r="BO269" s="23">
        <v>400.0</v>
      </c>
      <c r="BP269" s="16" t="s">
        <v>1773</v>
      </c>
      <c r="BQ269" s="16" t="b">
        <v>1</v>
      </c>
      <c r="BR269" s="23">
        <v>400.0</v>
      </c>
      <c r="BS269" s="23">
        <v>849064.0</v>
      </c>
      <c r="BT269" s="16" t="b">
        <v>1</v>
      </c>
      <c r="BU269" s="16" t="s">
        <v>546</v>
      </c>
    </row>
    <row r="270">
      <c r="A270" s="16" t="s">
        <v>1776</v>
      </c>
      <c r="B270" s="16" t="s">
        <v>35</v>
      </c>
      <c r="C270" s="22">
        <v>45390.0</v>
      </c>
      <c r="D270" s="16" t="s">
        <v>193</v>
      </c>
      <c r="E270" s="16" t="s">
        <v>1778</v>
      </c>
      <c r="F270" s="16" t="s">
        <v>195</v>
      </c>
      <c r="G270" s="16" t="s">
        <v>338</v>
      </c>
      <c r="H270" s="23">
        <v>1.0</v>
      </c>
      <c r="I270" s="23">
        <v>225.52</v>
      </c>
      <c r="J270" s="23">
        <v>225.52</v>
      </c>
      <c r="N270" s="23">
        <v>0.0</v>
      </c>
      <c r="R270" s="23">
        <v>0.0</v>
      </c>
      <c r="V270" s="23">
        <v>0.0</v>
      </c>
      <c r="Z270" s="23">
        <v>0.0</v>
      </c>
      <c r="AD270" s="23">
        <v>0.0</v>
      </c>
      <c r="AH270" s="23">
        <v>0.0</v>
      </c>
      <c r="AL270" s="23">
        <v>0.0</v>
      </c>
      <c r="AP270" s="23">
        <v>0.0</v>
      </c>
      <c r="AT270" s="23">
        <v>0.0</v>
      </c>
      <c r="AX270" s="23">
        <v>0.0</v>
      </c>
      <c r="BF270" s="23">
        <v>0.0</v>
      </c>
      <c r="BJ270" s="23">
        <v>0.0</v>
      </c>
      <c r="BN270" s="23">
        <v>0.0</v>
      </c>
      <c r="BO270" s="23">
        <v>225.52</v>
      </c>
      <c r="BP270" s="16" t="s">
        <v>1779</v>
      </c>
      <c r="BQ270" s="16" t="b">
        <v>1</v>
      </c>
      <c r="BR270" s="23">
        <v>225.52</v>
      </c>
      <c r="BT270" s="16" t="b">
        <v>0</v>
      </c>
      <c r="BU270" s="16" t="s">
        <v>546</v>
      </c>
    </row>
    <row r="271">
      <c r="A271" s="16" t="s">
        <v>1782</v>
      </c>
      <c r="B271" s="16" t="s">
        <v>35</v>
      </c>
      <c r="C271" s="22">
        <v>45390.0</v>
      </c>
      <c r="D271" s="16" t="s">
        <v>286</v>
      </c>
      <c r="E271" s="16" t="s">
        <v>1784</v>
      </c>
      <c r="F271" s="16" t="s">
        <v>1786</v>
      </c>
      <c r="G271" s="16" t="s">
        <v>854</v>
      </c>
      <c r="H271" s="23">
        <v>1.0</v>
      </c>
      <c r="I271" s="23">
        <v>14.97</v>
      </c>
      <c r="J271" s="23">
        <v>14.97</v>
      </c>
      <c r="N271" s="23">
        <v>0.0</v>
      </c>
      <c r="R271" s="23">
        <v>0.0</v>
      </c>
      <c r="V271" s="23">
        <v>0.0</v>
      </c>
      <c r="Z271" s="23">
        <v>0.0</v>
      </c>
      <c r="AD271" s="23">
        <v>0.0</v>
      </c>
      <c r="AH271" s="23">
        <v>0.0</v>
      </c>
      <c r="AL271" s="23">
        <v>0.0</v>
      </c>
      <c r="AP271" s="23">
        <v>0.0</v>
      </c>
      <c r="AT271" s="23">
        <v>0.0</v>
      </c>
      <c r="AX271" s="23">
        <v>0.0</v>
      </c>
      <c r="BF271" s="23">
        <v>0.0</v>
      </c>
      <c r="BJ271" s="23">
        <v>0.0</v>
      </c>
      <c r="BN271" s="23">
        <v>0.0</v>
      </c>
      <c r="BO271" s="23">
        <v>14.97</v>
      </c>
      <c r="BP271" s="16" t="s">
        <v>1785</v>
      </c>
      <c r="BQ271" s="16" t="b">
        <v>1</v>
      </c>
      <c r="BR271" s="23">
        <v>14.97</v>
      </c>
      <c r="BS271" s="23">
        <v>851433.0</v>
      </c>
      <c r="BT271" s="16" t="b">
        <v>1</v>
      </c>
      <c r="BU271" s="16" t="s">
        <v>546</v>
      </c>
    </row>
    <row r="272">
      <c r="A272" s="16" t="s">
        <v>1789</v>
      </c>
      <c r="B272" s="16" t="s">
        <v>35</v>
      </c>
      <c r="C272" s="22">
        <v>45391.0</v>
      </c>
      <c r="F272" s="16" t="s">
        <v>1791</v>
      </c>
      <c r="G272" s="16" t="s">
        <v>1239</v>
      </c>
      <c r="H272" s="16">
        <v>1.0</v>
      </c>
      <c r="I272" s="23">
        <v>2191.99</v>
      </c>
      <c r="J272" s="23">
        <v>2191.99</v>
      </c>
      <c r="BO272" s="23">
        <v>2191.99</v>
      </c>
      <c r="BR272" s="23">
        <v>2191.99</v>
      </c>
      <c r="BU272" s="16" t="s">
        <v>539</v>
      </c>
      <c r="BV272" s="16" t="s">
        <v>624</v>
      </c>
      <c r="BW272" s="16"/>
      <c r="BX272" s="16"/>
      <c r="BY272" s="16"/>
    </row>
    <row r="273">
      <c r="A273" s="16" t="s">
        <v>1796</v>
      </c>
      <c r="B273" s="16" t="s">
        <v>35</v>
      </c>
      <c r="C273" s="22">
        <v>45390.0</v>
      </c>
      <c r="D273" s="16" t="s">
        <v>112</v>
      </c>
      <c r="E273" s="16" t="s">
        <v>1798</v>
      </c>
      <c r="F273" s="16" t="s">
        <v>1543</v>
      </c>
      <c r="G273" s="16" t="s">
        <v>159</v>
      </c>
      <c r="H273" s="23">
        <v>1.0</v>
      </c>
      <c r="I273" s="23">
        <v>141.18</v>
      </c>
      <c r="J273" s="23">
        <v>141.18</v>
      </c>
      <c r="K273" s="16" t="s">
        <v>155</v>
      </c>
      <c r="L273" s="23">
        <v>1.0</v>
      </c>
      <c r="M273" s="23">
        <v>141.18</v>
      </c>
      <c r="N273" s="23">
        <v>141.18</v>
      </c>
      <c r="O273" s="16" t="s">
        <v>230</v>
      </c>
      <c r="P273" s="23">
        <v>1.0</v>
      </c>
      <c r="Q273" s="23">
        <v>141.19</v>
      </c>
      <c r="R273" s="23">
        <v>141.19</v>
      </c>
      <c r="V273" s="23">
        <v>0.0</v>
      </c>
      <c r="Z273" s="23">
        <v>0.0</v>
      </c>
      <c r="AD273" s="23">
        <v>0.0</v>
      </c>
      <c r="AH273" s="23">
        <v>0.0</v>
      </c>
      <c r="AL273" s="23">
        <v>0.0</v>
      </c>
      <c r="AP273" s="23">
        <v>0.0</v>
      </c>
      <c r="AT273" s="23">
        <v>0.0</v>
      </c>
      <c r="AX273" s="23">
        <v>0.0</v>
      </c>
      <c r="BF273" s="23">
        <v>0.0</v>
      </c>
      <c r="BJ273" s="23">
        <v>0.0</v>
      </c>
      <c r="BN273" s="23">
        <v>0.0</v>
      </c>
      <c r="BO273" s="23">
        <v>423.55</v>
      </c>
      <c r="BP273" s="16" t="s">
        <v>1800</v>
      </c>
      <c r="BQ273" s="16" t="b">
        <v>1</v>
      </c>
      <c r="BR273" s="23">
        <v>423.55</v>
      </c>
      <c r="BS273" s="23">
        <v>851010.0</v>
      </c>
      <c r="BT273" s="16" t="b">
        <v>1</v>
      </c>
      <c r="BU273" s="16" t="s">
        <v>546</v>
      </c>
    </row>
    <row r="274">
      <c r="A274" s="16" t="s">
        <v>1805</v>
      </c>
      <c r="B274" s="16" t="s">
        <v>35</v>
      </c>
      <c r="C274" s="22">
        <v>45388.0</v>
      </c>
      <c r="D274" s="16" t="s">
        <v>1807</v>
      </c>
      <c r="E274" s="16" t="s">
        <v>1809</v>
      </c>
      <c r="F274" s="16" t="s">
        <v>528</v>
      </c>
      <c r="G274" s="16" t="s">
        <v>305</v>
      </c>
      <c r="H274" s="23">
        <v>1.0</v>
      </c>
      <c r="I274" s="23">
        <v>110.51</v>
      </c>
      <c r="J274" s="23">
        <v>110.51</v>
      </c>
      <c r="N274" s="23">
        <v>0.0</v>
      </c>
      <c r="R274" s="23">
        <v>0.0</v>
      </c>
      <c r="V274" s="23">
        <v>0.0</v>
      </c>
      <c r="Z274" s="23">
        <v>0.0</v>
      </c>
      <c r="AD274" s="23">
        <v>0.0</v>
      </c>
      <c r="AH274" s="23">
        <v>0.0</v>
      </c>
      <c r="AL274" s="23">
        <v>0.0</v>
      </c>
      <c r="AP274" s="23">
        <v>0.0</v>
      </c>
      <c r="AT274" s="23">
        <v>0.0</v>
      </c>
      <c r="AX274" s="23">
        <v>0.0</v>
      </c>
      <c r="BF274" s="23">
        <v>0.0</v>
      </c>
      <c r="BJ274" s="23">
        <v>0.0</v>
      </c>
      <c r="BN274" s="23">
        <v>0.0</v>
      </c>
      <c r="BO274" s="23">
        <v>110.51</v>
      </c>
      <c r="BP274" s="16" t="s">
        <v>1810</v>
      </c>
      <c r="BQ274" s="16" t="b">
        <v>1</v>
      </c>
      <c r="BR274" s="23">
        <v>110.51</v>
      </c>
      <c r="BT274" s="16" t="b">
        <v>0</v>
      </c>
      <c r="BU274" s="16" t="s">
        <v>546</v>
      </c>
    </row>
    <row r="275">
      <c r="A275" s="16" t="s">
        <v>1812</v>
      </c>
      <c r="B275" s="16" t="s">
        <v>35</v>
      </c>
      <c r="C275" s="22">
        <v>45389.0</v>
      </c>
      <c r="D275" s="16" t="s">
        <v>1813</v>
      </c>
      <c r="E275" s="16" t="s">
        <v>1815</v>
      </c>
      <c r="F275" s="16" t="s">
        <v>1817</v>
      </c>
      <c r="G275" s="16" t="s">
        <v>305</v>
      </c>
      <c r="H275" s="23">
        <v>1.0</v>
      </c>
      <c r="I275" s="23">
        <v>23.97</v>
      </c>
      <c r="J275" s="23">
        <v>23.97</v>
      </c>
      <c r="N275" s="23">
        <v>0.0</v>
      </c>
      <c r="R275" s="23">
        <v>0.0</v>
      </c>
      <c r="V275" s="23">
        <v>0.0</v>
      </c>
      <c r="Z275" s="23">
        <v>0.0</v>
      </c>
      <c r="AD275" s="23">
        <v>0.0</v>
      </c>
      <c r="AH275" s="23">
        <v>0.0</v>
      </c>
      <c r="AL275" s="23">
        <v>0.0</v>
      </c>
      <c r="AP275" s="23">
        <v>0.0</v>
      </c>
      <c r="AT275" s="23">
        <v>0.0</v>
      </c>
      <c r="AX275" s="23">
        <v>0.0</v>
      </c>
      <c r="BF275" s="23">
        <v>0.0</v>
      </c>
      <c r="BJ275" s="23">
        <v>0.0</v>
      </c>
      <c r="BN275" s="23">
        <v>0.0</v>
      </c>
      <c r="BO275" s="23">
        <v>23.97</v>
      </c>
      <c r="BP275" s="16" t="s">
        <v>1816</v>
      </c>
      <c r="BQ275" s="16" t="b">
        <v>1</v>
      </c>
      <c r="BR275" s="23">
        <v>23.97</v>
      </c>
      <c r="BT275" s="16" t="b">
        <v>0</v>
      </c>
      <c r="BU275" s="16" t="s">
        <v>546</v>
      </c>
    </row>
    <row r="276">
      <c r="A276" s="16" t="s">
        <v>1818</v>
      </c>
      <c r="B276" s="16" t="s">
        <v>35</v>
      </c>
      <c r="C276" s="22">
        <v>45392.0</v>
      </c>
      <c r="D276" s="16" t="s">
        <v>112</v>
      </c>
      <c r="E276" s="16" t="s">
        <v>1820</v>
      </c>
      <c r="F276" s="16" t="s">
        <v>157</v>
      </c>
      <c r="G276" s="16" t="s">
        <v>226</v>
      </c>
      <c r="H276" s="23">
        <v>6.0</v>
      </c>
      <c r="I276" s="23">
        <v>7.5</v>
      </c>
      <c r="J276" s="23">
        <v>45.0</v>
      </c>
      <c r="K276" s="16" t="s">
        <v>152</v>
      </c>
      <c r="L276" s="23">
        <v>1.0</v>
      </c>
      <c r="M276" s="23">
        <v>7.7</v>
      </c>
      <c r="N276" s="23">
        <v>7.7</v>
      </c>
      <c r="O276" s="16" t="s">
        <v>230</v>
      </c>
      <c r="P276" s="23">
        <v>3.0</v>
      </c>
      <c r="Q276" s="23">
        <v>23.0</v>
      </c>
      <c r="R276" s="23">
        <v>69.0</v>
      </c>
      <c r="S276" s="16" t="s">
        <v>155</v>
      </c>
      <c r="T276" s="23">
        <v>1.0</v>
      </c>
      <c r="U276" s="23">
        <v>59.13</v>
      </c>
      <c r="V276" s="23">
        <v>59.13</v>
      </c>
      <c r="Z276" s="23">
        <v>0.0</v>
      </c>
      <c r="AD276" s="23">
        <v>0.0</v>
      </c>
      <c r="AH276" s="23">
        <v>0.0</v>
      </c>
      <c r="AL276" s="23">
        <v>0.0</v>
      </c>
      <c r="AP276" s="23">
        <v>0.0</v>
      </c>
      <c r="AT276" s="23">
        <v>0.0</v>
      </c>
      <c r="AX276" s="23">
        <v>0.0</v>
      </c>
      <c r="BF276" s="23">
        <v>0.0</v>
      </c>
      <c r="BJ276" s="23">
        <v>0.0</v>
      </c>
      <c r="BN276" s="23">
        <v>0.0</v>
      </c>
      <c r="BO276" s="23">
        <v>180.83</v>
      </c>
      <c r="BP276" s="16" t="s">
        <v>1821</v>
      </c>
      <c r="BQ276" s="16" t="b">
        <v>1</v>
      </c>
      <c r="BR276" s="23">
        <v>180.83</v>
      </c>
      <c r="BS276" s="16" t="s">
        <v>1823</v>
      </c>
      <c r="BT276" s="16" t="b">
        <v>1</v>
      </c>
      <c r="BU276" s="16" t="s">
        <v>546</v>
      </c>
    </row>
    <row r="277">
      <c r="A277" s="16" t="s">
        <v>1824</v>
      </c>
      <c r="B277" s="16" t="s">
        <v>35</v>
      </c>
      <c r="C277" s="22">
        <v>45393.0</v>
      </c>
      <c r="D277" s="16" t="s">
        <v>764</v>
      </c>
      <c r="E277" s="16" t="s">
        <v>1826</v>
      </c>
      <c r="F277" s="16" t="s">
        <v>767</v>
      </c>
      <c r="G277" s="16" t="s">
        <v>1085</v>
      </c>
      <c r="H277" s="23">
        <v>1.0</v>
      </c>
      <c r="I277" s="23">
        <v>148.29</v>
      </c>
      <c r="J277" s="23">
        <v>148.29</v>
      </c>
      <c r="K277" s="16" t="s">
        <v>1074</v>
      </c>
      <c r="L277" s="23">
        <v>1.0</v>
      </c>
      <c r="M277" s="23">
        <v>148.28</v>
      </c>
      <c r="N277" s="23">
        <v>148.28</v>
      </c>
      <c r="O277" s="16" t="s">
        <v>1384</v>
      </c>
      <c r="P277" s="23">
        <v>1.0</v>
      </c>
      <c r="Q277" s="23">
        <v>148.28</v>
      </c>
      <c r="R277" s="23">
        <v>148.28</v>
      </c>
      <c r="S277" s="16" t="s">
        <v>1404</v>
      </c>
      <c r="T277" s="23">
        <v>2.0</v>
      </c>
      <c r="U277" s="23">
        <v>148.28</v>
      </c>
      <c r="V277" s="23">
        <v>296.56</v>
      </c>
      <c r="W277" s="16" t="s">
        <v>1387</v>
      </c>
      <c r="X277" s="23">
        <v>1.0</v>
      </c>
      <c r="Y277" s="23">
        <v>148.28</v>
      </c>
      <c r="Z277" s="23">
        <v>148.28</v>
      </c>
      <c r="AA277" s="16" t="s">
        <v>1075</v>
      </c>
      <c r="AB277" s="23">
        <v>1.0</v>
      </c>
      <c r="AC277" s="23">
        <v>148.31</v>
      </c>
      <c r="AD277" s="23">
        <v>148.31</v>
      </c>
      <c r="AH277" s="23">
        <v>0.0</v>
      </c>
      <c r="AL277" s="23">
        <v>0.0</v>
      </c>
      <c r="AP277" s="23">
        <v>0.0</v>
      </c>
      <c r="AT277" s="23">
        <v>0.0</v>
      </c>
      <c r="AX277" s="23">
        <v>0.0</v>
      </c>
      <c r="BF277" s="23">
        <v>0.0</v>
      </c>
      <c r="BJ277" s="23">
        <v>0.0</v>
      </c>
      <c r="BN277" s="23">
        <v>0.0</v>
      </c>
      <c r="BO277" s="23">
        <v>1038.0</v>
      </c>
      <c r="BP277" s="16" t="s">
        <v>1827</v>
      </c>
      <c r="BQ277" s="16" t="b">
        <v>1</v>
      </c>
      <c r="BR277" s="23">
        <v>1038.0</v>
      </c>
      <c r="BT277" s="16" t="b">
        <v>0</v>
      </c>
      <c r="BU277" s="16" t="s">
        <v>546</v>
      </c>
    </row>
    <row r="278">
      <c r="A278" s="16" t="s">
        <v>1831</v>
      </c>
      <c r="B278" s="16" t="s">
        <v>35</v>
      </c>
      <c r="C278" s="22">
        <v>45393.0</v>
      </c>
      <c r="D278" s="16" t="s">
        <v>1160</v>
      </c>
      <c r="F278" s="16" t="s">
        <v>1832</v>
      </c>
      <c r="G278" s="16" t="s">
        <v>1653</v>
      </c>
      <c r="H278" s="16">
        <v>1.0</v>
      </c>
      <c r="I278" s="23">
        <v>225.0</v>
      </c>
      <c r="J278" s="23">
        <v>225.0</v>
      </c>
      <c r="BO278" s="23">
        <v>225.0</v>
      </c>
      <c r="BR278" s="23">
        <v>225.0</v>
      </c>
      <c r="BU278" s="16" t="s">
        <v>539</v>
      </c>
    </row>
    <row r="279">
      <c r="A279" s="16" t="s">
        <v>1834</v>
      </c>
      <c r="B279" s="16" t="s">
        <v>35</v>
      </c>
      <c r="C279" s="22">
        <v>45393.0</v>
      </c>
      <c r="D279" s="16" t="s">
        <v>460</v>
      </c>
      <c r="F279" s="16" t="s">
        <v>1835</v>
      </c>
      <c r="G279" s="16" t="s">
        <v>1079</v>
      </c>
      <c r="H279" s="16">
        <v>1.0</v>
      </c>
      <c r="I279" s="23">
        <v>225.52</v>
      </c>
      <c r="J279" s="23">
        <v>225.52</v>
      </c>
      <c r="BO279" s="23">
        <v>225.52</v>
      </c>
      <c r="BR279" s="23">
        <v>225.52</v>
      </c>
      <c r="BU279" s="16" t="s">
        <v>539</v>
      </c>
    </row>
    <row r="280">
      <c r="A280" s="16" t="s">
        <v>1837</v>
      </c>
      <c r="B280" s="16" t="s">
        <v>35</v>
      </c>
      <c r="C280" s="22">
        <v>45394.0</v>
      </c>
      <c r="D280" s="16" t="s">
        <v>1281</v>
      </c>
      <c r="E280" s="16" t="s">
        <v>1838</v>
      </c>
      <c r="F280" s="16" t="s">
        <v>1841</v>
      </c>
      <c r="G280" s="16" t="s">
        <v>2622</v>
      </c>
      <c r="H280" s="23">
        <v>1.0</v>
      </c>
      <c r="I280" s="23">
        <v>27.0</v>
      </c>
      <c r="J280" s="23">
        <v>27.0</v>
      </c>
      <c r="N280" s="23">
        <v>0.0</v>
      </c>
      <c r="R280" s="23">
        <v>0.0</v>
      </c>
      <c r="V280" s="23">
        <v>0.0</v>
      </c>
      <c r="Z280" s="23">
        <v>0.0</v>
      </c>
      <c r="AD280" s="23">
        <v>0.0</v>
      </c>
      <c r="AH280" s="23">
        <v>0.0</v>
      </c>
      <c r="AL280" s="23">
        <v>0.0</v>
      </c>
      <c r="AP280" s="23">
        <v>0.0</v>
      </c>
      <c r="AT280" s="23">
        <v>0.0</v>
      </c>
      <c r="AX280" s="23">
        <v>0.0</v>
      </c>
      <c r="BF280" s="23">
        <v>0.0</v>
      </c>
      <c r="BJ280" s="23">
        <v>0.0</v>
      </c>
      <c r="BN280" s="23">
        <v>0.0</v>
      </c>
      <c r="BO280" s="23">
        <v>27.0</v>
      </c>
      <c r="BP280" s="16" t="s">
        <v>1840</v>
      </c>
      <c r="BQ280" s="16" t="b">
        <v>1</v>
      </c>
      <c r="BR280" s="23">
        <v>27.0</v>
      </c>
      <c r="BS280" s="23">
        <v>857431.0</v>
      </c>
      <c r="BT280" s="16" t="b">
        <v>1</v>
      </c>
      <c r="BU280" s="16" t="s">
        <v>546</v>
      </c>
    </row>
    <row r="281">
      <c r="A281" s="16" t="s">
        <v>1843</v>
      </c>
      <c r="B281" s="16" t="s">
        <v>35</v>
      </c>
      <c r="C281" s="22">
        <v>45394.0</v>
      </c>
      <c r="D281" s="16" t="s">
        <v>543</v>
      </c>
      <c r="E281" s="16" t="s">
        <v>1844</v>
      </c>
      <c r="F281" s="16" t="s">
        <v>415</v>
      </c>
      <c r="G281" s="16">
        <v>1.2539885E7</v>
      </c>
      <c r="H281" s="23">
        <v>1.0</v>
      </c>
      <c r="I281" s="23">
        <v>500.0</v>
      </c>
      <c r="J281" s="23">
        <v>500.0</v>
      </c>
      <c r="N281" s="23">
        <v>0.0</v>
      </c>
      <c r="R281" s="23">
        <v>0.0</v>
      </c>
      <c r="V281" s="23">
        <v>0.0</v>
      </c>
      <c r="Z281" s="23">
        <v>0.0</v>
      </c>
      <c r="AD281" s="23">
        <v>0.0</v>
      </c>
      <c r="AH281" s="23">
        <v>0.0</v>
      </c>
      <c r="AL281" s="23">
        <v>0.0</v>
      </c>
      <c r="AP281" s="23">
        <v>0.0</v>
      </c>
      <c r="AT281" s="23">
        <v>0.0</v>
      </c>
      <c r="AX281" s="23">
        <v>0.0</v>
      </c>
      <c r="BF281" s="23">
        <v>0.0</v>
      </c>
      <c r="BJ281" s="23">
        <v>0.0</v>
      </c>
      <c r="BN281" s="23">
        <v>0.0</v>
      </c>
      <c r="BO281" s="23">
        <v>500.0</v>
      </c>
      <c r="BP281" s="16" t="s">
        <v>1846</v>
      </c>
      <c r="BQ281" s="16" t="b">
        <v>1</v>
      </c>
      <c r="BR281" s="23">
        <v>500.0</v>
      </c>
      <c r="BT281" s="16" t="b">
        <v>0</v>
      </c>
      <c r="BU281" s="16" t="s">
        <v>546</v>
      </c>
    </row>
    <row r="282">
      <c r="A282" s="16" t="s">
        <v>1849</v>
      </c>
      <c r="B282" s="16" t="s">
        <v>35</v>
      </c>
      <c r="C282" s="22">
        <v>45394.0</v>
      </c>
      <c r="D282" s="16" t="s">
        <v>112</v>
      </c>
      <c r="E282" s="16" t="s">
        <v>1851</v>
      </c>
      <c r="F282" s="16" t="s">
        <v>45</v>
      </c>
      <c r="G282" s="16" t="s">
        <v>159</v>
      </c>
      <c r="H282" s="23">
        <v>15.0</v>
      </c>
      <c r="I282" s="23">
        <v>12.0</v>
      </c>
      <c r="J282" s="23">
        <v>180.0</v>
      </c>
      <c r="K282" s="16" t="s">
        <v>155</v>
      </c>
      <c r="L282" s="23">
        <v>5.5</v>
      </c>
      <c r="M282" s="23">
        <v>6.5</v>
      </c>
      <c r="N282" s="23">
        <v>35.75</v>
      </c>
      <c r="O282" s="16" t="s">
        <v>230</v>
      </c>
      <c r="P282" s="23">
        <v>1.0</v>
      </c>
      <c r="Q282" s="23">
        <v>114.4</v>
      </c>
      <c r="R282" s="23">
        <v>114.4</v>
      </c>
      <c r="S282" s="16" t="s">
        <v>152</v>
      </c>
      <c r="T282" s="23">
        <v>1.0</v>
      </c>
      <c r="U282" s="23">
        <v>11.55</v>
      </c>
      <c r="V282" s="23">
        <v>11.55</v>
      </c>
      <c r="W282" s="16" t="s">
        <v>226</v>
      </c>
      <c r="X282" s="23">
        <v>10.0</v>
      </c>
      <c r="Y282" s="23">
        <v>7.5</v>
      </c>
      <c r="Z282" s="23">
        <v>75.0</v>
      </c>
      <c r="AD282" s="23">
        <v>0.0</v>
      </c>
      <c r="AH282" s="23">
        <v>0.0</v>
      </c>
      <c r="AL282" s="23">
        <v>0.0</v>
      </c>
      <c r="AP282" s="23">
        <v>0.0</v>
      </c>
      <c r="AT282" s="23">
        <v>0.0</v>
      </c>
      <c r="AX282" s="23">
        <v>0.0</v>
      </c>
      <c r="BF282" s="23">
        <v>0.0</v>
      </c>
      <c r="BJ282" s="23">
        <v>0.0</v>
      </c>
      <c r="BN282" s="23">
        <v>0.0</v>
      </c>
      <c r="BO282" s="23">
        <v>416.7</v>
      </c>
      <c r="BP282" s="16" t="s">
        <v>1853</v>
      </c>
      <c r="BQ282" s="16" t="b">
        <v>1</v>
      </c>
      <c r="BR282" s="23">
        <v>416.7</v>
      </c>
      <c r="BS282" s="23">
        <v>855597.0</v>
      </c>
      <c r="BT282" s="16" t="b">
        <v>1</v>
      </c>
      <c r="BU282" s="16" t="s">
        <v>546</v>
      </c>
    </row>
    <row r="283">
      <c r="A283" s="16" t="s">
        <v>1856</v>
      </c>
      <c r="B283" s="16" t="s">
        <v>35</v>
      </c>
      <c r="C283" s="22">
        <v>45394.0</v>
      </c>
      <c r="D283" s="16" t="s">
        <v>404</v>
      </c>
      <c r="E283" s="16" t="s">
        <v>1858</v>
      </c>
      <c r="F283" s="16" t="s">
        <v>1860</v>
      </c>
      <c r="G283" s="16" t="s">
        <v>305</v>
      </c>
      <c r="H283" s="23">
        <v>1.0</v>
      </c>
      <c r="I283" s="23">
        <v>127.55</v>
      </c>
      <c r="J283" s="23">
        <v>127.55</v>
      </c>
      <c r="N283" s="23">
        <v>0.0</v>
      </c>
      <c r="R283" s="23">
        <v>0.0</v>
      </c>
      <c r="V283" s="23">
        <v>0.0</v>
      </c>
      <c r="Z283" s="23">
        <v>0.0</v>
      </c>
      <c r="AD283" s="23">
        <v>0.0</v>
      </c>
      <c r="AH283" s="23">
        <v>0.0</v>
      </c>
      <c r="AL283" s="23">
        <v>0.0</v>
      </c>
      <c r="AP283" s="23">
        <v>0.0</v>
      </c>
      <c r="AT283" s="23">
        <v>0.0</v>
      </c>
      <c r="AX283" s="23">
        <v>0.0</v>
      </c>
      <c r="BF283" s="23">
        <v>0.0</v>
      </c>
      <c r="BJ283" s="23">
        <v>0.0</v>
      </c>
      <c r="BN283" s="23">
        <v>0.0</v>
      </c>
      <c r="BO283" s="23">
        <v>127.55</v>
      </c>
      <c r="BP283" s="16" t="s">
        <v>1859</v>
      </c>
      <c r="BQ283" s="16" t="b">
        <v>1</v>
      </c>
      <c r="BR283" s="23">
        <v>127.55</v>
      </c>
      <c r="BT283" s="16" t="b">
        <v>0</v>
      </c>
      <c r="BU283" s="16" t="s">
        <v>546</v>
      </c>
    </row>
    <row r="284">
      <c r="A284" s="16" t="s">
        <v>1862</v>
      </c>
      <c r="B284" s="16" t="s">
        <v>35</v>
      </c>
      <c r="C284" s="22">
        <v>45397.0</v>
      </c>
      <c r="D284" s="16" t="s">
        <v>1864</v>
      </c>
      <c r="F284" s="16" t="s">
        <v>1866</v>
      </c>
      <c r="G284" s="16" t="s">
        <v>2662</v>
      </c>
      <c r="H284" s="16">
        <v>1.0</v>
      </c>
      <c r="I284" s="23">
        <v>405.58</v>
      </c>
      <c r="J284" s="23">
        <v>405.58</v>
      </c>
      <c r="BO284" s="23">
        <v>405.58</v>
      </c>
      <c r="BR284" s="23">
        <v>405.58</v>
      </c>
      <c r="BU284" s="16" t="s">
        <v>539</v>
      </c>
    </row>
    <row r="285">
      <c r="A285" s="16" t="s">
        <v>1868</v>
      </c>
      <c r="B285" s="16" t="s">
        <v>35</v>
      </c>
      <c r="C285" s="22">
        <v>45397.0</v>
      </c>
      <c r="D285" s="16" t="s">
        <v>112</v>
      </c>
      <c r="E285" s="16" t="s">
        <v>1869</v>
      </c>
      <c r="F285" s="16" t="s">
        <v>792</v>
      </c>
      <c r="G285" s="16" t="s">
        <v>159</v>
      </c>
      <c r="H285" s="23">
        <v>10.0</v>
      </c>
      <c r="I285" s="23">
        <v>13.9</v>
      </c>
      <c r="J285" s="23">
        <v>139.0</v>
      </c>
      <c r="K285" s="16" t="s">
        <v>155</v>
      </c>
      <c r="L285" s="23">
        <v>5.0</v>
      </c>
      <c r="M285" s="23">
        <v>7.0</v>
      </c>
      <c r="N285" s="23">
        <v>35.0</v>
      </c>
      <c r="O285" s="16" t="s">
        <v>230</v>
      </c>
      <c r="P285" s="23">
        <v>1.0</v>
      </c>
      <c r="Q285" s="23">
        <v>126.15</v>
      </c>
      <c r="R285" s="23">
        <v>126.15</v>
      </c>
      <c r="S285" s="16" t="s">
        <v>152</v>
      </c>
      <c r="T285" s="23">
        <v>1.0</v>
      </c>
      <c r="U285" s="23">
        <v>9.9</v>
      </c>
      <c r="V285" s="23">
        <v>9.9</v>
      </c>
      <c r="W285" s="16" t="s">
        <v>226</v>
      </c>
      <c r="X285" s="23">
        <v>1.0</v>
      </c>
      <c r="Y285" s="23">
        <v>37.5</v>
      </c>
      <c r="Z285" s="23">
        <v>37.5</v>
      </c>
      <c r="AD285" s="23">
        <v>0.0</v>
      </c>
      <c r="AH285" s="23">
        <v>0.0</v>
      </c>
      <c r="AL285" s="23">
        <v>0.0</v>
      </c>
      <c r="AP285" s="23">
        <v>0.0</v>
      </c>
      <c r="AT285" s="23">
        <v>0.0</v>
      </c>
      <c r="AX285" s="23">
        <v>0.0</v>
      </c>
      <c r="BF285" s="23">
        <v>0.0</v>
      </c>
      <c r="BJ285" s="23">
        <v>0.0</v>
      </c>
      <c r="BN285" s="23">
        <v>0.0</v>
      </c>
      <c r="BO285" s="23">
        <v>347.55</v>
      </c>
      <c r="BP285" s="16" t="s">
        <v>1870</v>
      </c>
      <c r="BQ285" s="16" t="b">
        <v>1</v>
      </c>
      <c r="BR285" s="23">
        <v>347.55</v>
      </c>
      <c r="BS285" s="22">
        <v>45397.0</v>
      </c>
      <c r="BT285" s="16" t="b">
        <v>1</v>
      </c>
      <c r="BU285" s="16" t="s">
        <v>546</v>
      </c>
    </row>
    <row r="286">
      <c r="A286" s="16" t="s">
        <v>1872</v>
      </c>
      <c r="B286" s="16" t="s">
        <v>35</v>
      </c>
      <c r="C286" s="22">
        <v>45397.0</v>
      </c>
      <c r="D286" s="16" t="s">
        <v>1414</v>
      </c>
      <c r="E286" s="16" t="s">
        <v>1873</v>
      </c>
      <c r="F286" s="16" t="s">
        <v>1876</v>
      </c>
      <c r="G286" s="16" t="s">
        <v>1757</v>
      </c>
      <c r="H286" s="23">
        <v>1.0</v>
      </c>
      <c r="I286" s="23">
        <v>50.0</v>
      </c>
      <c r="J286" s="23">
        <v>50.0</v>
      </c>
      <c r="N286" s="23">
        <v>0.0</v>
      </c>
      <c r="R286" s="23">
        <v>0.0</v>
      </c>
      <c r="V286" s="23">
        <v>0.0</v>
      </c>
      <c r="Z286" s="23">
        <v>0.0</v>
      </c>
      <c r="AD286" s="23">
        <v>0.0</v>
      </c>
      <c r="AH286" s="23">
        <v>0.0</v>
      </c>
      <c r="AL286" s="23">
        <v>0.0</v>
      </c>
      <c r="AP286" s="23">
        <v>0.0</v>
      </c>
      <c r="AT286" s="23">
        <v>0.0</v>
      </c>
      <c r="AX286" s="23">
        <v>0.0</v>
      </c>
      <c r="BF286" s="23">
        <v>0.0</v>
      </c>
      <c r="BJ286" s="23">
        <v>0.0</v>
      </c>
      <c r="BN286" s="23">
        <v>0.0</v>
      </c>
      <c r="BO286" s="23">
        <v>50.0</v>
      </c>
      <c r="BP286" s="16" t="s">
        <v>1874</v>
      </c>
      <c r="BQ286" s="16" t="b">
        <v>1</v>
      </c>
      <c r="BR286" s="23">
        <v>50.0</v>
      </c>
      <c r="BS286" s="22">
        <v>45397.0</v>
      </c>
      <c r="BT286" s="16" t="b">
        <v>1</v>
      </c>
      <c r="BU286" s="16" t="s">
        <v>546</v>
      </c>
    </row>
    <row r="287">
      <c r="A287" s="16" t="s">
        <v>1877</v>
      </c>
      <c r="B287" s="16" t="s">
        <v>35</v>
      </c>
      <c r="C287" s="22">
        <v>45399.0</v>
      </c>
      <c r="D287" s="16" t="s">
        <v>543</v>
      </c>
      <c r="E287" s="16" t="s">
        <v>1879</v>
      </c>
      <c r="F287" s="16" t="s">
        <v>1774</v>
      </c>
      <c r="G287" s="16">
        <v>1.2539885E7</v>
      </c>
      <c r="H287" s="23">
        <v>1.0</v>
      </c>
      <c r="I287" s="23">
        <v>500.0</v>
      </c>
      <c r="J287" s="23">
        <v>500.0</v>
      </c>
      <c r="N287" s="23">
        <v>0.0</v>
      </c>
      <c r="R287" s="23">
        <v>0.0</v>
      </c>
      <c r="V287" s="23">
        <v>0.0</v>
      </c>
      <c r="Z287" s="23">
        <v>0.0</v>
      </c>
      <c r="AD287" s="23">
        <v>0.0</v>
      </c>
      <c r="AH287" s="23">
        <v>0.0</v>
      </c>
      <c r="AL287" s="23">
        <v>0.0</v>
      </c>
      <c r="AP287" s="23">
        <v>0.0</v>
      </c>
      <c r="AT287" s="23">
        <v>0.0</v>
      </c>
      <c r="AX287" s="23">
        <v>0.0</v>
      </c>
      <c r="BF287" s="23">
        <v>0.0</v>
      </c>
      <c r="BJ287" s="23">
        <v>0.0</v>
      </c>
      <c r="BN287" s="23">
        <v>0.0</v>
      </c>
      <c r="BO287" s="23">
        <v>500.0</v>
      </c>
      <c r="BP287" s="16" t="s">
        <v>1880</v>
      </c>
      <c r="BQ287" s="16" t="b">
        <v>1</v>
      </c>
      <c r="BR287" s="23">
        <v>500.0</v>
      </c>
      <c r="BS287" s="23">
        <v>861402.0</v>
      </c>
      <c r="BT287" s="16" t="b">
        <v>1</v>
      </c>
      <c r="BU287" s="16" t="s">
        <v>546</v>
      </c>
    </row>
    <row r="288">
      <c r="A288" s="16" t="s">
        <v>1883</v>
      </c>
      <c r="B288" s="16" t="s">
        <v>35</v>
      </c>
      <c r="C288" s="22">
        <v>45400.0</v>
      </c>
      <c r="D288" s="16" t="s">
        <v>1884</v>
      </c>
      <c r="E288" s="16" t="s">
        <v>1885</v>
      </c>
      <c r="F288" s="16" t="s">
        <v>1888</v>
      </c>
      <c r="G288" s="16" t="s">
        <v>2692</v>
      </c>
      <c r="H288" s="23">
        <v>1.0</v>
      </c>
      <c r="I288" s="23">
        <v>100.0</v>
      </c>
      <c r="J288" s="23">
        <v>100.0</v>
      </c>
      <c r="N288" s="23">
        <v>0.0</v>
      </c>
      <c r="R288" s="23">
        <v>0.0</v>
      </c>
      <c r="V288" s="23">
        <v>0.0</v>
      </c>
      <c r="Z288" s="23">
        <v>0.0</v>
      </c>
      <c r="AD288" s="23">
        <v>0.0</v>
      </c>
      <c r="AH288" s="23">
        <v>0.0</v>
      </c>
      <c r="AL288" s="23">
        <v>0.0</v>
      </c>
      <c r="AP288" s="23">
        <v>0.0</v>
      </c>
      <c r="AT288" s="23">
        <v>0.0</v>
      </c>
      <c r="AX288" s="23">
        <v>0.0</v>
      </c>
      <c r="BF288" s="23">
        <v>0.0</v>
      </c>
      <c r="BJ288" s="23">
        <v>0.0</v>
      </c>
      <c r="BN288" s="23">
        <v>0.0</v>
      </c>
      <c r="BO288" s="23">
        <v>100.0</v>
      </c>
      <c r="BP288" s="16" t="s">
        <v>1887</v>
      </c>
      <c r="BQ288" s="16" t="b">
        <v>1</v>
      </c>
      <c r="BR288" s="23">
        <v>100.0</v>
      </c>
      <c r="BT288" s="16" t="b">
        <v>0</v>
      </c>
      <c r="BU288" s="16" t="s">
        <v>546</v>
      </c>
    </row>
    <row r="289">
      <c r="A289" s="16" t="s">
        <v>1890</v>
      </c>
      <c r="B289" s="16" t="s">
        <v>35</v>
      </c>
      <c r="C289" s="22">
        <v>45400.0</v>
      </c>
      <c r="D289" s="16" t="s">
        <v>112</v>
      </c>
      <c r="E289" s="16" t="s">
        <v>1892</v>
      </c>
      <c r="F289" s="16" t="s">
        <v>1894</v>
      </c>
      <c r="G289" s="16" t="s">
        <v>159</v>
      </c>
      <c r="H289" s="23">
        <v>5.0</v>
      </c>
      <c r="I289" s="23">
        <v>13.5</v>
      </c>
      <c r="J289" s="23">
        <v>67.5</v>
      </c>
      <c r="K289" s="16" t="s">
        <v>155</v>
      </c>
      <c r="L289" s="23">
        <v>1.0</v>
      </c>
      <c r="M289" s="23">
        <v>71.2</v>
      </c>
      <c r="N289" s="23">
        <v>71.2</v>
      </c>
      <c r="O289" s="16" t="s">
        <v>230</v>
      </c>
      <c r="P289" s="23">
        <v>1.0</v>
      </c>
      <c r="Q289" s="23">
        <v>158.6</v>
      </c>
      <c r="R289" s="23">
        <v>158.6</v>
      </c>
      <c r="S289" s="16" t="s">
        <v>152</v>
      </c>
      <c r="T289" s="23">
        <v>1.0</v>
      </c>
      <c r="U289" s="23">
        <v>3.7</v>
      </c>
      <c r="V289" s="23">
        <v>3.7</v>
      </c>
      <c r="W289" s="16" t="s">
        <v>226</v>
      </c>
      <c r="X289" s="23">
        <v>15.0</v>
      </c>
      <c r="Y289" s="23">
        <v>7.5</v>
      </c>
      <c r="Z289" s="23">
        <v>112.5</v>
      </c>
      <c r="AD289" s="23">
        <v>0.0</v>
      </c>
      <c r="AH289" s="23">
        <v>0.0</v>
      </c>
      <c r="AL289" s="23">
        <v>0.0</v>
      </c>
      <c r="AP289" s="23">
        <v>0.0</v>
      </c>
      <c r="AT289" s="23">
        <v>0.0</v>
      </c>
      <c r="AX289" s="23">
        <v>0.0</v>
      </c>
      <c r="BF289" s="23">
        <v>0.0</v>
      </c>
      <c r="BJ289" s="23">
        <v>0.0</v>
      </c>
      <c r="BN289" s="23">
        <v>0.0</v>
      </c>
      <c r="BO289" s="23">
        <v>413.5</v>
      </c>
      <c r="BP289" s="16" t="s">
        <v>1893</v>
      </c>
      <c r="BQ289" s="16" t="b">
        <v>1</v>
      </c>
      <c r="BR289" s="23">
        <v>413.5</v>
      </c>
      <c r="BS289" s="23">
        <v>862434.0</v>
      </c>
      <c r="BT289" s="16" t="b">
        <v>1</v>
      </c>
      <c r="BU289" s="16" t="s">
        <v>546</v>
      </c>
    </row>
    <row r="290">
      <c r="A290" s="16" t="s">
        <v>1895</v>
      </c>
      <c r="B290" s="16" t="s">
        <v>35</v>
      </c>
      <c r="C290" s="22">
        <v>45399.0</v>
      </c>
      <c r="D290" s="16" t="s">
        <v>890</v>
      </c>
      <c r="E290" s="16" t="s">
        <v>1897</v>
      </c>
      <c r="F290" s="16" t="s">
        <v>1899</v>
      </c>
      <c r="G290" s="16" t="s">
        <v>1510</v>
      </c>
      <c r="H290" s="23">
        <v>1.0</v>
      </c>
      <c r="I290" s="23">
        <v>15389.41</v>
      </c>
      <c r="J290" s="23">
        <v>15389.41</v>
      </c>
      <c r="N290" s="23">
        <v>0.0</v>
      </c>
      <c r="R290" s="23">
        <v>0.0</v>
      </c>
      <c r="V290" s="23">
        <v>0.0</v>
      </c>
      <c r="Z290" s="23">
        <v>0.0</v>
      </c>
      <c r="AD290" s="23">
        <v>0.0</v>
      </c>
      <c r="AH290" s="23">
        <v>0.0</v>
      </c>
      <c r="AL290" s="23">
        <v>0.0</v>
      </c>
      <c r="AP290" s="23">
        <v>0.0</v>
      </c>
      <c r="AT290" s="23">
        <v>0.0</v>
      </c>
      <c r="AX290" s="23">
        <v>0.0</v>
      </c>
      <c r="BF290" s="23">
        <v>0.0</v>
      </c>
      <c r="BJ290" s="23">
        <v>0.0</v>
      </c>
      <c r="BN290" s="23">
        <v>0.0</v>
      </c>
      <c r="BO290" s="23">
        <v>15389.41</v>
      </c>
      <c r="BP290" s="16" t="s">
        <v>1898</v>
      </c>
      <c r="BQ290" s="16" t="b">
        <v>1</v>
      </c>
      <c r="BR290" s="23">
        <v>15389.41</v>
      </c>
      <c r="BT290" s="16" t="b">
        <v>0</v>
      </c>
      <c r="BU290" s="16" t="s">
        <v>546</v>
      </c>
    </row>
    <row r="291">
      <c r="A291" s="16" t="s">
        <v>1901</v>
      </c>
      <c r="B291" s="16" t="s">
        <v>35</v>
      </c>
      <c r="C291" s="22">
        <v>45404.0</v>
      </c>
      <c r="D291" s="16" t="s">
        <v>673</v>
      </c>
      <c r="F291" s="16" t="s">
        <v>1902</v>
      </c>
      <c r="G291" s="16" t="s">
        <v>2715</v>
      </c>
      <c r="H291" s="16">
        <v>1.0</v>
      </c>
      <c r="I291" s="23">
        <v>1299.91</v>
      </c>
      <c r="J291" s="23">
        <v>1299.91</v>
      </c>
      <c r="BO291" s="23">
        <v>1299.91</v>
      </c>
      <c r="BR291" s="23">
        <v>1299.91</v>
      </c>
      <c r="BU291" s="16" t="s">
        <v>539</v>
      </c>
    </row>
    <row r="292">
      <c r="A292" s="16" t="s">
        <v>1905</v>
      </c>
      <c r="B292" s="16" t="s">
        <v>35</v>
      </c>
      <c r="C292" s="22">
        <v>45404.0</v>
      </c>
      <c r="D292" s="16" t="s">
        <v>673</v>
      </c>
      <c r="F292" s="16" t="s">
        <v>1907</v>
      </c>
      <c r="G292" s="16" t="s">
        <v>2715</v>
      </c>
      <c r="H292" s="16">
        <v>1.0</v>
      </c>
      <c r="I292" s="23">
        <v>1299.91</v>
      </c>
      <c r="J292" s="23">
        <v>1299.91</v>
      </c>
      <c r="BO292" s="23">
        <v>1299.91</v>
      </c>
      <c r="BR292" s="23">
        <v>1299.91</v>
      </c>
      <c r="BU292" s="16" t="s">
        <v>539</v>
      </c>
    </row>
    <row r="293">
      <c r="A293" s="16" t="s">
        <v>1909</v>
      </c>
      <c r="B293" s="16" t="s">
        <v>35</v>
      </c>
      <c r="C293" s="22">
        <v>45401.0</v>
      </c>
      <c r="D293" s="16" t="s">
        <v>1911</v>
      </c>
      <c r="E293" s="16" t="s">
        <v>1912</v>
      </c>
      <c r="F293" s="16" t="s">
        <v>1915</v>
      </c>
      <c r="G293" s="16" t="s">
        <v>2725</v>
      </c>
      <c r="H293" s="23">
        <v>1.0</v>
      </c>
      <c r="I293" s="23">
        <v>74.27</v>
      </c>
      <c r="J293" s="23">
        <v>74.27</v>
      </c>
      <c r="N293" s="23">
        <v>0.0</v>
      </c>
      <c r="R293" s="23">
        <v>0.0</v>
      </c>
      <c r="V293" s="23">
        <v>0.0</v>
      </c>
      <c r="Z293" s="23">
        <v>0.0</v>
      </c>
      <c r="AD293" s="23">
        <v>0.0</v>
      </c>
      <c r="AH293" s="23">
        <v>0.0</v>
      </c>
      <c r="AL293" s="23">
        <v>0.0</v>
      </c>
      <c r="AP293" s="23">
        <v>0.0</v>
      </c>
      <c r="AT293" s="23">
        <v>0.0</v>
      </c>
      <c r="AX293" s="23">
        <v>0.0</v>
      </c>
      <c r="BF293" s="23">
        <v>0.0</v>
      </c>
      <c r="BJ293" s="23">
        <v>0.0</v>
      </c>
      <c r="BN293" s="23">
        <v>0.0</v>
      </c>
      <c r="BO293" s="23">
        <v>74.27</v>
      </c>
      <c r="BP293" s="16" t="s">
        <v>1913</v>
      </c>
      <c r="BQ293" s="16" t="b">
        <v>1</v>
      </c>
      <c r="BR293" s="23">
        <v>74.27</v>
      </c>
      <c r="BS293" s="23">
        <v>863434.0</v>
      </c>
      <c r="BT293" s="16" t="b">
        <v>1</v>
      </c>
      <c r="BU293" s="16" t="s">
        <v>546</v>
      </c>
    </row>
    <row r="294">
      <c r="A294" s="16" t="s">
        <v>1916</v>
      </c>
      <c r="B294" s="16" t="s">
        <v>35</v>
      </c>
      <c r="C294" s="22">
        <v>45401.0</v>
      </c>
      <c r="D294" s="16" t="s">
        <v>1918</v>
      </c>
      <c r="E294" s="16" t="s">
        <v>1919</v>
      </c>
      <c r="F294" s="16" t="s">
        <v>1922</v>
      </c>
      <c r="G294" s="16" t="s">
        <v>2735</v>
      </c>
      <c r="H294" s="23">
        <v>1.0</v>
      </c>
      <c r="I294" s="23">
        <v>55.0</v>
      </c>
      <c r="J294" s="23">
        <v>55.0</v>
      </c>
      <c r="N294" s="23">
        <v>0.0</v>
      </c>
      <c r="R294" s="23">
        <v>0.0</v>
      </c>
      <c r="V294" s="23">
        <v>0.0</v>
      </c>
      <c r="Z294" s="23">
        <v>0.0</v>
      </c>
      <c r="AD294" s="23">
        <v>0.0</v>
      </c>
      <c r="AH294" s="23">
        <v>0.0</v>
      </c>
      <c r="AL294" s="23">
        <v>0.0</v>
      </c>
      <c r="AP294" s="23">
        <v>0.0</v>
      </c>
      <c r="AT294" s="23">
        <v>0.0</v>
      </c>
      <c r="AX294" s="23">
        <v>0.0</v>
      </c>
      <c r="BF294" s="23">
        <v>0.0</v>
      </c>
      <c r="BJ294" s="23">
        <v>0.0</v>
      </c>
      <c r="BN294" s="23">
        <v>0.0</v>
      </c>
      <c r="BO294" s="23">
        <v>55.0</v>
      </c>
      <c r="BP294" s="16" t="s">
        <v>1920</v>
      </c>
      <c r="BQ294" s="16" t="b">
        <v>1</v>
      </c>
      <c r="BR294" s="23">
        <v>55.0</v>
      </c>
      <c r="BS294" s="23">
        <v>863439.0</v>
      </c>
      <c r="BT294" s="16" t="b">
        <v>1</v>
      </c>
      <c r="BU294" s="16" t="s">
        <v>546</v>
      </c>
    </row>
    <row r="295">
      <c r="A295" s="16" t="s">
        <v>1925</v>
      </c>
      <c r="B295" s="16" t="s">
        <v>35</v>
      </c>
      <c r="C295" s="22">
        <v>45401.0</v>
      </c>
      <c r="D295" s="16" t="s">
        <v>175</v>
      </c>
      <c r="E295" s="16" t="s">
        <v>1926</v>
      </c>
      <c r="F295" s="16" t="s">
        <v>1929</v>
      </c>
      <c r="G295" s="16" t="s">
        <v>305</v>
      </c>
      <c r="H295" s="23">
        <v>1.0</v>
      </c>
      <c r="I295" s="23">
        <v>203.9</v>
      </c>
      <c r="J295" s="23">
        <v>203.9</v>
      </c>
      <c r="N295" s="23">
        <v>0.0</v>
      </c>
      <c r="R295" s="23">
        <v>0.0</v>
      </c>
      <c r="V295" s="23">
        <v>0.0</v>
      </c>
      <c r="Z295" s="23">
        <v>0.0</v>
      </c>
      <c r="AD295" s="23">
        <v>0.0</v>
      </c>
      <c r="AH295" s="23">
        <v>0.0</v>
      </c>
      <c r="AL295" s="23">
        <v>0.0</v>
      </c>
      <c r="AP295" s="23">
        <v>0.0</v>
      </c>
      <c r="AT295" s="23">
        <v>0.0</v>
      </c>
      <c r="AX295" s="23">
        <v>0.0</v>
      </c>
      <c r="BF295" s="23">
        <v>0.0</v>
      </c>
      <c r="BJ295" s="23">
        <v>0.0</v>
      </c>
      <c r="BN295" s="23">
        <v>0.0</v>
      </c>
      <c r="BO295" s="23">
        <v>203.9</v>
      </c>
      <c r="BP295" s="16" t="s">
        <v>1928</v>
      </c>
      <c r="BQ295" s="16" t="b">
        <v>1</v>
      </c>
      <c r="BR295" s="23">
        <v>203.9</v>
      </c>
      <c r="BS295" s="23">
        <v>863442.0</v>
      </c>
      <c r="BT295" s="16" t="b">
        <v>1</v>
      </c>
      <c r="BU295" s="16" t="s">
        <v>546</v>
      </c>
    </row>
    <row r="296">
      <c r="A296" s="16" t="s">
        <v>1931</v>
      </c>
      <c r="B296" s="16" t="s">
        <v>35</v>
      </c>
      <c r="C296" s="22">
        <v>45401.0</v>
      </c>
      <c r="D296" s="16" t="s">
        <v>175</v>
      </c>
      <c r="E296" s="16" t="s">
        <v>1932</v>
      </c>
      <c r="F296" s="16" t="s">
        <v>1934</v>
      </c>
      <c r="G296" s="16" t="s">
        <v>683</v>
      </c>
      <c r="H296" s="23">
        <v>1.0</v>
      </c>
      <c r="I296" s="23">
        <v>11.99</v>
      </c>
      <c r="J296" s="23">
        <v>11.99</v>
      </c>
      <c r="N296" s="23">
        <v>0.0</v>
      </c>
      <c r="R296" s="23">
        <v>0.0</v>
      </c>
      <c r="V296" s="23">
        <v>0.0</v>
      </c>
      <c r="Z296" s="23">
        <v>0.0</v>
      </c>
      <c r="AD296" s="23">
        <v>0.0</v>
      </c>
      <c r="AH296" s="23">
        <v>0.0</v>
      </c>
      <c r="AL296" s="23">
        <v>0.0</v>
      </c>
      <c r="AP296" s="23">
        <v>0.0</v>
      </c>
      <c r="AT296" s="23">
        <v>0.0</v>
      </c>
      <c r="AX296" s="23">
        <v>0.0</v>
      </c>
      <c r="BF296" s="23">
        <v>0.0</v>
      </c>
      <c r="BJ296" s="23">
        <v>0.0</v>
      </c>
      <c r="BN296" s="23">
        <v>0.0</v>
      </c>
      <c r="BO296" s="23">
        <v>11.99</v>
      </c>
      <c r="BP296" s="16" t="s">
        <v>1933</v>
      </c>
      <c r="BQ296" s="16" t="b">
        <v>1</v>
      </c>
      <c r="BR296" s="23">
        <v>11.99</v>
      </c>
      <c r="BS296" s="23">
        <v>863445.0</v>
      </c>
      <c r="BT296" s="16" t="b">
        <v>1</v>
      </c>
      <c r="BU296" s="16" t="s">
        <v>546</v>
      </c>
    </row>
    <row r="297">
      <c r="A297" s="16" t="s">
        <v>1935</v>
      </c>
      <c r="B297" s="16" t="s">
        <v>35</v>
      </c>
      <c r="C297" s="22">
        <v>45401.0</v>
      </c>
      <c r="D297" s="16" t="s">
        <v>286</v>
      </c>
      <c r="E297" s="16" t="s">
        <v>1937</v>
      </c>
      <c r="F297" s="16" t="s">
        <v>1939</v>
      </c>
      <c r="G297" s="16" t="s">
        <v>1904</v>
      </c>
      <c r="H297" s="23">
        <v>1.0</v>
      </c>
      <c r="I297" s="23">
        <v>6.0</v>
      </c>
      <c r="J297" s="23">
        <v>6.0</v>
      </c>
      <c r="N297" s="23">
        <v>0.0</v>
      </c>
      <c r="R297" s="23">
        <v>0.0</v>
      </c>
      <c r="V297" s="23">
        <v>0.0</v>
      </c>
      <c r="Z297" s="23">
        <v>0.0</v>
      </c>
      <c r="AD297" s="23">
        <v>0.0</v>
      </c>
      <c r="AH297" s="23">
        <v>0.0</v>
      </c>
      <c r="AL297" s="23">
        <v>0.0</v>
      </c>
      <c r="AP297" s="23">
        <v>0.0</v>
      </c>
      <c r="AT297" s="23">
        <v>0.0</v>
      </c>
      <c r="AX297" s="23">
        <v>0.0</v>
      </c>
      <c r="BF297" s="23">
        <v>0.0</v>
      </c>
      <c r="BJ297" s="23">
        <v>0.0</v>
      </c>
      <c r="BN297" s="23">
        <v>0.0</v>
      </c>
      <c r="BO297" s="23">
        <v>6.0</v>
      </c>
      <c r="BP297" s="16" t="s">
        <v>1938</v>
      </c>
      <c r="BQ297" s="16" t="b">
        <v>1</v>
      </c>
      <c r="BR297" s="23">
        <v>6.0</v>
      </c>
      <c r="BS297" s="23">
        <v>863558.0</v>
      </c>
      <c r="BT297" s="16" t="b">
        <v>1</v>
      </c>
      <c r="BU297" s="16" t="s">
        <v>546</v>
      </c>
    </row>
    <row r="298">
      <c r="A298" s="23">
        <v>9.0835023E7</v>
      </c>
      <c r="B298" s="16" t="s">
        <v>35</v>
      </c>
      <c r="C298" s="22">
        <v>45404.0</v>
      </c>
      <c r="D298" s="16" t="s">
        <v>112</v>
      </c>
      <c r="E298" s="16" t="s">
        <v>1941</v>
      </c>
      <c r="F298" s="16" t="s">
        <v>792</v>
      </c>
      <c r="G298" s="16" t="s">
        <v>159</v>
      </c>
      <c r="H298" s="23">
        <v>15.0</v>
      </c>
      <c r="I298" s="23">
        <v>13.5</v>
      </c>
      <c r="J298" s="23">
        <v>202.5</v>
      </c>
      <c r="K298" s="16" t="s">
        <v>155</v>
      </c>
      <c r="L298" s="23">
        <v>1.0</v>
      </c>
      <c r="M298" s="23">
        <v>31.27</v>
      </c>
      <c r="N298" s="23">
        <v>31.27</v>
      </c>
      <c r="O298" s="16" t="s">
        <v>230</v>
      </c>
      <c r="P298" s="23">
        <v>1.0</v>
      </c>
      <c r="Q298" s="23">
        <v>160.82</v>
      </c>
      <c r="R298" s="23">
        <v>160.82</v>
      </c>
      <c r="S298" s="16" t="s">
        <v>152</v>
      </c>
      <c r="T298" s="23">
        <v>1.0</v>
      </c>
      <c r="U298" s="23">
        <v>11.94</v>
      </c>
      <c r="V298" s="23">
        <v>11.94</v>
      </c>
      <c r="W298" s="16" t="s">
        <v>226</v>
      </c>
      <c r="X298" s="23">
        <v>1.0</v>
      </c>
      <c r="Y298" s="23">
        <v>22.5</v>
      </c>
      <c r="Z298" s="23">
        <v>22.5</v>
      </c>
      <c r="AD298" s="23">
        <v>0.0</v>
      </c>
      <c r="AH298" s="23">
        <v>0.0</v>
      </c>
      <c r="AL298" s="23">
        <v>0.0</v>
      </c>
      <c r="AP298" s="23">
        <v>0.0</v>
      </c>
      <c r="AT298" s="23">
        <v>0.0</v>
      </c>
      <c r="AX298" s="23">
        <v>0.0</v>
      </c>
      <c r="BF298" s="23">
        <v>0.0</v>
      </c>
      <c r="BJ298" s="23">
        <v>0.0</v>
      </c>
      <c r="BN298" s="23">
        <v>0.0</v>
      </c>
      <c r="BO298" s="23">
        <v>429.03</v>
      </c>
      <c r="BP298" s="16" t="s">
        <v>1942</v>
      </c>
      <c r="BQ298" s="16" t="b">
        <v>1</v>
      </c>
      <c r="BR298" s="23">
        <v>429.03</v>
      </c>
      <c r="BS298" s="23">
        <v>867915.0</v>
      </c>
      <c r="BT298" s="16" t="b">
        <v>1</v>
      </c>
      <c r="BU298" s="16" t="s">
        <v>546</v>
      </c>
    </row>
    <row r="299">
      <c r="A299" s="16" t="s">
        <v>1945</v>
      </c>
      <c r="B299" s="16" t="s">
        <v>35</v>
      </c>
      <c r="C299" s="22">
        <v>45405.0</v>
      </c>
      <c r="D299" s="16" t="s">
        <v>1946</v>
      </c>
      <c r="E299" s="16" t="s">
        <v>1947</v>
      </c>
      <c r="F299" s="16" t="s">
        <v>1950</v>
      </c>
      <c r="G299" s="16" t="s">
        <v>2777</v>
      </c>
      <c r="H299" s="23">
        <v>1.0</v>
      </c>
      <c r="I299" s="23">
        <v>61.8</v>
      </c>
      <c r="J299" s="23">
        <v>61.8</v>
      </c>
      <c r="N299" s="23">
        <v>0.0</v>
      </c>
      <c r="R299" s="23">
        <v>0.0</v>
      </c>
      <c r="V299" s="23">
        <v>0.0</v>
      </c>
      <c r="Z299" s="23">
        <v>0.0</v>
      </c>
      <c r="AD299" s="23">
        <v>0.0</v>
      </c>
      <c r="AH299" s="23">
        <v>0.0</v>
      </c>
      <c r="AL299" s="23">
        <v>0.0</v>
      </c>
      <c r="AP299" s="23">
        <v>0.0</v>
      </c>
      <c r="AT299" s="23">
        <v>0.0</v>
      </c>
      <c r="AX299" s="23">
        <v>0.0</v>
      </c>
      <c r="BF299" s="23">
        <v>0.0</v>
      </c>
      <c r="BJ299" s="23">
        <v>0.0</v>
      </c>
      <c r="BN299" s="23">
        <v>0.0</v>
      </c>
      <c r="BO299" s="23">
        <v>61.8</v>
      </c>
      <c r="BP299" s="16" t="s">
        <v>1949</v>
      </c>
      <c r="BQ299" s="16" t="b">
        <v>1</v>
      </c>
      <c r="BR299" s="23">
        <v>61.8</v>
      </c>
      <c r="BS299" s="23">
        <v>869252.0</v>
      </c>
      <c r="BT299" s="16" t="b">
        <v>1</v>
      </c>
      <c r="BU299" s="16" t="s">
        <v>546</v>
      </c>
    </row>
    <row r="300">
      <c r="A300" s="16" t="s">
        <v>1952</v>
      </c>
      <c r="B300" s="16" t="s">
        <v>35</v>
      </c>
      <c r="C300" s="22">
        <v>45400.0</v>
      </c>
      <c r="D300" s="16" t="s">
        <v>890</v>
      </c>
      <c r="E300" s="16" t="s">
        <v>1954</v>
      </c>
      <c r="F300" s="16" t="s">
        <v>1184</v>
      </c>
      <c r="G300" s="16" t="s">
        <v>1517</v>
      </c>
      <c r="H300" s="23">
        <v>1.0</v>
      </c>
      <c r="I300" s="23">
        <v>5903.2</v>
      </c>
      <c r="J300" s="23">
        <v>5903.2</v>
      </c>
      <c r="N300" s="23">
        <v>0.0</v>
      </c>
      <c r="R300" s="23">
        <v>0.0</v>
      </c>
      <c r="V300" s="23">
        <v>0.0</v>
      </c>
      <c r="Z300" s="23">
        <v>0.0</v>
      </c>
      <c r="AD300" s="23">
        <v>0.0</v>
      </c>
      <c r="AH300" s="23">
        <v>0.0</v>
      </c>
      <c r="AL300" s="23">
        <v>0.0</v>
      </c>
      <c r="AP300" s="23">
        <v>0.0</v>
      </c>
      <c r="AT300" s="23">
        <v>0.0</v>
      </c>
      <c r="AX300" s="23">
        <v>0.0</v>
      </c>
      <c r="BF300" s="23">
        <v>0.0</v>
      </c>
      <c r="BJ300" s="23">
        <v>0.0</v>
      </c>
      <c r="BN300" s="23">
        <v>0.0</v>
      </c>
      <c r="BO300" s="23">
        <v>5903.2</v>
      </c>
      <c r="BP300" s="16" t="s">
        <v>1955</v>
      </c>
      <c r="BQ300" s="16" t="b">
        <v>1</v>
      </c>
      <c r="BR300" s="23">
        <v>5903.2</v>
      </c>
      <c r="BT300" s="16" t="b">
        <v>0</v>
      </c>
      <c r="BU300" s="16" t="s">
        <v>546</v>
      </c>
    </row>
    <row r="301">
      <c r="A301" s="16" t="s">
        <v>1956</v>
      </c>
      <c r="B301" s="16" t="s">
        <v>35</v>
      </c>
      <c r="C301" s="22">
        <v>45398.0</v>
      </c>
      <c r="D301" s="16" t="s">
        <v>1036</v>
      </c>
      <c r="E301" s="16" t="s">
        <v>1958</v>
      </c>
      <c r="F301" s="16" t="s">
        <v>1960</v>
      </c>
      <c r="G301" s="16" t="s">
        <v>1668</v>
      </c>
      <c r="H301" s="23">
        <v>1.0</v>
      </c>
      <c r="I301" s="23">
        <v>114.46</v>
      </c>
      <c r="J301" s="23">
        <v>114.46</v>
      </c>
      <c r="N301" s="23">
        <v>0.0</v>
      </c>
      <c r="R301" s="23">
        <v>0.0</v>
      </c>
      <c r="V301" s="23">
        <v>0.0</v>
      </c>
      <c r="Z301" s="23">
        <v>0.0</v>
      </c>
      <c r="AD301" s="23">
        <v>0.0</v>
      </c>
      <c r="AH301" s="23">
        <v>0.0</v>
      </c>
      <c r="AL301" s="23">
        <v>0.0</v>
      </c>
      <c r="AP301" s="23">
        <v>0.0</v>
      </c>
      <c r="AT301" s="23">
        <v>0.0</v>
      </c>
      <c r="AX301" s="23">
        <v>0.0</v>
      </c>
      <c r="BF301" s="23">
        <v>0.0</v>
      </c>
      <c r="BJ301" s="23">
        <v>0.0</v>
      </c>
      <c r="BN301" s="23">
        <v>0.0</v>
      </c>
      <c r="BO301" s="23">
        <v>114.46</v>
      </c>
      <c r="BP301" s="16" t="s">
        <v>1959</v>
      </c>
      <c r="BQ301" s="16" t="b">
        <v>1</v>
      </c>
      <c r="BR301" s="23">
        <v>114.46</v>
      </c>
      <c r="BT301" s="16" t="b">
        <v>0</v>
      </c>
      <c r="BU301" s="16" t="s">
        <v>546</v>
      </c>
    </row>
    <row r="302">
      <c r="A302" s="16" t="s">
        <v>1963</v>
      </c>
      <c r="B302" s="16" t="s">
        <v>35</v>
      </c>
      <c r="C302" s="22">
        <v>45400.0</v>
      </c>
      <c r="D302" s="16" t="s">
        <v>764</v>
      </c>
      <c r="E302" s="16" t="s">
        <v>1966</v>
      </c>
      <c r="F302" s="16" t="s">
        <v>767</v>
      </c>
      <c r="G302" s="16" t="s">
        <v>1073</v>
      </c>
      <c r="H302" s="23">
        <v>1.0</v>
      </c>
      <c r="I302" s="23">
        <v>81.08</v>
      </c>
      <c r="J302" s="23">
        <v>81.08</v>
      </c>
      <c r="K302" s="16" t="s">
        <v>1074</v>
      </c>
      <c r="L302" s="23">
        <v>1.0</v>
      </c>
      <c r="M302" s="23">
        <v>81.08</v>
      </c>
      <c r="N302" s="23">
        <v>81.08</v>
      </c>
      <c r="O302" s="16" t="s">
        <v>1075</v>
      </c>
      <c r="P302" s="23">
        <v>1.0</v>
      </c>
      <c r="Q302" s="23">
        <v>81.08</v>
      </c>
      <c r="R302" s="23">
        <v>81.08</v>
      </c>
      <c r="S302" s="16" t="s">
        <v>1079</v>
      </c>
      <c r="T302" s="23">
        <v>1.0</v>
      </c>
      <c r="U302" s="23">
        <v>81.03</v>
      </c>
      <c r="V302" s="23">
        <v>81.03</v>
      </c>
      <c r="W302" s="16" t="s">
        <v>1080</v>
      </c>
      <c r="X302" s="23">
        <v>1.0</v>
      </c>
      <c r="Y302" s="23">
        <v>81.08</v>
      </c>
      <c r="Z302" s="23">
        <v>81.08</v>
      </c>
      <c r="AA302" s="16" t="s">
        <v>1081</v>
      </c>
      <c r="AB302" s="23">
        <v>1.0</v>
      </c>
      <c r="AC302" s="23">
        <v>81.08</v>
      </c>
      <c r="AD302" s="23">
        <v>81.08</v>
      </c>
      <c r="AE302" s="16" t="s">
        <v>1085</v>
      </c>
      <c r="AF302" s="23">
        <v>1.0</v>
      </c>
      <c r="AG302" s="23">
        <v>81.08</v>
      </c>
      <c r="AH302" s="23">
        <v>81.08</v>
      </c>
      <c r="AI302" s="16" t="s">
        <v>1081</v>
      </c>
      <c r="AJ302" s="23">
        <v>1.0</v>
      </c>
      <c r="AK302" s="23">
        <v>81.08</v>
      </c>
      <c r="AL302" s="23">
        <v>81.08</v>
      </c>
      <c r="AP302" s="23">
        <v>0.0</v>
      </c>
      <c r="AT302" s="23">
        <v>0.0</v>
      </c>
      <c r="AX302" s="23">
        <v>0.0</v>
      </c>
      <c r="BF302" s="23">
        <v>0.0</v>
      </c>
      <c r="BJ302" s="23">
        <v>0.0</v>
      </c>
      <c r="BN302" s="23">
        <v>0.0</v>
      </c>
      <c r="BO302" s="23">
        <v>648.59</v>
      </c>
      <c r="BP302" s="16" t="s">
        <v>1968</v>
      </c>
      <c r="BQ302" s="16" t="b">
        <v>1</v>
      </c>
      <c r="BR302" s="23">
        <v>648.64</v>
      </c>
      <c r="BT302" s="16" t="b">
        <v>0</v>
      </c>
      <c r="BU302" s="16" t="s">
        <v>546</v>
      </c>
    </row>
    <row r="303">
      <c r="A303" s="16" t="s">
        <v>1971</v>
      </c>
      <c r="B303" s="16" t="s">
        <v>35</v>
      </c>
      <c r="C303" s="22">
        <v>45398.0</v>
      </c>
      <c r="D303" s="23">
        <v>6.8893939E7</v>
      </c>
      <c r="E303" s="16" t="s">
        <v>1973</v>
      </c>
      <c r="F303" s="16" t="s">
        <v>1975</v>
      </c>
      <c r="G303" s="16" t="s">
        <v>2816</v>
      </c>
      <c r="H303" s="23">
        <v>1.0</v>
      </c>
      <c r="I303" s="23">
        <v>331.98</v>
      </c>
      <c r="J303" s="23">
        <v>331.98</v>
      </c>
      <c r="N303" s="23">
        <v>0.0</v>
      </c>
      <c r="R303" s="23">
        <v>0.0</v>
      </c>
      <c r="V303" s="23">
        <v>0.0</v>
      </c>
      <c r="Z303" s="23">
        <v>0.0</v>
      </c>
      <c r="AD303" s="23">
        <v>0.0</v>
      </c>
      <c r="AH303" s="23">
        <v>0.0</v>
      </c>
      <c r="AL303" s="23">
        <v>0.0</v>
      </c>
      <c r="AP303" s="23">
        <v>0.0</v>
      </c>
      <c r="AT303" s="23">
        <v>0.0</v>
      </c>
      <c r="AX303" s="23">
        <v>0.0</v>
      </c>
      <c r="BF303" s="23">
        <v>0.0</v>
      </c>
      <c r="BJ303" s="23">
        <v>0.0</v>
      </c>
      <c r="BN303" s="23">
        <v>0.0</v>
      </c>
      <c r="BO303" s="23">
        <v>331.98</v>
      </c>
      <c r="BP303" s="16" t="s">
        <v>1974</v>
      </c>
      <c r="BQ303" s="16" t="b">
        <v>1</v>
      </c>
      <c r="BR303" s="23">
        <v>331.98</v>
      </c>
      <c r="BT303" s="16" t="b">
        <v>0</v>
      </c>
      <c r="BU303" s="16" t="s">
        <v>546</v>
      </c>
    </row>
    <row r="304">
      <c r="A304" s="16" t="s">
        <v>1978</v>
      </c>
      <c r="B304" s="16" t="s">
        <v>35</v>
      </c>
      <c r="C304" s="22">
        <v>45407.0</v>
      </c>
      <c r="D304" s="16" t="s">
        <v>112</v>
      </c>
      <c r="E304" s="16" t="s">
        <v>1980</v>
      </c>
      <c r="F304" s="16" t="s">
        <v>792</v>
      </c>
      <c r="G304" s="16" t="s">
        <v>159</v>
      </c>
      <c r="H304" s="23">
        <v>1.0</v>
      </c>
      <c r="I304" s="23">
        <v>37.5</v>
      </c>
      <c r="J304" s="23">
        <v>37.5</v>
      </c>
      <c r="K304" s="16" t="s">
        <v>155</v>
      </c>
      <c r="L304" s="23">
        <v>8.5</v>
      </c>
      <c r="M304" s="23">
        <v>6.9</v>
      </c>
      <c r="N304" s="23">
        <v>58.65</v>
      </c>
      <c r="O304" s="16" t="s">
        <v>230</v>
      </c>
      <c r="P304" s="23">
        <v>6.0</v>
      </c>
      <c r="Q304" s="23">
        <v>26.0</v>
      </c>
      <c r="R304" s="23">
        <v>156.0</v>
      </c>
      <c r="S304" s="16" t="s">
        <v>152</v>
      </c>
      <c r="T304" s="23">
        <v>3.0</v>
      </c>
      <c r="U304" s="23">
        <v>3.0</v>
      </c>
      <c r="V304" s="23">
        <v>9.0</v>
      </c>
      <c r="W304" s="16" t="s">
        <v>226</v>
      </c>
      <c r="X304" s="23">
        <v>10.0</v>
      </c>
      <c r="Y304" s="23">
        <v>7.5</v>
      </c>
      <c r="Z304" s="23">
        <v>75.0</v>
      </c>
      <c r="AD304" s="23">
        <v>0.0</v>
      </c>
      <c r="AH304" s="23">
        <v>0.0</v>
      </c>
      <c r="AL304" s="23">
        <v>0.0</v>
      </c>
      <c r="AP304" s="23">
        <v>0.0</v>
      </c>
      <c r="AT304" s="23">
        <v>0.0</v>
      </c>
      <c r="AX304" s="23">
        <v>0.0</v>
      </c>
      <c r="BF304" s="23">
        <v>0.0</v>
      </c>
      <c r="BJ304" s="23">
        <v>0.0</v>
      </c>
      <c r="BN304" s="23">
        <v>0.0</v>
      </c>
      <c r="BO304" s="23">
        <v>336.15</v>
      </c>
      <c r="BP304" s="16" t="s">
        <v>1981</v>
      </c>
      <c r="BQ304" s="16" t="b">
        <v>1</v>
      </c>
      <c r="BR304" s="23">
        <v>336.15</v>
      </c>
      <c r="BS304" s="23">
        <v>870894.0</v>
      </c>
      <c r="BT304" s="16" t="b">
        <v>1</v>
      </c>
      <c r="BU304" s="16" t="s">
        <v>546</v>
      </c>
    </row>
    <row r="305">
      <c r="A305" s="16" t="s">
        <v>1984</v>
      </c>
      <c r="B305" s="16" t="s">
        <v>35</v>
      </c>
      <c r="C305" s="22">
        <v>45422.0</v>
      </c>
      <c r="D305" s="16" t="s">
        <v>1557</v>
      </c>
      <c r="E305" s="16" t="s">
        <v>1986</v>
      </c>
      <c r="F305" s="16" t="s">
        <v>1988</v>
      </c>
      <c r="G305" s="16" t="s">
        <v>1047</v>
      </c>
      <c r="H305" s="23">
        <v>1.0</v>
      </c>
      <c r="I305" s="23">
        <v>110.0</v>
      </c>
      <c r="J305" s="23">
        <v>110.0</v>
      </c>
      <c r="N305" s="23">
        <v>0.0</v>
      </c>
      <c r="R305" s="23">
        <v>0.0</v>
      </c>
      <c r="V305" s="23">
        <v>0.0</v>
      </c>
      <c r="Z305" s="23">
        <v>0.0</v>
      </c>
      <c r="AD305" s="23">
        <v>0.0</v>
      </c>
      <c r="AH305" s="23">
        <v>0.0</v>
      </c>
      <c r="AL305" s="23">
        <v>0.0</v>
      </c>
      <c r="AP305" s="23">
        <v>0.0</v>
      </c>
      <c r="AT305" s="23">
        <v>0.0</v>
      </c>
      <c r="AX305" s="23">
        <v>0.0</v>
      </c>
      <c r="BF305" s="23">
        <v>0.0</v>
      </c>
      <c r="BJ305" s="23">
        <v>0.0</v>
      </c>
      <c r="BN305" s="23">
        <v>0.0</v>
      </c>
      <c r="BO305" s="23">
        <v>110.0</v>
      </c>
      <c r="BP305" s="16" t="s">
        <v>1987</v>
      </c>
      <c r="BQ305" s="16" t="b">
        <v>1</v>
      </c>
      <c r="BR305" s="23">
        <v>110.0</v>
      </c>
      <c r="BT305" s="16" t="b">
        <v>0</v>
      </c>
      <c r="BU305" s="16" t="s">
        <v>546</v>
      </c>
    </row>
    <row r="306">
      <c r="A306" s="16" t="s">
        <v>1991</v>
      </c>
      <c r="B306" s="16" t="s">
        <v>35</v>
      </c>
      <c r="C306" s="22">
        <v>45407.0</v>
      </c>
      <c r="D306" s="16" t="s">
        <v>286</v>
      </c>
      <c r="E306" s="16" t="s">
        <v>1993</v>
      </c>
      <c r="F306" s="16" t="s">
        <v>1995</v>
      </c>
      <c r="G306" s="16" t="s">
        <v>854</v>
      </c>
      <c r="H306" s="23">
        <v>1.0</v>
      </c>
      <c r="I306" s="23">
        <v>15.0</v>
      </c>
      <c r="J306" s="23">
        <v>15.0</v>
      </c>
      <c r="N306" s="23">
        <v>0.0</v>
      </c>
      <c r="R306" s="23">
        <v>0.0</v>
      </c>
      <c r="V306" s="23">
        <v>0.0</v>
      </c>
      <c r="Z306" s="23">
        <v>0.0</v>
      </c>
      <c r="AD306" s="23">
        <v>0.0</v>
      </c>
      <c r="AH306" s="23">
        <v>0.0</v>
      </c>
      <c r="AL306" s="23">
        <v>0.0</v>
      </c>
      <c r="AP306" s="23">
        <v>0.0</v>
      </c>
      <c r="AT306" s="23">
        <v>0.0</v>
      </c>
      <c r="AX306" s="23">
        <v>0.0</v>
      </c>
      <c r="BF306" s="23">
        <v>0.0</v>
      </c>
      <c r="BJ306" s="23">
        <v>0.0</v>
      </c>
      <c r="BN306" s="23">
        <v>0.0</v>
      </c>
      <c r="BO306" s="23">
        <v>15.0</v>
      </c>
      <c r="BP306" s="16" t="s">
        <v>1994</v>
      </c>
      <c r="BQ306" s="16" t="b">
        <v>1</v>
      </c>
      <c r="BR306" s="23">
        <v>15.0</v>
      </c>
      <c r="BS306" s="16" t="s">
        <v>1996</v>
      </c>
      <c r="BT306" s="16" t="b">
        <v>1</v>
      </c>
      <c r="BU306" s="16" t="s">
        <v>546</v>
      </c>
    </row>
    <row r="307">
      <c r="A307" s="16" t="s">
        <v>1998</v>
      </c>
      <c r="B307" s="16" t="s">
        <v>35</v>
      </c>
      <c r="C307" s="22">
        <v>45408.0</v>
      </c>
      <c r="D307" s="16" t="s">
        <v>543</v>
      </c>
      <c r="E307" s="16" t="s">
        <v>1999</v>
      </c>
      <c r="F307" s="16" t="s">
        <v>140</v>
      </c>
      <c r="G307" s="16">
        <v>1.2539885E7</v>
      </c>
      <c r="H307" s="23">
        <v>1.0</v>
      </c>
      <c r="I307" s="23">
        <v>400.0</v>
      </c>
      <c r="J307" s="23">
        <v>400.0</v>
      </c>
      <c r="N307" s="23">
        <v>0.0</v>
      </c>
      <c r="R307" s="23">
        <v>0.0</v>
      </c>
      <c r="V307" s="23">
        <v>0.0</v>
      </c>
      <c r="Z307" s="23">
        <v>0.0</v>
      </c>
      <c r="AD307" s="23">
        <v>0.0</v>
      </c>
      <c r="AH307" s="23">
        <v>0.0</v>
      </c>
      <c r="AL307" s="23">
        <v>0.0</v>
      </c>
      <c r="AP307" s="23">
        <v>0.0</v>
      </c>
      <c r="AT307" s="23">
        <v>0.0</v>
      </c>
      <c r="AX307" s="23">
        <v>0.0</v>
      </c>
      <c r="BF307" s="23">
        <v>0.0</v>
      </c>
      <c r="BJ307" s="23">
        <v>0.0</v>
      </c>
      <c r="BN307" s="23">
        <v>0.0</v>
      </c>
      <c r="BO307" s="23">
        <v>400.0</v>
      </c>
      <c r="BP307" s="16" t="s">
        <v>2001</v>
      </c>
      <c r="BQ307" s="16" t="b">
        <v>1</v>
      </c>
      <c r="BR307" s="23">
        <v>400.0</v>
      </c>
      <c r="BS307" s="23">
        <v>871826.0</v>
      </c>
      <c r="BT307" s="16" t="b">
        <v>1</v>
      </c>
      <c r="BU307" s="16" t="s">
        <v>546</v>
      </c>
    </row>
    <row r="308">
      <c r="A308" s="23">
        <v>9.9066248E7</v>
      </c>
      <c r="B308" s="16" t="s">
        <v>35</v>
      </c>
      <c r="C308" s="22">
        <v>45411.0</v>
      </c>
      <c r="D308" s="16" t="s">
        <v>112</v>
      </c>
      <c r="E308" s="16" t="s">
        <v>2005</v>
      </c>
      <c r="F308" s="16" t="s">
        <v>2007</v>
      </c>
      <c r="G308" s="16" t="s">
        <v>159</v>
      </c>
      <c r="H308" s="23">
        <v>10.0</v>
      </c>
      <c r="I308" s="23">
        <v>12.5</v>
      </c>
      <c r="J308" s="23">
        <v>125.0</v>
      </c>
      <c r="K308" s="16" t="s">
        <v>155</v>
      </c>
      <c r="L308" s="23">
        <v>1.0</v>
      </c>
      <c r="M308" s="23">
        <v>50.05</v>
      </c>
      <c r="N308" s="23">
        <v>50.05</v>
      </c>
      <c r="O308" s="16" t="s">
        <v>230</v>
      </c>
      <c r="P308" s="23">
        <v>1.0</v>
      </c>
      <c r="Q308" s="23">
        <v>160.42</v>
      </c>
      <c r="R308" s="23">
        <v>160.42</v>
      </c>
      <c r="S308" s="16" t="s">
        <v>152</v>
      </c>
      <c r="T308" s="23">
        <v>1.0</v>
      </c>
      <c r="U308" s="23">
        <v>9.12</v>
      </c>
      <c r="V308" s="23">
        <v>9.12</v>
      </c>
      <c r="Z308" s="23">
        <v>0.0</v>
      </c>
      <c r="AD308" s="23">
        <v>0.0</v>
      </c>
      <c r="AH308" s="23">
        <v>0.0</v>
      </c>
      <c r="AL308" s="23">
        <v>0.0</v>
      </c>
      <c r="AP308" s="23">
        <v>0.0</v>
      </c>
      <c r="AT308" s="23">
        <v>0.0</v>
      </c>
      <c r="AX308" s="23">
        <v>0.0</v>
      </c>
      <c r="BF308" s="23">
        <v>0.0</v>
      </c>
      <c r="BJ308" s="23">
        <v>0.0</v>
      </c>
      <c r="BN308" s="23">
        <v>0.0</v>
      </c>
      <c r="BO308" s="23">
        <v>344.59</v>
      </c>
      <c r="BP308" s="16" t="s">
        <v>2006</v>
      </c>
      <c r="BQ308" s="16" t="b">
        <v>1</v>
      </c>
      <c r="BR308" s="23">
        <v>344.59</v>
      </c>
      <c r="BS308" s="23">
        <v>874390.0</v>
      </c>
      <c r="BT308" s="16" t="b">
        <v>1</v>
      </c>
      <c r="BU308" s="16" t="s">
        <v>546</v>
      </c>
    </row>
    <row r="309">
      <c r="A309" s="16" t="s">
        <v>2010</v>
      </c>
      <c r="B309" s="16" t="s">
        <v>35</v>
      </c>
      <c r="C309" s="22">
        <v>45411.0</v>
      </c>
      <c r="D309" s="16" t="s">
        <v>1016</v>
      </c>
      <c r="E309" s="16" t="s">
        <v>2013</v>
      </c>
      <c r="F309" s="16" t="s">
        <v>1117</v>
      </c>
      <c r="G309" s="16" t="s">
        <v>2870</v>
      </c>
      <c r="H309" s="23">
        <v>1.0</v>
      </c>
      <c r="I309" s="23">
        <v>70.65</v>
      </c>
      <c r="J309" s="23">
        <v>70.65</v>
      </c>
      <c r="N309" s="23">
        <v>0.0</v>
      </c>
      <c r="R309" s="23">
        <v>0.0</v>
      </c>
      <c r="V309" s="23">
        <v>0.0</v>
      </c>
      <c r="Z309" s="23">
        <v>0.0</v>
      </c>
      <c r="AD309" s="23">
        <v>0.0</v>
      </c>
      <c r="AH309" s="23">
        <v>0.0</v>
      </c>
      <c r="AL309" s="23">
        <v>0.0</v>
      </c>
      <c r="AP309" s="23">
        <v>0.0</v>
      </c>
      <c r="AT309" s="23">
        <v>0.0</v>
      </c>
      <c r="AX309" s="23">
        <v>0.0</v>
      </c>
      <c r="BF309" s="23">
        <v>0.0</v>
      </c>
      <c r="BJ309" s="23">
        <v>0.0</v>
      </c>
      <c r="BN309" s="23">
        <v>0.0</v>
      </c>
      <c r="BO309" s="23">
        <v>70.65</v>
      </c>
      <c r="BP309" s="16" t="s">
        <v>2015</v>
      </c>
      <c r="BQ309" s="16" t="b">
        <v>1</v>
      </c>
      <c r="BR309" s="23">
        <v>70.65</v>
      </c>
      <c r="BT309" s="16" t="b">
        <v>0</v>
      </c>
      <c r="BU309" s="16" t="s">
        <v>546</v>
      </c>
    </row>
    <row r="310">
      <c r="A310" s="16" t="s">
        <v>2018</v>
      </c>
      <c r="B310" s="16" t="s">
        <v>35</v>
      </c>
      <c r="C310" s="22">
        <v>45411.0</v>
      </c>
      <c r="D310" s="16" t="s">
        <v>460</v>
      </c>
      <c r="F310" s="16" t="s">
        <v>931</v>
      </c>
      <c r="G310" s="16" t="s">
        <v>1126</v>
      </c>
      <c r="H310" s="16">
        <v>1.0</v>
      </c>
      <c r="I310" s="23">
        <v>30.0</v>
      </c>
      <c r="J310" s="23">
        <v>30.0</v>
      </c>
      <c r="BO310" s="23">
        <v>30.0</v>
      </c>
      <c r="BR310" s="23">
        <v>30.0</v>
      </c>
      <c r="BU310" s="16" t="s">
        <v>539</v>
      </c>
    </row>
    <row r="311">
      <c r="A311" s="16" t="s">
        <v>2024</v>
      </c>
      <c r="B311" s="16" t="s">
        <v>35</v>
      </c>
      <c r="C311" s="22">
        <v>45411.0</v>
      </c>
      <c r="F311" s="16" t="s">
        <v>2027</v>
      </c>
      <c r="G311" s="16" t="s">
        <v>1168</v>
      </c>
      <c r="H311" s="16">
        <v>1.0</v>
      </c>
      <c r="I311" s="23">
        <v>200.0</v>
      </c>
      <c r="J311" s="23">
        <v>200.0</v>
      </c>
      <c r="BO311" s="23">
        <v>200.0</v>
      </c>
      <c r="BR311" s="23">
        <v>200.0</v>
      </c>
      <c r="BU311" s="16" t="s">
        <v>539</v>
      </c>
      <c r="BV311" s="16" t="s">
        <v>624</v>
      </c>
      <c r="BW311" s="16"/>
      <c r="BX311" s="16"/>
      <c r="BY311" s="16"/>
    </row>
    <row r="312">
      <c r="A312" s="16" t="s">
        <v>2029</v>
      </c>
      <c r="B312" s="16" t="s">
        <v>35</v>
      </c>
      <c r="C312" s="22">
        <v>45412.0</v>
      </c>
      <c r="D312" s="16" t="s">
        <v>2030</v>
      </c>
      <c r="E312" s="16" t="s">
        <v>2032</v>
      </c>
      <c r="F312" s="16" t="s">
        <v>2034</v>
      </c>
      <c r="G312" s="16" t="s">
        <v>305</v>
      </c>
      <c r="H312" s="23">
        <v>1.0</v>
      </c>
      <c r="I312" s="23">
        <v>43.1</v>
      </c>
      <c r="J312" s="23">
        <v>43.1</v>
      </c>
      <c r="N312" s="23">
        <v>0.0</v>
      </c>
      <c r="R312" s="23">
        <v>0.0</v>
      </c>
      <c r="V312" s="23">
        <v>0.0</v>
      </c>
      <c r="Z312" s="23">
        <v>0.0</v>
      </c>
      <c r="AD312" s="23">
        <v>0.0</v>
      </c>
      <c r="AH312" s="23">
        <v>0.0</v>
      </c>
      <c r="AL312" s="23">
        <v>0.0</v>
      </c>
      <c r="AP312" s="23">
        <v>0.0</v>
      </c>
      <c r="AT312" s="23">
        <v>0.0</v>
      </c>
      <c r="AX312" s="23">
        <v>0.0</v>
      </c>
      <c r="BF312" s="23">
        <v>0.0</v>
      </c>
      <c r="BJ312" s="23">
        <v>0.0</v>
      </c>
      <c r="BN312" s="23">
        <v>0.0</v>
      </c>
      <c r="BO312" s="23">
        <v>43.1</v>
      </c>
      <c r="BP312" s="16" t="s">
        <v>2033</v>
      </c>
      <c r="BQ312" s="16" t="b">
        <v>1</v>
      </c>
      <c r="BR312" s="23">
        <v>43.1</v>
      </c>
      <c r="BS312" s="23">
        <v>878080.0</v>
      </c>
      <c r="BT312" s="16" t="b">
        <v>1</v>
      </c>
      <c r="BU312" s="16" t="s">
        <v>546</v>
      </c>
    </row>
    <row r="313">
      <c r="A313" s="16" t="s">
        <v>2037</v>
      </c>
      <c r="B313" s="16" t="s">
        <v>35</v>
      </c>
      <c r="C313" s="22">
        <v>45412.0</v>
      </c>
      <c r="D313" s="16" t="s">
        <v>2039</v>
      </c>
      <c r="E313" s="16" t="s">
        <v>2041</v>
      </c>
      <c r="F313" s="16" t="s">
        <v>2043</v>
      </c>
      <c r="G313" s="16" t="s">
        <v>794</v>
      </c>
      <c r="H313" s="23">
        <v>1.0</v>
      </c>
      <c r="I313" s="23">
        <v>235.0</v>
      </c>
      <c r="J313" s="23">
        <v>235.0</v>
      </c>
      <c r="N313" s="23">
        <v>0.0</v>
      </c>
      <c r="R313" s="23">
        <v>0.0</v>
      </c>
      <c r="V313" s="23">
        <v>0.0</v>
      </c>
      <c r="Z313" s="23">
        <v>0.0</v>
      </c>
      <c r="AD313" s="23">
        <v>0.0</v>
      </c>
      <c r="AH313" s="23">
        <v>0.0</v>
      </c>
      <c r="AL313" s="23">
        <v>0.0</v>
      </c>
      <c r="AP313" s="23">
        <v>0.0</v>
      </c>
      <c r="AT313" s="23">
        <v>0.0</v>
      </c>
      <c r="AX313" s="23">
        <v>0.0</v>
      </c>
      <c r="BF313" s="23">
        <v>0.0</v>
      </c>
      <c r="BJ313" s="23">
        <v>0.0</v>
      </c>
      <c r="BN313" s="23">
        <v>0.0</v>
      </c>
      <c r="BO313" s="23">
        <v>235.0</v>
      </c>
      <c r="BP313" s="16" t="s">
        <v>2042</v>
      </c>
      <c r="BQ313" s="16" t="b">
        <v>1</v>
      </c>
      <c r="BR313" s="23">
        <v>235.0</v>
      </c>
      <c r="BS313" s="23">
        <v>878494.0</v>
      </c>
      <c r="BT313" s="16" t="b">
        <v>1</v>
      </c>
      <c r="BU313" s="16" t="s">
        <v>546</v>
      </c>
    </row>
    <row r="314">
      <c r="A314" s="16" t="s">
        <v>2047</v>
      </c>
      <c r="B314" s="16" t="s">
        <v>35</v>
      </c>
      <c r="C314" s="22">
        <v>45413.0</v>
      </c>
      <c r="F314" s="16" t="s">
        <v>2050</v>
      </c>
      <c r="G314" s="16" t="s">
        <v>1168</v>
      </c>
      <c r="H314" s="16">
        <v>1.0</v>
      </c>
      <c r="I314" s="23">
        <v>200.0</v>
      </c>
      <c r="J314" s="23">
        <v>200.0</v>
      </c>
      <c r="BO314" s="23">
        <v>200.0</v>
      </c>
      <c r="BR314" s="23">
        <v>200.0</v>
      </c>
      <c r="BU314" s="16" t="s">
        <v>2051</v>
      </c>
      <c r="BV314" s="16" t="s">
        <v>2052</v>
      </c>
      <c r="BW314" s="16"/>
      <c r="BX314" s="16"/>
      <c r="BY314" s="16"/>
    </row>
    <row r="315">
      <c r="A315" s="16" t="s">
        <v>2055</v>
      </c>
      <c r="B315" s="16" t="s">
        <v>35</v>
      </c>
      <c r="C315" s="22">
        <v>45413.0</v>
      </c>
      <c r="F315" s="16" t="s">
        <v>1329</v>
      </c>
      <c r="G315" s="16" t="s">
        <v>1168</v>
      </c>
      <c r="H315" s="16">
        <v>1.0</v>
      </c>
      <c r="I315" s="23">
        <v>500.0</v>
      </c>
      <c r="J315" s="23">
        <v>500.0</v>
      </c>
      <c r="BO315" s="23">
        <v>500.0</v>
      </c>
      <c r="BR315" s="23">
        <v>500.0</v>
      </c>
      <c r="BU315" s="16" t="s">
        <v>539</v>
      </c>
      <c r="BV315" s="16" t="s">
        <v>651</v>
      </c>
      <c r="BW315" s="16"/>
      <c r="BX315" s="16"/>
      <c r="BY315" s="16"/>
    </row>
    <row r="316">
      <c r="A316" s="16" t="s">
        <v>2059</v>
      </c>
      <c r="B316" s="16" t="s">
        <v>35</v>
      </c>
      <c r="C316" s="22">
        <v>45413.0</v>
      </c>
      <c r="F316" s="16" t="s">
        <v>1329</v>
      </c>
      <c r="G316" s="16" t="s">
        <v>1168</v>
      </c>
      <c r="H316" s="16">
        <v>1.0</v>
      </c>
      <c r="I316" s="23">
        <v>500.0</v>
      </c>
      <c r="J316" s="23">
        <v>500.0</v>
      </c>
      <c r="BO316" s="23">
        <v>500.0</v>
      </c>
      <c r="BR316" s="23">
        <v>500.0</v>
      </c>
      <c r="BU316" s="16" t="s">
        <v>539</v>
      </c>
      <c r="BV316" s="16" t="s">
        <v>658</v>
      </c>
      <c r="BW316" s="16"/>
      <c r="BX316" s="16"/>
      <c r="BY316" s="16"/>
    </row>
    <row r="317">
      <c r="A317" s="16" t="s">
        <v>2061</v>
      </c>
      <c r="B317" s="16" t="s">
        <v>35</v>
      </c>
      <c r="C317" s="22">
        <v>45413.0</v>
      </c>
      <c r="D317" s="16" t="s">
        <v>543</v>
      </c>
      <c r="E317" s="16" t="s">
        <v>2063</v>
      </c>
      <c r="F317" s="16" t="s">
        <v>415</v>
      </c>
      <c r="G317" s="16">
        <v>1.2539885E7</v>
      </c>
      <c r="H317" s="23">
        <v>1.0</v>
      </c>
      <c r="I317" s="23">
        <v>500.0</v>
      </c>
      <c r="J317" s="23">
        <v>500.0</v>
      </c>
      <c r="N317" s="23">
        <v>0.0</v>
      </c>
      <c r="R317" s="23">
        <v>0.0</v>
      </c>
      <c r="V317" s="23">
        <v>0.0</v>
      </c>
      <c r="Z317" s="23">
        <v>0.0</v>
      </c>
      <c r="AD317" s="23">
        <v>0.0</v>
      </c>
      <c r="AH317" s="23">
        <v>0.0</v>
      </c>
      <c r="AL317" s="23">
        <v>0.0</v>
      </c>
      <c r="AP317" s="23">
        <v>0.0</v>
      </c>
      <c r="AT317" s="23">
        <v>0.0</v>
      </c>
      <c r="AX317" s="23">
        <v>0.0</v>
      </c>
      <c r="BF317" s="23">
        <v>0.0</v>
      </c>
      <c r="BJ317" s="23">
        <v>0.0</v>
      </c>
      <c r="BN317" s="23">
        <v>0.0</v>
      </c>
      <c r="BO317" s="23">
        <v>500.0</v>
      </c>
      <c r="BP317" s="16" t="s">
        <v>2064</v>
      </c>
      <c r="BQ317" s="16" t="b">
        <v>1</v>
      </c>
      <c r="BR317" s="23">
        <v>500.0</v>
      </c>
      <c r="BS317" s="23">
        <v>879334.0</v>
      </c>
      <c r="BT317" s="16" t="b">
        <v>1</v>
      </c>
      <c r="BU317" s="16" t="s">
        <v>546</v>
      </c>
    </row>
    <row r="318">
      <c r="A318" s="16" t="s">
        <v>2065</v>
      </c>
      <c r="B318" s="16" t="s">
        <v>35</v>
      </c>
      <c r="C318" s="22">
        <v>45412.0</v>
      </c>
      <c r="D318" s="16" t="s">
        <v>112</v>
      </c>
      <c r="E318" s="16" t="s">
        <v>2067</v>
      </c>
      <c r="F318" s="16" t="s">
        <v>157</v>
      </c>
      <c r="G318" s="16" t="s">
        <v>226</v>
      </c>
      <c r="H318" s="23">
        <v>5.0</v>
      </c>
      <c r="I318" s="23">
        <v>7.5</v>
      </c>
      <c r="J318" s="23">
        <v>37.5</v>
      </c>
      <c r="K318" s="16" t="s">
        <v>152</v>
      </c>
      <c r="L318" s="23">
        <v>1.0</v>
      </c>
      <c r="M318" s="23">
        <v>6.24</v>
      </c>
      <c r="N318" s="23">
        <v>6.24</v>
      </c>
      <c r="O318" s="16" t="s">
        <v>230</v>
      </c>
      <c r="P318" s="23">
        <v>1.0</v>
      </c>
      <c r="Q318" s="23">
        <v>113.69</v>
      </c>
      <c r="R318" s="23">
        <v>113.69</v>
      </c>
      <c r="V318" s="23">
        <v>0.0</v>
      </c>
      <c r="Z318" s="23">
        <v>0.0</v>
      </c>
      <c r="AD318" s="23">
        <v>0.0</v>
      </c>
      <c r="AH318" s="23">
        <v>0.0</v>
      </c>
      <c r="AL318" s="23">
        <v>0.0</v>
      </c>
      <c r="AP318" s="23">
        <v>0.0</v>
      </c>
      <c r="AT318" s="23">
        <v>0.0</v>
      </c>
      <c r="AX318" s="23">
        <v>0.0</v>
      </c>
      <c r="BF318" s="23">
        <v>0.0</v>
      </c>
      <c r="BJ318" s="23">
        <v>0.0</v>
      </c>
      <c r="BN318" s="23">
        <v>0.0</v>
      </c>
      <c r="BO318" s="23">
        <v>157.43</v>
      </c>
      <c r="BP318" s="16" t="s">
        <v>2068</v>
      </c>
      <c r="BQ318" s="16" t="b">
        <v>1</v>
      </c>
      <c r="BR318" s="23">
        <v>157.43</v>
      </c>
      <c r="BS318" s="23">
        <v>878100.0</v>
      </c>
      <c r="BT318" s="16" t="b">
        <v>1</v>
      </c>
      <c r="BU318" s="16" t="s">
        <v>546</v>
      </c>
    </row>
    <row r="319">
      <c r="A319" s="16" t="s">
        <v>2069</v>
      </c>
      <c r="B319" s="16" t="s">
        <v>35</v>
      </c>
      <c r="C319" s="22">
        <v>45413.0</v>
      </c>
      <c r="D319" s="16" t="s">
        <v>890</v>
      </c>
      <c r="E319" s="16" t="s">
        <v>2070</v>
      </c>
      <c r="F319" s="16" t="s">
        <v>2072</v>
      </c>
      <c r="G319" s="16" t="s">
        <v>1517</v>
      </c>
      <c r="H319" s="23">
        <v>1.0</v>
      </c>
      <c r="I319" s="23">
        <v>6243.33</v>
      </c>
      <c r="J319" s="23">
        <v>6243.33</v>
      </c>
      <c r="N319" s="23">
        <v>0.0</v>
      </c>
      <c r="R319" s="23">
        <v>0.0</v>
      </c>
      <c r="V319" s="23">
        <v>0.0</v>
      </c>
      <c r="Z319" s="23">
        <v>0.0</v>
      </c>
      <c r="AD319" s="23">
        <v>0.0</v>
      </c>
      <c r="AH319" s="23">
        <v>0.0</v>
      </c>
      <c r="AL319" s="23">
        <v>0.0</v>
      </c>
      <c r="AP319" s="23">
        <v>0.0</v>
      </c>
      <c r="AT319" s="23">
        <v>0.0</v>
      </c>
      <c r="AX319" s="23">
        <v>0.0</v>
      </c>
      <c r="BF319" s="23">
        <v>0.0</v>
      </c>
      <c r="BJ319" s="23">
        <v>0.0</v>
      </c>
      <c r="BN319" s="23">
        <v>0.0</v>
      </c>
      <c r="BO319" s="23">
        <v>6243.33</v>
      </c>
      <c r="BP319" s="16" t="s">
        <v>2071</v>
      </c>
      <c r="BQ319" s="16" t="b">
        <v>1</v>
      </c>
      <c r="BR319" s="23">
        <v>6243.33</v>
      </c>
      <c r="BT319" s="16" t="b">
        <v>0</v>
      </c>
      <c r="BU319" s="16" t="s">
        <v>546</v>
      </c>
    </row>
    <row r="320">
      <c r="A320" s="16" t="s">
        <v>2074</v>
      </c>
      <c r="B320" s="16" t="s">
        <v>35</v>
      </c>
      <c r="C320" s="22">
        <v>45413.0</v>
      </c>
      <c r="D320" s="16" t="s">
        <v>890</v>
      </c>
      <c r="E320" s="16" t="s">
        <v>2076</v>
      </c>
      <c r="F320" s="16" t="s">
        <v>893</v>
      </c>
      <c r="G320" s="16" t="s">
        <v>1510</v>
      </c>
      <c r="H320" s="23">
        <v>1.0</v>
      </c>
      <c r="I320" s="23">
        <v>8115.29</v>
      </c>
      <c r="J320" s="23">
        <v>8115.29</v>
      </c>
      <c r="N320" s="23">
        <v>0.0</v>
      </c>
      <c r="R320" s="23">
        <v>0.0</v>
      </c>
      <c r="V320" s="23">
        <v>0.0</v>
      </c>
      <c r="Z320" s="23">
        <v>0.0</v>
      </c>
      <c r="AD320" s="23">
        <v>0.0</v>
      </c>
      <c r="AH320" s="23">
        <v>0.0</v>
      </c>
      <c r="AL320" s="23">
        <v>0.0</v>
      </c>
      <c r="AP320" s="23">
        <v>0.0</v>
      </c>
      <c r="AT320" s="23">
        <v>0.0</v>
      </c>
      <c r="AX320" s="23">
        <v>0.0</v>
      </c>
      <c r="BF320" s="23">
        <v>0.0</v>
      </c>
      <c r="BJ320" s="23">
        <v>0.0</v>
      </c>
      <c r="BN320" s="23">
        <v>0.0</v>
      </c>
      <c r="BO320" s="23">
        <v>8115.29</v>
      </c>
      <c r="BP320" s="16" t="s">
        <v>2077</v>
      </c>
      <c r="BQ320" s="16" t="b">
        <v>1</v>
      </c>
      <c r="BR320" s="23">
        <v>8115.29</v>
      </c>
      <c r="BT320" s="16" t="b">
        <v>0</v>
      </c>
      <c r="BU320" s="16" t="s">
        <v>546</v>
      </c>
    </row>
    <row r="321">
      <c r="A321" s="16" t="s">
        <v>2080</v>
      </c>
      <c r="B321" s="16" t="s">
        <v>35</v>
      </c>
      <c r="C321" s="22">
        <v>45414.0</v>
      </c>
      <c r="D321" s="16" t="s">
        <v>1918</v>
      </c>
      <c r="E321" s="16" t="s">
        <v>2082</v>
      </c>
      <c r="F321" s="16" t="s">
        <v>2084</v>
      </c>
      <c r="G321" s="16" t="s">
        <v>2979</v>
      </c>
      <c r="H321" s="23">
        <v>1.0</v>
      </c>
      <c r="I321" s="23">
        <v>29.0</v>
      </c>
      <c r="J321" s="23">
        <v>29.0</v>
      </c>
      <c r="K321" s="16" t="s">
        <v>2980</v>
      </c>
      <c r="L321" s="23">
        <v>1.0</v>
      </c>
      <c r="M321" s="23">
        <v>29.0</v>
      </c>
      <c r="N321" s="23">
        <v>29.0</v>
      </c>
      <c r="R321" s="23">
        <v>0.0</v>
      </c>
      <c r="V321" s="23">
        <v>0.0</v>
      </c>
      <c r="Z321" s="23">
        <v>0.0</v>
      </c>
      <c r="AD321" s="23">
        <v>0.0</v>
      </c>
      <c r="AH321" s="23">
        <v>0.0</v>
      </c>
      <c r="AL321" s="23">
        <v>0.0</v>
      </c>
      <c r="AP321" s="23">
        <v>0.0</v>
      </c>
      <c r="AT321" s="23">
        <v>0.0</v>
      </c>
      <c r="AX321" s="23">
        <v>0.0</v>
      </c>
      <c r="BF321" s="23">
        <v>0.0</v>
      </c>
      <c r="BJ321" s="23">
        <v>0.0</v>
      </c>
      <c r="BN321" s="23">
        <v>0.0</v>
      </c>
      <c r="BO321" s="23">
        <v>58.0</v>
      </c>
      <c r="BP321" s="16" t="s">
        <v>2083</v>
      </c>
      <c r="BQ321" s="16" t="b">
        <v>1</v>
      </c>
      <c r="BR321" s="23">
        <v>58.0</v>
      </c>
      <c r="BS321" s="23">
        <v>881476.0</v>
      </c>
      <c r="BT321" s="16" t="b">
        <v>1</v>
      </c>
      <c r="BU321" s="16" t="s">
        <v>546</v>
      </c>
    </row>
    <row r="322">
      <c r="A322" s="16" t="s">
        <v>2086</v>
      </c>
      <c r="B322" s="16" t="s">
        <v>35</v>
      </c>
      <c r="C322" s="22">
        <v>45414.0</v>
      </c>
      <c r="D322" s="16" t="s">
        <v>353</v>
      </c>
      <c r="E322" s="16" t="s">
        <v>2087</v>
      </c>
      <c r="F322" s="16" t="s">
        <v>605</v>
      </c>
      <c r="G322" s="16" t="s">
        <v>802</v>
      </c>
      <c r="H322" s="23">
        <v>1.0</v>
      </c>
      <c r="I322" s="23">
        <v>46.4</v>
      </c>
      <c r="J322" s="23">
        <v>46.4</v>
      </c>
      <c r="K322" s="16" t="s">
        <v>249</v>
      </c>
      <c r="L322" s="23">
        <v>1.0</v>
      </c>
      <c r="M322" s="23">
        <v>77.5</v>
      </c>
      <c r="N322" s="23">
        <v>77.5</v>
      </c>
      <c r="O322" s="16" t="s">
        <v>2990</v>
      </c>
      <c r="P322" s="23">
        <v>1.0</v>
      </c>
      <c r="Q322" s="23">
        <v>29.95</v>
      </c>
      <c r="R322" s="23">
        <v>29.95</v>
      </c>
      <c r="S322" s="16" t="s">
        <v>691</v>
      </c>
      <c r="T322" s="23">
        <v>1.0</v>
      </c>
      <c r="U322" s="23">
        <v>86.29</v>
      </c>
      <c r="V322" s="23">
        <v>86.29</v>
      </c>
      <c r="Z322" s="23">
        <v>0.0</v>
      </c>
      <c r="AD322" s="23">
        <v>0.0</v>
      </c>
      <c r="AH322" s="23">
        <v>0.0</v>
      </c>
      <c r="AL322" s="23">
        <v>0.0</v>
      </c>
      <c r="AP322" s="23">
        <v>0.0</v>
      </c>
      <c r="AT322" s="23">
        <v>0.0</v>
      </c>
      <c r="AX322" s="23">
        <v>0.0</v>
      </c>
      <c r="BF322" s="23">
        <v>0.0</v>
      </c>
      <c r="BJ322" s="23">
        <v>0.0</v>
      </c>
      <c r="BN322" s="23">
        <v>0.0</v>
      </c>
      <c r="BO322" s="23">
        <v>240.14</v>
      </c>
      <c r="BP322" s="16" t="s">
        <v>2088</v>
      </c>
      <c r="BQ322" s="16" t="b">
        <v>1</v>
      </c>
      <c r="BR322" s="23">
        <v>240.14</v>
      </c>
      <c r="BS322" s="23">
        <v>881475.0</v>
      </c>
      <c r="BT322" s="16" t="b">
        <v>1</v>
      </c>
      <c r="BU322" s="16" t="s">
        <v>546</v>
      </c>
    </row>
    <row r="323">
      <c r="A323" s="16" t="s">
        <v>2090</v>
      </c>
      <c r="B323" s="16" t="s">
        <v>35</v>
      </c>
      <c r="C323" s="22">
        <v>45414.0</v>
      </c>
      <c r="D323" s="16" t="s">
        <v>764</v>
      </c>
      <c r="E323" s="16" t="s">
        <v>2091</v>
      </c>
      <c r="F323" s="16" t="s">
        <v>767</v>
      </c>
      <c r="G323" s="16" t="s">
        <v>1073</v>
      </c>
      <c r="H323" s="23">
        <v>1.0</v>
      </c>
      <c r="I323" s="23">
        <v>273.91</v>
      </c>
      <c r="J323" s="23">
        <v>273.91</v>
      </c>
      <c r="K323" s="16">
        <v>7.5375964E7</v>
      </c>
      <c r="L323" s="23">
        <v>1.0</v>
      </c>
      <c r="M323" s="23">
        <v>273.91</v>
      </c>
      <c r="N323" s="23">
        <v>273.91</v>
      </c>
      <c r="O323" s="16" t="s">
        <v>1384</v>
      </c>
      <c r="P323" s="23">
        <v>1.0</v>
      </c>
      <c r="Q323" s="23">
        <v>273.91</v>
      </c>
      <c r="R323" s="23">
        <v>273.91</v>
      </c>
      <c r="S323" s="16" t="s">
        <v>1404</v>
      </c>
      <c r="T323" s="23">
        <v>1.0</v>
      </c>
      <c r="U323" s="23">
        <v>273.91</v>
      </c>
      <c r="V323" s="23">
        <v>273.91</v>
      </c>
      <c r="W323" s="16" t="s">
        <v>1074</v>
      </c>
      <c r="X323" s="23">
        <v>1.0</v>
      </c>
      <c r="Y323" s="23">
        <v>273.91</v>
      </c>
      <c r="Z323" s="23">
        <v>273.91</v>
      </c>
      <c r="AA323" s="16" t="s">
        <v>1387</v>
      </c>
      <c r="AB323" s="23">
        <v>1.0</v>
      </c>
      <c r="AC323" s="23">
        <v>273.91</v>
      </c>
      <c r="AD323" s="23">
        <v>273.91</v>
      </c>
      <c r="AE323" s="16" t="s">
        <v>1075</v>
      </c>
      <c r="AF323" s="23">
        <v>1.0</v>
      </c>
      <c r="AG323" s="23">
        <v>273.96</v>
      </c>
      <c r="AH323" s="23">
        <v>273.96</v>
      </c>
      <c r="AL323" s="23">
        <v>0.0</v>
      </c>
      <c r="AP323" s="23">
        <v>0.0</v>
      </c>
      <c r="AT323" s="23">
        <v>0.0</v>
      </c>
      <c r="AX323" s="23">
        <v>0.0</v>
      </c>
      <c r="BF323" s="23">
        <v>0.0</v>
      </c>
      <c r="BJ323" s="23">
        <v>0.0</v>
      </c>
      <c r="BN323" s="23">
        <v>0.0</v>
      </c>
      <c r="BO323" s="23">
        <v>1917.42</v>
      </c>
      <c r="BP323" s="16" t="s">
        <v>2092</v>
      </c>
      <c r="BQ323" s="16" t="b">
        <v>1</v>
      </c>
      <c r="BR323" s="23">
        <v>1917.42</v>
      </c>
      <c r="BT323" s="16" t="b">
        <v>0</v>
      </c>
      <c r="BU323" s="16" t="s">
        <v>546</v>
      </c>
    </row>
    <row r="324">
      <c r="A324" s="16" t="s">
        <v>2095</v>
      </c>
      <c r="B324" s="16" t="s">
        <v>35</v>
      </c>
      <c r="C324" s="22">
        <v>45415.0</v>
      </c>
      <c r="D324" s="16" t="s">
        <v>2096</v>
      </c>
      <c r="E324" s="16" t="s">
        <v>2097</v>
      </c>
      <c r="F324" s="16" t="s">
        <v>2099</v>
      </c>
      <c r="G324" s="16" t="s">
        <v>1536</v>
      </c>
      <c r="H324" s="23">
        <v>1.0</v>
      </c>
      <c r="I324" s="23">
        <v>45.0</v>
      </c>
      <c r="J324" s="23">
        <v>45.0</v>
      </c>
      <c r="N324" s="23">
        <v>0.0</v>
      </c>
      <c r="R324" s="23">
        <v>0.0</v>
      </c>
      <c r="V324" s="23">
        <v>0.0</v>
      </c>
      <c r="Z324" s="23">
        <v>0.0</v>
      </c>
      <c r="AD324" s="23">
        <v>0.0</v>
      </c>
      <c r="AH324" s="23">
        <v>0.0</v>
      </c>
      <c r="AL324" s="23">
        <v>0.0</v>
      </c>
      <c r="AP324" s="23">
        <v>0.0</v>
      </c>
      <c r="AT324" s="23">
        <v>0.0</v>
      </c>
      <c r="AX324" s="23">
        <v>0.0</v>
      </c>
      <c r="BF324" s="23">
        <v>0.0</v>
      </c>
      <c r="BJ324" s="23">
        <v>0.0</v>
      </c>
      <c r="BN324" s="23">
        <v>0.0</v>
      </c>
      <c r="BO324" s="23">
        <v>45.0</v>
      </c>
      <c r="BP324" s="16" t="s">
        <v>2098</v>
      </c>
      <c r="BQ324" s="16" t="b">
        <v>1</v>
      </c>
      <c r="BR324" s="23">
        <v>45.0</v>
      </c>
      <c r="BS324" s="23">
        <v>882738.0</v>
      </c>
      <c r="BT324" s="16" t="b">
        <v>1</v>
      </c>
      <c r="BU324" s="16" t="s">
        <v>546</v>
      </c>
    </row>
    <row r="325">
      <c r="A325" s="16" t="s">
        <v>2100</v>
      </c>
      <c r="B325" s="16" t="s">
        <v>35</v>
      </c>
      <c r="C325" s="22">
        <v>45415.0</v>
      </c>
      <c r="F325" s="16" t="s">
        <v>2102</v>
      </c>
      <c r="G325" s="16" t="s">
        <v>1168</v>
      </c>
      <c r="H325" s="16">
        <v>1.0</v>
      </c>
      <c r="I325" s="23">
        <v>100.0</v>
      </c>
      <c r="J325" s="23">
        <v>100.0</v>
      </c>
      <c r="BO325" s="23">
        <v>100.0</v>
      </c>
      <c r="BR325" s="23">
        <v>100.0</v>
      </c>
      <c r="BU325" s="16" t="s">
        <v>539</v>
      </c>
      <c r="BV325" s="16" t="s">
        <v>1100</v>
      </c>
      <c r="BW325" s="16"/>
      <c r="BX325" s="16"/>
      <c r="BY325" s="16"/>
    </row>
    <row r="326">
      <c r="A326" s="16" t="s">
        <v>2103</v>
      </c>
      <c r="B326" s="16" t="s">
        <v>35</v>
      </c>
      <c r="C326" s="22">
        <v>45417.0</v>
      </c>
      <c r="F326" s="16" t="s">
        <v>2105</v>
      </c>
      <c r="G326" s="16" t="s">
        <v>1239</v>
      </c>
      <c r="H326" s="16">
        <v>1.0</v>
      </c>
      <c r="I326" s="23">
        <v>444.85</v>
      </c>
      <c r="J326" s="23">
        <v>444.85</v>
      </c>
      <c r="BO326" s="23">
        <v>444.85</v>
      </c>
      <c r="BR326" s="23">
        <v>444.85</v>
      </c>
      <c r="BU326" s="16" t="s">
        <v>539</v>
      </c>
      <c r="BV326" s="16" t="s">
        <v>624</v>
      </c>
      <c r="BW326" s="16"/>
      <c r="BX326" s="16"/>
      <c r="BY326" s="16"/>
    </row>
    <row r="327">
      <c r="A327" s="16" t="s">
        <v>2106</v>
      </c>
      <c r="B327" s="16" t="s">
        <v>35</v>
      </c>
      <c r="C327" s="22">
        <v>45417.0</v>
      </c>
      <c r="F327" s="16" t="s">
        <v>2108</v>
      </c>
      <c r="G327" s="16" t="s">
        <v>1239</v>
      </c>
      <c r="H327" s="16">
        <v>1.0</v>
      </c>
      <c r="I327" s="23">
        <v>1300.02</v>
      </c>
      <c r="J327" s="23">
        <v>1300.02</v>
      </c>
      <c r="BO327" s="23">
        <v>1300.02</v>
      </c>
      <c r="BR327" s="23">
        <v>1300.02</v>
      </c>
      <c r="BU327" s="16" t="s">
        <v>539</v>
      </c>
      <c r="BV327" s="16" t="s">
        <v>651</v>
      </c>
      <c r="BW327" s="16"/>
      <c r="BX327" s="16"/>
      <c r="BY327" s="16"/>
    </row>
    <row r="328">
      <c r="A328" s="16" t="s">
        <v>2109</v>
      </c>
      <c r="B328" s="16" t="s">
        <v>35</v>
      </c>
      <c r="C328" s="22">
        <v>45417.0</v>
      </c>
      <c r="F328" s="16" t="s">
        <v>2111</v>
      </c>
      <c r="G328" s="16" t="s">
        <v>1239</v>
      </c>
      <c r="H328" s="16">
        <v>1.0</v>
      </c>
      <c r="I328" s="23">
        <v>2136.87</v>
      </c>
      <c r="J328" s="23">
        <v>2136.87</v>
      </c>
      <c r="BO328" s="23">
        <v>2136.87</v>
      </c>
      <c r="BR328" s="23">
        <v>2136.87</v>
      </c>
      <c r="BU328" s="16" t="s">
        <v>539</v>
      </c>
      <c r="BV328" s="16" t="s">
        <v>664</v>
      </c>
      <c r="BW328" s="16"/>
      <c r="BX328" s="16"/>
      <c r="BY328" s="16"/>
    </row>
    <row r="329">
      <c r="A329" s="16" t="s">
        <v>2113</v>
      </c>
      <c r="B329" s="16" t="s">
        <v>35</v>
      </c>
      <c r="C329" s="22">
        <v>45417.0</v>
      </c>
      <c r="F329" s="16" t="s">
        <v>2115</v>
      </c>
      <c r="G329" s="16" t="s">
        <v>1239</v>
      </c>
      <c r="H329" s="16">
        <v>1.0</v>
      </c>
      <c r="I329" s="23">
        <v>1375.62</v>
      </c>
      <c r="J329" s="23">
        <v>1375.62</v>
      </c>
      <c r="BO329" s="23">
        <v>1375.62</v>
      </c>
      <c r="BR329" s="23">
        <v>1375.62</v>
      </c>
      <c r="BU329" s="16" t="s">
        <v>539</v>
      </c>
      <c r="BV329" s="16" t="s">
        <v>658</v>
      </c>
      <c r="BW329" s="16"/>
      <c r="BX329" s="16"/>
      <c r="BY329" s="16"/>
    </row>
    <row r="330">
      <c r="A330" s="16" t="s">
        <v>2118</v>
      </c>
      <c r="B330" s="16" t="s">
        <v>35</v>
      </c>
      <c r="C330" s="22">
        <v>45417.0</v>
      </c>
      <c r="F330" s="16" t="s">
        <v>2120</v>
      </c>
      <c r="G330" s="16" t="s">
        <v>1239</v>
      </c>
      <c r="H330" s="16">
        <v>1.0</v>
      </c>
      <c r="I330" s="23">
        <v>1545.31</v>
      </c>
      <c r="J330" s="23">
        <v>1545.31</v>
      </c>
      <c r="BO330" s="23">
        <v>1545.31</v>
      </c>
      <c r="BR330" s="23">
        <v>1545.31</v>
      </c>
      <c r="BU330" s="16" t="s">
        <v>539</v>
      </c>
      <c r="BV330" s="16" t="s">
        <v>1100</v>
      </c>
      <c r="BW330" s="16"/>
      <c r="BX330" s="16"/>
      <c r="BY330" s="16"/>
    </row>
    <row r="331">
      <c r="A331" s="16" t="s">
        <v>2122</v>
      </c>
      <c r="B331" s="16" t="s">
        <v>35</v>
      </c>
      <c r="C331" s="22">
        <v>45415.0</v>
      </c>
      <c r="D331" s="16" t="s">
        <v>112</v>
      </c>
      <c r="E331" s="16" t="s">
        <v>2123</v>
      </c>
      <c r="F331" s="16" t="s">
        <v>157</v>
      </c>
      <c r="G331" s="16" t="s">
        <v>159</v>
      </c>
      <c r="H331" s="23">
        <v>10.0</v>
      </c>
      <c r="I331" s="23">
        <v>13.5</v>
      </c>
      <c r="J331" s="23">
        <v>135.0</v>
      </c>
      <c r="K331" s="16" t="s">
        <v>155</v>
      </c>
      <c r="L331" s="23">
        <v>1.0</v>
      </c>
      <c r="M331" s="23">
        <v>43.02</v>
      </c>
      <c r="N331" s="23">
        <v>43.02</v>
      </c>
      <c r="O331" s="16" t="s">
        <v>230</v>
      </c>
      <c r="P331" s="23">
        <v>8.0</v>
      </c>
      <c r="Q331" s="23">
        <v>22.0</v>
      </c>
      <c r="R331" s="23">
        <v>176.0</v>
      </c>
      <c r="S331" s="16" t="s">
        <v>152</v>
      </c>
      <c r="T331" s="23">
        <v>1.0</v>
      </c>
      <c r="U331" s="23">
        <v>15.03</v>
      </c>
      <c r="V331" s="23">
        <v>15.03</v>
      </c>
      <c r="W331" s="16" t="s">
        <v>226</v>
      </c>
      <c r="X331" s="23">
        <v>1.0</v>
      </c>
      <c r="Y331" s="23">
        <v>112.5</v>
      </c>
      <c r="Z331" s="23">
        <v>112.5</v>
      </c>
      <c r="AD331" s="23">
        <v>0.0</v>
      </c>
      <c r="AH331" s="23">
        <v>0.0</v>
      </c>
      <c r="AL331" s="23">
        <v>0.0</v>
      </c>
      <c r="AP331" s="23">
        <v>0.0</v>
      </c>
      <c r="AT331" s="23">
        <v>0.0</v>
      </c>
      <c r="AX331" s="23">
        <v>0.0</v>
      </c>
      <c r="BF331" s="23">
        <v>0.0</v>
      </c>
      <c r="BJ331" s="23">
        <v>0.0</v>
      </c>
      <c r="BN331" s="23">
        <v>0.0</v>
      </c>
      <c r="BO331" s="23">
        <v>481.55</v>
      </c>
      <c r="BP331" s="16" t="s">
        <v>2125</v>
      </c>
      <c r="BQ331" s="16" t="b">
        <v>1</v>
      </c>
      <c r="BR331" s="23">
        <v>481.55</v>
      </c>
      <c r="BS331" s="23">
        <v>882739.0</v>
      </c>
      <c r="BT331" s="16" t="b">
        <v>1</v>
      </c>
      <c r="BU331" s="16" t="s">
        <v>546</v>
      </c>
    </row>
    <row r="332">
      <c r="A332" s="16" t="s">
        <v>2127</v>
      </c>
      <c r="B332" s="16" t="s">
        <v>35</v>
      </c>
      <c r="C332" s="22">
        <v>45415.0</v>
      </c>
      <c r="D332" s="16" t="s">
        <v>2129</v>
      </c>
      <c r="E332" s="16" t="s">
        <v>2130</v>
      </c>
      <c r="F332" s="16" t="s">
        <v>2132</v>
      </c>
      <c r="G332" s="16" t="s">
        <v>305</v>
      </c>
      <c r="H332" s="23">
        <v>1.0</v>
      </c>
      <c r="I332" s="23">
        <v>147.35</v>
      </c>
      <c r="J332" s="23">
        <v>147.35</v>
      </c>
      <c r="N332" s="23">
        <v>0.0</v>
      </c>
      <c r="R332" s="23">
        <v>0.0</v>
      </c>
      <c r="V332" s="23">
        <v>0.0</v>
      </c>
      <c r="Z332" s="23">
        <v>0.0</v>
      </c>
      <c r="AD332" s="23">
        <v>0.0</v>
      </c>
      <c r="AH332" s="23">
        <v>0.0</v>
      </c>
      <c r="AL332" s="23">
        <v>0.0</v>
      </c>
      <c r="AP332" s="23">
        <v>0.0</v>
      </c>
      <c r="AT332" s="23">
        <v>0.0</v>
      </c>
      <c r="AX332" s="23">
        <v>0.0</v>
      </c>
      <c r="BF332" s="23">
        <v>0.0</v>
      </c>
      <c r="BJ332" s="23">
        <v>0.0</v>
      </c>
      <c r="BN332" s="23">
        <v>0.0</v>
      </c>
      <c r="BO332" s="23">
        <v>147.35</v>
      </c>
      <c r="BP332" s="16" t="s">
        <v>2131</v>
      </c>
      <c r="BQ332" s="16" t="b">
        <v>1</v>
      </c>
      <c r="BR332" s="23">
        <v>147.35</v>
      </c>
      <c r="BT332" s="16" t="b">
        <v>0</v>
      </c>
      <c r="BU332" s="16" t="s">
        <v>546</v>
      </c>
    </row>
    <row r="333">
      <c r="A333" s="16" t="s">
        <v>2135</v>
      </c>
      <c r="B333" s="16" t="s">
        <v>35</v>
      </c>
      <c r="C333" s="22">
        <v>45418.0</v>
      </c>
      <c r="D333" s="16" t="s">
        <v>543</v>
      </c>
      <c r="E333" s="16" t="s">
        <v>2137</v>
      </c>
      <c r="F333" s="16" t="s">
        <v>140</v>
      </c>
      <c r="G333" s="16">
        <v>1.2539885E7</v>
      </c>
      <c r="H333" s="23">
        <v>1.0</v>
      </c>
      <c r="I333" s="23">
        <v>300.0</v>
      </c>
      <c r="J333" s="23">
        <v>300.0</v>
      </c>
      <c r="N333" s="23">
        <v>0.0</v>
      </c>
      <c r="R333" s="23">
        <v>0.0</v>
      </c>
      <c r="V333" s="23">
        <v>0.0</v>
      </c>
      <c r="Z333" s="23">
        <v>0.0</v>
      </c>
      <c r="AD333" s="23">
        <v>0.0</v>
      </c>
      <c r="AH333" s="23">
        <v>0.0</v>
      </c>
      <c r="AL333" s="23">
        <v>0.0</v>
      </c>
      <c r="AP333" s="23">
        <v>0.0</v>
      </c>
      <c r="AT333" s="23">
        <v>0.0</v>
      </c>
      <c r="AX333" s="23">
        <v>0.0</v>
      </c>
      <c r="BF333" s="23">
        <v>0.0</v>
      </c>
      <c r="BJ333" s="23">
        <v>0.0</v>
      </c>
      <c r="BN333" s="23">
        <v>0.0</v>
      </c>
      <c r="BO333" s="23">
        <v>300.0</v>
      </c>
      <c r="BP333" s="16" t="s">
        <v>2138</v>
      </c>
      <c r="BQ333" s="16" t="b">
        <v>1</v>
      </c>
      <c r="BR333" s="23">
        <v>300.0</v>
      </c>
      <c r="BS333" s="23">
        <v>887543.0</v>
      </c>
      <c r="BT333" s="16" t="b">
        <v>1</v>
      </c>
      <c r="BU333" s="16" t="s">
        <v>546</v>
      </c>
    </row>
    <row r="334">
      <c r="A334" s="16" t="s">
        <v>2140</v>
      </c>
      <c r="B334" s="16" t="s">
        <v>35</v>
      </c>
      <c r="C334" s="22">
        <v>45418.0</v>
      </c>
      <c r="D334" s="16" t="s">
        <v>112</v>
      </c>
      <c r="E334" s="16" t="s">
        <v>2142</v>
      </c>
      <c r="F334" s="16" t="s">
        <v>157</v>
      </c>
      <c r="G334" s="16" t="s">
        <v>159</v>
      </c>
      <c r="H334" s="23">
        <v>15.0</v>
      </c>
      <c r="I334" s="23">
        <v>13.5</v>
      </c>
      <c r="J334" s="23">
        <v>202.5</v>
      </c>
      <c r="K334" s="16" t="s">
        <v>155</v>
      </c>
      <c r="L334" s="23">
        <v>1.0</v>
      </c>
      <c r="M334" s="23">
        <v>70.2</v>
      </c>
      <c r="N334" s="23">
        <v>70.2</v>
      </c>
      <c r="O334" s="16" t="s">
        <v>3090</v>
      </c>
      <c r="P334" s="23">
        <v>1.0</v>
      </c>
      <c r="Q334" s="23">
        <v>3.56</v>
      </c>
      <c r="R334" s="23">
        <v>3.56</v>
      </c>
      <c r="S334" s="16" t="s">
        <v>230</v>
      </c>
      <c r="T334" s="23">
        <v>1.0</v>
      </c>
      <c r="U334" s="23">
        <v>159.12</v>
      </c>
      <c r="V334" s="23">
        <v>159.12</v>
      </c>
      <c r="W334" s="16" t="s">
        <v>226</v>
      </c>
      <c r="X334" s="23">
        <v>15.0</v>
      </c>
      <c r="Y334" s="23">
        <v>7.5</v>
      </c>
      <c r="Z334" s="23">
        <v>112.5</v>
      </c>
      <c r="AD334" s="23">
        <v>0.0</v>
      </c>
      <c r="AH334" s="23">
        <v>0.0</v>
      </c>
      <c r="AL334" s="23">
        <v>0.0</v>
      </c>
      <c r="AP334" s="23">
        <v>0.0</v>
      </c>
      <c r="AT334" s="23">
        <v>0.0</v>
      </c>
      <c r="AX334" s="23">
        <v>0.0</v>
      </c>
      <c r="BF334" s="23">
        <v>0.0</v>
      </c>
      <c r="BJ334" s="23">
        <v>0.0</v>
      </c>
      <c r="BN334" s="23">
        <v>0.0</v>
      </c>
      <c r="BO334" s="23">
        <v>547.88</v>
      </c>
      <c r="BP334" s="16" t="s">
        <v>2143</v>
      </c>
      <c r="BQ334" s="16" t="b">
        <v>1</v>
      </c>
      <c r="BR334" s="23">
        <v>547.88</v>
      </c>
      <c r="BS334" s="16" t="s">
        <v>2144</v>
      </c>
      <c r="BT334" s="16" t="b">
        <v>1</v>
      </c>
      <c r="BU334" s="16" t="s">
        <v>546</v>
      </c>
    </row>
    <row r="335">
      <c r="A335" s="16" t="s">
        <v>2146</v>
      </c>
      <c r="B335" s="16" t="s">
        <v>35</v>
      </c>
      <c r="C335" s="22">
        <v>45419.0</v>
      </c>
      <c r="D335" s="16" t="s">
        <v>890</v>
      </c>
      <c r="F335" s="16" t="s">
        <v>2147</v>
      </c>
      <c r="G335" s="16" t="s">
        <v>1517</v>
      </c>
      <c r="H335" s="16">
        <v>1.0</v>
      </c>
      <c r="I335" s="23">
        <v>10216.38</v>
      </c>
      <c r="J335" s="23">
        <v>10216.38</v>
      </c>
      <c r="BO335" s="23">
        <v>10216.38</v>
      </c>
      <c r="BR335" s="23">
        <v>10216.38</v>
      </c>
      <c r="BU335" s="16" t="s">
        <v>539</v>
      </c>
    </row>
    <row r="336">
      <c r="A336" s="16" t="s">
        <v>2150</v>
      </c>
      <c r="B336" s="16" t="s">
        <v>35</v>
      </c>
      <c r="C336" s="22">
        <v>45419.0</v>
      </c>
      <c r="F336" s="16" t="s">
        <v>2151</v>
      </c>
      <c r="G336" s="16" t="s">
        <v>1270</v>
      </c>
      <c r="H336" s="16">
        <v>1.0</v>
      </c>
      <c r="I336" s="23">
        <v>7000.0</v>
      </c>
      <c r="J336" s="23">
        <v>7000.0</v>
      </c>
      <c r="BO336" s="23">
        <v>7000.0</v>
      </c>
      <c r="BR336" s="23">
        <v>7000.0</v>
      </c>
      <c r="BU336" s="16" t="s">
        <v>539</v>
      </c>
      <c r="BV336" s="16" t="s">
        <v>671</v>
      </c>
      <c r="BW336" s="16"/>
      <c r="BX336" s="16"/>
      <c r="BY336" s="16"/>
    </row>
    <row r="337">
      <c r="A337" s="16" t="s">
        <v>2153</v>
      </c>
      <c r="B337" s="16" t="s">
        <v>35</v>
      </c>
      <c r="C337" s="22">
        <v>45419.0</v>
      </c>
      <c r="F337" s="16" t="s">
        <v>2151</v>
      </c>
      <c r="G337" s="16" t="s">
        <v>1270</v>
      </c>
      <c r="H337" s="16">
        <v>1.0</v>
      </c>
      <c r="I337" s="23">
        <v>7000.0</v>
      </c>
      <c r="J337" s="23">
        <v>7000.0</v>
      </c>
      <c r="BO337" s="23">
        <v>7000.0</v>
      </c>
      <c r="BR337" s="23">
        <v>7000.0</v>
      </c>
      <c r="BU337" s="16" t="s">
        <v>539</v>
      </c>
      <c r="BV337" s="16" t="s">
        <v>682</v>
      </c>
      <c r="BW337" s="16"/>
      <c r="BX337" s="16"/>
      <c r="BY337" s="16"/>
    </row>
    <row r="338">
      <c r="A338" s="16" t="s">
        <v>2155</v>
      </c>
      <c r="B338" s="16" t="s">
        <v>35</v>
      </c>
      <c r="C338" s="22">
        <v>45419.0</v>
      </c>
      <c r="F338" s="16" t="s">
        <v>2151</v>
      </c>
      <c r="G338" s="16" t="s">
        <v>1270</v>
      </c>
      <c r="H338" s="16">
        <v>1.0</v>
      </c>
      <c r="I338" s="23">
        <v>7000.0</v>
      </c>
      <c r="J338" s="23">
        <v>7000.0</v>
      </c>
      <c r="BO338" s="23">
        <v>7000.0</v>
      </c>
      <c r="BR338" s="23">
        <v>7000.0</v>
      </c>
      <c r="BU338" s="16" t="s">
        <v>539</v>
      </c>
      <c r="BV338" s="16" t="s">
        <v>668</v>
      </c>
      <c r="BW338" s="16"/>
      <c r="BX338" s="16"/>
      <c r="BY338" s="16"/>
    </row>
    <row r="339">
      <c r="A339" s="16" t="s">
        <v>2157</v>
      </c>
      <c r="B339" s="16" t="s">
        <v>35</v>
      </c>
      <c r="C339" s="22">
        <v>45420.0</v>
      </c>
      <c r="D339" s="16" t="s">
        <v>353</v>
      </c>
      <c r="E339" s="16" t="s">
        <v>2158</v>
      </c>
      <c r="F339" s="16" t="s">
        <v>605</v>
      </c>
      <c r="G339" s="16" t="s">
        <v>797</v>
      </c>
      <c r="H339" s="23">
        <v>1.0</v>
      </c>
      <c r="I339" s="23">
        <v>93.5</v>
      </c>
      <c r="J339" s="23">
        <v>93.5</v>
      </c>
      <c r="K339" s="16" t="s">
        <v>802</v>
      </c>
      <c r="L339" s="23">
        <v>1.0</v>
      </c>
      <c r="M339" s="23">
        <v>80.95</v>
      </c>
      <c r="N339" s="23">
        <v>80.95</v>
      </c>
      <c r="R339" s="23">
        <v>0.0</v>
      </c>
      <c r="V339" s="23">
        <v>0.0</v>
      </c>
      <c r="Z339" s="23">
        <v>0.0</v>
      </c>
      <c r="AD339" s="23">
        <v>0.0</v>
      </c>
      <c r="AH339" s="23">
        <v>0.0</v>
      </c>
      <c r="AL339" s="23">
        <v>0.0</v>
      </c>
      <c r="AP339" s="23">
        <v>0.0</v>
      </c>
      <c r="AT339" s="23">
        <v>0.0</v>
      </c>
      <c r="AX339" s="23">
        <v>0.0</v>
      </c>
      <c r="BF339" s="23">
        <v>0.0</v>
      </c>
      <c r="BJ339" s="23">
        <v>0.0</v>
      </c>
      <c r="BN339" s="23">
        <v>0.0</v>
      </c>
      <c r="BO339" s="23">
        <v>174.45</v>
      </c>
      <c r="BP339" s="16" t="s">
        <v>2160</v>
      </c>
      <c r="BQ339" s="16" t="b">
        <v>1</v>
      </c>
      <c r="BR339" s="23">
        <v>174.45</v>
      </c>
      <c r="BS339" s="23">
        <v>899444.0</v>
      </c>
      <c r="BT339" s="16" t="b">
        <v>1</v>
      </c>
      <c r="BU339" s="16" t="s">
        <v>546</v>
      </c>
    </row>
    <row r="340">
      <c r="A340" s="16" t="s">
        <v>2164</v>
      </c>
      <c r="B340" s="16" t="s">
        <v>35</v>
      </c>
      <c r="C340" s="22">
        <v>45420.0</v>
      </c>
      <c r="D340" s="16" t="s">
        <v>2165</v>
      </c>
      <c r="E340" s="16" t="s">
        <v>2166</v>
      </c>
      <c r="F340" s="16" t="s">
        <v>2168</v>
      </c>
      <c r="G340" s="16" t="s">
        <v>802</v>
      </c>
      <c r="H340" s="23">
        <v>1.0</v>
      </c>
      <c r="I340" s="23">
        <v>331.92</v>
      </c>
      <c r="J340" s="23">
        <v>331.92</v>
      </c>
      <c r="N340" s="23">
        <v>0.0</v>
      </c>
      <c r="R340" s="23">
        <v>0.0</v>
      </c>
      <c r="V340" s="23">
        <v>0.0</v>
      </c>
      <c r="Z340" s="23">
        <v>0.0</v>
      </c>
      <c r="AD340" s="23">
        <v>0.0</v>
      </c>
      <c r="AH340" s="23">
        <v>0.0</v>
      </c>
      <c r="AL340" s="23">
        <v>0.0</v>
      </c>
      <c r="AP340" s="23">
        <v>0.0</v>
      </c>
      <c r="AT340" s="23">
        <v>0.0</v>
      </c>
      <c r="AX340" s="23">
        <v>0.0</v>
      </c>
      <c r="BF340" s="23">
        <v>0.0</v>
      </c>
      <c r="BJ340" s="23">
        <v>0.0</v>
      </c>
      <c r="BN340" s="23">
        <v>0.0</v>
      </c>
      <c r="BO340" s="23">
        <v>331.92</v>
      </c>
      <c r="BP340" s="16" t="s">
        <v>2167</v>
      </c>
      <c r="BQ340" s="16" t="b">
        <v>1</v>
      </c>
      <c r="BR340" s="23">
        <v>331.92</v>
      </c>
      <c r="BS340" s="23">
        <v>891746.0</v>
      </c>
      <c r="BT340" s="16" t="b">
        <v>1</v>
      </c>
      <c r="BU340" s="16" t="s">
        <v>546</v>
      </c>
    </row>
    <row r="341">
      <c r="A341" s="16" t="s">
        <v>2170</v>
      </c>
      <c r="B341" s="16" t="s">
        <v>35</v>
      </c>
      <c r="C341" s="22">
        <v>45420.0</v>
      </c>
      <c r="D341" s="16" t="s">
        <v>2165</v>
      </c>
      <c r="E341" s="16" t="s">
        <v>2166</v>
      </c>
      <c r="F341" s="16" t="s">
        <v>2168</v>
      </c>
      <c r="G341" s="16" t="s">
        <v>3131</v>
      </c>
      <c r="H341" s="23">
        <v>1.0</v>
      </c>
      <c r="I341" s="23">
        <v>229.88</v>
      </c>
      <c r="J341" s="23">
        <v>229.88</v>
      </c>
      <c r="K341" s="16" t="s">
        <v>794</v>
      </c>
      <c r="L341" s="23">
        <v>1.0</v>
      </c>
      <c r="M341" s="23">
        <v>229.88</v>
      </c>
      <c r="N341" s="23">
        <v>229.88</v>
      </c>
      <c r="O341" s="16" t="s">
        <v>249</v>
      </c>
      <c r="P341" s="23">
        <v>1.0</v>
      </c>
      <c r="Q341" s="23">
        <v>229.88</v>
      </c>
      <c r="R341" s="23">
        <v>229.88</v>
      </c>
      <c r="S341" s="16" t="s">
        <v>2777</v>
      </c>
      <c r="T341" s="23">
        <v>1.0</v>
      </c>
      <c r="U341" s="23">
        <v>229.88</v>
      </c>
      <c r="V341" s="23">
        <v>229.88</v>
      </c>
      <c r="Z341" s="23">
        <v>0.0</v>
      </c>
      <c r="AD341" s="23">
        <v>0.0</v>
      </c>
      <c r="AH341" s="23">
        <v>0.0</v>
      </c>
      <c r="AL341" s="23">
        <v>0.0</v>
      </c>
      <c r="AP341" s="23">
        <v>0.0</v>
      </c>
      <c r="AT341" s="23">
        <v>0.0</v>
      </c>
      <c r="AX341" s="23">
        <v>0.0</v>
      </c>
      <c r="BF341" s="23">
        <v>0.0</v>
      </c>
      <c r="BJ341" s="23">
        <v>0.0</v>
      </c>
      <c r="BN341" s="23">
        <v>0.0</v>
      </c>
      <c r="BO341" s="23">
        <v>919.52</v>
      </c>
      <c r="BP341" s="16" t="s">
        <v>2171</v>
      </c>
      <c r="BQ341" s="16" t="b">
        <v>1</v>
      </c>
      <c r="BR341" s="23">
        <v>919.52</v>
      </c>
      <c r="BS341" s="23">
        <v>891747.0</v>
      </c>
      <c r="BT341" s="16" t="b">
        <v>1</v>
      </c>
      <c r="BU341" s="16" t="s">
        <v>546</v>
      </c>
    </row>
    <row r="342">
      <c r="A342" s="16" t="s">
        <v>2174</v>
      </c>
      <c r="B342" s="16" t="s">
        <v>35</v>
      </c>
      <c r="C342" s="22">
        <v>45421.0</v>
      </c>
      <c r="D342" s="16" t="s">
        <v>2175</v>
      </c>
      <c r="E342" s="16" t="s">
        <v>2176</v>
      </c>
      <c r="F342" s="16" t="s">
        <v>2178</v>
      </c>
      <c r="G342" s="16" t="s">
        <v>1195</v>
      </c>
      <c r="H342" s="23">
        <v>3.0</v>
      </c>
      <c r="I342" s="23">
        <v>23.0</v>
      </c>
      <c r="J342" s="23">
        <v>69.0</v>
      </c>
      <c r="K342" s="16" t="s">
        <v>1197</v>
      </c>
      <c r="L342" s="23">
        <v>4.0</v>
      </c>
      <c r="M342" s="23">
        <v>21.0</v>
      </c>
      <c r="N342" s="23">
        <v>84.0</v>
      </c>
      <c r="O342" s="16" t="s">
        <v>266</v>
      </c>
      <c r="P342" s="23">
        <v>2.0</v>
      </c>
      <c r="Q342" s="23">
        <v>23.0</v>
      </c>
      <c r="R342" s="23">
        <v>46.0</v>
      </c>
      <c r="S342" s="16" t="s">
        <v>1046</v>
      </c>
      <c r="T342" s="23">
        <v>2.0</v>
      </c>
      <c r="U342" s="23">
        <v>31.0</v>
      </c>
      <c r="V342" s="23">
        <v>62.0</v>
      </c>
      <c r="W342" s="16">
        <v>7.9788768E7</v>
      </c>
      <c r="X342" s="23">
        <v>5.0</v>
      </c>
      <c r="Y342" s="23">
        <v>4.5</v>
      </c>
      <c r="Z342" s="23">
        <v>22.5</v>
      </c>
      <c r="AD342" s="23">
        <v>0.0</v>
      </c>
      <c r="AH342" s="23">
        <v>0.0</v>
      </c>
      <c r="AL342" s="23">
        <v>0.0</v>
      </c>
      <c r="AP342" s="23">
        <v>0.0</v>
      </c>
      <c r="AT342" s="23">
        <v>0.0</v>
      </c>
      <c r="AX342" s="23">
        <v>0.0</v>
      </c>
      <c r="BF342" s="23">
        <v>0.0</v>
      </c>
      <c r="BJ342" s="23">
        <v>0.0</v>
      </c>
      <c r="BN342" s="23">
        <v>0.0</v>
      </c>
      <c r="BO342" s="23">
        <v>283.5</v>
      </c>
      <c r="BP342" s="16" t="s">
        <v>2177</v>
      </c>
      <c r="BQ342" s="16" t="b">
        <v>1</v>
      </c>
      <c r="BR342" s="23">
        <v>283.5</v>
      </c>
      <c r="BS342" s="23">
        <v>899315.0</v>
      </c>
      <c r="BT342" s="16" t="b">
        <v>1</v>
      </c>
      <c r="BU342" s="16" t="s">
        <v>546</v>
      </c>
    </row>
    <row r="343">
      <c r="A343" s="16" t="s">
        <v>2181</v>
      </c>
      <c r="B343" s="16" t="s">
        <v>35</v>
      </c>
      <c r="C343" s="22">
        <v>45421.0</v>
      </c>
      <c r="D343" s="23">
        <v>2.6065919E7</v>
      </c>
      <c r="E343" s="16" t="s">
        <v>2182</v>
      </c>
      <c r="F343" s="16" t="s">
        <v>1624</v>
      </c>
      <c r="G343" s="16" t="s">
        <v>1022</v>
      </c>
      <c r="H343" s="23">
        <v>1.0</v>
      </c>
      <c r="I343" s="23">
        <v>225.0</v>
      </c>
      <c r="J343" s="23">
        <v>225.0</v>
      </c>
      <c r="N343" s="23">
        <v>0.0</v>
      </c>
      <c r="R343" s="23">
        <v>0.0</v>
      </c>
      <c r="V343" s="23">
        <v>0.0</v>
      </c>
      <c r="Z343" s="23">
        <v>0.0</v>
      </c>
      <c r="AD343" s="23">
        <v>0.0</v>
      </c>
      <c r="AH343" s="23">
        <v>0.0</v>
      </c>
      <c r="AL343" s="23">
        <v>0.0</v>
      </c>
      <c r="AP343" s="23">
        <v>0.0</v>
      </c>
      <c r="AT343" s="23">
        <v>0.0</v>
      </c>
      <c r="AX343" s="23">
        <v>0.0</v>
      </c>
      <c r="BF343" s="23">
        <v>0.0</v>
      </c>
      <c r="BJ343" s="23">
        <v>0.0</v>
      </c>
      <c r="BN343" s="23">
        <v>0.0</v>
      </c>
      <c r="BO343" s="23">
        <v>225.0</v>
      </c>
      <c r="BP343" s="16" t="s">
        <v>2183</v>
      </c>
      <c r="BQ343" s="16" t="b">
        <v>1</v>
      </c>
      <c r="BR343" s="23">
        <v>225.0</v>
      </c>
      <c r="BS343" s="23">
        <v>891530.0</v>
      </c>
      <c r="BT343" s="16" t="b">
        <v>1</v>
      </c>
      <c r="BU343" s="16" t="s">
        <v>546</v>
      </c>
    </row>
    <row r="344">
      <c r="A344" s="16" t="s">
        <v>2186</v>
      </c>
      <c r="B344" s="16" t="s">
        <v>35</v>
      </c>
      <c r="C344" s="22">
        <v>45421.0</v>
      </c>
      <c r="D344" s="16" t="s">
        <v>112</v>
      </c>
      <c r="E344" s="16" t="s">
        <v>2187</v>
      </c>
      <c r="F344" s="16" t="s">
        <v>157</v>
      </c>
      <c r="G344" s="16" t="s">
        <v>159</v>
      </c>
      <c r="H344" s="23">
        <v>10.0</v>
      </c>
      <c r="I344" s="23">
        <v>13.5</v>
      </c>
      <c r="J344" s="23">
        <v>135.0</v>
      </c>
      <c r="K344" s="16" t="s">
        <v>155</v>
      </c>
      <c r="L344" s="23">
        <v>1.0</v>
      </c>
      <c r="M344" s="23">
        <v>61.88</v>
      </c>
      <c r="N344" s="23">
        <v>61.88</v>
      </c>
      <c r="O344" s="16" t="s">
        <v>230</v>
      </c>
      <c r="P344" s="23">
        <v>1.0</v>
      </c>
      <c r="Q344" s="23">
        <v>209.17</v>
      </c>
      <c r="R344" s="23">
        <v>209.17</v>
      </c>
      <c r="S344" s="16" t="s">
        <v>152</v>
      </c>
      <c r="T344" s="23">
        <v>1.0</v>
      </c>
      <c r="U344" s="23">
        <v>11.59</v>
      </c>
      <c r="V344" s="23">
        <v>11.59</v>
      </c>
      <c r="Z344" s="23">
        <v>0.0</v>
      </c>
      <c r="AD344" s="23">
        <v>0.0</v>
      </c>
      <c r="AH344" s="23">
        <v>0.0</v>
      </c>
      <c r="AL344" s="23">
        <v>0.0</v>
      </c>
      <c r="AP344" s="23">
        <v>0.0</v>
      </c>
      <c r="AT344" s="23">
        <v>0.0</v>
      </c>
      <c r="AX344" s="23">
        <v>0.0</v>
      </c>
      <c r="BF344" s="23">
        <v>0.0</v>
      </c>
      <c r="BJ344" s="23">
        <v>0.0</v>
      </c>
      <c r="BN344" s="23">
        <v>0.0</v>
      </c>
      <c r="BO344" s="23">
        <v>417.64</v>
      </c>
      <c r="BP344" s="16" t="s">
        <v>2189</v>
      </c>
      <c r="BQ344" s="16" t="b">
        <v>1</v>
      </c>
      <c r="BR344" s="23">
        <v>417.64</v>
      </c>
      <c r="BS344" s="23">
        <v>891531.0</v>
      </c>
      <c r="BT344" s="16" t="b">
        <v>1</v>
      </c>
      <c r="BU344" s="16" t="s">
        <v>546</v>
      </c>
    </row>
    <row r="345">
      <c r="A345" s="16" t="s">
        <v>2191</v>
      </c>
      <c r="B345" s="16" t="s">
        <v>35</v>
      </c>
      <c r="C345" s="22">
        <v>45421.0</v>
      </c>
      <c r="D345" s="16" t="s">
        <v>2192</v>
      </c>
      <c r="F345" s="16" t="s">
        <v>2194</v>
      </c>
      <c r="G345" s="16" t="s">
        <v>3162</v>
      </c>
      <c r="H345" s="16">
        <v>1.0</v>
      </c>
      <c r="I345" s="23">
        <v>370.0</v>
      </c>
      <c r="J345" s="23">
        <v>370.0</v>
      </c>
      <c r="BO345" s="23">
        <v>370.0</v>
      </c>
      <c r="BR345" s="23">
        <v>370.0</v>
      </c>
      <c r="BU345" s="16" t="s">
        <v>539</v>
      </c>
    </row>
    <row r="346">
      <c r="A346" s="16" t="s">
        <v>2196</v>
      </c>
      <c r="B346" s="16" t="s">
        <v>35</v>
      </c>
      <c r="C346" s="22">
        <v>45424.0</v>
      </c>
      <c r="D346" s="16" t="s">
        <v>2197</v>
      </c>
      <c r="E346" s="16" t="s">
        <v>2199</v>
      </c>
      <c r="F346" s="16" t="s">
        <v>2201</v>
      </c>
      <c r="G346" s="16" t="s">
        <v>305</v>
      </c>
      <c r="H346" s="23">
        <v>1.0</v>
      </c>
      <c r="I346" s="23">
        <v>32.98</v>
      </c>
      <c r="J346" s="23">
        <v>32.98</v>
      </c>
      <c r="N346" s="23">
        <v>0.0</v>
      </c>
      <c r="R346" s="23">
        <v>0.0</v>
      </c>
      <c r="V346" s="23">
        <v>0.0</v>
      </c>
      <c r="Z346" s="23">
        <v>0.0</v>
      </c>
      <c r="AD346" s="23">
        <v>0.0</v>
      </c>
      <c r="AH346" s="23">
        <v>0.0</v>
      </c>
      <c r="AL346" s="23">
        <v>0.0</v>
      </c>
      <c r="AP346" s="23">
        <v>0.0</v>
      </c>
      <c r="AT346" s="23">
        <v>0.0</v>
      </c>
      <c r="AX346" s="23">
        <v>0.0</v>
      </c>
      <c r="BF346" s="23">
        <v>0.0</v>
      </c>
      <c r="BJ346" s="23">
        <v>0.0</v>
      </c>
      <c r="BN346" s="23">
        <v>0.0</v>
      </c>
      <c r="BO346" s="23">
        <v>32.98</v>
      </c>
      <c r="BP346" s="16" t="s">
        <v>2200</v>
      </c>
      <c r="BQ346" s="16" t="b">
        <v>1</v>
      </c>
      <c r="BR346" s="23">
        <v>32.98</v>
      </c>
      <c r="BS346" s="23">
        <v>895571.0</v>
      </c>
      <c r="BT346" s="16" t="b">
        <v>1</v>
      </c>
      <c r="BU346" s="16" t="s">
        <v>546</v>
      </c>
    </row>
    <row r="347">
      <c r="A347" s="16" t="s">
        <v>2203</v>
      </c>
      <c r="B347" s="16" t="s">
        <v>35</v>
      </c>
      <c r="C347" s="22">
        <v>45425.0</v>
      </c>
      <c r="D347" s="16" t="s">
        <v>543</v>
      </c>
      <c r="E347" s="16" t="s">
        <v>2205</v>
      </c>
      <c r="F347" s="16" t="s">
        <v>171</v>
      </c>
      <c r="G347" s="16">
        <v>1.2539885E7</v>
      </c>
      <c r="H347" s="23">
        <v>1.0</v>
      </c>
      <c r="I347" s="23">
        <v>200.0</v>
      </c>
      <c r="J347" s="23">
        <v>200.0</v>
      </c>
      <c r="N347" s="23">
        <v>0.0</v>
      </c>
      <c r="R347" s="23">
        <v>0.0</v>
      </c>
      <c r="V347" s="23">
        <v>0.0</v>
      </c>
      <c r="Z347" s="23">
        <v>0.0</v>
      </c>
      <c r="AD347" s="23">
        <v>0.0</v>
      </c>
      <c r="AH347" s="23">
        <v>0.0</v>
      </c>
      <c r="AL347" s="23">
        <v>0.0</v>
      </c>
      <c r="AP347" s="23">
        <v>0.0</v>
      </c>
      <c r="AT347" s="23">
        <v>0.0</v>
      </c>
      <c r="AX347" s="23">
        <v>0.0</v>
      </c>
      <c r="BF347" s="23">
        <v>0.0</v>
      </c>
      <c r="BJ347" s="23">
        <v>0.0</v>
      </c>
      <c r="BN347" s="23">
        <v>0.0</v>
      </c>
      <c r="BO347" s="23">
        <v>200.0</v>
      </c>
      <c r="BP347" s="16" t="s">
        <v>2207</v>
      </c>
      <c r="BQ347" s="16" t="b">
        <v>1</v>
      </c>
      <c r="BR347" s="23">
        <v>200.0</v>
      </c>
      <c r="BS347" s="23">
        <v>893785.0</v>
      </c>
      <c r="BT347" s="16" t="b">
        <v>1</v>
      </c>
      <c r="BU347" s="16" t="s">
        <v>546</v>
      </c>
    </row>
    <row r="348">
      <c r="A348" s="16" t="s">
        <v>2209</v>
      </c>
      <c r="B348" s="16" t="s">
        <v>35</v>
      </c>
      <c r="C348" s="22">
        <v>45425.0</v>
      </c>
      <c r="D348" s="16" t="s">
        <v>112</v>
      </c>
      <c r="E348" s="16" t="s">
        <v>2211</v>
      </c>
      <c r="F348" s="16" t="s">
        <v>157</v>
      </c>
      <c r="G348" s="16" t="s">
        <v>159</v>
      </c>
      <c r="H348" s="23">
        <v>10.0</v>
      </c>
      <c r="I348" s="23">
        <v>13.5</v>
      </c>
      <c r="J348" s="23">
        <v>135.0</v>
      </c>
      <c r="K348" s="16" t="s">
        <v>155</v>
      </c>
      <c r="L348" s="23">
        <v>1.0</v>
      </c>
      <c r="M348" s="23">
        <v>47.22</v>
      </c>
      <c r="N348" s="23">
        <v>47.22</v>
      </c>
      <c r="O348" s="16" t="s">
        <v>230</v>
      </c>
      <c r="P348" s="23">
        <v>1.0</v>
      </c>
      <c r="Q348" s="23">
        <v>180.84</v>
      </c>
      <c r="R348" s="23">
        <v>180.84</v>
      </c>
      <c r="S348" s="16" t="s">
        <v>226</v>
      </c>
      <c r="T348" s="23">
        <v>10.0</v>
      </c>
      <c r="U348" s="23">
        <v>7.5</v>
      </c>
      <c r="V348" s="23">
        <v>75.0</v>
      </c>
      <c r="Z348" s="23">
        <v>0.0</v>
      </c>
      <c r="AD348" s="23">
        <v>0.0</v>
      </c>
      <c r="AH348" s="23">
        <v>0.0</v>
      </c>
      <c r="AL348" s="23">
        <v>0.0</v>
      </c>
      <c r="AP348" s="23">
        <v>0.0</v>
      </c>
      <c r="AT348" s="23">
        <v>0.0</v>
      </c>
      <c r="AX348" s="23">
        <v>0.0</v>
      </c>
      <c r="BF348" s="23">
        <v>0.0</v>
      </c>
      <c r="BJ348" s="23">
        <v>0.0</v>
      </c>
      <c r="BN348" s="23">
        <v>0.0</v>
      </c>
      <c r="BO348" s="23">
        <v>438.06</v>
      </c>
      <c r="BP348" s="16" t="s">
        <v>2212</v>
      </c>
      <c r="BQ348" s="16" t="b">
        <v>1</v>
      </c>
      <c r="BR348" s="23">
        <v>438.06</v>
      </c>
      <c r="BS348" s="23">
        <v>893870.0</v>
      </c>
      <c r="BT348" s="16" t="b">
        <v>1</v>
      </c>
      <c r="BU348" s="16" t="s">
        <v>546</v>
      </c>
    </row>
    <row r="349">
      <c r="A349" s="16" t="s">
        <v>2214</v>
      </c>
      <c r="B349" s="16" t="s">
        <v>35</v>
      </c>
      <c r="C349" s="22">
        <v>45425.0</v>
      </c>
      <c r="D349" s="16" t="s">
        <v>353</v>
      </c>
      <c r="E349" s="16" t="s">
        <v>2216</v>
      </c>
      <c r="F349" s="16" t="s">
        <v>605</v>
      </c>
      <c r="G349" s="16" t="s">
        <v>2351</v>
      </c>
      <c r="H349" s="23">
        <v>1.0</v>
      </c>
      <c r="I349" s="23">
        <v>144.95</v>
      </c>
      <c r="J349" s="23">
        <v>144.95</v>
      </c>
      <c r="K349" s="16" t="s">
        <v>1343</v>
      </c>
      <c r="L349" s="23">
        <v>1.0</v>
      </c>
      <c r="M349" s="23">
        <v>171.0</v>
      </c>
      <c r="N349" s="23">
        <v>171.0</v>
      </c>
      <c r="R349" s="23">
        <v>0.0</v>
      </c>
      <c r="V349" s="23">
        <v>0.0</v>
      </c>
      <c r="Z349" s="23">
        <v>0.0</v>
      </c>
      <c r="AD349" s="23">
        <v>0.0</v>
      </c>
      <c r="AH349" s="23">
        <v>0.0</v>
      </c>
      <c r="AL349" s="23">
        <v>0.0</v>
      </c>
      <c r="AP349" s="23">
        <v>0.0</v>
      </c>
      <c r="AT349" s="23">
        <v>0.0</v>
      </c>
      <c r="AX349" s="23">
        <v>0.0</v>
      </c>
      <c r="BF349" s="23">
        <v>0.0</v>
      </c>
      <c r="BJ349" s="23">
        <v>0.0</v>
      </c>
      <c r="BN349" s="23">
        <v>0.0</v>
      </c>
      <c r="BO349" s="23">
        <v>315.95</v>
      </c>
      <c r="BP349" s="16" t="s">
        <v>2218</v>
      </c>
      <c r="BQ349" s="16" t="b">
        <v>1</v>
      </c>
      <c r="BR349" s="23">
        <v>315.95</v>
      </c>
      <c r="BS349" s="23">
        <v>897759.0</v>
      </c>
      <c r="BT349" s="16" t="b">
        <v>1</v>
      </c>
      <c r="BU349" s="16" t="s">
        <v>546</v>
      </c>
    </row>
    <row r="350">
      <c r="A350" s="16" t="s">
        <v>2222</v>
      </c>
      <c r="B350" s="16" t="s">
        <v>35</v>
      </c>
      <c r="C350" s="22">
        <v>45426.0</v>
      </c>
      <c r="D350" s="16" t="s">
        <v>1160</v>
      </c>
      <c r="F350" s="16" t="s">
        <v>2224</v>
      </c>
      <c r="G350" s="16" t="s">
        <v>1510</v>
      </c>
      <c r="H350" s="16">
        <v>1.0</v>
      </c>
      <c r="I350" s="23">
        <v>3145.0</v>
      </c>
      <c r="J350" s="23">
        <v>3145.0</v>
      </c>
      <c r="BO350" s="23">
        <v>3145.0</v>
      </c>
      <c r="BR350" s="23">
        <v>3145.0</v>
      </c>
      <c r="BU350" s="16" t="s">
        <v>539</v>
      </c>
    </row>
    <row r="351">
      <c r="A351" s="16" t="s">
        <v>2227</v>
      </c>
      <c r="B351" s="16" t="s">
        <v>35</v>
      </c>
      <c r="C351" s="22">
        <v>45426.0</v>
      </c>
      <c r="D351" s="16" t="s">
        <v>460</v>
      </c>
      <c r="F351" s="16" t="s">
        <v>2228</v>
      </c>
      <c r="G351" s="16" t="s">
        <v>1164</v>
      </c>
      <c r="H351" s="16">
        <v>1.0</v>
      </c>
      <c r="I351" s="23">
        <v>314.12</v>
      </c>
      <c r="J351" s="23">
        <v>314.12</v>
      </c>
      <c r="BO351" s="23">
        <v>314.12</v>
      </c>
      <c r="BR351" s="23">
        <v>314.12</v>
      </c>
      <c r="BU351" s="16" t="s">
        <v>539</v>
      </c>
    </row>
    <row r="352">
      <c r="A352" s="16" t="s">
        <v>2230</v>
      </c>
      <c r="B352" s="16" t="s">
        <v>35</v>
      </c>
      <c r="C352" s="22">
        <v>45426.0</v>
      </c>
      <c r="D352" s="16" t="s">
        <v>460</v>
      </c>
      <c r="F352" s="16" t="s">
        <v>2232</v>
      </c>
      <c r="G352" s="16" t="s">
        <v>305</v>
      </c>
      <c r="H352" s="16">
        <v>1.0</v>
      </c>
      <c r="I352" s="23">
        <v>112.0</v>
      </c>
      <c r="J352" s="23">
        <v>112.0</v>
      </c>
      <c r="BO352" s="23">
        <v>112.0</v>
      </c>
      <c r="BR352" s="23">
        <v>112.0</v>
      </c>
      <c r="BU352" s="16" t="s">
        <v>539</v>
      </c>
    </row>
    <row r="353">
      <c r="A353" s="16" t="s">
        <v>2234</v>
      </c>
      <c r="B353" s="16" t="s">
        <v>35</v>
      </c>
      <c r="C353" s="22">
        <v>45427.0</v>
      </c>
      <c r="D353" s="16" t="s">
        <v>112</v>
      </c>
      <c r="E353" s="16" t="s">
        <v>2235</v>
      </c>
      <c r="F353" s="16" t="s">
        <v>157</v>
      </c>
      <c r="G353" s="16" t="s">
        <v>230</v>
      </c>
      <c r="H353" s="23">
        <v>1.0</v>
      </c>
      <c r="I353" s="23">
        <v>107.9</v>
      </c>
      <c r="J353" s="23">
        <v>107.9</v>
      </c>
      <c r="K353" s="16" t="s">
        <v>152</v>
      </c>
      <c r="L353" s="23">
        <v>1.0</v>
      </c>
      <c r="M353" s="23">
        <v>9.43</v>
      </c>
      <c r="N353" s="23">
        <v>9.43</v>
      </c>
      <c r="R353" s="23">
        <v>0.0</v>
      </c>
      <c r="V353" s="23">
        <v>0.0</v>
      </c>
      <c r="Z353" s="23">
        <v>0.0</v>
      </c>
      <c r="AD353" s="23">
        <v>0.0</v>
      </c>
      <c r="AH353" s="23">
        <v>0.0</v>
      </c>
      <c r="AL353" s="23">
        <v>0.0</v>
      </c>
      <c r="AP353" s="23">
        <v>0.0</v>
      </c>
      <c r="AT353" s="23">
        <v>0.0</v>
      </c>
      <c r="AX353" s="23">
        <v>0.0</v>
      </c>
      <c r="BF353" s="23">
        <v>0.0</v>
      </c>
      <c r="BJ353" s="23">
        <v>0.0</v>
      </c>
      <c r="BN353" s="23">
        <v>0.0</v>
      </c>
      <c r="BO353" s="23">
        <v>117.33</v>
      </c>
      <c r="BP353" s="16" t="s">
        <v>2236</v>
      </c>
      <c r="BQ353" s="16" t="b">
        <v>1</v>
      </c>
      <c r="BR353" s="23">
        <v>117.33</v>
      </c>
      <c r="BS353" s="23">
        <v>899373.0</v>
      </c>
      <c r="BT353" s="16" t="b">
        <v>1</v>
      </c>
      <c r="BU353" s="16" t="s">
        <v>546</v>
      </c>
    </row>
    <row r="354">
      <c r="A354" s="16" t="s">
        <v>2239</v>
      </c>
      <c r="B354" s="16" t="s">
        <v>35</v>
      </c>
      <c r="C354" s="22">
        <v>45426.0</v>
      </c>
      <c r="D354" s="16" t="s">
        <v>890</v>
      </c>
      <c r="E354" s="16" t="s">
        <v>2240</v>
      </c>
      <c r="F354" s="16" t="s">
        <v>2072</v>
      </c>
      <c r="G354" s="16" t="s">
        <v>1517</v>
      </c>
      <c r="H354" s="23">
        <v>1.0</v>
      </c>
      <c r="I354" s="23">
        <v>8147.36</v>
      </c>
      <c r="J354" s="23">
        <v>8147.36</v>
      </c>
      <c r="N354" s="23">
        <v>0.0</v>
      </c>
      <c r="R354" s="23">
        <v>0.0</v>
      </c>
      <c r="V354" s="23">
        <v>0.0</v>
      </c>
      <c r="Z354" s="23">
        <v>0.0</v>
      </c>
      <c r="AD354" s="23">
        <v>0.0</v>
      </c>
      <c r="AH354" s="23">
        <v>0.0</v>
      </c>
      <c r="AL354" s="23">
        <v>0.0</v>
      </c>
      <c r="AP354" s="23">
        <v>0.0</v>
      </c>
      <c r="AT354" s="23">
        <v>0.0</v>
      </c>
      <c r="AX354" s="23">
        <v>0.0</v>
      </c>
      <c r="BF354" s="23">
        <v>0.0</v>
      </c>
      <c r="BJ354" s="23">
        <v>0.0</v>
      </c>
      <c r="BN354" s="23">
        <v>0.0</v>
      </c>
      <c r="BO354" s="23">
        <v>8147.36</v>
      </c>
      <c r="BP354" s="16" t="s">
        <v>2241</v>
      </c>
      <c r="BQ354" s="16" t="b">
        <v>1</v>
      </c>
      <c r="BR354" s="23">
        <v>8147.36</v>
      </c>
      <c r="BT354" s="16" t="b">
        <v>0</v>
      </c>
      <c r="BU354" s="16" t="s">
        <v>546</v>
      </c>
    </row>
    <row r="355">
      <c r="A355" s="16" t="s">
        <v>2243</v>
      </c>
      <c r="B355" s="16" t="s">
        <v>35</v>
      </c>
      <c r="C355" s="22">
        <v>45426.0</v>
      </c>
      <c r="D355" s="16" t="s">
        <v>890</v>
      </c>
      <c r="E355" s="16" t="s">
        <v>2244</v>
      </c>
      <c r="F355" s="16" t="s">
        <v>893</v>
      </c>
      <c r="G355" s="16" t="s">
        <v>1510</v>
      </c>
      <c r="H355" s="23">
        <v>1.0</v>
      </c>
      <c r="I355" s="23">
        <v>21718.71</v>
      </c>
      <c r="J355" s="23">
        <v>21718.71</v>
      </c>
      <c r="N355" s="23">
        <v>0.0</v>
      </c>
      <c r="R355" s="23">
        <v>0.0</v>
      </c>
      <c r="V355" s="23">
        <v>0.0</v>
      </c>
      <c r="Z355" s="23">
        <v>0.0</v>
      </c>
      <c r="AD355" s="23">
        <v>0.0</v>
      </c>
      <c r="AH355" s="23">
        <v>0.0</v>
      </c>
      <c r="AL355" s="23">
        <v>0.0</v>
      </c>
      <c r="AP355" s="23">
        <v>0.0</v>
      </c>
      <c r="AT355" s="23">
        <v>0.0</v>
      </c>
      <c r="AX355" s="23">
        <v>0.0</v>
      </c>
      <c r="BF355" s="23">
        <v>0.0</v>
      </c>
      <c r="BJ355" s="23">
        <v>0.0</v>
      </c>
      <c r="BN355" s="23">
        <v>0.0</v>
      </c>
      <c r="BO355" s="23">
        <v>21718.71</v>
      </c>
      <c r="BP355" s="16" t="s">
        <v>2245</v>
      </c>
      <c r="BQ355" s="16" t="b">
        <v>1</v>
      </c>
      <c r="BR355" s="23">
        <v>21718.71</v>
      </c>
      <c r="BT355" s="16" t="b">
        <v>0</v>
      </c>
      <c r="BU355" s="16" t="s">
        <v>546</v>
      </c>
    </row>
    <row r="356">
      <c r="A356" s="16" t="s">
        <v>2247</v>
      </c>
      <c r="B356" s="16" t="s">
        <v>35</v>
      </c>
      <c r="C356" s="22">
        <v>45427.0</v>
      </c>
      <c r="D356" s="16" t="s">
        <v>2248</v>
      </c>
      <c r="F356" s="16" t="s">
        <v>2250</v>
      </c>
      <c r="G356" s="16" t="s">
        <v>3218</v>
      </c>
      <c r="H356" s="16">
        <v>1.0</v>
      </c>
      <c r="I356" s="23">
        <v>352.97</v>
      </c>
      <c r="J356" s="23">
        <v>352.97</v>
      </c>
      <c r="BO356" s="23">
        <v>352.97</v>
      </c>
      <c r="BR356" s="23">
        <v>352.97</v>
      </c>
      <c r="BU356" s="16" t="s">
        <v>539</v>
      </c>
    </row>
    <row r="357">
      <c r="A357" s="16" t="s">
        <v>2251</v>
      </c>
      <c r="B357" s="16" t="s">
        <v>35</v>
      </c>
      <c r="C357" s="22">
        <v>45425.0</v>
      </c>
      <c r="D357" s="16" t="s">
        <v>543</v>
      </c>
      <c r="E357" s="16" t="s">
        <v>2252</v>
      </c>
      <c r="F357" s="16" t="s">
        <v>140</v>
      </c>
      <c r="G357" s="16">
        <v>1.2539885E7</v>
      </c>
      <c r="H357" s="23">
        <v>25.0</v>
      </c>
      <c r="I357" s="23">
        <v>10.0</v>
      </c>
      <c r="J357" s="23">
        <v>250.0</v>
      </c>
      <c r="N357" s="23">
        <v>0.0</v>
      </c>
      <c r="R357" s="23">
        <v>0.0</v>
      </c>
      <c r="V357" s="23">
        <v>0.0</v>
      </c>
      <c r="Z357" s="23">
        <v>0.0</v>
      </c>
      <c r="AD357" s="23">
        <v>0.0</v>
      </c>
      <c r="AH357" s="23">
        <v>0.0</v>
      </c>
      <c r="AL357" s="23">
        <v>0.0</v>
      </c>
      <c r="AP357" s="23">
        <v>0.0</v>
      </c>
      <c r="AT357" s="23">
        <v>0.0</v>
      </c>
      <c r="AX357" s="23">
        <v>0.0</v>
      </c>
      <c r="BF357" s="23">
        <v>0.0</v>
      </c>
      <c r="BJ357" s="23">
        <v>0.0</v>
      </c>
      <c r="BN357" s="23">
        <v>0.0</v>
      </c>
      <c r="BO357" s="23">
        <v>250.0</v>
      </c>
      <c r="BP357" s="16" t="s">
        <v>2253</v>
      </c>
      <c r="BQ357" s="16" t="b">
        <v>1</v>
      </c>
      <c r="BR357" s="23">
        <v>250.0</v>
      </c>
      <c r="BS357" s="23">
        <v>900118.0</v>
      </c>
      <c r="BT357" s="16" t="b">
        <v>1</v>
      </c>
      <c r="BU357" s="16" t="s">
        <v>546</v>
      </c>
    </row>
    <row r="358">
      <c r="A358" s="16" t="s">
        <v>2254</v>
      </c>
      <c r="B358" s="16" t="s">
        <v>35</v>
      </c>
      <c r="C358" s="22">
        <v>45428.0</v>
      </c>
      <c r="D358" s="16" t="s">
        <v>286</v>
      </c>
      <c r="E358" s="16" t="s">
        <v>2255</v>
      </c>
      <c r="F358" s="16" t="s">
        <v>2258</v>
      </c>
      <c r="G358" s="16" t="s">
        <v>3225</v>
      </c>
      <c r="H358" s="23">
        <v>1.0</v>
      </c>
      <c r="I358" s="23">
        <v>15.0</v>
      </c>
      <c r="J358" s="23">
        <v>15.0</v>
      </c>
      <c r="N358" s="23">
        <v>0.0</v>
      </c>
      <c r="R358" s="23">
        <v>0.0</v>
      </c>
      <c r="V358" s="23">
        <v>0.0</v>
      </c>
      <c r="Z358" s="23">
        <v>0.0</v>
      </c>
      <c r="AD358" s="23">
        <v>0.0</v>
      </c>
      <c r="AH358" s="23">
        <v>0.0</v>
      </c>
      <c r="AL358" s="23">
        <v>0.0</v>
      </c>
      <c r="AP358" s="23">
        <v>0.0</v>
      </c>
      <c r="AT358" s="23">
        <v>0.0</v>
      </c>
      <c r="AX358" s="23">
        <v>0.0</v>
      </c>
      <c r="BF358" s="23">
        <v>0.0</v>
      </c>
      <c r="BJ358" s="23">
        <v>0.0</v>
      </c>
      <c r="BN358" s="23">
        <v>0.0</v>
      </c>
      <c r="BO358" s="23">
        <v>15.0</v>
      </c>
      <c r="BP358" s="16" t="s">
        <v>2256</v>
      </c>
      <c r="BQ358" s="16" t="b">
        <v>1</v>
      </c>
      <c r="BR358" s="23">
        <v>15.0</v>
      </c>
      <c r="BS358" s="23">
        <v>900508.0</v>
      </c>
      <c r="BT358" s="16" t="b">
        <v>1</v>
      </c>
      <c r="BU358" s="16" t="s">
        <v>546</v>
      </c>
    </row>
    <row r="359">
      <c r="A359" s="16" t="s">
        <v>2260</v>
      </c>
      <c r="B359" s="16" t="s">
        <v>35</v>
      </c>
      <c r="C359" s="22">
        <v>45429.0</v>
      </c>
      <c r="D359" s="16" t="s">
        <v>112</v>
      </c>
      <c r="E359" s="16" t="s">
        <v>2261</v>
      </c>
      <c r="F359" s="16" t="s">
        <v>157</v>
      </c>
      <c r="G359" s="16" t="s">
        <v>159</v>
      </c>
      <c r="H359" s="23">
        <v>10.0</v>
      </c>
      <c r="I359" s="23">
        <v>13.5</v>
      </c>
      <c r="J359" s="23">
        <v>135.0</v>
      </c>
      <c r="K359" s="16" t="s">
        <v>155</v>
      </c>
      <c r="L359" s="23">
        <v>1.0</v>
      </c>
      <c r="M359" s="23">
        <v>62.87</v>
      </c>
      <c r="N359" s="23">
        <v>62.87</v>
      </c>
      <c r="O359" s="16" t="s">
        <v>230</v>
      </c>
      <c r="P359" s="23">
        <v>1.0</v>
      </c>
      <c r="Q359" s="23">
        <v>159.12</v>
      </c>
      <c r="R359" s="23">
        <v>159.12</v>
      </c>
      <c r="S359" s="16" t="s">
        <v>152</v>
      </c>
      <c r="T359" s="23">
        <v>1.0</v>
      </c>
      <c r="U359" s="23">
        <v>9.14</v>
      </c>
      <c r="V359" s="23">
        <v>9.14</v>
      </c>
      <c r="W359" s="16" t="s">
        <v>226</v>
      </c>
      <c r="X359" s="23">
        <v>15.0</v>
      </c>
      <c r="Y359" s="23">
        <v>7.5</v>
      </c>
      <c r="Z359" s="23">
        <v>112.5</v>
      </c>
      <c r="AD359" s="23">
        <v>0.0</v>
      </c>
      <c r="AH359" s="23">
        <v>0.0</v>
      </c>
      <c r="AL359" s="23">
        <v>0.0</v>
      </c>
      <c r="AP359" s="23">
        <v>0.0</v>
      </c>
      <c r="AT359" s="23">
        <v>0.0</v>
      </c>
      <c r="AX359" s="23">
        <v>0.0</v>
      </c>
      <c r="BF359" s="23">
        <v>0.0</v>
      </c>
      <c r="BJ359" s="23">
        <v>0.0</v>
      </c>
      <c r="BN359" s="23">
        <v>0.0</v>
      </c>
      <c r="BO359" s="23">
        <v>478.63</v>
      </c>
      <c r="BP359" s="16" t="s">
        <v>2263</v>
      </c>
      <c r="BQ359" s="16" t="b">
        <v>1</v>
      </c>
      <c r="BR359" s="23">
        <v>478.63</v>
      </c>
      <c r="BS359" s="23">
        <v>901054.0</v>
      </c>
      <c r="BT359" s="16" t="b">
        <v>1</v>
      </c>
      <c r="BU359" s="16" t="s">
        <v>546</v>
      </c>
    </row>
    <row r="360">
      <c r="A360" s="16" t="s">
        <v>2265</v>
      </c>
      <c r="B360" s="16" t="s">
        <v>35</v>
      </c>
      <c r="C360" s="22">
        <v>45429.0</v>
      </c>
      <c r="D360" s="16" t="s">
        <v>2197</v>
      </c>
      <c r="E360" s="16" t="s">
        <v>2266</v>
      </c>
      <c r="F360" s="16" t="s">
        <v>1860</v>
      </c>
      <c r="G360" s="16" t="s">
        <v>305</v>
      </c>
      <c r="H360" s="23">
        <v>1.0</v>
      </c>
      <c r="I360" s="23">
        <v>325.98</v>
      </c>
      <c r="J360" s="23">
        <v>325.98</v>
      </c>
      <c r="N360" s="23">
        <v>0.0</v>
      </c>
      <c r="R360" s="23">
        <v>0.0</v>
      </c>
      <c r="V360" s="23">
        <v>0.0</v>
      </c>
      <c r="Z360" s="23">
        <v>0.0</v>
      </c>
      <c r="AD360" s="23">
        <v>0.0</v>
      </c>
      <c r="AH360" s="23">
        <v>0.0</v>
      </c>
      <c r="AL360" s="23">
        <v>0.0</v>
      </c>
      <c r="AP360" s="23">
        <v>0.0</v>
      </c>
      <c r="AT360" s="23">
        <v>0.0</v>
      </c>
      <c r="AX360" s="23">
        <v>0.0</v>
      </c>
      <c r="BF360" s="23">
        <v>0.0</v>
      </c>
      <c r="BJ360" s="23">
        <v>0.0</v>
      </c>
      <c r="BN360" s="23">
        <v>0.0</v>
      </c>
      <c r="BO360" s="23">
        <v>325.98</v>
      </c>
      <c r="BP360" s="16" t="s">
        <v>2268</v>
      </c>
      <c r="BQ360" s="16" t="b">
        <v>1</v>
      </c>
      <c r="BR360" s="23">
        <v>325.98</v>
      </c>
      <c r="BS360" s="23">
        <v>901082.0</v>
      </c>
      <c r="BT360" s="16" t="b">
        <v>1</v>
      </c>
      <c r="BU360" s="16" t="s">
        <v>546</v>
      </c>
    </row>
    <row r="361">
      <c r="A361" s="16" t="s">
        <v>2270</v>
      </c>
      <c r="B361" s="16" t="s">
        <v>35</v>
      </c>
      <c r="C361" s="22">
        <v>45429.0</v>
      </c>
      <c r="D361" s="16" t="s">
        <v>543</v>
      </c>
      <c r="E361" s="16" t="s">
        <v>2271</v>
      </c>
      <c r="F361" s="16" t="s">
        <v>140</v>
      </c>
      <c r="G361" s="16">
        <v>1.2539885E7</v>
      </c>
      <c r="H361" s="23">
        <v>10.0</v>
      </c>
      <c r="I361" s="23">
        <v>25.0</v>
      </c>
      <c r="J361" s="23">
        <v>250.0</v>
      </c>
      <c r="N361" s="23">
        <v>0.0</v>
      </c>
      <c r="R361" s="23">
        <v>0.0</v>
      </c>
      <c r="V361" s="23">
        <v>0.0</v>
      </c>
      <c r="Z361" s="23">
        <v>0.0</v>
      </c>
      <c r="AD361" s="23">
        <v>0.0</v>
      </c>
      <c r="AH361" s="23">
        <v>0.0</v>
      </c>
      <c r="AL361" s="23">
        <v>0.0</v>
      </c>
      <c r="AP361" s="23">
        <v>0.0</v>
      </c>
      <c r="AT361" s="23">
        <v>0.0</v>
      </c>
      <c r="AX361" s="23">
        <v>0.0</v>
      </c>
      <c r="BF361" s="23">
        <v>0.0</v>
      </c>
      <c r="BJ361" s="23">
        <v>0.0</v>
      </c>
      <c r="BN361" s="23">
        <v>0.0</v>
      </c>
      <c r="BO361" s="23">
        <v>250.0</v>
      </c>
      <c r="BP361" s="16" t="s">
        <v>2272</v>
      </c>
      <c r="BQ361" s="16" t="b">
        <v>1</v>
      </c>
      <c r="BR361" s="23">
        <v>250.0</v>
      </c>
      <c r="BS361" s="23">
        <v>901237.0</v>
      </c>
      <c r="BT361" s="16" t="b">
        <v>1</v>
      </c>
      <c r="BU361" s="16" t="s">
        <v>546</v>
      </c>
    </row>
    <row r="362">
      <c r="A362" s="16" t="s">
        <v>2275</v>
      </c>
      <c r="B362" s="16" t="s">
        <v>35</v>
      </c>
      <c r="C362" s="22">
        <v>45429.0</v>
      </c>
      <c r="D362" s="16" t="s">
        <v>764</v>
      </c>
      <c r="E362" s="16" t="s">
        <v>2276</v>
      </c>
      <c r="F362" s="16" t="s">
        <v>767</v>
      </c>
      <c r="G362" s="16" t="s">
        <v>1073</v>
      </c>
      <c r="H362" s="23">
        <v>1.0</v>
      </c>
      <c r="I362" s="23">
        <v>239.33</v>
      </c>
      <c r="J362" s="23">
        <v>239.33</v>
      </c>
      <c r="K362" s="16" t="s">
        <v>1085</v>
      </c>
      <c r="L362" s="23">
        <v>1.0</v>
      </c>
      <c r="M362" s="23">
        <v>239.33</v>
      </c>
      <c r="N362" s="23">
        <v>239.33</v>
      </c>
      <c r="O362" s="16" t="s">
        <v>1384</v>
      </c>
      <c r="P362" s="23">
        <v>1.0</v>
      </c>
      <c r="Q362" s="23">
        <v>239.33</v>
      </c>
      <c r="R362" s="23">
        <v>239.33</v>
      </c>
      <c r="S362" s="16" t="s">
        <v>1404</v>
      </c>
      <c r="T362" s="23">
        <v>1.0</v>
      </c>
      <c r="U362" s="23">
        <v>239.33</v>
      </c>
      <c r="V362" s="23">
        <v>239.33</v>
      </c>
      <c r="W362" s="16" t="s">
        <v>1074</v>
      </c>
      <c r="X362" s="23">
        <v>1.0</v>
      </c>
      <c r="Y362" s="23">
        <v>239.33</v>
      </c>
      <c r="Z362" s="23">
        <v>239.33</v>
      </c>
      <c r="AA362" s="16" t="s">
        <v>1075</v>
      </c>
      <c r="AB362" s="23">
        <v>1.0</v>
      </c>
      <c r="AC362" s="23">
        <v>239.33</v>
      </c>
      <c r="AD362" s="23">
        <v>239.33</v>
      </c>
      <c r="AE362" s="16" t="s">
        <v>1077</v>
      </c>
      <c r="AF362" s="23">
        <v>1.0</v>
      </c>
      <c r="AG362" s="23">
        <v>239.33</v>
      </c>
      <c r="AH362" s="23">
        <v>239.33</v>
      </c>
      <c r="AI362" s="16" t="s">
        <v>1077</v>
      </c>
      <c r="AJ362" s="23">
        <v>1.0</v>
      </c>
      <c r="AK362" s="23">
        <v>239.33</v>
      </c>
      <c r="AL362" s="23">
        <v>239.33</v>
      </c>
      <c r="AM362" s="16" t="s">
        <v>1077</v>
      </c>
      <c r="AN362" s="23">
        <v>1.0</v>
      </c>
      <c r="AO362" s="23">
        <v>239.36</v>
      </c>
      <c r="AP362" s="23">
        <v>239.36</v>
      </c>
      <c r="AT362" s="23">
        <v>0.0</v>
      </c>
      <c r="AX362" s="23">
        <v>0.0</v>
      </c>
      <c r="BF362" s="23">
        <v>0.0</v>
      </c>
      <c r="BJ362" s="23">
        <v>0.0</v>
      </c>
      <c r="BN362" s="23">
        <v>0.0</v>
      </c>
      <c r="BO362" s="23">
        <v>2154.0</v>
      </c>
      <c r="BP362" s="16" t="s">
        <v>2278</v>
      </c>
      <c r="BQ362" s="16" t="b">
        <v>1</v>
      </c>
      <c r="BR362" s="23">
        <v>2154.0</v>
      </c>
      <c r="BT362" s="16" t="b">
        <v>0</v>
      </c>
      <c r="BU362" s="16" t="s">
        <v>546</v>
      </c>
    </row>
    <row r="363">
      <c r="A363" s="16" t="s">
        <v>2279</v>
      </c>
      <c r="B363" s="16" t="s">
        <v>35</v>
      </c>
      <c r="C363" s="22">
        <v>45430.0</v>
      </c>
      <c r="D363" s="16" t="s">
        <v>2280</v>
      </c>
      <c r="E363" s="16" t="s">
        <v>2282</v>
      </c>
      <c r="F363" s="16" t="s">
        <v>2284</v>
      </c>
      <c r="G363" s="16" t="s">
        <v>3267</v>
      </c>
      <c r="H363" s="23">
        <v>1.0</v>
      </c>
      <c r="I363" s="23">
        <v>838.07</v>
      </c>
      <c r="J363" s="23">
        <v>838.07</v>
      </c>
      <c r="N363" s="23">
        <v>0.0</v>
      </c>
      <c r="R363" s="23">
        <v>0.0</v>
      </c>
      <c r="V363" s="23">
        <v>0.0</v>
      </c>
      <c r="Z363" s="23">
        <v>0.0</v>
      </c>
      <c r="AD363" s="23">
        <v>0.0</v>
      </c>
      <c r="AH363" s="23">
        <v>0.0</v>
      </c>
      <c r="AL363" s="23">
        <v>0.0</v>
      </c>
      <c r="AP363" s="23">
        <v>0.0</v>
      </c>
      <c r="AT363" s="23">
        <v>0.0</v>
      </c>
      <c r="AX363" s="23">
        <v>0.0</v>
      </c>
      <c r="BF363" s="23">
        <v>0.0</v>
      </c>
      <c r="BJ363" s="23">
        <v>0.0</v>
      </c>
      <c r="BN363" s="23">
        <v>0.0</v>
      </c>
      <c r="BO363" s="23">
        <v>838.07</v>
      </c>
      <c r="BP363" s="16" t="s">
        <v>2283</v>
      </c>
      <c r="BQ363" s="16" t="b">
        <v>1</v>
      </c>
      <c r="BR363" s="23">
        <v>838.07</v>
      </c>
      <c r="BT363" s="16" t="b">
        <v>0</v>
      </c>
      <c r="BU363" s="16" t="s">
        <v>546</v>
      </c>
    </row>
    <row r="364">
      <c r="A364" s="16" t="s">
        <v>2287</v>
      </c>
      <c r="B364" s="16" t="s">
        <v>35</v>
      </c>
      <c r="C364" s="22">
        <v>45432.0</v>
      </c>
      <c r="D364" s="16" t="s">
        <v>543</v>
      </c>
      <c r="E364" s="16" t="s">
        <v>2289</v>
      </c>
      <c r="F364" s="16" t="s">
        <v>140</v>
      </c>
      <c r="G364" s="16">
        <v>1.2539885E7</v>
      </c>
      <c r="H364" s="23">
        <v>1.0</v>
      </c>
      <c r="I364" s="23">
        <v>250.0</v>
      </c>
      <c r="J364" s="23">
        <v>250.0</v>
      </c>
      <c r="N364" s="23">
        <v>0.0</v>
      </c>
      <c r="R364" s="23">
        <v>0.0</v>
      </c>
      <c r="V364" s="23">
        <v>0.0</v>
      </c>
      <c r="Z364" s="23">
        <v>0.0</v>
      </c>
      <c r="AD364" s="23">
        <v>0.0</v>
      </c>
      <c r="AH364" s="23">
        <v>0.0</v>
      </c>
      <c r="AL364" s="23">
        <v>0.0</v>
      </c>
      <c r="AP364" s="23">
        <v>0.0</v>
      </c>
      <c r="AT364" s="23">
        <v>0.0</v>
      </c>
      <c r="AX364" s="23">
        <v>0.0</v>
      </c>
      <c r="BF364" s="23">
        <v>0.0</v>
      </c>
      <c r="BJ364" s="23">
        <v>0.0</v>
      </c>
      <c r="BN364" s="23">
        <v>0.0</v>
      </c>
      <c r="BO364" s="23">
        <v>250.0</v>
      </c>
      <c r="BP364" s="16" t="s">
        <v>2290</v>
      </c>
      <c r="BQ364" s="16" t="b">
        <v>1</v>
      </c>
      <c r="BR364" s="23">
        <v>250.0</v>
      </c>
      <c r="BS364" s="23">
        <v>904647.0</v>
      </c>
      <c r="BT364" s="16" t="b">
        <v>1</v>
      </c>
      <c r="BU364" s="16" t="s">
        <v>546</v>
      </c>
    </row>
    <row r="365">
      <c r="A365" s="16" t="s">
        <v>2293</v>
      </c>
      <c r="B365" s="16" t="s">
        <v>35</v>
      </c>
      <c r="C365" s="22">
        <v>45434.0</v>
      </c>
      <c r="D365" s="16" t="s">
        <v>2294</v>
      </c>
      <c r="F365" s="16" t="s">
        <v>2296</v>
      </c>
      <c r="G365" s="16" t="s">
        <v>1239</v>
      </c>
      <c r="H365" s="16">
        <v>1.0</v>
      </c>
      <c r="I365" s="23">
        <v>1000.0</v>
      </c>
      <c r="J365" s="23">
        <v>1000.0</v>
      </c>
      <c r="BO365" s="23">
        <v>1000.0</v>
      </c>
      <c r="BR365" s="23">
        <v>1000.0</v>
      </c>
      <c r="BU365" s="16" t="s">
        <v>539</v>
      </c>
    </row>
    <row r="366">
      <c r="A366" s="16" t="s">
        <v>2297</v>
      </c>
      <c r="B366" s="16" t="s">
        <v>35</v>
      </c>
      <c r="C366" s="22">
        <v>45435.0</v>
      </c>
      <c r="D366" s="16" t="s">
        <v>112</v>
      </c>
      <c r="E366" s="16" t="s">
        <v>2299</v>
      </c>
      <c r="F366" s="16" t="s">
        <v>157</v>
      </c>
      <c r="G366" s="16" t="s">
        <v>159</v>
      </c>
      <c r="H366" s="23">
        <v>1.0</v>
      </c>
      <c r="I366" s="23">
        <v>202.5</v>
      </c>
      <c r="J366" s="23">
        <v>202.5</v>
      </c>
      <c r="K366" s="16" t="s">
        <v>155</v>
      </c>
      <c r="L366" s="23">
        <v>1.0</v>
      </c>
      <c r="M366" s="23">
        <v>60.1</v>
      </c>
      <c r="N366" s="23">
        <v>60.1</v>
      </c>
      <c r="O366" s="16" t="s">
        <v>230</v>
      </c>
      <c r="P366" s="23">
        <v>1.0</v>
      </c>
      <c r="Q366" s="23">
        <v>161.13</v>
      </c>
      <c r="R366" s="23">
        <v>161.13</v>
      </c>
      <c r="S366" s="16" t="s">
        <v>152</v>
      </c>
      <c r="T366" s="23">
        <v>1.0</v>
      </c>
      <c r="U366" s="23">
        <v>15.07</v>
      </c>
      <c r="V366" s="23">
        <v>15.07</v>
      </c>
      <c r="W366" s="16" t="s">
        <v>226</v>
      </c>
      <c r="X366" s="23">
        <v>1.0</v>
      </c>
      <c r="Y366" s="23">
        <v>112.5</v>
      </c>
      <c r="Z366" s="23">
        <v>112.5</v>
      </c>
      <c r="AD366" s="23">
        <v>0.0</v>
      </c>
      <c r="AH366" s="23">
        <v>0.0</v>
      </c>
      <c r="AL366" s="23">
        <v>0.0</v>
      </c>
      <c r="AP366" s="23">
        <v>0.0</v>
      </c>
      <c r="AT366" s="23">
        <v>0.0</v>
      </c>
      <c r="AX366" s="23">
        <v>0.0</v>
      </c>
      <c r="BF366" s="23">
        <v>0.0</v>
      </c>
      <c r="BJ366" s="23">
        <v>0.0</v>
      </c>
      <c r="BN366" s="23">
        <v>0.0</v>
      </c>
      <c r="BO366" s="23">
        <v>551.3</v>
      </c>
      <c r="BP366" s="16" t="s">
        <v>2300</v>
      </c>
      <c r="BQ366" s="16" t="b">
        <v>1</v>
      </c>
      <c r="BR366" s="23">
        <v>551.3</v>
      </c>
      <c r="BS366" s="23">
        <v>907637.0</v>
      </c>
      <c r="BT366" s="16" t="b">
        <v>1</v>
      </c>
      <c r="BU366" s="16" t="s">
        <v>546</v>
      </c>
    </row>
    <row r="367">
      <c r="A367" s="16" t="s">
        <v>2301</v>
      </c>
      <c r="B367" s="16" t="s">
        <v>35</v>
      </c>
      <c r="C367" s="22">
        <v>45435.0</v>
      </c>
      <c r="F367" s="16" t="s">
        <v>2302</v>
      </c>
      <c r="G367" s="16" t="s">
        <v>1168</v>
      </c>
      <c r="H367" s="16">
        <v>1.0</v>
      </c>
      <c r="I367" s="23">
        <v>100.0</v>
      </c>
      <c r="J367" s="23">
        <v>100.0</v>
      </c>
      <c r="BO367" s="23">
        <v>100.0</v>
      </c>
      <c r="BR367" s="23">
        <v>100.0</v>
      </c>
      <c r="BU367" s="16" t="s">
        <v>539</v>
      </c>
      <c r="BV367" s="16" t="s">
        <v>624</v>
      </c>
      <c r="BW367" s="16"/>
      <c r="BX367" s="16"/>
      <c r="BY367" s="16"/>
    </row>
    <row r="368">
      <c r="A368" s="16" t="s">
        <v>2304</v>
      </c>
      <c r="B368" s="16" t="s">
        <v>35</v>
      </c>
      <c r="C368" s="22">
        <v>45436.0</v>
      </c>
      <c r="D368" s="16" t="s">
        <v>2306</v>
      </c>
      <c r="E368" s="16" t="s">
        <v>2307</v>
      </c>
      <c r="F368" s="16" t="s">
        <v>1225</v>
      </c>
      <c r="G368" s="16" t="s">
        <v>1728</v>
      </c>
      <c r="H368" s="23">
        <v>1.0</v>
      </c>
      <c r="I368" s="23">
        <v>15.0</v>
      </c>
      <c r="J368" s="23">
        <v>15.0</v>
      </c>
      <c r="N368" s="23">
        <v>0.0</v>
      </c>
      <c r="R368" s="23">
        <v>0.0</v>
      </c>
      <c r="V368" s="23">
        <v>0.0</v>
      </c>
      <c r="Z368" s="23">
        <v>0.0</v>
      </c>
      <c r="AD368" s="23">
        <v>0.0</v>
      </c>
      <c r="AH368" s="23">
        <v>0.0</v>
      </c>
      <c r="AL368" s="23">
        <v>0.0</v>
      </c>
      <c r="AP368" s="23">
        <v>0.0</v>
      </c>
      <c r="AT368" s="23">
        <v>0.0</v>
      </c>
      <c r="AX368" s="23">
        <v>0.0</v>
      </c>
      <c r="BF368" s="23">
        <v>0.0</v>
      </c>
      <c r="BJ368" s="23">
        <v>0.0</v>
      </c>
      <c r="BN368" s="23">
        <v>0.0</v>
      </c>
      <c r="BO368" s="23">
        <v>15.0</v>
      </c>
      <c r="BP368" s="16" t="s">
        <v>2309</v>
      </c>
      <c r="BQ368" s="16" t="b">
        <v>1</v>
      </c>
      <c r="BR368" s="23">
        <v>15.0</v>
      </c>
      <c r="BS368" s="23">
        <v>908522.0</v>
      </c>
      <c r="BT368" s="16" t="b">
        <v>1</v>
      </c>
      <c r="BU368" s="16" t="s">
        <v>546</v>
      </c>
    </row>
    <row r="369">
      <c r="A369" s="16" t="s">
        <v>2311</v>
      </c>
      <c r="B369" s="16" t="s">
        <v>35</v>
      </c>
      <c r="C369" s="22">
        <v>45436.0</v>
      </c>
      <c r="D369" s="16" t="s">
        <v>404</v>
      </c>
      <c r="E369" s="16" t="s">
        <v>2313</v>
      </c>
      <c r="F369" s="16" t="s">
        <v>2132</v>
      </c>
      <c r="G369" s="16" t="s">
        <v>305</v>
      </c>
      <c r="H369" s="23">
        <v>1.0</v>
      </c>
      <c r="I369" s="23">
        <v>74.14</v>
      </c>
      <c r="J369" s="23">
        <v>74.14</v>
      </c>
      <c r="N369" s="23">
        <v>0.0</v>
      </c>
      <c r="R369" s="23">
        <v>0.0</v>
      </c>
      <c r="V369" s="23">
        <v>0.0</v>
      </c>
      <c r="Z369" s="23">
        <v>0.0</v>
      </c>
      <c r="AD369" s="23">
        <v>0.0</v>
      </c>
      <c r="AH369" s="23">
        <v>0.0</v>
      </c>
      <c r="AL369" s="23">
        <v>0.0</v>
      </c>
      <c r="AP369" s="23">
        <v>0.0</v>
      </c>
      <c r="AT369" s="23">
        <v>0.0</v>
      </c>
      <c r="AX369" s="23">
        <v>0.0</v>
      </c>
      <c r="BF369" s="23">
        <v>0.0</v>
      </c>
      <c r="BJ369" s="23">
        <v>0.0</v>
      </c>
      <c r="BN369" s="23">
        <v>0.0</v>
      </c>
      <c r="BO369" s="23">
        <v>74.14</v>
      </c>
      <c r="BP369" s="16" t="s">
        <v>2314</v>
      </c>
      <c r="BQ369" s="16" t="b">
        <v>1</v>
      </c>
      <c r="BR369" s="23">
        <v>74.14</v>
      </c>
      <c r="BS369" s="16" t="s">
        <v>2316</v>
      </c>
      <c r="BT369" s="16" t="b">
        <v>1</v>
      </c>
      <c r="BU369" s="16" t="s">
        <v>546</v>
      </c>
    </row>
    <row r="370">
      <c r="A370" s="16" t="s">
        <v>2318</v>
      </c>
      <c r="B370" s="16" t="s">
        <v>35</v>
      </c>
      <c r="C370" s="22">
        <v>45436.0</v>
      </c>
      <c r="D370" s="16" t="s">
        <v>2096</v>
      </c>
      <c r="E370" s="16" t="s">
        <v>2319</v>
      </c>
      <c r="F370" s="16" t="s">
        <v>2322</v>
      </c>
      <c r="G370" s="16" t="s">
        <v>1536</v>
      </c>
      <c r="H370" s="23">
        <v>1.0</v>
      </c>
      <c r="I370" s="23">
        <v>70.0</v>
      </c>
      <c r="J370" s="23">
        <v>70.0</v>
      </c>
      <c r="N370" s="23">
        <v>0.0</v>
      </c>
      <c r="R370" s="23">
        <v>0.0</v>
      </c>
      <c r="V370" s="23">
        <v>0.0</v>
      </c>
      <c r="Z370" s="23">
        <v>0.0</v>
      </c>
      <c r="AD370" s="23">
        <v>0.0</v>
      </c>
      <c r="AH370" s="23">
        <v>0.0</v>
      </c>
      <c r="AL370" s="23">
        <v>0.0</v>
      </c>
      <c r="AP370" s="23">
        <v>0.0</v>
      </c>
      <c r="AT370" s="23">
        <v>0.0</v>
      </c>
      <c r="AX370" s="23">
        <v>0.0</v>
      </c>
      <c r="BF370" s="23">
        <v>0.0</v>
      </c>
      <c r="BJ370" s="23">
        <v>0.0</v>
      </c>
      <c r="BN370" s="23">
        <v>0.0</v>
      </c>
      <c r="BO370" s="23">
        <v>70.0</v>
      </c>
      <c r="BP370" s="16" t="s">
        <v>2320</v>
      </c>
      <c r="BQ370" s="16" t="b">
        <v>1</v>
      </c>
      <c r="BR370" s="23">
        <v>70.0</v>
      </c>
      <c r="BS370" s="23">
        <v>908615.0</v>
      </c>
      <c r="BT370" s="16" t="b">
        <v>1</v>
      </c>
      <c r="BU370" s="16" t="s">
        <v>546</v>
      </c>
    </row>
    <row r="371">
      <c r="A371" s="16" t="s">
        <v>2324</v>
      </c>
      <c r="B371" s="16" t="s">
        <v>35</v>
      </c>
      <c r="C371" s="22">
        <v>45436.0</v>
      </c>
      <c r="D371" s="16" t="s">
        <v>2325</v>
      </c>
      <c r="E371" s="16" t="s">
        <v>2326</v>
      </c>
      <c r="F371" s="16" t="s">
        <v>2328</v>
      </c>
      <c r="G371" s="16" t="s">
        <v>305</v>
      </c>
      <c r="H371" s="23">
        <v>1.0</v>
      </c>
      <c r="I371" s="23">
        <v>70.0</v>
      </c>
      <c r="J371" s="23">
        <v>70.0</v>
      </c>
      <c r="N371" s="23">
        <v>0.0</v>
      </c>
      <c r="R371" s="23">
        <v>0.0</v>
      </c>
      <c r="V371" s="23">
        <v>0.0</v>
      </c>
      <c r="Z371" s="23">
        <v>0.0</v>
      </c>
      <c r="AD371" s="23">
        <v>0.0</v>
      </c>
      <c r="AH371" s="23">
        <v>0.0</v>
      </c>
      <c r="AL371" s="23">
        <v>0.0</v>
      </c>
      <c r="AP371" s="23">
        <v>0.0</v>
      </c>
      <c r="AT371" s="23">
        <v>0.0</v>
      </c>
      <c r="AX371" s="23">
        <v>0.0</v>
      </c>
      <c r="BF371" s="23">
        <v>0.0</v>
      </c>
      <c r="BJ371" s="23">
        <v>0.0</v>
      </c>
      <c r="BN371" s="23">
        <v>0.0</v>
      </c>
      <c r="BO371" s="23">
        <v>70.0</v>
      </c>
      <c r="BP371" s="16" t="s">
        <v>2327</v>
      </c>
      <c r="BQ371" s="16" t="b">
        <v>1</v>
      </c>
      <c r="BR371" s="23">
        <v>70.0</v>
      </c>
      <c r="BS371" s="23">
        <v>908626.0</v>
      </c>
      <c r="BT371" s="16" t="b">
        <v>1</v>
      </c>
      <c r="BU371" s="16" t="s">
        <v>546</v>
      </c>
    </row>
    <row r="372">
      <c r="A372" s="16" t="s">
        <v>2330</v>
      </c>
      <c r="B372" s="16" t="s">
        <v>35</v>
      </c>
      <c r="C372" s="22">
        <v>45436.0</v>
      </c>
      <c r="D372" s="16" t="s">
        <v>137</v>
      </c>
      <c r="E372" s="16" t="s">
        <v>2332</v>
      </c>
      <c r="F372" s="16" t="s">
        <v>415</v>
      </c>
      <c r="G372" s="16">
        <v>1.2539885E7</v>
      </c>
      <c r="H372" s="23">
        <v>1.0</v>
      </c>
      <c r="I372" s="23">
        <v>500.0</v>
      </c>
      <c r="J372" s="23">
        <v>500.0</v>
      </c>
      <c r="N372" s="23">
        <v>0.0</v>
      </c>
      <c r="R372" s="23">
        <v>0.0</v>
      </c>
      <c r="V372" s="23">
        <v>0.0</v>
      </c>
      <c r="Z372" s="23">
        <v>0.0</v>
      </c>
      <c r="AD372" s="23">
        <v>0.0</v>
      </c>
      <c r="AH372" s="23">
        <v>0.0</v>
      </c>
      <c r="AL372" s="23">
        <v>0.0</v>
      </c>
      <c r="AP372" s="23">
        <v>0.0</v>
      </c>
      <c r="AT372" s="23">
        <v>0.0</v>
      </c>
      <c r="AX372" s="23">
        <v>0.0</v>
      </c>
      <c r="BF372" s="23">
        <v>0.0</v>
      </c>
      <c r="BJ372" s="23">
        <v>0.0</v>
      </c>
      <c r="BN372" s="23">
        <v>0.0</v>
      </c>
      <c r="BO372" s="23">
        <v>500.0</v>
      </c>
      <c r="BP372" s="16" t="s">
        <v>2333</v>
      </c>
      <c r="BQ372" s="16" t="b">
        <v>1</v>
      </c>
      <c r="BR372" s="23">
        <v>500.0</v>
      </c>
      <c r="BS372" s="23">
        <v>908638.0</v>
      </c>
      <c r="BT372" s="16" t="b">
        <v>1</v>
      </c>
      <c r="BU372" s="16" t="s">
        <v>546</v>
      </c>
    </row>
    <row r="373">
      <c r="A373" s="16" t="s">
        <v>2336</v>
      </c>
      <c r="B373" s="16" t="s">
        <v>35</v>
      </c>
      <c r="C373" s="22">
        <v>45453.0</v>
      </c>
      <c r="D373" s="16" t="s">
        <v>1557</v>
      </c>
      <c r="E373" s="16" t="s">
        <v>2337</v>
      </c>
      <c r="F373" s="16" t="s">
        <v>1988</v>
      </c>
      <c r="G373" s="16" t="s">
        <v>1047</v>
      </c>
      <c r="H373" s="23">
        <v>1.0</v>
      </c>
      <c r="I373" s="23">
        <v>110.0</v>
      </c>
      <c r="J373" s="23">
        <v>110.0</v>
      </c>
      <c r="N373" s="23">
        <v>0.0</v>
      </c>
      <c r="R373" s="23">
        <v>0.0</v>
      </c>
      <c r="V373" s="23">
        <v>0.0</v>
      </c>
      <c r="Z373" s="23">
        <v>0.0</v>
      </c>
      <c r="AD373" s="23">
        <v>0.0</v>
      </c>
      <c r="AH373" s="23">
        <v>0.0</v>
      </c>
      <c r="AL373" s="23">
        <v>0.0</v>
      </c>
      <c r="AP373" s="23">
        <v>0.0</v>
      </c>
      <c r="AT373" s="23">
        <v>0.0</v>
      </c>
      <c r="AX373" s="23">
        <v>0.0</v>
      </c>
      <c r="BF373" s="23">
        <v>0.0</v>
      </c>
      <c r="BJ373" s="23">
        <v>0.0</v>
      </c>
      <c r="BN373" s="23">
        <v>0.0</v>
      </c>
      <c r="BO373" s="23">
        <v>110.0</v>
      </c>
      <c r="BP373" s="16" t="s">
        <v>2338</v>
      </c>
      <c r="BQ373" s="16" t="b">
        <v>1</v>
      </c>
      <c r="BR373" s="23">
        <v>110.0</v>
      </c>
      <c r="BT373" s="16" t="b">
        <v>0</v>
      </c>
      <c r="BU373" s="16" t="s">
        <v>546</v>
      </c>
    </row>
    <row r="374">
      <c r="A374" s="16" t="s">
        <v>2340</v>
      </c>
      <c r="B374" s="16" t="s">
        <v>35</v>
      </c>
      <c r="C374" s="22">
        <v>45436.0</v>
      </c>
      <c r="D374" s="16" t="s">
        <v>941</v>
      </c>
      <c r="F374" s="16" t="s">
        <v>2341</v>
      </c>
      <c r="G374" s="16" t="s">
        <v>1552</v>
      </c>
      <c r="H374" s="16">
        <v>1.0</v>
      </c>
      <c r="I374" s="23">
        <v>680.0</v>
      </c>
      <c r="J374" s="23">
        <v>680.0</v>
      </c>
      <c r="BO374" s="23">
        <v>680.0</v>
      </c>
      <c r="BR374" s="23">
        <v>680.0</v>
      </c>
      <c r="BU374" s="16" t="s">
        <v>539</v>
      </c>
    </row>
    <row r="375">
      <c r="A375" s="16" t="s">
        <v>2344</v>
      </c>
      <c r="B375" s="16" t="s">
        <v>35</v>
      </c>
      <c r="C375" s="22">
        <v>45436.0</v>
      </c>
      <c r="D375" s="16" t="s">
        <v>286</v>
      </c>
      <c r="E375" s="16" t="s">
        <v>2345</v>
      </c>
      <c r="F375" s="16" t="s">
        <v>2349</v>
      </c>
      <c r="G375" s="16" t="s">
        <v>3338</v>
      </c>
      <c r="H375" s="23">
        <v>3.0</v>
      </c>
      <c r="I375" s="23">
        <v>3.0</v>
      </c>
      <c r="J375" s="23">
        <v>9.0</v>
      </c>
      <c r="N375" s="23">
        <v>0.0</v>
      </c>
      <c r="R375" s="23">
        <v>0.0</v>
      </c>
      <c r="V375" s="23">
        <v>0.0</v>
      </c>
      <c r="Z375" s="23">
        <v>0.0</v>
      </c>
      <c r="AD375" s="23">
        <v>0.0</v>
      </c>
      <c r="AH375" s="23">
        <v>0.0</v>
      </c>
      <c r="AL375" s="23">
        <v>0.0</v>
      </c>
      <c r="AP375" s="23">
        <v>0.0</v>
      </c>
      <c r="AT375" s="23">
        <v>0.0</v>
      </c>
      <c r="AX375" s="23">
        <v>0.0</v>
      </c>
      <c r="BF375" s="23">
        <v>0.0</v>
      </c>
      <c r="BJ375" s="23">
        <v>0.0</v>
      </c>
      <c r="BN375" s="23">
        <v>0.0</v>
      </c>
      <c r="BO375" s="23">
        <v>9.0</v>
      </c>
      <c r="BP375" s="16" t="s">
        <v>2347</v>
      </c>
      <c r="BQ375" s="16" t="b">
        <v>1</v>
      </c>
      <c r="BR375" s="23">
        <v>9.0</v>
      </c>
      <c r="BS375" s="23">
        <v>909040.0</v>
      </c>
      <c r="BT375" s="16" t="b">
        <v>1</v>
      </c>
      <c r="BU375" s="16" t="s">
        <v>546</v>
      </c>
    </row>
    <row r="376">
      <c r="A376" s="16" t="s">
        <v>2352</v>
      </c>
      <c r="B376" s="16" t="s">
        <v>35</v>
      </c>
      <c r="C376" s="22">
        <v>45439.0</v>
      </c>
      <c r="D376" s="16" t="s">
        <v>1160</v>
      </c>
      <c r="F376" s="16" t="s">
        <v>2354</v>
      </c>
      <c r="G376" s="16" t="s">
        <v>1653</v>
      </c>
      <c r="H376" s="16">
        <v>1.0</v>
      </c>
      <c r="I376" s="23">
        <v>200.0</v>
      </c>
      <c r="J376" s="23">
        <v>200.0</v>
      </c>
      <c r="BO376" s="23">
        <v>200.0</v>
      </c>
      <c r="BR376" s="23">
        <v>200.0</v>
      </c>
      <c r="BU376" s="16" t="s">
        <v>539</v>
      </c>
    </row>
    <row r="377">
      <c r="A377" s="16" t="s">
        <v>2356</v>
      </c>
      <c r="B377" s="16" t="s">
        <v>35</v>
      </c>
      <c r="C377" s="22">
        <v>45439.0</v>
      </c>
      <c r="F377" s="16" t="s">
        <v>2358</v>
      </c>
      <c r="G377" s="16" t="s">
        <v>1168</v>
      </c>
      <c r="H377" s="16">
        <v>1.0</v>
      </c>
      <c r="I377" s="23">
        <v>200.0</v>
      </c>
      <c r="J377" s="23">
        <v>200.0</v>
      </c>
      <c r="BO377" s="23">
        <v>200.0</v>
      </c>
      <c r="BR377" s="23">
        <v>200.0</v>
      </c>
      <c r="BU377" s="16" t="s">
        <v>539</v>
      </c>
      <c r="BV377" s="16" t="s">
        <v>624</v>
      </c>
      <c r="BW377" s="16"/>
      <c r="BX377" s="16"/>
      <c r="BY377" s="16"/>
    </row>
    <row r="378">
      <c r="A378" s="16" t="s">
        <v>2360</v>
      </c>
      <c r="B378" s="16" t="s">
        <v>35</v>
      </c>
      <c r="C378" s="22">
        <v>45441.0</v>
      </c>
      <c r="D378" s="16" t="s">
        <v>460</v>
      </c>
      <c r="F378" s="16" t="s">
        <v>931</v>
      </c>
      <c r="G378" s="16" t="s">
        <v>1126</v>
      </c>
      <c r="H378" s="16">
        <v>1.0</v>
      </c>
      <c r="I378" s="23">
        <v>30.0</v>
      </c>
      <c r="J378" s="23">
        <v>30.0</v>
      </c>
      <c r="BO378" s="23">
        <v>30.0</v>
      </c>
      <c r="BR378" s="23">
        <v>30.0</v>
      </c>
      <c r="BU378" s="16" t="s">
        <v>539</v>
      </c>
    </row>
    <row r="379">
      <c r="A379" s="16" t="s">
        <v>2362</v>
      </c>
      <c r="B379" s="16" t="s">
        <v>35</v>
      </c>
      <c r="C379" s="22">
        <v>45440.0</v>
      </c>
      <c r="D379" s="16" t="s">
        <v>1911</v>
      </c>
      <c r="E379" s="16" t="s">
        <v>2364</v>
      </c>
      <c r="F379" s="16" t="s">
        <v>2366</v>
      </c>
      <c r="G379" s="16" t="s">
        <v>2725</v>
      </c>
      <c r="H379" s="23">
        <v>1.0</v>
      </c>
      <c r="I379" s="23">
        <v>60.0</v>
      </c>
      <c r="J379" s="23">
        <v>60.0</v>
      </c>
      <c r="N379" s="23">
        <v>0.0</v>
      </c>
      <c r="R379" s="23">
        <v>0.0</v>
      </c>
      <c r="V379" s="23">
        <v>0.0</v>
      </c>
      <c r="Z379" s="23">
        <v>0.0</v>
      </c>
      <c r="AD379" s="23">
        <v>0.0</v>
      </c>
      <c r="AH379" s="23">
        <v>0.0</v>
      </c>
      <c r="AL379" s="23">
        <v>0.0</v>
      </c>
      <c r="AP379" s="23">
        <v>0.0</v>
      </c>
      <c r="AT379" s="23">
        <v>0.0</v>
      </c>
      <c r="AX379" s="23">
        <v>0.0</v>
      </c>
      <c r="BF379" s="23">
        <v>0.0</v>
      </c>
      <c r="BJ379" s="23">
        <v>0.0</v>
      </c>
      <c r="BN379" s="23">
        <v>0.0</v>
      </c>
      <c r="BO379" s="23">
        <v>60.0</v>
      </c>
      <c r="BP379" s="16" t="s">
        <v>2365</v>
      </c>
      <c r="BQ379" s="16" t="b">
        <v>1</v>
      </c>
      <c r="BR379" s="23">
        <v>60.0</v>
      </c>
      <c r="BS379" s="23">
        <v>912257.0</v>
      </c>
      <c r="BT379" s="16" t="b">
        <v>1</v>
      </c>
      <c r="BU379" s="16" t="s">
        <v>546</v>
      </c>
    </row>
    <row r="380">
      <c r="A380" s="16" t="s">
        <v>2370</v>
      </c>
      <c r="B380" s="16" t="s">
        <v>35</v>
      </c>
      <c r="C380" s="22">
        <v>45441.0</v>
      </c>
      <c r="D380" s="16" t="s">
        <v>1036</v>
      </c>
      <c r="E380" s="16" t="s">
        <v>2372</v>
      </c>
      <c r="F380" s="16" t="s">
        <v>2374</v>
      </c>
      <c r="G380" s="16" t="s">
        <v>1668</v>
      </c>
      <c r="H380" s="23">
        <v>1.0</v>
      </c>
      <c r="I380" s="23">
        <v>114.46</v>
      </c>
      <c r="J380" s="23">
        <v>114.46</v>
      </c>
      <c r="N380" s="23">
        <v>0.0</v>
      </c>
      <c r="R380" s="23">
        <v>0.0</v>
      </c>
      <c r="V380" s="23">
        <v>0.0</v>
      </c>
      <c r="Z380" s="23">
        <v>0.0</v>
      </c>
      <c r="AD380" s="23">
        <v>0.0</v>
      </c>
      <c r="AH380" s="23">
        <v>0.0</v>
      </c>
      <c r="AL380" s="23">
        <v>0.0</v>
      </c>
      <c r="AP380" s="23">
        <v>0.0</v>
      </c>
      <c r="AT380" s="23">
        <v>0.0</v>
      </c>
      <c r="AX380" s="23">
        <v>0.0</v>
      </c>
      <c r="BF380" s="23">
        <v>0.0</v>
      </c>
      <c r="BJ380" s="23">
        <v>0.0</v>
      </c>
      <c r="BN380" s="23">
        <v>0.0</v>
      </c>
      <c r="BO380" s="23">
        <v>114.46</v>
      </c>
      <c r="BP380" s="16" t="s">
        <v>2373</v>
      </c>
      <c r="BQ380" s="16" t="b">
        <v>1</v>
      </c>
      <c r="BR380" s="23">
        <v>114.46</v>
      </c>
      <c r="BT380" s="16" t="b">
        <v>0</v>
      </c>
      <c r="BU380" s="16" t="s">
        <v>546</v>
      </c>
    </row>
    <row r="381">
      <c r="A381" s="16" t="s">
        <v>2376</v>
      </c>
      <c r="B381" s="16" t="s">
        <v>35</v>
      </c>
      <c r="C381" s="22">
        <v>45442.0</v>
      </c>
      <c r="D381" s="16" t="s">
        <v>2325</v>
      </c>
      <c r="E381" s="16" t="s">
        <v>2377</v>
      </c>
      <c r="F381" s="16" t="s">
        <v>2379</v>
      </c>
      <c r="G381" s="16" t="s">
        <v>305</v>
      </c>
      <c r="H381" s="23">
        <v>1.0</v>
      </c>
      <c r="I381" s="23">
        <v>79.0</v>
      </c>
      <c r="J381" s="23">
        <v>79.0</v>
      </c>
      <c r="N381" s="23">
        <v>0.0</v>
      </c>
      <c r="R381" s="23">
        <v>0.0</v>
      </c>
      <c r="V381" s="23">
        <v>0.0</v>
      </c>
      <c r="Z381" s="23">
        <v>0.0</v>
      </c>
      <c r="AD381" s="23">
        <v>0.0</v>
      </c>
      <c r="AH381" s="23">
        <v>0.0</v>
      </c>
      <c r="AL381" s="23">
        <v>0.0</v>
      </c>
      <c r="AP381" s="23">
        <v>0.0</v>
      </c>
      <c r="AT381" s="23">
        <v>0.0</v>
      </c>
      <c r="AX381" s="23">
        <v>0.0</v>
      </c>
      <c r="BF381" s="23">
        <v>0.0</v>
      </c>
      <c r="BJ381" s="23">
        <v>0.0</v>
      </c>
      <c r="BN381" s="23">
        <v>0.0</v>
      </c>
      <c r="BO381" s="23">
        <v>79.0</v>
      </c>
      <c r="BP381" s="16" t="s">
        <v>2378</v>
      </c>
      <c r="BQ381" s="16" t="b">
        <v>1</v>
      </c>
      <c r="BR381" s="23">
        <v>79.0</v>
      </c>
      <c r="BS381" s="23">
        <v>913502.0</v>
      </c>
      <c r="BT381" s="16" t="b">
        <v>1</v>
      </c>
      <c r="BU381" s="16" t="s">
        <v>546</v>
      </c>
    </row>
    <row r="382">
      <c r="A382" s="16" t="s">
        <v>2382</v>
      </c>
      <c r="B382" s="16" t="s">
        <v>35</v>
      </c>
      <c r="C382" s="22">
        <v>45443.0</v>
      </c>
      <c r="D382" s="16" t="s">
        <v>175</v>
      </c>
      <c r="E382" s="16" t="s">
        <v>2383</v>
      </c>
      <c r="F382" s="16" t="s">
        <v>2385</v>
      </c>
      <c r="G382" s="16" t="s">
        <v>305</v>
      </c>
      <c r="H382" s="23">
        <v>1.0</v>
      </c>
      <c r="I382" s="23">
        <v>178.95</v>
      </c>
      <c r="J382" s="23">
        <v>178.95</v>
      </c>
      <c r="N382" s="23">
        <v>0.0</v>
      </c>
      <c r="R382" s="23">
        <v>0.0</v>
      </c>
      <c r="V382" s="23">
        <v>0.0</v>
      </c>
      <c r="Z382" s="23">
        <v>0.0</v>
      </c>
      <c r="AD382" s="23">
        <v>0.0</v>
      </c>
      <c r="AH382" s="23">
        <v>0.0</v>
      </c>
      <c r="AL382" s="23">
        <v>0.0</v>
      </c>
      <c r="AP382" s="23">
        <v>0.0</v>
      </c>
      <c r="AT382" s="23">
        <v>0.0</v>
      </c>
      <c r="AX382" s="23">
        <v>0.0</v>
      </c>
      <c r="BF382" s="23">
        <v>0.0</v>
      </c>
      <c r="BJ382" s="23">
        <v>0.0</v>
      </c>
      <c r="BN382" s="23">
        <v>0.0</v>
      </c>
      <c r="BO382" s="23">
        <v>178.95</v>
      </c>
      <c r="BP382" s="16" t="s">
        <v>2384</v>
      </c>
      <c r="BQ382" s="16" t="b">
        <v>1</v>
      </c>
      <c r="BR382" s="23">
        <v>178.95</v>
      </c>
      <c r="BS382" s="23">
        <v>914438.0</v>
      </c>
      <c r="BT382" s="16" t="b">
        <v>1</v>
      </c>
      <c r="BU382" s="16" t="s">
        <v>546</v>
      </c>
    </row>
    <row r="383">
      <c r="A383" s="16" t="s">
        <v>2387</v>
      </c>
      <c r="B383" s="16" t="s">
        <v>35</v>
      </c>
      <c r="C383" s="22">
        <v>45443.0</v>
      </c>
      <c r="D383" s="16" t="s">
        <v>543</v>
      </c>
      <c r="E383" s="16" t="s">
        <v>2388</v>
      </c>
      <c r="F383" s="16" t="s">
        <v>415</v>
      </c>
      <c r="G383" s="16">
        <v>1.2539885E7</v>
      </c>
      <c r="H383" s="23">
        <v>1.0</v>
      </c>
      <c r="I383" s="23">
        <v>200.0</v>
      </c>
      <c r="J383" s="23">
        <v>200.0</v>
      </c>
      <c r="N383" s="23">
        <v>0.0</v>
      </c>
      <c r="R383" s="23">
        <v>0.0</v>
      </c>
      <c r="V383" s="23">
        <v>0.0</v>
      </c>
      <c r="Z383" s="23">
        <v>0.0</v>
      </c>
      <c r="AD383" s="23">
        <v>0.0</v>
      </c>
      <c r="AH383" s="23">
        <v>0.0</v>
      </c>
      <c r="AL383" s="23">
        <v>0.0</v>
      </c>
      <c r="AP383" s="23">
        <v>0.0</v>
      </c>
      <c r="AT383" s="23">
        <v>0.0</v>
      </c>
      <c r="AX383" s="23">
        <v>0.0</v>
      </c>
      <c r="BF383" s="23">
        <v>0.0</v>
      </c>
      <c r="BJ383" s="23">
        <v>0.0</v>
      </c>
      <c r="BN383" s="23">
        <v>0.0</v>
      </c>
      <c r="BO383" s="23">
        <v>200.0</v>
      </c>
      <c r="BP383" s="16" t="s">
        <v>2389</v>
      </c>
      <c r="BQ383" s="16" t="b">
        <v>1</v>
      </c>
      <c r="BR383" s="23">
        <v>200.0</v>
      </c>
      <c r="BS383" s="23">
        <v>914509.0</v>
      </c>
      <c r="BT383" s="16" t="b">
        <v>1</v>
      </c>
      <c r="BU383" s="16" t="s">
        <v>546</v>
      </c>
    </row>
    <row r="384">
      <c r="A384" s="16" t="s">
        <v>2391</v>
      </c>
      <c r="B384" s="16" t="s">
        <v>35</v>
      </c>
      <c r="C384" s="22">
        <v>45444.0</v>
      </c>
      <c r="F384" s="16" t="s">
        <v>2393</v>
      </c>
      <c r="G384" s="16" t="s">
        <v>1168</v>
      </c>
      <c r="H384" s="16">
        <v>1.0</v>
      </c>
      <c r="I384" s="23">
        <v>500.0</v>
      </c>
      <c r="J384" s="23">
        <v>500.0</v>
      </c>
      <c r="BO384" s="23">
        <v>500.0</v>
      </c>
      <c r="BR384" s="23">
        <v>500.0</v>
      </c>
      <c r="BU384" s="16" t="s">
        <v>539</v>
      </c>
      <c r="BV384" s="16" t="s">
        <v>658</v>
      </c>
      <c r="BW384" s="16"/>
      <c r="BX384" s="16"/>
      <c r="BY384" s="16"/>
    </row>
    <row r="385">
      <c r="A385" s="16" t="s">
        <v>2395</v>
      </c>
      <c r="B385" s="16" t="s">
        <v>35</v>
      </c>
      <c r="C385" s="22">
        <v>45444.0</v>
      </c>
      <c r="F385" s="16" t="s">
        <v>2393</v>
      </c>
      <c r="G385" s="16" t="s">
        <v>1168</v>
      </c>
      <c r="H385" s="16">
        <v>1.0</v>
      </c>
      <c r="I385" s="23">
        <v>500.0</v>
      </c>
      <c r="J385" s="23">
        <v>500.0</v>
      </c>
      <c r="BO385" s="23">
        <v>500.0</v>
      </c>
      <c r="BR385" s="23">
        <v>500.0</v>
      </c>
      <c r="BU385" s="16" t="s">
        <v>539</v>
      </c>
      <c r="BV385" s="16" t="s">
        <v>651</v>
      </c>
      <c r="BW385" s="16"/>
      <c r="BX385" s="16"/>
      <c r="BY385" s="16"/>
    </row>
    <row r="386">
      <c r="A386" s="16" t="s">
        <v>2398</v>
      </c>
      <c r="B386" s="16" t="s">
        <v>35</v>
      </c>
      <c r="C386" s="22">
        <v>45441.0</v>
      </c>
      <c r="D386" s="16" t="s">
        <v>112</v>
      </c>
      <c r="E386" s="16" t="s">
        <v>2399</v>
      </c>
      <c r="F386" s="16" t="s">
        <v>45</v>
      </c>
      <c r="G386" s="16" t="s">
        <v>226</v>
      </c>
      <c r="H386" s="23">
        <v>5.0</v>
      </c>
      <c r="I386" s="23">
        <v>7.5</v>
      </c>
      <c r="J386" s="23">
        <v>37.5</v>
      </c>
      <c r="K386" s="16" t="s">
        <v>230</v>
      </c>
      <c r="L386" s="23">
        <v>1.0</v>
      </c>
      <c r="M386" s="23">
        <v>108.4</v>
      </c>
      <c r="N386" s="23">
        <v>108.4</v>
      </c>
      <c r="O386" s="16" t="s">
        <v>155</v>
      </c>
      <c r="P386" s="23">
        <v>1.0</v>
      </c>
      <c r="Q386" s="23">
        <v>39.44</v>
      </c>
      <c r="R386" s="23">
        <v>39.44</v>
      </c>
      <c r="S386" s="16" t="s">
        <v>159</v>
      </c>
      <c r="T386" s="23">
        <v>1.0</v>
      </c>
      <c r="U386" s="23">
        <v>67.5</v>
      </c>
      <c r="V386" s="23">
        <v>67.5</v>
      </c>
      <c r="Z386" s="23">
        <v>0.0</v>
      </c>
      <c r="AD386" s="23">
        <v>0.0</v>
      </c>
      <c r="AH386" s="23">
        <v>0.0</v>
      </c>
      <c r="AL386" s="23">
        <v>0.0</v>
      </c>
      <c r="AP386" s="23">
        <v>0.0</v>
      </c>
      <c r="AT386" s="23">
        <v>0.0</v>
      </c>
      <c r="AX386" s="23">
        <v>0.0</v>
      </c>
      <c r="BF386" s="23">
        <v>0.0</v>
      </c>
      <c r="BJ386" s="23">
        <v>0.0</v>
      </c>
      <c r="BN386" s="23">
        <v>0.0</v>
      </c>
      <c r="BO386" s="23">
        <v>252.84</v>
      </c>
      <c r="BP386" s="16" t="s">
        <v>2400</v>
      </c>
      <c r="BQ386" s="16" t="b">
        <v>1</v>
      </c>
      <c r="BR386" s="23">
        <v>252.84</v>
      </c>
      <c r="BS386" s="23">
        <v>915496.0</v>
      </c>
      <c r="BT386" s="16" t="b">
        <v>1</v>
      </c>
      <c r="BU386" s="16" t="s">
        <v>546</v>
      </c>
    </row>
    <row r="387">
      <c r="A387" s="16" t="s">
        <v>2402</v>
      </c>
      <c r="B387" s="16" t="s">
        <v>35</v>
      </c>
      <c r="C387" s="22">
        <v>45441.0</v>
      </c>
      <c r="D387" s="16" t="s">
        <v>890</v>
      </c>
      <c r="E387" s="16" t="s">
        <v>2403</v>
      </c>
      <c r="F387" s="16" t="s">
        <v>2072</v>
      </c>
      <c r="G387" s="16" t="s">
        <v>1517</v>
      </c>
      <c r="H387" s="23">
        <v>1.0</v>
      </c>
      <c r="I387" s="23">
        <v>3841.92</v>
      </c>
      <c r="J387" s="23">
        <v>3841.92</v>
      </c>
      <c r="N387" s="23">
        <v>0.0</v>
      </c>
      <c r="R387" s="23">
        <v>0.0</v>
      </c>
      <c r="V387" s="23">
        <v>0.0</v>
      </c>
      <c r="Z387" s="23">
        <v>0.0</v>
      </c>
      <c r="AD387" s="23">
        <v>0.0</v>
      </c>
      <c r="AH387" s="23">
        <v>0.0</v>
      </c>
      <c r="AL387" s="23">
        <v>0.0</v>
      </c>
      <c r="AP387" s="23">
        <v>0.0</v>
      </c>
      <c r="AT387" s="23">
        <v>0.0</v>
      </c>
      <c r="AX387" s="23">
        <v>0.0</v>
      </c>
      <c r="BF387" s="23">
        <v>0.0</v>
      </c>
      <c r="BJ387" s="23">
        <v>0.0</v>
      </c>
      <c r="BN387" s="23">
        <v>0.0</v>
      </c>
      <c r="BO387" s="23">
        <v>3841.92</v>
      </c>
      <c r="BP387" s="16" t="s">
        <v>2404</v>
      </c>
      <c r="BQ387" s="16" t="b">
        <v>1</v>
      </c>
      <c r="BR387" s="23">
        <v>3841.92</v>
      </c>
      <c r="BT387" s="16" t="b">
        <v>0</v>
      </c>
      <c r="BU387" s="16" t="s">
        <v>546</v>
      </c>
    </row>
    <row r="388">
      <c r="A388" s="16" t="s">
        <v>2406</v>
      </c>
      <c r="B388" s="16" t="s">
        <v>35</v>
      </c>
      <c r="C388" s="22">
        <v>45441.0</v>
      </c>
      <c r="D388" s="16" t="s">
        <v>890</v>
      </c>
      <c r="E388" s="16" t="s">
        <v>2408</v>
      </c>
      <c r="F388" s="16" t="s">
        <v>893</v>
      </c>
      <c r="G388" s="16" t="s">
        <v>1510</v>
      </c>
      <c r="H388" s="23">
        <v>1.0</v>
      </c>
      <c r="I388" s="23">
        <v>5746.38</v>
      </c>
      <c r="J388" s="23">
        <v>5746.38</v>
      </c>
      <c r="N388" s="23">
        <v>0.0</v>
      </c>
      <c r="R388" s="23">
        <v>0.0</v>
      </c>
      <c r="V388" s="23">
        <v>0.0</v>
      </c>
      <c r="Z388" s="23">
        <v>0.0</v>
      </c>
      <c r="AD388" s="23">
        <v>0.0</v>
      </c>
      <c r="AH388" s="23">
        <v>0.0</v>
      </c>
      <c r="AL388" s="23">
        <v>0.0</v>
      </c>
      <c r="AP388" s="23">
        <v>0.0</v>
      </c>
      <c r="AT388" s="23">
        <v>0.0</v>
      </c>
      <c r="AX388" s="23">
        <v>0.0</v>
      </c>
      <c r="BF388" s="23">
        <v>0.0</v>
      </c>
      <c r="BJ388" s="23">
        <v>0.0</v>
      </c>
      <c r="BN388" s="23">
        <v>0.0</v>
      </c>
      <c r="BO388" s="23">
        <v>5746.38</v>
      </c>
      <c r="BP388" s="16" t="s">
        <v>2409</v>
      </c>
      <c r="BQ388" s="16" t="b">
        <v>1</v>
      </c>
      <c r="BR388" s="23">
        <v>5746.38</v>
      </c>
      <c r="BT388" s="16" t="b">
        <v>0</v>
      </c>
      <c r="BU388" s="16" t="s">
        <v>546</v>
      </c>
    </row>
    <row r="389">
      <c r="A389" s="16" t="s">
        <v>2410</v>
      </c>
      <c r="B389" s="16" t="s">
        <v>35</v>
      </c>
      <c r="C389" s="22">
        <v>45443.0</v>
      </c>
      <c r="D389" s="16" t="s">
        <v>2412</v>
      </c>
      <c r="E389" s="16" t="s">
        <v>2413</v>
      </c>
      <c r="F389" s="16" t="s">
        <v>2415</v>
      </c>
      <c r="G389" s="16" t="s">
        <v>3447</v>
      </c>
      <c r="H389" s="23">
        <v>1.0</v>
      </c>
      <c r="I389" s="23">
        <v>50.0</v>
      </c>
      <c r="J389" s="23">
        <v>50.0</v>
      </c>
      <c r="N389" s="23">
        <v>0.0</v>
      </c>
      <c r="R389" s="23">
        <v>0.0</v>
      </c>
      <c r="V389" s="23">
        <v>0.0</v>
      </c>
      <c r="Z389" s="23">
        <v>0.0</v>
      </c>
      <c r="AD389" s="23">
        <v>0.0</v>
      </c>
      <c r="AH389" s="23">
        <v>0.0</v>
      </c>
      <c r="AL389" s="23">
        <v>0.0</v>
      </c>
      <c r="AP389" s="23">
        <v>0.0</v>
      </c>
      <c r="AT389" s="23">
        <v>0.0</v>
      </c>
      <c r="AX389" s="23">
        <v>0.0</v>
      </c>
      <c r="BF389" s="23">
        <v>0.0</v>
      </c>
      <c r="BJ389" s="23">
        <v>0.0</v>
      </c>
      <c r="BN389" s="23">
        <v>0.0</v>
      </c>
      <c r="BO389" s="23">
        <v>50.0</v>
      </c>
      <c r="BP389" s="16" t="s">
        <v>2414</v>
      </c>
      <c r="BQ389" s="16" t="b">
        <v>1</v>
      </c>
      <c r="BR389" s="23">
        <v>50.0</v>
      </c>
      <c r="BS389" s="23">
        <v>914950.0</v>
      </c>
      <c r="BT389" s="16" t="b">
        <v>1</v>
      </c>
      <c r="BU389" s="16" t="s">
        <v>546</v>
      </c>
    </row>
    <row r="390">
      <c r="A390" s="16" t="s">
        <v>2416</v>
      </c>
      <c r="B390" s="16" t="s">
        <v>35</v>
      </c>
      <c r="C390" s="22">
        <v>45443.0</v>
      </c>
      <c r="D390" s="16" t="s">
        <v>1310</v>
      </c>
      <c r="E390" s="16" t="s">
        <v>2418</v>
      </c>
      <c r="F390" s="16" t="s">
        <v>2420</v>
      </c>
      <c r="G390" s="16" t="s">
        <v>3447</v>
      </c>
      <c r="H390" s="23">
        <v>1.0</v>
      </c>
      <c r="I390" s="23">
        <v>24.4</v>
      </c>
      <c r="J390" s="23">
        <v>24.4</v>
      </c>
      <c r="N390" s="23">
        <v>0.0</v>
      </c>
      <c r="R390" s="23">
        <v>0.0</v>
      </c>
      <c r="V390" s="23">
        <v>0.0</v>
      </c>
      <c r="Z390" s="23">
        <v>0.0</v>
      </c>
      <c r="AD390" s="23">
        <v>0.0</v>
      </c>
      <c r="AH390" s="23">
        <v>0.0</v>
      </c>
      <c r="AL390" s="23">
        <v>0.0</v>
      </c>
      <c r="AP390" s="23">
        <v>0.0</v>
      </c>
      <c r="AT390" s="23">
        <v>0.0</v>
      </c>
      <c r="AX390" s="23">
        <v>0.0</v>
      </c>
      <c r="BF390" s="23">
        <v>0.0</v>
      </c>
      <c r="BJ390" s="23">
        <v>0.0</v>
      </c>
      <c r="BN390" s="23">
        <v>0.0</v>
      </c>
      <c r="BO390" s="23">
        <v>24.4</v>
      </c>
      <c r="BP390" s="16" t="s">
        <v>2419</v>
      </c>
      <c r="BQ390" s="16" t="b">
        <v>1</v>
      </c>
      <c r="BR390" s="23">
        <v>24.4</v>
      </c>
      <c r="BS390" s="23">
        <v>914952.0</v>
      </c>
      <c r="BT390" s="16" t="b">
        <v>1</v>
      </c>
      <c r="BU390" s="16" t="s">
        <v>546</v>
      </c>
    </row>
    <row r="391">
      <c r="A391" s="16" t="s">
        <v>2422</v>
      </c>
      <c r="B391" s="16" t="s">
        <v>35</v>
      </c>
      <c r="C391" s="22">
        <v>45443.0</v>
      </c>
      <c r="D391" s="16" t="s">
        <v>543</v>
      </c>
      <c r="E391" s="16" t="s">
        <v>2388</v>
      </c>
      <c r="F391" s="16" t="s">
        <v>415</v>
      </c>
      <c r="G391" s="16">
        <v>1.2539885E7</v>
      </c>
      <c r="H391" s="23">
        <v>1.0</v>
      </c>
      <c r="I391" s="23">
        <v>200.0</v>
      </c>
      <c r="J391" s="23">
        <v>200.0</v>
      </c>
      <c r="N391" s="23">
        <v>0.0</v>
      </c>
      <c r="R391" s="23">
        <v>0.0</v>
      </c>
      <c r="V391" s="23">
        <v>0.0</v>
      </c>
      <c r="Z391" s="23">
        <v>0.0</v>
      </c>
      <c r="AD391" s="23">
        <v>0.0</v>
      </c>
      <c r="AH391" s="23">
        <v>0.0</v>
      </c>
      <c r="AL391" s="23">
        <v>0.0</v>
      </c>
      <c r="AP391" s="23">
        <v>0.0</v>
      </c>
      <c r="AT391" s="23">
        <v>0.0</v>
      </c>
      <c r="AX391" s="23">
        <v>0.0</v>
      </c>
      <c r="BF391" s="23">
        <v>0.0</v>
      </c>
      <c r="BJ391" s="23">
        <v>0.0</v>
      </c>
      <c r="BN391" s="23">
        <v>0.0</v>
      </c>
      <c r="BO391" s="23">
        <v>200.0</v>
      </c>
      <c r="BP391" s="16" t="s">
        <v>2423</v>
      </c>
      <c r="BQ391" s="16" t="b">
        <v>1</v>
      </c>
      <c r="BR391" s="23">
        <v>200.0</v>
      </c>
      <c r="BS391" s="23">
        <v>914509.0</v>
      </c>
      <c r="BT391" s="16" t="b">
        <v>1</v>
      </c>
      <c r="BU391" s="16" t="s">
        <v>546</v>
      </c>
    </row>
    <row r="392">
      <c r="A392" s="16" t="s">
        <v>2426</v>
      </c>
      <c r="B392" s="16" t="s">
        <v>35</v>
      </c>
      <c r="C392" s="22">
        <v>45444.0</v>
      </c>
      <c r="D392" s="16" t="s">
        <v>112</v>
      </c>
      <c r="E392" s="16" t="s">
        <v>2427</v>
      </c>
      <c r="F392" s="16" t="s">
        <v>45</v>
      </c>
      <c r="G392" s="16" t="s">
        <v>159</v>
      </c>
      <c r="H392" s="23">
        <v>5.0</v>
      </c>
      <c r="I392" s="23">
        <v>13.5</v>
      </c>
      <c r="J392" s="23">
        <v>67.5</v>
      </c>
      <c r="K392" s="16" t="s">
        <v>155</v>
      </c>
      <c r="L392" s="23">
        <v>1.0</v>
      </c>
      <c r="M392" s="23">
        <v>36.97</v>
      </c>
      <c r="N392" s="23">
        <v>36.97</v>
      </c>
      <c r="O392" s="16" t="s">
        <v>230</v>
      </c>
      <c r="P392" s="23">
        <v>1.0</v>
      </c>
      <c r="Q392" s="23">
        <v>118.41</v>
      </c>
      <c r="R392" s="23">
        <v>118.41</v>
      </c>
      <c r="S392" s="16" t="s">
        <v>152</v>
      </c>
      <c r="T392" s="23">
        <v>1.0</v>
      </c>
      <c r="U392" s="23">
        <v>14.28</v>
      </c>
      <c r="V392" s="23">
        <v>14.28</v>
      </c>
      <c r="Z392" s="23">
        <v>0.0</v>
      </c>
      <c r="AD392" s="23">
        <v>0.0</v>
      </c>
      <c r="AH392" s="23">
        <v>0.0</v>
      </c>
      <c r="AL392" s="23">
        <v>0.0</v>
      </c>
      <c r="AP392" s="23">
        <v>0.0</v>
      </c>
      <c r="AT392" s="23">
        <v>0.0</v>
      </c>
      <c r="AX392" s="23">
        <v>0.0</v>
      </c>
      <c r="BF392" s="23">
        <v>0.0</v>
      </c>
      <c r="BJ392" s="23">
        <v>0.0</v>
      </c>
      <c r="BN392" s="23">
        <v>0.0</v>
      </c>
      <c r="BO392" s="23">
        <v>237.16</v>
      </c>
      <c r="BP392" s="16" t="s">
        <v>2428</v>
      </c>
      <c r="BQ392" s="16" t="b">
        <v>1</v>
      </c>
      <c r="BR392" s="23">
        <v>237.16</v>
      </c>
      <c r="BS392" s="23">
        <v>915491.0</v>
      </c>
      <c r="BT392" s="16" t="b">
        <v>1</v>
      </c>
      <c r="BU392" s="16" t="s">
        <v>546</v>
      </c>
    </row>
    <row r="393">
      <c r="A393" s="16" t="s">
        <v>2430</v>
      </c>
      <c r="B393" s="16" t="s">
        <v>35</v>
      </c>
      <c r="C393" s="22">
        <v>45446.0</v>
      </c>
      <c r="D393" s="16" t="s">
        <v>543</v>
      </c>
      <c r="E393" s="16" t="s">
        <v>2431</v>
      </c>
      <c r="F393" s="16" t="s">
        <v>2434</v>
      </c>
      <c r="G393" s="16">
        <v>1.2539885E7</v>
      </c>
      <c r="H393" s="23">
        <v>1.0</v>
      </c>
      <c r="I393" s="23">
        <v>200.0</v>
      </c>
      <c r="J393" s="23">
        <v>200.0</v>
      </c>
      <c r="N393" s="23">
        <v>0.0</v>
      </c>
      <c r="R393" s="23">
        <v>0.0</v>
      </c>
      <c r="V393" s="23">
        <v>0.0</v>
      </c>
      <c r="Z393" s="23">
        <v>0.0</v>
      </c>
      <c r="AD393" s="23">
        <v>0.0</v>
      </c>
      <c r="AH393" s="23">
        <v>0.0</v>
      </c>
      <c r="AL393" s="23">
        <v>0.0</v>
      </c>
      <c r="AP393" s="23">
        <v>0.0</v>
      </c>
      <c r="AT393" s="23">
        <v>0.0</v>
      </c>
      <c r="AX393" s="23">
        <v>0.0</v>
      </c>
      <c r="BF393" s="23">
        <v>0.0</v>
      </c>
      <c r="BJ393" s="23">
        <v>0.0</v>
      </c>
      <c r="BN393" s="23">
        <v>0.0</v>
      </c>
      <c r="BO393" s="23">
        <v>200.0</v>
      </c>
      <c r="BP393" s="16" t="s">
        <v>2432</v>
      </c>
      <c r="BQ393" s="16" t="b">
        <v>1</v>
      </c>
      <c r="BR393" s="23">
        <v>200.0</v>
      </c>
      <c r="BS393" s="16" t="s">
        <v>2436</v>
      </c>
      <c r="BT393" s="16" t="b">
        <v>1</v>
      </c>
      <c r="BU393" s="16" t="s">
        <v>546</v>
      </c>
    </row>
    <row r="394">
      <c r="A394" s="16" t="s">
        <v>2438</v>
      </c>
      <c r="B394" s="16" t="s">
        <v>35</v>
      </c>
      <c r="C394" s="22">
        <v>45453.0</v>
      </c>
      <c r="D394" s="16" t="s">
        <v>2439</v>
      </c>
      <c r="E394" s="16" t="s">
        <v>2441</v>
      </c>
      <c r="F394" s="16" t="s">
        <v>2444</v>
      </c>
      <c r="G394" s="16" t="s">
        <v>3496</v>
      </c>
      <c r="H394" s="23">
        <v>1.0</v>
      </c>
      <c r="I394" s="23">
        <v>168.49</v>
      </c>
      <c r="J394" s="23">
        <v>168.49</v>
      </c>
      <c r="N394" s="23">
        <v>0.0</v>
      </c>
      <c r="R394" s="23">
        <v>0.0</v>
      </c>
      <c r="V394" s="23">
        <v>0.0</v>
      </c>
      <c r="Z394" s="23">
        <v>0.0</v>
      </c>
      <c r="AD394" s="23">
        <v>0.0</v>
      </c>
      <c r="AH394" s="23">
        <v>0.0</v>
      </c>
      <c r="AL394" s="23">
        <v>0.0</v>
      </c>
      <c r="AP394" s="23">
        <v>0.0</v>
      </c>
      <c r="AT394" s="23">
        <v>0.0</v>
      </c>
      <c r="AX394" s="23">
        <v>0.0</v>
      </c>
      <c r="BF394" s="23">
        <v>0.0</v>
      </c>
      <c r="BJ394" s="23">
        <v>0.0</v>
      </c>
      <c r="BN394" s="23">
        <v>0.0</v>
      </c>
      <c r="BO394" s="23">
        <v>168.49</v>
      </c>
      <c r="BP394" s="16" t="s">
        <v>2442</v>
      </c>
      <c r="BQ394" s="16" t="b">
        <v>1</v>
      </c>
      <c r="BR394" s="23">
        <v>168.49</v>
      </c>
      <c r="BT394" s="16" t="b">
        <v>0</v>
      </c>
      <c r="BU394" s="16" t="s">
        <v>546</v>
      </c>
    </row>
    <row r="395">
      <c r="A395" s="16" t="s">
        <v>2445</v>
      </c>
      <c r="B395" s="16" t="s">
        <v>35</v>
      </c>
      <c r="C395" s="22">
        <v>45449.0</v>
      </c>
      <c r="F395" s="16" t="s">
        <v>2447</v>
      </c>
      <c r="G395" s="16" t="s">
        <v>1239</v>
      </c>
      <c r="H395" s="16">
        <v>1.0</v>
      </c>
      <c r="I395" s="23">
        <v>1162.92</v>
      </c>
      <c r="J395" s="23">
        <v>1162.92</v>
      </c>
      <c r="BO395" s="23">
        <v>1162.92</v>
      </c>
      <c r="BR395" s="23">
        <v>1162.92</v>
      </c>
      <c r="BU395" s="16" t="s">
        <v>539</v>
      </c>
      <c r="BV395" s="16" t="s">
        <v>651</v>
      </c>
      <c r="BW395" s="16"/>
      <c r="BX395" s="16"/>
      <c r="BY395" s="16"/>
    </row>
    <row r="396">
      <c r="A396" s="16" t="s">
        <v>2450</v>
      </c>
      <c r="B396" s="16" t="s">
        <v>35</v>
      </c>
      <c r="C396" s="22">
        <v>45449.0</v>
      </c>
      <c r="F396" s="16" t="s">
        <v>2447</v>
      </c>
      <c r="G396" s="16" t="s">
        <v>1239</v>
      </c>
      <c r="H396" s="16">
        <v>1.0</v>
      </c>
      <c r="I396" s="23">
        <v>1394.54</v>
      </c>
      <c r="J396" s="23">
        <v>1394.54</v>
      </c>
      <c r="BO396" s="23">
        <v>1394.54</v>
      </c>
      <c r="BR396" s="23">
        <v>1394.54</v>
      </c>
      <c r="BU396" s="16" t="s">
        <v>539</v>
      </c>
      <c r="BV396" s="16" t="s">
        <v>624</v>
      </c>
      <c r="BW396" s="16"/>
      <c r="BX396" s="16"/>
      <c r="BY396" s="16"/>
    </row>
    <row r="397">
      <c r="A397" s="16" t="s">
        <v>2453</v>
      </c>
      <c r="B397" s="16" t="s">
        <v>35</v>
      </c>
      <c r="C397" s="22">
        <v>45449.0</v>
      </c>
      <c r="F397" s="16" t="s">
        <v>2447</v>
      </c>
      <c r="G397" s="16" t="s">
        <v>1239</v>
      </c>
      <c r="H397" s="16">
        <v>1.0</v>
      </c>
      <c r="I397" s="23">
        <v>1199.4</v>
      </c>
      <c r="J397" s="23">
        <v>1199.4</v>
      </c>
      <c r="BO397" s="23">
        <v>1199.4</v>
      </c>
      <c r="BR397" s="23">
        <v>1199.4</v>
      </c>
      <c r="BU397" s="16" t="s">
        <v>539</v>
      </c>
      <c r="BV397" s="16" t="s">
        <v>1100</v>
      </c>
      <c r="BW397" s="16"/>
      <c r="BX397" s="16"/>
      <c r="BY397" s="16"/>
    </row>
    <row r="398">
      <c r="A398" s="16" t="s">
        <v>2456</v>
      </c>
      <c r="B398" s="16" t="s">
        <v>35</v>
      </c>
      <c r="C398" s="22">
        <v>45449.0</v>
      </c>
      <c r="F398" s="16" t="s">
        <v>2447</v>
      </c>
      <c r="G398" s="16" t="s">
        <v>1239</v>
      </c>
      <c r="H398" s="16">
        <v>1.0</v>
      </c>
      <c r="I398" s="23">
        <v>1390.9</v>
      </c>
      <c r="J398" s="23">
        <v>1390.9</v>
      </c>
      <c r="BO398" s="23">
        <v>1390.9</v>
      </c>
      <c r="BR398" s="23">
        <v>1390.9</v>
      </c>
      <c r="BU398" s="16" t="s">
        <v>539</v>
      </c>
      <c r="BV398" s="16" t="s">
        <v>658</v>
      </c>
      <c r="BW398" s="16"/>
      <c r="BX398" s="16"/>
      <c r="BY398" s="16"/>
    </row>
    <row r="399">
      <c r="A399" s="16" t="s">
        <v>2460</v>
      </c>
      <c r="B399" s="16" t="s">
        <v>35</v>
      </c>
      <c r="C399" s="22">
        <v>45449.0</v>
      </c>
      <c r="F399" s="16" t="s">
        <v>2447</v>
      </c>
      <c r="G399" s="16" t="s">
        <v>1239</v>
      </c>
      <c r="H399" s="16">
        <v>1.0</v>
      </c>
      <c r="I399" s="23">
        <v>1908.64</v>
      </c>
      <c r="J399" s="23">
        <v>1908.64</v>
      </c>
      <c r="BO399" s="23">
        <v>1908.64</v>
      </c>
      <c r="BR399" s="23">
        <v>1908.64</v>
      </c>
      <c r="BU399" s="16" t="s">
        <v>539</v>
      </c>
      <c r="BV399" s="16" t="s">
        <v>664</v>
      </c>
      <c r="BW399" s="16"/>
      <c r="BX399" s="16"/>
      <c r="BY399" s="16"/>
    </row>
    <row r="400">
      <c r="A400" s="16" t="s">
        <v>2462</v>
      </c>
      <c r="B400" s="16" t="s">
        <v>35</v>
      </c>
      <c r="C400" s="22">
        <v>45449.0</v>
      </c>
      <c r="F400" s="16" t="s">
        <v>2447</v>
      </c>
      <c r="G400" s="16" t="s">
        <v>1239</v>
      </c>
      <c r="H400" s="16">
        <v>1.0</v>
      </c>
      <c r="I400" s="23">
        <v>2034.4</v>
      </c>
      <c r="J400" s="23">
        <v>2034.4</v>
      </c>
      <c r="BO400" s="23">
        <v>2034.4</v>
      </c>
      <c r="BR400" s="23">
        <v>2034.4</v>
      </c>
      <c r="BU400" s="16" t="s">
        <v>539</v>
      </c>
      <c r="BV400" s="16" t="s">
        <v>2052</v>
      </c>
      <c r="BW400" s="16"/>
      <c r="BX400" s="16"/>
      <c r="BY400" s="16"/>
    </row>
    <row r="401">
      <c r="A401" s="16" t="s">
        <v>2465</v>
      </c>
      <c r="B401" s="16" t="s">
        <v>35</v>
      </c>
      <c r="C401" s="22">
        <v>45448.0</v>
      </c>
      <c r="D401" s="16" t="s">
        <v>112</v>
      </c>
      <c r="E401" s="16" t="s">
        <v>2466</v>
      </c>
      <c r="F401" s="16" t="s">
        <v>792</v>
      </c>
      <c r="G401" s="16" t="s">
        <v>159</v>
      </c>
      <c r="H401" s="23">
        <v>1.0</v>
      </c>
      <c r="I401" s="23">
        <v>27.0</v>
      </c>
      <c r="J401" s="23">
        <v>27.0</v>
      </c>
      <c r="K401" s="16" t="s">
        <v>155</v>
      </c>
      <c r="L401" s="23">
        <v>1.0</v>
      </c>
      <c r="M401" s="23">
        <v>42.43</v>
      </c>
      <c r="N401" s="23">
        <v>42.43</v>
      </c>
      <c r="O401" s="16" t="s">
        <v>226</v>
      </c>
      <c r="P401" s="23">
        <v>1.0</v>
      </c>
      <c r="Q401" s="23">
        <v>114.0</v>
      </c>
      <c r="R401" s="23">
        <v>114.0</v>
      </c>
      <c r="V401" s="23">
        <v>0.0</v>
      </c>
      <c r="Z401" s="23">
        <v>0.0</v>
      </c>
      <c r="AD401" s="23">
        <v>0.0</v>
      </c>
      <c r="AH401" s="23">
        <v>0.0</v>
      </c>
      <c r="AL401" s="23">
        <v>0.0</v>
      </c>
      <c r="AP401" s="23">
        <v>0.0</v>
      </c>
      <c r="AT401" s="23">
        <v>0.0</v>
      </c>
      <c r="AX401" s="23">
        <v>0.0</v>
      </c>
      <c r="BF401" s="23">
        <v>0.0</v>
      </c>
      <c r="BJ401" s="23">
        <v>0.0</v>
      </c>
      <c r="BN401" s="23">
        <v>0.0</v>
      </c>
      <c r="BO401" s="23">
        <v>183.43</v>
      </c>
      <c r="BP401" s="16" t="s">
        <v>2468</v>
      </c>
      <c r="BQ401" s="16" t="b">
        <v>1</v>
      </c>
      <c r="BR401" s="23">
        <v>183.43</v>
      </c>
      <c r="BS401" s="23">
        <v>920412.0</v>
      </c>
      <c r="BT401" s="16" t="b">
        <v>1</v>
      </c>
      <c r="BU401" s="16" t="s">
        <v>546</v>
      </c>
    </row>
    <row r="402">
      <c r="A402" s="16" t="s">
        <v>2470</v>
      </c>
      <c r="B402" s="16" t="s">
        <v>35</v>
      </c>
      <c r="C402" s="22">
        <v>45449.0</v>
      </c>
      <c r="D402" s="16" t="s">
        <v>2471</v>
      </c>
      <c r="E402" s="16" t="s">
        <v>2472</v>
      </c>
      <c r="F402" s="16" t="s">
        <v>2474</v>
      </c>
      <c r="G402" s="16" t="s">
        <v>1350</v>
      </c>
      <c r="H402" s="23">
        <v>1.0</v>
      </c>
      <c r="I402" s="23">
        <v>55.0</v>
      </c>
      <c r="J402" s="23">
        <v>55.0</v>
      </c>
      <c r="N402" s="23">
        <v>0.0</v>
      </c>
      <c r="R402" s="23">
        <v>0.0</v>
      </c>
      <c r="V402" s="23">
        <v>0.0</v>
      </c>
      <c r="Z402" s="23">
        <v>0.0</v>
      </c>
      <c r="AD402" s="23">
        <v>0.0</v>
      </c>
      <c r="AH402" s="23">
        <v>0.0</v>
      </c>
      <c r="AL402" s="23">
        <v>0.0</v>
      </c>
      <c r="AP402" s="23">
        <v>0.0</v>
      </c>
      <c r="AT402" s="23">
        <v>0.0</v>
      </c>
      <c r="AX402" s="23">
        <v>0.0</v>
      </c>
      <c r="BF402" s="23">
        <v>0.0</v>
      </c>
      <c r="BJ402" s="23">
        <v>0.0</v>
      </c>
      <c r="BN402" s="23">
        <v>0.0</v>
      </c>
      <c r="BO402" s="23">
        <v>55.0</v>
      </c>
      <c r="BP402" s="16" t="s">
        <v>2473</v>
      </c>
      <c r="BQ402" s="16" t="b">
        <v>1</v>
      </c>
      <c r="BR402" s="23">
        <v>55.0</v>
      </c>
      <c r="BS402" s="23">
        <v>921299.0</v>
      </c>
      <c r="BT402" s="16" t="b">
        <v>1</v>
      </c>
      <c r="BU402" s="16" t="s">
        <v>546</v>
      </c>
    </row>
    <row r="403">
      <c r="A403" s="16" t="s">
        <v>2476</v>
      </c>
      <c r="B403" s="16" t="s">
        <v>35</v>
      </c>
      <c r="C403" s="22">
        <v>45449.0</v>
      </c>
      <c r="D403" s="16" t="s">
        <v>145</v>
      </c>
      <c r="E403" s="16" t="s">
        <v>2478</v>
      </c>
      <c r="F403" s="16" t="s">
        <v>147</v>
      </c>
      <c r="G403" s="16" t="s">
        <v>1197</v>
      </c>
      <c r="H403" s="23">
        <v>4.0</v>
      </c>
      <c r="I403" s="23">
        <v>21.0</v>
      </c>
      <c r="J403" s="23">
        <v>84.0</v>
      </c>
      <c r="K403" s="16" t="s">
        <v>1195</v>
      </c>
      <c r="L403" s="23">
        <v>4.0</v>
      </c>
      <c r="M403" s="23">
        <v>23.0</v>
      </c>
      <c r="N403" s="23">
        <v>92.0</v>
      </c>
      <c r="O403" s="16" t="s">
        <v>3547</v>
      </c>
      <c r="P403" s="23">
        <v>1.0</v>
      </c>
      <c r="Q403" s="23">
        <v>30.0</v>
      </c>
      <c r="R403" s="23">
        <v>30.0</v>
      </c>
      <c r="S403" s="16" t="s">
        <v>266</v>
      </c>
      <c r="T403" s="23">
        <v>3.0</v>
      </c>
      <c r="U403" s="23">
        <v>18.0</v>
      </c>
      <c r="V403" s="23">
        <v>54.0</v>
      </c>
      <c r="Z403" s="23">
        <v>0.0</v>
      </c>
      <c r="AD403" s="23">
        <v>0.0</v>
      </c>
      <c r="AH403" s="23">
        <v>0.0</v>
      </c>
      <c r="AL403" s="23">
        <v>0.0</v>
      </c>
      <c r="AP403" s="23">
        <v>0.0</v>
      </c>
      <c r="AT403" s="23">
        <v>0.0</v>
      </c>
      <c r="AX403" s="23">
        <v>0.0</v>
      </c>
      <c r="BF403" s="23">
        <v>0.0</v>
      </c>
      <c r="BJ403" s="23">
        <v>0.0</v>
      </c>
      <c r="BN403" s="23">
        <v>0.0</v>
      </c>
      <c r="BO403" s="23">
        <v>260.0</v>
      </c>
      <c r="BP403" s="16" t="s">
        <v>2479</v>
      </c>
      <c r="BQ403" s="16" t="b">
        <v>1</v>
      </c>
      <c r="BR403" s="23">
        <v>260.0</v>
      </c>
      <c r="BS403" s="23">
        <v>921538.0</v>
      </c>
      <c r="BT403" s="16" t="b">
        <v>1</v>
      </c>
      <c r="BU403" s="16" t="s">
        <v>546</v>
      </c>
    </row>
    <row r="404">
      <c r="A404" s="16" t="s">
        <v>2482</v>
      </c>
      <c r="B404" s="16" t="s">
        <v>35</v>
      </c>
      <c r="C404" s="22">
        <v>45441.0</v>
      </c>
      <c r="D404" s="16" t="s">
        <v>1016</v>
      </c>
      <c r="E404" s="16" t="s">
        <v>2484</v>
      </c>
      <c r="F404" s="16" t="s">
        <v>2487</v>
      </c>
      <c r="G404" s="16" t="s">
        <v>2870</v>
      </c>
      <c r="H404" s="23">
        <v>1.0</v>
      </c>
      <c r="I404" s="23">
        <v>70.65</v>
      </c>
      <c r="J404" s="23">
        <v>70.65</v>
      </c>
      <c r="N404" s="23">
        <v>0.0</v>
      </c>
      <c r="R404" s="23">
        <v>0.0</v>
      </c>
      <c r="V404" s="23">
        <v>0.0</v>
      </c>
      <c r="Z404" s="23">
        <v>0.0</v>
      </c>
      <c r="AD404" s="23">
        <v>0.0</v>
      </c>
      <c r="AH404" s="23">
        <v>0.0</v>
      </c>
      <c r="AL404" s="23">
        <v>0.0</v>
      </c>
      <c r="AP404" s="23">
        <v>0.0</v>
      </c>
      <c r="AT404" s="23">
        <v>0.0</v>
      </c>
      <c r="AX404" s="23">
        <v>0.0</v>
      </c>
      <c r="BF404" s="23">
        <v>0.0</v>
      </c>
      <c r="BJ404" s="23">
        <v>0.0</v>
      </c>
      <c r="BN404" s="23">
        <v>0.0</v>
      </c>
      <c r="BO404" s="23">
        <v>70.65</v>
      </c>
      <c r="BP404" s="16" t="s">
        <v>2485</v>
      </c>
      <c r="BQ404" s="16" t="b">
        <v>1</v>
      </c>
      <c r="BR404" s="23">
        <v>70.65</v>
      </c>
      <c r="BT404" s="16" t="b">
        <v>0</v>
      </c>
      <c r="BU404" s="16" t="s">
        <v>546</v>
      </c>
    </row>
    <row r="405">
      <c r="A405" s="16" t="s">
        <v>2490</v>
      </c>
      <c r="B405" s="16" t="s">
        <v>35</v>
      </c>
      <c r="C405" s="22">
        <v>45446.0</v>
      </c>
      <c r="D405" s="16" t="s">
        <v>2491</v>
      </c>
      <c r="E405" s="16" t="s">
        <v>2492</v>
      </c>
      <c r="F405" s="16" t="s">
        <v>605</v>
      </c>
      <c r="G405" s="16" t="s">
        <v>1145</v>
      </c>
      <c r="H405" s="23">
        <v>1.0</v>
      </c>
      <c r="I405" s="23">
        <v>2481.75</v>
      </c>
      <c r="J405" s="23">
        <v>2481.75</v>
      </c>
      <c r="N405" s="23">
        <v>0.0</v>
      </c>
      <c r="R405" s="23">
        <v>0.0</v>
      </c>
      <c r="V405" s="23">
        <v>0.0</v>
      </c>
      <c r="Z405" s="23">
        <v>0.0</v>
      </c>
      <c r="AD405" s="23">
        <v>0.0</v>
      </c>
      <c r="AH405" s="23">
        <v>0.0</v>
      </c>
      <c r="AL405" s="23">
        <v>0.0</v>
      </c>
      <c r="AP405" s="23">
        <v>0.0</v>
      </c>
      <c r="AT405" s="23">
        <v>0.0</v>
      </c>
      <c r="AX405" s="23">
        <v>0.0</v>
      </c>
      <c r="BF405" s="23">
        <v>0.0</v>
      </c>
      <c r="BJ405" s="23">
        <v>0.0</v>
      </c>
      <c r="BN405" s="23">
        <v>0.0</v>
      </c>
      <c r="BO405" s="23">
        <v>2481.75</v>
      </c>
      <c r="BP405" s="16" t="s">
        <v>2494</v>
      </c>
      <c r="BQ405" s="16" t="b">
        <v>1</v>
      </c>
      <c r="BR405" s="23">
        <v>2481.75</v>
      </c>
      <c r="BT405" s="16" t="b">
        <v>0</v>
      </c>
      <c r="BU405" s="16" t="s">
        <v>546</v>
      </c>
    </row>
    <row r="406">
      <c r="A406" s="16" t="s">
        <v>2495</v>
      </c>
      <c r="B406" s="16" t="s">
        <v>35</v>
      </c>
      <c r="C406" s="22">
        <v>45446.0</v>
      </c>
      <c r="D406" s="16" t="s">
        <v>2496</v>
      </c>
      <c r="E406" s="16" t="s">
        <v>2497</v>
      </c>
      <c r="F406" s="16" t="s">
        <v>2500</v>
      </c>
      <c r="G406" s="16" t="s">
        <v>3565</v>
      </c>
      <c r="H406" s="23">
        <v>1.0</v>
      </c>
      <c r="I406" s="23">
        <v>50.1</v>
      </c>
      <c r="J406" s="23">
        <v>50.1</v>
      </c>
      <c r="N406" s="23">
        <v>0.0</v>
      </c>
      <c r="R406" s="23">
        <v>0.0</v>
      </c>
      <c r="V406" s="23">
        <v>0.0</v>
      </c>
      <c r="Z406" s="23">
        <v>0.0</v>
      </c>
      <c r="AD406" s="23">
        <v>0.0</v>
      </c>
      <c r="AH406" s="23">
        <v>0.0</v>
      </c>
      <c r="AL406" s="23">
        <v>0.0</v>
      </c>
      <c r="AP406" s="23">
        <v>0.0</v>
      </c>
      <c r="AT406" s="23">
        <v>0.0</v>
      </c>
      <c r="AX406" s="23">
        <v>0.0</v>
      </c>
      <c r="BF406" s="23">
        <v>0.0</v>
      </c>
      <c r="BJ406" s="23">
        <v>0.0</v>
      </c>
      <c r="BN406" s="23">
        <v>0.0</v>
      </c>
      <c r="BO406" s="23">
        <v>50.1</v>
      </c>
      <c r="BP406" s="16" t="s">
        <v>2499</v>
      </c>
      <c r="BQ406" s="16" t="b">
        <v>1</v>
      </c>
      <c r="BR406" s="23">
        <v>50.1</v>
      </c>
      <c r="BT406" s="16" t="b">
        <v>0</v>
      </c>
      <c r="BU406" s="16" t="s">
        <v>546</v>
      </c>
    </row>
    <row r="407">
      <c r="A407" s="16" t="s">
        <v>2502</v>
      </c>
      <c r="B407" s="16" t="s">
        <v>35</v>
      </c>
      <c r="C407" s="22">
        <v>45450.0</v>
      </c>
      <c r="F407" s="16" t="s">
        <v>2504</v>
      </c>
      <c r="G407" s="16" t="s">
        <v>1168</v>
      </c>
      <c r="H407" s="16">
        <v>1.0</v>
      </c>
      <c r="I407" s="23">
        <v>300.0</v>
      </c>
      <c r="J407" s="23">
        <v>300.0</v>
      </c>
      <c r="BO407" s="23">
        <v>300.0</v>
      </c>
      <c r="BR407" s="23">
        <v>300.0</v>
      </c>
      <c r="BU407" s="16" t="s">
        <v>539</v>
      </c>
      <c r="BV407" s="16" t="s">
        <v>651</v>
      </c>
      <c r="BW407" s="16"/>
      <c r="BX407" s="16"/>
      <c r="BY407" s="16"/>
    </row>
    <row r="408">
      <c r="A408" s="16" t="s">
        <v>2507</v>
      </c>
      <c r="B408" s="16" t="s">
        <v>35</v>
      </c>
      <c r="C408" s="22">
        <v>45450.0</v>
      </c>
      <c r="D408" s="16" t="s">
        <v>112</v>
      </c>
      <c r="E408" s="16" t="s">
        <v>2508</v>
      </c>
      <c r="F408" s="16" t="s">
        <v>45</v>
      </c>
      <c r="G408" s="16" t="s">
        <v>159</v>
      </c>
      <c r="H408" s="23">
        <v>15.0</v>
      </c>
      <c r="I408" s="23">
        <v>13.0</v>
      </c>
      <c r="J408" s="23">
        <v>195.0</v>
      </c>
      <c r="K408" s="16" t="s">
        <v>3090</v>
      </c>
      <c r="L408" s="23">
        <v>1.0</v>
      </c>
      <c r="M408" s="23">
        <v>2.27</v>
      </c>
      <c r="N408" s="23">
        <v>2.27</v>
      </c>
      <c r="O408" s="16" t="s">
        <v>155</v>
      </c>
      <c r="P408" s="23">
        <v>1.0</v>
      </c>
      <c r="Q408" s="23">
        <v>56.87</v>
      </c>
      <c r="R408" s="23">
        <v>56.87</v>
      </c>
      <c r="S408" s="16" t="s">
        <v>152</v>
      </c>
      <c r="T408" s="23">
        <v>1.0</v>
      </c>
      <c r="U408" s="23">
        <v>11.25</v>
      </c>
      <c r="V408" s="23">
        <v>11.25</v>
      </c>
      <c r="W408" s="16" t="s">
        <v>226</v>
      </c>
      <c r="X408" s="23">
        <v>15.0</v>
      </c>
      <c r="Y408" s="23">
        <v>7.6</v>
      </c>
      <c r="Z408" s="23">
        <v>114.0</v>
      </c>
      <c r="AD408" s="23">
        <v>0.0</v>
      </c>
      <c r="AH408" s="23">
        <v>0.0</v>
      </c>
      <c r="AL408" s="23">
        <v>0.0</v>
      </c>
      <c r="AP408" s="23">
        <v>0.0</v>
      </c>
      <c r="AT408" s="23">
        <v>0.0</v>
      </c>
      <c r="AX408" s="23">
        <v>0.0</v>
      </c>
      <c r="BF408" s="23">
        <v>0.0</v>
      </c>
      <c r="BJ408" s="23">
        <v>0.0</v>
      </c>
      <c r="BN408" s="23">
        <v>0.0</v>
      </c>
      <c r="BO408" s="23">
        <v>379.39</v>
      </c>
      <c r="BP408" s="16" t="s">
        <v>2509</v>
      </c>
      <c r="BQ408" s="16" t="b">
        <v>1</v>
      </c>
      <c r="BR408" s="23">
        <v>379.39</v>
      </c>
      <c r="BS408" s="23">
        <v>922431.0</v>
      </c>
      <c r="BT408" s="16" t="b">
        <v>1</v>
      </c>
      <c r="BU408" s="16" t="s">
        <v>546</v>
      </c>
    </row>
    <row r="409">
      <c r="A409" s="16" t="s">
        <v>2511</v>
      </c>
      <c r="B409" s="16" t="s">
        <v>35</v>
      </c>
      <c r="C409" s="22">
        <v>45450.0</v>
      </c>
      <c r="D409" s="16" t="s">
        <v>543</v>
      </c>
      <c r="E409" s="16" t="s">
        <v>2512</v>
      </c>
      <c r="F409" s="16" t="s">
        <v>415</v>
      </c>
      <c r="G409" s="16">
        <v>1.2539885E7</v>
      </c>
      <c r="H409" s="23">
        <v>1.0</v>
      </c>
      <c r="I409" s="23">
        <v>250.0</v>
      </c>
      <c r="J409" s="23">
        <v>250.0</v>
      </c>
      <c r="N409" s="23">
        <v>0.0</v>
      </c>
      <c r="R409" s="23">
        <v>0.0</v>
      </c>
      <c r="V409" s="23">
        <v>0.0</v>
      </c>
      <c r="Z409" s="23">
        <v>0.0</v>
      </c>
      <c r="AD409" s="23">
        <v>0.0</v>
      </c>
      <c r="AH409" s="23">
        <v>0.0</v>
      </c>
      <c r="AL409" s="23">
        <v>0.0</v>
      </c>
      <c r="AP409" s="23">
        <v>0.0</v>
      </c>
      <c r="AT409" s="23">
        <v>0.0</v>
      </c>
      <c r="AX409" s="23">
        <v>0.0</v>
      </c>
      <c r="BF409" s="23">
        <v>0.0</v>
      </c>
      <c r="BJ409" s="23">
        <v>0.0</v>
      </c>
      <c r="BN409" s="23">
        <v>0.0</v>
      </c>
      <c r="BO409" s="23">
        <v>250.0</v>
      </c>
      <c r="BP409" s="16" t="s">
        <v>2513</v>
      </c>
      <c r="BQ409" s="16" t="b">
        <v>1</v>
      </c>
      <c r="BR409" s="23">
        <v>250.0</v>
      </c>
      <c r="BS409" s="23">
        <v>922441.0</v>
      </c>
      <c r="BT409" s="16" t="b">
        <v>1</v>
      </c>
      <c r="BU409" s="16" t="s">
        <v>546</v>
      </c>
    </row>
    <row r="410">
      <c r="A410" s="16" t="s">
        <v>2515</v>
      </c>
      <c r="B410" s="16" t="s">
        <v>35</v>
      </c>
      <c r="C410" s="22">
        <v>45450.0</v>
      </c>
      <c r="D410" s="16" t="s">
        <v>286</v>
      </c>
      <c r="E410" s="16" t="s">
        <v>2516</v>
      </c>
      <c r="F410" s="16" t="s">
        <v>2518</v>
      </c>
      <c r="G410" s="16" t="s">
        <v>3338</v>
      </c>
      <c r="H410" s="23">
        <v>1.0</v>
      </c>
      <c r="I410" s="23">
        <v>20.0</v>
      </c>
      <c r="J410" s="23">
        <v>20.0</v>
      </c>
      <c r="N410" s="23">
        <v>0.0</v>
      </c>
      <c r="R410" s="23">
        <v>0.0</v>
      </c>
      <c r="V410" s="23">
        <v>0.0</v>
      </c>
      <c r="Z410" s="23">
        <v>0.0</v>
      </c>
      <c r="AD410" s="23">
        <v>0.0</v>
      </c>
      <c r="AH410" s="23">
        <v>0.0</v>
      </c>
      <c r="AL410" s="23">
        <v>0.0</v>
      </c>
      <c r="AP410" s="23">
        <v>0.0</v>
      </c>
      <c r="AT410" s="23">
        <v>0.0</v>
      </c>
      <c r="AX410" s="23">
        <v>0.0</v>
      </c>
      <c r="BF410" s="23">
        <v>0.0</v>
      </c>
      <c r="BJ410" s="23">
        <v>0.0</v>
      </c>
      <c r="BN410" s="23">
        <v>0.0</v>
      </c>
      <c r="BO410" s="23">
        <v>20.0</v>
      </c>
      <c r="BP410" s="16" t="s">
        <v>2517</v>
      </c>
      <c r="BQ410" s="16" t="b">
        <v>1</v>
      </c>
      <c r="BR410" s="23">
        <v>20.0</v>
      </c>
      <c r="BS410" s="23">
        <v>922464.0</v>
      </c>
      <c r="BT410" s="16" t="b">
        <v>1</v>
      </c>
      <c r="BU410" s="16" t="s">
        <v>546</v>
      </c>
    </row>
    <row r="411">
      <c r="A411" s="16" t="s">
        <v>2521</v>
      </c>
      <c r="B411" s="16" t="s">
        <v>35</v>
      </c>
      <c r="C411" s="22">
        <v>45450.0</v>
      </c>
      <c r="D411" s="23">
        <v>8.627274E7</v>
      </c>
      <c r="E411" s="16" t="s">
        <v>2523</v>
      </c>
      <c r="F411" s="16" t="s">
        <v>2132</v>
      </c>
      <c r="G411" s="16" t="s">
        <v>305</v>
      </c>
      <c r="H411" s="23">
        <v>1.0</v>
      </c>
      <c r="I411" s="23">
        <v>240.41</v>
      </c>
      <c r="J411" s="23">
        <v>240.41</v>
      </c>
      <c r="N411" s="23">
        <v>0.0</v>
      </c>
      <c r="R411" s="23">
        <v>0.0</v>
      </c>
      <c r="V411" s="23">
        <v>0.0</v>
      </c>
      <c r="Z411" s="23">
        <v>0.0</v>
      </c>
      <c r="AD411" s="23">
        <v>0.0</v>
      </c>
      <c r="AH411" s="23">
        <v>0.0</v>
      </c>
      <c r="AL411" s="23">
        <v>0.0</v>
      </c>
      <c r="AP411" s="23">
        <v>0.0</v>
      </c>
      <c r="AT411" s="23">
        <v>0.0</v>
      </c>
      <c r="AX411" s="23">
        <v>0.0</v>
      </c>
      <c r="BF411" s="23">
        <v>0.0</v>
      </c>
      <c r="BJ411" s="23">
        <v>0.0</v>
      </c>
      <c r="BN411" s="23">
        <v>0.0</v>
      </c>
      <c r="BO411" s="23">
        <v>240.41</v>
      </c>
      <c r="BP411" s="16" t="s">
        <v>2524</v>
      </c>
      <c r="BQ411" s="16" t="b">
        <v>1</v>
      </c>
      <c r="BR411" s="23">
        <v>240.41</v>
      </c>
      <c r="BS411" s="23">
        <v>923151.0</v>
      </c>
      <c r="BT411" s="16" t="b">
        <v>1</v>
      </c>
      <c r="BU411" s="16" t="s">
        <v>546</v>
      </c>
    </row>
    <row r="412">
      <c r="A412" s="16" t="s">
        <v>2525</v>
      </c>
      <c r="B412" s="16" t="s">
        <v>35</v>
      </c>
      <c r="C412" s="22">
        <v>45450.0</v>
      </c>
      <c r="D412" s="16" t="s">
        <v>307</v>
      </c>
      <c r="E412" s="16" t="s">
        <v>2527</v>
      </c>
      <c r="F412" s="16" t="s">
        <v>2529</v>
      </c>
      <c r="G412" s="16" t="s">
        <v>3606</v>
      </c>
      <c r="H412" s="23">
        <v>1.0</v>
      </c>
      <c r="I412" s="23">
        <v>19.9</v>
      </c>
      <c r="J412" s="23">
        <v>19.9</v>
      </c>
      <c r="K412" s="16" t="s">
        <v>3607</v>
      </c>
      <c r="L412" s="23">
        <v>1.0</v>
      </c>
      <c r="M412" s="23">
        <v>22.9</v>
      </c>
      <c r="N412" s="23">
        <v>22.9</v>
      </c>
      <c r="R412" s="23">
        <v>0.0</v>
      </c>
      <c r="V412" s="23">
        <v>0.0</v>
      </c>
      <c r="Z412" s="23">
        <v>0.0</v>
      </c>
      <c r="AD412" s="23">
        <v>0.0</v>
      </c>
      <c r="AH412" s="23">
        <v>0.0</v>
      </c>
      <c r="AL412" s="23">
        <v>0.0</v>
      </c>
      <c r="AP412" s="23">
        <v>0.0</v>
      </c>
      <c r="AT412" s="23">
        <v>0.0</v>
      </c>
      <c r="AX412" s="23">
        <v>0.0</v>
      </c>
      <c r="BF412" s="23">
        <v>0.0</v>
      </c>
      <c r="BJ412" s="23">
        <v>0.0</v>
      </c>
      <c r="BN412" s="23">
        <v>0.0</v>
      </c>
      <c r="BO412" s="23">
        <v>42.8</v>
      </c>
      <c r="BP412" s="16" t="s">
        <v>2528</v>
      </c>
      <c r="BQ412" s="16" t="b">
        <v>1</v>
      </c>
      <c r="BR412" s="23">
        <v>42.8</v>
      </c>
      <c r="BS412" s="23">
        <v>923152.0</v>
      </c>
      <c r="BT412" s="16" t="b">
        <v>1</v>
      </c>
      <c r="BU412" s="16" t="s">
        <v>546</v>
      </c>
    </row>
    <row r="413">
      <c r="A413" s="16" t="s">
        <v>2530</v>
      </c>
      <c r="B413" s="16" t="s">
        <v>35</v>
      </c>
      <c r="C413" s="22">
        <v>45453.0</v>
      </c>
      <c r="D413" s="16" t="s">
        <v>420</v>
      </c>
      <c r="E413" s="16" t="s">
        <v>2532</v>
      </c>
      <c r="F413" s="16" t="s">
        <v>772</v>
      </c>
      <c r="G413" s="16" t="s">
        <v>789</v>
      </c>
      <c r="H413" s="23">
        <v>1.0</v>
      </c>
      <c r="I413" s="23">
        <v>146.58</v>
      </c>
      <c r="J413" s="23">
        <v>146.58</v>
      </c>
      <c r="K413" s="16" t="s">
        <v>794</v>
      </c>
      <c r="L413" s="23">
        <v>1.0</v>
      </c>
      <c r="M413" s="23">
        <v>67.44</v>
      </c>
      <c r="N413" s="23">
        <v>67.44</v>
      </c>
      <c r="O413" s="16" t="s">
        <v>1346</v>
      </c>
      <c r="P413" s="23">
        <v>1.0</v>
      </c>
      <c r="Q413" s="23">
        <v>38.32</v>
      </c>
      <c r="R413" s="23">
        <v>38.32</v>
      </c>
      <c r="S413" s="16" t="s">
        <v>249</v>
      </c>
      <c r="T413" s="23">
        <v>1.0</v>
      </c>
      <c r="U413" s="23">
        <v>135.24</v>
      </c>
      <c r="V413" s="23">
        <v>135.24</v>
      </c>
      <c r="W413" s="16" t="s">
        <v>3616</v>
      </c>
      <c r="X413" s="23">
        <v>1.0</v>
      </c>
      <c r="Y413" s="23">
        <v>128.76</v>
      </c>
      <c r="Z413" s="23">
        <v>128.76</v>
      </c>
      <c r="AA413" s="16" t="s">
        <v>789</v>
      </c>
      <c r="AB413" s="23">
        <v>1.0</v>
      </c>
      <c r="AC413" s="23">
        <v>62.41</v>
      </c>
      <c r="AD413" s="23">
        <v>62.41</v>
      </c>
      <c r="AE413" s="16" t="s">
        <v>794</v>
      </c>
      <c r="AF413" s="23">
        <v>1.0</v>
      </c>
      <c r="AG413" s="23">
        <v>278.0</v>
      </c>
      <c r="AH413" s="23">
        <v>278.0</v>
      </c>
      <c r="AI413" s="16" t="s">
        <v>802</v>
      </c>
      <c r="AJ413" s="23">
        <v>1.0</v>
      </c>
      <c r="AK413" s="23">
        <v>414.9</v>
      </c>
      <c r="AL413" s="23">
        <v>414.9</v>
      </c>
      <c r="AM413" s="16" t="s">
        <v>794</v>
      </c>
      <c r="AN413" s="23">
        <v>1.0</v>
      </c>
      <c r="AO413" s="23">
        <v>9.04</v>
      </c>
      <c r="AP413" s="23">
        <v>9.04</v>
      </c>
      <c r="AT413" s="23">
        <v>0.0</v>
      </c>
      <c r="AX413" s="23">
        <v>0.0</v>
      </c>
      <c r="BF413" s="23">
        <v>0.0</v>
      </c>
      <c r="BJ413" s="23">
        <v>0.0</v>
      </c>
      <c r="BN413" s="23">
        <v>0.0</v>
      </c>
      <c r="BO413" s="23">
        <v>1280.69</v>
      </c>
      <c r="BP413" s="16" t="s">
        <v>2533</v>
      </c>
      <c r="BQ413" s="16" t="b">
        <v>1</v>
      </c>
      <c r="BR413" s="23">
        <v>1280.69</v>
      </c>
      <c r="BS413" s="23">
        <v>927871.0</v>
      </c>
      <c r="BT413" s="16" t="b">
        <v>1</v>
      </c>
      <c r="BU413" s="16" t="s">
        <v>546</v>
      </c>
    </row>
    <row r="414">
      <c r="A414" s="16" t="s">
        <v>2534</v>
      </c>
      <c r="B414" s="16" t="s">
        <v>35</v>
      </c>
      <c r="C414" s="22">
        <v>45454.0</v>
      </c>
      <c r="D414" s="16" t="s">
        <v>1016</v>
      </c>
      <c r="E414" s="16" t="s">
        <v>2535</v>
      </c>
      <c r="F414" s="16" t="s">
        <v>2537</v>
      </c>
      <c r="G414" s="16" t="s">
        <v>1648</v>
      </c>
      <c r="H414" s="23">
        <v>1.0</v>
      </c>
      <c r="I414" s="23">
        <v>70.65</v>
      </c>
      <c r="J414" s="23">
        <v>70.65</v>
      </c>
      <c r="N414" s="23">
        <v>0.0</v>
      </c>
      <c r="R414" s="23">
        <v>0.0</v>
      </c>
      <c r="V414" s="23">
        <v>0.0</v>
      </c>
      <c r="Z414" s="23">
        <v>0.0</v>
      </c>
      <c r="AD414" s="23">
        <v>0.0</v>
      </c>
      <c r="AH414" s="23">
        <v>0.0</v>
      </c>
      <c r="AL414" s="23">
        <v>0.0</v>
      </c>
      <c r="AP414" s="23">
        <v>0.0</v>
      </c>
      <c r="AT414" s="23">
        <v>0.0</v>
      </c>
      <c r="AX414" s="23">
        <v>0.0</v>
      </c>
      <c r="BF414" s="23">
        <v>0.0</v>
      </c>
      <c r="BJ414" s="23">
        <v>0.0</v>
      </c>
      <c r="BN414" s="23">
        <v>0.0</v>
      </c>
      <c r="BO414" s="23">
        <v>70.65</v>
      </c>
      <c r="BP414" s="16" t="s">
        <v>2536</v>
      </c>
      <c r="BQ414" s="16" t="b">
        <v>1</v>
      </c>
      <c r="BR414" s="23">
        <v>70.65</v>
      </c>
      <c r="BT414" s="16" t="b">
        <v>0</v>
      </c>
      <c r="BU414" s="16" t="s">
        <v>546</v>
      </c>
    </row>
    <row r="415">
      <c r="A415" s="16" t="s">
        <v>2538</v>
      </c>
      <c r="B415" s="16" t="s">
        <v>35</v>
      </c>
      <c r="C415" s="22">
        <v>45454.0</v>
      </c>
      <c r="D415" s="16" t="s">
        <v>1016</v>
      </c>
      <c r="E415" s="16" t="s">
        <v>2535</v>
      </c>
      <c r="F415" s="16" t="s">
        <v>2537</v>
      </c>
      <c r="G415" s="16" t="s">
        <v>1648</v>
      </c>
      <c r="H415" s="23">
        <v>1.0</v>
      </c>
      <c r="I415" s="23">
        <v>94.09</v>
      </c>
      <c r="J415" s="23">
        <v>94.09</v>
      </c>
      <c r="N415" s="23">
        <v>0.0</v>
      </c>
      <c r="R415" s="23">
        <v>0.0</v>
      </c>
      <c r="V415" s="23">
        <v>0.0</v>
      </c>
      <c r="Z415" s="23">
        <v>0.0</v>
      </c>
      <c r="AD415" s="23">
        <v>0.0</v>
      </c>
      <c r="AH415" s="23">
        <v>0.0</v>
      </c>
      <c r="AL415" s="23">
        <v>0.0</v>
      </c>
      <c r="AP415" s="23">
        <v>0.0</v>
      </c>
      <c r="AT415" s="23">
        <v>0.0</v>
      </c>
      <c r="AX415" s="23">
        <v>0.0</v>
      </c>
      <c r="BF415" s="23">
        <v>0.0</v>
      </c>
      <c r="BJ415" s="23">
        <v>0.0</v>
      </c>
      <c r="BN415" s="23">
        <v>0.0</v>
      </c>
      <c r="BO415" s="23">
        <v>94.09</v>
      </c>
      <c r="BP415" s="16" t="s">
        <v>2539</v>
      </c>
      <c r="BQ415" s="16" t="b">
        <v>1</v>
      </c>
      <c r="BR415" s="23">
        <v>94.09</v>
      </c>
      <c r="BT415" s="16" t="b">
        <v>0</v>
      </c>
      <c r="BU415" s="16" t="s">
        <v>546</v>
      </c>
    </row>
    <row r="416">
      <c r="A416" s="23">
        <v>6.4159874E7</v>
      </c>
      <c r="B416" s="16" t="s">
        <v>35</v>
      </c>
      <c r="C416" s="22">
        <v>45454.0</v>
      </c>
      <c r="D416" s="16" t="s">
        <v>112</v>
      </c>
      <c r="E416" s="16" t="s">
        <v>2540</v>
      </c>
      <c r="F416" s="16" t="s">
        <v>157</v>
      </c>
      <c r="G416" s="16" t="s">
        <v>159</v>
      </c>
      <c r="H416" s="23">
        <v>15.0</v>
      </c>
      <c r="I416" s="23">
        <v>13.5</v>
      </c>
      <c r="J416" s="23">
        <v>202.5</v>
      </c>
      <c r="K416" s="16" t="s">
        <v>155</v>
      </c>
      <c r="L416" s="23">
        <v>1.0</v>
      </c>
      <c r="M416" s="23">
        <v>34.56</v>
      </c>
      <c r="N416" s="23">
        <v>34.56</v>
      </c>
      <c r="O416" s="16" t="s">
        <v>152</v>
      </c>
      <c r="P416" s="23">
        <v>1.0</v>
      </c>
      <c r="Q416" s="23">
        <v>9.74</v>
      </c>
      <c r="R416" s="23">
        <v>9.74</v>
      </c>
      <c r="V416" s="23">
        <v>0.0</v>
      </c>
      <c r="Z416" s="23">
        <v>0.0</v>
      </c>
      <c r="AD416" s="23">
        <v>0.0</v>
      </c>
      <c r="AH416" s="23">
        <v>0.0</v>
      </c>
      <c r="AL416" s="23">
        <v>0.0</v>
      </c>
      <c r="AP416" s="23">
        <v>0.0</v>
      </c>
      <c r="AT416" s="23">
        <v>0.0</v>
      </c>
      <c r="AX416" s="23">
        <v>0.0</v>
      </c>
      <c r="BF416" s="23">
        <v>0.0</v>
      </c>
      <c r="BJ416" s="23">
        <v>0.0</v>
      </c>
      <c r="BN416" s="23">
        <v>0.0</v>
      </c>
      <c r="BO416" s="23">
        <v>246.8</v>
      </c>
      <c r="BP416" s="16" t="s">
        <v>2541</v>
      </c>
      <c r="BQ416" s="16" t="b">
        <v>1</v>
      </c>
      <c r="BR416" s="23">
        <v>246.8</v>
      </c>
      <c r="BS416" s="23">
        <v>928646.0</v>
      </c>
      <c r="BT416" s="16" t="b">
        <v>1</v>
      </c>
      <c r="BU416" s="16" t="s">
        <v>546</v>
      </c>
    </row>
    <row r="417">
      <c r="A417" s="16" t="s">
        <v>2542</v>
      </c>
      <c r="B417" s="16" t="s">
        <v>35</v>
      </c>
      <c r="C417" s="22">
        <v>45454.0</v>
      </c>
      <c r="F417" s="16" t="s">
        <v>1329</v>
      </c>
      <c r="G417" s="16" t="s">
        <v>1168</v>
      </c>
      <c r="H417" s="16">
        <v>1.0</v>
      </c>
      <c r="I417" s="23">
        <v>300.0</v>
      </c>
      <c r="J417" s="23">
        <v>300.0</v>
      </c>
      <c r="BO417" s="23">
        <v>300.0</v>
      </c>
      <c r="BR417" s="23">
        <v>300.0</v>
      </c>
      <c r="BU417" s="16" t="s">
        <v>539</v>
      </c>
      <c r="BV417" s="16" t="s">
        <v>624</v>
      </c>
      <c r="BW417" s="16"/>
      <c r="BX417" s="16"/>
      <c r="BY417" s="16"/>
    </row>
    <row r="418">
      <c r="A418" s="16" t="s">
        <v>2547</v>
      </c>
      <c r="B418" s="16" t="s">
        <v>35</v>
      </c>
      <c r="C418" s="22">
        <v>45454.0</v>
      </c>
      <c r="D418" s="16" t="s">
        <v>2248</v>
      </c>
      <c r="F418" s="16" t="s">
        <v>2549</v>
      </c>
      <c r="G418" s="16" t="s">
        <v>3218</v>
      </c>
      <c r="H418" s="16">
        <v>1.0</v>
      </c>
      <c r="I418" s="23">
        <v>355.96</v>
      </c>
      <c r="J418" s="23">
        <v>355.96</v>
      </c>
      <c r="BO418" s="23">
        <v>355.96</v>
      </c>
      <c r="BR418" s="23">
        <v>355.96</v>
      </c>
      <c r="BU418" s="16" t="s">
        <v>539</v>
      </c>
    </row>
    <row r="419">
      <c r="A419" s="16" t="s">
        <v>2551</v>
      </c>
      <c r="B419" s="16" t="s">
        <v>35</v>
      </c>
      <c r="C419" s="22">
        <v>45455.0</v>
      </c>
      <c r="D419" s="16" t="s">
        <v>543</v>
      </c>
      <c r="E419" s="16" t="s">
        <v>2552</v>
      </c>
      <c r="F419" s="16" t="s">
        <v>2555</v>
      </c>
      <c r="G419" s="16">
        <v>1.2539885E7</v>
      </c>
      <c r="H419" s="23">
        <v>1.0</v>
      </c>
      <c r="I419" s="23">
        <v>325.0</v>
      </c>
      <c r="J419" s="23">
        <v>325.0</v>
      </c>
      <c r="N419" s="23">
        <v>0.0</v>
      </c>
      <c r="R419" s="23">
        <v>0.0</v>
      </c>
      <c r="V419" s="23">
        <v>0.0</v>
      </c>
      <c r="Z419" s="23">
        <v>0.0</v>
      </c>
      <c r="AD419" s="23">
        <v>0.0</v>
      </c>
      <c r="AH419" s="23">
        <v>0.0</v>
      </c>
      <c r="AL419" s="23">
        <v>0.0</v>
      </c>
      <c r="AP419" s="23">
        <v>0.0</v>
      </c>
      <c r="AT419" s="23">
        <v>0.0</v>
      </c>
      <c r="AX419" s="23">
        <v>0.0</v>
      </c>
      <c r="BF419" s="23">
        <v>0.0</v>
      </c>
      <c r="BJ419" s="23">
        <v>0.0</v>
      </c>
      <c r="BN419" s="23">
        <v>0.0</v>
      </c>
      <c r="BO419" s="23">
        <v>325.0</v>
      </c>
      <c r="BP419" s="16" t="s">
        <v>2554</v>
      </c>
      <c r="BQ419" s="16" t="b">
        <v>1</v>
      </c>
      <c r="BR419" s="23">
        <v>325.0</v>
      </c>
      <c r="BS419" s="23">
        <v>929846.0</v>
      </c>
      <c r="BT419" s="16" t="b">
        <v>1</v>
      </c>
      <c r="BU419" s="16" t="s">
        <v>546</v>
      </c>
    </row>
    <row r="420">
      <c r="A420" s="16" t="s">
        <v>2558</v>
      </c>
      <c r="B420" s="16" t="s">
        <v>35</v>
      </c>
      <c r="C420" s="22">
        <v>45456.0</v>
      </c>
      <c r="D420" s="16" t="s">
        <v>112</v>
      </c>
      <c r="E420" s="16" t="s">
        <v>2559</v>
      </c>
      <c r="F420" s="16" t="s">
        <v>45</v>
      </c>
      <c r="G420" s="16" t="s">
        <v>159</v>
      </c>
      <c r="H420" s="23">
        <v>20.0</v>
      </c>
      <c r="I420" s="23">
        <v>13.5</v>
      </c>
      <c r="J420" s="23">
        <v>270.0</v>
      </c>
      <c r="K420" s="16" t="s">
        <v>155</v>
      </c>
      <c r="L420" s="23">
        <v>1.0</v>
      </c>
      <c r="M420" s="23">
        <v>89.3</v>
      </c>
      <c r="N420" s="23">
        <v>89.3</v>
      </c>
      <c r="O420" s="16" t="s">
        <v>152</v>
      </c>
      <c r="P420" s="23">
        <v>1.0</v>
      </c>
      <c r="Q420" s="23">
        <v>9.0</v>
      </c>
      <c r="R420" s="23">
        <v>9.0</v>
      </c>
      <c r="S420" s="16" t="s">
        <v>226</v>
      </c>
      <c r="T420" s="23">
        <v>1.0</v>
      </c>
      <c r="U420" s="23">
        <v>15.8</v>
      </c>
      <c r="V420" s="23">
        <v>15.8</v>
      </c>
      <c r="Z420" s="23">
        <v>0.0</v>
      </c>
      <c r="AD420" s="23">
        <v>0.0</v>
      </c>
      <c r="AH420" s="23">
        <v>0.0</v>
      </c>
      <c r="AL420" s="23">
        <v>0.0</v>
      </c>
      <c r="AP420" s="23">
        <v>0.0</v>
      </c>
      <c r="AT420" s="23">
        <v>0.0</v>
      </c>
      <c r="AX420" s="23">
        <v>0.0</v>
      </c>
      <c r="BF420" s="23">
        <v>0.0</v>
      </c>
      <c r="BJ420" s="23">
        <v>0.0</v>
      </c>
      <c r="BN420" s="23">
        <v>0.0</v>
      </c>
      <c r="BO420" s="23">
        <v>384.1</v>
      </c>
      <c r="BP420" s="16" t="s">
        <v>2561</v>
      </c>
      <c r="BQ420" s="16" t="b">
        <v>1</v>
      </c>
      <c r="BR420" s="23">
        <v>384.1</v>
      </c>
      <c r="BS420" s="23">
        <v>931071.0</v>
      </c>
      <c r="BT420" s="16" t="b">
        <v>1</v>
      </c>
      <c r="BU420" s="16" t="s">
        <v>546</v>
      </c>
    </row>
    <row r="421">
      <c r="A421" s="16" t="s">
        <v>2563</v>
      </c>
      <c r="B421" s="16" t="s">
        <v>35</v>
      </c>
      <c r="C421" s="22">
        <v>45457.0</v>
      </c>
      <c r="D421" s="16" t="s">
        <v>2039</v>
      </c>
      <c r="E421" s="16" t="s">
        <v>2565</v>
      </c>
      <c r="F421" s="16" t="s">
        <v>2568</v>
      </c>
      <c r="G421" s="16" t="s">
        <v>1346</v>
      </c>
      <c r="H421" s="23">
        <v>1.0</v>
      </c>
      <c r="I421" s="23">
        <v>27.5</v>
      </c>
      <c r="J421" s="23">
        <v>27.5</v>
      </c>
      <c r="N421" s="23">
        <v>0.0</v>
      </c>
      <c r="R421" s="23">
        <v>0.0</v>
      </c>
      <c r="V421" s="23">
        <v>0.0</v>
      </c>
      <c r="Z421" s="23">
        <v>0.0</v>
      </c>
      <c r="AD421" s="23">
        <v>0.0</v>
      </c>
      <c r="AH421" s="23">
        <v>0.0</v>
      </c>
      <c r="AL421" s="23">
        <v>0.0</v>
      </c>
      <c r="AP421" s="23">
        <v>0.0</v>
      </c>
      <c r="AT421" s="23">
        <v>0.0</v>
      </c>
      <c r="AX421" s="23">
        <v>0.0</v>
      </c>
      <c r="BF421" s="23">
        <v>0.0</v>
      </c>
      <c r="BJ421" s="23">
        <v>0.0</v>
      </c>
      <c r="BN421" s="23">
        <v>0.0</v>
      </c>
      <c r="BO421" s="23">
        <v>27.5</v>
      </c>
      <c r="BP421" s="16" t="s">
        <v>2566</v>
      </c>
      <c r="BQ421" s="16" t="b">
        <v>1</v>
      </c>
      <c r="BR421" s="23">
        <v>27.5</v>
      </c>
      <c r="BS421" s="23">
        <v>932102.0</v>
      </c>
      <c r="BT421" s="16" t="b">
        <v>1</v>
      </c>
      <c r="BU421" s="16" t="s">
        <v>546</v>
      </c>
    </row>
    <row r="422">
      <c r="A422" s="16" t="s">
        <v>2570</v>
      </c>
      <c r="B422" s="16" t="s">
        <v>35</v>
      </c>
      <c r="C422" s="22">
        <v>45457.0</v>
      </c>
      <c r="D422" s="16" t="s">
        <v>2197</v>
      </c>
      <c r="E422" s="16" t="s">
        <v>2572</v>
      </c>
      <c r="F422" s="16" t="s">
        <v>2575</v>
      </c>
      <c r="G422" s="16" t="s">
        <v>305</v>
      </c>
      <c r="H422" s="23">
        <v>1.0</v>
      </c>
      <c r="I422" s="23">
        <v>205.06</v>
      </c>
      <c r="J422" s="23">
        <v>205.06</v>
      </c>
      <c r="N422" s="23">
        <v>0.0</v>
      </c>
      <c r="R422" s="23">
        <v>0.0</v>
      </c>
      <c r="V422" s="23">
        <v>0.0</v>
      </c>
      <c r="Z422" s="23">
        <v>0.0</v>
      </c>
      <c r="AD422" s="23">
        <v>0.0</v>
      </c>
      <c r="AH422" s="23">
        <v>0.0</v>
      </c>
      <c r="AL422" s="23">
        <v>0.0</v>
      </c>
      <c r="AP422" s="23">
        <v>0.0</v>
      </c>
      <c r="AT422" s="23">
        <v>0.0</v>
      </c>
      <c r="AX422" s="23">
        <v>0.0</v>
      </c>
      <c r="BF422" s="23">
        <v>0.0</v>
      </c>
      <c r="BJ422" s="23">
        <v>0.0</v>
      </c>
      <c r="BN422" s="23">
        <v>0.0</v>
      </c>
      <c r="BO422" s="23">
        <v>205.06</v>
      </c>
      <c r="BP422" s="16" t="s">
        <v>2573</v>
      </c>
      <c r="BQ422" s="16" t="b">
        <v>1</v>
      </c>
      <c r="BR422" s="23">
        <v>205.06</v>
      </c>
      <c r="BS422" s="23">
        <v>932104.0</v>
      </c>
      <c r="BT422" s="16" t="b">
        <v>1</v>
      </c>
      <c r="BU422" s="16" t="s">
        <v>546</v>
      </c>
    </row>
    <row r="423">
      <c r="A423" s="16" t="s">
        <v>2577</v>
      </c>
      <c r="B423" s="16" t="s">
        <v>35</v>
      </c>
      <c r="C423" s="22">
        <v>45457.0</v>
      </c>
      <c r="D423" s="16" t="s">
        <v>543</v>
      </c>
      <c r="E423" s="16" t="s">
        <v>2579</v>
      </c>
      <c r="F423" s="16" t="s">
        <v>415</v>
      </c>
      <c r="G423" s="16">
        <v>1.2539885E7</v>
      </c>
      <c r="H423" s="23">
        <v>1.0</v>
      </c>
      <c r="I423" s="23">
        <v>300.0</v>
      </c>
      <c r="J423" s="23">
        <v>300.0</v>
      </c>
      <c r="N423" s="23">
        <v>0.0</v>
      </c>
      <c r="R423" s="23">
        <v>0.0</v>
      </c>
      <c r="V423" s="23">
        <v>0.0</v>
      </c>
      <c r="Z423" s="23">
        <v>0.0</v>
      </c>
      <c r="AD423" s="23">
        <v>0.0</v>
      </c>
      <c r="AH423" s="23">
        <v>0.0</v>
      </c>
      <c r="AL423" s="23">
        <v>0.0</v>
      </c>
      <c r="AP423" s="23">
        <v>0.0</v>
      </c>
      <c r="AT423" s="23">
        <v>0.0</v>
      </c>
      <c r="AX423" s="23">
        <v>0.0</v>
      </c>
      <c r="BF423" s="23">
        <v>0.0</v>
      </c>
      <c r="BJ423" s="23">
        <v>0.0</v>
      </c>
      <c r="BN423" s="23">
        <v>0.0</v>
      </c>
      <c r="BO423" s="23">
        <v>300.0</v>
      </c>
      <c r="BP423" s="16" t="s">
        <v>2580</v>
      </c>
      <c r="BQ423" s="16" t="b">
        <v>1</v>
      </c>
      <c r="BR423" s="23">
        <v>300.0</v>
      </c>
      <c r="BS423" s="23">
        <v>932152.0</v>
      </c>
      <c r="BT423" s="16" t="b">
        <v>1</v>
      </c>
      <c r="BU423" s="16" t="s">
        <v>546</v>
      </c>
    </row>
    <row r="424">
      <c r="A424" s="16" t="s">
        <v>2583</v>
      </c>
      <c r="B424" s="16" t="s">
        <v>35</v>
      </c>
      <c r="C424" s="22">
        <v>45457.0</v>
      </c>
      <c r="D424" s="16" t="s">
        <v>2584</v>
      </c>
      <c r="F424" s="16" t="s">
        <v>2586</v>
      </c>
      <c r="G424" s="16" t="s">
        <v>1164</v>
      </c>
      <c r="H424" s="16">
        <v>1.0</v>
      </c>
      <c r="I424" s="23">
        <v>223.58</v>
      </c>
      <c r="J424" s="23">
        <v>223.58</v>
      </c>
      <c r="BO424" s="23">
        <v>223.58</v>
      </c>
      <c r="BR424" s="23">
        <v>223.58</v>
      </c>
      <c r="BU424" s="16" t="s">
        <v>539</v>
      </c>
    </row>
    <row r="425">
      <c r="A425" s="16" t="s">
        <v>2588</v>
      </c>
      <c r="B425" s="16" t="s">
        <v>35</v>
      </c>
      <c r="C425" s="22">
        <v>45455.0</v>
      </c>
      <c r="D425" s="16" t="s">
        <v>890</v>
      </c>
      <c r="E425" s="16" t="s">
        <v>2590</v>
      </c>
      <c r="F425" s="16" t="s">
        <v>893</v>
      </c>
      <c r="G425" s="16" t="s">
        <v>1510</v>
      </c>
      <c r="H425" s="23">
        <v>1.0</v>
      </c>
      <c r="I425" s="23">
        <v>6372.86</v>
      </c>
      <c r="J425" s="23">
        <v>6372.86</v>
      </c>
      <c r="N425" s="23">
        <v>0.0</v>
      </c>
      <c r="R425" s="23">
        <v>0.0</v>
      </c>
      <c r="V425" s="23">
        <v>0.0</v>
      </c>
      <c r="Z425" s="23">
        <v>0.0</v>
      </c>
      <c r="AD425" s="23">
        <v>0.0</v>
      </c>
      <c r="AH425" s="23">
        <v>0.0</v>
      </c>
      <c r="AL425" s="23">
        <v>0.0</v>
      </c>
      <c r="AP425" s="23">
        <v>0.0</v>
      </c>
      <c r="AT425" s="23">
        <v>0.0</v>
      </c>
      <c r="AX425" s="23">
        <v>0.0</v>
      </c>
      <c r="BF425" s="23">
        <v>0.0</v>
      </c>
      <c r="BJ425" s="23">
        <v>0.0</v>
      </c>
      <c r="BN425" s="23">
        <v>0.0</v>
      </c>
      <c r="BO425" s="23">
        <v>6372.86</v>
      </c>
      <c r="BP425" s="16" t="s">
        <v>2591</v>
      </c>
      <c r="BQ425" s="16" t="b">
        <v>1</v>
      </c>
      <c r="BR425" s="23">
        <v>6372.86</v>
      </c>
      <c r="BT425" s="16" t="b">
        <v>0</v>
      </c>
      <c r="BU425" s="16" t="s">
        <v>546</v>
      </c>
    </row>
    <row r="426">
      <c r="A426" s="16" t="s">
        <v>2593</v>
      </c>
      <c r="B426" s="16" t="s">
        <v>35</v>
      </c>
      <c r="C426" s="22">
        <v>45457.0</v>
      </c>
      <c r="D426" s="16" t="s">
        <v>559</v>
      </c>
      <c r="E426" s="16" t="s">
        <v>2598</v>
      </c>
      <c r="F426" s="16" t="s">
        <v>195</v>
      </c>
      <c r="G426" s="16" t="s">
        <v>1081</v>
      </c>
      <c r="H426" s="23">
        <v>2.0</v>
      </c>
      <c r="I426" s="23">
        <v>45.0</v>
      </c>
      <c r="J426" s="23">
        <v>90.0</v>
      </c>
      <c r="N426" s="23">
        <v>0.0</v>
      </c>
      <c r="R426" s="23">
        <v>0.0</v>
      </c>
      <c r="V426" s="23">
        <v>0.0</v>
      </c>
      <c r="Z426" s="23">
        <v>0.0</v>
      </c>
      <c r="AD426" s="23">
        <v>0.0</v>
      </c>
      <c r="AH426" s="23">
        <v>0.0</v>
      </c>
      <c r="AL426" s="23">
        <v>0.0</v>
      </c>
      <c r="AP426" s="23">
        <v>0.0</v>
      </c>
      <c r="AT426" s="23">
        <v>0.0</v>
      </c>
      <c r="AX426" s="23">
        <v>0.0</v>
      </c>
      <c r="BF426" s="23">
        <v>0.0</v>
      </c>
      <c r="BJ426" s="23">
        <v>0.0</v>
      </c>
      <c r="BN426" s="23">
        <v>0.0</v>
      </c>
      <c r="BO426" s="23">
        <v>90.0</v>
      </c>
      <c r="BP426" s="16" t="s">
        <v>2599</v>
      </c>
      <c r="BQ426" s="16" t="b">
        <v>1</v>
      </c>
      <c r="BR426" s="23">
        <v>90.0</v>
      </c>
      <c r="BT426" s="16" t="b">
        <v>0</v>
      </c>
      <c r="BU426" s="16" t="s">
        <v>546</v>
      </c>
    </row>
    <row r="427">
      <c r="A427" s="16" t="s">
        <v>2602</v>
      </c>
      <c r="B427" s="16" t="s">
        <v>35</v>
      </c>
      <c r="C427" s="22">
        <v>45457.0</v>
      </c>
      <c r="D427" s="16" t="s">
        <v>559</v>
      </c>
      <c r="E427" s="16" t="s">
        <v>2598</v>
      </c>
      <c r="F427" s="16" t="s">
        <v>195</v>
      </c>
      <c r="G427" s="16" t="s">
        <v>1073</v>
      </c>
      <c r="H427" s="23">
        <v>1.0</v>
      </c>
      <c r="I427" s="23">
        <v>100.75</v>
      </c>
      <c r="J427" s="23">
        <v>100.75</v>
      </c>
      <c r="K427" s="16" t="s">
        <v>1404</v>
      </c>
      <c r="L427" s="23">
        <v>1.0</v>
      </c>
      <c r="M427" s="23">
        <v>100.75</v>
      </c>
      <c r="N427" s="23">
        <v>100.75</v>
      </c>
      <c r="O427" s="16" t="s">
        <v>1074</v>
      </c>
      <c r="P427" s="23">
        <v>1.0</v>
      </c>
      <c r="Q427" s="23">
        <v>100.75</v>
      </c>
      <c r="R427" s="23">
        <v>100.75</v>
      </c>
      <c r="S427" s="16" t="s">
        <v>1083</v>
      </c>
      <c r="T427" s="23">
        <v>1.0</v>
      </c>
      <c r="U427" s="23">
        <v>100.75</v>
      </c>
      <c r="V427" s="23">
        <v>100.75</v>
      </c>
      <c r="Z427" s="23">
        <v>0.0</v>
      </c>
      <c r="AD427" s="23">
        <v>0.0</v>
      </c>
      <c r="AH427" s="23">
        <v>0.0</v>
      </c>
      <c r="AL427" s="23">
        <v>0.0</v>
      </c>
      <c r="AP427" s="23">
        <v>0.0</v>
      </c>
      <c r="AT427" s="23">
        <v>0.0</v>
      </c>
      <c r="AX427" s="23">
        <v>0.0</v>
      </c>
      <c r="BF427" s="23">
        <v>0.0</v>
      </c>
      <c r="BJ427" s="23">
        <v>0.0</v>
      </c>
      <c r="BN427" s="23">
        <v>0.0</v>
      </c>
      <c r="BO427" s="23">
        <v>403.0</v>
      </c>
      <c r="BP427" s="16" t="s">
        <v>2604</v>
      </c>
      <c r="BQ427" s="16" t="b">
        <v>1</v>
      </c>
      <c r="BR427" s="23">
        <v>403.0</v>
      </c>
      <c r="BT427" s="16" t="b">
        <v>0</v>
      </c>
      <c r="BU427" s="16" t="s">
        <v>546</v>
      </c>
    </row>
    <row r="428">
      <c r="A428" s="16" t="s">
        <v>2606</v>
      </c>
      <c r="B428" s="16" t="s">
        <v>35</v>
      </c>
      <c r="C428" s="22">
        <v>45461.0</v>
      </c>
      <c r="D428" s="16" t="s">
        <v>112</v>
      </c>
      <c r="E428" s="16" t="s">
        <v>2608</v>
      </c>
      <c r="F428" s="16" t="s">
        <v>2610</v>
      </c>
      <c r="G428" s="16" t="s">
        <v>152</v>
      </c>
      <c r="H428" s="23">
        <v>1.0</v>
      </c>
      <c r="I428" s="23">
        <v>8.21</v>
      </c>
      <c r="J428" s="23">
        <v>8.21</v>
      </c>
      <c r="N428" s="23">
        <v>0.0</v>
      </c>
      <c r="R428" s="23">
        <v>0.0</v>
      </c>
      <c r="V428" s="23">
        <v>0.0</v>
      </c>
      <c r="Z428" s="23">
        <v>0.0</v>
      </c>
      <c r="AD428" s="23">
        <v>0.0</v>
      </c>
      <c r="AH428" s="23">
        <v>0.0</v>
      </c>
      <c r="AL428" s="23">
        <v>0.0</v>
      </c>
      <c r="AP428" s="23">
        <v>0.0</v>
      </c>
      <c r="AT428" s="23">
        <v>0.0</v>
      </c>
      <c r="AX428" s="23">
        <v>0.0</v>
      </c>
      <c r="BF428" s="23">
        <v>0.0</v>
      </c>
      <c r="BJ428" s="23">
        <v>0.0</v>
      </c>
      <c r="BN428" s="23">
        <v>0.0</v>
      </c>
      <c r="BO428" s="23">
        <v>8.21</v>
      </c>
      <c r="BP428" s="16" t="s">
        <v>2609</v>
      </c>
      <c r="BQ428" s="16" t="b">
        <v>1</v>
      </c>
      <c r="BR428" s="23">
        <v>8.21</v>
      </c>
      <c r="BS428" s="23">
        <v>937798.0</v>
      </c>
      <c r="BT428" s="16" t="b">
        <v>1</v>
      </c>
      <c r="BU428" s="16" t="s">
        <v>546</v>
      </c>
    </row>
    <row r="429">
      <c r="A429" s="23">
        <v>5.4355018E7</v>
      </c>
      <c r="B429" s="16" t="s">
        <v>35</v>
      </c>
      <c r="C429" s="22">
        <v>45461.0</v>
      </c>
      <c r="D429" s="16" t="s">
        <v>2613</v>
      </c>
      <c r="E429" s="16" t="s">
        <v>2614</v>
      </c>
      <c r="F429" s="16" t="s">
        <v>2617</v>
      </c>
      <c r="G429" s="16" t="s">
        <v>238</v>
      </c>
      <c r="H429" s="23">
        <v>24.0</v>
      </c>
      <c r="I429" s="23">
        <v>5.4</v>
      </c>
      <c r="J429" s="23">
        <v>129.6</v>
      </c>
      <c r="N429" s="23">
        <v>0.0</v>
      </c>
      <c r="R429" s="23">
        <v>0.0</v>
      </c>
      <c r="V429" s="23">
        <v>0.0</v>
      </c>
      <c r="Z429" s="23">
        <v>0.0</v>
      </c>
      <c r="AD429" s="23">
        <v>0.0</v>
      </c>
      <c r="AH429" s="23">
        <v>0.0</v>
      </c>
      <c r="AL429" s="23">
        <v>0.0</v>
      </c>
      <c r="AP429" s="23">
        <v>0.0</v>
      </c>
      <c r="AT429" s="23">
        <v>0.0</v>
      </c>
      <c r="AX429" s="23">
        <v>0.0</v>
      </c>
      <c r="BF429" s="23">
        <v>0.0</v>
      </c>
      <c r="BJ429" s="23">
        <v>0.0</v>
      </c>
      <c r="BN429" s="23">
        <v>0.0</v>
      </c>
      <c r="BO429" s="23">
        <v>129.6</v>
      </c>
      <c r="BP429" s="16" t="s">
        <v>2616</v>
      </c>
      <c r="BQ429" s="16" t="b">
        <v>1</v>
      </c>
      <c r="BR429" s="23">
        <v>129.6</v>
      </c>
      <c r="BS429" s="23">
        <v>937868.0</v>
      </c>
      <c r="BT429" s="16" t="b">
        <v>1</v>
      </c>
      <c r="BU429" s="16" t="s">
        <v>546</v>
      </c>
    </row>
    <row r="430">
      <c r="A430" s="16" t="s">
        <v>2619</v>
      </c>
      <c r="B430" s="16" t="s">
        <v>35</v>
      </c>
      <c r="C430" s="22">
        <v>45462.0</v>
      </c>
      <c r="D430" s="16" t="s">
        <v>543</v>
      </c>
      <c r="E430" s="16" t="s">
        <v>2621</v>
      </c>
      <c r="F430" s="16" t="s">
        <v>2624</v>
      </c>
      <c r="G430" s="16">
        <v>1.2539885E7</v>
      </c>
      <c r="H430" s="23">
        <v>1.0</v>
      </c>
      <c r="I430" s="23">
        <v>200.0</v>
      </c>
      <c r="J430" s="23">
        <v>200.0</v>
      </c>
      <c r="N430" s="23">
        <v>0.0</v>
      </c>
      <c r="R430" s="23">
        <v>0.0</v>
      </c>
      <c r="V430" s="23">
        <v>0.0</v>
      </c>
      <c r="Z430" s="23">
        <v>0.0</v>
      </c>
      <c r="AD430" s="23">
        <v>0.0</v>
      </c>
      <c r="AH430" s="23">
        <v>0.0</v>
      </c>
      <c r="AL430" s="23">
        <v>0.0</v>
      </c>
      <c r="AP430" s="23">
        <v>0.0</v>
      </c>
      <c r="AT430" s="23">
        <v>0.0</v>
      </c>
      <c r="AX430" s="23">
        <v>0.0</v>
      </c>
      <c r="BF430" s="23">
        <v>0.0</v>
      </c>
      <c r="BJ430" s="23">
        <v>0.0</v>
      </c>
      <c r="BN430" s="23">
        <v>0.0</v>
      </c>
      <c r="BO430" s="23">
        <v>200.0</v>
      </c>
      <c r="BP430" s="16" t="s">
        <v>2623</v>
      </c>
      <c r="BQ430" s="16" t="b">
        <v>1</v>
      </c>
      <c r="BR430" s="23">
        <v>200.0</v>
      </c>
      <c r="BS430" s="23">
        <v>938792.0</v>
      </c>
      <c r="BT430" s="16" t="b">
        <v>1</v>
      </c>
      <c r="BU430" s="16" t="s">
        <v>546</v>
      </c>
    </row>
    <row r="431">
      <c r="A431" s="16" t="s">
        <v>2627</v>
      </c>
      <c r="B431" s="16" t="s">
        <v>35</v>
      </c>
      <c r="C431" s="22">
        <v>45462.0</v>
      </c>
      <c r="D431" s="16" t="s">
        <v>460</v>
      </c>
      <c r="F431" s="16" t="s">
        <v>2629</v>
      </c>
      <c r="G431" s="16" t="s">
        <v>1054</v>
      </c>
      <c r="H431" s="16">
        <v>1.0</v>
      </c>
      <c r="I431" s="23">
        <v>1855.19</v>
      </c>
      <c r="J431" s="23">
        <v>1855.19</v>
      </c>
      <c r="BO431" s="23">
        <v>1855.19</v>
      </c>
      <c r="BR431" s="23">
        <v>1855.19</v>
      </c>
      <c r="BU431" s="16" t="s">
        <v>539</v>
      </c>
    </row>
    <row r="432">
      <c r="A432" s="16" t="s">
        <v>2632</v>
      </c>
      <c r="B432" s="16" t="s">
        <v>35</v>
      </c>
      <c r="C432" s="22">
        <v>45462.0</v>
      </c>
      <c r="D432" s="16" t="s">
        <v>460</v>
      </c>
      <c r="F432" s="16" t="s">
        <v>2634</v>
      </c>
      <c r="G432" s="16" t="s">
        <v>1164</v>
      </c>
      <c r="H432" s="16">
        <v>1.0</v>
      </c>
      <c r="I432" s="23">
        <v>125.0</v>
      </c>
      <c r="J432" s="23">
        <v>125.0</v>
      </c>
      <c r="BO432" s="23">
        <v>125.0</v>
      </c>
      <c r="BR432" s="23">
        <v>125.0</v>
      </c>
      <c r="BU432" s="16" t="s">
        <v>539</v>
      </c>
    </row>
    <row r="433">
      <c r="A433" s="16" t="s">
        <v>2636</v>
      </c>
      <c r="B433" s="16" t="s">
        <v>35</v>
      </c>
      <c r="C433" s="22">
        <v>45463.0</v>
      </c>
      <c r="D433" s="16" t="s">
        <v>112</v>
      </c>
      <c r="E433" s="16" t="s">
        <v>2638</v>
      </c>
      <c r="F433" s="16" t="s">
        <v>45</v>
      </c>
      <c r="G433" s="16" t="s">
        <v>159</v>
      </c>
      <c r="H433" s="23">
        <v>15.0</v>
      </c>
      <c r="I433" s="23">
        <v>13.5</v>
      </c>
      <c r="J433" s="23">
        <v>202.5</v>
      </c>
      <c r="K433" s="16" t="s">
        <v>155</v>
      </c>
      <c r="L433" s="23">
        <v>10.0</v>
      </c>
      <c r="M433" s="23">
        <v>9.9</v>
      </c>
      <c r="N433" s="23">
        <v>99.0</v>
      </c>
      <c r="O433" s="16" t="s">
        <v>152</v>
      </c>
      <c r="P433" s="23">
        <v>1.0</v>
      </c>
      <c r="Q433" s="23">
        <v>10.71</v>
      </c>
      <c r="R433" s="23">
        <v>10.71</v>
      </c>
      <c r="S433" s="16" t="s">
        <v>226</v>
      </c>
      <c r="T433" s="23">
        <v>10.0</v>
      </c>
      <c r="U433" s="23">
        <v>8.5</v>
      </c>
      <c r="V433" s="23">
        <v>85.0</v>
      </c>
      <c r="Z433" s="23">
        <v>0.0</v>
      </c>
      <c r="AD433" s="23">
        <v>0.0</v>
      </c>
      <c r="AH433" s="23">
        <v>0.0</v>
      </c>
      <c r="AL433" s="23">
        <v>0.0</v>
      </c>
      <c r="AP433" s="23">
        <v>0.0</v>
      </c>
      <c r="AT433" s="23">
        <v>0.0</v>
      </c>
      <c r="AX433" s="23">
        <v>0.0</v>
      </c>
      <c r="BF433" s="23">
        <v>0.0</v>
      </c>
      <c r="BJ433" s="23">
        <v>0.0</v>
      </c>
      <c r="BN433" s="23">
        <v>0.0</v>
      </c>
      <c r="BO433" s="23">
        <v>397.21</v>
      </c>
      <c r="BP433" s="16" t="s">
        <v>2639</v>
      </c>
      <c r="BQ433" s="16" t="b">
        <v>1</v>
      </c>
      <c r="BR433" s="23">
        <v>397.21</v>
      </c>
      <c r="BS433" s="23">
        <v>939727.0</v>
      </c>
      <c r="BT433" s="16" t="b">
        <v>1</v>
      </c>
      <c r="BU433" s="16" t="s">
        <v>546</v>
      </c>
    </row>
    <row r="434">
      <c r="A434" s="16" t="s">
        <v>2642</v>
      </c>
      <c r="B434" s="16" t="s">
        <v>35</v>
      </c>
      <c r="C434" s="22">
        <v>45463.0</v>
      </c>
      <c r="D434" s="16" t="s">
        <v>2644</v>
      </c>
      <c r="E434" s="16" t="s">
        <v>2645</v>
      </c>
      <c r="F434" s="16" t="s">
        <v>767</v>
      </c>
      <c r="G434" s="16" t="s">
        <v>1074</v>
      </c>
      <c r="H434" s="23">
        <v>1.0</v>
      </c>
      <c r="I434" s="23">
        <v>78.1</v>
      </c>
      <c r="J434" s="23">
        <v>78.1</v>
      </c>
      <c r="K434" s="16" t="s">
        <v>1075</v>
      </c>
      <c r="L434" s="23">
        <v>1.0</v>
      </c>
      <c r="M434" s="23">
        <v>78.1</v>
      </c>
      <c r="N434" s="23">
        <v>78.1</v>
      </c>
      <c r="O434" s="16" t="s">
        <v>1077</v>
      </c>
      <c r="P434" s="23">
        <v>1.0</v>
      </c>
      <c r="Q434" s="23">
        <v>78.1</v>
      </c>
      <c r="R434" s="23">
        <v>78.1</v>
      </c>
      <c r="S434" s="16" t="s">
        <v>1081</v>
      </c>
      <c r="T434" s="23">
        <v>1.0</v>
      </c>
      <c r="U434" s="23">
        <v>78.1</v>
      </c>
      <c r="V434" s="23">
        <v>78.1</v>
      </c>
      <c r="W434" s="16" t="s">
        <v>1073</v>
      </c>
      <c r="X434" s="23">
        <v>1.0</v>
      </c>
      <c r="Y434" s="23">
        <v>78.1</v>
      </c>
      <c r="Z434" s="23">
        <v>78.1</v>
      </c>
      <c r="AD434" s="23">
        <v>0.0</v>
      </c>
      <c r="AH434" s="23">
        <v>0.0</v>
      </c>
      <c r="AL434" s="23">
        <v>0.0</v>
      </c>
      <c r="AP434" s="23">
        <v>0.0</v>
      </c>
      <c r="AT434" s="23">
        <v>0.0</v>
      </c>
      <c r="AX434" s="23">
        <v>0.0</v>
      </c>
      <c r="BF434" s="23">
        <v>0.0</v>
      </c>
      <c r="BJ434" s="23">
        <v>0.0</v>
      </c>
      <c r="BN434" s="23">
        <v>0.0</v>
      </c>
      <c r="BO434" s="23">
        <v>390.5</v>
      </c>
      <c r="BP434" s="16" t="s">
        <v>2646</v>
      </c>
      <c r="BQ434" s="16" t="b">
        <v>1</v>
      </c>
      <c r="BR434" s="23">
        <v>390.5</v>
      </c>
      <c r="BT434" s="16" t="b">
        <v>0</v>
      </c>
      <c r="BU434" s="16" t="s">
        <v>546</v>
      </c>
    </row>
    <row r="435">
      <c r="A435" s="16" t="s">
        <v>2650</v>
      </c>
      <c r="B435" s="16" t="s">
        <v>35</v>
      </c>
      <c r="C435" s="22">
        <v>45456.0</v>
      </c>
      <c r="D435" s="16" t="s">
        <v>890</v>
      </c>
      <c r="E435" s="16" t="s">
        <v>2652</v>
      </c>
      <c r="F435" s="16" t="s">
        <v>1184</v>
      </c>
      <c r="G435" s="16" t="s">
        <v>1517</v>
      </c>
      <c r="H435" s="23">
        <v>1.0</v>
      </c>
      <c r="I435" s="23">
        <v>6349.78</v>
      </c>
      <c r="J435" s="23">
        <v>6349.78</v>
      </c>
      <c r="N435" s="23">
        <v>0.0</v>
      </c>
      <c r="R435" s="23">
        <v>0.0</v>
      </c>
      <c r="V435" s="23">
        <v>0.0</v>
      </c>
      <c r="Z435" s="23">
        <v>0.0</v>
      </c>
      <c r="AD435" s="23">
        <v>0.0</v>
      </c>
      <c r="AH435" s="23">
        <v>0.0</v>
      </c>
      <c r="AL435" s="23">
        <v>0.0</v>
      </c>
      <c r="AP435" s="23">
        <v>0.0</v>
      </c>
      <c r="AT435" s="23">
        <v>0.0</v>
      </c>
      <c r="AX435" s="23">
        <v>0.0</v>
      </c>
      <c r="BF435" s="23">
        <v>0.0</v>
      </c>
      <c r="BJ435" s="23">
        <v>0.0</v>
      </c>
      <c r="BN435" s="23">
        <v>0.0</v>
      </c>
      <c r="BO435" s="23">
        <v>6349.78</v>
      </c>
      <c r="BP435" s="16" t="s">
        <v>2653</v>
      </c>
      <c r="BQ435" s="16" t="b">
        <v>1</v>
      </c>
      <c r="BR435" s="23">
        <v>6349.78</v>
      </c>
      <c r="BT435" s="16" t="b">
        <v>0</v>
      </c>
      <c r="BU435" s="16" t="s">
        <v>546</v>
      </c>
    </row>
    <row r="436">
      <c r="A436" s="16" t="s">
        <v>2656</v>
      </c>
      <c r="B436" s="16" t="s">
        <v>35</v>
      </c>
      <c r="C436" s="22">
        <v>45461.0</v>
      </c>
      <c r="D436" s="16" t="s">
        <v>2491</v>
      </c>
      <c r="E436" s="16" t="s">
        <v>2658</v>
      </c>
      <c r="F436" s="16" t="s">
        <v>605</v>
      </c>
      <c r="G436" s="16" t="s">
        <v>1145</v>
      </c>
      <c r="H436" s="23">
        <v>1.0</v>
      </c>
      <c r="I436" s="23">
        <v>2334.47</v>
      </c>
      <c r="J436" s="23">
        <v>2334.47</v>
      </c>
      <c r="N436" s="23">
        <v>0.0</v>
      </c>
      <c r="R436" s="23">
        <v>0.0</v>
      </c>
      <c r="V436" s="23">
        <v>0.0</v>
      </c>
      <c r="Z436" s="23">
        <v>0.0</v>
      </c>
      <c r="AD436" s="23">
        <v>0.0</v>
      </c>
      <c r="AH436" s="23">
        <v>0.0</v>
      </c>
      <c r="AL436" s="23">
        <v>0.0</v>
      </c>
      <c r="AP436" s="23">
        <v>0.0</v>
      </c>
      <c r="AT436" s="23">
        <v>0.0</v>
      </c>
      <c r="AX436" s="23">
        <v>0.0</v>
      </c>
      <c r="BF436" s="23">
        <v>0.0</v>
      </c>
      <c r="BJ436" s="23">
        <v>0.0</v>
      </c>
      <c r="BN436" s="23">
        <v>0.0</v>
      </c>
      <c r="BO436" s="23">
        <v>2334.47</v>
      </c>
      <c r="BP436" s="16" t="s">
        <v>2660</v>
      </c>
      <c r="BQ436" s="16" t="b">
        <v>1</v>
      </c>
      <c r="BR436" s="23">
        <v>2334.47</v>
      </c>
      <c r="BT436" s="16" t="b">
        <v>0</v>
      </c>
      <c r="BU436" s="16" t="s">
        <v>546</v>
      </c>
    </row>
    <row r="437">
      <c r="A437" s="16" t="s">
        <v>2664</v>
      </c>
      <c r="B437" s="16" t="s">
        <v>35</v>
      </c>
      <c r="C437" s="22">
        <v>45466.0</v>
      </c>
      <c r="F437" s="16" t="s">
        <v>2666</v>
      </c>
      <c r="G437" s="16" t="s">
        <v>1168</v>
      </c>
      <c r="H437" s="16">
        <v>1.0</v>
      </c>
      <c r="I437" s="23">
        <v>400.0</v>
      </c>
      <c r="J437" s="23">
        <v>400.0</v>
      </c>
      <c r="BO437" s="23">
        <v>400.0</v>
      </c>
      <c r="BR437" s="23">
        <v>400.0</v>
      </c>
      <c r="BU437" s="16" t="s">
        <v>539</v>
      </c>
      <c r="BV437" s="16" t="s">
        <v>651</v>
      </c>
      <c r="BW437" s="16"/>
      <c r="BX437" s="16"/>
      <c r="BY437" s="16"/>
    </row>
    <row r="438">
      <c r="A438" s="16" t="s">
        <v>2668</v>
      </c>
      <c r="B438" s="16" t="s">
        <v>35</v>
      </c>
      <c r="C438" s="22">
        <v>45467.0</v>
      </c>
      <c r="D438" s="16" t="s">
        <v>559</v>
      </c>
      <c r="F438" s="16" t="s">
        <v>195</v>
      </c>
      <c r="G438" s="16" t="s">
        <v>3768</v>
      </c>
      <c r="H438" s="16">
        <v>1.0</v>
      </c>
      <c r="I438" s="23">
        <v>219.28</v>
      </c>
      <c r="J438" s="23">
        <v>219.28</v>
      </c>
      <c r="BO438" s="23">
        <v>219.28</v>
      </c>
      <c r="BR438" s="23">
        <v>219.28</v>
      </c>
      <c r="BU438" s="16" t="s">
        <v>539</v>
      </c>
    </row>
    <row r="439">
      <c r="A439" s="16" t="s">
        <v>2672</v>
      </c>
      <c r="B439" s="16" t="s">
        <v>35</v>
      </c>
      <c r="C439" s="22">
        <v>45467.0</v>
      </c>
      <c r="D439" s="23">
        <v>6.8893939E7</v>
      </c>
      <c r="F439" s="16" t="s">
        <v>2674</v>
      </c>
      <c r="G439" s="16" t="s">
        <v>1653</v>
      </c>
      <c r="H439" s="16">
        <v>1.0</v>
      </c>
      <c r="I439" s="23">
        <v>827.55</v>
      </c>
      <c r="J439" s="23">
        <v>827.55</v>
      </c>
      <c r="BO439" s="23">
        <v>827.55</v>
      </c>
      <c r="BR439" s="23">
        <v>827.55</v>
      </c>
      <c r="BU439" s="16" t="s">
        <v>539</v>
      </c>
    </row>
    <row r="440">
      <c r="A440" s="16" t="s">
        <v>2676</v>
      </c>
      <c r="B440" s="16" t="s">
        <v>35</v>
      </c>
      <c r="C440" s="22">
        <v>45467.0</v>
      </c>
      <c r="D440" s="23">
        <v>6.8893939E7</v>
      </c>
      <c r="F440" s="16" t="s">
        <v>605</v>
      </c>
      <c r="G440" s="16" t="s">
        <v>1653</v>
      </c>
      <c r="H440" s="16">
        <v>1.0</v>
      </c>
      <c r="I440" s="23">
        <v>827.25</v>
      </c>
      <c r="J440" s="23">
        <v>827.25</v>
      </c>
      <c r="BO440" s="23">
        <v>827.25</v>
      </c>
      <c r="BR440" s="23">
        <v>827.25</v>
      </c>
      <c r="BU440" s="16" t="s">
        <v>539</v>
      </c>
    </row>
    <row r="441">
      <c r="A441" s="16" t="s">
        <v>2680</v>
      </c>
      <c r="B441" s="16" t="s">
        <v>35</v>
      </c>
      <c r="C441" s="22">
        <v>45467.0</v>
      </c>
      <c r="D441" s="16" t="s">
        <v>460</v>
      </c>
      <c r="F441" s="16" t="s">
        <v>931</v>
      </c>
      <c r="G441" s="16" t="s">
        <v>1126</v>
      </c>
      <c r="H441" s="16">
        <v>1.0</v>
      </c>
      <c r="I441" s="23">
        <v>30.0</v>
      </c>
      <c r="J441" s="23">
        <v>30.0</v>
      </c>
      <c r="BO441" s="23">
        <v>30.0</v>
      </c>
      <c r="BR441" s="23">
        <v>30.0</v>
      </c>
      <c r="BU441" s="16" t="s">
        <v>539</v>
      </c>
    </row>
    <row r="442">
      <c r="A442" s="16" t="s">
        <v>2683</v>
      </c>
      <c r="B442" s="16" t="s">
        <v>35</v>
      </c>
      <c r="C442" s="22">
        <v>45471.0</v>
      </c>
      <c r="D442" s="16" t="s">
        <v>2685</v>
      </c>
      <c r="F442" s="16" t="s">
        <v>2687</v>
      </c>
      <c r="G442" s="16" t="s">
        <v>1152</v>
      </c>
      <c r="H442" s="16">
        <v>1.0</v>
      </c>
      <c r="I442" s="23">
        <v>379.89</v>
      </c>
      <c r="J442" s="23">
        <v>379.89</v>
      </c>
      <c r="BO442" s="23">
        <v>379.89</v>
      </c>
      <c r="BR442" s="23">
        <v>379.89</v>
      </c>
      <c r="BU442" s="16" t="s">
        <v>539</v>
      </c>
    </row>
    <row r="443">
      <c r="A443" s="16" t="s">
        <v>2689</v>
      </c>
      <c r="B443" s="16" t="s">
        <v>35</v>
      </c>
      <c r="C443" s="22">
        <v>45471.0</v>
      </c>
      <c r="D443" s="16" t="s">
        <v>2685</v>
      </c>
      <c r="F443" s="16" t="s">
        <v>2687</v>
      </c>
      <c r="G443" s="16" t="s">
        <v>1152</v>
      </c>
      <c r="H443" s="16">
        <v>1.0</v>
      </c>
      <c r="I443" s="23">
        <v>405.27</v>
      </c>
      <c r="J443" s="23">
        <v>405.27</v>
      </c>
      <c r="BO443" s="23">
        <v>405.27</v>
      </c>
      <c r="BR443" s="23">
        <v>405.27</v>
      </c>
      <c r="BU443" s="16" t="s">
        <v>539</v>
      </c>
    </row>
    <row r="444">
      <c r="A444" s="16" t="s">
        <v>2694</v>
      </c>
      <c r="B444" s="16" t="s">
        <v>35</v>
      </c>
      <c r="C444" s="22">
        <v>45477.0</v>
      </c>
      <c r="F444" s="16" t="s">
        <v>2696</v>
      </c>
      <c r="G444" s="16" t="s">
        <v>1239</v>
      </c>
      <c r="H444" s="16">
        <v>1.0</v>
      </c>
      <c r="I444" s="23">
        <v>1722.44</v>
      </c>
      <c r="J444" s="23">
        <v>1722.44</v>
      </c>
      <c r="BO444" s="23">
        <v>1722.44</v>
      </c>
      <c r="BR444" s="23">
        <v>1722.44</v>
      </c>
      <c r="BU444" s="16" t="s">
        <v>539</v>
      </c>
      <c r="BV444" s="16" t="s">
        <v>658</v>
      </c>
      <c r="BW444" s="16"/>
      <c r="BX444" s="16"/>
      <c r="BY444" s="16"/>
    </row>
    <row r="445">
      <c r="A445" s="16" t="s">
        <v>2698</v>
      </c>
      <c r="B445" s="16" t="s">
        <v>35</v>
      </c>
      <c r="C445" s="22">
        <v>45477.0</v>
      </c>
      <c r="F445" s="16" t="s">
        <v>2696</v>
      </c>
      <c r="G445" s="16" t="s">
        <v>1239</v>
      </c>
      <c r="H445" s="16">
        <v>1.0</v>
      </c>
      <c r="I445" s="23">
        <v>1633.73</v>
      </c>
      <c r="J445" s="23">
        <v>1633.73</v>
      </c>
      <c r="BO445" s="23">
        <v>1633.73</v>
      </c>
      <c r="BR445" s="23">
        <v>1633.73</v>
      </c>
      <c r="BU445" s="16" t="s">
        <v>539</v>
      </c>
      <c r="BV445" s="16" t="s">
        <v>651</v>
      </c>
      <c r="BW445" s="16"/>
      <c r="BX445" s="16"/>
      <c r="BY445" s="16"/>
    </row>
    <row r="446">
      <c r="A446" s="16" t="s">
        <v>2701</v>
      </c>
      <c r="B446" s="16" t="s">
        <v>35</v>
      </c>
      <c r="C446" s="22">
        <v>45477.0</v>
      </c>
      <c r="F446" s="16" t="s">
        <v>2696</v>
      </c>
      <c r="G446" s="16" t="s">
        <v>1239</v>
      </c>
      <c r="H446" s="16">
        <v>1.0</v>
      </c>
      <c r="I446" s="23">
        <v>2012.26</v>
      </c>
      <c r="J446" s="23">
        <v>2012.26</v>
      </c>
      <c r="BO446" s="23">
        <v>2012.26</v>
      </c>
      <c r="BR446" s="23">
        <v>2012.26</v>
      </c>
      <c r="BU446" s="16" t="s">
        <v>539</v>
      </c>
      <c r="BV446" s="16" t="s">
        <v>2052</v>
      </c>
      <c r="BW446" s="16"/>
      <c r="BX446" s="16"/>
      <c r="BY446" s="16"/>
    </row>
    <row r="447">
      <c r="A447" s="16" t="s">
        <v>2705</v>
      </c>
      <c r="B447" s="16" t="s">
        <v>35</v>
      </c>
      <c r="C447" s="22">
        <v>45477.0</v>
      </c>
      <c r="F447" s="16" t="s">
        <v>2696</v>
      </c>
      <c r="G447" s="16" t="s">
        <v>1239</v>
      </c>
      <c r="H447" s="16">
        <v>1.0</v>
      </c>
      <c r="I447" s="23">
        <v>2933.29</v>
      </c>
      <c r="J447" s="23">
        <v>2933.29</v>
      </c>
      <c r="BO447" s="23">
        <v>2933.29</v>
      </c>
      <c r="BR447" s="23">
        <v>2933.29</v>
      </c>
      <c r="BU447" s="16" t="s">
        <v>539</v>
      </c>
      <c r="BV447" s="16" t="s">
        <v>624</v>
      </c>
      <c r="BW447" s="16"/>
      <c r="BX447" s="16"/>
      <c r="BY447" s="16"/>
    </row>
    <row r="448">
      <c r="A448" s="16">
        <v>1.20267703E8</v>
      </c>
      <c r="B448" s="16" t="s">
        <v>35</v>
      </c>
      <c r="C448" s="22">
        <v>45477.0</v>
      </c>
      <c r="F448" s="16" t="s">
        <v>2696</v>
      </c>
      <c r="G448" s="16" t="s">
        <v>1239</v>
      </c>
      <c r="H448" s="16">
        <v>1.0</v>
      </c>
      <c r="I448" s="23">
        <v>2977.6</v>
      </c>
      <c r="J448" s="23">
        <v>2977.6</v>
      </c>
      <c r="BO448" s="23">
        <v>2977.6</v>
      </c>
      <c r="BR448" s="23">
        <v>2977.6</v>
      </c>
      <c r="BU448" s="16" t="s">
        <v>539</v>
      </c>
      <c r="BV448" s="16" t="s">
        <v>664</v>
      </c>
      <c r="BW448" s="16"/>
      <c r="BX448" s="16"/>
      <c r="BY448" s="16"/>
    </row>
    <row r="449">
      <c r="A449" s="16" t="s">
        <v>2710</v>
      </c>
      <c r="B449" s="16" t="s">
        <v>35</v>
      </c>
      <c r="C449" s="22">
        <v>45477.0</v>
      </c>
      <c r="F449" s="16" t="s">
        <v>2696</v>
      </c>
      <c r="G449" s="16" t="s">
        <v>1239</v>
      </c>
      <c r="H449" s="16">
        <v>1.0</v>
      </c>
      <c r="I449" s="23">
        <v>1434.35</v>
      </c>
      <c r="J449" s="23">
        <v>1434.35</v>
      </c>
      <c r="BO449" s="23">
        <v>1434.35</v>
      </c>
      <c r="BR449" s="23">
        <v>1434.35</v>
      </c>
      <c r="BU449" s="16" t="s">
        <v>539</v>
      </c>
      <c r="BV449" s="16" t="s">
        <v>2713</v>
      </c>
      <c r="BW449" s="16"/>
      <c r="BX449" s="16"/>
      <c r="BY449" s="16"/>
    </row>
    <row r="450">
      <c r="A450" s="16" t="s">
        <v>2716</v>
      </c>
      <c r="B450" s="16" t="s">
        <v>35</v>
      </c>
      <c r="C450" s="22">
        <v>45479.0</v>
      </c>
      <c r="D450" s="16" t="s">
        <v>2439</v>
      </c>
      <c r="E450" s="16" t="s">
        <v>2718</v>
      </c>
      <c r="F450" s="16" t="s">
        <v>2720</v>
      </c>
      <c r="G450" s="16" t="s">
        <v>873</v>
      </c>
      <c r="H450" s="23">
        <v>1.0</v>
      </c>
      <c r="I450" s="23">
        <v>151.88</v>
      </c>
      <c r="J450" s="23">
        <v>151.88</v>
      </c>
      <c r="N450" s="23">
        <v>0.0</v>
      </c>
      <c r="R450" s="23">
        <v>0.0</v>
      </c>
      <c r="V450" s="23">
        <v>0.0</v>
      </c>
      <c r="Z450" s="23">
        <v>0.0</v>
      </c>
      <c r="AD450" s="23">
        <v>0.0</v>
      </c>
      <c r="AH450" s="23">
        <v>0.0</v>
      </c>
      <c r="AL450" s="23">
        <v>0.0</v>
      </c>
      <c r="AP450" s="23">
        <v>0.0</v>
      </c>
      <c r="AT450" s="23">
        <v>0.0</v>
      </c>
      <c r="AX450" s="23">
        <v>0.0</v>
      </c>
      <c r="BF450" s="23">
        <v>0.0</v>
      </c>
      <c r="BJ450" s="23">
        <v>0.0</v>
      </c>
      <c r="BN450" s="23">
        <v>0.0</v>
      </c>
      <c r="BO450" s="23">
        <v>151.88</v>
      </c>
      <c r="BP450" s="16" t="s">
        <v>2719</v>
      </c>
      <c r="BQ450" s="16" t="b">
        <v>1</v>
      </c>
      <c r="BR450" s="23">
        <v>151.88</v>
      </c>
      <c r="BT450" s="16" t="b">
        <v>0</v>
      </c>
      <c r="BU450" s="16" t="s">
        <v>546</v>
      </c>
    </row>
    <row r="451">
      <c r="A451" s="16" t="s">
        <v>2722</v>
      </c>
      <c r="B451" s="16" t="s">
        <v>35</v>
      </c>
      <c r="C451" s="22">
        <v>45481.0</v>
      </c>
      <c r="D451" s="16" t="s">
        <v>1383</v>
      </c>
      <c r="F451" s="16" t="s">
        <v>788</v>
      </c>
      <c r="G451" s="16" t="s">
        <v>3822</v>
      </c>
      <c r="H451" s="16">
        <v>1.0</v>
      </c>
      <c r="I451" s="23">
        <v>353.75</v>
      </c>
      <c r="J451" s="23">
        <v>353.75</v>
      </c>
      <c r="BO451" s="23">
        <v>353.75</v>
      </c>
      <c r="BR451" s="23">
        <v>353.75</v>
      </c>
      <c r="BU451" s="16" t="s">
        <v>539</v>
      </c>
    </row>
    <row r="452">
      <c r="A452" s="16" t="s">
        <v>2727</v>
      </c>
      <c r="B452" s="16" t="s">
        <v>35</v>
      </c>
      <c r="C452" s="22">
        <v>45481.0</v>
      </c>
      <c r="D452" s="16" t="s">
        <v>559</v>
      </c>
      <c r="F452" s="16" t="s">
        <v>195</v>
      </c>
      <c r="G452" s="16" t="s">
        <v>3768</v>
      </c>
      <c r="H452" s="16">
        <v>1.0</v>
      </c>
      <c r="I452" s="23">
        <v>803.42</v>
      </c>
      <c r="J452" s="23">
        <v>803.42</v>
      </c>
      <c r="BO452" s="23">
        <v>803.42</v>
      </c>
      <c r="BR452" s="23">
        <v>803.42</v>
      </c>
      <c r="BU452" s="16" t="s">
        <v>539</v>
      </c>
    </row>
    <row r="453">
      <c r="A453" s="16" t="s">
        <v>2730</v>
      </c>
      <c r="B453" s="16" t="s">
        <v>35</v>
      </c>
      <c r="C453" s="22">
        <v>45481.0</v>
      </c>
      <c r="D453" s="16" t="s">
        <v>890</v>
      </c>
      <c r="F453" s="16" t="s">
        <v>2732</v>
      </c>
      <c r="G453" s="16" t="s">
        <v>3833</v>
      </c>
      <c r="H453" s="16">
        <v>1.0</v>
      </c>
      <c r="I453" s="23">
        <v>10500.53</v>
      </c>
      <c r="J453" s="23">
        <v>10500.53</v>
      </c>
      <c r="BO453" s="23">
        <v>10500.53</v>
      </c>
      <c r="BR453" s="23">
        <v>10500.53</v>
      </c>
      <c r="BU453" s="16" t="s">
        <v>539</v>
      </c>
    </row>
    <row r="454">
      <c r="A454" s="16" t="s">
        <v>2736</v>
      </c>
      <c r="B454" s="16" t="s">
        <v>35</v>
      </c>
      <c r="C454" s="22">
        <v>45481.0</v>
      </c>
      <c r="D454" s="16" t="s">
        <v>890</v>
      </c>
      <c r="F454" s="16" t="s">
        <v>899</v>
      </c>
      <c r="G454" s="16" t="s">
        <v>3833</v>
      </c>
      <c r="H454" s="16">
        <v>1.0</v>
      </c>
      <c r="I454" s="23">
        <v>24093.85</v>
      </c>
      <c r="J454" s="23">
        <v>24093.85</v>
      </c>
      <c r="BO454" s="23">
        <v>24093.85</v>
      </c>
      <c r="BR454" s="23">
        <v>24093.85</v>
      </c>
      <c r="BU454" s="16" t="s">
        <v>539</v>
      </c>
    </row>
    <row r="455">
      <c r="A455" s="16" t="s">
        <v>2739</v>
      </c>
      <c r="B455" s="16" t="s">
        <v>35</v>
      </c>
      <c r="C455" s="22">
        <v>45481.0</v>
      </c>
      <c r="D455" s="16" t="s">
        <v>2740</v>
      </c>
      <c r="F455" s="16" t="s">
        <v>1561</v>
      </c>
      <c r="G455" s="16" t="s">
        <v>1047</v>
      </c>
      <c r="H455" s="16">
        <v>1.0</v>
      </c>
      <c r="I455" s="23">
        <v>110.0</v>
      </c>
      <c r="J455" s="23">
        <v>110.0</v>
      </c>
      <c r="BO455" s="23">
        <v>110.0</v>
      </c>
      <c r="BR455" s="23">
        <v>110.0</v>
      </c>
      <c r="BU455" s="16" t="s">
        <v>539</v>
      </c>
    </row>
    <row r="456">
      <c r="A456" s="16" t="s">
        <v>2743</v>
      </c>
      <c r="B456" s="16" t="s">
        <v>35</v>
      </c>
      <c r="C456" s="22">
        <v>45483.0</v>
      </c>
      <c r="D456" s="23">
        <v>6.8893939E7</v>
      </c>
      <c r="F456" s="16" t="s">
        <v>2745</v>
      </c>
      <c r="G456" s="16" t="s">
        <v>1653</v>
      </c>
      <c r="H456" s="16">
        <v>1.0</v>
      </c>
      <c r="I456" s="23">
        <v>827.55</v>
      </c>
      <c r="J456" s="23">
        <v>827.55</v>
      </c>
      <c r="BO456" s="23">
        <v>827.55</v>
      </c>
      <c r="BR456" s="23">
        <v>827.55</v>
      </c>
      <c r="BU456" s="16" t="s">
        <v>539</v>
      </c>
    </row>
    <row r="457">
      <c r="A457" s="16" t="s">
        <v>2748</v>
      </c>
      <c r="B457" s="16" t="s">
        <v>35</v>
      </c>
      <c r="C457" s="22">
        <v>45483.0</v>
      </c>
      <c r="D457" s="23">
        <v>6.8893939E7</v>
      </c>
      <c r="F457" s="16" t="s">
        <v>2750</v>
      </c>
      <c r="G457" s="16" t="s">
        <v>1653</v>
      </c>
      <c r="H457" s="16">
        <v>1.0</v>
      </c>
      <c r="I457" s="23">
        <v>827.25</v>
      </c>
      <c r="J457" s="23">
        <v>827.25</v>
      </c>
      <c r="BO457" s="23">
        <v>827.25</v>
      </c>
      <c r="BR457" s="23">
        <v>827.25</v>
      </c>
      <c r="BU457" s="16" t="s">
        <v>539</v>
      </c>
    </row>
    <row r="458">
      <c r="A458" s="16" t="s">
        <v>2753</v>
      </c>
      <c r="B458" s="16" t="s">
        <v>35</v>
      </c>
      <c r="C458" s="22">
        <v>45485.0</v>
      </c>
      <c r="D458" s="16" t="s">
        <v>1383</v>
      </c>
      <c r="F458" s="16" t="s">
        <v>2755</v>
      </c>
      <c r="G458" s="16" t="s">
        <v>3822</v>
      </c>
      <c r="H458" s="16">
        <v>1.0</v>
      </c>
      <c r="I458" s="23">
        <v>5182.0</v>
      </c>
      <c r="J458" s="23">
        <v>5182.0</v>
      </c>
      <c r="BO458" s="23">
        <v>5182.0</v>
      </c>
      <c r="BR458" s="23">
        <v>5182.0</v>
      </c>
      <c r="BU458" s="16" t="s">
        <v>539</v>
      </c>
    </row>
    <row r="459">
      <c r="A459" s="16" t="s">
        <v>2757</v>
      </c>
      <c r="B459" s="16" t="s">
        <v>35</v>
      </c>
      <c r="C459" s="22">
        <v>45485.0</v>
      </c>
      <c r="D459" s="16" t="s">
        <v>460</v>
      </c>
      <c r="F459" s="16" t="s">
        <v>2759</v>
      </c>
      <c r="G459" s="16" t="s">
        <v>1536</v>
      </c>
      <c r="H459" s="16">
        <v>1.0</v>
      </c>
      <c r="I459" s="23">
        <v>35.0</v>
      </c>
      <c r="J459" s="23">
        <v>35.0</v>
      </c>
      <c r="BO459" s="23">
        <v>35.0</v>
      </c>
      <c r="BR459" s="23">
        <v>35.0</v>
      </c>
      <c r="BU459" s="16" t="s">
        <v>539</v>
      </c>
    </row>
    <row r="460">
      <c r="A460" s="16" t="s">
        <v>2761</v>
      </c>
      <c r="B460" s="16" t="s">
        <v>35</v>
      </c>
      <c r="C460" s="22">
        <v>45488.0</v>
      </c>
      <c r="D460" s="16" t="s">
        <v>2248</v>
      </c>
      <c r="F460" s="16" t="s">
        <v>2549</v>
      </c>
      <c r="G460" s="16" t="s">
        <v>3218</v>
      </c>
      <c r="H460" s="16">
        <v>1.0</v>
      </c>
      <c r="I460" s="23">
        <v>351.24</v>
      </c>
      <c r="J460" s="23">
        <v>351.24</v>
      </c>
      <c r="BO460" s="23">
        <v>351.24</v>
      </c>
      <c r="BR460" s="23">
        <v>351.24</v>
      </c>
      <c r="BU460" s="16" t="s">
        <v>539</v>
      </c>
    </row>
    <row r="461">
      <c r="A461" s="16" t="s">
        <v>2764</v>
      </c>
      <c r="B461" s="16" t="s">
        <v>35</v>
      </c>
      <c r="C461" s="22">
        <v>45496.0</v>
      </c>
      <c r="D461" s="16" t="s">
        <v>941</v>
      </c>
      <c r="F461" s="16" t="s">
        <v>2341</v>
      </c>
      <c r="G461" s="16" t="s">
        <v>1552</v>
      </c>
      <c r="H461" s="16">
        <v>1.0</v>
      </c>
      <c r="I461" s="23">
        <v>340.0</v>
      </c>
      <c r="J461" s="23">
        <v>340.0</v>
      </c>
      <c r="BO461" s="23">
        <v>340.0</v>
      </c>
      <c r="BR461" s="23">
        <v>340.0</v>
      </c>
      <c r="BU461" s="16" t="s">
        <v>539</v>
      </c>
    </row>
    <row r="462">
      <c r="A462" s="16" t="s">
        <v>2768</v>
      </c>
      <c r="B462" s="16" t="s">
        <v>35</v>
      </c>
      <c r="C462" s="22">
        <v>45502.0</v>
      </c>
      <c r="F462" s="16" t="s">
        <v>2770</v>
      </c>
      <c r="G462" s="16" t="s">
        <v>1168</v>
      </c>
      <c r="H462" s="16">
        <v>1.0</v>
      </c>
      <c r="I462" s="23">
        <v>110.0</v>
      </c>
      <c r="J462" s="23">
        <v>110.0</v>
      </c>
      <c r="BO462" s="23">
        <v>110.0</v>
      </c>
      <c r="BR462" s="23">
        <v>110.0</v>
      </c>
      <c r="BU462" s="16" t="s">
        <v>539</v>
      </c>
      <c r="BV462" s="16" t="s">
        <v>664</v>
      </c>
      <c r="BW462" s="16"/>
      <c r="BX462" s="16"/>
      <c r="BY462" s="16"/>
    </row>
    <row r="463">
      <c r="A463" s="16" t="s">
        <v>2772</v>
      </c>
      <c r="B463" s="16" t="s">
        <v>35</v>
      </c>
      <c r="C463" s="22">
        <v>45502.0</v>
      </c>
      <c r="D463" s="16" t="s">
        <v>2774</v>
      </c>
      <c r="F463" s="16" t="s">
        <v>2775</v>
      </c>
      <c r="G463" s="16" t="s">
        <v>1510</v>
      </c>
      <c r="H463" s="16">
        <v>1.0</v>
      </c>
      <c r="I463" s="23">
        <v>757.0</v>
      </c>
      <c r="J463" s="23">
        <v>757.0</v>
      </c>
      <c r="BO463" s="23">
        <v>757.0</v>
      </c>
      <c r="BR463" s="23">
        <v>757.0</v>
      </c>
      <c r="BU463" s="16" t="s">
        <v>539</v>
      </c>
    </row>
    <row r="464">
      <c r="A464" s="16" t="s">
        <v>2778</v>
      </c>
      <c r="B464" s="16" t="s">
        <v>35</v>
      </c>
      <c r="C464" s="22">
        <v>45502.0</v>
      </c>
      <c r="D464" s="16" t="s">
        <v>460</v>
      </c>
      <c r="F464" s="16" t="s">
        <v>2780</v>
      </c>
      <c r="G464" s="16" t="s">
        <v>3873</v>
      </c>
      <c r="H464" s="16">
        <v>1.0</v>
      </c>
      <c r="I464" s="23">
        <v>45.6</v>
      </c>
      <c r="J464" s="23">
        <v>45.6</v>
      </c>
      <c r="BO464" s="23">
        <v>45.6</v>
      </c>
      <c r="BR464" s="23">
        <v>45.6</v>
      </c>
      <c r="BU464" s="16" t="s">
        <v>539</v>
      </c>
    </row>
    <row r="465">
      <c r="A465" s="16" t="s">
        <v>2783</v>
      </c>
      <c r="B465" s="16" t="s">
        <v>35</v>
      </c>
      <c r="C465" s="22">
        <v>45502.0</v>
      </c>
      <c r="D465" s="16" t="s">
        <v>460</v>
      </c>
      <c r="F465" s="16" t="s">
        <v>2785</v>
      </c>
      <c r="G465" s="16" t="s">
        <v>305</v>
      </c>
      <c r="H465" s="16">
        <v>1.0</v>
      </c>
      <c r="I465" s="23">
        <v>117.0</v>
      </c>
      <c r="J465" s="23">
        <v>117.0</v>
      </c>
      <c r="BO465" s="23">
        <v>117.0</v>
      </c>
      <c r="BR465" s="23">
        <v>117.0</v>
      </c>
      <c r="BU465" s="16" t="s">
        <v>539</v>
      </c>
    </row>
    <row r="466">
      <c r="A466" s="16" t="s">
        <v>2787</v>
      </c>
      <c r="B466" s="16" t="s">
        <v>35</v>
      </c>
      <c r="C466" s="22">
        <v>45502.0</v>
      </c>
      <c r="D466" s="16" t="s">
        <v>460</v>
      </c>
      <c r="F466" s="16" t="s">
        <v>2789</v>
      </c>
      <c r="G466" s="16" t="s">
        <v>249</v>
      </c>
      <c r="H466" s="16">
        <v>1.0</v>
      </c>
      <c r="I466" s="23">
        <v>115.0</v>
      </c>
      <c r="J466" s="23">
        <v>115.0</v>
      </c>
      <c r="BO466" s="23">
        <v>115.0</v>
      </c>
      <c r="BR466" s="23">
        <v>115.0</v>
      </c>
      <c r="BU466" s="16" t="s">
        <v>539</v>
      </c>
    </row>
    <row r="467">
      <c r="A467" s="16" t="s">
        <v>2792</v>
      </c>
      <c r="B467" s="16" t="s">
        <v>35</v>
      </c>
      <c r="C467" s="22">
        <v>45502.0</v>
      </c>
      <c r="D467" s="16" t="s">
        <v>460</v>
      </c>
      <c r="F467" s="16" t="s">
        <v>2794</v>
      </c>
      <c r="G467" s="16" t="s">
        <v>1079</v>
      </c>
      <c r="H467" s="16">
        <v>1.0</v>
      </c>
      <c r="I467" s="23">
        <v>145.0</v>
      </c>
      <c r="J467" s="23">
        <v>145.0</v>
      </c>
      <c r="BO467" s="23">
        <v>145.0</v>
      </c>
      <c r="BR467" s="23">
        <v>145.0</v>
      </c>
      <c r="BU467" s="16" t="s">
        <v>539</v>
      </c>
    </row>
    <row r="468">
      <c r="A468" s="16" t="s">
        <v>2796</v>
      </c>
      <c r="B468" s="16" t="s">
        <v>35</v>
      </c>
      <c r="C468" s="22">
        <v>45502.0</v>
      </c>
      <c r="D468" s="16" t="s">
        <v>460</v>
      </c>
      <c r="F468" s="16" t="s">
        <v>2798</v>
      </c>
      <c r="G468" s="16" t="s">
        <v>3889</v>
      </c>
      <c r="H468" s="16">
        <v>1.0</v>
      </c>
      <c r="I468" s="23">
        <v>1445.0</v>
      </c>
      <c r="J468" s="23">
        <v>1445.0</v>
      </c>
      <c r="BO468" s="23">
        <v>1445.0</v>
      </c>
      <c r="BR468" s="23">
        <v>1445.0</v>
      </c>
      <c r="BU468" s="16" t="s">
        <v>539</v>
      </c>
    </row>
    <row r="469">
      <c r="A469" s="16" t="s">
        <v>2801</v>
      </c>
      <c r="B469" s="16" t="s">
        <v>35</v>
      </c>
      <c r="C469" s="22">
        <v>45502.0</v>
      </c>
      <c r="D469" s="16" t="s">
        <v>460</v>
      </c>
      <c r="F469" s="16" t="s">
        <v>931</v>
      </c>
      <c r="G469" s="16" t="s">
        <v>1126</v>
      </c>
      <c r="H469" s="16">
        <v>1.0</v>
      </c>
      <c r="I469" s="23">
        <v>30.0</v>
      </c>
      <c r="J469" s="23">
        <v>30.0</v>
      </c>
      <c r="BO469" s="23">
        <v>30.0</v>
      </c>
      <c r="BR469" s="23">
        <v>30.0</v>
      </c>
      <c r="BU469" s="16" t="s">
        <v>539</v>
      </c>
    </row>
    <row r="470">
      <c r="A470" s="16" t="s">
        <v>2805</v>
      </c>
      <c r="B470" s="16" t="s">
        <v>35</v>
      </c>
      <c r="C470" s="22">
        <v>45481.0</v>
      </c>
      <c r="D470" s="16" t="s">
        <v>890</v>
      </c>
      <c r="E470" s="16" t="s">
        <v>2806</v>
      </c>
      <c r="F470" s="16" t="s">
        <v>1184</v>
      </c>
      <c r="G470" s="16" t="s">
        <v>1517</v>
      </c>
      <c r="H470" s="23">
        <v>1.0</v>
      </c>
      <c r="I470" s="23">
        <v>1075.67</v>
      </c>
      <c r="J470" s="23">
        <v>1075.67</v>
      </c>
      <c r="N470" s="23">
        <v>0.0</v>
      </c>
      <c r="R470" s="23">
        <v>0.0</v>
      </c>
      <c r="V470" s="23">
        <v>0.0</v>
      </c>
      <c r="Z470" s="23">
        <v>0.0</v>
      </c>
      <c r="AD470" s="23">
        <v>0.0</v>
      </c>
      <c r="AH470" s="23">
        <v>0.0</v>
      </c>
      <c r="AL470" s="23">
        <v>0.0</v>
      </c>
      <c r="AP470" s="23">
        <v>0.0</v>
      </c>
      <c r="AT470" s="23">
        <v>0.0</v>
      </c>
      <c r="AX470" s="23">
        <v>0.0</v>
      </c>
      <c r="BF470" s="23">
        <v>0.0</v>
      </c>
      <c r="BJ470" s="23">
        <v>0.0</v>
      </c>
      <c r="BN470" s="23">
        <v>0.0</v>
      </c>
      <c r="BO470" s="23">
        <v>1075.67</v>
      </c>
      <c r="BP470" s="16" t="s">
        <v>2808</v>
      </c>
      <c r="BQ470" s="16" t="b">
        <v>1</v>
      </c>
      <c r="BR470" s="23">
        <v>1075.67</v>
      </c>
      <c r="BT470" s="16" t="b">
        <v>0</v>
      </c>
      <c r="BU470" s="16" t="s">
        <v>546</v>
      </c>
    </row>
    <row r="471">
      <c r="A471" s="16" t="s">
        <v>2810</v>
      </c>
      <c r="B471" s="16" t="s">
        <v>35</v>
      </c>
      <c r="C471" s="22">
        <v>45483.0</v>
      </c>
      <c r="D471" s="16" t="s">
        <v>890</v>
      </c>
      <c r="E471" s="16" t="s">
        <v>2811</v>
      </c>
      <c r="F471" s="16" t="s">
        <v>1184</v>
      </c>
      <c r="G471" s="16" t="s">
        <v>1517</v>
      </c>
      <c r="H471" s="23">
        <v>1.0</v>
      </c>
      <c r="I471" s="23">
        <v>7110.17</v>
      </c>
      <c r="J471" s="23">
        <v>7110.17</v>
      </c>
      <c r="N471" s="23">
        <v>0.0</v>
      </c>
      <c r="R471" s="23">
        <v>0.0</v>
      </c>
      <c r="V471" s="23">
        <v>0.0</v>
      </c>
      <c r="Z471" s="23">
        <v>0.0</v>
      </c>
      <c r="AD471" s="23">
        <v>0.0</v>
      </c>
      <c r="AH471" s="23">
        <v>0.0</v>
      </c>
      <c r="AL471" s="23">
        <v>0.0</v>
      </c>
      <c r="AP471" s="23">
        <v>0.0</v>
      </c>
      <c r="AT471" s="23">
        <v>0.0</v>
      </c>
      <c r="AX471" s="23">
        <v>0.0</v>
      </c>
      <c r="BF471" s="23">
        <v>0.0</v>
      </c>
      <c r="BJ471" s="23">
        <v>0.0</v>
      </c>
      <c r="BN471" s="23">
        <v>0.0</v>
      </c>
      <c r="BO471" s="23">
        <v>7110.17</v>
      </c>
      <c r="BP471" s="16" t="s">
        <v>2812</v>
      </c>
      <c r="BQ471" s="16" t="b">
        <v>1</v>
      </c>
      <c r="BR471" s="23">
        <v>7110.17</v>
      </c>
      <c r="BT471" s="16" t="b">
        <v>0</v>
      </c>
      <c r="BU471" s="16" t="s">
        <v>546</v>
      </c>
    </row>
    <row r="472">
      <c r="A472" s="16" t="s">
        <v>2814</v>
      </c>
      <c r="B472" s="16" t="s">
        <v>35</v>
      </c>
      <c r="C472" s="22">
        <v>45485.0</v>
      </c>
      <c r="D472" s="16" t="s">
        <v>112</v>
      </c>
      <c r="E472" s="16" t="s">
        <v>2817</v>
      </c>
      <c r="F472" s="16" t="s">
        <v>45</v>
      </c>
      <c r="G472" s="16" t="s">
        <v>226</v>
      </c>
      <c r="H472" s="23">
        <v>15.0</v>
      </c>
      <c r="I472" s="23">
        <v>7.5</v>
      </c>
      <c r="J472" s="23">
        <v>112.5</v>
      </c>
      <c r="K472" s="16" t="s">
        <v>152</v>
      </c>
      <c r="L472" s="23">
        <v>1.0</v>
      </c>
      <c r="M472" s="23">
        <v>8.13</v>
      </c>
      <c r="N472" s="23">
        <v>8.13</v>
      </c>
      <c r="O472" s="16" t="s">
        <v>155</v>
      </c>
      <c r="P472" s="23">
        <v>1.0</v>
      </c>
      <c r="Q472" s="23">
        <v>70.11</v>
      </c>
      <c r="R472" s="23">
        <v>70.11</v>
      </c>
      <c r="V472" s="23">
        <v>0.0</v>
      </c>
      <c r="Z472" s="23">
        <v>0.0</v>
      </c>
      <c r="AD472" s="23">
        <v>0.0</v>
      </c>
      <c r="AH472" s="23">
        <v>0.0</v>
      </c>
      <c r="AL472" s="23">
        <v>0.0</v>
      </c>
      <c r="AP472" s="23">
        <v>0.0</v>
      </c>
      <c r="AT472" s="23">
        <v>0.0</v>
      </c>
      <c r="AX472" s="23">
        <v>0.0</v>
      </c>
      <c r="BF472" s="23">
        <v>0.0</v>
      </c>
      <c r="BJ472" s="23">
        <v>0.0</v>
      </c>
      <c r="BN472" s="23">
        <v>0.0</v>
      </c>
      <c r="BO472" s="23">
        <v>190.74</v>
      </c>
      <c r="BP472" s="16" t="s">
        <v>2818</v>
      </c>
      <c r="BQ472" s="16" t="b">
        <v>1</v>
      </c>
      <c r="BR472" s="23">
        <v>190.74</v>
      </c>
      <c r="BS472" s="23">
        <v>963870.0</v>
      </c>
      <c r="BT472" s="16" t="b">
        <v>1</v>
      </c>
      <c r="BU472" s="16" t="s">
        <v>546</v>
      </c>
    </row>
    <row r="473">
      <c r="A473" s="16" t="s">
        <v>2821</v>
      </c>
      <c r="B473" s="16" t="s">
        <v>35</v>
      </c>
      <c r="C473" s="22">
        <v>45488.0</v>
      </c>
      <c r="D473" s="23">
        <v>6.8893939E7</v>
      </c>
      <c r="E473" s="16" t="s">
        <v>2823</v>
      </c>
      <c r="F473" s="16" t="s">
        <v>605</v>
      </c>
      <c r="G473" s="16" t="s">
        <v>3924</v>
      </c>
      <c r="H473" s="23">
        <v>1.0</v>
      </c>
      <c r="I473" s="23">
        <v>1161.66</v>
      </c>
      <c r="J473" s="23">
        <v>1161.66</v>
      </c>
      <c r="K473" s="16" t="s">
        <v>1145</v>
      </c>
      <c r="L473" s="23">
        <v>1.0</v>
      </c>
      <c r="M473" s="23">
        <v>1161.66</v>
      </c>
      <c r="N473" s="23">
        <v>1161.66</v>
      </c>
      <c r="R473" s="23">
        <v>0.0</v>
      </c>
      <c r="V473" s="23">
        <v>0.0</v>
      </c>
      <c r="Z473" s="23">
        <v>0.0</v>
      </c>
      <c r="AD473" s="23">
        <v>0.0</v>
      </c>
      <c r="AH473" s="23">
        <v>0.0</v>
      </c>
      <c r="AL473" s="23">
        <v>0.0</v>
      </c>
      <c r="AP473" s="23">
        <v>0.0</v>
      </c>
      <c r="AT473" s="23">
        <v>0.0</v>
      </c>
      <c r="AX473" s="23">
        <v>0.0</v>
      </c>
      <c r="BF473" s="23">
        <v>0.0</v>
      </c>
      <c r="BJ473" s="23">
        <v>0.0</v>
      </c>
      <c r="BN473" s="23">
        <v>0.0</v>
      </c>
      <c r="BO473" s="23">
        <v>2323.32</v>
      </c>
      <c r="BP473" s="16" t="s">
        <v>2824</v>
      </c>
      <c r="BQ473" s="16" t="b">
        <v>1</v>
      </c>
      <c r="BR473" s="23">
        <v>2323.32</v>
      </c>
      <c r="BT473" s="16" t="b">
        <v>0</v>
      </c>
      <c r="BU473" s="16" t="s">
        <v>546</v>
      </c>
    </row>
    <row r="474">
      <c r="A474" s="16" t="s">
        <v>2826</v>
      </c>
      <c r="B474" s="16" t="s">
        <v>35</v>
      </c>
      <c r="C474" s="22">
        <v>45490.0</v>
      </c>
      <c r="D474" s="16" t="s">
        <v>1036</v>
      </c>
      <c r="E474" s="16" t="s">
        <v>2827</v>
      </c>
      <c r="F474" s="16" t="s">
        <v>2829</v>
      </c>
      <c r="G474" s="16" t="s">
        <v>1668</v>
      </c>
      <c r="H474" s="23">
        <v>1.0</v>
      </c>
      <c r="I474" s="23">
        <v>118.0</v>
      </c>
      <c r="J474" s="23">
        <v>118.0</v>
      </c>
      <c r="N474" s="23">
        <v>0.0</v>
      </c>
      <c r="R474" s="23">
        <v>0.0</v>
      </c>
      <c r="V474" s="23">
        <v>0.0</v>
      </c>
      <c r="Z474" s="23">
        <v>0.0</v>
      </c>
      <c r="AD474" s="23">
        <v>0.0</v>
      </c>
      <c r="AH474" s="23">
        <v>0.0</v>
      </c>
      <c r="AL474" s="23">
        <v>0.0</v>
      </c>
      <c r="AP474" s="23">
        <v>0.0</v>
      </c>
      <c r="AT474" s="23">
        <v>0.0</v>
      </c>
      <c r="AX474" s="23">
        <v>0.0</v>
      </c>
      <c r="BF474" s="23">
        <v>0.0</v>
      </c>
      <c r="BJ474" s="23">
        <v>0.0</v>
      </c>
      <c r="BN474" s="23">
        <v>0.0</v>
      </c>
      <c r="BO474" s="23">
        <v>118.0</v>
      </c>
      <c r="BP474" s="16" t="s">
        <v>2828</v>
      </c>
      <c r="BQ474" s="16" t="b">
        <v>1</v>
      </c>
      <c r="BR474" s="23">
        <v>118.0</v>
      </c>
      <c r="BT474" s="16" t="b">
        <v>0</v>
      </c>
      <c r="BU474" s="16" t="s">
        <v>546</v>
      </c>
    </row>
    <row r="475">
      <c r="A475" s="16" t="s">
        <v>2831</v>
      </c>
      <c r="B475" s="16" t="s">
        <v>35</v>
      </c>
      <c r="C475" s="22">
        <v>45492.0</v>
      </c>
      <c r="D475" s="16" t="s">
        <v>559</v>
      </c>
      <c r="E475" s="16" t="s">
        <v>2833</v>
      </c>
      <c r="F475" s="16" t="s">
        <v>767</v>
      </c>
      <c r="G475" s="16" t="s">
        <v>1075</v>
      </c>
      <c r="H475" s="23">
        <v>1.0</v>
      </c>
      <c r="I475" s="23">
        <v>106.25</v>
      </c>
      <c r="J475" s="23">
        <v>106.25</v>
      </c>
      <c r="K475" s="16" t="s">
        <v>1079</v>
      </c>
      <c r="L475" s="23">
        <v>1.0</v>
      </c>
      <c r="M475" s="23">
        <v>106.25</v>
      </c>
      <c r="N475" s="23">
        <v>106.25</v>
      </c>
      <c r="R475" s="23">
        <v>0.0</v>
      </c>
      <c r="V475" s="23">
        <v>0.0</v>
      </c>
      <c r="Z475" s="23">
        <v>0.0</v>
      </c>
      <c r="AD475" s="23">
        <v>0.0</v>
      </c>
      <c r="AH475" s="23">
        <v>0.0</v>
      </c>
      <c r="AL475" s="23">
        <v>0.0</v>
      </c>
      <c r="AP475" s="23">
        <v>0.0</v>
      </c>
      <c r="AT475" s="23">
        <v>0.0</v>
      </c>
      <c r="AX475" s="23">
        <v>0.0</v>
      </c>
      <c r="BF475" s="23">
        <v>0.0</v>
      </c>
      <c r="BJ475" s="23">
        <v>0.0</v>
      </c>
      <c r="BN475" s="23">
        <v>0.0</v>
      </c>
      <c r="BO475" s="23">
        <v>212.5</v>
      </c>
      <c r="BP475" s="16" t="s">
        <v>2834</v>
      </c>
      <c r="BQ475" s="16" t="b">
        <v>1</v>
      </c>
      <c r="BR475" s="23">
        <v>212.5</v>
      </c>
      <c r="BT475" s="16" t="b">
        <v>0</v>
      </c>
      <c r="BU475" s="16" t="s">
        <v>546</v>
      </c>
    </row>
    <row r="476">
      <c r="A476" s="16" t="s">
        <v>2836</v>
      </c>
      <c r="B476" s="16" t="s">
        <v>35</v>
      </c>
      <c r="C476" s="22">
        <v>45495.0</v>
      </c>
      <c r="D476" s="16" t="s">
        <v>890</v>
      </c>
      <c r="E476" s="16" t="s">
        <v>2838</v>
      </c>
      <c r="F476" s="16" t="s">
        <v>1184</v>
      </c>
      <c r="G476" s="16" t="s">
        <v>1517</v>
      </c>
      <c r="H476" s="23">
        <v>1.0</v>
      </c>
      <c r="I476" s="23">
        <v>4385.79</v>
      </c>
      <c r="J476" s="23">
        <v>4385.79</v>
      </c>
      <c r="N476" s="23">
        <v>0.0</v>
      </c>
      <c r="R476" s="23">
        <v>0.0</v>
      </c>
      <c r="V476" s="23">
        <v>0.0</v>
      </c>
      <c r="Z476" s="23">
        <v>0.0</v>
      </c>
      <c r="AD476" s="23">
        <v>0.0</v>
      </c>
      <c r="AH476" s="23">
        <v>0.0</v>
      </c>
      <c r="AL476" s="23">
        <v>0.0</v>
      </c>
      <c r="AP476" s="23">
        <v>0.0</v>
      </c>
      <c r="AT476" s="23">
        <v>0.0</v>
      </c>
      <c r="AX476" s="23">
        <v>0.0</v>
      </c>
      <c r="BF476" s="23">
        <v>0.0</v>
      </c>
      <c r="BJ476" s="23">
        <v>0.0</v>
      </c>
      <c r="BN476" s="23">
        <v>0.0</v>
      </c>
      <c r="BO476" s="23">
        <v>4385.79</v>
      </c>
      <c r="BP476" s="16" t="s">
        <v>2839</v>
      </c>
      <c r="BQ476" s="16" t="b">
        <v>1</v>
      </c>
      <c r="BR476" s="23">
        <v>4385.79</v>
      </c>
      <c r="BT476" s="16" t="b">
        <v>0</v>
      </c>
      <c r="BU476" s="16" t="s">
        <v>546</v>
      </c>
    </row>
    <row r="477">
      <c r="A477" s="16" t="s">
        <v>2842</v>
      </c>
      <c r="B477" s="16" t="s">
        <v>35</v>
      </c>
      <c r="C477" s="22">
        <v>45496.0</v>
      </c>
      <c r="D477" s="16" t="s">
        <v>543</v>
      </c>
      <c r="E477" s="16" t="s">
        <v>2844</v>
      </c>
      <c r="F477" s="16" t="s">
        <v>2846</v>
      </c>
      <c r="G477" s="16">
        <v>1.2539885E7</v>
      </c>
      <c r="H477" s="23">
        <v>1.0</v>
      </c>
      <c r="I477" s="23">
        <v>480.0</v>
      </c>
      <c r="J477" s="23">
        <v>480.0</v>
      </c>
      <c r="N477" s="23">
        <v>0.0</v>
      </c>
      <c r="R477" s="23">
        <v>0.0</v>
      </c>
      <c r="V477" s="23">
        <v>0.0</v>
      </c>
      <c r="Z477" s="23">
        <v>0.0</v>
      </c>
      <c r="AD477" s="23">
        <v>0.0</v>
      </c>
      <c r="AH477" s="23">
        <v>0.0</v>
      </c>
      <c r="AL477" s="23">
        <v>0.0</v>
      </c>
      <c r="AP477" s="23">
        <v>0.0</v>
      </c>
      <c r="AT477" s="23">
        <v>0.0</v>
      </c>
      <c r="AX477" s="23">
        <v>0.0</v>
      </c>
      <c r="BF477" s="23">
        <v>0.0</v>
      </c>
      <c r="BJ477" s="23">
        <v>0.0</v>
      </c>
      <c r="BN477" s="23">
        <v>0.0</v>
      </c>
      <c r="BO477" s="23">
        <v>480.0</v>
      </c>
      <c r="BP477" s="16" t="s">
        <v>2845</v>
      </c>
      <c r="BQ477" s="16" t="b">
        <v>1</v>
      </c>
      <c r="BR477" s="23">
        <v>480.0</v>
      </c>
      <c r="BT477" s="16" t="b">
        <v>0</v>
      </c>
      <c r="BU477" s="16" t="s">
        <v>546</v>
      </c>
    </row>
    <row r="478">
      <c r="A478" s="16" t="s">
        <v>2848</v>
      </c>
      <c r="B478" s="16" t="s">
        <v>35</v>
      </c>
      <c r="C478" s="22">
        <v>45496.0</v>
      </c>
      <c r="D478" s="16" t="s">
        <v>559</v>
      </c>
      <c r="E478" s="16" t="s">
        <v>2850</v>
      </c>
      <c r="F478" s="16" t="s">
        <v>195</v>
      </c>
      <c r="G478" s="16" t="s">
        <v>1074</v>
      </c>
      <c r="H478" s="23">
        <v>1.0</v>
      </c>
      <c r="I478" s="23">
        <v>131.57</v>
      </c>
      <c r="J478" s="23">
        <v>131.57</v>
      </c>
      <c r="K478" s="16" t="s">
        <v>1075</v>
      </c>
      <c r="L478" s="23">
        <v>1.0</v>
      </c>
      <c r="M478" s="23">
        <v>131.57</v>
      </c>
      <c r="N478" s="23">
        <v>131.57</v>
      </c>
      <c r="O478" s="16" t="s">
        <v>1077</v>
      </c>
      <c r="P478" s="23">
        <v>1.0</v>
      </c>
      <c r="Q478" s="23">
        <v>131.57</v>
      </c>
      <c r="R478" s="23">
        <v>131.57</v>
      </c>
      <c r="S478" s="16" t="s">
        <v>1079</v>
      </c>
      <c r="T478" s="23">
        <v>1.0</v>
      </c>
      <c r="U478" s="23">
        <v>131.57</v>
      </c>
      <c r="V478" s="23">
        <v>131.57</v>
      </c>
      <c r="W478" s="16" t="s">
        <v>1080</v>
      </c>
      <c r="X478" s="23">
        <v>1.0</v>
      </c>
      <c r="Y478" s="23">
        <v>131.57</v>
      </c>
      <c r="Z478" s="23">
        <v>131.57</v>
      </c>
      <c r="AA478" s="16" t="s">
        <v>1081</v>
      </c>
      <c r="AB478" s="23">
        <v>1.0</v>
      </c>
      <c r="AC478" s="23">
        <v>131.57</v>
      </c>
      <c r="AD478" s="23">
        <v>131.57</v>
      </c>
      <c r="AE478" s="16" t="s">
        <v>1091</v>
      </c>
      <c r="AF478" s="23">
        <v>1.0</v>
      </c>
      <c r="AG478" s="23">
        <v>131.58</v>
      </c>
      <c r="AH478" s="23">
        <v>131.58</v>
      </c>
      <c r="AL478" s="23">
        <v>0.0</v>
      </c>
      <c r="AP478" s="23">
        <v>0.0</v>
      </c>
      <c r="AT478" s="23">
        <v>0.0</v>
      </c>
      <c r="AX478" s="23">
        <v>0.0</v>
      </c>
      <c r="BF478" s="23">
        <v>0.0</v>
      </c>
      <c r="BJ478" s="23">
        <v>0.0</v>
      </c>
      <c r="BN478" s="23">
        <v>0.0</v>
      </c>
      <c r="BO478" s="23">
        <v>921.0</v>
      </c>
      <c r="BP478" s="16" t="s">
        <v>2852</v>
      </c>
      <c r="BQ478" s="16" t="b">
        <v>1</v>
      </c>
      <c r="BR478" s="23">
        <v>921.0</v>
      </c>
      <c r="BT478" s="16" t="b">
        <v>0</v>
      </c>
      <c r="BU478" s="16" t="s">
        <v>546</v>
      </c>
    </row>
    <row r="479">
      <c r="A479" s="16" t="s">
        <v>2855</v>
      </c>
      <c r="B479" s="16" t="s">
        <v>35</v>
      </c>
      <c r="C479" s="22">
        <v>45496.0</v>
      </c>
      <c r="D479" s="16" t="s">
        <v>112</v>
      </c>
      <c r="E479" s="16" t="s">
        <v>2857</v>
      </c>
      <c r="F479" s="16" t="s">
        <v>45</v>
      </c>
      <c r="G479" s="16" t="s">
        <v>226</v>
      </c>
      <c r="H479" s="23">
        <v>10.0</v>
      </c>
      <c r="I479" s="23">
        <v>8.5</v>
      </c>
      <c r="J479" s="23">
        <v>85.0</v>
      </c>
      <c r="K479" s="16" t="s">
        <v>152</v>
      </c>
      <c r="L479" s="23">
        <v>1.0</v>
      </c>
      <c r="M479" s="23">
        <v>11.84</v>
      </c>
      <c r="N479" s="23">
        <v>11.84</v>
      </c>
      <c r="R479" s="23">
        <v>0.0</v>
      </c>
      <c r="V479" s="23">
        <v>0.0</v>
      </c>
      <c r="Z479" s="23">
        <v>0.0</v>
      </c>
      <c r="AD479" s="23">
        <v>0.0</v>
      </c>
      <c r="AH479" s="23">
        <v>0.0</v>
      </c>
      <c r="AL479" s="23">
        <v>0.0</v>
      </c>
      <c r="AP479" s="23">
        <v>0.0</v>
      </c>
      <c r="AT479" s="23">
        <v>0.0</v>
      </c>
      <c r="AX479" s="23">
        <v>0.0</v>
      </c>
      <c r="BF479" s="23">
        <v>0.0</v>
      </c>
      <c r="BJ479" s="23">
        <v>0.0</v>
      </c>
      <c r="BN479" s="23">
        <v>0.0</v>
      </c>
      <c r="BO479" s="23">
        <v>96.84</v>
      </c>
      <c r="BP479" s="16" t="s">
        <v>2858</v>
      </c>
      <c r="BQ479" s="16" t="b">
        <v>1</v>
      </c>
      <c r="BR479" s="23">
        <v>96.84</v>
      </c>
      <c r="BS479" s="23">
        <v>978006.0</v>
      </c>
      <c r="BT479" s="16" t="b">
        <v>1</v>
      </c>
      <c r="BU479" s="16" t="s">
        <v>546</v>
      </c>
    </row>
    <row r="480">
      <c r="A480" s="16" t="s">
        <v>2861</v>
      </c>
      <c r="B480" s="16" t="s">
        <v>35</v>
      </c>
      <c r="C480" s="22">
        <v>45497.0</v>
      </c>
      <c r="D480" s="16" t="s">
        <v>1557</v>
      </c>
      <c r="E480" s="16" t="s">
        <v>2863</v>
      </c>
      <c r="F480" s="16" t="s">
        <v>2866</v>
      </c>
      <c r="G480" s="16" t="s">
        <v>1047</v>
      </c>
      <c r="H480" s="23">
        <v>1.0</v>
      </c>
      <c r="I480" s="23">
        <v>110.0</v>
      </c>
      <c r="J480" s="23">
        <v>110.0</v>
      </c>
      <c r="N480" s="23">
        <v>0.0</v>
      </c>
      <c r="R480" s="23">
        <v>0.0</v>
      </c>
      <c r="V480" s="23">
        <v>0.0</v>
      </c>
      <c r="Z480" s="23">
        <v>0.0</v>
      </c>
      <c r="AD480" s="23">
        <v>0.0</v>
      </c>
      <c r="AH480" s="23">
        <v>0.0</v>
      </c>
      <c r="AL480" s="23">
        <v>0.0</v>
      </c>
      <c r="AP480" s="23">
        <v>0.0</v>
      </c>
      <c r="AT480" s="23">
        <v>0.0</v>
      </c>
      <c r="AX480" s="23">
        <v>0.0</v>
      </c>
      <c r="BF480" s="23">
        <v>0.0</v>
      </c>
      <c r="BJ480" s="23">
        <v>0.0</v>
      </c>
      <c r="BN480" s="23">
        <v>0.0</v>
      </c>
      <c r="BO480" s="23">
        <v>110.0</v>
      </c>
      <c r="BP480" s="16" t="s">
        <v>2865</v>
      </c>
      <c r="BQ480" s="16" t="b">
        <v>1</v>
      </c>
      <c r="BR480" s="23">
        <v>110.0</v>
      </c>
      <c r="BT480" s="16" t="b">
        <v>0</v>
      </c>
      <c r="BU480" s="16" t="s">
        <v>546</v>
      </c>
    </row>
    <row r="481">
      <c r="A481" s="16" t="s">
        <v>2868</v>
      </c>
      <c r="B481" s="16" t="s">
        <v>35</v>
      </c>
      <c r="C481" s="22">
        <v>45498.0</v>
      </c>
      <c r="D481" s="16" t="s">
        <v>2871</v>
      </c>
      <c r="E481" s="16" t="s">
        <v>2872</v>
      </c>
      <c r="F481" s="16" t="s">
        <v>2875</v>
      </c>
      <c r="G481" s="16" t="s">
        <v>3987</v>
      </c>
      <c r="H481" s="23">
        <v>1.0</v>
      </c>
      <c r="I481" s="23">
        <v>114.0</v>
      </c>
      <c r="J481" s="23">
        <v>114.0</v>
      </c>
      <c r="N481" s="23">
        <v>0.0</v>
      </c>
      <c r="R481" s="23">
        <v>0.0</v>
      </c>
      <c r="V481" s="23">
        <v>0.0</v>
      </c>
      <c r="Z481" s="23">
        <v>0.0</v>
      </c>
      <c r="AD481" s="23">
        <v>0.0</v>
      </c>
      <c r="AH481" s="23">
        <v>0.0</v>
      </c>
      <c r="AL481" s="23">
        <v>0.0</v>
      </c>
      <c r="AP481" s="23">
        <v>0.0</v>
      </c>
      <c r="AT481" s="23">
        <v>0.0</v>
      </c>
      <c r="AX481" s="23">
        <v>0.0</v>
      </c>
      <c r="BF481" s="23">
        <v>0.0</v>
      </c>
      <c r="BJ481" s="23">
        <v>0.0</v>
      </c>
      <c r="BN481" s="23">
        <v>0.0</v>
      </c>
      <c r="BO481" s="23">
        <v>114.0</v>
      </c>
      <c r="BP481" s="16" t="s">
        <v>2874</v>
      </c>
      <c r="BQ481" s="16" t="b">
        <v>1</v>
      </c>
      <c r="BR481" s="23">
        <v>114.0</v>
      </c>
      <c r="BT481" s="16" t="b">
        <v>0</v>
      </c>
      <c r="BU481" s="16" t="s">
        <v>546</v>
      </c>
    </row>
    <row r="482">
      <c r="A482" s="16" t="s">
        <v>2877</v>
      </c>
      <c r="B482" s="16" t="s">
        <v>35</v>
      </c>
      <c r="C482" s="22">
        <v>45499.0</v>
      </c>
      <c r="D482" s="16" t="s">
        <v>543</v>
      </c>
      <c r="E482" s="16" t="s">
        <v>2879</v>
      </c>
      <c r="F482" s="16" t="s">
        <v>2881</v>
      </c>
      <c r="G482" s="16">
        <v>1.2539885E7</v>
      </c>
      <c r="H482" s="23">
        <v>1.0</v>
      </c>
      <c r="I482" s="23">
        <v>450.0</v>
      </c>
      <c r="J482" s="23">
        <v>450.0</v>
      </c>
      <c r="N482" s="23">
        <v>0.0</v>
      </c>
      <c r="R482" s="23">
        <v>0.0</v>
      </c>
      <c r="V482" s="23">
        <v>0.0</v>
      </c>
      <c r="Z482" s="23">
        <v>0.0</v>
      </c>
      <c r="AD482" s="23">
        <v>0.0</v>
      </c>
      <c r="AH482" s="23">
        <v>0.0</v>
      </c>
      <c r="AL482" s="23">
        <v>0.0</v>
      </c>
      <c r="AP482" s="23">
        <v>0.0</v>
      </c>
      <c r="AT482" s="23">
        <v>0.0</v>
      </c>
      <c r="AX482" s="23">
        <v>0.0</v>
      </c>
      <c r="BF482" s="23">
        <v>0.0</v>
      </c>
      <c r="BJ482" s="23">
        <v>0.0</v>
      </c>
      <c r="BN482" s="23">
        <v>0.0</v>
      </c>
      <c r="BO482" s="23">
        <v>450.0</v>
      </c>
      <c r="BP482" s="16" t="s">
        <v>2880</v>
      </c>
      <c r="BQ482" s="16" t="b">
        <v>1</v>
      </c>
      <c r="BR482" s="23">
        <v>450.0</v>
      </c>
      <c r="BT482" s="16" t="b">
        <v>0</v>
      </c>
      <c r="BU482" s="16" t="s">
        <v>546</v>
      </c>
    </row>
    <row r="483">
      <c r="A483" s="16" t="s">
        <v>2884</v>
      </c>
      <c r="B483" s="16" t="s">
        <v>35</v>
      </c>
      <c r="C483" s="22">
        <v>45499.0</v>
      </c>
      <c r="D483" s="16" t="s">
        <v>112</v>
      </c>
      <c r="E483" s="16" t="s">
        <v>2886</v>
      </c>
      <c r="F483" s="16" t="s">
        <v>157</v>
      </c>
      <c r="G483" s="16" t="s">
        <v>159</v>
      </c>
      <c r="H483" s="23">
        <v>1.0</v>
      </c>
      <c r="I483" s="23">
        <v>337.5</v>
      </c>
      <c r="J483" s="23">
        <v>337.5</v>
      </c>
      <c r="K483" s="16" t="s">
        <v>155</v>
      </c>
      <c r="L483" s="23">
        <v>1.0</v>
      </c>
      <c r="M483" s="23">
        <v>120.7</v>
      </c>
      <c r="N483" s="23">
        <v>120.7</v>
      </c>
      <c r="O483" s="16" t="s">
        <v>152</v>
      </c>
      <c r="P483" s="23">
        <v>1.0</v>
      </c>
      <c r="Q483" s="23">
        <v>8.4</v>
      </c>
      <c r="R483" s="23">
        <v>8.4</v>
      </c>
      <c r="S483" s="16" t="s">
        <v>226</v>
      </c>
      <c r="T483" s="23">
        <v>1.0</v>
      </c>
      <c r="U483" s="23">
        <v>212.5</v>
      </c>
      <c r="V483" s="23">
        <v>212.5</v>
      </c>
      <c r="Z483" s="23">
        <v>0.0</v>
      </c>
      <c r="AD483" s="23">
        <v>0.0</v>
      </c>
      <c r="AH483" s="23">
        <v>0.0</v>
      </c>
      <c r="AL483" s="23">
        <v>0.0</v>
      </c>
      <c r="AP483" s="23">
        <v>0.0</v>
      </c>
      <c r="AT483" s="23">
        <v>0.0</v>
      </c>
      <c r="AX483" s="23">
        <v>0.0</v>
      </c>
      <c r="BF483" s="23">
        <v>0.0</v>
      </c>
      <c r="BJ483" s="23">
        <v>0.0</v>
      </c>
      <c r="BN483" s="23">
        <v>0.0</v>
      </c>
      <c r="BO483" s="23">
        <v>679.1</v>
      </c>
      <c r="BP483" s="16" t="s">
        <v>2887</v>
      </c>
      <c r="BQ483" s="16" t="b">
        <v>1</v>
      </c>
      <c r="BR483" s="23">
        <v>679.1</v>
      </c>
      <c r="BT483" s="16" t="b">
        <v>0</v>
      </c>
      <c r="BU483" s="16" t="s">
        <v>546</v>
      </c>
    </row>
    <row r="484">
      <c r="A484" s="16" t="s">
        <v>2890</v>
      </c>
      <c r="B484" s="16" t="s">
        <v>35</v>
      </c>
      <c r="C484" s="22">
        <v>45499.0</v>
      </c>
      <c r="D484" s="16" t="s">
        <v>890</v>
      </c>
      <c r="E484" s="16" t="s">
        <v>2891</v>
      </c>
      <c r="F484" s="16" t="s">
        <v>2894</v>
      </c>
      <c r="G484" s="16" t="s">
        <v>1510</v>
      </c>
      <c r="H484" s="23">
        <v>1.0</v>
      </c>
      <c r="I484" s="23">
        <v>11767.14</v>
      </c>
      <c r="J484" s="23">
        <v>11767.14</v>
      </c>
      <c r="N484" s="23">
        <v>0.0</v>
      </c>
      <c r="R484" s="23">
        <v>0.0</v>
      </c>
      <c r="V484" s="23">
        <v>0.0</v>
      </c>
      <c r="Z484" s="23">
        <v>0.0</v>
      </c>
      <c r="AD484" s="23">
        <v>0.0</v>
      </c>
      <c r="AH484" s="23">
        <v>0.0</v>
      </c>
      <c r="AL484" s="23">
        <v>0.0</v>
      </c>
      <c r="AP484" s="23">
        <v>0.0</v>
      </c>
      <c r="AT484" s="23">
        <v>0.0</v>
      </c>
      <c r="AX484" s="23">
        <v>0.0</v>
      </c>
      <c r="BF484" s="23">
        <v>0.0</v>
      </c>
      <c r="BJ484" s="23">
        <v>0.0</v>
      </c>
      <c r="BN484" s="23">
        <v>0.0</v>
      </c>
      <c r="BO484" s="23">
        <v>11767.14</v>
      </c>
      <c r="BP484" s="16" t="s">
        <v>2893</v>
      </c>
      <c r="BQ484" s="16" t="b">
        <v>1</v>
      </c>
      <c r="BR484" s="23">
        <v>11767.14</v>
      </c>
      <c r="BT484" s="16" t="b">
        <v>0</v>
      </c>
      <c r="BU484" s="16" t="s">
        <v>546</v>
      </c>
    </row>
    <row r="485">
      <c r="A485" s="16" t="s">
        <v>2896</v>
      </c>
      <c r="B485" s="16" t="s">
        <v>35</v>
      </c>
      <c r="C485" s="22">
        <v>45499.0</v>
      </c>
      <c r="D485" s="16" t="s">
        <v>460</v>
      </c>
      <c r="E485" s="16" t="s">
        <v>2898</v>
      </c>
      <c r="F485" s="16" t="s">
        <v>2901</v>
      </c>
      <c r="G485" s="16" t="s">
        <v>1054</v>
      </c>
      <c r="H485" s="23">
        <v>1.0</v>
      </c>
      <c r="I485" s="23">
        <v>516.15</v>
      </c>
      <c r="J485" s="23">
        <v>516.15</v>
      </c>
      <c r="N485" s="23">
        <v>0.0</v>
      </c>
      <c r="R485" s="23">
        <v>0.0</v>
      </c>
      <c r="V485" s="23">
        <v>0.0</v>
      </c>
      <c r="Z485" s="23">
        <v>0.0</v>
      </c>
      <c r="AD485" s="23">
        <v>0.0</v>
      </c>
      <c r="AH485" s="23">
        <v>0.0</v>
      </c>
      <c r="AL485" s="23">
        <v>0.0</v>
      </c>
      <c r="AP485" s="23">
        <v>0.0</v>
      </c>
      <c r="AT485" s="23">
        <v>0.0</v>
      </c>
      <c r="AX485" s="23">
        <v>0.0</v>
      </c>
      <c r="BF485" s="23">
        <v>0.0</v>
      </c>
      <c r="BJ485" s="23">
        <v>0.0</v>
      </c>
      <c r="BN485" s="23">
        <v>0.0</v>
      </c>
      <c r="BO485" s="23">
        <v>516.15</v>
      </c>
      <c r="BP485" s="16" t="s">
        <v>2899</v>
      </c>
      <c r="BQ485" s="16" t="b">
        <v>1</v>
      </c>
      <c r="BR485" s="23">
        <v>516.15</v>
      </c>
      <c r="BT485" s="16" t="b">
        <v>0</v>
      </c>
      <c r="BU485" s="16" t="s">
        <v>546</v>
      </c>
    </row>
    <row r="486">
      <c r="A486" s="16" t="s">
        <v>2903</v>
      </c>
      <c r="B486" s="16" t="s">
        <v>35</v>
      </c>
      <c r="C486" s="22">
        <v>45499.0</v>
      </c>
      <c r="D486" s="16" t="s">
        <v>2871</v>
      </c>
      <c r="E486" s="16" t="s">
        <v>2905</v>
      </c>
      <c r="F486" s="16" t="s">
        <v>2908</v>
      </c>
      <c r="G486" s="16" t="s">
        <v>3987</v>
      </c>
      <c r="H486" s="23">
        <v>1.0</v>
      </c>
      <c r="I486" s="23">
        <v>64.6</v>
      </c>
      <c r="J486" s="23">
        <v>64.6</v>
      </c>
      <c r="N486" s="23">
        <v>0.0</v>
      </c>
      <c r="R486" s="23">
        <v>0.0</v>
      </c>
      <c r="V486" s="23">
        <v>0.0</v>
      </c>
      <c r="Z486" s="23">
        <v>0.0</v>
      </c>
      <c r="AD486" s="23">
        <v>0.0</v>
      </c>
      <c r="AH486" s="23">
        <v>0.0</v>
      </c>
      <c r="AL486" s="23">
        <v>0.0</v>
      </c>
      <c r="AP486" s="23">
        <v>0.0</v>
      </c>
      <c r="AT486" s="23">
        <v>0.0</v>
      </c>
      <c r="AX486" s="23">
        <v>0.0</v>
      </c>
      <c r="BF486" s="23">
        <v>0.0</v>
      </c>
      <c r="BJ486" s="23">
        <v>0.0</v>
      </c>
      <c r="BN486" s="23">
        <v>0.0</v>
      </c>
      <c r="BO486" s="23">
        <v>64.6</v>
      </c>
      <c r="BP486" s="16" t="s">
        <v>2906</v>
      </c>
      <c r="BQ486" s="16" t="b">
        <v>1</v>
      </c>
      <c r="BR486" s="23">
        <v>64.6</v>
      </c>
      <c r="BT486" s="16" t="b">
        <v>0</v>
      </c>
      <c r="BU486" s="16" t="s">
        <v>546</v>
      </c>
    </row>
    <row r="487">
      <c r="A487" s="16" t="s">
        <v>2910</v>
      </c>
      <c r="B487" s="16" t="s">
        <v>35</v>
      </c>
      <c r="C487" s="22">
        <v>45500.0</v>
      </c>
      <c r="D487" s="16" t="s">
        <v>2871</v>
      </c>
      <c r="E487" s="16" t="s">
        <v>2912</v>
      </c>
      <c r="F487" s="16" t="s">
        <v>2915</v>
      </c>
      <c r="G487" s="16" t="s">
        <v>3987</v>
      </c>
      <c r="H487" s="23">
        <v>1.0</v>
      </c>
      <c r="I487" s="23">
        <v>96.0</v>
      </c>
      <c r="J487" s="23">
        <v>96.0</v>
      </c>
      <c r="N487" s="23">
        <v>0.0</v>
      </c>
      <c r="R487" s="23">
        <v>0.0</v>
      </c>
      <c r="V487" s="23">
        <v>0.0</v>
      </c>
      <c r="Z487" s="23">
        <v>0.0</v>
      </c>
      <c r="AD487" s="23">
        <v>0.0</v>
      </c>
      <c r="AH487" s="23">
        <v>0.0</v>
      </c>
      <c r="AL487" s="23">
        <v>0.0</v>
      </c>
      <c r="AP487" s="23">
        <v>0.0</v>
      </c>
      <c r="AT487" s="23">
        <v>0.0</v>
      </c>
      <c r="AX487" s="23">
        <v>0.0</v>
      </c>
      <c r="BF487" s="23">
        <v>0.0</v>
      </c>
      <c r="BJ487" s="23">
        <v>0.0</v>
      </c>
      <c r="BN487" s="23">
        <v>0.0</v>
      </c>
      <c r="BO487" s="23">
        <v>96.0</v>
      </c>
      <c r="BP487" s="16" t="s">
        <v>2914</v>
      </c>
      <c r="BQ487" s="16" t="b">
        <v>1</v>
      </c>
      <c r="BR487" s="23">
        <v>96.0</v>
      </c>
      <c r="BT487" s="16" t="b">
        <v>0</v>
      </c>
      <c r="BU487" s="16" t="s">
        <v>546</v>
      </c>
    </row>
    <row r="488">
      <c r="A488" s="16" t="s">
        <v>2917</v>
      </c>
      <c r="B488" s="16" t="s">
        <v>35</v>
      </c>
      <c r="C488" s="22">
        <v>45502.0</v>
      </c>
      <c r="D488" s="16" t="s">
        <v>543</v>
      </c>
      <c r="E488" s="16" t="s">
        <v>2919</v>
      </c>
      <c r="F488" s="16" t="s">
        <v>2921</v>
      </c>
      <c r="G488" s="16">
        <v>1.2539885E7</v>
      </c>
      <c r="H488" s="23">
        <v>1.0</v>
      </c>
      <c r="I488" s="23">
        <v>330.0</v>
      </c>
      <c r="J488" s="23">
        <v>330.0</v>
      </c>
      <c r="N488" s="23">
        <v>0.0</v>
      </c>
      <c r="R488" s="23">
        <v>0.0</v>
      </c>
      <c r="V488" s="23">
        <v>0.0</v>
      </c>
      <c r="Z488" s="23">
        <v>0.0</v>
      </c>
      <c r="AD488" s="23">
        <v>0.0</v>
      </c>
      <c r="AH488" s="23">
        <v>0.0</v>
      </c>
      <c r="AL488" s="23">
        <v>0.0</v>
      </c>
      <c r="AP488" s="23">
        <v>0.0</v>
      </c>
      <c r="AT488" s="23">
        <v>0.0</v>
      </c>
      <c r="AX488" s="23">
        <v>0.0</v>
      </c>
      <c r="BF488" s="23">
        <v>0.0</v>
      </c>
      <c r="BJ488" s="23">
        <v>0.0</v>
      </c>
      <c r="BN488" s="23">
        <v>0.0</v>
      </c>
      <c r="BO488" s="23">
        <v>330.0</v>
      </c>
      <c r="BP488" s="16" t="s">
        <v>2920</v>
      </c>
      <c r="BQ488" s="16" t="b">
        <v>1</v>
      </c>
      <c r="BR488" s="23">
        <v>330.0</v>
      </c>
      <c r="BT488" s="16" t="b">
        <v>0</v>
      </c>
      <c r="BU488" s="16" t="s">
        <v>546</v>
      </c>
    </row>
    <row r="489">
      <c r="A489" s="16" t="s">
        <v>2924</v>
      </c>
      <c r="B489" s="16" t="s">
        <v>35</v>
      </c>
      <c r="C489" s="22">
        <v>45502.0</v>
      </c>
      <c r="D489" s="16" t="s">
        <v>353</v>
      </c>
      <c r="E489" s="16" t="s">
        <v>2926</v>
      </c>
      <c r="F489" s="16" t="s">
        <v>2928</v>
      </c>
      <c r="G489" s="16" t="s">
        <v>794</v>
      </c>
      <c r="H489" s="23">
        <v>1.0</v>
      </c>
      <c r="I489" s="23">
        <v>403.82</v>
      </c>
      <c r="J489" s="23">
        <v>403.82</v>
      </c>
      <c r="K489" s="16" t="s">
        <v>691</v>
      </c>
      <c r="L489" s="23">
        <v>1.0</v>
      </c>
      <c r="M489" s="23">
        <v>403.83</v>
      </c>
      <c r="N489" s="23">
        <v>403.83</v>
      </c>
      <c r="R489" s="23">
        <v>0.0</v>
      </c>
      <c r="V489" s="23">
        <v>0.0</v>
      </c>
      <c r="Z489" s="23">
        <v>0.0</v>
      </c>
      <c r="AD489" s="23">
        <v>0.0</v>
      </c>
      <c r="AH489" s="23">
        <v>0.0</v>
      </c>
      <c r="AL489" s="23">
        <v>0.0</v>
      </c>
      <c r="AP489" s="23">
        <v>0.0</v>
      </c>
      <c r="AT489" s="23">
        <v>0.0</v>
      </c>
      <c r="AX489" s="23">
        <v>0.0</v>
      </c>
      <c r="BF489" s="23">
        <v>0.0</v>
      </c>
      <c r="BJ489" s="23">
        <v>0.0</v>
      </c>
      <c r="BN489" s="23">
        <v>0.0</v>
      </c>
      <c r="BO489" s="23">
        <v>807.65</v>
      </c>
      <c r="BP489" s="16" t="s">
        <v>2927</v>
      </c>
      <c r="BQ489" s="16" t="b">
        <v>1</v>
      </c>
      <c r="BR489" s="23">
        <v>807.65</v>
      </c>
      <c r="BT489" s="16" t="b">
        <v>0</v>
      </c>
      <c r="BU489" s="16" t="s">
        <v>546</v>
      </c>
    </row>
    <row r="490">
      <c r="A490" s="16" t="s">
        <v>2931</v>
      </c>
      <c r="B490" s="16" t="s">
        <v>35</v>
      </c>
      <c r="C490" s="22">
        <v>45502.0</v>
      </c>
      <c r="D490" s="16" t="s">
        <v>890</v>
      </c>
      <c r="E490" s="16" t="s">
        <v>2933</v>
      </c>
      <c r="F490" s="16" t="s">
        <v>1184</v>
      </c>
      <c r="G490" s="16" t="s">
        <v>1517</v>
      </c>
      <c r="H490" s="23">
        <v>1.0</v>
      </c>
      <c r="I490" s="23">
        <v>806.68</v>
      </c>
      <c r="J490" s="23">
        <v>806.68</v>
      </c>
      <c r="N490" s="23">
        <v>0.0</v>
      </c>
      <c r="R490" s="23">
        <v>0.0</v>
      </c>
      <c r="V490" s="23">
        <v>0.0</v>
      </c>
      <c r="Z490" s="23">
        <v>0.0</v>
      </c>
      <c r="AD490" s="23">
        <v>0.0</v>
      </c>
      <c r="AH490" s="23">
        <v>0.0</v>
      </c>
      <c r="AL490" s="23">
        <v>0.0</v>
      </c>
      <c r="AP490" s="23">
        <v>0.0</v>
      </c>
      <c r="AT490" s="23">
        <v>0.0</v>
      </c>
      <c r="AX490" s="23">
        <v>0.0</v>
      </c>
      <c r="BF490" s="23">
        <v>0.0</v>
      </c>
      <c r="BJ490" s="23">
        <v>0.0</v>
      </c>
      <c r="BN490" s="23">
        <v>0.0</v>
      </c>
      <c r="BO490" s="23">
        <v>806.68</v>
      </c>
      <c r="BP490" s="16" t="s">
        <v>2934</v>
      </c>
      <c r="BQ490" s="16" t="b">
        <v>1</v>
      </c>
      <c r="BR490" s="23">
        <v>806.68</v>
      </c>
      <c r="BT490" s="16" t="b">
        <v>0</v>
      </c>
      <c r="BU490" s="16" t="s">
        <v>546</v>
      </c>
    </row>
    <row r="491">
      <c r="A491" s="16" t="s">
        <v>2936</v>
      </c>
      <c r="B491" s="16" t="s">
        <v>35</v>
      </c>
      <c r="C491" s="22">
        <v>45504.0</v>
      </c>
      <c r="D491" s="16" t="s">
        <v>890</v>
      </c>
      <c r="E491" s="16" t="s">
        <v>2938</v>
      </c>
      <c r="F491" s="16" t="s">
        <v>1177</v>
      </c>
      <c r="G491" s="16" t="s">
        <v>1510</v>
      </c>
      <c r="H491" s="23">
        <v>1.0</v>
      </c>
      <c r="I491" s="23">
        <v>4595.16</v>
      </c>
      <c r="J491" s="23">
        <v>4595.16</v>
      </c>
      <c r="N491" s="23">
        <v>0.0</v>
      </c>
      <c r="R491" s="23">
        <v>0.0</v>
      </c>
      <c r="V491" s="23">
        <v>0.0</v>
      </c>
      <c r="Z491" s="23">
        <v>0.0</v>
      </c>
      <c r="AD491" s="23">
        <v>0.0</v>
      </c>
      <c r="AH491" s="23">
        <v>0.0</v>
      </c>
      <c r="AL491" s="23">
        <v>0.0</v>
      </c>
      <c r="AP491" s="23">
        <v>0.0</v>
      </c>
      <c r="AT491" s="23">
        <v>0.0</v>
      </c>
      <c r="AX491" s="23">
        <v>0.0</v>
      </c>
      <c r="BF491" s="23">
        <v>0.0</v>
      </c>
      <c r="BJ491" s="23">
        <v>0.0</v>
      </c>
      <c r="BN491" s="23">
        <v>0.0</v>
      </c>
      <c r="BO491" s="23">
        <v>4595.16</v>
      </c>
      <c r="BP491" s="16" t="s">
        <v>2940</v>
      </c>
      <c r="BQ491" s="16" t="b">
        <v>1</v>
      </c>
      <c r="BR491" s="23">
        <v>4595.16</v>
      </c>
      <c r="BT491" s="16" t="b">
        <v>0</v>
      </c>
      <c r="BU491" s="16" t="s">
        <v>546</v>
      </c>
    </row>
    <row r="492">
      <c r="A492" s="16" t="s">
        <v>2942</v>
      </c>
      <c r="B492" s="16" t="s">
        <v>35</v>
      </c>
      <c r="C492" s="22">
        <v>45505.0</v>
      </c>
      <c r="D492" s="16" t="s">
        <v>307</v>
      </c>
      <c r="E492" s="16" t="s">
        <v>2944</v>
      </c>
      <c r="F492" s="16" t="s">
        <v>2947</v>
      </c>
      <c r="G492" s="16" t="s">
        <v>4071</v>
      </c>
      <c r="H492" s="23">
        <v>1.0</v>
      </c>
      <c r="I492" s="23">
        <v>21.89</v>
      </c>
      <c r="J492" s="23">
        <v>21.89</v>
      </c>
      <c r="K492" s="16" t="s">
        <v>4073</v>
      </c>
      <c r="L492" s="23">
        <v>1.0</v>
      </c>
      <c r="M492" s="23">
        <v>21.89</v>
      </c>
      <c r="N492" s="23">
        <v>21.89</v>
      </c>
      <c r="R492" s="23">
        <v>0.0</v>
      </c>
      <c r="V492" s="23">
        <v>0.0</v>
      </c>
      <c r="Z492" s="23">
        <v>0.0</v>
      </c>
      <c r="AD492" s="23">
        <v>0.0</v>
      </c>
      <c r="AH492" s="23">
        <v>0.0</v>
      </c>
      <c r="AL492" s="23">
        <v>0.0</v>
      </c>
      <c r="AP492" s="23">
        <v>0.0</v>
      </c>
      <c r="AT492" s="23">
        <v>0.0</v>
      </c>
      <c r="AX492" s="23">
        <v>0.0</v>
      </c>
      <c r="BF492" s="23">
        <v>0.0</v>
      </c>
      <c r="BJ492" s="23">
        <v>0.0</v>
      </c>
      <c r="BN492" s="23">
        <v>0.0</v>
      </c>
      <c r="BO492" s="23">
        <v>43.78</v>
      </c>
      <c r="BP492" s="16" t="s">
        <v>2946</v>
      </c>
      <c r="BQ492" s="16" t="b">
        <v>1</v>
      </c>
      <c r="BR492" s="23">
        <v>43.78</v>
      </c>
      <c r="BS492" s="23">
        <v>989790.0</v>
      </c>
      <c r="BT492" s="16" t="b">
        <v>1</v>
      </c>
      <c r="BU492" s="16" t="s">
        <v>546</v>
      </c>
    </row>
    <row r="493">
      <c r="A493" s="16" t="s">
        <v>2950</v>
      </c>
      <c r="B493" s="16" t="s">
        <v>35</v>
      </c>
      <c r="C493" s="22">
        <v>45505.0</v>
      </c>
      <c r="D493" s="16" t="s">
        <v>112</v>
      </c>
      <c r="E493" s="16" t="s">
        <v>2952</v>
      </c>
      <c r="F493" s="16" t="s">
        <v>45</v>
      </c>
      <c r="G493" s="16" t="s">
        <v>152</v>
      </c>
      <c r="H493" s="23">
        <v>1.0</v>
      </c>
      <c r="I493" s="23">
        <v>8.28</v>
      </c>
      <c r="J493" s="23">
        <v>8.28</v>
      </c>
      <c r="N493" s="23">
        <v>0.0</v>
      </c>
      <c r="R493" s="23">
        <v>0.0</v>
      </c>
      <c r="V493" s="23">
        <v>0.0</v>
      </c>
      <c r="Z493" s="23">
        <v>0.0</v>
      </c>
      <c r="AD493" s="23">
        <v>0.0</v>
      </c>
      <c r="AH493" s="23">
        <v>0.0</v>
      </c>
      <c r="AL493" s="23">
        <v>0.0</v>
      </c>
      <c r="AP493" s="23">
        <v>0.0</v>
      </c>
      <c r="AT493" s="23">
        <v>0.0</v>
      </c>
      <c r="AX493" s="23">
        <v>0.0</v>
      </c>
      <c r="BF493" s="23">
        <v>0.0</v>
      </c>
      <c r="BJ493" s="23">
        <v>0.0</v>
      </c>
      <c r="BN493" s="23">
        <v>0.0</v>
      </c>
      <c r="BO493" s="23">
        <v>8.28</v>
      </c>
      <c r="BP493" s="16" t="s">
        <v>2953</v>
      </c>
      <c r="BQ493" s="16" t="b">
        <v>1</v>
      </c>
      <c r="BR493" s="23">
        <v>8.28</v>
      </c>
      <c r="BT493" s="16" t="b">
        <v>0</v>
      </c>
      <c r="BU493" s="16" t="s">
        <v>546</v>
      </c>
    </row>
    <row r="494">
      <c r="A494" s="16" t="s">
        <v>2955</v>
      </c>
      <c r="B494" s="16" t="s">
        <v>35</v>
      </c>
      <c r="C494" s="22">
        <v>45506.0</v>
      </c>
      <c r="D494" s="16" t="s">
        <v>112</v>
      </c>
      <c r="E494" s="16" t="s">
        <v>2957</v>
      </c>
      <c r="F494" s="16" t="s">
        <v>2959</v>
      </c>
      <c r="G494" s="16" t="s">
        <v>159</v>
      </c>
      <c r="H494" s="23">
        <v>20.0</v>
      </c>
      <c r="I494" s="23">
        <v>13.5</v>
      </c>
      <c r="J494" s="23">
        <v>270.0</v>
      </c>
      <c r="K494" s="16" t="s">
        <v>155</v>
      </c>
      <c r="L494" s="23">
        <v>1.0</v>
      </c>
      <c r="M494" s="23">
        <v>52.14</v>
      </c>
      <c r="N494" s="23">
        <v>52.14</v>
      </c>
      <c r="O494" s="16" t="s">
        <v>152</v>
      </c>
      <c r="P494" s="23">
        <v>1.0</v>
      </c>
      <c r="Q494" s="23">
        <v>7.96</v>
      </c>
      <c r="R494" s="23">
        <v>7.96</v>
      </c>
      <c r="V494" s="23">
        <v>0.0</v>
      </c>
      <c r="Z494" s="23">
        <v>0.0</v>
      </c>
      <c r="AD494" s="23">
        <v>0.0</v>
      </c>
      <c r="AH494" s="23">
        <v>0.0</v>
      </c>
      <c r="AL494" s="23">
        <v>0.0</v>
      </c>
      <c r="AP494" s="23">
        <v>0.0</v>
      </c>
      <c r="AT494" s="23">
        <v>0.0</v>
      </c>
      <c r="AX494" s="23">
        <v>0.0</v>
      </c>
      <c r="BF494" s="23">
        <v>0.0</v>
      </c>
      <c r="BJ494" s="23">
        <v>0.0</v>
      </c>
      <c r="BN494" s="23">
        <v>0.0</v>
      </c>
      <c r="BO494" s="23">
        <v>330.1</v>
      </c>
      <c r="BP494" s="16" t="s">
        <v>2958</v>
      </c>
      <c r="BQ494" s="16" t="b">
        <v>1</v>
      </c>
      <c r="BR494" s="23">
        <v>330.1</v>
      </c>
      <c r="BT494" s="16" t="b">
        <v>0</v>
      </c>
      <c r="BU494" s="16" t="s">
        <v>546</v>
      </c>
    </row>
    <row r="495">
      <c r="A495" s="16" t="s">
        <v>2962</v>
      </c>
      <c r="B495" s="16" t="s">
        <v>35</v>
      </c>
      <c r="C495" s="22">
        <v>45508.0</v>
      </c>
      <c r="F495" s="16" t="s">
        <v>2964</v>
      </c>
      <c r="G495" s="16" t="s">
        <v>1239</v>
      </c>
      <c r="H495" s="16">
        <v>1.0</v>
      </c>
      <c r="I495" s="23">
        <v>2848.92</v>
      </c>
      <c r="J495" s="23">
        <v>2848.92</v>
      </c>
      <c r="BO495" s="23">
        <v>2848.92</v>
      </c>
      <c r="BR495" s="23">
        <v>2848.92</v>
      </c>
      <c r="BU495" s="16" t="s">
        <v>539</v>
      </c>
      <c r="BV495" s="16" t="s">
        <v>664</v>
      </c>
      <c r="BW495" s="16"/>
      <c r="BX495" s="16"/>
      <c r="BY495" s="16"/>
    </row>
    <row r="496">
      <c r="A496" s="16" t="s">
        <v>2966</v>
      </c>
      <c r="B496" s="16" t="s">
        <v>35</v>
      </c>
      <c r="C496" s="22">
        <v>45508.0</v>
      </c>
      <c r="F496" s="16" t="s">
        <v>2964</v>
      </c>
      <c r="G496" s="16" t="s">
        <v>1239</v>
      </c>
      <c r="H496" s="16">
        <v>1.0</v>
      </c>
      <c r="I496" s="23">
        <v>2126.92</v>
      </c>
      <c r="J496" s="23">
        <v>2126.92</v>
      </c>
      <c r="BO496" s="23">
        <v>2126.92</v>
      </c>
      <c r="BR496" s="23">
        <v>2126.92</v>
      </c>
      <c r="BU496" s="16" t="s">
        <v>539</v>
      </c>
      <c r="BV496" s="16" t="s">
        <v>624</v>
      </c>
      <c r="BW496" s="16"/>
      <c r="BX496" s="16"/>
      <c r="BY496" s="16"/>
    </row>
    <row r="497">
      <c r="A497" s="16" t="s">
        <v>2970</v>
      </c>
      <c r="B497" s="16" t="s">
        <v>35</v>
      </c>
      <c r="C497" s="22">
        <v>45508.0</v>
      </c>
      <c r="F497" s="16" t="s">
        <v>2964</v>
      </c>
      <c r="G497" s="16" t="s">
        <v>1239</v>
      </c>
      <c r="H497" s="16">
        <v>1.0</v>
      </c>
      <c r="I497" s="23">
        <v>2009.95</v>
      </c>
      <c r="J497" s="23">
        <v>2009.95</v>
      </c>
      <c r="BO497" s="23">
        <v>2009.95</v>
      </c>
      <c r="BR497" s="23">
        <v>2009.95</v>
      </c>
      <c r="BU497" s="16" t="s">
        <v>539</v>
      </c>
      <c r="BV497" s="16" t="s">
        <v>2052</v>
      </c>
      <c r="BW497" s="16"/>
      <c r="BX497" s="16"/>
      <c r="BY497" s="16"/>
    </row>
    <row r="498">
      <c r="A498" s="16" t="s">
        <v>2973</v>
      </c>
      <c r="B498" s="16" t="s">
        <v>35</v>
      </c>
      <c r="C498" s="22">
        <v>45508.0</v>
      </c>
      <c r="F498" s="16" t="s">
        <v>2964</v>
      </c>
      <c r="G498" s="16" t="s">
        <v>1239</v>
      </c>
      <c r="H498" s="16">
        <v>1.0</v>
      </c>
      <c r="I498" s="23">
        <v>1823.89</v>
      </c>
      <c r="J498" s="23">
        <v>1823.89</v>
      </c>
      <c r="BO498" s="23">
        <v>1823.89</v>
      </c>
      <c r="BR498" s="23">
        <v>1823.89</v>
      </c>
      <c r="BU498" s="16" t="s">
        <v>539</v>
      </c>
      <c r="BV498" s="16" t="s">
        <v>658</v>
      </c>
      <c r="BW498" s="16"/>
      <c r="BX498" s="16"/>
      <c r="BY498" s="16"/>
    </row>
    <row r="499">
      <c r="A499" s="16" t="s">
        <v>2976</v>
      </c>
      <c r="B499" s="16" t="s">
        <v>35</v>
      </c>
      <c r="C499" s="22">
        <v>45508.0</v>
      </c>
      <c r="F499" s="16" t="s">
        <v>2964</v>
      </c>
      <c r="G499" s="16" t="s">
        <v>1239</v>
      </c>
      <c r="H499" s="16">
        <v>1.0</v>
      </c>
      <c r="I499" s="23">
        <v>2149.57</v>
      </c>
      <c r="J499" s="23">
        <v>2149.57</v>
      </c>
      <c r="BO499" s="23">
        <v>2149.57</v>
      </c>
      <c r="BR499" s="23">
        <v>2149.57</v>
      </c>
      <c r="BU499" s="16" t="s">
        <v>539</v>
      </c>
      <c r="BV499" s="16" t="s">
        <v>2713</v>
      </c>
      <c r="BW499" s="16"/>
      <c r="BX499" s="16"/>
      <c r="BY499" s="16"/>
    </row>
    <row r="500">
      <c r="A500" s="16" t="s">
        <v>2982</v>
      </c>
      <c r="B500" s="16" t="s">
        <v>35</v>
      </c>
      <c r="C500" s="22">
        <v>45508.0</v>
      </c>
      <c r="F500" s="16" t="s">
        <v>2984</v>
      </c>
      <c r="G500" s="16" t="s">
        <v>1239</v>
      </c>
      <c r="H500" s="16">
        <v>1.0</v>
      </c>
      <c r="I500" s="23">
        <v>765.6</v>
      </c>
      <c r="J500" s="23">
        <v>765.6</v>
      </c>
      <c r="BO500" s="23">
        <v>765.6</v>
      </c>
      <c r="BR500" s="23">
        <v>765.6</v>
      </c>
      <c r="BU500" s="16" t="s">
        <v>539</v>
      </c>
      <c r="BV500" s="16" t="s">
        <v>624</v>
      </c>
      <c r="BW500" s="16"/>
      <c r="BX500" s="16"/>
      <c r="BY500" s="16"/>
    </row>
    <row r="501">
      <c r="A501" s="16" t="s">
        <v>2986</v>
      </c>
      <c r="B501" s="16" t="s">
        <v>35</v>
      </c>
      <c r="C501" s="22">
        <v>45509.0</v>
      </c>
      <c r="D501" s="16" t="s">
        <v>460</v>
      </c>
      <c r="F501" s="16" t="s">
        <v>2785</v>
      </c>
      <c r="G501" s="16" t="s">
        <v>4123</v>
      </c>
      <c r="H501" s="16">
        <v>1.0</v>
      </c>
      <c r="I501" s="23">
        <v>94.0</v>
      </c>
      <c r="J501" s="23">
        <v>94.0</v>
      </c>
      <c r="BO501" s="23">
        <v>94.0</v>
      </c>
      <c r="BR501" s="23">
        <v>94.0</v>
      </c>
      <c r="BU501" s="16" t="s">
        <v>539</v>
      </c>
    </row>
    <row r="502">
      <c r="A502" s="16" t="s">
        <v>2991</v>
      </c>
      <c r="B502" s="16" t="s">
        <v>35</v>
      </c>
      <c r="C502" s="22">
        <v>45509.0</v>
      </c>
      <c r="D502" s="16" t="s">
        <v>460</v>
      </c>
      <c r="F502" s="16" t="s">
        <v>2785</v>
      </c>
      <c r="G502" s="16" t="s">
        <v>305</v>
      </c>
      <c r="H502" s="16">
        <v>1.0</v>
      </c>
      <c r="I502" s="23">
        <v>145.0</v>
      </c>
      <c r="J502" s="23">
        <v>145.0</v>
      </c>
      <c r="BO502" s="23">
        <v>145.0</v>
      </c>
      <c r="BR502" s="23">
        <v>145.0</v>
      </c>
      <c r="BU502" s="16" t="s">
        <v>539</v>
      </c>
    </row>
    <row r="503">
      <c r="A503" s="16" t="s">
        <v>2994</v>
      </c>
      <c r="B503" s="16" t="s">
        <v>35</v>
      </c>
      <c r="C503" s="22">
        <v>45509.0</v>
      </c>
      <c r="D503" s="16" t="s">
        <v>460</v>
      </c>
      <c r="F503" s="16" t="s">
        <v>2785</v>
      </c>
      <c r="G503" s="16" t="s">
        <v>249</v>
      </c>
      <c r="H503" s="16">
        <v>1.0</v>
      </c>
      <c r="I503" s="23">
        <v>226.8</v>
      </c>
      <c r="J503" s="23">
        <v>226.8</v>
      </c>
      <c r="BO503" s="23">
        <v>226.8</v>
      </c>
      <c r="BR503" s="23">
        <v>226.8</v>
      </c>
      <c r="BU503" s="16" t="s">
        <v>539</v>
      </c>
    </row>
    <row r="504">
      <c r="A504" s="16" t="s">
        <v>3000</v>
      </c>
      <c r="B504" s="16" t="s">
        <v>35</v>
      </c>
      <c r="C504" s="22">
        <v>45509.0</v>
      </c>
      <c r="D504" s="16" t="s">
        <v>460</v>
      </c>
      <c r="F504" s="16" t="s">
        <v>2785</v>
      </c>
      <c r="G504" s="16" t="s">
        <v>1728</v>
      </c>
      <c r="H504" s="16">
        <v>1.0</v>
      </c>
      <c r="I504" s="23">
        <v>150.0</v>
      </c>
      <c r="J504" s="23">
        <v>150.0</v>
      </c>
      <c r="BO504" s="23">
        <v>150.0</v>
      </c>
      <c r="BR504" s="23">
        <v>150.0</v>
      </c>
      <c r="BU504" s="16" t="s">
        <v>539</v>
      </c>
    </row>
    <row r="505">
      <c r="A505" s="16" t="s">
        <v>3003</v>
      </c>
      <c r="B505" s="16" t="s">
        <v>35</v>
      </c>
      <c r="C505" s="22">
        <v>45506.0</v>
      </c>
      <c r="D505" s="16" t="s">
        <v>543</v>
      </c>
      <c r="E505" s="16" t="s">
        <v>3005</v>
      </c>
      <c r="F505" s="16" t="s">
        <v>3007</v>
      </c>
      <c r="G505" s="16">
        <v>1.2539885E7</v>
      </c>
      <c r="H505" s="23">
        <v>1.0</v>
      </c>
      <c r="I505" s="23">
        <v>450.0</v>
      </c>
      <c r="J505" s="23">
        <v>450.0</v>
      </c>
      <c r="N505" s="23">
        <v>0.0</v>
      </c>
      <c r="R505" s="23">
        <v>0.0</v>
      </c>
      <c r="V505" s="23">
        <v>0.0</v>
      </c>
      <c r="Z505" s="23">
        <v>0.0</v>
      </c>
      <c r="AD505" s="23">
        <v>0.0</v>
      </c>
      <c r="AH505" s="23">
        <v>0.0</v>
      </c>
      <c r="AL505" s="23">
        <v>0.0</v>
      </c>
      <c r="AP505" s="23">
        <v>0.0</v>
      </c>
      <c r="AT505" s="23">
        <v>0.0</v>
      </c>
      <c r="AX505" s="23">
        <v>0.0</v>
      </c>
      <c r="BF505" s="23">
        <v>0.0</v>
      </c>
      <c r="BJ505" s="23">
        <v>0.0</v>
      </c>
      <c r="BN505" s="23">
        <v>0.0</v>
      </c>
      <c r="BO505" s="23">
        <v>450.0</v>
      </c>
      <c r="BP505" s="16" t="s">
        <v>3006</v>
      </c>
      <c r="BQ505" s="16" t="b">
        <v>1</v>
      </c>
      <c r="BR505" s="23">
        <v>450.0</v>
      </c>
      <c r="BT505" s="16" t="b">
        <v>0</v>
      </c>
      <c r="BU505" s="16" t="s">
        <v>546</v>
      </c>
    </row>
    <row r="506">
      <c r="A506" s="16" t="s">
        <v>3010</v>
      </c>
      <c r="B506" s="16" t="s">
        <v>35</v>
      </c>
      <c r="C506" s="22">
        <v>45509.0</v>
      </c>
      <c r="D506" s="16" t="s">
        <v>543</v>
      </c>
      <c r="E506" s="16" t="s">
        <v>3011</v>
      </c>
      <c r="F506" s="16" t="s">
        <v>3014</v>
      </c>
      <c r="G506" s="16">
        <v>1.2539885E7</v>
      </c>
      <c r="H506" s="23">
        <v>1.0</v>
      </c>
      <c r="I506" s="23">
        <v>360.0</v>
      </c>
      <c r="J506" s="23">
        <v>360.0</v>
      </c>
      <c r="N506" s="23">
        <v>0.0</v>
      </c>
      <c r="R506" s="23">
        <v>0.0</v>
      </c>
      <c r="V506" s="23">
        <v>0.0</v>
      </c>
      <c r="Z506" s="23">
        <v>0.0</v>
      </c>
      <c r="AD506" s="23">
        <v>0.0</v>
      </c>
      <c r="AH506" s="23">
        <v>0.0</v>
      </c>
      <c r="AL506" s="23">
        <v>0.0</v>
      </c>
      <c r="AP506" s="23">
        <v>0.0</v>
      </c>
      <c r="AT506" s="23">
        <v>0.0</v>
      </c>
      <c r="AX506" s="23">
        <v>0.0</v>
      </c>
      <c r="BF506" s="23">
        <v>0.0</v>
      </c>
      <c r="BJ506" s="23">
        <v>0.0</v>
      </c>
      <c r="BN506" s="23">
        <v>0.0</v>
      </c>
      <c r="BO506" s="23">
        <v>360.0</v>
      </c>
      <c r="BP506" s="16" t="s">
        <v>3013</v>
      </c>
      <c r="BQ506" s="16" t="b">
        <v>1</v>
      </c>
      <c r="BR506" s="23">
        <v>360.0</v>
      </c>
      <c r="BT506" s="16" t="b">
        <v>0</v>
      </c>
      <c r="BU506" s="16" t="s">
        <v>546</v>
      </c>
    </row>
    <row r="507">
      <c r="A507" s="16" t="s">
        <v>3016</v>
      </c>
      <c r="B507" s="16" t="s">
        <v>35</v>
      </c>
      <c r="C507" s="22">
        <v>45509.0</v>
      </c>
      <c r="D507" s="16" t="s">
        <v>112</v>
      </c>
      <c r="E507" s="16" t="s">
        <v>3018</v>
      </c>
      <c r="F507" s="16" t="s">
        <v>2959</v>
      </c>
      <c r="G507" s="16" t="s">
        <v>159</v>
      </c>
      <c r="H507" s="23">
        <v>15.0</v>
      </c>
      <c r="I507" s="23">
        <v>13.5</v>
      </c>
      <c r="J507" s="23">
        <v>202.5</v>
      </c>
      <c r="K507" s="16" t="s">
        <v>155</v>
      </c>
      <c r="L507" s="23">
        <v>1.0</v>
      </c>
      <c r="M507" s="23">
        <v>73.08</v>
      </c>
      <c r="N507" s="23">
        <v>73.08</v>
      </c>
      <c r="O507" s="16" t="s">
        <v>152</v>
      </c>
      <c r="P507" s="23">
        <v>1.0</v>
      </c>
      <c r="Q507" s="23">
        <v>12.71</v>
      </c>
      <c r="R507" s="23">
        <v>12.71</v>
      </c>
      <c r="S507" s="16" t="s">
        <v>226</v>
      </c>
      <c r="T507" s="23">
        <v>1.0</v>
      </c>
      <c r="U507" s="23">
        <v>127.5</v>
      </c>
      <c r="V507" s="23">
        <v>127.5</v>
      </c>
      <c r="Z507" s="23">
        <v>0.0</v>
      </c>
      <c r="AD507" s="23">
        <v>0.0</v>
      </c>
      <c r="AH507" s="23">
        <v>0.0</v>
      </c>
      <c r="AL507" s="23">
        <v>0.0</v>
      </c>
      <c r="AP507" s="23">
        <v>0.0</v>
      </c>
      <c r="AT507" s="23">
        <v>0.0</v>
      </c>
      <c r="AX507" s="23">
        <v>0.0</v>
      </c>
      <c r="BF507" s="23">
        <v>0.0</v>
      </c>
      <c r="BJ507" s="23">
        <v>0.0</v>
      </c>
      <c r="BN507" s="23">
        <v>0.0</v>
      </c>
      <c r="BO507" s="23">
        <v>415.79</v>
      </c>
      <c r="BP507" s="16" t="s">
        <v>3019</v>
      </c>
      <c r="BQ507" s="16" t="b">
        <v>1</v>
      </c>
      <c r="BR507" s="23">
        <v>415.79</v>
      </c>
      <c r="BT507" s="16" t="b">
        <v>0</v>
      </c>
      <c r="BU507" s="16" t="s">
        <v>546</v>
      </c>
    </row>
    <row r="508">
      <c r="A508" s="16" t="s">
        <v>3022</v>
      </c>
      <c r="B508" s="16" t="s">
        <v>35</v>
      </c>
      <c r="C508" s="22">
        <v>45510.0</v>
      </c>
      <c r="D508" s="16" t="s">
        <v>353</v>
      </c>
      <c r="E508" s="16" t="s">
        <v>3023</v>
      </c>
      <c r="F508" s="16" t="s">
        <v>3026</v>
      </c>
      <c r="G508" s="16" t="s">
        <v>4176</v>
      </c>
      <c r="H508" s="23">
        <v>1.0</v>
      </c>
      <c r="I508" s="23">
        <v>70.0</v>
      </c>
      <c r="J508" s="23">
        <v>70.0</v>
      </c>
      <c r="N508" s="23">
        <v>0.0</v>
      </c>
      <c r="R508" s="23">
        <v>0.0</v>
      </c>
      <c r="V508" s="23">
        <v>0.0</v>
      </c>
      <c r="Z508" s="23">
        <v>0.0</v>
      </c>
      <c r="AD508" s="23">
        <v>0.0</v>
      </c>
      <c r="AH508" s="23">
        <v>0.0</v>
      </c>
      <c r="AL508" s="23">
        <v>0.0</v>
      </c>
      <c r="AP508" s="23">
        <v>0.0</v>
      </c>
      <c r="AT508" s="23">
        <v>0.0</v>
      </c>
      <c r="AX508" s="23">
        <v>0.0</v>
      </c>
      <c r="BF508" s="23">
        <v>0.0</v>
      </c>
      <c r="BJ508" s="23">
        <v>0.0</v>
      </c>
      <c r="BN508" s="23">
        <v>0.0</v>
      </c>
      <c r="BO508" s="23">
        <v>70.0</v>
      </c>
      <c r="BP508" s="16" t="s">
        <v>3025</v>
      </c>
      <c r="BQ508" s="16" t="b">
        <v>1</v>
      </c>
      <c r="BR508" s="23">
        <v>70.0</v>
      </c>
      <c r="BT508" s="16" t="b">
        <v>0</v>
      </c>
      <c r="BU508" s="16" t="s">
        <v>546</v>
      </c>
    </row>
    <row r="509">
      <c r="A509" s="16" t="s">
        <v>3028</v>
      </c>
      <c r="B509" s="16" t="s">
        <v>35</v>
      </c>
      <c r="C509" s="22">
        <v>45511.0</v>
      </c>
      <c r="D509" s="16" t="s">
        <v>145</v>
      </c>
      <c r="E509" s="16" t="s">
        <v>3030</v>
      </c>
      <c r="F509" s="16" t="s">
        <v>1058</v>
      </c>
      <c r="G509" s="16" t="s">
        <v>1197</v>
      </c>
      <c r="H509" s="23">
        <v>4.0</v>
      </c>
      <c r="I509" s="23">
        <v>21.0</v>
      </c>
      <c r="J509" s="23">
        <v>84.0</v>
      </c>
      <c r="K509" s="16" t="s">
        <v>691</v>
      </c>
      <c r="L509" s="23">
        <v>1.0</v>
      </c>
      <c r="M509" s="23">
        <v>23.0</v>
      </c>
      <c r="N509" s="23">
        <v>23.0</v>
      </c>
      <c r="O509" s="16" t="s">
        <v>266</v>
      </c>
      <c r="P509" s="23">
        <v>2.0</v>
      </c>
      <c r="Q509" s="23">
        <v>18.0</v>
      </c>
      <c r="R509" s="23">
        <v>36.0</v>
      </c>
      <c r="V509" s="23">
        <v>0.0</v>
      </c>
      <c r="Z509" s="23">
        <v>0.0</v>
      </c>
      <c r="AD509" s="23">
        <v>0.0</v>
      </c>
      <c r="AH509" s="23">
        <v>0.0</v>
      </c>
      <c r="AL509" s="23">
        <v>0.0</v>
      </c>
      <c r="AP509" s="23">
        <v>0.0</v>
      </c>
      <c r="AT509" s="23">
        <v>0.0</v>
      </c>
      <c r="AX509" s="23">
        <v>0.0</v>
      </c>
      <c r="BF509" s="23">
        <v>0.0</v>
      </c>
      <c r="BJ509" s="23">
        <v>0.0</v>
      </c>
      <c r="BN509" s="23">
        <v>0.0</v>
      </c>
      <c r="BO509" s="23">
        <v>143.0</v>
      </c>
      <c r="BP509" s="16" t="s">
        <v>3031</v>
      </c>
      <c r="BQ509" s="16" t="b">
        <v>1</v>
      </c>
      <c r="BR509" s="23">
        <v>143.0</v>
      </c>
      <c r="BT509" s="16" t="b">
        <v>0</v>
      </c>
      <c r="BU509" s="16" t="s">
        <v>546</v>
      </c>
    </row>
    <row r="510">
      <c r="A510" s="16" t="s">
        <v>3034</v>
      </c>
      <c r="B510" s="16" t="s">
        <v>35</v>
      </c>
      <c r="C510" s="22">
        <v>45504.0</v>
      </c>
      <c r="D510" s="16" t="s">
        <v>559</v>
      </c>
      <c r="E510" s="16" t="s">
        <v>3036</v>
      </c>
      <c r="F510" s="16" t="s">
        <v>767</v>
      </c>
      <c r="G510" s="16" t="s">
        <v>1079</v>
      </c>
      <c r="H510" s="23">
        <v>1.0</v>
      </c>
      <c r="I510" s="23">
        <v>160.0</v>
      </c>
      <c r="J510" s="23">
        <v>160.0</v>
      </c>
      <c r="K510" s="16" t="s">
        <v>1080</v>
      </c>
      <c r="L510" s="23">
        <v>1.0</v>
      </c>
      <c r="M510" s="23">
        <v>160.0</v>
      </c>
      <c r="N510" s="23">
        <v>160.0</v>
      </c>
      <c r="R510" s="23">
        <v>0.0</v>
      </c>
      <c r="V510" s="23">
        <v>0.0</v>
      </c>
      <c r="Z510" s="23">
        <v>0.0</v>
      </c>
      <c r="AD510" s="23">
        <v>0.0</v>
      </c>
      <c r="AH510" s="23">
        <v>0.0</v>
      </c>
      <c r="AL510" s="23">
        <v>0.0</v>
      </c>
      <c r="AP510" s="23">
        <v>0.0</v>
      </c>
      <c r="AT510" s="23">
        <v>0.0</v>
      </c>
      <c r="AX510" s="23">
        <v>0.0</v>
      </c>
      <c r="BF510" s="23">
        <v>0.0</v>
      </c>
      <c r="BJ510" s="23">
        <v>0.0</v>
      </c>
      <c r="BN510" s="23">
        <v>0.0</v>
      </c>
      <c r="BO510" s="23">
        <v>320.0</v>
      </c>
      <c r="BP510" s="16" t="s">
        <v>3037</v>
      </c>
      <c r="BQ510" s="16" t="b">
        <v>1</v>
      </c>
      <c r="BR510" s="23">
        <v>320.0</v>
      </c>
      <c r="BT510" s="16" t="b">
        <v>0</v>
      </c>
      <c r="BU510" s="16" t="s">
        <v>546</v>
      </c>
    </row>
    <row r="511">
      <c r="A511" s="16" t="s">
        <v>3040</v>
      </c>
      <c r="B511" s="16" t="s">
        <v>35</v>
      </c>
      <c r="C511" s="22">
        <v>45511.0</v>
      </c>
      <c r="D511" s="16" t="s">
        <v>1414</v>
      </c>
      <c r="F511" s="16" t="s">
        <v>3043</v>
      </c>
      <c r="G511" s="16" t="s">
        <v>1757</v>
      </c>
      <c r="H511" s="16">
        <v>1.0</v>
      </c>
      <c r="I511" s="23">
        <v>50.0</v>
      </c>
      <c r="J511" s="23">
        <v>50.0</v>
      </c>
      <c r="BO511" s="23">
        <v>50.0</v>
      </c>
      <c r="BR511" s="23">
        <v>50.0</v>
      </c>
      <c r="BU511" s="16" t="s">
        <v>539</v>
      </c>
    </row>
    <row r="512">
      <c r="A512" s="16" t="s">
        <v>3046</v>
      </c>
      <c r="B512" s="16" t="s">
        <v>35</v>
      </c>
      <c r="C512" s="22">
        <v>45511.0</v>
      </c>
      <c r="D512" s="16" t="s">
        <v>460</v>
      </c>
      <c r="F512" s="16" t="s">
        <v>3049</v>
      </c>
      <c r="G512" s="16" t="s">
        <v>4223</v>
      </c>
      <c r="H512" s="16">
        <v>1.0</v>
      </c>
      <c r="I512" s="23">
        <v>20006.0</v>
      </c>
      <c r="J512" s="23">
        <v>20006.0</v>
      </c>
      <c r="BO512" s="23">
        <v>20006.0</v>
      </c>
      <c r="BR512" s="23">
        <v>20006.0</v>
      </c>
      <c r="BU512" s="16" t="s">
        <v>539</v>
      </c>
    </row>
    <row r="513">
      <c r="A513" s="16" t="s">
        <v>3052</v>
      </c>
      <c r="B513" s="16" t="s">
        <v>35</v>
      </c>
      <c r="C513" s="22">
        <v>45512.0</v>
      </c>
      <c r="D513" s="16" t="s">
        <v>559</v>
      </c>
      <c r="E513" s="16" t="s">
        <v>3054</v>
      </c>
      <c r="F513" s="16" t="s">
        <v>767</v>
      </c>
      <c r="G513" s="16" t="s">
        <v>1074</v>
      </c>
      <c r="H513" s="23">
        <v>1.0</v>
      </c>
      <c r="I513" s="23">
        <v>300.92</v>
      </c>
      <c r="J513" s="23">
        <v>300.92</v>
      </c>
      <c r="K513" s="16" t="s">
        <v>1077</v>
      </c>
      <c r="L513" s="23">
        <v>1.0</v>
      </c>
      <c r="M513" s="23">
        <v>300.92</v>
      </c>
      <c r="N513" s="23">
        <v>300.92</v>
      </c>
      <c r="O513" s="16" t="s">
        <v>1081</v>
      </c>
      <c r="P513" s="23">
        <v>1.0</v>
      </c>
      <c r="Q513" s="23">
        <v>300.92</v>
      </c>
      <c r="R513" s="23">
        <v>300.92</v>
      </c>
      <c r="S513" s="16" t="s">
        <v>1075</v>
      </c>
      <c r="T513" s="23">
        <v>1.0</v>
      </c>
      <c r="U513" s="23">
        <v>300.92</v>
      </c>
      <c r="V513" s="23">
        <v>300.92</v>
      </c>
      <c r="W513" s="16">
        <v>7.5375964E7</v>
      </c>
      <c r="X513" s="23">
        <v>1.0</v>
      </c>
      <c r="Y513" s="23">
        <v>300.92</v>
      </c>
      <c r="Z513" s="23">
        <v>300.92</v>
      </c>
      <c r="AD513" s="23">
        <v>0.0</v>
      </c>
      <c r="AH513" s="23">
        <v>0.0</v>
      </c>
      <c r="AL513" s="23">
        <v>0.0</v>
      </c>
      <c r="AP513" s="23">
        <v>0.0</v>
      </c>
      <c r="AT513" s="23">
        <v>0.0</v>
      </c>
      <c r="AX513" s="23">
        <v>0.0</v>
      </c>
      <c r="BF513" s="23">
        <v>0.0</v>
      </c>
      <c r="BJ513" s="23">
        <v>0.0</v>
      </c>
      <c r="BN513" s="23">
        <v>0.0</v>
      </c>
      <c r="BO513" s="23">
        <v>1504.6</v>
      </c>
      <c r="BP513" s="16" t="s">
        <v>3056</v>
      </c>
      <c r="BQ513" s="16" t="b">
        <v>1</v>
      </c>
      <c r="BR513" s="23">
        <v>1504.6</v>
      </c>
      <c r="BT513" s="16" t="b">
        <v>0</v>
      </c>
      <c r="BU513" s="16" t="s">
        <v>546</v>
      </c>
    </row>
    <row r="514">
      <c r="A514" s="16" t="s">
        <v>3058</v>
      </c>
      <c r="B514" s="16" t="s">
        <v>35</v>
      </c>
      <c r="C514" s="22">
        <v>45514.0</v>
      </c>
      <c r="F514" s="16" t="s">
        <v>1329</v>
      </c>
      <c r="G514" s="16" t="s">
        <v>1168</v>
      </c>
      <c r="H514" s="16">
        <v>1.0</v>
      </c>
      <c r="I514" s="23">
        <v>150.0</v>
      </c>
      <c r="J514" s="23">
        <v>150.0</v>
      </c>
      <c r="BO514" s="23">
        <v>150.0</v>
      </c>
      <c r="BR514" s="23">
        <v>150.0</v>
      </c>
      <c r="BU514" s="16" t="s">
        <v>539</v>
      </c>
      <c r="BV514" s="16" t="s">
        <v>664</v>
      </c>
      <c r="BW514" s="16"/>
      <c r="BX514" s="16"/>
      <c r="BY514" s="16"/>
    </row>
    <row r="515">
      <c r="A515" s="16" t="s">
        <v>3062</v>
      </c>
      <c r="B515" s="16" t="s">
        <v>35</v>
      </c>
      <c r="C515" s="22">
        <v>45513.0</v>
      </c>
      <c r="D515" s="16" t="s">
        <v>233</v>
      </c>
      <c r="E515" s="16" t="s">
        <v>3064</v>
      </c>
      <c r="F515" s="16" t="s">
        <v>528</v>
      </c>
      <c r="G515" s="16" t="s">
        <v>305</v>
      </c>
      <c r="H515" s="23">
        <v>1.0</v>
      </c>
      <c r="I515" s="23">
        <v>125.64</v>
      </c>
      <c r="J515" s="23">
        <v>125.64</v>
      </c>
      <c r="N515" s="23">
        <v>0.0</v>
      </c>
      <c r="R515" s="23">
        <v>0.0</v>
      </c>
      <c r="V515" s="23">
        <v>0.0</v>
      </c>
      <c r="Z515" s="23">
        <v>0.0</v>
      </c>
      <c r="AD515" s="23">
        <v>0.0</v>
      </c>
      <c r="AH515" s="23">
        <v>0.0</v>
      </c>
      <c r="AL515" s="23">
        <v>0.0</v>
      </c>
      <c r="AP515" s="23">
        <v>0.0</v>
      </c>
      <c r="AT515" s="23">
        <v>0.0</v>
      </c>
      <c r="AX515" s="23">
        <v>0.0</v>
      </c>
      <c r="BF515" s="23">
        <v>0.0</v>
      </c>
      <c r="BJ515" s="23">
        <v>0.0</v>
      </c>
      <c r="BN515" s="23">
        <v>0.0</v>
      </c>
      <c r="BO515" s="23">
        <v>125.64</v>
      </c>
      <c r="BP515" s="16" t="s">
        <v>3065</v>
      </c>
      <c r="BQ515" s="16" t="b">
        <v>1</v>
      </c>
      <c r="BR515" s="23">
        <v>125.64</v>
      </c>
      <c r="BS515" s="23">
        <v>100435.0</v>
      </c>
      <c r="BT515" s="16" t="b">
        <v>1</v>
      </c>
      <c r="BU515" s="16" t="s">
        <v>546</v>
      </c>
    </row>
    <row r="516">
      <c r="A516" s="16" t="s">
        <v>3068</v>
      </c>
      <c r="B516" s="16" t="s">
        <v>35</v>
      </c>
      <c r="C516" s="22">
        <v>45513.0</v>
      </c>
      <c r="D516" s="16" t="s">
        <v>112</v>
      </c>
      <c r="E516" s="16" t="s">
        <v>3070</v>
      </c>
      <c r="F516" s="16" t="s">
        <v>3072</v>
      </c>
      <c r="G516" s="16" t="s">
        <v>159</v>
      </c>
      <c r="H516" s="23">
        <v>1.0</v>
      </c>
      <c r="I516" s="23">
        <v>202.5</v>
      </c>
      <c r="J516" s="23">
        <v>202.5</v>
      </c>
      <c r="K516" s="16" t="s">
        <v>155</v>
      </c>
      <c r="L516" s="23">
        <v>1.0</v>
      </c>
      <c r="M516" s="23">
        <v>69.52</v>
      </c>
      <c r="N516" s="23">
        <v>69.52</v>
      </c>
      <c r="O516" s="16" t="s">
        <v>152</v>
      </c>
      <c r="P516" s="23">
        <v>1.0</v>
      </c>
      <c r="Q516" s="23">
        <v>12.36</v>
      </c>
      <c r="R516" s="23">
        <v>12.36</v>
      </c>
      <c r="V516" s="23">
        <v>0.0</v>
      </c>
      <c r="Z516" s="23">
        <v>0.0</v>
      </c>
      <c r="AD516" s="23">
        <v>0.0</v>
      </c>
      <c r="AH516" s="23">
        <v>0.0</v>
      </c>
      <c r="AL516" s="23">
        <v>0.0</v>
      </c>
      <c r="AP516" s="23">
        <v>0.0</v>
      </c>
      <c r="AT516" s="23">
        <v>0.0</v>
      </c>
      <c r="AX516" s="23">
        <v>0.0</v>
      </c>
      <c r="BF516" s="23">
        <v>0.0</v>
      </c>
      <c r="BJ516" s="23">
        <v>0.0</v>
      </c>
      <c r="BN516" s="23">
        <v>0.0</v>
      </c>
      <c r="BO516" s="23">
        <v>284.38</v>
      </c>
      <c r="BP516" s="16" t="s">
        <v>3071</v>
      </c>
      <c r="BQ516" s="16" t="b">
        <v>1</v>
      </c>
      <c r="BR516" s="23">
        <v>284.38</v>
      </c>
      <c r="BT516" s="16" t="b">
        <v>0</v>
      </c>
      <c r="BU516" s="16" t="s">
        <v>546</v>
      </c>
    </row>
    <row r="517">
      <c r="A517" s="16" t="s">
        <v>3073</v>
      </c>
      <c r="B517" s="16" t="s">
        <v>35</v>
      </c>
      <c r="C517" s="22">
        <v>45516.0</v>
      </c>
      <c r="D517" s="16" t="s">
        <v>543</v>
      </c>
      <c r="E517" s="16" t="s">
        <v>3074</v>
      </c>
      <c r="F517" s="16" t="s">
        <v>3014</v>
      </c>
      <c r="G517" s="16">
        <v>1.2539885E7</v>
      </c>
      <c r="H517" s="23">
        <v>1.0</v>
      </c>
      <c r="I517" s="23">
        <v>210.0</v>
      </c>
      <c r="J517" s="23">
        <v>210.0</v>
      </c>
      <c r="N517" s="23">
        <v>0.0</v>
      </c>
      <c r="R517" s="23">
        <v>0.0</v>
      </c>
      <c r="V517" s="23">
        <v>0.0</v>
      </c>
      <c r="Z517" s="23">
        <v>0.0</v>
      </c>
      <c r="AD517" s="23">
        <v>0.0</v>
      </c>
      <c r="AH517" s="23">
        <v>0.0</v>
      </c>
      <c r="AL517" s="23">
        <v>0.0</v>
      </c>
      <c r="AP517" s="23">
        <v>0.0</v>
      </c>
      <c r="AT517" s="23">
        <v>0.0</v>
      </c>
      <c r="AX517" s="23">
        <v>0.0</v>
      </c>
      <c r="BF517" s="23">
        <v>0.0</v>
      </c>
      <c r="BJ517" s="23">
        <v>0.0</v>
      </c>
      <c r="BN517" s="23">
        <v>0.0</v>
      </c>
      <c r="BO517" s="23">
        <v>210.0</v>
      </c>
      <c r="BP517" s="16" t="s">
        <v>3075</v>
      </c>
      <c r="BQ517" s="16" t="b">
        <v>1</v>
      </c>
      <c r="BR517" s="23">
        <v>210.0</v>
      </c>
      <c r="BT517" s="16" t="b">
        <v>0</v>
      </c>
      <c r="BU517" s="16" t="s">
        <v>546</v>
      </c>
    </row>
    <row r="518">
      <c r="A518" s="16" t="s">
        <v>3076</v>
      </c>
      <c r="B518" s="16" t="s">
        <v>35</v>
      </c>
      <c r="C518" s="22">
        <v>45518.0</v>
      </c>
      <c r="D518" s="16" t="s">
        <v>112</v>
      </c>
      <c r="E518" s="16" t="s">
        <v>3077</v>
      </c>
      <c r="F518" s="16" t="s">
        <v>2959</v>
      </c>
      <c r="G518" s="16" t="s">
        <v>226</v>
      </c>
      <c r="H518" s="23">
        <v>10.0</v>
      </c>
      <c r="I518" s="23">
        <v>11.0</v>
      </c>
      <c r="J518" s="23">
        <v>110.0</v>
      </c>
      <c r="K518" s="16" t="s">
        <v>152</v>
      </c>
      <c r="L518" s="23">
        <v>1.0</v>
      </c>
      <c r="M518" s="23">
        <v>7.61</v>
      </c>
      <c r="N518" s="23">
        <v>7.61</v>
      </c>
      <c r="R518" s="23">
        <v>0.0</v>
      </c>
      <c r="V518" s="23">
        <v>0.0</v>
      </c>
      <c r="Z518" s="23">
        <v>0.0</v>
      </c>
      <c r="AD518" s="23">
        <v>0.0</v>
      </c>
      <c r="AH518" s="23">
        <v>0.0</v>
      </c>
      <c r="AL518" s="23">
        <v>0.0</v>
      </c>
      <c r="AP518" s="23">
        <v>0.0</v>
      </c>
      <c r="AT518" s="23">
        <v>0.0</v>
      </c>
      <c r="AX518" s="23">
        <v>0.0</v>
      </c>
      <c r="BF518" s="23">
        <v>0.0</v>
      </c>
      <c r="BJ518" s="23">
        <v>0.0</v>
      </c>
      <c r="BN518" s="23">
        <v>0.0</v>
      </c>
      <c r="BO518" s="23">
        <v>117.61</v>
      </c>
      <c r="BP518" s="16" t="s">
        <v>3078</v>
      </c>
      <c r="BQ518" s="16" t="b">
        <v>1</v>
      </c>
      <c r="BR518" s="23">
        <v>117.61</v>
      </c>
      <c r="BT518" s="16" t="b">
        <v>0</v>
      </c>
      <c r="BU518" s="16" t="s">
        <v>546</v>
      </c>
    </row>
    <row r="519">
      <c r="A519" s="16" t="s">
        <v>3080</v>
      </c>
      <c r="B519" s="16" t="s">
        <v>35</v>
      </c>
      <c r="C519" s="22">
        <v>45518.0</v>
      </c>
      <c r="D519" s="16" t="s">
        <v>2613</v>
      </c>
      <c r="E519" s="16" t="s">
        <v>3081</v>
      </c>
      <c r="F519" s="16" t="s">
        <v>3083</v>
      </c>
      <c r="G519" s="16" t="s">
        <v>243</v>
      </c>
      <c r="H519" s="23">
        <v>1.0</v>
      </c>
      <c r="I519" s="23">
        <v>129.6</v>
      </c>
      <c r="J519" s="23">
        <v>129.6</v>
      </c>
      <c r="N519" s="23">
        <v>0.0</v>
      </c>
      <c r="R519" s="23">
        <v>0.0</v>
      </c>
      <c r="V519" s="23">
        <v>0.0</v>
      </c>
      <c r="Z519" s="23">
        <v>0.0</v>
      </c>
      <c r="AD519" s="23">
        <v>0.0</v>
      </c>
      <c r="AH519" s="23">
        <v>0.0</v>
      </c>
      <c r="AL519" s="23">
        <v>0.0</v>
      </c>
      <c r="AP519" s="23">
        <v>0.0</v>
      </c>
      <c r="AT519" s="23">
        <v>0.0</v>
      </c>
      <c r="AX519" s="23">
        <v>0.0</v>
      </c>
      <c r="BF519" s="23">
        <v>0.0</v>
      </c>
      <c r="BJ519" s="23">
        <v>0.0</v>
      </c>
      <c r="BN519" s="23">
        <v>0.0</v>
      </c>
      <c r="BO519" s="23">
        <v>129.6</v>
      </c>
      <c r="BP519" s="16" t="s">
        <v>3082</v>
      </c>
      <c r="BQ519" s="16" t="b">
        <v>1</v>
      </c>
      <c r="BR519" s="23">
        <v>129.6</v>
      </c>
      <c r="BS519" s="23">
        <v>1006433.0</v>
      </c>
      <c r="BT519" s="16" t="b">
        <v>1</v>
      </c>
      <c r="BU519" s="16" t="s">
        <v>546</v>
      </c>
    </row>
    <row r="520">
      <c r="A520" s="16" t="s">
        <v>3084</v>
      </c>
      <c r="B520" s="16" t="s">
        <v>35</v>
      </c>
      <c r="C520" s="22">
        <v>45518.0</v>
      </c>
      <c r="F520" s="16" t="s">
        <v>1329</v>
      </c>
      <c r="G520" s="16" t="s">
        <v>1168</v>
      </c>
      <c r="H520" s="16">
        <v>1.0</v>
      </c>
      <c r="I520" s="23">
        <v>250.0</v>
      </c>
      <c r="J520" s="23">
        <v>250.0</v>
      </c>
      <c r="BO520" s="23">
        <v>250.0</v>
      </c>
      <c r="BR520" s="23">
        <v>250.0</v>
      </c>
      <c r="BU520" s="16" t="s">
        <v>539</v>
      </c>
      <c r="BV520" s="16" t="s">
        <v>658</v>
      </c>
      <c r="BW520" s="16"/>
      <c r="BX520" s="16"/>
      <c r="BY520" s="16"/>
    </row>
    <row r="521">
      <c r="A521" s="16" t="s">
        <v>3086</v>
      </c>
      <c r="B521" s="16" t="s">
        <v>35</v>
      </c>
      <c r="C521" s="22">
        <v>45518.0</v>
      </c>
      <c r="F521" s="16" t="s">
        <v>1329</v>
      </c>
      <c r="G521" s="16" t="s">
        <v>1168</v>
      </c>
      <c r="H521" s="16">
        <v>1.0</v>
      </c>
      <c r="I521" s="23">
        <v>400.0</v>
      </c>
      <c r="J521" s="23">
        <v>400.0</v>
      </c>
      <c r="BO521" s="23">
        <v>400.0</v>
      </c>
      <c r="BR521" s="23">
        <v>400.0</v>
      </c>
      <c r="BU521" s="16" t="s">
        <v>539</v>
      </c>
      <c r="BV521" s="16" t="s">
        <v>2713</v>
      </c>
      <c r="BW521" s="16"/>
      <c r="BX521" s="16"/>
      <c r="BY521" s="16"/>
    </row>
    <row r="522">
      <c r="A522" s="16" t="s">
        <v>3088</v>
      </c>
      <c r="B522" s="16" t="s">
        <v>35</v>
      </c>
      <c r="C522" s="22">
        <v>45519.0</v>
      </c>
      <c r="D522" s="16" t="s">
        <v>2248</v>
      </c>
      <c r="F522" s="16" t="s">
        <v>2549</v>
      </c>
      <c r="G522" s="16" t="s">
        <v>3218</v>
      </c>
      <c r="H522" s="16">
        <v>1.0</v>
      </c>
      <c r="I522" s="23">
        <v>355.52</v>
      </c>
      <c r="J522" s="23">
        <v>355.52</v>
      </c>
      <c r="BO522" s="23">
        <v>355.52</v>
      </c>
      <c r="BR522" s="23">
        <v>355.52</v>
      </c>
      <c r="BU522" s="16" t="s">
        <v>539</v>
      </c>
    </row>
    <row r="523">
      <c r="A523" s="16" t="s">
        <v>3091</v>
      </c>
      <c r="B523" s="16" t="s">
        <v>35</v>
      </c>
      <c r="C523" s="22">
        <v>45519.0</v>
      </c>
      <c r="F523" s="16" t="s">
        <v>2770</v>
      </c>
      <c r="G523" s="16" t="s">
        <v>1168</v>
      </c>
      <c r="H523" s="16">
        <v>1.0</v>
      </c>
      <c r="I523" s="23">
        <v>430.0</v>
      </c>
      <c r="J523" s="23">
        <v>430.0</v>
      </c>
      <c r="BO523" s="23">
        <v>430.0</v>
      </c>
      <c r="BR523" s="23">
        <v>430.0</v>
      </c>
      <c r="BU523" s="16" t="s">
        <v>539</v>
      </c>
      <c r="BV523" s="16" t="s">
        <v>624</v>
      </c>
      <c r="BW523" s="16"/>
      <c r="BX523" s="16"/>
      <c r="BY523" s="16"/>
    </row>
    <row r="524">
      <c r="A524" s="16" t="s">
        <v>3093</v>
      </c>
      <c r="B524" s="16" t="s">
        <v>35</v>
      </c>
      <c r="C524" s="22">
        <v>45520.0</v>
      </c>
      <c r="F524" s="16" t="s">
        <v>3095</v>
      </c>
      <c r="G524" s="16" t="s">
        <v>1054</v>
      </c>
      <c r="H524" s="16">
        <v>1.0</v>
      </c>
      <c r="I524" s="23">
        <v>5313.65</v>
      </c>
      <c r="J524" s="23">
        <v>5313.65</v>
      </c>
      <c r="BO524" s="23">
        <v>5313.65</v>
      </c>
      <c r="BR524" s="23">
        <v>5313.65</v>
      </c>
      <c r="BU524" s="16" t="s">
        <v>539</v>
      </c>
      <c r="BV524" s="16" t="s">
        <v>664</v>
      </c>
      <c r="BW524" s="16"/>
      <c r="BX524" s="16"/>
      <c r="BY524" s="16"/>
    </row>
    <row r="525">
      <c r="A525" s="16" t="s">
        <v>3097</v>
      </c>
      <c r="B525" s="16" t="s">
        <v>35</v>
      </c>
      <c r="C525" s="22">
        <v>45520.0</v>
      </c>
      <c r="D525" s="16" t="s">
        <v>543</v>
      </c>
      <c r="E525" s="16" t="s">
        <v>3098</v>
      </c>
      <c r="F525" s="16" t="s">
        <v>3014</v>
      </c>
      <c r="G525" s="16">
        <v>1.2539885E7</v>
      </c>
      <c r="H525" s="23">
        <v>1.0</v>
      </c>
      <c r="I525" s="23">
        <v>390.0</v>
      </c>
      <c r="J525" s="23">
        <v>390.0</v>
      </c>
      <c r="N525" s="23">
        <v>0.0</v>
      </c>
      <c r="R525" s="23">
        <v>0.0</v>
      </c>
      <c r="V525" s="23">
        <v>0.0</v>
      </c>
      <c r="Z525" s="23">
        <v>0.0</v>
      </c>
      <c r="AD525" s="23">
        <v>0.0</v>
      </c>
      <c r="AH525" s="23">
        <v>0.0</v>
      </c>
      <c r="AL525" s="23">
        <v>0.0</v>
      </c>
      <c r="AP525" s="23">
        <v>0.0</v>
      </c>
      <c r="AT525" s="23">
        <v>0.0</v>
      </c>
      <c r="AX525" s="23">
        <v>0.0</v>
      </c>
      <c r="BF525" s="23">
        <v>0.0</v>
      </c>
      <c r="BJ525" s="23">
        <v>0.0</v>
      </c>
      <c r="BN525" s="23">
        <v>0.0</v>
      </c>
      <c r="BO525" s="23">
        <v>390.0</v>
      </c>
      <c r="BP525" s="16" t="s">
        <v>3099</v>
      </c>
      <c r="BQ525" s="16" t="b">
        <v>1</v>
      </c>
      <c r="BR525" s="23">
        <v>390.0</v>
      </c>
      <c r="BT525" s="16" t="b">
        <v>0</v>
      </c>
      <c r="BU525" s="16" t="s">
        <v>546</v>
      </c>
    </row>
    <row r="526">
      <c r="A526" s="16" t="s">
        <v>3101</v>
      </c>
      <c r="B526" s="16" t="s">
        <v>35</v>
      </c>
      <c r="C526" s="22">
        <v>45520.0</v>
      </c>
      <c r="D526" s="16" t="s">
        <v>112</v>
      </c>
      <c r="E526" s="16" t="s">
        <v>3102</v>
      </c>
      <c r="F526" s="16" t="s">
        <v>2959</v>
      </c>
      <c r="G526" s="16" t="s">
        <v>159</v>
      </c>
      <c r="H526" s="23">
        <v>1.0</v>
      </c>
      <c r="I526" s="23">
        <v>52.5</v>
      </c>
      <c r="J526" s="23">
        <v>52.5</v>
      </c>
      <c r="K526" s="16" t="s">
        <v>155</v>
      </c>
      <c r="L526" s="23">
        <v>1.0</v>
      </c>
      <c r="M526" s="23">
        <v>79.94</v>
      </c>
      <c r="N526" s="23">
        <v>79.94</v>
      </c>
      <c r="O526" s="16" t="s">
        <v>152</v>
      </c>
      <c r="P526" s="23">
        <v>1.0</v>
      </c>
      <c r="Q526" s="23">
        <v>5.6</v>
      </c>
      <c r="R526" s="23">
        <v>5.6</v>
      </c>
      <c r="S526" s="16" t="s">
        <v>226</v>
      </c>
      <c r="T526" s="23">
        <v>1.0</v>
      </c>
      <c r="U526" s="23">
        <v>95.0</v>
      </c>
      <c r="V526" s="23">
        <v>95.0</v>
      </c>
      <c r="Z526" s="23">
        <v>0.0</v>
      </c>
      <c r="AD526" s="23">
        <v>0.0</v>
      </c>
      <c r="AH526" s="23">
        <v>0.0</v>
      </c>
      <c r="AL526" s="23">
        <v>0.0</v>
      </c>
      <c r="AP526" s="23">
        <v>0.0</v>
      </c>
      <c r="AT526" s="23">
        <v>0.0</v>
      </c>
      <c r="AX526" s="23">
        <v>0.0</v>
      </c>
      <c r="BF526" s="23">
        <v>0.0</v>
      </c>
      <c r="BJ526" s="23">
        <v>0.0</v>
      </c>
      <c r="BN526" s="23">
        <v>0.0</v>
      </c>
      <c r="BO526" s="23">
        <v>233.04</v>
      </c>
      <c r="BP526" s="16" t="s">
        <v>3104</v>
      </c>
      <c r="BQ526" s="16" t="b">
        <v>1</v>
      </c>
      <c r="BR526" s="23">
        <v>233.04</v>
      </c>
      <c r="BT526" s="16" t="b">
        <v>0</v>
      </c>
      <c r="BU526" s="16" t="s">
        <v>546</v>
      </c>
    </row>
    <row r="527">
      <c r="A527" s="16" t="s">
        <v>3105</v>
      </c>
      <c r="B527" s="16" t="s">
        <v>35</v>
      </c>
      <c r="C527" s="22">
        <v>45520.0</v>
      </c>
      <c r="D527" s="16" t="s">
        <v>233</v>
      </c>
      <c r="E527" s="16" t="s">
        <v>3107</v>
      </c>
      <c r="F527" s="16" t="s">
        <v>3109</v>
      </c>
      <c r="G527" s="16" t="s">
        <v>2208</v>
      </c>
      <c r="H527" s="23">
        <v>6.0</v>
      </c>
      <c r="I527" s="23">
        <v>4.49</v>
      </c>
      <c r="J527" s="23">
        <v>26.94</v>
      </c>
      <c r="K527" s="16" t="s">
        <v>249</v>
      </c>
      <c r="L527" s="23">
        <v>7.0</v>
      </c>
      <c r="M527" s="23">
        <v>10.9</v>
      </c>
      <c r="N527" s="23">
        <v>76.3</v>
      </c>
      <c r="O527" s="16" t="s">
        <v>305</v>
      </c>
      <c r="P527" s="23">
        <v>1.0</v>
      </c>
      <c r="Q527" s="23">
        <v>133.11</v>
      </c>
      <c r="R527" s="23">
        <v>133.11</v>
      </c>
      <c r="V527" s="23">
        <v>0.0</v>
      </c>
      <c r="Z527" s="23">
        <v>0.0</v>
      </c>
      <c r="AD527" s="23">
        <v>0.0</v>
      </c>
      <c r="AH527" s="23">
        <v>0.0</v>
      </c>
      <c r="AL527" s="23">
        <v>0.0</v>
      </c>
      <c r="AP527" s="23">
        <v>0.0</v>
      </c>
      <c r="AT527" s="23">
        <v>0.0</v>
      </c>
      <c r="AX527" s="23">
        <v>0.0</v>
      </c>
      <c r="BF527" s="23">
        <v>0.0</v>
      </c>
      <c r="BJ527" s="23">
        <v>0.0</v>
      </c>
      <c r="BN527" s="23">
        <v>0.0</v>
      </c>
      <c r="BO527" s="23">
        <v>236.35</v>
      </c>
      <c r="BP527" s="16" t="s">
        <v>3108</v>
      </c>
      <c r="BQ527" s="16" t="b">
        <v>1</v>
      </c>
      <c r="BR527" s="23">
        <v>236.35</v>
      </c>
      <c r="BS527" s="23">
        <v>1009090.0</v>
      </c>
      <c r="BT527" s="16" t="b">
        <v>1</v>
      </c>
      <c r="BU527" s="16" t="s">
        <v>546</v>
      </c>
    </row>
    <row r="528">
      <c r="A528" s="16" t="s">
        <v>3111</v>
      </c>
      <c r="B528" s="16" t="s">
        <v>35</v>
      </c>
      <c r="C528" s="22">
        <v>45520.0</v>
      </c>
      <c r="D528" s="16" t="s">
        <v>1129</v>
      </c>
      <c r="E528" s="16" t="s">
        <v>3112</v>
      </c>
      <c r="F528" s="16" t="s">
        <v>3115</v>
      </c>
      <c r="G528" s="16" t="s">
        <v>1121</v>
      </c>
      <c r="H528" s="23">
        <v>1.0</v>
      </c>
      <c r="I528" s="23">
        <v>60.0</v>
      </c>
      <c r="J528" s="23">
        <v>60.0</v>
      </c>
      <c r="N528" s="23">
        <v>0.0</v>
      </c>
      <c r="R528" s="23">
        <v>0.0</v>
      </c>
      <c r="V528" s="23">
        <v>0.0</v>
      </c>
      <c r="Z528" s="23">
        <v>0.0</v>
      </c>
      <c r="AD528" s="23">
        <v>0.0</v>
      </c>
      <c r="AH528" s="23">
        <v>0.0</v>
      </c>
      <c r="AL528" s="23">
        <v>0.0</v>
      </c>
      <c r="AP528" s="23">
        <v>0.0</v>
      </c>
      <c r="AT528" s="23">
        <v>0.0</v>
      </c>
      <c r="AX528" s="23">
        <v>0.0</v>
      </c>
      <c r="BF528" s="23">
        <v>0.0</v>
      </c>
      <c r="BJ528" s="23">
        <v>0.0</v>
      </c>
      <c r="BN528" s="23">
        <v>0.0</v>
      </c>
      <c r="BO528" s="23">
        <v>60.0</v>
      </c>
      <c r="BP528" s="16" t="s">
        <v>3113</v>
      </c>
      <c r="BQ528" s="16" t="b">
        <v>1</v>
      </c>
      <c r="BR528" s="23">
        <v>60.0</v>
      </c>
      <c r="BS528" s="23">
        <v>1008758.0</v>
      </c>
      <c r="BT528" s="16" t="b">
        <v>1</v>
      </c>
      <c r="BU528" s="16" t="s">
        <v>546</v>
      </c>
    </row>
    <row r="529">
      <c r="A529" s="16" t="s">
        <v>3116</v>
      </c>
      <c r="B529" s="16" t="s">
        <v>35</v>
      </c>
      <c r="C529" s="22">
        <v>45520.0</v>
      </c>
      <c r="D529" s="16" t="s">
        <v>286</v>
      </c>
      <c r="E529" s="16" t="s">
        <v>3118</v>
      </c>
      <c r="F529" s="16" t="s">
        <v>3120</v>
      </c>
      <c r="G529" s="16" t="s">
        <v>1904</v>
      </c>
      <c r="H529" s="23">
        <v>1.0</v>
      </c>
      <c r="I529" s="23">
        <v>2.0</v>
      </c>
      <c r="J529" s="23">
        <v>2.0</v>
      </c>
      <c r="N529" s="23">
        <v>0.0</v>
      </c>
      <c r="R529" s="23">
        <v>0.0</v>
      </c>
      <c r="V529" s="23">
        <v>0.0</v>
      </c>
      <c r="Z529" s="23">
        <v>0.0</v>
      </c>
      <c r="AD529" s="23">
        <v>0.0</v>
      </c>
      <c r="AH529" s="23">
        <v>0.0</v>
      </c>
      <c r="AL529" s="23">
        <v>0.0</v>
      </c>
      <c r="AP529" s="23">
        <v>0.0</v>
      </c>
      <c r="AT529" s="23">
        <v>0.0</v>
      </c>
      <c r="AX529" s="23">
        <v>0.0</v>
      </c>
      <c r="BF529" s="23">
        <v>0.0</v>
      </c>
      <c r="BJ529" s="23">
        <v>0.0</v>
      </c>
      <c r="BN529" s="23">
        <v>0.0</v>
      </c>
      <c r="BO529" s="23">
        <v>2.0</v>
      </c>
      <c r="BP529" s="16" t="s">
        <v>3119</v>
      </c>
      <c r="BQ529" s="16" t="b">
        <v>1</v>
      </c>
      <c r="BR529" s="23">
        <v>2.0</v>
      </c>
      <c r="BS529" s="23">
        <v>1008704.0</v>
      </c>
      <c r="BT529" s="16" t="b">
        <v>1</v>
      </c>
      <c r="BU529" s="16" t="s">
        <v>546</v>
      </c>
    </row>
    <row r="530">
      <c r="A530" s="16" t="s">
        <v>3123</v>
      </c>
      <c r="B530" s="16" t="s">
        <v>35</v>
      </c>
      <c r="C530" s="22">
        <v>45521.0</v>
      </c>
      <c r="D530" s="16" t="s">
        <v>543</v>
      </c>
      <c r="E530" s="16" t="s">
        <v>3124</v>
      </c>
      <c r="F530" s="16" t="s">
        <v>3014</v>
      </c>
      <c r="G530" s="16">
        <v>1.2539885E7</v>
      </c>
      <c r="H530" s="23">
        <v>1.0</v>
      </c>
      <c r="I530" s="23">
        <v>540.0</v>
      </c>
      <c r="J530" s="23">
        <v>540.0</v>
      </c>
      <c r="N530" s="23">
        <v>0.0</v>
      </c>
      <c r="R530" s="23">
        <v>0.0</v>
      </c>
      <c r="V530" s="23">
        <v>0.0</v>
      </c>
      <c r="Z530" s="23">
        <v>0.0</v>
      </c>
      <c r="AD530" s="23">
        <v>0.0</v>
      </c>
      <c r="AH530" s="23">
        <v>0.0</v>
      </c>
      <c r="AL530" s="23">
        <v>0.0</v>
      </c>
      <c r="AP530" s="23">
        <v>0.0</v>
      </c>
      <c r="AT530" s="23">
        <v>0.0</v>
      </c>
      <c r="AX530" s="23">
        <v>0.0</v>
      </c>
      <c r="BF530" s="23">
        <v>0.0</v>
      </c>
      <c r="BJ530" s="23">
        <v>0.0</v>
      </c>
      <c r="BN530" s="23">
        <v>0.0</v>
      </c>
      <c r="BO530" s="23">
        <v>540.0</v>
      </c>
      <c r="BP530" s="16" t="s">
        <v>3125</v>
      </c>
      <c r="BQ530" s="16" t="b">
        <v>1</v>
      </c>
      <c r="BR530" s="23">
        <v>540.0</v>
      </c>
      <c r="BT530" s="16" t="b">
        <v>0</v>
      </c>
      <c r="BU530" s="16" t="s">
        <v>546</v>
      </c>
    </row>
    <row r="531">
      <c r="A531" s="16" t="s">
        <v>3127</v>
      </c>
      <c r="B531" s="16" t="s">
        <v>35</v>
      </c>
      <c r="C531" s="22">
        <v>45521.0</v>
      </c>
      <c r="D531" s="16" t="s">
        <v>112</v>
      </c>
      <c r="E531" s="16" t="s">
        <v>3128</v>
      </c>
      <c r="F531" s="16" t="s">
        <v>2959</v>
      </c>
      <c r="G531" s="16" t="s">
        <v>159</v>
      </c>
      <c r="H531" s="23">
        <v>1.0</v>
      </c>
      <c r="I531" s="23">
        <v>202.5</v>
      </c>
      <c r="J531" s="23">
        <v>202.5</v>
      </c>
      <c r="K531" s="16" t="s">
        <v>155</v>
      </c>
      <c r="L531" s="23">
        <v>1.0</v>
      </c>
      <c r="M531" s="23">
        <v>72.23</v>
      </c>
      <c r="N531" s="23">
        <v>72.23</v>
      </c>
      <c r="O531" s="16" t="s">
        <v>152</v>
      </c>
      <c r="P531" s="23">
        <v>1.0</v>
      </c>
      <c r="Q531" s="23">
        <v>7.92</v>
      </c>
      <c r="R531" s="23">
        <v>7.92</v>
      </c>
      <c r="V531" s="23">
        <v>0.0</v>
      </c>
      <c r="Z531" s="23">
        <v>0.0</v>
      </c>
      <c r="AD531" s="23">
        <v>0.0</v>
      </c>
      <c r="AH531" s="23">
        <v>0.0</v>
      </c>
      <c r="AL531" s="23">
        <v>0.0</v>
      </c>
      <c r="AP531" s="23">
        <v>0.0</v>
      </c>
      <c r="AT531" s="23">
        <v>0.0</v>
      </c>
      <c r="AX531" s="23">
        <v>0.0</v>
      </c>
      <c r="BF531" s="23">
        <v>0.0</v>
      </c>
      <c r="BJ531" s="23">
        <v>0.0</v>
      </c>
      <c r="BN531" s="23">
        <v>0.0</v>
      </c>
      <c r="BO531" s="23">
        <v>282.65</v>
      </c>
      <c r="BP531" s="16" t="s">
        <v>3129</v>
      </c>
      <c r="BQ531" s="16" t="b">
        <v>1</v>
      </c>
      <c r="BR531" s="23">
        <v>282.65</v>
      </c>
      <c r="BT531" s="16" t="b">
        <v>0</v>
      </c>
      <c r="BU531" s="16" t="s">
        <v>546</v>
      </c>
    </row>
    <row r="532">
      <c r="A532" s="16" t="s">
        <v>3132</v>
      </c>
      <c r="B532" s="16" t="s">
        <v>35</v>
      </c>
      <c r="C532" s="22">
        <v>45526.0</v>
      </c>
      <c r="D532" s="16" t="s">
        <v>890</v>
      </c>
      <c r="F532" s="16" t="s">
        <v>3134</v>
      </c>
      <c r="G532" s="16" t="s">
        <v>3833</v>
      </c>
      <c r="H532" s="16">
        <v>1.0</v>
      </c>
      <c r="I532" s="23">
        <v>18.76</v>
      </c>
      <c r="J532" s="23">
        <v>18.76</v>
      </c>
      <c r="BO532" s="23">
        <v>18.76</v>
      </c>
      <c r="BR532" s="23">
        <v>18.76</v>
      </c>
      <c r="BU532" s="16" t="s">
        <v>539</v>
      </c>
    </row>
    <row r="533">
      <c r="A533" s="16" t="s">
        <v>3136</v>
      </c>
      <c r="B533" s="16" t="s">
        <v>35</v>
      </c>
      <c r="C533" s="22">
        <v>45523.0</v>
      </c>
      <c r="D533" s="16" t="s">
        <v>353</v>
      </c>
      <c r="E533" s="16" t="s">
        <v>3137</v>
      </c>
      <c r="F533" s="16" t="s">
        <v>3140</v>
      </c>
      <c r="G533" s="16" t="s">
        <v>2351</v>
      </c>
      <c r="H533" s="23">
        <v>1.0</v>
      </c>
      <c r="I533" s="23">
        <v>126.26</v>
      </c>
      <c r="J533" s="23">
        <v>126.26</v>
      </c>
      <c r="K533" s="16" t="s">
        <v>4406</v>
      </c>
      <c r="L533" s="23">
        <v>1.0</v>
      </c>
      <c r="M533" s="23">
        <v>389.97</v>
      </c>
      <c r="N533" s="23">
        <v>389.97</v>
      </c>
      <c r="R533" s="23">
        <v>0.0</v>
      </c>
      <c r="V533" s="23">
        <v>0.0</v>
      </c>
      <c r="Z533" s="23">
        <v>0.0</v>
      </c>
      <c r="AD533" s="23">
        <v>0.0</v>
      </c>
      <c r="AH533" s="23">
        <v>0.0</v>
      </c>
      <c r="AL533" s="23">
        <v>0.0</v>
      </c>
      <c r="AP533" s="23">
        <v>0.0</v>
      </c>
      <c r="AT533" s="23">
        <v>0.0</v>
      </c>
      <c r="AX533" s="23">
        <v>0.0</v>
      </c>
      <c r="BF533" s="23">
        <v>0.0</v>
      </c>
      <c r="BJ533" s="23">
        <v>0.0</v>
      </c>
      <c r="BN533" s="23">
        <v>0.0</v>
      </c>
      <c r="BO533" s="23">
        <v>516.23</v>
      </c>
      <c r="BP533" s="16" t="s">
        <v>3139</v>
      </c>
      <c r="BQ533" s="16" t="b">
        <v>1</v>
      </c>
      <c r="BR533" s="23">
        <v>516.23</v>
      </c>
      <c r="BT533" s="16" t="b">
        <v>0</v>
      </c>
      <c r="BU533" s="16" t="s">
        <v>546</v>
      </c>
    </row>
    <row r="534">
      <c r="A534" s="16" t="s">
        <v>3142</v>
      </c>
      <c r="B534" s="16" t="s">
        <v>35</v>
      </c>
      <c r="C534" s="22">
        <v>45523.0</v>
      </c>
      <c r="D534" s="16" t="s">
        <v>112</v>
      </c>
      <c r="E534" s="16" t="s">
        <v>3144</v>
      </c>
      <c r="F534" s="16" t="s">
        <v>45</v>
      </c>
      <c r="G534" s="16" t="s">
        <v>152</v>
      </c>
      <c r="H534" s="23">
        <v>1.0</v>
      </c>
      <c r="I534" s="23">
        <v>4.0</v>
      </c>
      <c r="J534" s="23">
        <v>4.0</v>
      </c>
      <c r="K534" s="16" t="s">
        <v>230</v>
      </c>
      <c r="L534" s="23">
        <v>1.0</v>
      </c>
      <c r="M534" s="23">
        <v>115.0</v>
      </c>
      <c r="N534" s="23">
        <v>115.0</v>
      </c>
      <c r="O534" s="16" t="s">
        <v>159</v>
      </c>
      <c r="P534" s="23">
        <v>1.0</v>
      </c>
      <c r="Q534" s="23">
        <v>135.0</v>
      </c>
      <c r="R534" s="23">
        <v>135.0</v>
      </c>
      <c r="V534" s="23">
        <v>0.0</v>
      </c>
      <c r="Z534" s="23">
        <v>0.0</v>
      </c>
      <c r="AD534" s="23">
        <v>0.0</v>
      </c>
      <c r="AH534" s="23">
        <v>0.0</v>
      </c>
      <c r="AL534" s="23">
        <v>0.0</v>
      </c>
      <c r="AP534" s="23">
        <v>0.0</v>
      </c>
      <c r="AT534" s="23">
        <v>0.0</v>
      </c>
      <c r="AX534" s="23">
        <v>0.0</v>
      </c>
      <c r="BF534" s="23">
        <v>0.0</v>
      </c>
      <c r="BJ534" s="23">
        <v>0.0</v>
      </c>
      <c r="BN534" s="23">
        <v>0.0</v>
      </c>
      <c r="BO534" s="23">
        <v>254.0</v>
      </c>
      <c r="BP534" s="16" t="s">
        <v>3145</v>
      </c>
      <c r="BQ534" s="16" t="b">
        <v>1</v>
      </c>
      <c r="BR534" s="23">
        <v>254.0</v>
      </c>
      <c r="BT534" s="16" t="b">
        <v>0</v>
      </c>
      <c r="BU534" s="16" t="s">
        <v>546</v>
      </c>
    </row>
    <row r="535">
      <c r="A535" s="16" t="s">
        <v>3148</v>
      </c>
      <c r="B535" s="16" t="s">
        <v>35</v>
      </c>
      <c r="C535" s="22">
        <v>45523.0</v>
      </c>
      <c r="D535" s="16" t="s">
        <v>890</v>
      </c>
      <c r="E535" s="16" t="s">
        <v>3149</v>
      </c>
      <c r="F535" s="16" t="s">
        <v>1177</v>
      </c>
      <c r="G535" s="16" t="s">
        <v>1510</v>
      </c>
      <c r="H535" s="23">
        <v>1.0</v>
      </c>
      <c r="I535" s="23">
        <v>21811.15</v>
      </c>
      <c r="J535" s="23">
        <v>21811.15</v>
      </c>
      <c r="N535" s="23">
        <v>0.0</v>
      </c>
      <c r="R535" s="23">
        <v>0.0</v>
      </c>
      <c r="V535" s="23">
        <v>0.0</v>
      </c>
      <c r="Z535" s="23">
        <v>0.0</v>
      </c>
      <c r="AD535" s="23">
        <v>0.0</v>
      </c>
      <c r="AH535" s="23">
        <v>0.0</v>
      </c>
      <c r="AL535" s="23">
        <v>0.0</v>
      </c>
      <c r="AP535" s="23">
        <v>0.0</v>
      </c>
      <c r="AT535" s="23">
        <v>0.0</v>
      </c>
      <c r="AX535" s="23">
        <v>0.0</v>
      </c>
      <c r="BF535" s="23">
        <v>0.0</v>
      </c>
      <c r="BJ535" s="23">
        <v>0.0</v>
      </c>
      <c r="BN535" s="23">
        <v>0.0</v>
      </c>
      <c r="BO535" s="23">
        <v>21811.15</v>
      </c>
      <c r="BP535" s="16" t="s">
        <v>3151</v>
      </c>
      <c r="BQ535" s="16" t="b">
        <v>1</v>
      </c>
      <c r="BR535" s="23">
        <v>21811.15</v>
      </c>
      <c r="BT535" s="16" t="b">
        <v>0</v>
      </c>
      <c r="BU535" s="16" t="s">
        <v>546</v>
      </c>
    </row>
    <row r="536">
      <c r="A536" s="16" t="s">
        <v>3154</v>
      </c>
      <c r="B536" s="16" t="s">
        <v>35</v>
      </c>
      <c r="C536" s="22">
        <v>45523.0</v>
      </c>
      <c r="D536" s="16" t="s">
        <v>3155</v>
      </c>
      <c r="E536" s="16" t="s">
        <v>3156</v>
      </c>
      <c r="F536" s="16" t="s">
        <v>2829</v>
      </c>
      <c r="G536" s="16" t="s">
        <v>1668</v>
      </c>
      <c r="H536" s="23">
        <v>1.0</v>
      </c>
      <c r="I536" s="23">
        <v>114.46</v>
      </c>
      <c r="J536" s="23">
        <v>114.46</v>
      </c>
      <c r="N536" s="23">
        <v>0.0</v>
      </c>
      <c r="R536" s="23">
        <v>0.0</v>
      </c>
      <c r="V536" s="23">
        <v>0.0</v>
      </c>
      <c r="Z536" s="23">
        <v>0.0</v>
      </c>
      <c r="AD536" s="23">
        <v>0.0</v>
      </c>
      <c r="AH536" s="23">
        <v>0.0</v>
      </c>
      <c r="AL536" s="23">
        <v>0.0</v>
      </c>
      <c r="AP536" s="23">
        <v>0.0</v>
      </c>
      <c r="AT536" s="23">
        <v>0.0</v>
      </c>
      <c r="AX536" s="23">
        <v>0.0</v>
      </c>
      <c r="BF536" s="23">
        <v>0.0</v>
      </c>
      <c r="BJ536" s="23">
        <v>0.0</v>
      </c>
      <c r="BN536" s="23">
        <v>0.0</v>
      </c>
      <c r="BO536" s="23">
        <v>114.46</v>
      </c>
      <c r="BP536" s="16" t="s">
        <v>3158</v>
      </c>
      <c r="BQ536" s="16" t="b">
        <v>1</v>
      </c>
      <c r="BR536" s="23">
        <v>114.46</v>
      </c>
      <c r="BT536" s="16" t="b">
        <v>0</v>
      </c>
      <c r="BU536" s="16" t="s">
        <v>546</v>
      </c>
    </row>
    <row r="537">
      <c r="A537" s="16" t="s">
        <v>3160</v>
      </c>
      <c r="B537" s="16" t="s">
        <v>35</v>
      </c>
      <c r="C537" s="22">
        <v>45525.0</v>
      </c>
      <c r="D537" s="16" t="s">
        <v>543</v>
      </c>
      <c r="E537" s="16" t="s">
        <v>3163</v>
      </c>
      <c r="F537" s="16" t="s">
        <v>2921</v>
      </c>
      <c r="G537" s="16">
        <v>1.2539885E7</v>
      </c>
      <c r="H537" s="23">
        <v>1.0</v>
      </c>
      <c r="I537" s="23">
        <v>600.0</v>
      </c>
      <c r="J537" s="23">
        <v>600.0</v>
      </c>
      <c r="N537" s="23">
        <v>0.0</v>
      </c>
      <c r="R537" s="23">
        <v>0.0</v>
      </c>
      <c r="V537" s="23">
        <v>0.0</v>
      </c>
      <c r="Z537" s="23">
        <v>0.0</v>
      </c>
      <c r="AD537" s="23">
        <v>0.0</v>
      </c>
      <c r="AH537" s="23">
        <v>0.0</v>
      </c>
      <c r="AL537" s="23">
        <v>0.0</v>
      </c>
      <c r="AP537" s="23">
        <v>0.0</v>
      </c>
      <c r="AT537" s="23">
        <v>0.0</v>
      </c>
      <c r="AX537" s="23">
        <v>0.0</v>
      </c>
      <c r="BF537" s="23">
        <v>0.0</v>
      </c>
      <c r="BJ537" s="23">
        <v>0.0</v>
      </c>
      <c r="BN537" s="23">
        <v>0.0</v>
      </c>
      <c r="BO537" s="23">
        <v>600.0</v>
      </c>
      <c r="BP537" s="16" t="s">
        <v>3164</v>
      </c>
      <c r="BQ537" s="16" t="b">
        <v>1</v>
      </c>
      <c r="BR537" s="23">
        <v>600.0</v>
      </c>
      <c r="BT537" s="16" t="b">
        <v>0</v>
      </c>
      <c r="BU537" s="16" t="s">
        <v>546</v>
      </c>
    </row>
    <row r="538">
      <c r="A538" s="16" t="s">
        <v>3167</v>
      </c>
      <c r="B538" s="16" t="s">
        <v>35</v>
      </c>
      <c r="C538" s="22">
        <v>45525.0</v>
      </c>
      <c r="D538" s="16" t="s">
        <v>112</v>
      </c>
      <c r="E538" s="16" t="s">
        <v>3168</v>
      </c>
      <c r="F538" s="16" t="s">
        <v>3171</v>
      </c>
      <c r="G538" s="16" t="s">
        <v>159</v>
      </c>
      <c r="H538" s="23">
        <v>1.0</v>
      </c>
      <c r="I538" s="23">
        <v>135.0</v>
      </c>
      <c r="J538" s="23">
        <v>135.0</v>
      </c>
      <c r="K538" s="16" t="s">
        <v>152</v>
      </c>
      <c r="L538" s="23">
        <v>1.0</v>
      </c>
      <c r="M538" s="23">
        <v>5.92</v>
      </c>
      <c r="N538" s="23">
        <v>5.92</v>
      </c>
      <c r="O538" s="16" t="s">
        <v>226</v>
      </c>
      <c r="P538" s="23">
        <v>1.0</v>
      </c>
      <c r="Q538" s="23">
        <v>95.0</v>
      </c>
      <c r="R538" s="23">
        <v>95.0</v>
      </c>
      <c r="V538" s="23">
        <v>0.0</v>
      </c>
      <c r="Z538" s="23">
        <v>0.0</v>
      </c>
      <c r="AD538" s="23">
        <v>0.0</v>
      </c>
      <c r="AH538" s="23">
        <v>0.0</v>
      </c>
      <c r="AL538" s="23">
        <v>0.0</v>
      </c>
      <c r="AP538" s="23">
        <v>0.0</v>
      </c>
      <c r="AT538" s="23">
        <v>0.0</v>
      </c>
      <c r="AX538" s="23">
        <v>0.0</v>
      </c>
      <c r="BF538" s="23">
        <v>0.0</v>
      </c>
      <c r="BJ538" s="23">
        <v>0.0</v>
      </c>
      <c r="BN538" s="23">
        <v>0.0</v>
      </c>
      <c r="BO538" s="23">
        <v>235.92</v>
      </c>
      <c r="BP538" s="16" t="s">
        <v>3169</v>
      </c>
      <c r="BQ538" s="16" t="b">
        <v>1</v>
      </c>
      <c r="BR538" s="23">
        <v>235.92</v>
      </c>
      <c r="BT538" s="16" t="b">
        <v>0</v>
      </c>
      <c r="BU538" s="16" t="s">
        <v>546</v>
      </c>
    </row>
    <row r="539">
      <c r="A539" s="16" t="s">
        <v>3173</v>
      </c>
      <c r="B539" s="16" t="s">
        <v>35</v>
      </c>
      <c r="C539" s="22">
        <v>45523.0</v>
      </c>
      <c r="D539" s="16" t="s">
        <v>890</v>
      </c>
      <c r="E539" s="16" t="s">
        <v>3174</v>
      </c>
      <c r="F539" s="16" t="s">
        <v>1184</v>
      </c>
      <c r="G539" s="16" t="s">
        <v>1517</v>
      </c>
      <c r="H539" s="23">
        <v>1.0</v>
      </c>
      <c r="I539" s="23">
        <v>9662.23</v>
      </c>
      <c r="J539" s="23">
        <v>9662.23</v>
      </c>
      <c r="N539" s="23">
        <v>0.0</v>
      </c>
      <c r="R539" s="23">
        <v>0.0</v>
      </c>
      <c r="V539" s="23">
        <v>0.0</v>
      </c>
      <c r="Z539" s="23">
        <v>0.0</v>
      </c>
      <c r="AD539" s="23">
        <v>0.0</v>
      </c>
      <c r="AH539" s="23">
        <v>0.0</v>
      </c>
      <c r="AL539" s="23">
        <v>0.0</v>
      </c>
      <c r="AP539" s="23">
        <v>0.0</v>
      </c>
      <c r="AT539" s="23">
        <v>0.0</v>
      </c>
      <c r="AX539" s="23">
        <v>0.0</v>
      </c>
      <c r="BF539" s="23">
        <v>0.0</v>
      </c>
      <c r="BJ539" s="23">
        <v>0.0</v>
      </c>
      <c r="BN539" s="23">
        <v>0.0</v>
      </c>
      <c r="BO539" s="23">
        <v>9662.23</v>
      </c>
      <c r="BP539" s="16" t="s">
        <v>3176</v>
      </c>
      <c r="BQ539" s="16" t="b">
        <v>1</v>
      </c>
      <c r="BR539" s="23">
        <v>9662.23</v>
      </c>
      <c r="BT539" s="16" t="b">
        <v>0</v>
      </c>
      <c r="BU539" s="16" t="s">
        <v>546</v>
      </c>
    </row>
    <row r="540">
      <c r="A540" s="16" t="s">
        <v>3178</v>
      </c>
      <c r="B540" s="16" t="s">
        <v>35</v>
      </c>
      <c r="C540" s="22">
        <v>45525.0</v>
      </c>
      <c r="D540" s="16" t="s">
        <v>286</v>
      </c>
      <c r="E540" s="16" t="s">
        <v>3179</v>
      </c>
      <c r="F540" s="16" t="s">
        <v>3181</v>
      </c>
      <c r="G540" s="16" t="s">
        <v>1904</v>
      </c>
      <c r="H540" s="23">
        <v>1.0</v>
      </c>
      <c r="I540" s="23">
        <v>6.0</v>
      </c>
      <c r="J540" s="23">
        <v>6.0</v>
      </c>
      <c r="N540" s="23">
        <v>0.0</v>
      </c>
      <c r="R540" s="23">
        <v>0.0</v>
      </c>
      <c r="V540" s="23">
        <v>0.0</v>
      </c>
      <c r="Z540" s="23">
        <v>0.0</v>
      </c>
      <c r="AD540" s="23">
        <v>0.0</v>
      </c>
      <c r="AH540" s="23">
        <v>0.0</v>
      </c>
      <c r="AL540" s="23">
        <v>0.0</v>
      </c>
      <c r="AP540" s="23">
        <v>0.0</v>
      </c>
      <c r="AT540" s="23">
        <v>0.0</v>
      </c>
      <c r="AX540" s="23">
        <v>0.0</v>
      </c>
      <c r="BF540" s="23">
        <v>0.0</v>
      </c>
      <c r="BJ540" s="23">
        <v>0.0</v>
      </c>
      <c r="BN540" s="23">
        <v>0.0</v>
      </c>
      <c r="BO540" s="23">
        <v>6.0</v>
      </c>
      <c r="BP540" s="16" t="s">
        <v>3180</v>
      </c>
      <c r="BQ540" s="16" t="b">
        <v>1</v>
      </c>
      <c r="BR540" s="23">
        <v>6.0</v>
      </c>
      <c r="BS540" s="23">
        <v>1017253.0</v>
      </c>
      <c r="BT540" s="16" t="b">
        <v>1</v>
      </c>
      <c r="BU540" s="16" t="s">
        <v>546</v>
      </c>
    </row>
    <row r="541">
      <c r="A541" s="16" t="s">
        <v>3184</v>
      </c>
      <c r="B541" s="16" t="s">
        <v>35</v>
      </c>
      <c r="C541" s="22">
        <v>45525.0</v>
      </c>
      <c r="D541" s="16" t="s">
        <v>2165</v>
      </c>
      <c r="E541" s="16" t="s">
        <v>3186</v>
      </c>
      <c r="F541" s="16" t="s">
        <v>2789</v>
      </c>
      <c r="G541" s="16" t="s">
        <v>249</v>
      </c>
      <c r="H541" s="23">
        <v>1.0</v>
      </c>
      <c r="I541" s="23">
        <v>1401.05</v>
      </c>
      <c r="J541" s="23">
        <v>1401.05</v>
      </c>
      <c r="N541" s="23">
        <v>0.0</v>
      </c>
      <c r="R541" s="23">
        <v>0.0</v>
      </c>
      <c r="V541" s="23">
        <v>0.0</v>
      </c>
      <c r="Z541" s="23">
        <v>0.0</v>
      </c>
      <c r="AD541" s="23">
        <v>0.0</v>
      </c>
      <c r="AH541" s="23">
        <v>0.0</v>
      </c>
      <c r="AL541" s="23">
        <v>0.0</v>
      </c>
      <c r="AP541" s="23">
        <v>0.0</v>
      </c>
      <c r="AT541" s="23">
        <v>0.0</v>
      </c>
      <c r="AX541" s="23">
        <v>0.0</v>
      </c>
      <c r="BF541" s="23">
        <v>0.0</v>
      </c>
      <c r="BJ541" s="23">
        <v>0.0</v>
      </c>
      <c r="BN541" s="23">
        <v>0.0</v>
      </c>
      <c r="BO541" s="23">
        <v>1401.05</v>
      </c>
      <c r="BP541" s="16" t="s">
        <v>3187</v>
      </c>
      <c r="BQ541" s="16" t="b">
        <v>1</v>
      </c>
      <c r="BR541" s="23">
        <v>1401.05</v>
      </c>
      <c r="BS541" s="23">
        <v>1018762.0</v>
      </c>
      <c r="BT541" s="16" t="b">
        <v>1</v>
      </c>
      <c r="BU541" s="16" t="s">
        <v>546</v>
      </c>
    </row>
    <row r="542">
      <c r="A542" s="16" t="s">
        <v>3188</v>
      </c>
      <c r="B542" s="16" t="s">
        <v>35</v>
      </c>
      <c r="C542" s="22">
        <v>45526.0</v>
      </c>
      <c r="D542" s="16" t="s">
        <v>353</v>
      </c>
      <c r="E542" s="16" t="s">
        <v>3189</v>
      </c>
      <c r="F542" s="16" t="s">
        <v>3192</v>
      </c>
      <c r="G542" s="16" t="s">
        <v>2003</v>
      </c>
      <c r="H542" s="23">
        <v>1.0</v>
      </c>
      <c r="I542" s="23">
        <v>636.79</v>
      </c>
      <c r="J542" s="23">
        <v>636.79</v>
      </c>
      <c r="N542" s="23">
        <v>0.0</v>
      </c>
      <c r="R542" s="23">
        <v>0.0</v>
      </c>
      <c r="V542" s="23">
        <v>0.0</v>
      </c>
      <c r="Z542" s="23">
        <v>0.0</v>
      </c>
      <c r="AD542" s="23">
        <v>0.0</v>
      </c>
      <c r="AH542" s="23">
        <v>0.0</v>
      </c>
      <c r="AL542" s="23">
        <v>0.0</v>
      </c>
      <c r="AP542" s="23">
        <v>0.0</v>
      </c>
      <c r="AT542" s="23">
        <v>0.0</v>
      </c>
      <c r="AX542" s="23">
        <v>0.0</v>
      </c>
      <c r="BF542" s="23">
        <v>0.0</v>
      </c>
      <c r="BJ542" s="23">
        <v>0.0</v>
      </c>
      <c r="BN542" s="23">
        <v>0.0</v>
      </c>
      <c r="BO542" s="23">
        <v>636.79</v>
      </c>
      <c r="BP542" s="16" t="s">
        <v>3191</v>
      </c>
      <c r="BQ542" s="16" t="b">
        <v>1</v>
      </c>
      <c r="BR542" s="23">
        <v>636.79</v>
      </c>
      <c r="BT542" s="16" t="b">
        <v>0</v>
      </c>
      <c r="BU542" s="16" t="s">
        <v>546</v>
      </c>
    </row>
    <row r="543">
      <c r="A543" s="16" t="s">
        <v>3194</v>
      </c>
      <c r="B543" s="16" t="s">
        <v>35</v>
      </c>
      <c r="C543" s="22">
        <v>45527.0</v>
      </c>
      <c r="D543" s="23">
        <v>8.627274E7</v>
      </c>
      <c r="E543" s="16" t="s">
        <v>3196</v>
      </c>
      <c r="F543" s="16" t="s">
        <v>3198</v>
      </c>
      <c r="G543" s="16" t="s">
        <v>305</v>
      </c>
      <c r="H543" s="23">
        <v>1.0</v>
      </c>
      <c r="I543" s="23">
        <v>225.27</v>
      </c>
      <c r="J543" s="23">
        <v>225.27</v>
      </c>
      <c r="N543" s="23">
        <v>0.0</v>
      </c>
      <c r="R543" s="23">
        <v>0.0</v>
      </c>
      <c r="V543" s="23">
        <v>0.0</v>
      </c>
      <c r="Z543" s="23">
        <v>0.0</v>
      </c>
      <c r="AD543" s="23">
        <v>0.0</v>
      </c>
      <c r="AH543" s="23">
        <v>0.0</v>
      </c>
      <c r="AL543" s="23">
        <v>0.0</v>
      </c>
      <c r="AP543" s="23">
        <v>0.0</v>
      </c>
      <c r="AT543" s="23">
        <v>0.0</v>
      </c>
      <c r="AX543" s="23">
        <v>0.0</v>
      </c>
      <c r="BF543" s="23">
        <v>0.0</v>
      </c>
      <c r="BJ543" s="23">
        <v>0.0</v>
      </c>
      <c r="BN543" s="23">
        <v>0.0</v>
      </c>
      <c r="BO543" s="23">
        <v>225.27</v>
      </c>
      <c r="BP543" s="16" t="s">
        <v>3197</v>
      </c>
      <c r="BQ543" s="16" t="b">
        <v>1</v>
      </c>
      <c r="BR543" s="23">
        <v>225.27</v>
      </c>
      <c r="BS543" s="23">
        <v>1019559.0</v>
      </c>
      <c r="BT543" s="16" t="b">
        <v>1</v>
      </c>
      <c r="BU543" s="16" t="s">
        <v>546</v>
      </c>
    </row>
    <row r="544">
      <c r="A544" s="16" t="s">
        <v>3200</v>
      </c>
      <c r="B544" s="16" t="s">
        <v>35</v>
      </c>
      <c r="C544" s="22">
        <v>45527.0</v>
      </c>
      <c r="D544" s="16" t="s">
        <v>112</v>
      </c>
      <c r="E544" s="16" t="s">
        <v>3202</v>
      </c>
      <c r="F544" s="16" t="s">
        <v>3072</v>
      </c>
      <c r="G544" s="16" t="s">
        <v>159</v>
      </c>
      <c r="H544" s="23">
        <v>1.0</v>
      </c>
      <c r="I544" s="23">
        <v>162.0</v>
      </c>
      <c r="J544" s="23">
        <v>162.0</v>
      </c>
      <c r="K544" s="16" t="s">
        <v>155</v>
      </c>
      <c r="L544" s="23">
        <v>1.0</v>
      </c>
      <c r="M544" s="23">
        <v>48.06</v>
      </c>
      <c r="N544" s="23">
        <v>48.06</v>
      </c>
      <c r="O544" s="16" t="s">
        <v>230</v>
      </c>
      <c r="P544" s="23">
        <v>1.0</v>
      </c>
      <c r="Q544" s="23">
        <v>139.15</v>
      </c>
      <c r="R544" s="23">
        <v>139.15</v>
      </c>
      <c r="S544" s="16" t="s">
        <v>152</v>
      </c>
      <c r="T544" s="23">
        <v>1.0</v>
      </c>
      <c r="U544" s="23">
        <v>12.0</v>
      </c>
      <c r="V544" s="23">
        <v>12.0</v>
      </c>
      <c r="Z544" s="23">
        <v>0.0</v>
      </c>
      <c r="AD544" s="23">
        <v>0.0</v>
      </c>
      <c r="AH544" s="23">
        <v>0.0</v>
      </c>
      <c r="AL544" s="23">
        <v>0.0</v>
      </c>
      <c r="AP544" s="23">
        <v>0.0</v>
      </c>
      <c r="AT544" s="23">
        <v>0.0</v>
      </c>
      <c r="AX544" s="23">
        <v>0.0</v>
      </c>
      <c r="BF544" s="23">
        <v>0.0</v>
      </c>
      <c r="BJ544" s="23">
        <v>0.0</v>
      </c>
      <c r="BN544" s="23">
        <v>0.0</v>
      </c>
      <c r="BO544" s="23">
        <v>361.21</v>
      </c>
      <c r="BP544" s="16" t="s">
        <v>3203</v>
      </c>
      <c r="BQ544" s="16" t="b">
        <v>1</v>
      </c>
      <c r="BR544" s="23">
        <v>361.21</v>
      </c>
      <c r="BT544" s="16" t="b">
        <v>0</v>
      </c>
      <c r="BU544" s="16" t="s">
        <v>546</v>
      </c>
    </row>
    <row r="545">
      <c r="A545" s="16" t="s">
        <v>3204</v>
      </c>
      <c r="B545" s="16" t="s">
        <v>35</v>
      </c>
      <c r="C545" s="22">
        <v>45527.0</v>
      </c>
      <c r="F545" s="16" t="s">
        <v>3205</v>
      </c>
      <c r="G545" s="16" t="s">
        <v>1054</v>
      </c>
      <c r="H545" s="16">
        <v>1.0</v>
      </c>
      <c r="I545" s="23">
        <v>1482.77</v>
      </c>
      <c r="J545" s="23">
        <v>1482.77</v>
      </c>
      <c r="BO545" s="23">
        <v>1482.77</v>
      </c>
      <c r="BR545" s="23">
        <v>1482.77</v>
      </c>
      <c r="BU545" s="16" t="s">
        <v>539</v>
      </c>
      <c r="BV545" s="16" t="s">
        <v>2713</v>
      </c>
      <c r="BW545" s="16"/>
      <c r="BX545" s="16"/>
      <c r="BY545" s="16"/>
    </row>
    <row r="546">
      <c r="A546" s="16" t="s">
        <v>3207</v>
      </c>
      <c r="B546" s="16" t="s">
        <v>35</v>
      </c>
      <c r="C546" s="22">
        <v>45524.0</v>
      </c>
      <c r="D546" s="23">
        <v>6.8893939E7</v>
      </c>
      <c r="E546" s="16" t="s">
        <v>3208</v>
      </c>
      <c r="F546" s="16" t="s">
        <v>3211</v>
      </c>
      <c r="G546" s="16" t="s">
        <v>1145</v>
      </c>
      <c r="H546" s="23">
        <v>1.0</v>
      </c>
      <c r="I546" s="23">
        <v>113.05</v>
      </c>
      <c r="J546" s="23">
        <v>113.05</v>
      </c>
      <c r="N546" s="23">
        <v>0.0</v>
      </c>
      <c r="R546" s="23">
        <v>0.0</v>
      </c>
      <c r="V546" s="23">
        <v>0.0</v>
      </c>
      <c r="Z546" s="23">
        <v>0.0</v>
      </c>
      <c r="AD546" s="23">
        <v>0.0</v>
      </c>
      <c r="AH546" s="23">
        <v>0.0</v>
      </c>
      <c r="AL546" s="23">
        <v>0.0</v>
      </c>
      <c r="AP546" s="23">
        <v>0.0</v>
      </c>
      <c r="AT546" s="23">
        <v>0.0</v>
      </c>
      <c r="AX546" s="23">
        <v>0.0</v>
      </c>
      <c r="BF546" s="23">
        <v>0.0</v>
      </c>
      <c r="BJ546" s="23">
        <v>0.0</v>
      </c>
      <c r="BN546" s="23">
        <v>0.0</v>
      </c>
      <c r="BO546" s="23">
        <v>113.05</v>
      </c>
      <c r="BP546" s="16" t="s">
        <v>3210</v>
      </c>
      <c r="BQ546" s="16" t="b">
        <v>1</v>
      </c>
      <c r="BR546" s="23">
        <v>113.05</v>
      </c>
      <c r="BT546" s="16" t="b">
        <v>0</v>
      </c>
      <c r="BU546" s="16" t="s">
        <v>546</v>
      </c>
    </row>
    <row r="547">
      <c r="A547" s="16" t="s">
        <v>3212</v>
      </c>
      <c r="B547" s="16" t="s">
        <v>35</v>
      </c>
      <c r="C547" s="22">
        <v>45523.0</v>
      </c>
      <c r="D547" s="16" t="s">
        <v>2644</v>
      </c>
      <c r="E547" s="16" t="s">
        <v>3214</v>
      </c>
      <c r="F547" s="16" t="s">
        <v>767</v>
      </c>
      <c r="G547" s="16" t="s">
        <v>1074</v>
      </c>
      <c r="H547" s="23">
        <v>1.0</v>
      </c>
      <c r="I547" s="23">
        <v>235.0</v>
      </c>
      <c r="J547" s="23">
        <v>235.0</v>
      </c>
      <c r="K547" s="16" t="s">
        <v>1079</v>
      </c>
      <c r="L547" s="23">
        <v>1.0</v>
      </c>
      <c r="M547" s="23">
        <v>235.0</v>
      </c>
      <c r="N547" s="23">
        <v>235.0</v>
      </c>
      <c r="O547" s="16" t="s">
        <v>1080</v>
      </c>
      <c r="P547" s="23">
        <v>1.0</v>
      </c>
      <c r="Q547" s="23">
        <v>235.0</v>
      </c>
      <c r="R547" s="23">
        <v>235.0</v>
      </c>
      <c r="S547" s="16" t="s">
        <v>1081</v>
      </c>
      <c r="T547" s="23">
        <v>1.0</v>
      </c>
      <c r="U547" s="23">
        <v>235.0</v>
      </c>
      <c r="V547" s="23">
        <v>235.0</v>
      </c>
      <c r="Z547" s="23">
        <v>0.0</v>
      </c>
      <c r="AD547" s="23">
        <v>0.0</v>
      </c>
      <c r="AH547" s="23">
        <v>0.0</v>
      </c>
      <c r="AL547" s="23">
        <v>0.0</v>
      </c>
      <c r="AP547" s="23">
        <v>0.0</v>
      </c>
      <c r="AT547" s="23">
        <v>0.0</v>
      </c>
      <c r="AX547" s="23">
        <v>0.0</v>
      </c>
      <c r="BF547" s="23">
        <v>0.0</v>
      </c>
      <c r="BJ547" s="23">
        <v>0.0</v>
      </c>
      <c r="BN547" s="23">
        <v>0.0</v>
      </c>
      <c r="BO547" s="23">
        <v>940.0</v>
      </c>
      <c r="BP547" s="16" t="s">
        <v>3215</v>
      </c>
      <c r="BQ547" s="16" t="b">
        <v>1</v>
      </c>
      <c r="BR547" s="23">
        <v>940.0</v>
      </c>
      <c r="BT547" s="16" t="b">
        <v>0</v>
      </c>
      <c r="BU547" s="16" t="s">
        <v>546</v>
      </c>
    </row>
    <row r="548">
      <c r="A548" s="16" t="s">
        <v>3217</v>
      </c>
      <c r="B548" s="16" t="s">
        <v>35</v>
      </c>
      <c r="C548" s="22">
        <v>45530.0</v>
      </c>
      <c r="D548" s="16" t="s">
        <v>460</v>
      </c>
      <c r="F548" s="16" t="s">
        <v>3220</v>
      </c>
      <c r="G548" s="16" t="s">
        <v>4528</v>
      </c>
      <c r="H548" s="16">
        <v>1.0</v>
      </c>
      <c r="I548" s="23">
        <v>807.0</v>
      </c>
      <c r="J548" s="23">
        <v>807.0</v>
      </c>
      <c r="BO548" s="23">
        <v>807.0</v>
      </c>
      <c r="BR548" s="23">
        <v>807.0</v>
      </c>
      <c r="BU548" s="16" t="s">
        <v>539</v>
      </c>
    </row>
    <row r="549">
      <c r="A549" s="16" t="s">
        <v>3222</v>
      </c>
      <c r="B549" s="16" t="s">
        <v>35</v>
      </c>
      <c r="C549" s="22">
        <v>45530.0</v>
      </c>
      <c r="D549" s="16" t="s">
        <v>460</v>
      </c>
      <c r="F549" s="16" t="s">
        <v>931</v>
      </c>
      <c r="G549" s="16" t="s">
        <v>1126</v>
      </c>
      <c r="H549" s="16">
        <v>1.0</v>
      </c>
      <c r="I549" s="23">
        <v>30.0</v>
      </c>
      <c r="J549" s="23">
        <v>30.0</v>
      </c>
      <c r="BO549" s="23">
        <v>30.0</v>
      </c>
      <c r="BR549" s="23">
        <v>30.0</v>
      </c>
      <c r="BU549" s="16" t="s">
        <v>539</v>
      </c>
    </row>
    <row r="550">
      <c r="A550" s="16" t="s">
        <v>3226</v>
      </c>
      <c r="B550" s="16" t="s">
        <v>35</v>
      </c>
      <c r="C550" s="22">
        <v>45545.0</v>
      </c>
      <c r="D550" s="16" t="s">
        <v>1557</v>
      </c>
      <c r="E550" s="16" t="s">
        <v>3227</v>
      </c>
      <c r="F550" s="16" t="s">
        <v>3230</v>
      </c>
      <c r="G550" s="16" t="s">
        <v>1047</v>
      </c>
      <c r="H550" s="23">
        <v>1.0</v>
      </c>
      <c r="I550" s="23">
        <v>110.0</v>
      </c>
      <c r="J550" s="23">
        <v>110.0</v>
      </c>
      <c r="N550" s="23">
        <v>0.0</v>
      </c>
      <c r="R550" s="23">
        <v>0.0</v>
      </c>
      <c r="V550" s="23">
        <v>0.0</v>
      </c>
      <c r="Z550" s="23">
        <v>0.0</v>
      </c>
      <c r="AD550" s="23">
        <v>0.0</v>
      </c>
      <c r="AH550" s="23">
        <v>0.0</v>
      </c>
      <c r="AL550" s="23">
        <v>0.0</v>
      </c>
      <c r="AP550" s="23">
        <v>0.0</v>
      </c>
      <c r="AT550" s="23">
        <v>0.0</v>
      </c>
      <c r="AX550" s="23">
        <v>0.0</v>
      </c>
      <c r="BF550" s="23">
        <v>0.0</v>
      </c>
      <c r="BJ550" s="23">
        <v>0.0</v>
      </c>
      <c r="BN550" s="23">
        <v>0.0</v>
      </c>
      <c r="BO550" s="23">
        <v>110.0</v>
      </c>
      <c r="BP550" s="16" t="s">
        <v>3229</v>
      </c>
      <c r="BQ550" s="16" t="b">
        <v>1</v>
      </c>
      <c r="BR550" s="23">
        <v>110.0</v>
      </c>
      <c r="BT550" s="16" t="b">
        <v>0</v>
      </c>
      <c r="BU550" s="16" t="s">
        <v>546</v>
      </c>
    </row>
    <row r="551">
      <c r="A551" s="16" t="s">
        <v>3232</v>
      </c>
      <c r="B551" s="16" t="s">
        <v>35</v>
      </c>
      <c r="C551" s="22">
        <v>45526.0</v>
      </c>
      <c r="D551" s="16" t="s">
        <v>193</v>
      </c>
      <c r="E551" s="16" t="s">
        <v>3234</v>
      </c>
      <c r="F551" s="16" t="s">
        <v>767</v>
      </c>
      <c r="G551" s="16" t="s">
        <v>1077</v>
      </c>
      <c r="H551" s="23">
        <v>1.0</v>
      </c>
      <c r="I551" s="23">
        <v>22.9</v>
      </c>
      <c r="J551" s="23">
        <v>22.9</v>
      </c>
      <c r="N551" s="23">
        <v>0.0</v>
      </c>
      <c r="R551" s="23">
        <v>0.0</v>
      </c>
      <c r="V551" s="23">
        <v>0.0</v>
      </c>
      <c r="Z551" s="23">
        <v>0.0</v>
      </c>
      <c r="AD551" s="23">
        <v>0.0</v>
      </c>
      <c r="AH551" s="23">
        <v>0.0</v>
      </c>
      <c r="AL551" s="23">
        <v>0.0</v>
      </c>
      <c r="AP551" s="23">
        <v>0.0</v>
      </c>
      <c r="AT551" s="23">
        <v>0.0</v>
      </c>
      <c r="AX551" s="23">
        <v>0.0</v>
      </c>
      <c r="BF551" s="23">
        <v>0.0</v>
      </c>
      <c r="BJ551" s="23">
        <v>0.0</v>
      </c>
      <c r="BN551" s="23">
        <v>0.0</v>
      </c>
      <c r="BO551" s="23">
        <v>22.9</v>
      </c>
      <c r="BP551" s="16" t="s">
        <v>3235</v>
      </c>
      <c r="BQ551" s="16" t="b">
        <v>1</v>
      </c>
      <c r="BR551" s="23">
        <v>22.9</v>
      </c>
      <c r="BT551" s="16" t="b">
        <v>0</v>
      </c>
      <c r="BU551" s="16" t="s">
        <v>546</v>
      </c>
    </row>
    <row r="552">
      <c r="A552" s="16" t="s">
        <v>3238</v>
      </c>
      <c r="B552" s="16" t="s">
        <v>35</v>
      </c>
      <c r="C552" s="22">
        <v>45526.0</v>
      </c>
      <c r="D552" s="23">
        <v>6.8893939E7</v>
      </c>
      <c r="E552" s="16" t="s">
        <v>3239</v>
      </c>
      <c r="F552" s="16" t="s">
        <v>605</v>
      </c>
      <c r="G552" s="16" t="s">
        <v>1145</v>
      </c>
      <c r="H552" s="23">
        <v>1.0</v>
      </c>
      <c r="I552" s="23">
        <v>2088.66</v>
      </c>
      <c r="J552" s="23">
        <v>2088.66</v>
      </c>
      <c r="N552" s="23">
        <v>0.0</v>
      </c>
      <c r="R552" s="23">
        <v>0.0</v>
      </c>
      <c r="V552" s="23">
        <v>0.0</v>
      </c>
      <c r="Z552" s="23">
        <v>0.0</v>
      </c>
      <c r="AD552" s="23">
        <v>0.0</v>
      </c>
      <c r="AH552" s="23">
        <v>0.0</v>
      </c>
      <c r="AL552" s="23">
        <v>0.0</v>
      </c>
      <c r="AP552" s="23">
        <v>0.0</v>
      </c>
      <c r="AT552" s="23">
        <v>0.0</v>
      </c>
      <c r="AX552" s="23">
        <v>0.0</v>
      </c>
      <c r="BF552" s="23">
        <v>0.0</v>
      </c>
      <c r="BJ552" s="23">
        <v>0.0</v>
      </c>
      <c r="BN552" s="23">
        <v>0.0</v>
      </c>
      <c r="BO552" s="23">
        <v>2088.66</v>
      </c>
      <c r="BP552" s="16" t="s">
        <v>3241</v>
      </c>
      <c r="BQ552" s="16" t="b">
        <v>1</v>
      </c>
      <c r="BR552" s="23">
        <v>2088.66</v>
      </c>
      <c r="BT552" s="16" t="b">
        <v>0</v>
      </c>
      <c r="BU552" s="16" t="s">
        <v>546</v>
      </c>
    </row>
    <row r="553">
      <c r="A553" s="16" t="s">
        <v>3243</v>
      </c>
      <c r="B553" s="16" t="s">
        <v>35</v>
      </c>
      <c r="C553" s="22">
        <v>45533.0</v>
      </c>
      <c r="D553" s="16" t="s">
        <v>112</v>
      </c>
      <c r="E553" s="16" t="s">
        <v>3245</v>
      </c>
      <c r="F553" s="16" t="s">
        <v>2959</v>
      </c>
      <c r="G553" s="16" t="s">
        <v>159</v>
      </c>
      <c r="H553" s="23">
        <v>15.0</v>
      </c>
      <c r="I553" s="23">
        <v>13.5</v>
      </c>
      <c r="J553" s="23">
        <v>202.5</v>
      </c>
      <c r="K553" s="16" t="s">
        <v>155</v>
      </c>
      <c r="L553" s="23">
        <v>1.0</v>
      </c>
      <c r="M553" s="23">
        <v>60.9</v>
      </c>
      <c r="N553" s="23">
        <v>60.9</v>
      </c>
      <c r="O553" s="16" t="s">
        <v>152</v>
      </c>
      <c r="P553" s="23">
        <v>1.0</v>
      </c>
      <c r="Q553" s="23">
        <v>16.88</v>
      </c>
      <c r="R553" s="23">
        <v>16.88</v>
      </c>
      <c r="S553" s="16" t="s">
        <v>226</v>
      </c>
      <c r="T553" s="23">
        <v>15.0</v>
      </c>
      <c r="U553" s="23">
        <v>10.0</v>
      </c>
      <c r="V553" s="23">
        <v>150.0</v>
      </c>
      <c r="Z553" s="23">
        <v>0.0</v>
      </c>
      <c r="AD553" s="23">
        <v>0.0</v>
      </c>
      <c r="AH553" s="23">
        <v>0.0</v>
      </c>
      <c r="AL553" s="23">
        <v>0.0</v>
      </c>
      <c r="AP553" s="23">
        <v>0.0</v>
      </c>
      <c r="AT553" s="23">
        <v>0.0</v>
      </c>
      <c r="AX553" s="23">
        <v>0.0</v>
      </c>
      <c r="BF553" s="23">
        <v>0.0</v>
      </c>
      <c r="BJ553" s="23">
        <v>0.0</v>
      </c>
      <c r="BN553" s="23">
        <v>0.0</v>
      </c>
      <c r="BO553" s="23">
        <v>430.28</v>
      </c>
      <c r="BP553" s="16" t="s">
        <v>3246</v>
      </c>
      <c r="BQ553" s="16" t="b">
        <v>1</v>
      </c>
      <c r="BR553" s="23">
        <v>430.28</v>
      </c>
      <c r="BT553" s="16" t="b">
        <v>0</v>
      </c>
      <c r="BU553" s="16" t="s">
        <v>546</v>
      </c>
    </row>
    <row r="554">
      <c r="A554" s="16" t="s">
        <v>3249</v>
      </c>
      <c r="B554" s="16" t="s">
        <v>35</v>
      </c>
      <c r="C554" s="22">
        <v>45534.0</v>
      </c>
      <c r="D554" s="16" t="s">
        <v>112</v>
      </c>
      <c r="E554" s="16" t="s">
        <v>3250</v>
      </c>
      <c r="F554" s="16" t="s">
        <v>2959</v>
      </c>
      <c r="G554" s="16" t="s">
        <v>159</v>
      </c>
      <c r="H554" s="23">
        <v>1.0</v>
      </c>
      <c r="I554" s="23">
        <v>135.0</v>
      </c>
      <c r="J554" s="23">
        <v>135.0</v>
      </c>
      <c r="K554" s="16" t="s">
        <v>155</v>
      </c>
      <c r="L554" s="23">
        <v>1.0</v>
      </c>
      <c r="M554" s="23">
        <v>43.35</v>
      </c>
      <c r="N554" s="23">
        <v>43.35</v>
      </c>
      <c r="O554" s="16" t="s">
        <v>226</v>
      </c>
      <c r="P554" s="23">
        <v>1.0</v>
      </c>
      <c r="Q554" s="23">
        <v>90.0</v>
      </c>
      <c r="R554" s="23">
        <v>90.0</v>
      </c>
      <c r="V554" s="23">
        <v>0.0</v>
      </c>
      <c r="Z554" s="23">
        <v>0.0</v>
      </c>
      <c r="AD554" s="23">
        <v>0.0</v>
      </c>
      <c r="AH554" s="23">
        <v>0.0</v>
      </c>
      <c r="AL554" s="23">
        <v>0.0</v>
      </c>
      <c r="AP554" s="23">
        <v>0.0</v>
      </c>
      <c r="AT554" s="23">
        <v>0.0</v>
      </c>
      <c r="AX554" s="23">
        <v>0.0</v>
      </c>
      <c r="BF554" s="23">
        <v>0.0</v>
      </c>
      <c r="BJ554" s="23">
        <v>0.0</v>
      </c>
      <c r="BN554" s="23">
        <v>0.0</v>
      </c>
      <c r="BO554" s="23">
        <v>268.35</v>
      </c>
      <c r="BP554" s="16" t="s">
        <v>3251</v>
      </c>
      <c r="BQ554" s="16" t="b">
        <v>1</v>
      </c>
      <c r="BR554" s="23">
        <v>268.35</v>
      </c>
      <c r="BT554" s="16" t="b">
        <v>0</v>
      </c>
      <c r="BU554" s="16" t="s">
        <v>546</v>
      </c>
    </row>
    <row r="555">
      <c r="A555" s="16" t="s">
        <v>3255</v>
      </c>
      <c r="B555" s="16" t="s">
        <v>35</v>
      </c>
      <c r="C555" s="22">
        <v>45534.0</v>
      </c>
      <c r="D555" s="16" t="s">
        <v>543</v>
      </c>
      <c r="E555" s="16" t="s">
        <v>3257</v>
      </c>
      <c r="F555" s="16" t="s">
        <v>2921</v>
      </c>
      <c r="G555" s="16">
        <v>1.2539885E7</v>
      </c>
      <c r="H555" s="23">
        <v>1.0</v>
      </c>
      <c r="I555" s="23">
        <v>450.0</v>
      </c>
      <c r="J555" s="23">
        <v>450.0</v>
      </c>
      <c r="N555" s="23">
        <v>0.0</v>
      </c>
      <c r="R555" s="23">
        <v>0.0</v>
      </c>
      <c r="V555" s="23">
        <v>0.0</v>
      </c>
      <c r="Z555" s="23">
        <v>0.0</v>
      </c>
      <c r="AD555" s="23">
        <v>0.0</v>
      </c>
      <c r="AH555" s="23">
        <v>0.0</v>
      </c>
      <c r="AL555" s="23">
        <v>0.0</v>
      </c>
      <c r="AP555" s="23">
        <v>0.0</v>
      </c>
      <c r="AT555" s="23">
        <v>0.0</v>
      </c>
      <c r="AX555" s="23">
        <v>0.0</v>
      </c>
      <c r="BF555" s="23">
        <v>0.0</v>
      </c>
      <c r="BJ555" s="23">
        <v>0.0</v>
      </c>
      <c r="BN555" s="23">
        <v>0.0</v>
      </c>
      <c r="BO555" s="23">
        <v>450.0</v>
      </c>
      <c r="BP555" s="16" t="s">
        <v>3258</v>
      </c>
      <c r="BQ555" s="16" t="b">
        <v>1</v>
      </c>
      <c r="BR555" s="23">
        <v>450.0</v>
      </c>
      <c r="BT555" s="16" t="b">
        <v>0</v>
      </c>
      <c r="BU555" s="16" t="s">
        <v>546</v>
      </c>
    </row>
    <row r="556">
      <c r="A556" s="16" t="s">
        <v>3261</v>
      </c>
      <c r="B556" s="16" t="s">
        <v>35</v>
      </c>
      <c r="C556" s="22">
        <v>45535.0</v>
      </c>
      <c r="D556" s="16" t="s">
        <v>112</v>
      </c>
      <c r="E556" s="16" t="s">
        <v>3262</v>
      </c>
      <c r="F556" s="16" t="s">
        <v>2959</v>
      </c>
      <c r="G556" s="16" t="s">
        <v>159</v>
      </c>
      <c r="H556" s="23">
        <v>1.0</v>
      </c>
      <c r="I556" s="23">
        <v>156.0</v>
      </c>
      <c r="J556" s="23">
        <v>156.0</v>
      </c>
      <c r="K556" s="16" t="s">
        <v>155</v>
      </c>
      <c r="L556" s="23">
        <v>1.0</v>
      </c>
      <c r="M556" s="23">
        <v>53.84</v>
      </c>
      <c r="N556" s="23">
        <v>53.84</v>
      </c>
      <c r="O556" s="16" t="s">
        <v>152</v>
      </c>
      <c r="P556" s="23">
        <v>1.0</v>
      </c>
      <c r="Q556" s="23">
        <v>16.0</v>
      </c>
      <c r="R556" s="23">
        <v>16.0</v>
      </c>
      <c r="S556" s="16" t="s">
        <v>226</v>
      </c>
      <c r="T556" s="23">
        <v>1.0</v>
      </c>
      <c r="U556" s="23">
        <v>45.0</v>
      </c>
      <c r="V556" s="23">
        <v>45.0</v>
      </c>
      <c r="Z556" s="23">
        <v>0.0</v>
      </c>
      <c r="AD556" s="23">
        <v>0.0</v>
      </c>
      <c r="AH556" s="23">
        <v>0.0</v>
      </c>
      <c r="AL556" s="23">
        <v>0.0</v>
      </c>
      <c r="AP556" s="23">
        <v>0.0</v>
      </c>
      <c r="AT556" s="23">
        <v>0.0</v>
      </c>
      <c r="AX556" s="23">
        <v>0.0</v>
      </c>
      <c r="BF556" s="23">
        <v>0.0</v>
      </c>
      <c r="BJ556" s="23">
        <v>0.0</v>
      </c>
      <c r="BN556" s="23">
        <v>0.0</v>
      </c>
      <c r="BO556" s="23">
        <v>270.84</v>
      </c>
      <c r="BP556" s="16" t="s">
        <v>3264</v>
      </c>
      <c r="BQ556" s="16" t="b">
        <v>1</v>
      </c>
      <c r="BR556" s="23">
        <v>270.84</v>
      </c>
      <c r="BT556" s="16" t="b">
        <v>0</v>
      </c>
      <c r="BU556" s="16" t="s">
        <v>546</v>
      </c>
    </row>
    <row r="557">
      <c r="A557" s="16" t="s">
        <v>3266</v>
      </c>
      <c r="B557" s="16" t="s">
        <v>35</v>
      </c>
      <c r="C557" s="22">
        <v>45537.0</v>
      </c>
      <c r="D557" s="16" t="s">
        <v>543</v>
      </c>
      <c r="E557" s="16" t="s">
        <v>3269</v>
      </c>
      <c r="F557" s="16" t="s">
        <v>2921</v>
      </c>
      <c r="G557" s="16">
        <v>1.2539885E7</v>
      </c>
      <c r="H557" s="23">
        <v>10.0</v>
      </c>
      <c r="I557" s="23">
        <v>30.0</v>
      </c>
      <c r="J557" s="23">
        <v>300.0</v>
      </c>
      <c r="N557" s="23">
        <v>0.0</v>
      </c>
      <c r="R557" s="23">
        <v>0.0</v>
      </c>
      <c r="V557" s="23">
        <v>0.0</v>
      </c>
      <c r="Z557" s="23">
        <v>0.0</v>
      </c>
      <c r="AD557" s="23">
        <v>0.0</v>
      </c>
      <c r="AH557" s="23">
        <v>0.0</v>
      </c>
      <c r="AL557" s="23">
        <v>0.0</v>
      </c>
      <c r="AP557" s="23">
        <v>0.0</v>
      </c>
      <c r="AT557" s="23">
        <v>0.0</v>
      </c>
      <c r="AX557" s="23">
        <v>0.0</v>
      </c>
      <c r="BF557" s="23">
        <v>0.0</v>
      </c>
      <c r="BJ557" s="23">
        <v>0.0</v>
      </c>
      <c r="BN557" s="23">
        <v>0.0</v>
      </c>
      <c r="BO557" s="23">
        <v>300.0</v>
      </c>
      <c r="BP557" s="16" t="s">
        <v>3270</v>
      </c>
      <c r="BQ557" s="16" t="b">
        <v>1</v>
      </c>
      <c r="BR557" s="23">
        <v>300.0</v>
      </c>
      <c r="BT557" s="16" t="b">
        <v>0</v>
      </c>
      <c r="BU557" s="16" t="s">
        <v>546</v>
      </c>
    </row>
    <row r="558">
      <c r="A558" s="16" t="s">
        <v>3272</v>
      </c>
      <c r="B558" s="16" t="s">
        <v>35</v>
      </c>
      <c r="C558" s="22">
        <v>45418.0</v>
      </c>
      <c r="D558" s="16" t="s">
        <v>193</v>
      </c>
      <c r="E558" s="16" t="s">
        <v>3274</v>
      </c>
      <c r="F558" s="16" t="s">
        <v>195</v>
      </c>
      <c r="G558" s="16" t="s">
        <v>335</v>
      </c>
      <c r="H558" s="23">
        <v>2.0</v>
      </c>
      <c r="I558" s="23">
        <v>39.84</v>
      </c>
      <c r="J558" s="23">
        <v>79.68</v>
      </c>
      <c r="K558" s="16" t="s">
        <v>1777</v>
      </c>
      <c r="L558" s="23">
        <v>2.0</v>
      </c>
      <c r="M558" s="23">
        <v>29.88</v>
      </c>
      <c r="N558" s="23">
        <v>59.76</v>
      </c>
      <c r="R558" s="23">
        <v>0.0</v>
      </c>
      <c r="V558" s="23">
        <v>0.0</v>
      </c>
      <c r="Z558" s="23">
        <v>0.0</v>
      </c>
      <c r="AD558" s="23">
        <v>0.0</v>
      </c>
      <c r="AH558" s="23">
        <v>0.0</v>
      </c>
      <c r="AL558" s="23">
        <v>0.0</v>
      </c>
      <c r="AP558" s="23">
        <v>0.0</v>
      </c>
      <c r="AT558" s="23">
        <v>0.0</v>
      </c>
      <c r="AX558" s="23">
        <v>0.0</v>
      </c>
      <c r="BF558" s="23">
        <v>0.0</v>
      </c>
      <c r="BJ558" s="23">
        <v>0.0</v>
      </c>
      <c r="BN558" s="23">
        <v>0.0</v>
      </c>
      <c r="BO558" s="23">
        <v>139.44</v>
      </c>
      <c r="BP558" s="16" t="s">
        <v>3275</v>
      </c>
      <c r="BQ558" s="16" t="b">
        <v>1</v>
      </c>
      <c r="BR558" s="23">
        <v>139.44</v>
      </c>
      <c r="BS558" s="23">
        <v>887544.0</v>
      </c>
      <c r="BT558" s="16" t="b">
        <v>1</v>
      </c>
      <c r="BU558" s="16" t="s">
        <v>546</v>
      </c>
    </row>
    <row r="559">
      <c r="A559" s="16" t="s">
        <v>3278</v>
      </c>
      <c r="B559" s="16" t="s">
        <v>35</v>
      </c>
      <c r="C559" s="22">
        <v>45514.0</v>
      </c>
      <c r="D559" s="16" t="s">
        <v>890</v>
      </c>
      <c r="E559" s="16" t="s">
        <v>3279</v>
      </c>
      <c r="F559" s="16" t="s">
        <v>2894</v>
      </c>
      <c r="G559" s="16" t="s">
        <v>1510</v>
      </c>
      <c r="H559" s="23">
        <v>1.0</v>
      </c>
      <c r="I559" s="23">
        <v>11706.44</v>
      </c>
      <c r="J559" s="23">
        <v>11706.44</v>
      </c>
      <c r="N559" s="23">
        <v>0.0</v>
      </c>
      <c r="R559" s="23">
        <v>0.0</v>
      </c>
      <c r="V559" s="23">
        <v>0.0</v>
      </c>
      <c r="Z559" s="23">
        <v>0.0</v>
      </c>
      <c r="AD559" s="23">
        <v>0.0</v>
      </c>
      <c r="AH559" s="23">
        <v>0.0</v>
      </c>
      <c r="AL559" s="23">
        <v>0.0</v>
      </c>
      <c r="AP559" s="23">
        <v>0.0</v>
      </c>
      <c r="AT559" s="23">
        <v>0.0</v>
      </c>
      <c r="AX559" s="23">
        <v>0.0</v>
      </c>
      <c r="BF559" s="23">
        <v>0.0</v>
      </c>
      <c r="BJ559" s="23">
        <v>0.0</v>
      </c>
      <c r="BN559" s="23">
        <v>0.0</v>
      </c>
      <c r="BO559" s="23">
        <v>11706.44</v>
      </c>
      <c r="BP559" s="16" t="s">
        <v>3281</v>
      </c>
      <c r="BQ559" s="16" t="b">
        <v>1</v>
      </c>
      <c r="BR559" s="23">
        <v>11706.44</v>
      </c>
      <c r="BT559" s="16" t="b">
        <v>0</v>
      </c>
      <c r="BU559" s="16" t="s">
        <v>546</v>
      </c>
    </row>
    <row r="560">
      <c r="A560" s="16" t="s">
        <v>3283</v>
      </c>
      <c r="B560" s="16" t="s">
        <v>35</v>
      </c>
      <c r="C560" s="22">
        <v>45532.0</v>
      </c>
      <c r="D560" s="23">
        <v>6.8893939E7</v>
      </c>
      <c r="E560" s="16" t="s">
        <v>3284</v>
      </c>
      <c r="F560" s="16" t="s">
        <v>772</v>
      </c>
      <c r="G560" s="16" t="s">
        <v>1145</v>
      </c>
      <c r="H560" s="23">
        <v>1.0</v>
      </c>
      <c r="I560" s="23">
        <v>1721.55</v>
      </c>
      <c r="J560" s="23">
        <v>1721.55</v>
      </c>
      <c r="N560" s="23">
        <v>0.0</v>
      </c>
      <c r="R560" s="23">
        <v>0.0</v>
      </c>
      <c r="V560" s="23">
        <v>0.0</v>
      </c>
      <c r="Z560" s="23">
        <v>0.0</v>
      </c>
      <c r="AD560" s="23">
        <v>0.0</v>
      </c>
      <c r="AH560" s="23">
        <v>0.0</v>
      </c>
      <c r="AL560" s="23">
        <v>0.0</v>
      </c>
      <c r="AP560" s="23">
        <v>0.0</v>
      </c>
      <c r="AT560" s="23">
        <v>0.0</v>
      </c>
      <c r="AX560" s="23">
        <v>0.0</v>
      </c>
      <c r="BF560" s="23">
        <v>0.0</v>
      </c>
      <c r="BJ560" s="23">
        <v>0.0</v>
      </c>
      <c r="BN560" s="23">
        <v>0.0</v>
      </c>
      <c r="BO560" s="23">
        <v>1721.55</v>
      </c>
      <c r="BP560" s="16" t="s">
        <v>3286</v>
      </c>
      <c r="BQ560" s="16" t="b">
        <v>1</v>
      </c>
      <c r="BR560" s="23">
        <v>1721.55</v>
      </c>
      <c r="BT560" s="16" t="b">
        <v>0</v>
      </c>
      <c r="BU560" s="16" t="s">
        <v>546</v>
      </c>
    </row>
    <row r="561">
      <c r="A561" s="16" t="s">
        <v>3288</v>
      </c>
      <c r="B561" s="16" t="s">
        <v>35</v>
      </c>
      <c r="C561" s="22">
        <v>45537.0</v>
      </c>
      <c r="D561" s="16" t="s">
        <v>890</v>
      </c>
      <c r="E561" s="16" t="s">
        <v>3290</v>
      </c>
      <c r="F561" s="16" t="s">
        <v>1177</v>
      </c>
      <c r="G561" s="16" t="s">
        <v>1510</v>
      </c>
      <c r="H561" s="23">
        <v>1.0</v>
      </c>
      <c r="I561" s="23">
        <v>10595.51</v>
      </c>
      <c r="J561" s="23">
        <v>10595.51</v>
      </c>
      <c r="N561" s="23">
        <v>0.0</v>
      </c>
      <c r="R561" s="23">
        <v>0.0</v>
      </c>
      <c r="V561" s="23">
        <v>0.0</v>
      </c>
      <c r="Z561" s="23">
        <v>0.0</v>
      </c>
      <c r="AD561" s="23">
        <v>0.0</v>
      </c>
      <c r="AH561" s="23">
        <v>0.0</v>
      </c>
      <c r="AL561" s="23">
        <v>0.0</v>
      </c>
      <c r="AP561" s="23">
        <v>0.0</v>
      </c>
      <c r="AT561" s="23">
        <v>0.0</v>
      </c>
      <c r="AX561" s="23">
        <v>0.0</v>
      </c>
      <c r="BF561" s="23">
        <v>0.0</v>
      </c>
      <c r="BJ561" s="23">
        <v>0.0</v>
      </c>
      <c r="BN561" s="23">
        <v>0.0</v>
      </c>
      <c r="BO561" s="23">
        <v>10595.51</v>
      </c>
      <c r="BP561" s="16" t="s">
        <v>3291</v>
      </c>
      <c r="BQ561" s="16" t="b">
        <v>1</v>
      </c>
      <c r="BR561" s="23">
        <v>10595.51</v>
      </c>
      <c r="BT561" s="16" t="b">
        <v>0</v>
      </c>
      <c r="BU561" s="16" t="s">
        <v>546</v>
      </c>
    </row>
    <row r="562">
      <c r="A562" s="16" t="s">
        <v>3294</v>
      </c>
      <c r="B562" s="16" t="s">
        <v>35</v>
      </c>
      <c r="C562" s="22">
        <v>45539.0</v>
      </c>
      <c r="F562" s="16" t="s">
        <v>3295</v>
      </c>
      <c r="G562" s="16" t="s">
        <v>1239</v>
      </c>
      <c r="H562" s="16">
        <v>1.0</v>
      </c>
      <c r="I562" s="23">
        <v>1573.6</v>
      </c>
      <c r="J562" s="23">
        <v>1573.6</v>
      </c>
      <c r="BO562" s="23">
        <v>1573.6</v>
      </c>
      <c r="BR562" s="23">
        <v>1573.6</v>
      </c>
      <c r="BU562" s="16" t="s">
        <v>539</v>
      </c>
      <c r="BV562" s="16" t="s">
        <v>664</v>
      </c>
      <c r="BW562" s="16"/>
      <c r="BX562" s="16"/>
      <c r="BY562" s="16"/>
    </row>
    <row r="563">
      <c r="A563" s="16" t="s">
        <v>3297</v>
      </c>
      <c r="B563" s="16" t="s">
        <v>35</v>
      </c>
      <c r="C563" s="22">
        <v>45539.0</v>
      </c>
      <c r="F563" s="16" t="s">
        <v>3295</v>
      </c>
      <c r="G563" s="16" t="s">
        <v>1239</v>
      </c>
      <c r="H563" s="16">
        <v>1.0</v>
      </c>
      <c r="I563" s="23">
        <v>1562.76</v>
      </c>
      <c r="J563" s="23">
        <v>1562.76</v>
      </c>
      <c r="BO563" s="23">
        <v>1562.76</v>
      </c>
      <c r="BR563" s="23">
        <v>1562.76</v>
      </c>
      <c r="BU563" s="16" t="s">
        <v>539</v>
      </c>
      <c r="BV563" s="16" t="s">
        <v>658</v>
      </c>
      <c r="BW563" s="16"/>
      <c r="BX563" s="16"/>
      <c r="BY563" s="16"/>
    </row>
    <row r="564">
      <c r="A564" s="16" t="s">
        <v>3299</v>
      </c>
      <c r="B564" s="16" t="s">
        <v>35</v>
      </c>
      <c r="C564" s="22">
        <v>45539.0</v>
      </c>
      <c r="F564" s="16" t="s">
        <v>3295</v>
      </c>
      <c r="G564" s="16" t="s">
        <v>1239</v>
      </c>
      <c r="H564" s="16">
        <v>1.0</v>
      </c>
      <c r="I564" s="23">
        <v>2097.49</v>
      </c>
      <c r="J564" s="23">
        <v>2097.49</v>
      </c>
      <c r="BO564" s="23">
        <v>2097.49</v>
      </c>
      <c r="BR564" s="23">
        <v>2097.49</v>
      </c>
      <c r="BU564" s="16" t="s">
        <v>539</v>
      </c>
      <c r="BV564" s="16" t="s">
        <v>2052</v>
      </c>
      <c r="BW564" s="16"/>
      <c r="BX564" s="16"/>
      <c r="BY564" s="16"/>
    </row>
    <row r="565">
      <c r="A565" s="16" t="s">
        <v>3302</v>
      </c>
      <c r="B565" s="16" t="s">
        <v>35</v>
      </c>
      <c r="C565" s="22">
        <v>45539.0</v>
      </c>
      <c r="F565" s="16" t="s">
        <v>3295</v>
      </c>
      <c r="G565" s="16" t="s">
        <v>1239</v>
      </c>
      <c r="H565" s="16">
        <v>1.0</v>
      </c>
      <c r="I565" s="23">
        <v>2529.06</v>
      </c>
      <c r="J565" s="23">
        <v>2529.06</v>
      </c>
      <c r="BO565" s="23">
        <v>2529.06</v>
      </c>
      <c r="BR565" s="23">
        <v>2529.06</v>
      </c>
      <c r="BU565" s="16" t="s">
        <v>539</v>
      </c>
      <c r="BV565" s="16" t="s">
        <v>624</v>
      </c>
      <c r="BW565" s="16"/>
      <c r="BX565" s="16"/>
      <c r="BY565" s="16"/>
    </row>
    <row r="566">
      <c r="A566" s="16" t="s">
        <v>3304</v>
      </c>
      <c r="B566" s="16" t="s">
        <v>35</v>
      </c>
      <c r="C566" s="22">
        <v>45539.0</v>
      </c>
      <c r="F566" s="16" t="s">
        <v>3295</v>
      </c>
      <c r="G566" s="16" t="s">
        <v>1239</v>
      </c>
      <c r="H566" s="16">
        <v>1.0</v>
      </c>
      <c r="I566" s="23">
        <v>1226.93</v>
      </c>
      <c r="J566" s="23">
        <v>1226.93</v>
      </c>
      <c r="BO566" s="23">
        <v>1226.93</v>
      </c>
      <c r="BR566" s="23">
        <v>1226.93</v>
      </c>
      <c r="BU566" s="16" t="s">
        <v>539</v>
      </c>
      <c r="BV566" s="16" t="s">
        <v>3306</v>
      </c>
      <c r="BW566" s="16"/>
      <c r="BX566" s="16"/>
      <c r="BY566" s="16"/>
    </row>
    <row r="567">
      <c r="A567" s="16" t="s">
        <v>3307</v>
      </c>
      <c r="B567" s="16" t="s">
        <v>35</v>
      </c>
      <c r="C567" s="22">
        <v>45539.0</v>
      </c>
      <c r="F567" s="16" t="s">
        <v>3295</v>
      </c>
      <c r="G567" s="16" t="s">
        <v>1239</v>
      </c>
      <c r="H567" s="16">
        <v>1.0</v>
      </c>
      <c r="I567" s="23">
        <v>1154.33</v>
      </c>
      <c r="J567" s="23">
        <v>1154.33</v>
      </c>
      <c r="BO567" s="23">
        <v>1154.33</v>
      </c>
      <c r="BR567" s="23">
        <v>1154.33</v>
      </c>
      <c r="BU567" s="16" t="s">
        <v>539</v>
      </c>
      <c r="BV567" s="16" t="s">
        <v>227</v>
      </c>
      <c r="BW567" s="16"/>
      <c r="BX567" s="16"/>
      <c r="BY567" s="16"/>
    </row>
    <row r="568">
      <c r="A568" s="16" t="s">
        <v>3309</v>
      </c>
      <c r="B568" s="16" t="s">
        <v>35</v>
      </c>
      <c r="C568" s="22">
        <v>45509.0</v>
      </c>
      <c r="D568" s="16" t="s">
        <v>890</v>
      </c>
      <c r="E568" s="16" t="s">
        <v>3311</v>
      </c>
      <c r="F568" s="16" t="s">
        <v>1184</v>
      </c>
      <c r="G568" s="16" t="s">
        <v>1517</v>
      </c>
      <c r="H568" s="23">
        <v>1.0</v>
      </c>
      <c r="I568" s="23">
        <v>6145.73</v>
      </c>
      <c r="J568" s="23">
        <v>6145.73</v>
      </c>
      <c r="N568" s="23">
        <v>0.0</v>
      </c>
      <c r="R568" s="23">
        <v>0.0</v>
      </c>
      <c r="V568" s="23">
        <v>0.0</v>
      </c>
      <c r="Z568" s="23">
        <v>0.0</v>
      </c>
      <c r="AD568" s="23">
        <v>0.0</v>
      </c>
      <c r="AH568" s="23">
        <v>0.0</v>
      </c>
      <c r="AL568" s="23">
        <v>0.0</v>
      </c>
      <c r="AP568" s="23">
        <v>0.0</v>
      </c>
      <c r="AT568" s="23">
        <v>0.0</v>
      </c>
      <c r="AX568" s="23">
        <v>0.0</v>
      </c>
      <c r="BF568" s="23">
        <v>0.0</v>
      </c>
      <c r="BJ568" s="23">
        <v>0.0</v>
      </c>
      <c r="BN568" s="23">
        <v>0.0</v>
      </c>
      <c r="BO568" s="23">
        <v>6145.73</v>
      </c>
      <c r="BP568" s="16" t="s">
        <v>3312</v>
      </c>
      <c r="BQ568" s="16" t="b">
        <v>1</v>
      </c>
      <c r="BR568" s="23">
        <v>6145.73</v>
      </c>
      <c r="BT568" s="16" t="b">
        <v>0</v>
      </c>
      <c r="BU568" s="16" t="s">
        <v>546</v>
      </c>
    </row>
    <row r="569">
      <c r="A569" s="16" t="s">
        <v>3314</v>
      </c>
      <c r="B569" s="16" t="s">
        <v>35</v>
      </c>
      <c r="C569" s="22">
        <v>45500.0</v>
      </c>
      <c r="D569" s="16" t="s">
        <v>193</v>
      </c>
      <c r="E569" s="16" t="s">
        <v>3315</v>
      </c>
      <c r="F569" s="16" t="s">
        <v>767</v>
      </c>
      <c r="G569" s="16" t="s">
        <v>335</v>
      </c>
      <c r="H569" s="23">
        <v>1.0</v>
      </c>
      <c r="I569" s="23">
        <v>44.11</v>
      </c>
      <c r="J569" s="23">
        <v>44.11</v>
      </c>
      <c r="K569" s="16" t="s">
        <v>1777</v>
      </c>
      <c r="L569" s="23">
        <v>1.0</v>
      </c>
      <c r="M569" s="23">
        <v>44.11</v>
      </c>
      <c r="N569" s="23">
        <v>44.11</v>
      </c>
      <c r="R569" s="23">
        <v>0.0</v>
      </c>
      <c r="V569" s="23">
        <v>0.0</v>
      </c>
      <c r="Z569" s="23">
        <v>0.0</v>
      </c>
      <c r="AD569" s="23">
        <v>0.0</v>
      </c>
      <c r="AH569" s="23">
        <v>0.0</v>
      </c>
      <c r="AL569" s="23">
        <v>0.0</v>
      </c>
      <c r="AP569" s="23">
        <v>0.0</v>
      </c>
      <c r="AT569" s="23">
        <v>0.0</v>
      </c>
      <c r="AX569" s="23">
        <v>0.0</v>
      </c>
      <c r="BF569" s="23">
        <v>0.0</v>
      </c>
      <c r="BJ569" s="23">
        <v>0.0</v>
      </c>
      <c r="BN569" s="23">
        <v>0.0</v>
      </c>
      <c r="BO569" s="23">
        <v>88.22</v>
      </c>
      <c r="BP569" s="16" t="s">
        <v>3316</v>
      </c>
      <c r="BQ569" s="16" t="b">
        <v>1</v>
      </c>
      <c r="BR569" s="23">
        <v>88.22</v>
      </c>
      <c r="BT569" s="16" t="b">
        <v>0</v>
      </c>
      <c r="BU569" s="16" t="s">
        <v>546</v>
      </c>
    </row>
    <row r="570">
      <c r="A570" s="16" t="s">
        <v>3318</v>
      </c>
      <c r="B570" s="16" t="s">
        <v>35</v>
      </c>
      <c r="C570" s="22">
        <v>45533.0</v>
      </c>
      <c r="D570" s="16" t="s">
        <v>559</v>
      </c>
      <c r="E570" s="16" t="s">
        <v>3319</v>
      </c>
      <c r="F570" s="16" t="s">
        <v>767</v>
      </c>
      <c r="G570" s="16" t="s">
        <v>1074</v>
      </c>
      <c r="H570" s="23">
        <v>1.0</v>
      </c>
      <c r="I570" s="23">
        <v>158.0</v>
      </c>
      <c r="J570" s="23">
        <v>158.0</v>
      </c>
      <c r="K570" s="16" t="s">
        <v>1075</v>
      </c>
      <c r="L570" s="23">
        <v>2.0</v>
      </c>
      <c r="M570" s="23">
        <v>19.75</v>
      </c>
      <c r="N570" s="23">
        <v>39.5</v>
      </c>
      <c r="R570" s="23">
        <v>0.0</v>
      </c>
      <c r="V570" s="23">
        <v>0.0</v>
      </c>
      <c r="Z570" s="23">
        <v>0.0</v>
      </c>
      <c r="AD570" s="23">
        <v>0.0</v>
      </c>
      <c r="AH570" s="23">
        <v>0.0</v>
      </c>
      <c r="AL570" s="23">
        <v>0.0</v>
      </c>
      <c r="AP570" s="23">
        <v>0.0</v>
      </c>
      <c r="AT570" s="23">
        <v>0.0</v>
      </c>
      <c r="AX570" s="23">
        <v>0.0</v>
      </c>
      <c r="BF570" s="23">
        <v>0.0</v>
      </c>
      <c r="BJ570" s="23">
        <v>0.0</v>
      </c>
      <c r="BN570" s="23">
        <v>0.0</v>
      </c>
      <c r="BO570" s="23">
        <v>197.5</v>
      </c>
      <c r="BP570" s="16" t="s">
        <v>3320</v>
      </c>
      <c r="BQ570" s="16" t="b">
        <v>1</v>
      </c>
      <c r="BR570" s="23">
        <v>197.5</v>
      </c>
      <c r="BT570" s="16" t="b">
        <v>0</v>
      </c>
      <c r="BU570" s="16" t="s">
        <v>546</v>
      </c>
    </row>
    <row r="571">
      <c r="A571" s="16" t="s">
        <v>3322</v>
      </c>
      <c r="B571" s="16" t="s">
        <v>35</v>
      </c>
      <c r="C571" s="22">
        <v>45539.0</v>
      </c>
      <c r="D571" s="16" t="s">
        <v>112</v>
      </c>
      <c r="E571" s="16" t="s">
        <v>3324</v>
      </c>
      <c r="F571" s="16" t="s">
        <v>3072</v>
      </c>
      <c r="G571" s="16" t="s">
        <v>159</v>
      </c>
      <c r="H571" s="23">
        <v>1.0</v>
      </c>
      <c r="I571" s="23">
        <v>260.0</v>
      </c>
      <c r="J571" s="23">
        <v>260.0</v>
      </c>
      <c r="K571" s="16" t="s">
        <v>152</v>
      </c>
      <c r="L571" s="23">
        <v>1.0</v>
      </c>
      <c r="M571" s="23">
        <v>5.5</v>
      </c>
      <c r="N571" s="23">
        <v>5.5</v>
      </c>
      <c r="O571" s="16" t="s">
        <v>226</v>
      </c>
      <c r="P571" s="23">
        <v>10.0</v>
      </c>
      <c r="Q571" s="23">
        <v>9.5</v>
      </c>
      <c r="R571" s="23">
        <v>95.0</v>
      </c>
      <c r="V571" s="23">
        <v>0.0</v>
      </c>
      <c r="Z571" s="23">
        <v>0.0</v>
      </c>
      <c r="AD571" s="23">
        <v>0.0</v>
      </c>
      <c r="AH571" s="23">
        <v>0.0</v>
      </c>
      <c r="AL571" s="23">
        <v>0.0</v>
      </c>
      <c r="AP571" s="23">
        <v>0.0</v>
      </c>
      <c r="AT571" s="23">
        <v>0.0</v>
      </c>
      <c r="AX571" s="23">
        <v>0.0</v>
      </c>
      <c r="BF571" s="23">
        <v>0.0</v>
      </c>
      <c r="BJ571" s="23">
        <v>0.0</v>
      </c>
      <c r="BN571" s="23">
        <v>0.0</v>
      </c>
      <c r="BO571" s="23">
        <v>360.5</v>
      </c>
      <c r="BP571" s="16" t="s">
        <v>3325</v>
      </c>
      <c r="BQ571" s="16" t="b">
        <v>1</v>
      </c>
      <c r="BR571" s="23">
        <v>360.5</v>
      </c>
      <c r="BT571" s="16" t="b">
        <v>0</v>
      </c>
      <c r="BU571" s="16" t="s">
        <v>546</v>
      </c>
    </row>
    <row r="572">
      <c r="A572" s="16" t="s">
        <v>3327</v>
      </c>
      <c r="B572" s="16" t="s">
        <v>35</v>
      </c>
      <c r="C572" s="22">
        <v>45539.0</v>
      </c>
      <c r="D572" s="16" t="s">
        <v>145</v>
      </c>
      <c r="E572" s="16" t="s">
        <v>3328</v>
      </c>
      <c r="F572" s="16" t="s">
        <v>3330</v>
      </c>
      <c r="G572" s="16" t="s">
        <v>1195</v>
      </c>
      <c r="H572" s="23">
        <v>3.0</v>
      </c>
      <c r="I572" s="23">
        <v>23.0</v>
      </c>
      <c r="J572" s="23">
        <v>69.0</v>
      </c>
      <c r="K572" s="16" t="s">
        <v>1197</v>
      </c>
      <c r="L572" s="23">
        <v>4.0</v>
      </c>
      <c r="M572" s="23">
        <v>21.0</v>
      </c>
      <c r="N572" s="23">
        <v>84.0</v>
      </c>
      <c r="O572" s="16" t="s">
        <v>1041</v>
      </c>
      <c r="P572" s="23">
        <v>1.0</v>
      </c>
      <c r="Q572" s="23">
        <v>23.0</v>
      </c>
      <c r="R572" s="23">
        <v>23.0</v>
      </c>
      <c r="S572" s="16" t="s">
        <v>1046</v>
      </c>
      <c r="T572" s="23">
        <v>1.0</v>
      </c>
      <c r="U572" s="23">
        <v>23.0</v>
      </c>
      <c r="V572" s="23">
        <v>23.0</v>
      </c>
      <c r="Z572" s="23">
        <v>0.0</v>
      </c>
      <c r="AD572" s="23">
        <v>0.0</v>
      </c>
      <c r="AH572" s="23">
        <v>0.0</v>
      </c>
      <c r="AL572" s="23">
        <v>0.0</v>
      </c>
      <c r="AP572" s="23">
        <v>0.0</v>
      </c>
      <c r="AT572" s="23">
        <v>0.0</v>
      </c>
      <c r="AX572" s="23">
        <v>0.0</v>
      </c>
      <c r="BF572" s="23">
        <v>0.0</v>
      </c>
      <c r="BJ572" s="23">
        <v>0.0</v>
      </c>
      <c r="BN572" s="23">
        <v>0.0</v>
      </c>
      <c r="BO572" s="23">
        <v>199.0</v>
      </c>
      <c r="BP572" s="16" t="s">
        <v>3329</v>
      </c>
      <c r="BQ572" s="16" t="b">
        <v>1</v>
      </c>
      <c r="BR572" s="23">
        <v>199.0</v>
      </c>
      <c r="BT572" s="16" t="b">
        <v>0</v>
      </c>
      <c r="BU572" s="16" t="s">
        <v>546</v>
      </c>
    </row>
    <row r="573">
      <c r="A573" s="16" t="s">
        <v>3332</v>
      </c>
      <c r="B573" s="16" t="s">
        <v>35</v>
      </c>
      <c r="C573" s="22">
        <v>45540.0</v>
      </c>
      <c r="D573" s="16" t="s">
        <v>890</v>
      </c>
      <c r="F573" s="16" t="s">
        <v>3333</v>
      </c>
      <c r="G573" s="16" t="s">
        <v>3833</v>
      </c>
      <c r="H573" s="16">
        <v>1.0</v>
      </c>
      <c r="I573" s="23">
        <v>19.04</v>
      </c>
      <c r="J573" s="23">
        <v>19.04</v>
      </c>
      <c r="BO573" s="23">
        <v>19.04</v>
      </c>
      <c r="BR573" s="23">
        <v>19.04</v>
      </c>
      <c r="BU573" s="16" t="s">
        <v>539</v>
      </c>
    </row>
    <row r="574">
      <c r="A574" s="16" t="s">
        <v>3335</v>
      </c>
      <c r="B574" s="16" t="s">
        <v>35</v>
      </c>
      <c r="C574" s="22">
        <v>45540.0</v>
      </c>
      <c r="D574" s="16" t="s">
        <v>890</v>
      </c>
      <c r="F574" s="16" t="s">
        <v>3337</v>
      </c>
      <c r="G574" s="16" t="s">
        <v>3833</v>
      </c>
      <c r="H574" s="16">
        <v>1.0</v>
      </c>
      <c r="I574" s="23">
        <v>1853.66</v>
      </c>
      <c r="J574" s="23">
        <v>1853.66</v>
      </c>
      <c r="BO574" s="23">
        <v>1853.66</v>
      </c>
      <c r="BR574" s="23">
        <v>1853.66</v>
      </c>
      <c r="BU574" s="16" t="s">
        <v>539</v>
      </c>
    </row>
    <row r="575">
      <c r="A575" s="16" t="s">
        <v>3339</v>
      </c>
      <c r="B575" s="16" t="s">
        <v>35</v>
      </c>
      <c r="C575" s="22">
        <v>45540.0</v>
      </c>
      <c r="D575" s="16" t="s">
        <v>890</v>
      </c>
      <c r="F575" s="16" t="s">
        <v>3341</v>
      </c>
      <c r="G575" s="16" t="s">
        <v>3833</v>
      </c>
      <c r="H575" s="16">
        <v>1.0</v>
      </c>
      <c r="I575" s="23">
        <v>6.36</v>
      </c>
      <c r="J575" s="23">
        <v>6.36</v>
      </c>
      <c r="BO575" s="23">
        <v>6.36</v>
      </c>
      <c r="BR575" s="23">
        <v>6.36</v>
      </c>
      <c r="BU575" s="16" t="s">
        <v>539</v>
      </c>
    </row>
    <row r="576">
      <c r="A576" s="16" t="s">
        <v>3343</v>
      </c>
      <c r="B576" s="16" t="s">
        <v>35</v>
      </c>
      <c r="C576" s="22">
        <v>45540.0</v>
      </c>
      <c r="D576" s="16" t="s">
        <v>890</v>
      </c>
      <c r="F576" s="16" t="s">
        <v>3344</v>
      </c>
      <c r="G576" s="16" t="s">
        <v>3833</v>
      </c>
      <c r="H576" s="16">
        <v>1.0</v>
      </c>
      <c r="I576" s="23">
        <v>2.14</v>
      </c>
      <c r="J576" s="23">
        <v>2.14</v>
      </c>
      <c r="BO576" s="23">
        <v>2.14</v>
      </c>
      <c r="BR576" s="23">
        <v>2.14</v>
      </c>
      <c r="BU576" s="16" t="s">
        <v>539</v>
      </c>
    </row>
    <row r="577">
      <c r="A577" s="16" t="s">
        <v>3346</v>
      </c>
      <c r="B577" s="16" t="s">
        <v>35</v>
      </c>
      <c r="C577" s="22">
        <v>45542.0</v>
      </c>
      <c r="F577" s="16" t="s">
        <v>2770</v>
      </c>
      <c r="G577" s="16" t="s">
        <v>1168</v>
      </c>
      <c r="H577" s="16">
        <v>1.0</v>
      </c>
      <c r="I577" s="23">
        <v>375.0</v>
      </c>
      <c r="J577" s="23">
        <v>375.0</v>
      </c>
      <c r="BO577" s="23">
        <v>375.0</v>
      </c>
      <c r="BR577" s="23">
        <v>375.0</v>
      </c>
      <c r="BU577" s="16" t="s">
        <v>539</v>
      </c>
      <c r="BV577" s="16" t="s">
        <v>664</v>
      </c>
      <c r="BW577" s="16"/>
      <c r="BX577" s="16"/>
      <c r="BY577" s="16"/>
    </row>
    <row r="578">
      <c r="A578" s="16" t="s">
        <v>3348</v>
      </c>
      <c r="B578" s="16" t="s">
        <v>35</v>
      </c>
      <c r="C578" s="22">
        <v>45537.0</v>
      </c>
      <c r="D578" s="16" t="s">
        <v>890</v>
      </c>
      <c r="E578" s="16" t="s">
        <v>3349</v>
      </c>
      <c r="F578" s="16" t="s">
        <v>2072</v>
      </c>
      <c r="G578" s="16" t="s">
        <v>1517</v>
      </c>
      <c r="H578" s="23">
        <v>1.0</v>
      </c>
      <c r="I578" s="23">
        <v>7638.23</v>
      </c>
      <c r="J578" s="23">
        <v>7638.23</v>
      </c>
      <c r="N578" s="23">
        <v>0.0</v>
      </c>
      <c r="R578" s="23">
        <v>0.0</v>
      </c>
      <c r="V578" s="23">
        <v>0.0</v>
      </c>
      <c r="Z578" s="23">
        <v>0.0</v>
      </c>
      <c r="AD578" s="23">
        <v>0.0</v>
      </c>
      <c r="AH578" s="23">
        <v>0.0</v>
      </c>
      <c r="AL578" s="23">
        <v>0.0</v>
      </c>
      <c r="AP578" s="23">
        <v>0.0</v>
      </c>
      <c r="AT578" s="23">
        <v>0.0</v>
      </c>
      <c r="AX578" s="23">
        <v>0.0</v>
      </c>
      <c r="BF578" s="23">
        <v>0.0</v>
      </c>
      <c r="BJ578" s="23">
        <v>0.0</v>
      </c>
      <c r="BN578" s="23">
        <v>0.0</v>
      </c>
      <c r="BO578" s="23">
        <v>7638.23</v>
      </c>
      <c r="BP578" s="16" t="s">
        <v>3351</v>
      </c>
      <c r="BQ578" s="16" t="b">
        <v>1</v>
      </c>
      <c r="BR578" s="23">
        <v>7638.23</v>
      </c>
      <c r="BT578" s="16" t="b">
        <v>0</v>
      </c>
      <c r="BU578" s="16" t="s">
        <v>546</v>
      </c>
    </row>
    <row r="579">
      <c r="A579" s="16" t="s">
        <v>3353</v>
      </c>
      <c r="B579" s="16" t="s">
        <v>35</v>
      </c>
      <c r="C579" s="22">
        <v>45540.0</v>
      </c>
      <c r="D579" s="16" t="s">
        <v>3354</v>
      </c>
      <c r="E579" s="16" t="s">
        <v>3355</v>
      </c>
      <c r="F579" s="16" t="s">
        <v>3357</v>
      </c>
      <c r="G579" s="16" t="s">
        <v>1854</v>
      </c>
      <c r="H579" s="23">
        <v>1.0</v>
      </c>
      <c r="I579" s="23">
        <v>550.0</v>
      </c>
      <c r="J579" s="23">
        <v>550.0</v>
      </c>
      <c r="N579" s="23">
        <v>0.0</v>
      </c>
      <c r="R579" s="23">
        <v>0.0</v>
      </c>
      <c r="V579" s="23">
        <v>0.0</v>
      </c>
      <c r="Z579" s="23">
        <v>0.0</v>
      </c>
      <c r="AD579" s="23">
        <v>0.0</v>
      </c>
      <c r="AH579" s="23">
        <v>0.0</v>
      </c>
      <c r="AL579" s="23">
        <v>0.0</v>
      </c>
      <c r="AP579" s="23">
        <v>0.0</v>
      </c>
      <c r="AT579" s="23">
        <v>0.0</v>
      </c>
      <c r="AX579" s="23">
        <v>0.0</v>
      </c>
      <c r="BF579" s="23">
        <v>0.0</v>
      </c>
      <c r="BJ579" s="23">
        <v>0.0</v>
      </c>
      <c r="BN579" s="23">
        <v>0.0</v>
      </c>
      <c r="BO579" s="23">
        <v>550.0</v>
      </c>
      <c r="BP579" s="16" t="s">
        <v>3356</v>
      </c>
      <c r="BQ579" s="16" t="b">
        <v>1</v>
      </c>
      <c r="BR579" s="23">
        <v>550.0</v>
      </c>
      <c r="BT579" s="16" t="b">
        <v>0</v>
      </c>
      <c r="BU579" s="16" t="s">
        <v>546</v>
      </c>
    </row>
    <row r="580">
      <c r="A580" s="23">
        <v>4.7954973E7</v>
      </c>
      <c r="B580" s="16" t="s">
        <v>35</v>
      </c>
      <c r="C580" s="22">
        <v>45540.0</v>
      </c>
      <c r="D580" s="16" t="s">
        <v>2644</v>
      </c>
      <c r="E580" s="16" t="s">
        <v>3359</v>
      </c>
      <c r="F580" s="16" t="s">
        <v>767</v>
      </c>
      <c r="G580" s="16" t="s">
        <v>1404</v>
      </c>
      <c r="H580" s="23">
        <v>1.0</v>
      </c>
      <c r="I580" s="23">
        <v>62.0</v>
      </c>
      <c r="J580" s="23">
        <v>62.0</v>
      </c>
      <c r="K580" s="16" t="s">
        <v>1074</v>
      </c>
      <c r="L580" s="23">
        <v>5.0</v>
      </c>
      <c r="M580" s="23">
        <v>38.0</v>
      </c>
      <c r="N580" s="23">
        <v>190.0</v>
      </c>
      <c r="O580" s="16" t="s">
        <v>1079</v>
      </c>
      <c r="P580" s="23">
        <v>15.0</v>
      </c>
      <c r="Q580" s="23">
        <v>17.0</v>
      </c>
      <c r="R580" s="23">
        <v>255.0</v>
      </c>
      <c r="S580" s="16" t="s">
        <v>1080</v>
      </c>
      <c r="T580" s="23">
        <v>10.0</v>
      </c>
      <c r="U580" s="23">
        <v>17.0</v>
      </c>
      <c r="V580" s="23">
        <v>170.0</v>
      </c>
      <c r="W580" s="16" t="s">
        <v>1075</v>
      </c>
      <c r="X580" s="23">
        <v>1.0</v>
      </c>
      <c r="Y580" s="23">
        <v>60.0</v>
      </c>
      <c r="Z580" s="23">
        <v>60.0</v>
      </c>
      <c r="AD580" s="23">
        <v>0.0</v>
      </c>
      <c r="AH580" s="23">
        <v>0.0</v>
      </c>
      <c r="AL580" s="23">
        <v>0.0</v>
      </c>
      <c r="AP580" s="23">
        <v>0.0</v>
      </c>
      <c r="AT580" s="23">
        <v>0.0</v>
      </c>
      <c r="AX580" s="23">
        <v>0.0</v>
      </c>
      <c r="BF580" s="23">
        <v>0.0</v>
      </c>
      <c r="BJ580" s="23">
        <v>0.0</v>
      </c>
      <c r="BN580" s="23">
        <v>0.0</v>
      </c>
      <c r="BO580" s="23">
        <v>737.0</v>
      </c>
      <c r="BP580" s="16" t="s">
        <v>3360</v>
      </c>
      <c r="BQ580" s="16" t="b">
        <v>1</v>
      </c>
      <c r="BR580" s="23">
        <v>737.0</v>
      </c>
      <c r="BT580" s="16" t="b">
        <v>0</v>
      </c>
      <c r="BU580" s="16" t="s">
        <v>546</v>
      </c>
    </row>
    <row r="581">
      <c r="A581" s="16" t="s">
        <v>3362</v>
      </c>
      <c r="B581" s="16" t="s">
        <v>35</v>
      </c>
      <c r="C581" s="22">
        <v>45541.0</v>
      </c>
      <c r="D581" s="16" t="s">
        <v>112</v>
      </c>
      <c r="E581" s="16" t="s">
        <v>3364</v>
      </c>
      <c r="F581" s="16" t="s">
        <v>2959</v>
      </c>
      <c r="G581" s="16" t="s">
        <v>159</v>
      </c>
      <c r="H581" s="23">
        <v>20.0</v>
      </c>
      <c r="I581" s="23">
        <v>13.0</v>
      </c>
      <c r="J581" s="23">
        <v>260.0</v>
      </c>
      <c r="K581" s="16" t="s">
        <v>155</v>
      </c>
      <c r="L581" s="23">
        <v>10.0</v>
      </c>
      <c r="M581" s="23">
        <v>7.5</v>
      </c>
      <c r="N581" s="23">
        <v>75.0</v>
      </c>
      <c r="O581" s="16" t="s">
        <v>152</v>
      </c>
      <c r="P581" s="23">
        <v>5.0</v>
      </c>
      <c r="Q581" s="23">
        <v>4.0</v>
      </c>
      <c r="R581" s="23">
        <v>20.0</v>
      </c>
      <c r="S581" s="16" t="s">
        <v>226</v>
      </c>
      <c r="T581" s="23">
        <v>15.0</v>
      </c>
      <c r="U581" s="23">
        <v>8.5</v>
      </c>
      <c r="V581" s="23">
        <v>127.5</v>
      </c>
      <c r="Z581" s="23">
        <v>0.0</v>
      </c>
      <c r="AD581" s="23">
        <v>0.0</v>
      </c>
      <c r="AH581" s="23">
        <v>0.0</v>
      </c>
      <c r="AL581" s="23">
        <v>0.0</v>
      </c>
      <c r="AP581" s="23">
        <v>0.0</v>
      </c>
      <c r="AT581" s="23">
        <v>0.0</v>
      </c>
      <c r="AX581" s="23">
        <v>0.0</v>
      </c>
      <c r="BF581" s="23">
        <v>0.0</v>
      </c>
      <c r="BJ581" s="23">
        <v>0.0</v>
      </c>
      <c r="BN581" s="23">
        <v>0.0</v>
      </c>
      <c r="BO581" s="23">
        <v>482.5</v>
      </c>
      <c r="BP581" s="16" t="s">
        <v>3365</v>
      </c>
      <c r="BQ581" s="16" t="b">
        <v>1</v>
      </c>
      <c r="BR581" s="23">
        <v>482.5</v>
      </c>
      <c r="BT581" s="16" t="b">
        <v>0</v>
      </c>
      <c r="BU581" s="16" t="s">
        <v>546</v>
      </c>
    </row>
    <row r="582">
      <c r="A582" s="16" t="s">
        <v>3367</v>
      </c>
      <c r="B582" s="16" t="s">
        <v>35</v>
      </c>
      <c r="C582" s="22">
        <v>45541.0</v>
      </c>
      <c r="D582" s="16" t="s">
        <v>543</v>
      </c>
      <c r="E582" s="16" t="s">
        <v>3368</v>
      </c>
      <c r="F582" s="16" t="s">
        <v>3014</v>
      </c>
      <c r="G582" s="16">
        <v>1.2539885E7</v>
      </c>
      <c r="H582" s="23">
        <v>1.0</v>
      </c>
      <c r="I582" s="23">
        <v>240.0</v>
      </c>
      <c r="J582" s="23">
        <v>240.0</v>
      </c>
      <c r="N582" s="23">
        <v>0.0</v>
      </c>
      <c r="R582" s="23">
        <v>0.0</v>
      </c>
      <c r="V582" s="23">
        <v>0.0</v>
      </c>
      <c r="Z582" s="23">
        <v>0.0</v>
      </c>
      <c r="AD582" s="23">
        <v>0.0</v>
      </c>
      <c r="AH582" s="23">
        <v>0.0</v>
      </c>
      <c r="AL582" s="23">
        <v>0.0</v>
      </c>
      <c r="AP582" s="23">
        <v>0.0</v>
      </c>
      <c r="AT582" s="23">
        <v>0.0</v>
      </c>
      <c r="AX582" s="23">
        <v>0.0</v>
      </c>
      <c r="BF582" s="23">
        <v>0.0</v>
      </c>
      <c r="BJ582" s="23">
        <v>0.0</v>
      </c>
      <c r="BN582" s="23">
        <v>0.0</v>
      </c>
      <c r="BO582" s="23">
        <v>240.0</v>
      </c>
      <c r="BP582" s="16" t="s">
        <v>3369</v>
      </c>
      <c r="BQ582" s="16" t="b">
        <v>1</v>
      </c>
      <c r="BR582" s="23">
        <v>240.0</v>
      </c>
      <c r="BT582" s="16" t="b">
        <v>0</v>
      </c>
      <c r="BU582" s="16" t="s">
        <v>546</v>
      </c>
    </row>
    <row r="583">
      <c r="A583" s="16" t="s">
        <v>3371</v>
      </c>
      <c r="B583" s="16" t="s">
        <v>35</v>
      </c>
      <c r="C583" s="22">
        <v>45543.0</v>
      </c>
      <c r="D583" s="16" t="s">
        <v>2439</v>
      </c>
      <c r="E583" s="16" t="s">
        <v>3373</v>
      </c>
      <c r="F583" s="16" t="s">
        <v>3375</v>
      </c>
      <c r="G583" s="16" t="s">
        <v>3496</v>
      </c>
      <c r="H583" s="23">
        <v>1.0</v>
      </c>
      <c r="I583" s="23">
        <v>211.0</v>
      </c>
      <c r="J583" s="23">
        <v>211.0</v>
      </c>
      <c r="N583" s="23">
        <v>0.0</v>
      </c>
      <c r="R583" s="23">
        <v>0.0</v>
      </c>
      <c r="V583" s="23">
        <v>0.0</v>
      </c>
      <c r="Z583" s="23">
        <v>0.0</v>
      </c>
      <c r="AD583" s="23">
        <v>0.0</v>
      </c>
      <c r="AH583" s="23">
        <v>0.0</v>
      </c>
      <c r="AL583" s="23">
        <v>0.0</v>
      </c>
      <c r="AP583" s="23">
        <v>0.0</v>
      </c>
      <c r="AT583" s="23">
        <v>0.0</v>
      </c>
      <c r="AX583" s="23">
        <v>0.0</v>
      </c>
      <c r="BF583" s="23">
        <v>0.0</v>
      </c>
      <c r="BJ583" s="23">
        <v>0.0</v>
      </c>
      <c r="BN583" s="23">
        <v>0.0</v>
      </c>
      <c r="BO583" s="23">
        <v>211.0</v>
      </c>
      <c r="BP583" s="16" t="s">
        <v>3374</v>
      </c>
      <c r="BQ583" s="16" t="b">
        <v>1</v>
      </c>
      <c r="BR583" s="23">
        <v>211.0</v>
      </c>
      <c r="BT583" s="16" t="b">
        <v>0</v>
      </c>
      <c r="BU583" s="16" t="s">
        <v>546</v>
      </c>
    </row>
    <row r="584">
      <c r="A584" s="16" t="s">
        <v>3377</v>
      </c>
      <c r="B584" s="16" t="s">
        <v>35</v>
      </c>
      <c r="C584" s="22">
        <v>45544.0</v>
      </c>
      <c r="D584" s="16" t="s">
        <v>543</v>
      </c>
      <c r="E584" s="16" t="s">
        <v>3378</v>
      </c>
      <c r="F584" s="16" t="s">
        <v>59</v>
      </c>
      <c r="G584" s="16">
        <v>1.2539885E7</v>
      </c>
      <c r="H584" s="23">
        <v>1.0</v>
      </c>
      <c r="I584" s="23">
        <v>210.0</v>
      </c>
      <c r="J584" s="23">
        <v>210.0</v>
      </c>
      <c r="N584" s="23">
        <v>0.0</v>
      </c>
      <c r="R584" s="23">
        <v>0.0</v>
      </c>
      <c r="V584" s="23">
        <v>0.0</v>
      </c>
      <c r="Z584" s="23">
        <v>0.0</v>
      </c>
      <c r="AD584" s="23">
        <v>0.0</v>
      </c>
      <c r="AH584" s="23">
        <v>0.0</v>
      </c>
      <c r="AL584" s="23">
        <v>0.0</v>
      </c>
      <c r="AP584" s="23">
        <v>0.0</v>
      </c>
      <c r="AT584" s="23">
        <v>0.0</v>
      </c>
      <c r="AX584" s="23">
        <v>0.0</v>
      </c>
      <c r="BF584" s="23">
        <v>0.0</v>
      </c>
      <c r="BJ584" s="23">
        <v>0.0</v>
      </c>
      <c r="BN584" s="23">
        <v>0.0</v>
      </c>
      <c r="BO584" s="23">
        <v>210.0</v>
      </c>
      <c r="BP584" s="16" t="s">
        <v>3379</v>
      </c>
      <c r="BQ584" s="16" t="b">
        <v>1</v>
      </c>
      <c r="BR584" s="23">
        <v>210.0</v>
      </c>
      <c r="BT584" s="16" t="b">
        <v>0</v>
      </c>
      <c r="BU584" s="16" t="s">
        <v>546</v>
      </c>
    </row>
    <row r="585">
      <c r="A585" s="16" t="s">
        <v>3382</v>
      </c>
      <c r="B585" s="16" t="s">
        <v>35</v>
      </c>
      <c r="C585" s="22">
        <v>45544.0</v>
      </c>
      <c r="D585" s="16" t="s">
        <v>460</v>
      </c>
      <c r="F585" s="16" t="s">
        <v>3383</v>
      </c>
      <c r="G585" s="16" t="s">
        <v>3889</v>
      </c>
      <c r="H585" s="16">
        <v>1.0</v>
      </c>
      <c r="I585" s="23">
        <v>1555.0</v>
      </c>
      <c r="J585" s="23">
        <v>1555.0</v>
      </c>
      <c r="BO585" s="23">
        <v>1555.0</v>
      </c>
      <c r="BR585" s="23">
        <v>1555.0</v>
      </c>
      <c r="BU585" s="16" t="s">
        <v>539</v>
      </c>
    </row>
    <row r="586">
      <c r="A586" s="16" t="s">
        <v>3385</v>
      </c>
      <c r="B586" s="16" t="s">
        <v>35</v>
      </c>
      <c r="C586" s="22">
        <v>45544.0</v>
      </c>
      <c r="F586" s="16" t="s">
        <v>1329</v>
      </c>
      <c r="G586" s="16" t="s">
        <v>1168</v>
      </c>
      <c r="H586" s="16">
        <v>1.0</v>
      </c>
      <c r="I586" s="23">
        <v>500.0</v>
      </c>
      <c r="J586" s="23">
        <v>500.0</v>
      </c>
      <c r="BO586" s="23">
        <v>500.0</v>
      </c>
      <c r="BR586" s="23">
        <v>500.0</v>
      </c>
      <c r="BU586" s="16" t="s">
        <v>539</v>
      </c>
      <c r="BV586" s="16" t="s">
        <v>658</v>
      </c>
      <c r="BW586" s="16"/>
      <c r="BX586" s="16"/>
      <c r="BY586" s="16"/>
    </row>
    <row r="587">
      <c r="A587" s="16" t="s">
        <v>3389</v>
      </c>
      <c r="B587" s="16" t="s">
        <v>35</v>
      </c>
      <c r="C587" s="22">
        <v>45541.0</v>
      </c>
      <c r="D587" s="23">
        <v>6.8893939E7</v>
      </c>
      <c r="E587" s="16" t="s">
        <v>3391</v>
      </c>
      <c r="F587" s="16" t="s">
        <v>605</v>
      </c>
      <c r="G587" s="16" t="s">
        <v>1145</v>
      </c>
      <c r="H587" s="23">
        <v>1.0</v>
      </c>
      <c r="I587" s="23">
        <v>1959.6</v>
      </c>
      <c r="J587" s="23">
        <v>1959.6</v>
      </c>
      <c r="N587" s="23">
        <v>0.0</v>
      </c>
      <c r="R587" s="23">
        <v>0.0</v>
      </c>
      <c r="V587" s="23">
        <v>0.0</v>
      </c>
      <c r="Z587" s="23">
        <v>0.0</v>
      </c>
      <c r="AD587" s="23">
        <v>0.0</v>
      </c>
      <c r="AH587" s="23">
        <v>0.0</v>
      </c>
      <c r="AL587" s="23">
        <v>0.0</v>
      </c>
      <c r="AP587" s="23">
        <v>0.0</v>
      </c>
      <c r="AT587" s="23">
        <v>0.0</v>
      </c>
      <c r="AX587" s="23">
        <v>0.0</v>
      </c>
      <c r="BF587" s="23">
        <v>0.0</v>
      </c>
      <c r="BJ587" s="23">
        <v>0.0</v>
      </c>
      <c r="BN587" s="23">
        <v>0.0</v>
      </c>
      <c r="BO587" s="23">
        <v>1959.6</v>
      </c>
      <c r="BP587" s="16" t="s">
        <v>3392</v>
      </c>
      <c r="BQ587" s="16" t="b">
        <v>1</v>
      </c>
      <c r="BR587" s="23">
        <v>1959.6</v>
      </c>
      <c r="BT587" s="16" t="b">
        <v>0</v>
      </c>
      <c r="BU587" s="16" t="s">
        <v>546</v>
      </c>
    </row>
    <row r="588">
      <c r="A588" s="16" t="s">
        <v>3394</v>
      </c>
      <c r="B588" s="16" t="s">
        <v>35</v>
      </c>
      <c r="C588" s="22">
        <v>45544.0</v>
      </c>
      <c r="D588" s="16" t="s">
        <v>112</v>
      </c>
      <c r="E588" s="16" t="s">
        <v>3395</v>
      </c>
      <c r="F588" s="16" t="s">
        <v>3397</v>
      </c>
      <c r="G588" s="16" t="s">
        <v>159</v>
      </c>
      <c r="H588" s="23">
        <v>1.0</v>
      </c>
      <c r="I588" s="23">
        <v>162.0</v>
      </c>
      <c r="J588" s="23">
        <v>162.0</v>
      </c>
      <c r="K588" s="16" t="s">
        <v>152</v>
      </c>
      <c r="L588" s="23">
        <v>1.0</v>
      </c>
      <c r="M588" s="23">
        <v>13.1</v>
      </c>
      <c r="N588" s="23">
        <v>13.1</v>
      </c>
      <c r="R588" s="23">
        <v>0.0</v>
      </c>
      <c r="V588" s="23">
        <v>0.0</v>
      </c>
      <c r="Z588" s="23">
        <v>0.0</v>
      </c>
      <c r="AD588" s="23">
        <v>0.0</v>
      </c>
      <c r="AH588" s="23">
        <v>0.0</v>
      </c>
      <c r="AL588" s="23">
        <v>0.0</v>
      </c>
      <c r="AP588" s="23">
        <v>0.0</v>
      </c>
      <c r="AT588" s="23">
        <v>0.0</v>
      </c>
      <c r="AX588" s="23">
        <v>0.0</v>
      </c>
      <c r="BF588" s="23">
        <v>0.0</v>
      </c>
      <c r="BJ588" s="23">
        <v>0.0</v>
      </c>
      <c r="BN588" s="23">
        <v>0.0</v>
      </c>
      <c r="BO588" s="23">
        <v>175.1</v>
      </c>
      <c r="BP588" s="16" t="s">
        <v>3396</v>
      </c>
      <c r="BQ588" s="16" t="b">
        <v>1</v>
      </c>
      <c r="BR588" s="23">
        <v>175.1</v>
      </c>
      <c r="BT588" s="16" t="b">
        <v>0</v>
      </c>
      <c r="BU588" s="16" t="s">
        <v>546</v>
      </c>
    </row>
    <row r="589">
      <c r="A589" s="16" t="s">
        <v>3399</v>
      </c>
      <c r="B589" s="16" t="s">
        <v>35</v>
      </c>
      <c r="C589" s="22">
        <v>45545.0</v>
      </c>
      <c r="D589" s="16" t="s">
        <v>890</v>
      </c>
      <c r="F589" s="16" t="s">
        <v>3401</v>
      </c>
      <c r="G589" s="16" t="s">
        <v>4831</v>
      </c>
      <c r="H589" s="16">
        <v>1.0</v>
      </c>
      <c r="I589" s="23">
        <v>250.0</v>
      </c>
      <c r="J589" s="23">
        <v>250.0</v>
      </c>
      <c r="BO589" s="23">
        <v>250.0</v>
      </c>
      <c r="BR589" s="23">
        <v>250.0</v>
      </c>
      <c r="BU589" s="16" t="s">
        <v>539</v>
      </c>
    </row>
    <row r="590">
      <c r="A590" s="16" t="s">
        <v>3402</v>
      </c>
      <c r="B590" s="16" t="s">
        <v>35</v>
      </c>
      <c r="C590" s="22">
        <v>45545.0</v>
      </c>
      <c r="D590" s="16" t="s">
        <v>2613</v>
      </c>
      <c r="E590" s="16" t="s">
        <v>3404</v>
      </c>
      <c r="F590" s="16" t="s">
        <v>3406</v>
      </c>
      <c r="G590" s="16" t="s">
        <v>238</v>
      </c>
      <c r="H590" s="23">
        <v>12.0</v>
      </c>
      <c r="I590" s="23">
        <v>5.9</v>
      </c>
      <c r="J590" s="23">
        <v>70.8</v>
      </c>
      <c r="N590" s="23">
        <v>0.0</v>
      </c>
      <c r="R590" s="23">
        <v>0.0</v>
      </c>
      <c r="V590" s="23">
        <v>0.0</v>
      </c>
      <c r="Z590" s="23">
        <v>0.0</v>
      </c>
      <c r="AD590" s="23">
        <v>0.0</v>
      </c>
      <c r="AH590" s="23">
        <v>0.0</v>
      </c>
      <c r="AL590" s="23">
        <v>0.0</v>
      </c>
      <c r="AP590" s="23">
        <v>0.0</v>
      </c>
      <c r="AT590" s="23">
        <v>0.0</v>
      </c>
      <c r="AX590" s="23">
        <v>0.0</v>
      </c>
      <c r="BF590" s="23">
        <v>0.0</v>
      </c>
      <c r="BJ590" s="23">
        <v>0.0</v>
      </c>
      <c r="BN590" s="23">
        <v>0.0</v>
      </c>
      <c r="BO590" s="23">
        <v>70.8</v>
      </c>
      <c r="BP590" s="16" t="s">
        <v>3405</v>
      </c>
      <c r="BQ590" s="16" t="b">
        <v>1</v>
      </c>
      <c r="BR590" s="23">
        <v>70.8</v>
      </c>
      <c r="BT590" s="16" t="b">
        <v>0</v>
      </c>
      <c r="BU590" s="16" t="s">
        <v>546</v>
      </c>
    </row>
    <row r="591">
      <c r="A591" s="16" t="s">
        <v>3408</v>
      </c>
      <c r="B591" s="16" t="s">
        <v>35</v>
      </c>
      <c r="C591" s="22">
        <v>45546.0</v>
      </c>
      <c r="F591" s="16" t="s">
        <v>3409</v>
      </c>
      <c r="G591" s="16" t="s">
        <v>1239</v>
      </c>
      <c r="H591" s="16">
        <v>1.0</v>
      </c>
      <c r="I591" s="23">
        <v>925.6</v>
      </c>
      <c r="J591" s="23">
        <v>925.6</v>
      </c>
      <c r="BO591" s="23">
        <v>925.6</v>
      </c>
      <c r="BR591" s="23">
        <v>925.6</v>
      </c>
      <c r="BU591" s="16" t="s">
        <v>539</v>
      </c>
      <c r="BV591" s="16" t="s">
        <v>624</v>
      </c>
      <c r="BW591" s="16"/>
      <c r="BX591" s="16"/>
      <c r="BY591" s="16"/>
    </row>
    <row r="592">
      <c r="A592" s="16" t="s">
        <v>3411</v>
      </c>
      <c r="B592" s="16" t="s">
        <v>35</v>
      </c>
      <c r="C592" s="22">
        <v>45546.0</v>
      </c>
      <c r="D592" s="16" t="s">
        <v>2248</v>
      </c>
      <c r="F592" s="16" t="s">
        <v>2549</v>
      </c>
      <c r="G592" s="16" t="s">
        <v>3218</v>
      </c>
      <c r="H592" s="16">
        <v>1.0</v>
      </c>
      <c r="I592" s="23">
        <v>353.77</v>
      </c>
      <c r="J592" s="23">
        <v>353.77</v>
      </c>
      <c r="BO592" s="23">
        <v>353.77</v>
      </c>
      <c r="BR592" s="23">
        <v>353.77</v>
      </c>
      <c r="BU592" s="16" t="s">
        <v>539</v>
      </c>
    </row>
    <row r="593">
      <c r="A593" s="16" t="s">
        <v>3413</v>
      </c>
      <c r="B593" s="16" t="s">
        <v>35</v>
      </c>
      <c r="C593" s="22">
        <v>45546.0</v>
      </c>
      <c r="D593" s="16" t="s">
        <v>112</v>
      </c>
      <c r="E593" s="16" t="s">
        <v>3415</v>
      </c>
      <c r="F593" s="16" t="s">
        <v>415</v>
      </c>
      <c r="G593" s="16">
        <v>1.2539885E7</v>
      </c>
      <c r="H593" s="23">
        <v>1.0</v>
      </c>
      <c r="I593" s="23">
        <v>400.0</v>
      </c>
      <c r="J593" s="23">
        <v>400.0</v>
      </c>
      <c r="N593" s="23">
        <v>0.0</v>
      </c>
      <c r="R593" s="23">
        <v>0.0</v>
      </c>
      <c r="V593" s="23">
        <v>0.0</v>
      </c>
      <c r="Z593" s="23">
        <v>0.0</v>
      </c>
      <c r="AD593" s="23">
        <v>0.0</v>
      </c>
      <c r="AH593" s="23">
        <v>0.0</v>
      </c>
      <c r="AL593" s="23">
        <v>0.0</v>
      </c>
      <c r="AP593" s="23">
        <v>0.0</v>
      </c>
      <c r="AT593" s="23">
        <v>0.0</v>
      </c>
      <c r="AX593" s="23">
        <v>0.0</v>
      </c>
      <c r="BF593" s="23">
        <v>0.0</v>
      </c>
      <c r="BJ593" s="23">
        <v>0.0</v>
      </c>
      <c r="BN593" s="23">
        <v>0.0</v>
      </c>
      <c r="BO593" s="23">
        <v>400.0</v>
      </c>
      <c r="BP593" s="16" t="s">
        <v>3416</v>
      </c>
      <c r="BQ593" s="16" t="b">
        <v>1</v>
      </c>
      <c r="BR593" s="23">
        <v>400.0</v>
      </c>
      <c r="BT593" s="16" t="b">
        <v>0</v>
      </c>
      <c r="BU593" s="16" t="s">
        <v>546</v>
      </c>
    </row>
    <row r="594">
      <c r="A594" s="16" t="s">
        <v>3418</v>
      </c>
      <c r="B594" s="16" t="s">
        <v>35</v>
      </c>
      <c r="C594" s="22">
        <v>45546.0</v>
      </c>
      <c r="D594" s="16" t="s">
        <v>112</v>
      </c>
      <c r="E594" s="16" t="s">
        <v>3419</v>
      </c>
      <c r="F594" s="16" t="s">
        <v>45</v>
      </c>
      <c r="G594" s="16" t="s">
        <v>159</v>
      </c>
      <c r="H594" s="23">
        <v>10.0</v>
      </c>
      <c r="I594" s="23">
        <v>13.5</v>
      </c>
      <c r="J594" s="23">
        <v>135.0</v>
      </c>
      <c r="K594" s="16" t="s">
        <v>155</v>
      </c>
      <c r="L594" s="23">
        <v>1.0</v>
      </c>
      <c r="M594" s="23">
        <v>39.73</v>
      </c>
      <c r="N594" s="23">
        <v>39.73</v>
      </c>
      <c r="O594" s="16" t="s">
        <v>152</v>
      </c>
      <c r="P594" s="23">
        <v>1.0</v>
      </c>
      <c r="Q594" s="23">
        <v>5.22</v>
      </c>
      <c r="R594" s="23">
        <v>5.22</v>
      </c>
      <c r="V594" s="23">
        <v>0.0</v>
      </c>
      <c r="Z594" s="23">
        <v>0.0</v>
      </c>
      <c r="AD594" s="23">
        <v>0.0</v>
      </c>
      <c r="AH594" s="23">
        <v>0.0</v>
      </c>
      <c r="AL594" s="23">
        <v>0.0</v>
      </c>
      <c r="AP594" s="23">
        <v>0.0</v>
      </c>
      <c r="AT594" s="23">
        <v>0.0</v>
      </c>
      <c r="AX594" s="23">
        <v>0.0</v>
      </c>
      <c r="BF594" s="23">
        <v>0.0</v>
      </c>
      <c r="BJ594" s="23">
        <v>0.0</v>
      </c>
      <c r="BN594" s="23">
        <v>0.0</v>
      </c>
      <c r="BO594" s="23">
        <v>179.95</v>
      </c>
      <c r="BP594" s="16" t="s">
        <v>3420</v>
      </c>
      <c r="BQ594" s="16" t="b">
        <v>1</v>
      </c>
      <c r="BR594" s="23">
        <v>179.95</v>
      </c>
      <c r="BT594" s="16" t="b">
        <v>0</v>
      </c>
      <c r="BU594" s="16" t="s">
        <v>546</v>
      </c>
    </row>
    <row r="595">
      <c r="A595" s="16" t="s">
        <v>3422</v>
      </c>
      <c r="B595" s="16" t="s">
        <v>35</v>
      </c>
      <c r="C595" s="22">
        <v>45546.0</v>
      </c>
      <c r="D595" s="16" t="s">
        <v>112</v>
      </c>
      <c r="E595" s="16" t="s">
        <v>3419</v>
      </c>
      <c r="F595" s="16" t="s">
        <v>45</v>
      </c>
      <c r="G595" s="16" t="s">
        <v>230</v>
      </c>
      <c r="H595" s="23">
        <v>1.0</v>
      </c>
      <c r="I595" s="23">
        <v>161.0</v>
      </c>
      <c r="J595" s="23">
        <v>161.0</v>
      </c>
      <c r="N595" s="23">
        <v>0.0</v>
      </c>
      <c r="R595" s="23">
        <v>0.0</v>
      </c>
      <c r="V595" s="23">
        <v>0.0</v>
      </c>
      <c r="Z595" s="23">
        <v>0.0</v>
      </c>
      <c r="AD595" s="23">
        <v>0.0</v>
      </c>
      <c r="AH595" s="23">
        <v>0.0</v>
      </c>
      <c r="AL595" s="23">
        <v>0.0</v>
      </c>
      <c r="AP595" s="23">
        <v>0.0</v>
      </c>
      <c r="AT595" s="23">
        <v>0.0</v>
      </c>
      <c r="AX595" s="23">
        <v>0.0</v>
      </c>
      <c r="BF595" s="23">
        <v>0.0</v>
      </c>
      <c r="BJ595" s="23">
        <v>0.0</v>
      </c>
      <c r="BN595" s="23">
        <v>0.0</v>
      </c>
      <c r="BO595" s="23">
        <v>161.0</v>
      </c>
      <c r="BP595" s="16" t="s">
        <v>3424</v>
      </c>
      <c r="BQ595" s="16" t="b">
        <v>1</v>
      </c>
      <c r="BR595" s="23">
        <v>161.0</v>
      </c>
      <c r="BT595" s="16" t="b">
        <v>0</v>
      </c>
      <c r="BU595" s="16" t="s">
        <v>546</v>
      </c>
    </row>
    <row r="596">
      <c r="A596" s="16" t="s">
        <v>3426</v>
      </c>
      <c r="B596" s="16" t="s">
        <v>35</v>
      </c>
      <c r="C596" s="22">
        <v>45546.0</v>
      </c>
      <c r="D596" s="16" t="s">
        <v>3427</v>
      </c>
      <c r="E596" s="16" t="s">
        <v>3428</v>
      </c>
      <c r="F596" s="16" t="s">
        <v>3430</v>
      </c>
      <c r="G596" s="16" t="s">
        <v>4874</v>
      </c>
      <c r="H596" s="23">
        <v>1.0</v>
      </c>
      <c r="I596" s="23">
        <v>1401.15</v>
      </c>
      <c r="J596" s="23">
        <v>1401.15</v>
      </c>
      <c r="N596" s="23">
        <v>0.0</v>
      </c>
      <c r="R596" s="23">
        <v>0.0</v>
      </c>
      <c r="V596" s="23">
        <v>0.0</v>
      </c>
      <c r="Z596" s="23">
        <v>0.0</v>
      </c>
      <c r="AD596" s="23">
        <v>0.0</v>
      </c>
      <c r="AH596" s="23">
        <v>0.0</v>
      </c>
      <c r="AL596" s="23">
        <v>0.0</v>
      </c>
      <c r="AP596" s="23">
        <v>0.0</v>
      </c>
      <c r="AT596" s="23">
        <v>0.0</v>
      </c>
      <c r="AX596" s="23">
        <v>0.0</v>
      </c>
      <c r="BF596" s="23">
        <v>0.0</v>
      </c>
      <c r="BJ596" s="23">
        <v>0.0</v>
      </c>
      <c r="BN596" s="23">
        <v>0.0</v>
      </c>
      <c r="BO596" s="23">
        <v>1401.15</v>
      </c>
      <c r="BP596" s="16" t="s">
        <v>3429</v>
      </c>
      <c r="BQ596" s="16" t="b">
        <v>1</v>
      </c>
      <c r="BR596" s="23">
        <v>1401.15</v>
      </c>
      <c r="BT596" s="16" t="b">
        <v>0</v>
      </c>
      <c r="BU596" s="16" t="s">
        <v>546</v>
      </c>
    </row>
    <row r="597">
      <c r="A597" s="16" t="s">
        <v>3432</v>
      </c>
      <c r="B597" s="16" t="s">
        <v>35</v>
      </c>
      <c r="C597" s="22">
        <v>45547.0</v>
      </c>
      <c r="D597" s="16" t="s">
        <v>112</v>
      </c>
      <c r="E597" s="16" t="s">
        <v>3433</v>
      </c>
      <c r="F597" s="16" t="s">
        <v>45</v>
      </c>
      <c r="G597" s="16" t="s">
        <v>159</v>
      </c>
      <c r="H597" s="23">
        <v>1.0</v>
      </c>
      <c r="I597" s="23">
        <v>99.0</v>
      </c>
      <c r="J597" s="23">
        <v>99.0</v>
      </c>
      <c r="K597" s="16">
        <v>1.2539885E7</v>
      </c>
      <c r="L597" s="23">
        <v>1.0</v>
      </c>
      <c r="M597" s="23">
        <v>120.0</v>
      </c>
      <c r="N597" s="23">
        <v>120.0</v>
      </c>
      <c r="O597" s="16" t="s">
        <v>155</v>
      </c>
      <c r="P597" s="23">
        <v>1.0</v>
      </c>
      <c r="Q597" s="23">
        <v>60.75</v>
      </c>
      <c r="R597" s="23">
        <v>60.75</v>
      </c>
      <c r="S597" s="16" t="s">
        <v>152</v>
      </c>
      <c r="T597" s="23">
        <v>1.0</v>
      </c>
      <c r="U597" s="23">
        <v>14.02</v>
      </c>
      <c r="V597" s="23">
        <v>14.02</v>
      </c>
      <c r="W597" s="16" t="s">
        <v>226</v>
      </c>
      <c r="X597" s="23">
        <v>1.0</v>
      </c>
      <c r="Y597" s="23">
        <v>74.4</v>
      </c>
      <c r="Z597" s="23">
        <v>74.4</v>
      </c>
      <c r="AD597" s="23">
        <v>0.0</v>
      </c>
      <c r="AH597" s="23">
        <v>0.0</v>
      </c>
      <c r="AL597" s="23">
        <v>0.0</v>
      </c>
      <c r="AP597" s="23">
        <v>0.0</v>
      </c>
      <c r="AT597" s="23">
        <v>0.0</v>
      </c>
      <c r="AX597" s="23">
        <v>0.0</v>
      </c>
      <c r="BF597" s="23">
        <v>0.0</v>
      </c>
      <c r="BJ597" s="23">
        <v>0.0</v>
      </c>
      <c r="BN597" s="23">
        <v>0.0</v>
      </c>
      <c r="BO597" s="23">
        <v>368.17</v>
      </c>
      <c r="BP597" s="16" t="s">
        <v>3435</v>
      </c>
      <c r="BQ597" s="16" t="b">
        <v>1</v>
      </c>
      <c r="BR597" s="23">
        <v>368.17</v>
      </c>
      <c r="BT597" s="16" t="b">
        <v>0</v>
      </c>
      <c r="BU597" s="16" t="s">
        <v>546</v>
      </c>
    </row>
    <row r="598">
      <c r="A598" s="16" t="s">
        <v>3436</v>
      </c>
      <c r="B598" s="16" t="s">
        <v>35</v>
      </c>
      <c r="C598" s="22">
        <v>45547.0</v>
      </c>
      <c r="D598" s="16" t="s">
        <v>1557</v>
      </c>
      <c r="E598" s="16" t="s">
        <v>3438</v>
      </c>
      <c r="F598" s="16" t="s">
        <v>3440</v>
      </c>
      <c r="G598" s="16" t="s">
        <v>1047</v>
      </c>
      <c r="H598" s="23">
        <v>1.0</v>
      </c>
      <c r="I598" s="23">
        <v>110.0</v>
      </c>
      <c r="J598" s="23">
        <v>110.0</v>
      </c>
      <c r="N598" s="23">
        <v>0.0</v>
      </c>
      <c r="R598" s="23">
        <v>0.0</v>
      </c>
      <c r="V598" s="23">
        <v>0.0</v>
      </c>
      <c r="Z598" s="23">
        <v>0.0</v>
      </c>
      <c r="AD598" s="23">
        <v>0.0</v>
      </c>
      <c r="AH598" s="23">
        <v>0.0</v>
      </c>
      <c r="AL598" s="23">
        <v>0.0</v>
      </c>
      <c r="AP598" s="23">
        <v>0.0</v>
      </c>
      <c r="AT598" s="23">
        <v>0.0</v>
      </c>
      <c r="AX598" s="23">
        <v>0.0</v>
      </c>
      <c r="BF598" s="23">
        <v>0.0</v>
      </c>
      <c r="BJ598" s="23">
        <v>0.0</v>
      </c>
      <c r="BN598" s="23">
        <v>0.0</v>
      </c>
      <c r="BO598" s="23">
        <v>110.0</v>
      </c>
      <c r="BP598" s="16" t="s">
        <v>3439</v>
      </c>
      <c r="BQ598" s="16" t="b">
        <v>1</v>
      </c>
      <c r="BR598" s="23">
        <v>110.0</v>
      </c>
      <c r="BT598" s="16" t="b">
        <v>0</v>
      </c>
      <c r="BU598" s="16" t="s">
        <v>546</v>
      </c>
    </row>
    <row r="599">
      <c r="A599" s="16" t="s">
        <v>3442</v>
      </c>
      <c r="B599" s="16" t="s">
        <v>35</v>
      </c>
      <c r="C599" s="22">
        <v>45547.0</v>
      </c>
      <c r="D599" s="16" t="s">
        <v>1414</v>
      </c>
      <c r="E599" s="16" t="s">
        <v>3443</v>
      </c>
      <c r="F599" s="16" t="s">
        <v>3445</v>
      </c>
      <c r="G599" s="16" t="s">
        <v>1757</v>
      </c>
      <c r="H599" s="23">
        <v>1.0</v>
      </c>
      <c r="I599" s="23">
        <v>50.0</v>
      </c>
      <c r="J599" s="23">
        <v>50.0</v>
      </c>
      <c r="N599" s="23">
        <v>0.0</v>
      </c>
      <c r="R599" s="23">
        <v>0.0</v>
      </c>
      <c r="V599" s="23">
        <v>0.0</v>
      </c>
      <c r="Z599" s="23">
        <v>0.0</v>
      </c>
      <c r="AD599" s="23">
        <v>0.0</v>
      </c>
      <c r="AH599" s="23">
        <v>0.0</v>
      </c>
      <c r="AL599" s="23">
        <v>0.0</v>
      </c>
      <c r="AP599" s="23">
        <v>0.0</v>
      </c>
      <c r="AT599" s="23">
        <v>0.0</v>
      </c>
      <c r="AX599" s="23">
        <v>0.0</v>
      </c>
      <c r="BF599" s="23">
        <v>0.0</v>
      </c>
      <c r="BJ599" s="23">
        <v>0.0</v>
      </c>
      <c r="BN599" s="23">
        <v>0.0</v>
      </c>
      <c r="BO599" s="23">
        <v>50.0</v>
      </c>
      <c r="BP599" s="16" t="s">
        <v>3444</v>
      </c>
      <c r="BQ599" s="16" t="b">
        <v>1</v>
      </c>
      <c r="BR599" s="23">
        <v>50.0</v>
      </c>
      <c r="BT599" s="16" t="b">
        <v>0</v>
      </c>
      <c r="BU599" s="16" t="s">
        <v>546</v>
      </c>
    </row>
    <row r="600">
      <c r="A600" s="16" t="s">
        <v>3448</v>
      </c>
      <c r="B600" s="16" t="s">
        <v>35</v>
      </c>
      <c r="C600" s="22">
        <v>45548.0</v>
      </c>
      <c r="D600" s="16" t="s">
        <v>112</v>
      </c>
      <c r="E600" s="16" t="s">
        <v>3449</v>
      </c>
      <c r="F600" s="16" t="s">
        <v>2959</v>
      </c>
      <c r="G600" s="16" t="s">
        <v>159</v>
      </c>
      <c r="H600" s="23">
        <v>1.0</v>
      </c>
      <c r="I600" s="23">
        <v>99.0</v>
      </c>
      <c r="J600" s="23">
        <v>99.0</v>
      </c>
      <c r="K600" s="16" t="s">
        <v>226</v>
      </c>
      <c r="L600" s="23">
        <v>1.0</v>
      </c>
      <c r="M600" s="23">
        <v>76.0</v>
      </c>
      <c r="N600" s="23">
        <v>76.0</v>
      </c>
      <c r="R600" s="23">
        <v>0.0</v>
      </c>
      <c r="V600" s="23">
        <v>0.0</v>
      </c>
      <c r="Z600" s="23">
        <v>0.0</v>
      </c>
      <c r="AD600" s="23">
        <v>0.0</v>
      </c>
      <c r="AH600" s="23">
        <v>0.0</v>
      </c>
      <c r="AL600" s="23">
        <v>0.0</v>
      </c>
      <c r="AP600" s="23">
        <v>0.0</v>
      </c>
      <c r="AT600" s="23">
        <v>0.0</v>
      </c>
      <c r="AX600" s="23">
        <v>0.0</v>
      </c>
      <c r="BF600" s="23">
        <v>0.0</v>
      </c>
      <c r="BJ600" s="23">
        <v>0.0</v>
      </c>
      <c r="BN600" s="23">
        <v>0.0</v>
      </c>
      <c r="BO600" s="23">
        <v>175.0</v>
      </c>
      <c r="BP600" s="16" t="s">
        <v>3451</v>
      </c>
      <c r="BQ600" s="16" t="b">
        <v>1</v>
      </c>
      <c r="BR600" s="23">
        <v>175.0</v>
      </c>
      <c r="BT600" s="16" t="b">
        <v>0</v>
      </c>
      <c r="BU600" s="16" t="s">
        <v>546</v>
      </c>
    </row>
    <row r="601">
      <c r="A601" s="16" t="s">
        <v>3452</v>
      </c>
      <c r="B601" s="16" t="s">
        <v>35</v>
      </c>
      <c r="C601" s="22">
        <v>45548.0</v>
      </c>
      <c r="D601" s="16" t="s">
        <v>543</v>
      </c>
      <c r="E601" s="16" t="s">
        <v>3454</v>
      </c>
      <c r="F601" s="16" t="s">
        <v>2921</v>
      </c>
      <c r="G601" s="16">
        <v>1.2539885E7</v>
      </c>
      <c r="H601" s="23">
        <v>1.0</v>
      </c>
      <c r="I601" s="23">
        <v>120.0</v>
      </c>
      <c r="J601" s="23">
        <v>120.0</v>
      </c>
      <c r="N601" s="23">
        <v>0.0</v>
      </c>
      <c r="R601" s="23">
        <v>0.0</v>
      </c>
      <c r="V601" s="23">
        <v>0.0</v>
      </c>
      <c r="Z601" s="23">
        <v>0.0</v>
      </c>
      <c r="AD601" s="23">
        <v>0.0</v>
      </c>
      <c r="AH601" s="23">
        <v>0.0</v>
      </c>
      <c r="AL601" s="23">
        <v>0.0</v>
      </c>
      <c r="AP601" s="23">
        <v>0.0</v>
      </c>
      <c r="AT601" s="23">
        <v>0.0</v>
      </c>
      <c r="AX601" s="23">
        <v>0.0</v>
      </c>
      <c r="BF601" s="23">
        <v>0.0</v>
      </c>
      <c r="BJ601" s="23">
        <v>0.0</v>
      </c>
      <c r="BN601" s="23">
        <v>0.0</v>
      </c>
      <c r="BO601" s="23">
        <v>120.0</v>
      </c>
      <c r="BP601" s="16" t="s">
        <v>3455</v>
      </c>
      <c r="BQ601" s="16" t="b">
        <v>1</v>
      </c>
      <c r="BR601" s="23">
        <v>120.0</v>
      </c>
      <c r="BT601" s="16" t="b">
        <v>0</v>
      </c>
      <c r="BU601" s="16" t="s">
        <v>546</v>
      </c>
    </row>
    <row r="602">
      <c r="A602" s="16" t="s">
        <v>3457</v>
      </c>
      <c r="B602" s="16" t="s">
        <v>35</v>
      </c>
      <c r="C602" s="22">
        <v>45548.0</v>
      </c>
      <c r="D602" s="16" t="s">
        <v>193</v>
      </c>
      <c r="E602" s="16" t="s">
        <v>3458</v>
      </c>
      <c r="F602" s="16" t="s">
        <v>767</v>
      </c>
      <c r="G602" s="16" t="s">
        <v>335</v>
      </c>
      <c r="H602" s="23">
        <v>1.0</v>
      </c>
      <c r="I602" s="23">
        <v>243.24</v>
      </c>
      <c r="J602" s="23">
        <v>243.24</v>
      </c>
      <c r="N602" s="23">
        <v>0.0</v>
      </c>
      <c r="R602" s="23">
        <v>0.0</v>
      </c>
      <c r="V602" s="23">
        <v>0.0</v>
      </c>
      <c r="Z602" s="23">
        <v>0.0</v>
      </c>
      <c r="AD602" s="23">
        <v>0.0</v>
      </c>
      <c r="AH602" s="23">
        <v>0.0</v>
      </c>
      <c r="AL602" s="23">
        <v>0.0</v>
      </c>
      <c r="AP602" s="23">
        <v>0.0</v>
      </c>
      <c r="AT602" s="23">
        <v>0.0</v>
      </c>
      <c r="AX602" s="23">
        <v>0.0</v>
      </c>
      <c r="BF602" s="23">
        <v>0.0</v>
      </c>
      <c r="BJ602" s="23">
        <v>0.0</v>
      </c>
      <c r="BN602" s="23">
        <v>0.0</v>
      </c>
      <c r="BO602" s="23">
        <v>243.24</v>
      </c>
      <c r="BP602" s="16" t="s">
        <v>3460</v>
      </c>
      <c r="BQ602" s="16" t="b">
        <v>1</v>
      </c>
      <c r="BR602" s="23">
        <v>243.24</v>
      </c>
      <c r="BT602" s="16" t="b">
        <v>0</v>
      </c>
      <c r="BU602" s="16" t="s">
        <v>546</v>
      </c>
    </row>
    <row r="603">
      <c r="A603" s="16" t="s">
        <v>3461</v>
      </c>
      <c r="B603" s="16" t="s">
        <v>35</v>
      </c>
      <c r="C603" s="22">
        <v>45551.0</v>
      </c>
      <c r="D603" s="16" t="s">
        <v>1160</v>
      </c>
      <c r="F603" s="16" t="s">
        <v>3463</v>
      </c>
      <c r="G603" s="16" t="s">
        <v>1510</v>
      </c>
      <c r="H603" s="16">
        <v>1.0</v>
      </c>
      <c r="I603" s="23">
        <v>3145.0</v>
      </c>
      <c r="J603" s="23">
        <v>3145.0</v>
      </c>
      <c r="BO603" s="23">
        <v>3145.0</v>
      </c>
      <c r="BR603" s="23">
        <v>3145.0</v>
      </c>
      <c r="BU603" s="16" t="s">
        <v>539</v>
      </c>
    </row>
    <row r="604">
      <c r="A604" s="16" t="s">
        <v>3465</v>
      </c>
      <c r="B604" s="16" t="s">
        <v>35</v>
      </c>
      <c r="C604" s="22">
        <v>45551.0</v>
      </c>
      <c r="D604" s="16" t="s">
        <v>460</v>
      </c>
      <c r="F604" s="16" t="s">
        <v>3466</v>
      </c>
      <c r="G604" s="16" t="s">
        <v>4937</v>
      </c>
      <c r="H604" s="16">
        <v>1.0</v>
      </c>
      <c r="I604" s="23">
        <v>20.0</v>
      </c>
      <c r="J604" s="23">
        <v>20.0</v>
      </c>
      <c r="BO604" s="23">
        <v>20.0</v>
      </c>
      <c r="BR604" s="23">
        <v>20.0</v>
      </c>
      <c r="BU604" s="16" t="s">
        <v>539</v>
      </c>
    </row>
    <row r="605">
      <c r="A605" s="16" t="s">
        <v>3468</v>
      </c>
      <c r="B605" s="16" t="s">
        <v>35</v>
      </c>
      <c r="C605" s="22">
        <v>45547.0</v>
      </c>
      <c r="D605" s="16" t="s">
        <v>764</v>
      </c>
      <c r="E605" s="16" t="s">
        <v>3469</v>
      </c>
      <c r="F605" s="16" t="s">
        <v>195</v>
      </c>
      <c r="G605" s="16" t="s">
        <v>1073</v>
      </c>
      <c r="H605" s="23">
        <v>1.0</v>
      </c>
      <c r="I605" s="23">
        <v>19.25</v>
      </c>
      <c r="J605" s="23">
        <v>19.25</v>
      </c>
      <c r="K605" s="16">
        <v>7.5375964E7</v>
      </c>
      <c r="L605" s="23">
        <v>1.0</v>
      </c>
      <c r="M605" s="23">
        <v>17.0</v>
      </c>
      <c r="N605" s="23">
        <v>17.0</v>
      </c>
      <c r="O605" s="16" t="s">
        <v>1404</v>
      </c>
      <c r="P605" s="23">
        <v>1.0</v>
      </c>
      <c r="Q605" s="23">
        <v>17.0</v>
      </c>
      <c r="R605" s="23">
        <v>17.0</v>
      </c>
      <c r="S605" s="16" t="s">
        <v>1074</v>
      </c>
      <c r="T605" s="23">
        <v>1.0</v>
      </c>
      <c r="U605" s="23">
        <v>185.0</v>
      </c>
      <c r="V605" s="23">
        <v>185.0</v>
      </c>
      <c r="W605" s="16" t="s">
        <v>1075</v>
      </c>
      <c r="X605" s="23">
        <v>1.0</v>
      </c>
      <c r="Y605" s="23">
        <v>38.0</v>
      </c>
      <c r="Z605" s="23">
        <v>38.0</v>
      </c>
      <c r="AA605" s="16" t="s">
        <v>1077</v>
      </c>
      <c r="AB605" s="23">
        <v>2.0</v>
      </c>
      <c r="AC605" s="23">
        <v>25.0</v>
      </c>
      <c r="AD605" s="23">
        <v>50.0</v>
      </c>
      <c r="AE605" s="16" t="s">
        <v>1079</v>
      </c>
      <c r="AF605" s="23">
        <v>25.0</v>
      </c>
      <c r="AG605" s="23">
        <v>17.5</v>
      </c>
      <c r="AH605" s="23">
        <v>437.5</v>
      </c>
      <c r="AI605" s="16" t="s">
        <v>1080</v>
      </c>
      <c r="AJ605" s="23">
        <v>1.0</v>
      </c>
      <c r="AK605" s="23">
        <v>262.5</v>
      </c>
      <c r="AL605" s="23">
        <v>262.5</v>
      </c>
      <c r="AM605" s="16" t="s">
        <v>1081</v>
      </c>
      <c r="AN605" s="23">
        <v>1.0</v>
      </c>
      <c r="AO605" s="23">
        <v>138.0</v>
      </c>
      <c r="AP605" s="23">
        <v>138.0</v>
      </c>
      <c r="AQ605" s="16" t="s">
        <v>1074</v>
      </c>
      <c r="AR605" s="23">
        <v>1.0</v>
      </c>
      <c r="AS605" s="23">
        <v>290.0</v>
      </c>
      <c r="AT605" s="23">
        <v>290.0</v>
      </c>
      <c r="AX605" s="23">
        <v>0.0</v>
      </c>
      <c r="BF605" s="23">
        <v>0.0</v>
      </c>
      <c r="BJ605" s="23">
        <v>0.0</v>
      </c>
      <c r="BN605" s="23">
        <v>0.0</v>
      </c>
      <c r="BO605" s="23">
        <v>1454.25</v>
      </c>
      <c r="BP605" s="16" t="s">
        <v>3470</v>
      </c>
      <c r="BQ605" s="16" t="b">
        <v>1</v>
      </c>
      <c r="BR605" s="23">
        <v>1454.25</v>
      </c>
      <c r="BT605" s="16" t="b">
        <v>0</v>
      </c>
      <c r="BU605" s="16" t="s">
        <v>546</v>
      </c>
    </row>
    <row r="606">
      <c r="A606" s="16" t="s">
        <v>3472</v>
      </c>
      <c r="B606" s="16" t="s">
        <v>35</v>
      </c>
      <c r="C606" s="22">
        <v>45552.0</v>
      </c>
      <c r="D606" s="16" t="s">
        <v>3473</v>
      </c>
      <c r="F606" s="16" t="s">
        <v>3475</v>
      </c>
      <c r="G606" s="23">
        <v>2.3273172E7</v>
      </c>
      <c r="H606" s="16">
        <v>1.0</v>
      </c>
      <c r="I606" s="23">
        <v>700.0</v>
      </c>
      <c r="J606" s="23">
        <v>700.0</v>
      </c>
      <c r="BO606" s="23">
        <v>700.0</v>
      </c>
      <c r="BR606" s="23">
        <v>700.0</v>
      </c>
      <c r="BU606" s="16" t="s">
        <v>539</v>
      </c>
    </row>
    <row r="607">
      <c r="A607" s="16" t="s">
        <v>3476</v>
      </c>
      <c r="B607" s="16" t="s">
        <v>35</v>
      </c>
      <c r="C607" s="22">
        <v>45553.0</v>
      </c>
      <c r="D607" s="16" t="s">
        <v>112</v>
      </c>
      <c r="E607" s="16" t="s">
        <v>3478</v>
      </c>
      <c r="F607" s="16" t="s">
        <v>2959</v>
      </c>
      <c r="G607" s="16" t="s">
        <v>155</v>
      </c>
      <c r="H607" s="23">
        <v>1.0</v>
      </c>
      <c r="I607" s="23">
        <v>48.75</v>
      </c>
      <c r="J607" s="23">
        <v>48.75</v>
      </c>
      <c r="K607" s="16" t="s">
        <v>152</v>
      </c>
      <c r="L607" s="23">
        <v>1.0</v>
      </c>
      <c r="M607" s="23">
        <v>4.36</v>
      </c>
      <c r="N607" s="23">
        <v>4.36</v>
      </c>
      <c r="R607" s="23">
        <v>0.0</v>
      </c>
      <c r="V607" s="23">
        <v>0.0</v>
      </c>
      <c r="Z607" s="23">
        <v>0.0</v>
      </c>
      <c r="AD607" s="23">
        <v>0.0</v>
      </c>
      <c r="AH607" s="23">
        <v>0.0</v>
      </c>
      <c r="AL607" s="23">
        <v>0.0</v>
      </c>
      <c r="AP607" s="23">
        <v>0.0</v>
      </c>
      <c r="AT607" s="23">
        <v>0.0</v>
      </c>
      <c r="AX607" s="23">
        <v>0.0</v>
      </c>
      <c r="BF607" s="23">
        <v>0.0</v>
      </c>
      <c r="BJ607" s="23">
        <v>0.0</v>
      </c>
      <c r="BN607" s="23">
        <v>0.0</v>
      </c>
      <c r="BO607" s="23">
        <v>53.11</v>
      </c>
      <c r="BP607" s="16" t="s">
        <v>3479</v>
      </c>
      <c r="BQ607" s="16" t="b">
        <v>1</v>
      </c>
      <c r="BR607" s="23">
        <v>53.11</v>
      </c>
      <c r="BT607" s="16" t="b">
        <v>0</v>
      </c>
      <c r="BU607" s="16" t="s">
        <v>546</v>
      </c>
    </row>
    <row r="608">
      <c r="A608" s="16" t="s">
        <v>3481</v>
      </c>
      <c r="B608" s="16" t="s">
        <v>35</v>
      </c>
      <c r="C608" s="22">
        <v>45554.0</v>
      </c>
      <c r="F608" s="16" t="s">
        <v>1329</v>
      </c>
      <c r="G608" s="16" t="s">
        <v>1168</v>
      </c>
      <c r="H608" s="16">
        <v>1.0</v>
      </c>
      <c r="I608" s="23">
        <v>400.0</v>
      </c>
      <c r="J608" s="23">
        <v>400.0</v>
      </c>
      <c r="BO608" s="23">
        <v>400.0</v>
      </c>
      <c r="BR608" s="23">
        <v>400.0</v>
      </c>
      <c r="BU608" s="16" t="s">
        <v>539</v>
      </c>
      <c r="BV608" s="16" t="s">
        <v>227</v>
      </c>
      <c r="BW608" s="16"/>
      <c r="BX608" s="16"/>
      <c r="BY608" s="16"/>
    </row>
    <row r="609">
      <c r="A609" s="16" t="s">
        <v>3483</v>
      </c>
      <c r="B609" s="16" t="s">
        <v>35</v>
      </c>
      <c r="C609" s="22">
        <v>45555.0</v>
      </c>
      <c r="D609" s="16" t="s">
        <v>112</v>
      </c>
      <c r="E609" s="16" t="s">
        <v>3485</v>
      </c>
      <c r="F609" s="16" t="s">
        <v>45</v>
      </c>
      <c r="G609" s="16" t="s">
        <v>159</v>
      </c>
      <c r="H609" s="23">
        <v>15.0</v>
      </c>
      <c r="I609" s="23">
        <v>11.5</v>
      </c>
      <c r="J609" s="23">
        <v>172.5</v>
      </c>
      <c r="K609" s="16" t="s">
        <v>155</v>
      </c>
      <c r="L609" s="23">
        <v>1.0</v>
      </c>
      <c r="M609" s="23">
        <v>31.85</v>
      </c>
      <c r="N609" s="23">
        <v>31.85</v>
      </c>
      <c r="O609" s="16" t="s">
        <v>152</v>
      </c>
      <c r="P609" s="23">
        <v>1.0</v>
      </c>
      <c r="Q609" s="23">
        <v>6.51</v>
      </c>
      <c r="R609" s="23">
        <v>6.51</v>
      </c>
      <c r="S609" s="16" t="s">
        <v>226</v>
      </c>
      <c r="T609" s="23">
        <v>10.0</v>
      </c>
      <c r="U609" s="23">
        <v>8.5</v>
      </c>
      <c r="V609" s="23">
        <v>85.0</v>
      </c>
      <c r="Z609" s="23">
        <v>0.0</v>
      </c>
      <c r="AD609" s="23">
        <v>0.0</v>
      </c>
      <c r="AH609" s="23">
        <v>0.0</v>
      </c>
      <c r="AL609" s="23">
        <v>0.0</v>
      </c>
      <c r="AP609" s="23">
        <v>0.0</v>
      </c>
      <c r="AT609" s="23">
        <v>0.0</v>
      </c>
      <c r="AX609" s="23">
        <v>0.0</v>
      </c>
      <c r="BF609" s="23">
        <v>0.0</v>
      </c>
      <c r="BJ609" s="23">
        <v>0.0</v>
      </c>
      <c r="BN609" s="23">
        <v>0.0</v>
      </c>
      <c r="BO609" s="23">
        <v>295.86</v>
      </c>
      <c r="BP609" s="16" t="s">
        <v>3486</v>
      </c>
      <c r="BQ609" s="16" t="b">
        <v>1</v>
      </c>
      <c r="BR609" s="23">
        <v>295.86</v>
      </c>
      <c r="BT609" s="16" t="b">
        <v>0</v>
      </c>
      <c r="BU609" s="16" t="s">
        <v>546</v>
      </c>
    </row>
    <row r="610">
      <c r="A610" s="16" t="s">
        <v>3488</v>
      </c>
      <c r="B610" s="16" t="s">
        <v>35</v>
      </c>
      <c r="C610" s="22">
        <v>45555.0</v>
      </c>
      <c r="D610" s="16" t="s">
        <v>543</v>
      </c>
      <c r="E610" s="16" t="s">
        <v>3489</v>
      </c>
      <c r="F610" s="16" t="s">
        <v>3014</v>
      </c>
      <c r="G610" s="16">
        <v>1.2539885E7</v>
      </c>
      <c r="H610" s="23">
        <v>1.0</v>
      </c>
      <c r="I610" s="23">
        <v>150.0</v>
      </c>
      <c r="J610" s="23">
        <v>150.0</v>
      </c>
      <c r="N610" s="23">
        <v>0.0</v>
      </c>
      <c r="R610" s="23">
        <v>0.0</v>
      </c>
      <c r="V610" s="23">
        <v>0.0</v>
      </c>
      <c r="Z610" s="23">
        <v>0.0</v>
      </c>
      <c r="AD610" s="23">
        <v>0.0</v>
      </c>
      <c r="AH610" s="23">
        <v>0.0</v>
      </c>
      <c r="AL610" s="23">
        <v>0.0</v>
      </c>
      <c r="AP610" s="23">
        <v>0.0</v>
      </c>
      <c r="AT610" s="23">
        <v>0.0</v>
      </c>
      <c r="AX610" s="23">
        <v>0.0</v>
      </c>
      <c r="BF610" s="23">
        <v>0.0</v>
      </c>
      <c r="BJ610" s="23">
        <v>0.0</v>
      </c>
      <c r="BN610" s="23">
        <v>0.0</v>
      </c>
      <c r="BO610" s="23">
        <v>150.0</v>
      </c>
      <c r="BP610" s="16" t="s">
        <v>3490</v>
      </c>
      <c r="BQ610" s="16" t="b">
        <v>1</v>
      </c>
      <c r="BR610" s="23">
        <v>150.0</v>
      </c>
      <c r="BT610" s="16" t="b">
        <v>0</v>
      </c>
      <c r="BU610" s="16" t="s">
        <v>546</v>
      </c>
    </row>
    <row r="611">
      <c r="A611" s="16" t="s">
        <v>3492</v>
      </c>
      <c r="B611" s="16" t="s">
        <v>35</v>
      </c>
      <c r="C611" s="22">
        <v>45555.0</v>
      </c>
      <c r="D611" s="16" t="s">
        <v>3493</v>
      </c>
      <c r="E611" s="16" t="s">
        <v>3494</v>
      </c>
      <c r="F611" s="16" t="s">
        <v>3109</v>
      </c>
      <c r="G611" s="16" t="s">
        <v>305</v>
      </c>
      <c r="H611" s="23">
        <v>1.0</v>
      </c>
      <c r="I611" s="23">
        <v>88.27</v>
      </c>
      <c r="J611" s="23">
        <v>88.27</v>
      </c>
      <c r="N611" s="23">
        <v>0.0</v>
      </c>
      <c r="R611" s="23">
        <v>0.0</v>
      </c>
      <c r="V611" s="23">
        <v>0.0</v>
      </c>
      <c r="Z611" s="23">
        <v>0.0</v>
      </c>
      <c r="AD611" s="23">
        <v>0.0</v>
      </c>
      <c r="AH611" s="23">
        <v>0.0</v>
      </c>
      <c r="AL611" s="23">
        <v>0.0</v>
      </c>
      <c r="AP611" s="23">
        <v>0.0</v>
      </c>
      <c r="AT611" s="23">
        <v>0.0</v>
      </c>
      <c r="AX611" s="23">
        <v>0.0</v>
      </c>
      <c r="BF611" s="23">
        <v>0.0</v>
      </c>
      <c r="BJ611" s="23">
        <v>0.0</v>
      </c>
      <c r="BN611" s="23">
        <v>0.0</v>
      </c>
      <c r="BO611" s="23">
        <v>88.27</v>
      </c>
      <c r="BP611" s="16" t="s">
        <v>3495</v>
      </c>
      <c r="BQ611" s="16" t="b">
        <v>1</v>
      </c>
      <c r="BR611" s="23">
        <v>88.27</v>
      </c>
      <c r="BS611" s="23">
        <v>1064342.0</v>
      </c>
      <c r="BT611" s="16" t="b">
        <v>1</v>
      </c>
      <c r="BU611" s="16" t="s">
        <v>546</v>
      </c>
    </row>
    <row r="612">
      <c r="A612" s="16" t="s">
        <v>3498</v>
      </c>
      <c r="B612" s="16" t="s">
        <v>35</v>
      </c>
      <c r="C612" s="22">
        <v>45556.0</v>
      </c>
      <c r="D612" s="16" t="s">
        <v>112</v>
      </c>
      <c r="E612" s="16" t="s">
        <v>3499</v>
      </c>
      <c r="F612" s="16" t="s">
        <v>45</v>
      </c>
      <c r="G612" s="16" t="s">
        <v>159</v>
      </c>
      <c r="H612" s="23">
        <v>1.0</v>
      </c>
      <c r="I612" s="23">
        <v>119.0</v>
      </c>
      <c r="J612" s="23">
        <v>119.0</v>
      </c>
      <c r="K612" s="16" t="s">
        <v>155</v>
      </c>
      <c r="L612" s="23">
        <v>1.0</v>
      </c>
      <c r="M612" s="23">
        <v>44.0</v>
      </c>
      <c r="N612" s="23">
        <v>44.0</v>
      </c>
      <c r="O612" s="16" t="s">
        <v>152</v>
      </c>
      <c r="P612" s="23">
        <v>1.0</v>
      </c>
      <c r="Q612" s="23">
        <v>9.12</v>
      </c>
      <c r="R612" s="23">
        <v>9.12</v>
      </c>
      <c r="S612" s="16" t="s">
        <v>226</v>
      </c>
      <c r="T612" s="23">
        <v>1.0</v>
      </c>
      <c r="U612" s="23">
        <v>127.5</v>
      </c>
      <c r="V612" s="23">
        <v>127.5</v>
      </c>
      <c r="Z612" s="23">
        <v>0.0</v>
      </c>
      <c r="AD612" s="23">
        <v>0.0</v>
      </c>
      <c r="AH612" s="23">
        <v>0.0</v>
      </c>
      <c r="AL612" s="23">
        <v>0.0</v>
      </c>
      <c r="AP612" s="23">
        <v>0.0</v>
      </c>
      <c r="AT612" s="23">
        <v>0.0</v>
      </c>
      <c r="AX612" s="23">
        <v>0.0</v>
      </c>
      <c r="BF612" s="23">
        <v>0.0</v>
      </c>
      <c r="BJ612" s="23">
        <v>0.0</v>
      </c>
      <c r="BN612" s="23">
        <v>0.0</v>
      </c>
      <c r="BO612" s="23">
        <v>299.62</v>
      </c>
      <c r="BP612" s="16" t="s">
        <v>3501</v>
      </c>
      <c r="BQ612" s="16" t="b">
        <v>1</v>
      </c>
      <c r="BR612" s="23">
        <v>299.62</v>
      </c>
      <c r="BT612" s="16" t="b">
        <v>0</v>
      </c>
      <c r="BU612" s="16" t="s">
        <v>546</v>
      </c>
    </row>
    <row r="613">
      <c r="A613" s="16" t="s">
        <v>3503</v>
      </c>
      <c r="B613" s="16" t="s">
        <v>35</v>
      </c>
      <c r="C613" s="22">
        <v>45557.0</v>
      </c>
      <c r="D613" s="16" t="s">
        <v>3504</v>
      </c>
      <c r="E613" s="16" t="s">
        <v>3505</v>
      </c>
      <c r="F613" s="16" t="s">
        <v>1457</v>
      </c>
      <c r="G613" s="16" t="s">
        <v>305</v>
      </c>
      <c r="H613" s="23">
        <v>1.0</v>
      </c>
      <c r="I613" s="23">
        <v>12.51</v>
      </c>
      <c r="J613" s="23">
        <v>12.51</v>
      </c>
      <c r="N613" s="23">
        <v>0.0</v>
      </c>
      <c r="R613" s="23">
        <v>0.0</v>
      </c>
      <c r="V613" s="23">
        <v>0.0</v>
      </c>
      <c r="Z613" s="23">
        <v>0.0</v>
      </c>
      <c r="AD613" s="23">
        <v>0.0</v>
      </c>
      <c r="AH613" s="23">
        <v>0.0</v>
      </c>
      <c r="AL613" s="23">
        <v>0.0</v>
      </c>
      <c r="AP613" s="23">
        <v>0.0</v>
      </c>
      <c r="AT613" s="23">
        <v>0.0</v>
      </c>
      <c r="AX613" s="23">
        <v>0.0</v>
      </c>
      <c r="BF613" s="23">
        <v>0.0</v>
      </c>
      <c r="BJ613" s="23">
        <v>0.0</v>
      </c>
      <c r="BN613" s="23">
        <v>0.0</v>
      </c>
      <c r="BO613" s="23">
        <v>12.51</v>
      </c>
      <c r="BP613" s="16" t="s">
        <v>3506</v>
      </c>
      <c r="BQ613" s="16" t="b">
        <v>1</v>
      </c>
      <c r="BR613" s="23">
        <v>12.51</v>
      </c>
      <c r="BS613" s="23">
        <v>1064313.0</v>
      </c>
      <c r="BT613" s="16" t="b">
        <v>1</v>
      </c>
      <c r="BU613" s="16" t="s">
        <v>546</v>
      </c>
    </row>
    <row r="614">
      <c r="A614" s="16" t="s">
        <v>3508</v>
      </c>
      <c r="B614" s="16" t="s">
        <v>35</v>
      </c>
      <c r="C614" s="22">
        <v>45558.0</v>
      </c>
      <c r="D614" s="16" t="s">
        <v>890</v>
      </c>
      <c r="F614" s="16" t="s">
        <v>3509</v>
      </c>
      <c r="G614" s="16" t="s">
        <v>3833</v>
      </c>
      <c r="H614" s="16">
        <v>1.0</v>
      </c>
      <c r="I614" s="23">
        <v>1978.31</v>
      </c>
      <c r="J614" s="23">
        <v>1978.31</v>
      </c>
      <c r="BO614" s="23">
        <v>1978.31</v>
      </c>
      <c r="BR614" s="23">
        <v>1978.31</v>
      </c>
      <c r="BU614" s="16" t="s">
        <v>539</v>
      </c>
    </row>
    <row r="615">
      <c r="A615" s="16" t="s">
        <v>3512</v>
      </c>
      <c r="B615" s="16" t="s">
        <v>35</v>
      </c>
      <c r="C615" s="22">
        <v>45558.0</v>
      </c>
      <c r="D615" s="16" t="s">
        <v>890</v>
      </c>
      <c r="F615" s="16" t="s">
        <v>3513</v>
      </c>
      <c r="G615" s="16" t="s">
        <v>3833</v>
      </c>
      <c r="H615" s="16">
        <v>1.0</v>
      </c>
      <c r="I615" s="23">
        <v>2.14</v>
      </c>
      <c r="J615" s="23">
        <v>2.14</v>
      </c>
      <c r="BO615" s="23">
        <v>2.14</v>
      </c>
      <c r="BR615" s="23">
        <v>2.14</v>
      </c>
      <c r="BU615" s="16" t="s">
        <v>539</v>
      </c>
    </row>
    <row r="616">
      <c r="A616" s="16" t="s">
        <v>3515</v>
      </c>
      <c r="B616" s="16" t="s">
        <v>35</v>
      </c>
      <c r="C616" s="22">
        <v>45558.0</v>
      </c>
      <c r="D616" s="16" t="s">
        <v>3516</v>
      </c>
      <c r="F616" s="16" t="s">
        <v>3517</v>
      </c>
      <c r="G616" s="16" t="s">
        <v>5020</v>
      </c>
      <c r="H616" s="16">
        <v>1.0</v>
      </c>
      <c r="I616" s="23">
        <v>179.0</v>
      </c>
      <c r="J616" s="23">
        <v>179.0</v>
      </c>
      <c r="BO616" s="23">
        <v>179.0</v>
      </c>
      <c r="BR616" s="23">
        <v>179.0</v>
      </c>
      <c r="BU616" s="16" t="s">
        <v>539</v>
      </c>
    </row>
    <row r="617">
      <c r="A617" s="16" t="s">
        <v>3519</v>
      </c>
      <c r="B617" s="16" t="s">
        <v>35</v>
      </c>
      <c r="C617" s="22">
        <v>45558.0</v>
      </c>
      <c r="D617" s="16" t="s">
        <v>543</v>
      </c>
      <c r="E617" s="16" t="s">
        <v>3521</v>
      </c>
      <c r="F617" s="16" t="s">
        <v>2921</v>
      </c>
      <c r="G617" s="16">
        <v>1.2539885E7</v>
      </c>
      <c r="H617" s="23">
        <v>1.0</v>
      </c>
      <c r="I617" s="23">
        <v>150.0</v>
      </c>
      <c r="J617" s="23">
        <v>150.0</v>
      </c>
      <c r="N617" s="23">
        <v>0.0</v>
      </c>
      <c r="R617" s="23">
        <v>0.0</v>
      </c>
      <c r="V617" s="23">
        <v>0.0</v>
      </c>
      <c r="Z617" s="23">
        <v>0.0</v>
      </c>
      <c r="AD617" s="23">
        <v>0.0</v>
      </c>
      <c r="AH617" s="23">
        <v>0.0</v>
      </c>
      <c r="AL617" s="23">
        <v>0.0</v>
      </c>
      <c r="AP617" s="23">
        <v>0.0</v>
      </c>
      <c r="AT617" s="23">
        <v>0.0</v>
      </c>
      <c r="AX617" s="23">
        <v>0.0</v>
      </c>
      <c r="BF617" s="23">
        <v>0.0</v>
      </c>
      <c r="BJ617" s="23">
        <v>0.0</v>
      </c>
      <c r="BN617" s="23">
        <v>0.0</v>
      </c>
      <c r="BO617" s="23">
        <v>150.0</v>
      </c>
      <c r="BP617" s="16" t="s">
        <v>3522</v>
      </c>
      <c r="BQ617" s="16" t="b">
        <v>1</v>
      </c>
      <c r="BR617" s="23">
        <v>150.0</v>
      </c>
      <c r="BT617" s="16" t="b">
        <v>0</v>
      </c>
      <c r="BU617" s="16" t="s">
        <v>546</v>
      </c>
    </row>
    <row r="618">
      <c r="A618" s="23">
        <v>1.2519604E7</v>
      </c>
      <c r="B618" s="16" t="s">
        <v>35</v>
      </c>
      <c r="C618" s="22">
        <v>45555.0</v>
      </c>
      <c r="D618" s="16" t="s">
        <v>890</v>
      </c>
      <c r="E618" s="16" t="s">
        <v>3524</v>
      </c>
      <c r="F618" s="16" t="s">
        <v>893</v>
      </c>
      <c r="G618" s="16" t="s">
        <v>1510</v>
      </c>
      <c r="H618" s="23">
        <v>1.0</v>
      </c>
      <c r="I618" s="23">
        <v>20854.09</v>
      </c>
      <c r="J618" s="23">
        <v>20854.09</v>
      </c>
      <c r="N618" s="23">
        <v>0.0</v>
      </c>
      <c r="R618" s="23">
        <v>0.0</v>
      </c>
      <c r="V618" s="23">
        <v>0.0</v>
      </c>
      <c r="Z618" s="23">
        <v>0.0</v>
      </c>
      <c r="AD618" s="23">
        <v>0.0</v>
      </c>
      <c r="AH618" s="23">
        <v>0.0</v>
      </c>
      <c r="AL618" s="23">
        <v>0.0</v>
      </c>
      <c r="AP618" s="23">
        <v>0.0</v>
      </c>
      <c r="AT618" s="23">
        <v>0.0</v>
      </c>
      <c r="AX618" s="23">
        <v>0.0</v>
      </c>
      <c r="BF618" s="23">
        <v>0.0</v>
      </c>
      <c r="BJ618" s="23">
        <v>0.0</v>
      </c>
      <c r="BN618" s="23">
        <v>0.0</v>
      </c>
      <c r="BO618" s="23">
        <v>20854.09</v>
      </c>
      <c r="BP618" s="16" t="s">
        <v>3525</v>
      </c>
      <c r="BQ618" s="16" t="b">
        <v>1</v>
      </c>
      <c r="BR618" s="23">
        <v>20854.09</v>
      </c>
      <c r="BT618" s="16" t="b">
        <v>0</v>
      </c>
      <c r="BU618" s="16" t="s">
        <v>546</v>
      </c>
    </row>
    <row r="619">
      <c r="A619" s="16" t="s">
        <v>3527</v>
      </c>
      <c r="B619" s="16" t="s">
        <v>35</v>
      </c>
      <c r="C619" s="22">
        <v>45551.0</v>
      </c>
      <c r="D619" s="16" t="s">
        <v>890</v>
      </c>
      <c r="E619" s="16" t="s">
        <v>3528</v>
      </c>
      <c r="F619" s="16" t="s">
        <v>2072</v>
      </c>
      <c r="G619" s="16" t="s">
        <v>1517</v>
      </c>
      <c r="H619" s="23">
        <v>1.0</v>
      </c>
      <c r="I619" s="23">
        <v>10416.43</v>
      </c>
      <c r="J619" s="23">
        <v>10416.43</v>
      </c>
      <c r="N619" s="23">
        <v>0.0</v>
      </c>
      <c r="R619" s="23">
        <v>0.0</v>
      </c>
      <c r="V619" s="23">
        <v>0.0</v>
      </c>
      <c r="Z619" s="23">
        <v>0.0</v>
      </c>
      <c r="AD619" s="23">
        <v>0.0</v>
      </c>
      <c r="AH619" s="23">
        <v>0.0</v>
      </c>
      <c r="AL619" s="23">
        <v>0.0</v>
      </c>
      <c r="AP619" s="23">
        <v>0.0</v>
      </c>
      <c r="AT619" s="23">
        <v>0.0</v>
      </c>
      <c r="AX619" s="23">
        <v>0.0</v>
      </c>
      <c r="BF619" s="23">
        <v>0.0</v>
      </c>
      <c r="BJ619" s="23">
        <v>0.0</v>
      </c>
      <c r="BN619" s="23">
        <v>0.0</v>
      </c>
      <c r="BO619" s="23">
        <v>10416.43</v>
      </c>
      <c r="BP619" s="16" t="s">
        <v>3530</v>
      </c>
      <c r="BQ619" s="16" t="b">
        <v>1</v>
      </c>
      <c r="BR619" s="23">
        <v>10416.43</v>
      </c>
      <c r="BT619" s="16" t="b">
        <v>0</v>
      </c>
      <c r="BU619" s="16" t="s">
        <v>546</v>
      </c>
    </row>
    <row r="620">
      <c r="A620" s="16" t="s">
        <v>3531</v>
      </c>
      <c r="B620" s="16" t="s">
        <v>35</v>
      </c>
      <c r="C620" s="22">
        <v>45558.0</v>
      </c>
      <c r="D620" s="16" t="s">
        <v>112</v>
      </c>
      <c r="E620" s="16" t="s">
        <v>3533</v>
      </c>
      <c r="F620" s="16" t="s">
        <v>45</v>
      </c>
      <c r="G620" s="16" t="s">
        <v>159</v>
      </c>
      <c r="H620" s="23">
        <v>15.0</v>
      </c>
      <c r="I620" s="23">
        <v>11.5</v>
      </c>
      <c r="J620" s="23">
        <v>172.5</v>
      </c>
      <c r="K620" s="16" t="s">
        <v>155</v>
      </c>
      <c r="L620" s="23">
        <v>1.0</v>
      </c>
      <c r="M620" s="23">
        <v>55.27</v>
      </c>
      <c r="N620" s="23">
        <v>55.27</v>
      </c>
      <c r="O620" s="16" t="s">
        <v>152</v>
      </c>
      <c r="P620" s="23">
        <v>1.0</v>
      </c>
      <c r="Q620" s="23">
        <v>21.76</v>
      </c>
      <c r="R620" s="23">
        <v>21.76</v>
      </c>
      <c r="V620" s="23">
        <v>0.0</v>
      </c>
      <c r="Z620" s="23">
        <v>0.0</v>
      </c>
      <c r="AD620" s="23">
        <v>0.0</v>
      </c>
      <c r="AH620" s="23">
        <v>0.0</v>
      </c>
      <c r="AL620" s="23">
        <v>0.0</v>
      </c>
      <c r="AP620" s="23">
        <v>0.0</v>
      </c>
      <c r="AT620" s="23">
        <v>0.0</v>
      </c>
      <c r="AX620" s="23">
        <v>0.0</v>
      </c>
      <c r="BF620" s="23">
        <v>0.0</v>
      </c>
      <c r="BJ620" s="23">
        <v>0.0</v>
      </c>
      <c r="BN620" s="23">
        <v>0.0</v>
      </c>
      <c r="BO620" s="23">
        <v>249.53</v>
      </c>
      <c r="BP620" s="16" t="s">
        <v>3534</v>
      </c>
      <c r="BQ620" s="16" t="b">
        <v>1</v>
      </c>
      <c r="BR620" s="23">
        <v>249.53</v>
      </c>
      <c r="BT620" s="16" t="b">
        <v>0</v>
      </c>
      <c r="BU620" s="16" t="s">
        <v>546</v>
      </c>
    </row>
    <row r="621">
      <c r="A621" s="16" t="s">
        <v>3536</v>
      </c>
      <c r="B621" s="16" t="s">
        <v>35</v>
      </c>
      <c r="C621" s="22">
        <v>45559.0</v>
      </c>
      <c r="D621" s="16" t="s">
        <v>2613</v>
      </c>
      <c r="E621" s="16" t="s">
        <v>3537</v>
      </c>
      <c r="F621" s="16" t="s">
        <v>3406</v>
      </c>
      <c r="G621" s="16" t="s">
        <v>238</v>
      </c>
      <c r="H621" s="23">
        <v>12.0</v>
      </c>
      <c r="I621" s="23">
        <v>5.9</v>
      </c>
      <c r="J621" s="23">
        <v>70.8</v>
      </c>
      <c r="N621" s="23">
        <v>0.0</v>
      </c>
      <c r="R621" s="23">
        <v>0.0</v>
      </c>
      <c r="V621" s="23">
        <v>0.0</v>
      </c>
      <c r="Z621" s="23">
        <v>0.0</v>
      </c>
      <c r="AD621" s="23">
        <v>0.0</v>
      </c>
      <c r="AH621" s="23">
        <v>0.0</v>
      </c>
      <c r="AL621" s="23">
        <v>0.0</v>
      </c>
      <c r="AP621" s="23">
        <v>0.0</v>
      </c>
      <c r="AT621" s="23">
        <v>0.0</v>
      </c>
      <c r="AX621" s="23">
        <v>0.0</v>
      </c>
      <c r="BF621" s="23">
        <v>0.0</v>
      </c>
      <c r="BJ621" s="23">
        <v>0.0</v>
      </c>
      <c r="BN621" s="23">
        <v>0.0</v>
      </c>
      <c r="BO621" s="23">
        <v>70.8</v>
      </c>
      <c r="BP621" s="16" t="s">
        <v>3538</v>
      </c>
      <c r="BQ621" s="16" t="b">
        <v>1</v>
      </c>
      <c r="BR621" s="23">
        <v>70.8</v>
      </c>
      <c r="BS621" s="23">
        <v>1067557.0</v>
      </c>
      <c r="BT621" s="16" t="b">
        <v>1</v>
      </c>
      <c r="BU621" s="16" t="s">
        <v>546</v>
      </c>
    </row>
    <row r="622">
      <c r="A622" s="16" t="s">
        <v>3540</v>
      </c>
      <c r="B622" s="16" t="s">
        <v>35</v>
      </c>
      <c r="C622" s="22">
        <v>45560.0</v>
      </c>
      <c r="F622" s="16" t="s">
        <v>1329</v>
      </c>
      <c r="G622" s="16" t="s">
        <v>1168</v>
      </c>
      <c r="H622" s="16">
        <v>1.0</v>
      </c>
      <c r="I622" s="23">
        <v>200.0</v>
      </c>
      <c r="J622" s="23">
        <v>200.0</v>
      </c>
      <c r="BO622" s="23">
        <v>200.0</v>
      </c>
      <c r="BR622" s="23">
        <v>200.0</v>
      </c>
      <c r="BU622" s="16" t="s">
        <v>539</v>
      </c>
      <c r="BV622" s="16" t="s">
        <v>3306</v>
      </c>
      <c r="BW622" s="16"/>
      <c r="BX622" s="16"/>
      <c r="BY622" s="16"/>
    </row>
    <row r="623">
      <c r="A623" s="16" t="s">
        <v>3543</v>
      </c>
      <c r="B623" s="16" t="s">
        <v>35</v>
      </c>
      <c r="C623" s="22">
        <v>45560.0</v>
      </c>
      <c r="D623" s="16" t="s">
        <v>112</v>
      </c>
      <c r="E623" s="16" t="s">
        <v>3544</v>
      </c>
      <c r="F623" s="16" t="s">
        <v>45</v>
      </c>
      <c r="G623" s="16" t="s">
        <v>159</v>
      </c>
      <c r="H623" s="23">
        <v>15.0</v>
      </c>
      <c r="I623" s="23">
        <v>11.5</v>
      </c>
      <c r="J623" s="23">
        <v>172.5</v>
      </c>
      <c r="K623" s="16">
        <v>1.2539885E7</v>
      </c>
      <c r="L623" s="23">
        <v>20.0</v>
      </c>
      <c r="M623" s="23">
        <v>6.0</v>
      </c>
      <c r="N623" s="23">
        <v>120.0</v>
      </c>
      <c r="O623" s="16" t="s">
        <v>230</v>
      </c>
      <c r="P623" s="23">
        <v>5.0</v>
      </c>
      <c r="Q623" s="23">
        <v>24.0</v>
      </c>
      <c r="R623" s="23">
        <v>120.0</v>
      </c>
      <c r="V623" s="23">
        <v>0.0</v>
      </c>
      <c r="Z623" s="23">
        <v>0.0</v>
      </c>
      <c r="AD623" s="23">
        <v>0.0</v>
      </c>
      <c r="AH623" s="23">
        <v>0.0</v>
      </c>
      <c r="AL623" s="23">
        <v>0.0</v>
      </c>
      <c r="AP623" s="23">
        <v>0.0</v>
      </c>
      <c r="AT623" s="23">
        <v>0.0</v>
      </c>
      <c r="AX623" s="23">
        <v>0.0</v>
      </c>
      <c r="BF623" s="23">
        <v>0.0</v>
      </c>
      <c r="BJ623" s="23">
        <v>0.0</v>
      </c>
      <c r="BN623" s="23">
        <v>0.0</v>
      </c>
      <c r="BO623" s="23">
        <v>412.5</v>
      </c>
      <c r="BP623" s="16" t="s">
        <v>3545</v>
      </c>
      <c r="BQ623" s="16" t="b">
        <v>1</v>
      </c>
      <c r="BR623" s="23">
        <v>412.5</v>
      </c>
      <c r="BT623" s="16" t="b">
        <v>0</v>
      </c>
      <c r="BU623" s="16" t="s">
        <v>546</v>
      </c>
    </row>
    <row r="624">
      <c r="A624" s="16" t="s">
        <v>3548</v>
      </c>
      <c r="B624" s="16" t="s">
        <v>35</v>
      </c>
      <c r="C624" s="22">
        <v>45561.0</v>
      </c>
      <c r="D624" s="16" t="s">
        <v>2644</v>
      </c>
      <c r="E624" s="16" t="s">
        <v>3550</v>
      </c>
      <c r="F624" s="16" t="s">
        <v>195</v>
      </c>
      <c r="G624" s="16" t="s">
        <v>1074</v>
      </c>
      <c r="H624" s="23">
        <v>1.0</v>
      </c>
      <c r="I624" s="23">
        <v>131.5</v>
      </c>
      <c r="J624" s="23">
        <v>131.5</v>
      </c>
      <c r="K624" s="16" t="s">
        <v>1384</v>
      </c>
      <c r="L624" s="23">
        <v>1.0</v>
      </c>
      <c r="M624" s="23">
        <v>131.5</v>
      </c>
      <c r="N624" s="23">
        <v>131.5</v>
      </c>
      <c r="O624" s="16" t="s">
        <v>1073</v>
      </c>
      <c r="P624" s="23">
        <v>1.0</v>
      </c>
      <c r="Q624" s="23">
        <v>131.5</v>
      </c>
      <c r="R624" s="23">
        <v>131.5</v>
      </c>
      <c r="S624" s="16" t="s">
        <v>1075</v>
      </c>
      <c r="T624" s="23">
        <v>1.0</v>
      </c>
      <c r="U624" s="23">
        <v>131.5</v>
      </c>
      <c r="V624" s="23">
        <v>131.5</v>
      </c>
      <c r="W624" s="16" t="s">
        <v>1081</v>
      </c>
      <c r="X624" s="23">
        <v>1.0</v>
      </c>
      <c r="Y624" s="23">
        <v>131.5</v>
      </c>
      <c r="Z624" s="23">
        <v>131.5</v>
      </c>
      <c r="AA624" s="16">
        <v>7.5375964E7</v>
      </c>
      <c r="AB624" s="23">
        <v>1.0</v>
      </c>
      <c r="AC624" s="23">
        <v>131.5</v>
      </c>
      <c r="AD624" s="23">
        <v>131.5</v>
      </c>
      <c r="AE624" s="16" t="s">
        <v>1079</v>
      </c>
      <c r="AF624" s="23">
        <v>1.0</v>
      </c>
      <c r="AG624" s="23">
        <v>131.5</v>
      </c>
      <c r="AH624" s="23">
        <v>131.5</v>
      </c>
      <c r="AI624" s="16" t="s">
        <v>1080</v>
      </c>
      <c r="AJ624" s="23">
        <v>1.0</v>
      </c>
      <c r="AK624" s="23">
        <v>131.5</v>
      </c>
      <c r="AL624" s="23">
        <v>131.5</v>
      </c>
      <c r="AP624" s="23">
        <v>0.0</v>
      </c>
      <c r="AT624" s="23">
        <v>0.0</v>
      </c>
      <c r="AX624" s="23">
        <v>0.0</v>
      </c>
      <c r="BF624" s="23">
        <v>0.0</v>
      </c>
      <c r="BJ624" s="23">
        <v>0.0</v>
      </c>
      <c r="BN624" s="23">
        <v>0.0</v>
      </c>
      <c r="BO624" s="23">
        <v>1052.0</v>
      </c>
      <c r="BP624" s="16" t="s">
        <v>3551</v>
      </c>
      <c r="BQ624" s="16" t="b">
        <v>1</v>
      </c>
      <c r="BR624" s="23">
        <v>1052.0</v>
      </c>
      <c r="BT624" s="16" t="b">
        <v>0</v>
      </c>
      <c r="BU624" s="16" t="s">
        <v>546</v>
      </c>
    </row>
    <row r="625">
      <c r="A625" s="16" t="s">
        <v>3553</v>
      </c>
      <c r="B625" s="16" t="s">
        <v>35</v>
      </c>
      <c r="C625" s="22">
        <v>45564.0</v>
      </c>
      <c r="D625" s="16" t="s">
        <v>1383</v>
      </c>
      <c r="F625" s="16" t="s">
        <v>3555</v>
      </c>
      <c r="G625" s="16" t="s">
        <v>1510</v>
      </c>
      <c r="H625" s="16">
        <v>1.0</v>
      </c>
      <c r="I625" s="23">
        <v>1750.0</v>
      </c>
      <c r="J625" s="23">
        <v>1750.0</v>
      </c>
      <c r="BO625" s="23">
        <v>1750.0</v>
      </c>
      <c r="BR625" s="23">
        <v>1750.0</v>
      </c>
      <c r="BU625" s="16" t="s">
        <v>539</v>
      </c>
    </row>
    <row r="626">
      <c r="A626" s="16" t="s">
        <v>3557</v>
      </c>
      <c r="B626" s="16" t="s">
        <v>35</v>
      </c>
      <c r="C626" s="22">
        <v>45564.0</v>
      </c>
      <c r="D626" s="16" t="s">
        <v>460</v>
      </c>
      <c r="F626" s="16" t="s">
        <v>931</v>
      </c>
      <c r="G626" s="16" t="s">
        <v>1126</v>
      </c>
      <c r="H626" s="16">
        <v>1.0</v>
      </c>
      <c r="I626" s="23">
        <v>30.0</v>
      </c>
      <c r="J626" s="23">
        <v>30.0</v>
      </c>
      <c r="BO626" s="23">
        <v>30.0</v>
      </c>
      <c r="BR626" s="23">
        <v>30.0</v>
      </c>
      <c r="BU626" s="16" t="s">
        <v>539</v>
      </c>
    </row>
    <row r="627">
      <c r="A627" s="16" t="s">
        <v>3559</v>
      </c>
      <c r="B627" s="16" t="s">
        <v>35</v>
      </c>
      <c r="C627" s="22">
        <v>45551.0</v>
      </c>
      <c r="D627" s="16" t="s">
        <v>3155</v>
      </c>
      <c r="E627" s="16" t="s">
        <v>3561</v>
      </c>
      <c r="F627" s="16" t="s">
        <v>3563</v>
      </c>
      <c r="G627" s="16" t="s">
        <v>1668</v>
      </c>
      <c r="H627" s="23">
        <v>1.0</v>
      </c>
      <c r="I627" s="23">
        <v>114.46</v>
      </c>
      <c r="J627" s="23">
        <v>114.46</v>
      </c>
      <c r="N627" s="23">
        <v>0.0</v>
      </c>
      <c r="R627" s="23">
        <v>0.0</v>
      </c>
      <c r="V627" s="23">
        <v>0.0</v>
      </c>
      <c r="Z627" s="23">
        <v>0.0</v>
      </c>
      <c r="AD627" s="23">
        <v>0.0</v>
      </c>
      <c r="AH627" s="23">
        <v>0.0</v>
      </c>
      <c r="AL627" s="23">
        <v>0.0</v>
      </c>
      <c r="AP627" s="23">
        <v>0.0</v>
      </c>
      <c r="AT627" s="23">
        <v>0.0</v>
      </c>
      <c r="AX627" s="23">
        <v>0.0</v>
      </c>
      <c r="BF627" s="23">
        <v>0.0</v>
      </c>
      <c r="BJ627" s="23">
        <v>0.0</v>
      </c>
      <c r="BN627" s="23">
        <v>0.0</v>
      </c>
      <c r="BO627" s="23">
        <v>114.46</v>
      </c>
      <c r="BP627" s="16" t="s">
        <v>3562</v>
      </c>
      <c r="BQ627" s="16" t="b">
        <v>1</v>
      </c>
      <c r="BR627" s="23">
        <v>114.46</v>
      </c>
      <c r="BT627" s="16" t="b">
        <v>0</v>
      </c>
      <c r="BU627" s="16" t="s">
        <v>546</v>
      </c>
    </row>
    <row r="628">
      <c r="A628" s="16" t="s">
        <v>3566</v>
      </c>
      <c r="B628" s="16" t="s">
        <v>35</v>
      </c>
      <c r="C628" s="22">
        <v>45562.0</v>
      </c>
      <c r="D628" s="16" t="s">
        <v>543</v>
      </c>
      <c r="E628" s="16" t="s">
        <v>3567</v>
      </c>
      <c r="F628" s="16" t="s">
        <v>2921</v>
      </c>
      <c r="G628" s="16">
        <v>1.2539885E7</v>
      </c>
      <c r="H628" s="23">
        <v>1.0</v>
      </c>
      <c r="I628" s="23">
        <v>500.0</v>
      </c>
      <c r="J628" s="23">
        <v>500.0</v>
      </c>
      <c r="N628" s="23">
        <v>0.0</v>
      </c>
      <c r="R628" s="23">
        <v>0.0</v>
      </c>
      <c r="V628" s="23">
        <v>0.0</v>
      </c>
      <c r="Z628" s="23">
        <v>0.0</v>
      </c>
      <c r="AD628" s="23">
        <v>0.0</v>
      </c>
      <c r="AH628" s="23">
        <v>0.0</v>
      </c>
      <c r="AL628" s="23">
        <v>0.0</v>
      </c>
      <c r="AP628" s="23">
        <v>0.0</v>
      </c>
      <c r="AT628" s="23">
        <v>0.0</v>
      </c>
      <c r="AX628" s="23">
        <v>0.0</v>
      </c>
      <c r="BF628" s="23">
        <v>0.0</v>
      </c>
      <c r="BJ628" s="23">
        <v>0.0</v>
      </c>
      <c r="BN628" s="23">
        <v>0.0</v>
      </c>
      <c r="BO628" s="23">
        <v>500.0</v>
      </c>
      <c r="BP628" s="16" t="s">
        <v>3568</v>
      </c>
      <c r="BQ628" s="16" t="b">
        <v>1</v>
      </c>
      <c r="BR628" s="23">
        <v>500.0</v>
      </c>
      <c r="BT628" s="16" t="b">
        <v>0</v>
      </c>
      <c r="BU628" s="16" t="s">
        <v>546</v>
      </c>
    </row>
    <row r="629">
      <c r="A629" s="16" t="s">
        <v>3570</v>
      </c>
      <c r="B629" s="16" t="s">
        <v>35</v>
      </c>
      <c r="C629" s="22">
        <v>45562.0</v>
      </c>
      <c r="D629" s="16" t="s">
        <v>175</v>
      </c>
      <c r="E629" s="16" t="s">
        <v>3572</v>
      </c>
      <c r="F629" s="16" t="s">
        <v>3574</v>
      </c>
      <c r="G629" s="16" t="s">
        <v>305</v>
      </c>
      <c r="H629" s="23">
        <v>1.0</v>
      </c>
      <c r="I629" s="23">
        <v>316.78</v>
      </c>
      <c r="J629" s="23">
        <v>316.78</v>
      </c>
      <c r="N629" s="23">
        <v>0.0</v>
      </c>
      <c r="R629" s="23">
        <v>0.0</v>
      </c>
      <c r="V629" s="23">
        <v>0.0</v>
      </c>
      <c r="Z629" s="23">
        <v>0.0</v>
      </c>
      <c r="AD629" s="23">
        <v>0.0</v>
      </c>
      <c r="AH629" s="23">
        <v>0.0</v>
      </c>
      <c r="AL629" s="23">
        <v>0.0</v>
      </c>
      <c r="AP629" s="23">
        <v>0.0</v>
      </c>
      <c r="AT629" s="23">
        <v>0.0</v>
      </c>
      <c r="AX629" s="23">
        <v>0.0</v>
      </c>
      <c r="BF629" s="23">
        <v>0.0</v>
      </c>
      <c r="BJ629" s="23">
        <v>0.0</v>
      </c>
      <c r="BN629" s="23">
        <v>0.0</v>
      </c>
      <c r="BO629" s="23">
        <v>316.78</v>
      </c>
      <c r="BP629" s="16" t="s">
        <v>3573</v>
      </c>
      <c r="BQ629" s="16" t="b">
        <v>1</v>
      </c>
      <c r="BR629" s="23">
        <v>316.78</v>
      </c>
      <c r="BS629" s="16" t="s">
        <v>3575</v>
      </c>
      <c r="BT629" s="16" t="b">
        <v>1</v>
      </c>
      <c r="BU629" s="16" t="s">
        <v>546</v>
      </c>
    </row>
    <row r="630">
      <c r="A630" s="16" t="s">
        <v>3577</v>
      </c>
      <c r="B630" s="16" t="s">
        <v>35</v>
      </c>
      <c r="C630" s="22">
        <v>45562.0</v>
      </c>
      <c r="D630" s="16" t="s">
        <v>112</v>
      </c>
      <c r="E630" s="16" t="s">
        <v>3578</v>
      </c>
      <c r="F630" s="16" t="s">
        <v>157</v>
      </c>
      <c r="G630" s="16" t="s">
        <v>159</v>
      </c>
      <c r="H630" s="23">
        <v>1.0</v>
      </c>
      <c r="I630" s="23">
        <v>172.5</v>
      </c>
      <c r="J630" s="23">
        <v>172.5</v>
      </c>
      <c r="K630" s="16" t="s">
        <v>155</v>
      </c>
      <c r="L630" s="23">
        <v>1.0</v>
      </c>
      <c r="M630" s="23">
        <v>52.12</v>
      </c>
      <c r="N630" s="23">
        <v>52.12</v>
      </c>
      <c r="O630" s="16" t="s">
        <v>152</v>
      </c>
      <c r="P630" s="23">
        <v>1.0</v>
      </c>
      <c r="Q630" s="23">
        <v>10.32</v>
      </c>
      <c r="R630" s="23">
        <v>10.32</v>
      </c>
      <c r="S630" s="16" t="s">
        <v>226</v>
      </c>
      <c r="T630" s="23">
        <v>1.0</v>
      </c>
      <c r="U630" s="23">
        <v>142.5</v>
      </c>
      <c r="V630" s="23">
        <v>142.5</v>
      </c>
      <c r="Z630" s="23">
        <v>0.0</v>
      </c>
      <c r="AD630" s="23">
        <v>0.0</v>
      </c>
      <c r="AH630" s="23">
        <v>0.0</v>
      </c>
      <c r="AL630" s="23">
        <v>0.0</v>
      </c>
      <c r="AP630" s="23">
        <v>0.0</v>
      </c>
      <c r="AT630" s="23">
        <v>0.0</v>
      </c>
      <c r="AX630" s="23">
        <v>0.0</v>
      </c>
      <c r="BF630" s="23">
        <v>0.0</v>
      </c>
      <c r="BJ630" s="23">
        <v>0.0</v>
      </c>
      <c r="BN630" s="23">
        <v>0.0</v>
      </c>
      <c r="BO630" s="23">
        <v>377.44</v>
      </c>
      <c r="BP630" s="16" t="s">
        <v>3579</v>
      </c>
      <c r="BQ630" s="16" t="b">
        <v>1</v>
      </c>
      <c r="BR630" s="23">
        <v>377.44</v>
      </c>
      <c r="BT630" s="16" t="b">
        <v>0</v>
      </c>
      <c r="BU630" s="16" t="s">
        <v>546</v>
      </c>
    </row>
    <row r="631">
      <c r="A631" s="16" t="s">
        <v>3582</v>
      </c>
      <c r="B631" s="16" t="s">
        <v>35</v>
      </c>
      <c r="C631" s="22">
        <v>45563.0</v>
      </c>
      <c r="D631" s="16" t="s">
        <v>193</v>
      </c>
      <c r="E631" s="16" t="s">
        <v>3584</v>
      </c>
      <c r="F631" s="16" t="s">
        <v>3586</v>
      </c>
      <c r="G631" s="16" t="s">
        <v>335</v>
      </c>
      <c r="H631" s="23">
        <v>1.0</v>
      </c>
      <c r="I631" s="23">
        <v>99.6</v>
      </c>
      <c r="J631" s="23">
        <v>99.6</v>
      </c>
      <c r="K631" s="16" t="s">
        <v>1074</v>
      </c>
      <c r="L631" s="23">
        <v>1.0</v>
      </c>
      <c r="M631" s="23">
        <v>99.6</v>
      </c>
      <c r="N631" s="23">
        <v>99.6</v>
      </c>
      <c r="R631" s="23">
        <v>0.0</v>
      </c>
      <c r="V631" s="23">
        <v>0.0</v>
      </c>
      <c r="Z631" s="23">
        <v>0.0</v>
      </c>
      <c r="AD631" s="23">
        <v>0.0</v>
      </c>
      <c r="AH631" s="23">
        <v>0.0</v>
      </c>
      <c r="AL631" s="23">
        <v>0.0</v>
      </c>
      <c r="AP631" s="23">
        <v>0.0</v>
      </c>
      <c r="AT631" s="23">
        <v>0.0</v>
      </c>
      <c r="AX631" s="23">
        <v>0.0</v>
      </c>
      <c r="BF631" s="23">
        <v>0.0</v>
      </c>
      <c r="BJ631" s="23">
        <v>0.0</v>
      </c>
      <c r="BN631" s="23">
        <v>0.0</v>
      </c>
      <c r="BO631" s="23">
        <v>199.2</v>
      </c>
      <c r="BP631" s="16" t="s">
        <v>3585</v>
      </c>
      <c r="BQ631" s="16" t="b">
        <v>1</v>
      </c>
      <c r="BR631" s="23">
        <v>199.2</v>
      </c>
      <c r="BT631" s="16" t="b">
        <v>0</v>
      </c>
      <c r="BU631" s="16" t="s">
        <v>546</v>
      </c>
    </row>
    <row r="632">
      <c r="A632" s="16" t="s">
        <v>3589</v>
      </c>
      <c r="B632" s="16" t="s">
        <v>35</v>
      </c>
      <c r="C632" s="22">
        <v>45562.0</v>
      </c>
      <c r="D632" s="23">
        <v>6.8893939E7</v>
      </c>
      <c r="E632" s="16" t="s">
        <v>3591</v>
      </c>
      <c r="F632" s="16" t="s">
        <v>605</v>
      </c>
      <c r="G632" s="16" t="s">
        <v>1145</v>
      </c>
      <c r="H632" s="23">
        <v>1.0</v>
      </c>
      <c r="I632" s="23">
        <v>2452.49</v>
      </c>
      <c r="J632" s="23">
        <v>2452.49</v>
      </c>
      <c r="N632" s="23">
        <v>0.0</v>
      </c>
      <c r="R632" s="23">
        <v>0.0</v>
      </c>
      <c r="V632" s="23">
        <v>0.0</v>
      </c>
      <c r="Z632" s="23">
        <v>0.0</v>
      </c>
      <c r="AD632" s="23">
        <v>0.0</v>
      </c>
      <c r="AH632" s="23">
        <v>0.0</v>
      </c>
      <c r="AL632" s="23">
        <v>0.0</v>
      </c>
      <c r="AP632" s="23">
        <v>0.0</v>
      </c>
      <c r="AT632" s="23">
        <v>0.0</v>
      </c>
      <c r="AX632" s="23">
        <v>0.0</v>
      </c>
      <c r="BF632" s="23">
        <v>0.0</v>
      </c>
      <c r="BJ632" s="23">
        <v>0.0</v>
      </c>
      <c r="BN632" s="23">
        <v>0.0</v>
      </c>
      <c r="BO632" s="23">
        <v>2452.49</v>
      </c>
      <c r="BP632" s="16" t="s">
        <v>3592</v>
      </c>
      <c r="BQ632" s="16" t="b">
        <v>1</v>
      </c>
      <c r="BR632" s="23">
        <v>2452.49</v>
      </c>
      <c r="BT632" s="16" t="b">
        <v>0</v>
      </c>
      <c r="BU632" s="16" t="s">
        <v>546</v>
      </c>
    </row>
    <row r="633">
      <c r="A633" s="16" t="s">
        <v>3594</v>
      </c>
      <c r="B633" s="16" t="s">
        <v>35</v>
      </c>
      <c r="C633" s="22">
        <v>45565.0</v>
      </c>
      <c r="D633" s="16" t="s">
        <v>112</v>
      </c>
      <c r="E633" s="16" t="s">
        <v>3596</v>
      </c>
      <c r="F633" s="16" t="s">
        <v>2959</v>
      </c>
      <c r="G633" s="16" t="s">
        <v>159</v>
      </c>
      <c r="H633" s="23">
        <v>12.0</v>
      </c>
      <c r="I633" s="23">
        <v>11.5</v>
      </c>
      <c r="J633" s="23">
        <v>138.0</v>
      </c>
      <c r="K633" s="16" t="s">
        <v>155</v>
      </c>
      <c r="L633" s="23">
        <v>1.0</v>
      </c>
      <c r="M633" s="23">
        <v>30.38</v>
      </c>
      <c r="N633" s="23">
        <v>30.38</v>
      </c>
      <c r="O633" s="16" t="s">
        <v>152</v>
      </c>
      <c r="P633" s="23">
        <v>1.0</v>
      </c>
      <c r="Q633" s="23">
        <v>21.4</v>
      </c>
      <c r="R633" s="23">
        <v>21.4</v>
      </c>
      <c r="S633" s="16" t="s">
        <v>226</v>
      </c>
      <c r="T633" s="23">
        <v>1.0</v>
      </c>
      <c r="U633" s="23">
        <v>19.0</v>
      </c>
      <c r="V633" s="23">
        <v>19.0</v>
      </c>
      <c r="Z633" s="23">
        <v>0.0</v>
      </c>
      <c r="AD633" s="23">
        <v>0.0</v>
      </c>
      <c r="AH633" s="23">
        <v>0.0</v>
      </c>
      <c r="AL633" s="23">
        <v>0.0</v>
      </c>
      <c r="AP633" s="23">
        <v>0.0</v>
      </c>
      <c r="AT633" s="23">
        <v>0.0</v>
      </c>
      <c r="AX633" s="23">
        <v>0.0</v>
      </c>
      <c r="BF633" s="23">
        <v>0.0</v>
      </c>
      <c r="BJ633" s="23">
        <v>0.0</v>
      </c>
      <c r="BN633" s="23">
        <v>0.0</v>
      </c>
      <c r="BO633" s="23">
        <v>208.78</v>
      </c>
      <c r="BP633" s="16" t="s">
        <v>3597</v>
      </c>
      <c r="BQ633" s="16" t="b">
        <v>1</v>
      </c>
      <c r="BR633" s="23">
        <v>208.78</v>
      </c>
      <c r="BT633" s="16" t="b">
        <v>0</v>
      </c>
      <c r="BU633" s="16" t="s">
        <v>546</v>
      </c>
    </row>
    <row r="634">
      <c r="A634" s="16" t="s">
        <v>3600</v>
      </c>
      <c r="B634" s="16" t="s">
        <v>35</v>
      </c>
      <c r="C634" s="22">
        <v>45565.0</v>
      </c>
      <c r="D634" s="16" t="s">
        <v>353</v>
      </c>
      <c r="E634" s="16" t="s">
        <v>3602</v>
      </c>
      <c r="F634" s="16" t="s">
        <v>3604</v>
      </c>
      <c r="G634" s="16" t="s">
        <v>1164</v>
      </c>
      <c r="H634" s="23">
        <v>1.0</v>
      </c>
      <c r="I634" s="23">
        <v>410.0</v>
      </c>
      <c r="J634" s="23">
        <v>410.0</v>
      </c>
      <c r="K634" s="16" t="s">
        <v>1145</v>
      </c>
      <c r="L634" s="23">
        <v>1.0</v>
      </c>
      <c r="M634" s="23">
        <v>423.65</v>
      </c>
      <c r="N634" s="23">
        <v>423.65</v>
      </c>
      <c r="R634" s="23">
        <v>0.0</v>
      </c>
      <c r="V634" s="23">
        <v>0.0</v>
      </c>
      <c r="Z634" s="23">
        <v>0.0</v>
      </c>
      <c r="AD634" s="23">
        <v>0.0</v>
      </c>
      <c r="AH634" s="23">
        <v>0.0</v>
      </c>
      <c r="AL634" s="23">
        <v>0.0</v>
      </c>
      <c r="AP634" s="23">
        <v>0.0</v>
      </c>
      <c r="AT634" s="23">
        <v>0.0</v>
      </c>
      <c r="AX634" s="23">
        <v>0.0</v>
      </c>
      <c r="BF634" s="23">
        <v>0.0</v>
      </c>
      <c r="BJ634" s="23">
        <v>0.0</v>
      </c>
      <c r="BN634" s="23">
        <v>0.0</v>
      </c>
      <c r="BO634" s="23">
        <v>833.65</v>
      </c>
      <c r="BP634" s="16" t="s">
        <v>3603</v>
      </c>
      <c r="BQ634" s="16" t="b">
        <v>1</v>
      </c>
      <c r="BR634" s="23">
        <v>833.65</v>
      </c>
      <c r="BT634" s="16" t="b">
        <v>0</v>
      </c>
      <c r="BU634" s="16" t="s">
        <v>546</v>
      </c>
    </row>
    <row r="635">
      <c r="A635" s="16" t="s">
        <v>3609</v>
      </c>
      <c r="B635" s="16" t="s">
        <v>35</v>
      </c>
      <c r="C635" s="22">
        <v>45566.0</v>
      </c>
      <c r="D635" s="16" t="s">
        <v>112</v>
      </c>
      <c r="E635" s="16" t="s">
        <v>3610</v>
      </c>
      <c r="F635" s="16" t="s">
        <v>792</v>
      </c>
      <c r="G635" s="16" t="s">
        <v>159</v>
      </c>
      <c r="H635" s="23">
        <v>1.0</v>
      </c>
      <c r="I635" s="23">
        <v>165.0</v>
      </c>
      <c r="J635" s="23">
        <v>165.0</v>
      </c>
      <c r="K635" s="16">
        <v>1.2539885E7</v>
      </c>
      <c r="L635" s="23">
        <v>1.0</v>
      </c>
      <c r="M635" s="23">
        <v>60.0</v>
      </c>
      <c r="N635" s="23">
        <v>60.0</v>
      </c>
      <c r="O635" s="16" t="s">
        <v>155</v>
      </c>
      <c r="P635" s="23">
        <v>1.0</v>
      </c>
      <c r="Q635" s="23">
        <v>38.08</v>
      </c>
      <c r="R635" s="23">
        <v>38.08</v>
      </c>
      <c r="S635" s="16" t="s">
        <v>152</v>
      </c>
      <c r="T635" s="23">
        <v>1.0</v>
      </c>
      <c r="U635" s="23">
        <v>14.7</v>
      </c>
      <c r="V635" s="23">
        <v>14.7</v>
      </c>
      <c r="W635" s="16" t="s">
        <v>226</v>
      </c>
      <c r="X635" s="23">
        <v>1.0</v>
      </c>
      <c r="Y635" s="23">
        <v>42.5</v>
      </c>
      <c r="Z635" s="23">
        <v>42.5</v>
      </c>
      <c r="AD635" s="23">
        <v>0.0</v>
      </c>
      <c r="AH635" s="23">
        <v>0.0</v>
      </c>
      <c r="AL635" s="23">
        <v>0.0</v>
      </c>
      <c r="AP635" s="23">
        <v>0.0</v>
      </c>
      <c r="AT635" s="23">
        <v>0.0</v>
      </c>
      <c r="AX635" s="23">
        <v>0.0</v>
      </c>
      <c r="BF635" s="23">
        <v>0.0</v>
      </c>
      <c r="BJ635" s="23">
        <v>0.0</v>
      </c>
      <c r="BN635" s="23">
        <v>0.0</v>
      </c>
      <c r="BO635" s="23">
        <v>320.28</v>
      </c>
      <c r="BP635" s="16" t="s">
        <v>3612</v>
      </c>
      <c r="BQ635" s="16" t="b">
        <v>1</v>
      </c>
      <c r="BR635" s="23">
        <v>320.28</v>
      </c>
      <c r="BT635" s="16" t="b">
        <v>0</v>
      </c>
      <c r="BU635" s="16" t="s">
        <v>546</v>
      </c>
    </row>
    <row r="636">
      <c r="A636" s="16" t="s">
        <v>3615</v>
      </c>
      <c r="B636" s="16" t="s">
        <v>35</v>
      </c>
      <c r="C636" s="22">
        <v>45566.0</v>
      </c>
      <c r="D636" s="16" t="s">
        <v>122</v>
      </c>
      <c r="E636" s="16" t="s">
        <v>3617</v>
      </c>
      <c r="F636" s="16" t="s">
        <v>482</v>
      </c>
      <c r="G636" s="16" t="s">
        <v>238</v>
      </c>
      <c r="H636" s="23">
        <v>24.0</v>
      </c>
      <c r="I636" s="23">
        <v>5.9</v>
      </c>
      <c r="J636" s="23">
        <v>141.6</v>
      </c>
      <c r="N636" s="23">
        <v>0.0</v>
      </c>
      <c r="R636" s="23">
        <v>0.0</v>
      </c>
      <c r="V636" s="23">
        <v>0.0</v>
      </c>
      <c r="Z636" s="23">
        <v>0.0</v>
      </c>
      <c r="AD636" s="23">
        <v>0.0</v>
      </c>
      <c r="AH636" s="23">
        <v>0.0</v>
      </c>
      <c r="AL636" s="23">
        <v>0.0</v>
      </c>
      <c r="AP636" s="23">
        <v>0.0</v>
      </c>
      <c r="AT636" s="23">
        <v>0.0</v>
      </c>
      <c r="AX636" s="23">
        <v>0.0</v>
      </c>
      <c r="BF636" s="23">
        <v>0.0</v>
      </c>
      <c r="BJ636" s="23">
        <v>0.0</v>
      </c>
      <c r="BN636" s="23">
        <v>0.0</v>
      </c>
      <c r="BO636" s="23">
        <v>141.6</v>
      </c>
      <c r="BP636" s="16" t="s">
        <v>3618</v>
      </c>
      <c r="BQ636" s="16" t="b">
        <v>1</v>
      </c>
      <c r="BR636" s="23">
        <v>141.6</v>
      </c>
      <c r="BS636" s="23">
        <v>1079671.0</v>
      </c>
      <c r="BT636" s="16" t="b">
        <v>1</v>
      </c>
      <c r="BU636" s="16" t="s">
        <v>546</v>
      </c>
    </row>
    <row r="637">
      <c r="A637" s="16">
        <v>1.27407295E8</v>
      </c>
      <c r="B637" s="16" t="s">
        <v>35</v>
      </c>
      <c r="C637" s="22">
        <v>45567.0</v>
      </c>
      <c r="F637" s="16" t="s">
        <v>2770</v>
      </c>
      <c r="G637" s="16" t="s">
        <v>1168</v>
      </c>
      <c r="H637" s="16">
        <v>1.0</v>
      </c>
      <c r="I637" s="23">
        <v>500.0</v>
      </c>
      <c r="J637" s="23">
        <v>500.0</v>
      </c>
      <c r="BO637" s="23">
        <v>500.0</v>
      </c>
      <c r="BR637" s="23">
        <v>500.0</v>
      </c>
      <c r="BU637" s="16" t="s">
        <v>539</v>
      </c>
      <c r="BV637" s="16" t="s">
        <v>624</v>
      </c>
      <c r="BW637" s="16"/>
      <c r="BX637" s="16"/>
      <c r="BY637" s="16"/>
    </row>
    <row r="638">
      <c r="A638" s="16" t="s">
        <v>3623</v>
      </c>
      <c r="B638" s="16" t="s">
        <v>35</v>
      </c>
      <c r="C638" s="22">
        <v>45567.0</v>
      </c>
      <c r="D638" s="16" t="s">
        <v>145</v>
      </c>
      <c r="E638" s="16" t="s">
        <v>3625</v>
      </c>
      <c r="F638" s="16" t="s">
        <v>3627</v>
      </c>
      <c r="G638" s="16" t="s">
        <v>1195</v>
      </c>
      <c r="H638" s="23">
        <v>4.0</v>
      </c>
      <c r="I638" s="23">
        <v>23.0</v>
      </c>
      <c r="J638" s="23">
        <v>92.0</v>
      </c>
      <c r="K638" s="16" t="s">
        <v>1197</v>
      </c>
      <c r="L638" s="23">
        <v>4.0</v>
      </c>
      <c r="M638" s="23">
        <v>21.0</v>
      </c>
      <c r="N638" s="23">
        <v>84.0</v>
      </c>
      <c r="O638" s="16" t="s">
        <v>1041</v>
      </c>
      <c r="P638" s="23">
        <v>1.0</v>
      </c>
      <c r="Q638" s="23">
        <v>24.0</v>
      </c>
      <c r="R638" s="23">
        <v>24.0</v>
      </c>
      <c r="V638" s="23">
        <v>0.0</v>
      </c>
      <c r="Z638" s="23">
        <v>0.0</v>
      </c>
      <c r="AD638" s="23">
        <v>0.0</v>
      </c>
      <c r="AH638" s="23">
        <v>0.0</v>
      </c>
      <c r="AL638" s="23">
        <v>0.0</v>
      </c>
      <c r="AP638" s="23">
        <v>0.0</v>
      </c>
      <c r="AT638" s="23">
        <v>0.0</v>
      </c>
      <c r="AX638" s="23">
        <v>0.0</v>
      </c>
      <c r="BF638" s="23">
        <v>0.0</v>
      </c>
      <c r="BJ638" s="23">
        <v>0.0</v>
      </c>
      <c r="BN638" s="23">
        <v>0.0</v>
      </c>
      <c r="BO638" s="23">
        <v>200.0</v>
      </c>
      <c r="BP638" s="16" t="s">
        <v>3626</v>
      </c>
      <c r="BQ638" s="16" t="b">
        <v>1</v>
      </c>
      <c r="BR638" s="23">
        <v>200.0</v>
      </c>
      <c r="BT638" s="16" t="b">
        <v>0</v>
      </c>
      <c r="BU638" s="16" t="s">
        <v>546</v>
      </c>
    </row>
    <row r="639">
      <c r="A639" s="16" t="s">
        <v>3629</v>
      </c>
      <c r="B639" s="16" t="s">
        <v>35</v>
      </c>
      <c r="C639" s="22">
        <v>45567.0</v>
      </c>
      <c r="D639" s="16" t="s">
        <v>286</v>
      </c>
      <c r="E639" s="16" t="s">
        <v>3631</v>
      </c>
      <c r="F639" s="16" t="s">
        <v>3634</v>
      </c>
      <c r="G639" s="16" t="s">
        <v>1904</v>
      </c>
      <c r="H639" s="23">
        <v>1.0</v>
      </c>
      <c r="I639" s="23">
        <v>4.0</v>
      </c>
      <c r="J639" s="23">
        <v>4.0</v>
      </c>
      <c r="N639" s="23">
        <v>0.0</v>
      </c>
      <c r="R639" s="23">
        <v>0.0</v>
      </c>
      <c r="V639" s="23">
        <v>0.0</v>
      </c>
      <c r="Z639" s="23">
        <v>0.0</v>
      </c>
      <c r="AD639" s="23">
        <v>0.0</v>
      </c>
      <c r="AH639" s="23">
        <v>0.0</v>
      </c>
      <c r="AL639" s="23">
        <v>0.0</v>
      </c>
      <c r="AP639" s="23">
        <v>0.0</v>
      </c>
      <c r="AT639" s="23">
        <v>0.0</v>
      </c>
      <c r="AX639" s="23">
        <v>0.0</v>
      </c>
      <c r="BF639" s="23">
        <v>0.0</v>
      </c>
      <c r="BJ639" s="23">
        <v>0.0</v>
      </c>
      <c r="BN639" s="23">
        <v>0.0</v>
      </c>
      <c r="BO639" s="23">
        <v>4.0</v>
      </c>
      <c r="BP639" s="16" t="s">
        <v>3632</v>
      </c>
      <c r="BQ639" s="16" t="b">
        <v>1</v>
      </c>
      <c r="BR639" s="23">
        <v>4.0</v>
      </c>
      <c r="BS639" s="23">
        <v>1081135.0</v>
      </c>
      <c r="BT639" s="16" t="b">
        <v>1</v>
      </c>
      <c r="BU639" s="16" t="s">
        <v>546</v>
      </c>
    </row>
    <row r="640">
      <c r="A640" s="16" t="s">
        <v>3636</v>
      </c>
      <c r="B640" s="16" t="s">
        <v>35</v>
      </c>
      <c r="C640" s="22">
        <v>45567.0</v>
      </c>
      <c r="D640" s="16" t="s">
        <v>543</v>
      </c>
      <c r="E640" s="16" t="s">
        <v>3638</v>
      </c>
      <c r="F640" s="16" t="s">
        <v>171</v>
      </c>
      <c r="G640" s="16">
        <v>1.2539885E7</v>
      </c>
      <c r="H640" s="23">
        <v>1.0</v>
      </c>
      <c r="I640" s="23">
        <v>500.0</v>
      </c>
      <c r="J640" s="23">
        <v>500.0</v>
      </c>
      <c r="N640" s="23">
        <v>0.0</v>
      </c>
      <c r="R640" s="23">
        <v>0.0</v>
      </c>
      <c r="V640" s="23">
        <v>0.0</v>
      </c>
      <c r="Z640" s="23">
        <v>0.0</v>
      </c>
      <c r="AD640" s="23">
        <v>0.0</v>
      </c>
      <c r="AH640" s="23">
        <v>0.0</v>
      </c>
      <c r="AL640" s="23">
        <v>0.0</v>
      </c>
      <c r="AP640" s="23">
        <v>0.0</v>
      </c>
      <c r="AT640" s="23">
        <v>0.0</v>
      </c>
      <c r="AX640" s="23">
        <v>0.0</v>
      </c>
      <c r="BF640" s="23">
        <v>0.0</v>
      </c>
      <c r="BJ640" s="23">
        <v>0.0</v>
      </c>
      <c r="BN640" s="23">
        <v>0.0</v>
      </c>
      <c r="BO640" s="23">
        <v>500.0</v>
      </c>
      <c r="BP640" s="16" t="s">
        <v>3639</v>
      </c>
      <c r="BQ640" s="16" t="b">
        <v>1</v>
      </c>
      <c r="BR640" s="23">
        <v>500.0</v>
      </c>
      <c r="BT640" s="16" t="b">
        <v>0</v>
      </c>
      <c r="BU640" s="16" t="s">
        <v>546</v>
      </c>
    </row>
    <row r="641">
      <c r="A641" s="16" t="s">
        <v>3641</v>
      </c>
      <c r="B641" s="16" t="s">
        <v>35</v>
      </c>
      <c r="C641" s="22">
        <v>45567.0</v>
      </c>
      <c r="D641" s="16" t="s">
        <v>353</v>
      </c>
      <c r="E641" s="16" t="s">
        <v>3643</v>
      </c>
      <c r="F641" s="16" t="s">
        <v>3645</v>
      </c>
      <c r="G641" s="16" t="s">
        <v>5138</v>
      </c>
      <c r="H641" s="23">
        <v>1.0</v>
      </c>
      <c r="I641" s="23">
        <v>185.6</v>
      </c>
      <c r="J641" s="23">
        <v>185.6</v>
      </c>
      <c r="N641" s="23">
        <v>0.0</v>
      </c>
      <c r="R641" s="23">
        <v>0.0</v>
      </c>
      <c r="V641" s="23">
        <v>0.0</v>
      </c>
      <c r="Z641" s="23">
        <v>0.0</v>
      </c>
      <c r="AD641" s="23">
        <v>0.0</v>
      </c>
      <c r="AH641" s="23">
        <v>0.0</v>
      </c>
      <c r="AL641" s="23">
        <v>0.0</v>
      </c>
      <c r="AP641" s="23">
        <v>0.0</v>
      </c>
      <c r="AT641" s="23">
        <v>0.0</v>
      </c>
      <c r="AX641" s="23">
        <v>0.0</v>
      </c>
      <c r="BF641" s="23">
        <v>0.0</v>
      </c>
      <c r="BJ641" s="23">
        <v>0.0</v>
      </c>
      <c r="BN641" s="23">
        <v>0.0</v>
      </c>
      <c r="BO641" s="23">
        <v>185.6</v>
      </c>
      <c r="BP641" s="16" t="s">
        <v>3644</v>
      </c>
      <c r="BQ641" s="16" t="b">
        <v>1</v>
      </c>
      <c r="BR641" s="23">
        <v>185.6</v>
      </c>
      <c r="BT641" s="16" t="b">
        <v>0</v>
      </c>
      <c r="BU641" s="16" t="s">
        <v>546</v>
      </c>
    </row>
    <row r="642">
      <c r="A642" s="16" t="s">
        <v>3648</v>
      </c>
      <c r="B642" s="16" t="s">
        <v>35</v>
      </c>
      <c r="C642" s="22">
        <v>45569.0</v>
      </c>
      <c r="F642" s="16" t="s">
        <v>3650</v>
      </c>
      <c r="G642" s="16" t="s">
        <v>1270</v>
      </c>
      <c r="H642" s="16">
        <v>1.0</v>
      </c>
      <c r="I642" s="23">
        <v>18000.0</v>
      </c>
      <c r="J642" s="23">
        <v>18000.0</v>
      </c>
      <c r="BO642" s="23">
        <v>18000.0</v>
      </c>
      <c r="BR642" s="23">
        <v>18000.0</v>
      </c>
      <c r="BU642" s="16" t="s">
        <v>539</v>
      </c>
      <c r="BV642" s="16" t="s">
        <v>671</v>
      </c>
      <c r="BW642" s="16"/>
      <c r="BX642" s="16"/>
      <c r="BY642" s="16"/>
    </row>
    <row r="643">
      <c r="A643" s="16" t="s">
        <v>3652</v>
      </c>
      <c r="B643" s="16" t="s">
        <v>35</v>
      </c>
      <c r="C643" s="22">
        <v>45569.0</v>
      </c>
      <c r="F643" s="16" t="s">
        <v>3650</v>
      </c>
      <c r="G643" s="16" t="s">
        <v>1270</v>
      </c>
      <c r="H643" s="16">
        <v>1.0</v>
      </c>
      <c r="I643" s="23">
        <v>18000.0</v>
      </c>
      <c r="J643" s="23">
        <v>18000.0</v>
      </c>
      <c r="BO643" s="23">
        <v>18000.0</v>
      </c>
      <c r="BR643" s="23">
        <v>18000.0</v>
      </c>
      <c r="BU643" s="16" t="s">
        <v>539</v>
      </c>
      <c r="BV643" s="16" t="s">
        <v>682</v>
      </c>
      <c r="BW643" s="16"/>
      <c r="BX643" s="16"/>
      <c r="BY643" s="16"/>
    </row>
    <row r="644">
      <c r="A644" s="16" t="s">
        <v>3655</v>
      </c>
      <c r="B644" s="16" t="s">
        <v>35</v>
      </c>
      <c r="C644" s="22">
        <v>45569.0</v>
      </c>
      <c r="F644" s="16" t="s">
        <v>3650</v>
      </c>
      <c r="G644" s="16" t="s">
        <v>1270</v>
      </c>
      <c r="H644" s="16">
        <v>1.0</v>
      </c>
      <c r="I644" s="23">
        <v>18000.0</v>
      </c>
      <c r="J644" s="23">
        <v>18000.0</v>
      </c>
      <c r="BO644" s="23">
        <v>18000.0</v>
      </c>
      <c r="BR644" s="23">
        <v>18000.0</v>
      </c>
      <c r="BU644" s="16" t="s">
        <v>539</v>
      </c>
      <c r="BV644" s="16" t="s">
        <v>668</v>
      </c>
      <c r="BW644" s="16"/>
      <c r="BX644" s="16"/>
      <c r="BY644" s="16"/>
    </row>
    <row r="645">
      <c r="A645" s="16" t="s">
        <v>3658</v>
      </c>
      <c r="B645" s="16" t="s">
        <v>35</v>
      </c>
      <c r="C645" s="22">
        <v>45569.0</v>
      </c>
      <c r="F645" s="16" t="s">
        <v>3660</v>
      </c>
      <c r="G645" s="16" t="s">
        <v>1239</v>
      </c>
      <c r="H645" s="16">
        <v>1.0</v>
      </c>
      <c r="I645" s="23">
        <v>3806.25</v>
      </c>
      <c r="J645" s="23">
        <v>3806.25</v>
      </c>
      <c r="BO645" s="23">
        <v>3806.25</v>
      </c>
      <c r="BR645" s="23">
        <v>3806.25</v>
      </c>
      <c r="BU645" s="16" t="s">
        <v>539</v>
      </c>
      <c r="BV645" s="16" t="s">
        <v>624</v>
      </c>
      <c r="BW645" s="16"/>
      <c r="BX645" s="16"/>
      <c r="BY645" s="16"/>
    </row>
    <row r="646">
      <c r="A646" s="16">
        <v>1.43348326E8</v>
      </c>
      <c r="B646" s="16" t="s">
        <v>35</v>
      </c>
      <c r="C646" s="22">
        <v>45569.0</v>
      </c>
      <c r="F646" s="16" t="s">
        <v>3664</v>
      </c>
      <c r="G646" s="16" t="s">
        <v>1054</v>
      </c>
      <c r="H646" s="16">
        <v>1.0</v>
      </c>
      <c r="I646" s="23">
        <v>2800.07</v>
      </c>
      <c r="J646" s="23">
        <v>2800.07</v>
      </c>
      <c r="BO646" s="23">
        <v>2800.07</v>
      </c>
      <c r="BR646" s="23">
        <v>2800.07</v>
      </c>
      <c r="BU646" s="16" t="s">
        <v>539</v>
      </c>
      <c r="BV646" s="16" t="s">
        <v>3306</v>
      </c>
      <c r="BW646" s="16"/>
      <c r="BX646" s="16"/>
      <c r="BY646" s="16"/>
    </row>
    <row r="647">
      <c r="A647" s="16" t="s">
        <v>3667</v>
      </c>
      <c r="B647" s="16" t="s">
        <v>35</v>
      </c>
      <c r="C647" s="22">
        <v>45569.0</v>
      </c>
      <c r="F647" s="16" t="s">
        <v>3660</v>
      </c>
      <c r="G647" s="16" t="s">
        <v>1239</v>
      </c>
      <c r="H647" s="16">
        <v>1.0</v>
      </c>
      <c r="I647" s="23">
        <v>2338.15</v>
      </c>
      <c r="J647" s="23">
        <v>2338.15</v>
      </c>
      <c r="BO647" s="23">
        <v>2338.15</v>
      </c>
      <c r="BR647" s="23">
        <v>2338.15</v>
      </c>
      <c r="BU647" s="16" t="s">
        <v>539</v>
      </c>
      <c r="BV647" s="16" t="s">
        <v>2052</v>
      </c>
      <c r="BW647" s="16"/>
      <c r="BX647" s="16"/>
      <c r="BY647" s="16"/>
    </row>
    <row r="648">
      <c r="A648" s="16" t="s">
        <v>3670</v>
      </c>
      <c r="B648" s="16" t="s">
        <v>35</v>
      </c>
      <c r="C648" s="22">
        <v>45569.0</v>
      </c>
      <c r="F648" s="16" t="s">
        <v>3660</v>
      </c>
      <c r="G648" s="16" t="s">
        <v>1239</v>
      </c>
      <c r="H648" s="16">
        <v>1.0</v>
      </c>
      <c r="I648" s="23">
        <v>1981.02</v>
      </c>
      <c r="J648" s="23">
        <v>1981.02</v>
      </c>
      <c r="BO648" s="23">
        <v>1981.02</v>
      </c>
      <c r="BR648" s="23">
        <v>1981.02</v>
      </c>
      <c r="BU648" s="16" t="s">
        <v>539</v>
      </c>
      <c r="BV648" s="16" t="s">
        <v>664</v>
      </c>
      <c r="BW648" s="16"/>
      <c r="BX648" s="16"/>
      <c r="BY648" s="16"/>
    </row>
    <row r="649">
      <c r="A649" s="16" t="s">
        <v>3672</v>
      </c>
      <c r="B649" s="16" t="s">
        <v>35</v>
      </c>
      <c r="C649" s="22">
        <v>45569.0</v>
      </c>
      <c r="F649" s="16" t="s">
        <v>3660</v>
      </c>
      <c r="G649" s="16" t="s">
        <v>1239</v>
      </c>
      <c r="H649" s="16">
        <v>1.0</v>
      </c>
      <c r="I649" s="23">
        <v>1300.12</v>
      </c>
      <c r="J649" s="23">
        <v>1300.12</v>
      </c>
      <c r="BO649" s="23">
        <v>1300.12</v>
      </c>
      <c r="BR649" s="23">
        <v>1300.12</v>
      </c>
      <c r="BU649" s="16" t="s">
        <v>539</v>
      </c>
      <c r="BV649" s="16" t="s">
        <v>658</v>
      </c>
      <c r="BW649" s="16"/>
      <c r="BX649" s="16"/>
      <c r="BY649" s="16"/>
    </row>
    <row r="650">
      <c r="A650" s="16" t="s">
        <v>3674</v>
      </c>
      <c r="B650" s="16" t="s">
        <v>35</v>
      </c>
      <c r="C650" s="22">
        <v>45569.0</v>
      </c>
      <c r="F650" s="16" t="s">
        <v>3676</v>
      </c>
      <c r="G650" s="16" t="s">
        <v>1168</v>
      </c>
      <c r="H650" s="16">
        <v>1.0</v>
      </c>
      <c r="I650" s="23">
        <v>500.0</v>
      </c>
      <c r="J650" s="23">
        <v>500.0</v>
      </c>
      <c r="BO650" s="23">
        <v>500.0</v>
      </c>
      <c r="BR650" s="23">
        <v>500.0</v>
      </c>
      <c r="BU650" s="16" t="s">
        <v>539</v>
      </c>
      <c r="BV650" s="16" t="s">
        <v>658</v>
      </c>
      <c r="BW650" s="16"/>
      <c r="BX650" s="16"/>
      <c r="BY650" s="16"/>
    </row>
    <row r="651">
      <c r="A651" s="16" t="s">
        <v>3678</v>
      </c>
      <c r="B651" s="16" t="s">
        <v>35</v>
      </c>
      <c r="C651" s="22">
        <v>45568.0</v>
      </c>
      <c r="D651" s="16" t="s">
        <v>2644</v>
      </c>
      <c r="E651" s="16" t="s">
        <v>3680</v>
      </c>
      <c r="F651" s="16" t="s">
        <v>195</v>
      </c>
      <c r="G651" s="16" t="s">
        <v>1073</v>
      </c>
      <c r="H651" s="23">
        <v>1.0</v>
      </c>
      <c r="I651" s="23">
        <v>19.25</v>
      </c>
      <c r="J651" s="23">
        <v>19.25</v>
      </c>
      <c r="K651" s="16">
        <v>7.5375964E7</v>
      </c>
      <c r="L651" s="23">
        <v>1.0</v>
      </c>
      <c r="M651" s="23">
        <v>19.0</v>
      </c>
      <c r="N651" s="23">
        <v>19.0</v>
      </c>
      <c r="O651" s="16" t="s">
        <v>1074</v>
      </c>
      <c r="P651" s="23">
        <v>3.0</v>
      </c>
      <c r="Q651" s="23">
        <v>38.0</v>
      </c>
      <c r="R651" s="23">
        <v>114.0</v>
      </c>
      <c r="S651" s="16" t="s">
        <v>1075</v>
      </c>
      <c r="T651" s="23">
        <v>2.0</v>
      </c>
      <c r="U651" s="23">
        <v>19.0</v>
      </c>
      <c r="V651" s="23">
        <v>38.0</v>
      </c>
      <c r="W651" s="16" t="s">
        <v>1077</v>
      </c>
      <c r="X651" s="23">
        <v>3.0</v>
      </c>
      <c r="Y651" s="23">
        <v>25.0</v>
      </c>
      <c r="Z651" s="23">
        <v>75.0</v>
      </c>
      <c r="AA651" s="16" t="s">
        <v>1079</v>
      </c>
      <c r="AB651" s="23">
        <v>10.0</v>
      </c>
      <c r="AC651" s="23">
        <v>17.5</v>
      </c>
      <c r="AD651" s="23">
        <v>175.0</v>
      </c>
      <c r="AE651" s="16" t="s">
        <v>1080</v>
      </c>
      <c r="AF651" s="23">
        <v>10.0</v>
      </c>
      <c r="AG651" s="23">
        <v>17.5</v>
      </c>
      <c r="AH651" s="23">
        <v>175.0</v>
      </c>
      <c r="AI651" s="16" t="s">
        <v>1081</v>
      </c>
      <c r="AJ651" s="23">
        <v>3.0</v>
      </c>
      <c r="AK651" s="23">
        <v>46.0</v>
      </c>
      <c r="AL651" s="23">
        <v>138.0</v>
      </c>
      <c r="AM651" s="16" t="s">
        <v>1091</v>
      </c>
      <c r="AN651" s="23">
        <v>1.0</v>
      </c>
      <c r="AO651" s="23">
        <v>58.0</v>
      </c>
      <c r="AP651" s="23">
        <v>58.0</v>
      </c>
      <c r="AQ651" s="16" t="s">
        <v>1404</v>
      </c>
      <c r="AR651" s="23">
        <v>2.0</v>
      </c>
      <c r="AS651" s="23">
        <v>50.0</v>
      </c>
      <c r="AT651" s="23">
        <v>100.0</v>
      </c>
      <c r="AU651" s="16" t="s">
        <v>1384</v>
      </c>
      <c r="AV651" s="23">
        <v>2.0</v>
      </c>
      <c r="AW651" s="23">
        <v>50.0</v>
      </c>
      <c r="AX651" s="23">
        <v>100.0</v>
      </c>
      <c r="BF651" s="23">
        <v>0.0</v>
      </c>
      <c r="BJ651" s="23">
        <v>0.0</v>
      </c>
      <c r="BN651" s="23">
        <v>0.0</v>
      </c>
      <c r="BO651" s="23">
        <v>1011.25</v>
      </c>
      <c r="BP651" s="16" t="s">
        <v>3681</v>
      </c>
      <c r="BQ651" s="16" t="b">
        <v>1</v>
      </c>
      <c r="BR651" s="23">
        <v>1011.25</v>
      </c>
      <c r="BT651" s="16" t="b">
        <v>0</v>
      </c>
      <c r="BU651" s="16" t="s">
        <v>546</v>
      </c>
    </row>
    <row r="652">
      <c r="A652" s="16" t="s">
        <v>3683</v>
      </c>
      <c r="B652" s="16" t="s">
        <v>35</v>
      </c>
      <c r="C652" s="22">
        <v>45569.0</v>
      </c>
      <c r="D652" s="16" t="s">
        <v>112</v>
      </c>
      <c r="E652" s="16" t="s">
        <v>3684</v>
      </c>
      <c r="F652" s="16" t="s">
        <v>157</v>
      </c>
      <c r="G652" s="16" t="s">
        <v>159</v>
      </c>
      <c r="H652" s="23">
        <v>10.0</v>
      </c>
      <c r="I652" s="23">
        <v>11.5</v>
      </c>
      <c r="J652" s="23">
        <v>115.0</v>
      </c>
      <c r="K652" s="16" t="s">
        <v>155</v>
      </c>
      <c r="L652" s="23">
        <v>1.0</v>
      </c>
      <c r="M652" s="23">
        <v>28.32</v>
      </c>
      <c r="N652" s="23">
        <v>28.32</v>
      </c>
      <c r="O652" s="16" t="s">
        <v>152</v>
      </c>
      <c r="P652" s="23">
        <v>1.0</v>
      </c>
      <c r="Q652" s="23">
        <v>7.12</v>
      </c>
      <c r="R652" s="23">
        <v>7.12</v>
      </c>
      <c r="S652" s="16" t="s">
        <v>226</v>
      </c>
      <c r="T652" s="23">
        <v>1.0</v>
      </c>
      <c r="U652" s="23">
        <v>95.0</v>
      </c>
      <c r="V652" s="23">
        <v>95.0</v>
      </c>
      <c r="Z652" s="23">
        <v>0.0</v>
      </c>
      <c r="AD652" s="23">
        <v>0.0</v>
      </c>
      <c r="AH652" s="23">
        <v>0.0</v>
      </c>
      <c r="AL652" s="23">
        <v>0.0</v>
      </c>
      <c r="AP652" s="23">
        <v>0.0</v>
      </c>
      <c r="AT652" s="23">
        <v>0.0</v>
      </c>
      <c r="AX652" s="23">
        <v>0.0</v>
      </c>
      <c r="BF652" s="23">
        <v>0.0</v>
      </c>
      <c r="BJ652" s="23">
        <v>0.0</v>
      </c>
      <c r="BN652" s="23">
        <v>0.0</v>
      </c>
      <c r="BO652" s="23">
        <v>245.44</v>
      </c>
      <c r="BP652" s="16" t="s">
        <v>3685</v>
      </c>
      <c r="BQ652" s="16" t="b">
        <v>1</v>
      </c>
      <c r="BR652" s="23">
        <v>245.44</v>
      </c>
      <c r="BT652" s="16" t="b">
        <v>0</v>
      </c>
      <c r="BU652" s="16" t="s">
        <v>546</v>
      </c>
    </row>
    <row r="653">
      <c r="A653" s="16" t="s">
        <v>3687</v>
      </c>
      <c r="B653" s="16" t="s">
        <v>35</v>
      </c>
      <c r="C653" s="22">
        <v>45569.0</v>
      </c>
      <c r="D653" s="16" t="s">
        <v>1016</v>
      </c>
      <c r="E653" s="16" t="s">
        <v>3688</v>
      </c>
      <c r="F653" s="16" t="s">
        <v>3691</v>
      </c>
      <c r="G653" s="16" t="s">
        <v>1648</v>
      </c>
      <c r="H653" s="23">
        <v>1.0</v>
      </c>
      <c r="I653" s="23">
        <v>134.47</v>
      </c>
      <c r="J653" s="23">
        <v>134.47</v>
      </c>
      <c r="N653" s="23">
        <v>0.0</v>
      </c>
      <c r="R653" s="23">
        <v>0.0</v>
      </c>
      <c r="V653" s="23">
        <v>0.0</v>
      </c>
      <c r="Z653" s="23">
        <v>0.0</v>
      </c>
      <c r="AD653" s="23">
        <v>0.0</v>
      </c>
      <c r="AH653" s="23">
        <v>0.0</v>
      </c>
      <c r="AL653" s="23">
        <v>0.0</v>
      </c>
      <c r="AP653" s="23">
        <v>0.0</v>
      </c>
      <c r="AT653" s="23">
        <v>0.0</v>
      </c>
      <c r="AX653" s="23">
        <v>0.0</v>
      </c>
      <c r="BF653" s="23">
        <v>0.0</v>
      </c>
      <c r="BJ653" s="23">
        <v>0.0</v>
      </c>
      <c r="BN653" s="23">
        <v>0.0</v>
      </c>
      <c r="BO653" s="23">
        <v>134.47</v>
      </c>
      <c r="BP653" s="16" t="s">
        <v>3689</v>
      </c>
      <c r="BQ653" s="16" t="b">
        <v>1</v>
      </c>
      <c r="BR653" s="23">
        <v>134.47</v>
      </c>
      <c r="BT653" s="16" t="b">
        <v>0</v>
      </c>
      <c r="BU653" s="16" t="s">
        <v>546</v>
      </c>
    </row>
    <row r="654">
      <c r="A654" s="16" t="s">
        <v>3692</v>
      </c>
      <c r="B654" s="16" t="s">
        <v>35</v>
      </c>
      <c r="C654" s="22">
        <v>45569.0</v>
      </c>
      <c r="D654" s="16" t="s">
        <v>890</v>
      </c>
      <c r="E654" s="16" t="s">
        <v>3694</v>
      </c>
      <c r="F654" s="16" t="s">
        <v>1511</v>
      </c>
      <c r="G654" s="16" t="s">
        <v>1517</v>
      </c>
      <c r="H654" s="23">
        <v>1.0</v>
      </c>
      <c r="I654" s="23">
        <v>5694.51</v>
      </c>
      <c r="J654" s="23">
        <v>5694.51</v>
      </c>
      <c r="N654" s="23">
        <v>0.0</v>
      </c>
      <c r="R654" s="23">
        <v>0.0</v>
      </c>
      <c r="V654" s="23">
        <v>0.0</v>
      </c>
      <c r="Z654" s="23">
        <v>0.0</v>
      </c>
      <c r="AD654" s="23">
        <v>0.0</v>
      </c>
      <c r="AH654" s="23">
        <v>0.0</v>
      </c>
      <c r="AL654" s="23">
        <v>0.0</v>
      </c>
      <c r="AP654" s="23">
        <v>0.0</v>
      </c>
      <c r="AT654" s="23">
        <v>0.0</v>
      </c>
      <c r="AX654" s="23">
        <v>0.0</v>
      </c>
      <c r="BF654" s="23">
        <v>0.0</v>
      </c>
      <c r="BJ654" s="23">
        <v>0.0</v>
      </c>
      <c r="BN654" s="23">
        <v>0.0</v>
      </c>
      <c r="BO654" s="23">
        <v>5694.51</v>
      </c>
      <c r="BP654" s="16" t="s">
        <v>3695</v>
      </c>
      <c r="BQ654" s="16" t="b">
        <v>1</v>
      </c>
      <c r="BR654" s="23">
        <v>5694.51</v>
      </c>
      <c r="BT654" s="16" t="b">
        <v>0</v>
      </c>
      <c r="BU654" s="16" t="s">
        <v>546</v>
      </c>
    </row>
    <row r="655">
      <c r="A655" s="16" t="s">
        <v>3697</v>
      </c>
      <c r="B655" s="16" t="s">
        <v>35</v>
      </c>
      <c r="C655" s="22">
        <v>45570.0</v>
      </c>
      <c r="D655" s="16" t="s">
        <v>543</v>
      </c>
      <c r="E655" s="16" t="s">
        <v>3698</v>
      </c>
      <c r="F655" s="16" t="s">
        <v>140</v>
      </c>
      <c r="G655" s="16">
        <v>1.2539885E7</v>
      </c>
      <c r="H655" s="23">
        <v>1.0</v>
      </c>
      <c r="I655" s="23">
        <v>500.0</v>
      </c>
      <c r="J655" s="23">
        <v>500.0</v>
      </c>
      <c r="N655" s="23">
        <v>0.0</v>
      </c>
      <c r="R655" s="23">
        <v>0.0</v>
      </c>
      <c r="V655" s="23">
        <v>0.0</v>
      </c>
      <c r="Z655" s="23">
        <v>0.0</v>
      </c>
      <c r="AD655" s="23">
        <v>0.0</v>
      </c>
      <c r="AH655" s="23">
        <v>0.0</v>
      </c>
      <c r="AL655" s="23">
        <v>0.0</v>
      </c>
      <c r="AP655" s="23">
        <v>0.0</v>
      </c>
      <c r="AT655" s="23">
        <v>0.0</v>
      </c>
      <c r="AX655" s="23">
        <v>0.0</v>
      </c>
      <c r="BF655" s="23">
        <v>0.0</v>
      </c>
      <c r="BJ655" s="23">
        <v>0.0</v>
      </c>
      <c r="BN655" s="23">
        <v>0.0</v>
      </c>
      <c r="BO655" s="23">
        <v>500.0</v>
      </c>
      <c r="BP655" s="16" t="s">
        <v>3699</v>
      </c>
      <c r="BQ655" s="16" t="b">
        <v>1</v>
      </c>
      <c r="BR655" s="23">
        <v>500.0</v>
      </c>
      <c r="BT655" s="16" t="b">
        <v>0</v>
      </c>
      <c r="BU655" s="16" t="s">
        <v>546</v>
      </c>
    </row>
    <row r="656">
      <c r="A656" s="16" t="s">
        <v>3701</v>
      </c>
      <c r="B656" s="16" t="s">
        <v>35</v>
      </c>
      <c r="C656" s="22">
        <v>45570.0</v>
      </c>
      <c r="D656" s="16" t="s">
        <v>112</v>
      </c>
      <c r="E656" s="16" t="s">
        <v>3702</v>
      </c>
      <c r="F656" s="16" t="s">
        <v>157</v>
      </c>
      <c r="G656" s="16" t="s">
        <v>159</v>
      </c>
      <c r="H656" s="23">
        <v>1.0</v>
      </c>
      <c r="I656" s="23">
        <v>138.0</v>
      </c>
      <c r="J656" s="23">
        <v>138.0</v>
      </c>
      <c r="K656" s="16" t="s">
        <v>155</v>
      </c>
      <c r="L656" s="23">
        <v>1.0</v>
      </c>
      <c r="M656" s="23">
        <v>26.77</v>
      </c>
      <c r="N656" s="23">
        <v>26.77</v>
      </c>
      <c r="O656" s="16" t="s">
        <v>152</v>
      </c>
      <c r="P656" s="23">
        <v>1.0</v>
      </c>
      <c r="Q656" s="23">
        <v>11.06</v>
      </c>
      <c r="R656" s="23">
        <v>11.06</v>
      </c>
      <c r="S656" s="16" t="s">
        <v>226</v>
      </c>
      <c r="T656" s="23">
        <v>1.0</v>
      </c>
      <c r="U656" s="23">
        <v>28.5</v>
      </c>
      <c r="V656" s="23">
        <v>28.5</v>
      </c>
      <c r="Z656" s="23">
        <v>0.0</v>
      </c>
      <c r="AD656" s="23">
        <v>0.0</v>
      </c>
      <c r="AH656" s="23">
        <v>0.0</v>
      </c>
      <c r="AL656" s="23">
        <v>0.0</v>
      </c>
      <c r="AP656" s="23">
        <v>0.0</v>
      </c>
      <c r="AT656" s="23">
        <v>0.0</v>
      </c>
      <c r="AX656" s="23">
        <v>0.0</v>
      </c>
      <c r="BF656" s="23">
        <v>0.0</v>
      </c>
      <c r="BJ656" s="23">
        <v>0.0</v>
      </c>
      <c r="BN656" s="23">
        <v>0.0</v>
      </c>
      <c r="BO656" s="23">
        <v>204.33</v>
      </c>
      <c r="BP656" s="16" t="s">
        <v>3703</v>
      </c>
      <c r="BQ656" s="16" t="b">
        <v>1</v>
      </c>
      <c r="BR656" s="23">
        <v>204.33</v>
      </c>
      <c r="BT656" s="16" t="b">
        <v>0</v>
      </c>
      <c r="BU656" s="16" t="s">
        <v>546</v>
      </c>
    </row>
    <row r="657">
      <c r="A657" s="16" t="s">
        <v>3705</v>
      </c>
      <c r="B657" s="16" t="s">
        <v>35</v>
      </c>
      <c r="C657" s="22">
        <v>45571.0</v>
      </c>
      <c r="D657" s="16" t="s">
        <v>2439</v>
      </c>
      <c r="E657" s="16" t="s">
        <v>3707</v>
      </c>
      <c r="F657" s="16" t="s">
        <v>3709</v>
      </c>
      <c r="G657" s="16" t="s">
        <v>3496</v>
      </c>
      <c r="H657" s="23">
        <v>1.0</v>
      </c>
      <c r="I657" s="23">
        <v>223.05</v>
      </c>
      <c r="J657" s="23">
        <v>223.05</v>
      </c>
      <c r="N657" s="23">
        <v>0.0</v>
      </c>
      <c r="R657" s="23">
        <v>0.0</v>
      </c>
      <c r="V657" s="23">
        <v>0.0</v>
      </c>
      <c r="Z657" s="23">
        <v>0.0</v>
      </c>
      <c r="AD657" s="23">
        <v>0.0</v>
      </c>
      <c r="AH657" s="23">
        <v>0.0</v>
      </c>
      <c r="AL657" s="23">
        <v>0.0</v>
      </c>
      <c r="AP657" s="23">
        <v>0.0</v>
      </c>
      <c r="AT657" s="23">
        <v>0.0</v>
      </c>
      <c r="AX657" s="23">
        <v>0.0</v>
      </c>
      <c r="BF657" s="23">
        <v>0.0</v>
      </c>
      <c r="BJ657" s="23">
        <v>0.0</v>
      </c>
      <c r="BN657" s="23">
        <v>0.0</v>
      </c>
      <c r="BO657" s="23">
        <v>223.05</v>
      </c>
      <c r="BP657" s="16" t="s">
        <v>3708</v>
      </c>
      <c r="BQ657" s="16" t="b">
        <v>1</v>
      </c>
      <c r="BR657" s="23">
        <v>223.05</v>
      </c>
      <c r="BT657" s="16" t="b">
        <v>0</v>
      </c>
      <c r="BU657" s="16" t="s">
        <v>546</v>
      </c>
    </row>
    <row r="658">
      <c r="A658" s="16" t="s">
        <v>3711</v>
      </c>
      <c r="B658" s="16" t="s">
        <v>35</v>
      </c>
      <c r="C658" s="22">
        <v>45570.0</v>
      </c>
      <c r="D658" s="16" t="s">
        <v>890</v>
      </c>
      <c r="E658" s="16" t="s">
        <v>3712</v>
      </c>
      <c r="F658" s="16" t="s">
        <v>2894</v>
      </c>
      <c r="G658" s="16" t="s">
        <v>1510</v>
      </c>
      <c r="H658" s="23">
        <v>1.0</v>
      </c>
      <c r="I658" s="23">
        <v>9983.56</v>
      </c>
      <c r="J658" s="23">
        <v>9983.56</v>
      </c>
      <c r="N658" s="23">
        <v>0.0</v>
      </c>
      <c r="R658" s="23">
        <v>0.0</v>
      </c>
      <c r="V658" s="23">
        <v>0.0</v>
      </c>
      <c r="Z658" s="23">
        <v>0.0</v>
      </c>
      <c r="AD658" s="23">
        <v>0.0</v>
      </c>
      <c r="AH658" s="23">
        <v>0.0</v>
      </c>
      <c r="AL658" s="23">
        <v>0.0</v>
      </c>
      <c r="AP658" s="23">
        <v>0.0</v>
      </c>
      <c r="AT658" s="23">
        <v>0.0</v>
      </c>
      <c r="AX658" s="23">
        <v>0.0</v>
      </c>
      <c r="BF658" s="23">
        <v>0.0</v>
      </c>
      <c r="BJ658" s="23">
        <v>0.0</v>
      </c>
      <c r="BN658" s="23">
        <v>0.0</v>
      </c>
      <c r="BO658" s="23">
        <v>9983.56</v>
      </c>
      <c r="BP658" s="16" t="s">
        <v>3713</v>
      </c>
      <c r="BQ658" s="16" t="b">
        <v>1</v>
      </c>
      <c r="BR658" s="23">
        <v>9983.56</v>
      </c>
      <c r="BT658" s="16" t="b">
        <v>0</v>
      </c>
      <c r="BU658" s="16" t="s">
        <v>546</v>
      </c>
    </row>
    <row r="659">
      <c r="A659" s="16" t="s">
        <v>3715</v>
      </c>
      <c r="B659" s="16" t="s">
        <v>35</v>
      </c>
      <c r="C659" s="22">
        <v>45573.0</v>
      </c>
      <c r="D659" s="16" t="s">
        <v>3716</v>
      </c>
      <c r="E659" s="16" t="s">
        <v>3717</v>
      </c>
      <c r="F659" s="16" t="s">
        <v>195</v>
      </c>
      <c r="G659" s="16" t="s">
        <v>1080</v>
      </c>
      <c r="H659" s="23">
        <v>10.0</v>
      </c>
      <c r="I659" s="23">
        <v>13.9</v>
      </c>
      <c r="J659" s="23">
        <v>139.0</v>
      </c>
      <c r="K659" s="16" t="s">
        <v>1427</v>
      </c>
      <c r="L659" s="23">
        <v>4.0</v>
      </c>
      <c r="M659" s="23">
        <v>25.9</v>
      </c>
      <c r="N659" s="23">
        <v>103.6</v>
      </c>
      <c r="R659" s="23">
        <v>0.0</v>
      </c>
      <c r="V659" s="23">
        <v>0.0</v>
      </c>
      <c r="Z659" s="23">
        <v>0.0</v>
      </c>
      <c r="AD659" s="23">
        <v>0.0</v>
      </c>
      <c r="AH659" s="23">
        <v>0.0</v>
      </c>
      <c r="AL659" s="23">
        <v>0.0</v>
      </c>
      <c r="AP659" s="23">
        <v>0.0</v>
      </c>
      <c r="AT659" s="23">
        <v>0.0</v>
      </c>
      <c r="AX659" s="23">
        <v>0.0</v>
      </c>
      <c r="BF659" s="23">
        <v>0.0</v>
      </c>
      <c r="BJ659" s="23">
        <v>0.0</v>
      </c>
      <c r="BN659" s="23">
        <v>0.0</v>
      </c>
      <c r="BO659" s="23">
        <v>242.6</v>
      </c>
      <c r="BP659" s="16" t="s">
        <v>3718</v>
      </c>
      <c r="BQ659" s="16" t="b">
        <v>1</v>
      </c>
      <c r="BR659" s="23">
        <v>242.6</v>
      </c>
      <c r="BT659" s="16" t="b">
        <v>0</v>
      </c>
      <c r="BU659" s="16" t="s">
        <v>546</v>
      </c>
    </row>
    <row r="660">
      <c r="A660" s="16" t="s">
        <v>3720</v>
      </c>
      <c r="B660" s="16" t="s">
        <v>35</v>
      </c>
      <c r="C660" s="22">
        <v>45573.0</v>
      </c>
      <c r="D660" s="16" t="s">
        <v>543</v>
      </c>
      <c r="E660" s="16" t="s">
        <v>3722</v>
      </c>
      <c r="F660" s="16" t="s">
        <v>171</v>
      </c>
      <c r="G660" s="16">
        <v>1.2539885E7</v>
      </c>
      <c r="H660" s="23">
        <v>1.0</v>
      </c>
      <c r="I660" s="23">
        <v>725.0</v>
      </c>
      <c r="J660" s="23">
        <v>725.0</v>
      </c>
      <c r="N660" s="23">
        <v>0.0</v>
      </c>
      <c r="R660" s="23">
        <v>0.0</v>
      </c>
      <c r="V660" s="23">
        <v>0.0</v>
      </c>
      <c r="Z660" s="23">
        <v>0.0</v>
      </c>
      <c r="AD660" s="23">
        <v>0.0</v>
      </c>
      <c r="AH660" s="23">
        <v>0.0</v>
      </c>
      <c r="AL660" s="23">
        <v>0.0</v>
      </c>
      <c r="AP660" s="23">
        <v>0.0</v>
      </c>
      <c r="AT660" s="23">
        <v>0.0</v>
      </c>
      <c r="AX660" s="23">
        <v>0.0</v>
      </c>
      <c r="BF660" s="23">
        <v>0.0</v>
      </c>
      <c r="BJ660" s="23">
        <v>0.0</v>
      </c>
      <c r="BN660" s="23">
        <v>0.0</v>
      </c>
      <c r="BO660" s="23">
        <v>725.0</v>
      </c>
      <c r="BP660" s="16" t="s">
        <v>3723</v>
      </c>
      <c r="BQ660" s="16" t="b">
        <v>1</v>
      </c>
      <c r="BR660" s="23">
        <v>725.0</v>
      </c>
      <c r="BT660" s="16" t="b">
        <v>0</v>
      </c>
      <c r="BU660" s="16" t="s">
        <v>546</v>
      </c>
    </row>
    <row r="661">
      <c r="A661" s="16" t="s">
        <v>3725</v>
      </c>
      <c r="B661" s="16" t="s">
        <v>35</v>
      </c>
      <c r="C661" s="22">
        <v>45573.0</v>
      </c>
      <c r="D661" s="16" t="s">
        <v>112</v>
      </c>
      <c r="E661" s="16" t="s">
        <v>3726</v>
      </c>
      <c r="F661" s="16" t="s">
        <v>157</v>
      </c>
      <c r="G661" s="16" t="s">
        <v>159</v>
      </c>
      <c r="H661" s="23">
        <v>1.0</v>
      </c>
      <c r="I661" s="23">
        <v>120.0</v>
      </c>
      <c r="J661" s="23">
        <v>120.0</v>
      </c>
      <c r="K661" s="16" t="s">
        <v>155</v>
      </c>
      <c r="L661" s="23">
        <v>1.0</v>
      </c>
      <c r="M661" s="23">
        <v>26.18</v>
      </c>
      <c r="N661" s="23">
        <v>26.18</v>
      </c>
      <c r="O661" s="16" t="s">
        <v>226</v>
      </c>
      <c r="P661" s="23">
        <v>1.0</v>
      </c>
      <c r="Q661" s="23">
        <v>95.0</v>
      </c>
      <c r="R661" s="23">
        <v>95.0</v>
      </c>
      <c r="V661" s="23">
        <v>0.0</v>
      </c>
      <c r="Z661" s="23">
        <v>0.0</v>
      </c>
      <c r="AD661" s="23">
        <v>0.0</v>
      </c>
      <c r="AH661" s="23">
        <v>0.0</v>
      </c>
      <c r="AL661" s="23">
        <v>0.0</v>
      </c>
      <c r="AP661" s="23">
        <v>0.0</v>
      </c>
      <c r="AT661" s="23">
        <v>0.0</v>
      </c>
      <c r="AX661" s="23">
        <v>0.0</v>
      </c>
      <c r="BF661" s="23">
        <v>0.0</v>
      </c>
      <c r="BJ661" s="23">
        <v>0.0</v>
      </c>
      <c r="BN661" s="23">
        <v>0.0</v>
      </c>
      <c r="BO661" s="23">
        <v>241.18</v>
      </c>
      <c r="BP661" s="16" t="s">
        <v>3727</v>
      </c>
      <c r="BQ661" s="16" t="b">
        <v>1</v>
      </c>
      <c r="BR661" s="23">
        <v>241.18</v>
      </c>
      <c r="BT661" s="16" t="b">
        <v>0</v>
      </c>
      <c r="BU661" s="16" t="s">
        <v>546</v>
      </c>
    </row>
    <row r="662">
      <c r="A662" s="16" t="s">
        <v>3729</v>
      </c>
      <c r="B662" s="16" t="s">
        <v>35</v>
      </c>
      <c r="C662" s="22">
        <v>45574.0</v>
      </c>
      <c r="F662" s="16" t="s">
        <v>1329</v>
      </c>
      <c r="G662" s="16" t="s">
        <v>1168</v>
      </c>
      <c r="H662" s="16">
        <v>1.0</v>
      </c>
      <c r="I662" s="23">
        <v>400.0</v>
      </c>
      <c r="J662" s="23">
        <v>400.0</v>
      </c>
      <c r="BO662" s="23">
        <v>400.0</v>
      </c>
      <c r="BR662" s="23">
        <v>400.0</v>
      </c>
      <c r="BU662" s="16" t="s">
        <v>539</v>
      </c>
      <c r="BV662" s="16" t="s">
        <v>624</v>
      </c>
      <c r="BW662" s="16"/>
      <c r="BX662" s="16"/>
      <c r="BY662" s="16"/>
    </row>
    <row r="663">
      <c r="A663" s="16" t="s">
        <v>3731</v>
      </c>
      <c r="B663" s="16" t="s">
        <v>35</v>
      </c>
      <c r="C663" s="22">
        <v>45573.0</v>
      </c>
      <c r="D663" s="23">
        <v>6.8893939E7</v>
      </c>
      <c r="E663" s="16" t="s">
        <v>3733</v>
      </c>
      <c r="F663" s="16" t="s">
        <v>605</v>
      </c>
      <c r="G663" s="16" t="s">
        <v>1394</v>
      </c>
      <c r="H663" s="23">
        <v>1.0</v>
      </c>
      <c r="I663" s="23">
        <v>1942.14</v>
      </c>
      <c r="J663" s="23">
        <v>1942.14</v>
      </c>
      <c r="N663" s="23">
        <v>0.0</v>
      </c>
      <c r="R663" s="23">
        <v>0.0</v>
      </c>
      <c r="V663" s="23">
        <v>0.0</v>
      </c>
      <c r="Z663" s="23">
        <v>0.0</v>
      </c>
      <c r="AD663" s="23">
        <v>0.0</v>
      </c>
      <c r="AH663" s="23">
        <v>0.0</v>
      </c>
      <c r="AL663" s="23">
        <v>0.0</v>
      </c>
      <c r="AP663" s="23">
        <v>0.0</v>
      </c>
      <c r="AT663" s="23">
        <v>0.0</v>
      </c>
      <c r="AX663" s="23">
        <v>0.0</v>
      </c>
      <c r="BF663" s="23">
        <v>0.0</v>
      </c>
      <c r="BJ663" s="23">
        <v>0.0</v>
      </c>
      <c r="BN663" s="23">
        <v>0.0</v>
      </c>
      <c r="BO663" s="23">
        <v>1942.14</v>
      </c>
      <c r="BP663" s="16" t="s">
        <v>3734</v>
      </c>
      <c r="BQ663" s="16" t="b">
        <v>1</v>
      </c>
      <c r="BR663" s="23">
        <v>1942.14</v>
      </c>
      <c r="BT663" s="16" t="b">
        <v>0</v>
      </c>
      <c r="BU663" s="16" t="s">
        <v>546</v>
      </c>
    </row>
    <row r="664">
      <c r="A664" s="16" t="s">
        <v>3735</v>
      </c>
      <c r="B664" s="16" t="s">
        <v>35</v>
      </c>
      <c r="C664" s="22">
        <v>45574.0</v>
      </c>
      <c r="D664" s="16" t="s">
        <v>2096</v>
      </c>
      <c r="E664" s="16" t="s">
        <v>3737</v>
      </c>
      <c r="F664" s="16" t="s">
        <v>3739</v>
      </c>
      <c r="G664" s="16" t="s">
        <v>1164</v>
      </c>
      <c r="H664" s="23">
        <v>1.0</v>
      </c>
      <c r="I664" s="23">
        <v>110.0</v>
      </c>
      <c r="J664" s="23">
        <v>110.0</v>
      </c>
      <c r="N664" s="23">
        <v>0.0</v>
      </c>
      <c r="R664" s="23">
        <v>0.0</v>
      </c>
      <c r="V664" s="23">
        <v>0.0</v>
      </c>
      <c r="Z664" s="23">
        <v>0.0</v>
      </c>
      <c r="AD664" s="23">
        <v>0.0</v>
      </c>
      <c r="AH664" s="23">
        <v>0.0</v>
      </c>
      <c r="AL664" s="23">
        <v>0.0</v>
      </c>
      <c r="AP664" s="23">
        <v>0.0</v>
      </c>
      <c r="AT664" s="23">
        <v>0.0</v>
      </c>
      <c r="AX664" s="23">
        <v>0.0</v>
      </c>
      <c r="BF664" s="23">
        <v>0.0</v>
      </c>
      <c r="BJ664" s="23">
        <v>0.0</v>
      </c>
      <c r="BN664" s="23">
        <v>0.0</v>
      </c>
      <c r="BO664" s="23">
        <v>110.0</v>
      </c>
      <c r="BP664" s="16" t="s">
        <v>3738</v>
      </c>
      <c r="BQ664" s="16" t="b">
        <v>1</v>
      </c>
      <c r="BR664" s="23">
        <v>110.0</v>
      </c>
      <c r="BS664" s="23">
        <v>1093107.0</v>
      </c>
      <c r="BT664" s="16" t="b">
        <v>1</v>
      </c>
      <c r="BU664" s="16" t="s">
        <v>546</v>
      </c>
    </row>
    <row r="665">
      <c r="A665" s="16" t="s">
        <v>3741</v>
      </c>
      <c r="B665" s="16" t="s">
        <v>35</v>
      </c>
      <c r="C665" s="22">
        <v>45575.0</v>
      </c>
      <c r="D665" s="16" t="s">
        <v>764</v>
      </c>
      <c r="E665" s="16" t="s">
        <v>3742</v>
      </c>
      <c r="F665" s="16" t="s">
        <v>195</v>
      </c>
      <c r="G665" s="16" t="s">
        <v>1073</v>
      </c>
      <c r="H665" s="23">
        <v>2.0</v>
      </c>
      <c r="I665" s="23">
        <v>19.25</v>
      </c>
      <c r="J665" s="23">
        <v>38.5</v>
      </c>
      <c r="K665" s="16">
        <v>7.5375964E7</v>
      </c>
      <c r="L665" s="23">
        <v>1.0</v>
      </c>
      <c r="M665" s="23">
        <v>19.0</v>
      </c>
      <c r="N665" s="23">
        <v>19.0</v>
      </c>
      <c r="O665" s="16" t="s">
        <v>1384</v>
      </c>
      <c r="P665" s="23">
        <v>1.0</v>
      </c>
      <c r="Q665" s="23">
        <v>19.0</v>
      </c>
      <c r="R665" s="23">
        <v>19.0</v>
      </c>
      <c r="S665" s="16" t="s">
        <v>1074</v>
      </c>
      <c r="T665" s="23">
        <v>4.0</v>
      </c>
      <c r="U665" s="23">
        <v>38.0</v>
      </c>
      <c r="V665" s="23">
        <v>152.0</v>
      </c>
      <c r="W665" s="16" t="s">
        <v>1075</v>
      </c>
      <c r="X665" s="23">
        <v>2.0</v>
      </c>
      <c r="Y665" s="23">
        <v>19.0</v>
      </c>
      <c r="Z665" s="23">
        <v>38.0</v>
      </c>
      <c r="AA665" s="16" t="s">
        <v>1077</v>
      </c>
      <c r="AB665" s="23">
        <v>2.0</v>
      </c>
      <c r="AC665" s="23">
        <v>25.0</v>
      </c>
      <c r="AD665" s="23">
        <v>50.0</v>
      </c>
      <c r="AE665" s="16" t="s">
        <v>1081</v>
      </c>
      <c r="AF665" s="23">
        <v>2.0</v>
      </c>
      <c r="AG665" s="23">
        <v>46.0</v>
      </c>
      <c r="AH665" s="23">
        <v>92.0</v>
      </c>
      <c r="AI665" s="16" t="s">
        <v>1085</v>
      </c>
      <c r="AJ665" s="23">
        <v>3.0</v>
      </c>
      <c r="AK665" s="23">
        <v>38.0</v>
      </c>
      <c r="AL665" s="23">
        <v>114.0</v>
      </c>
      <c r="AM665" s="16" t="s">
        <v>1091</v>
      </c>
      <c r="AN665" s="23">
        <v>1.0</v>
      </c>
      <c r="AO665" s="23">
        <v>19.0</v>
      </c>
      <c r="AP665" s="23">
        <v>19.0</v>
      </c>
      <c r="AT665" s="23">
        <v>0.0</v>
      </c>
      <c r="AX665" s="23">
        <v>0.0</v>
      </c>
      <c r="BF665" s="23">
        <v>0.0</v>
      </c>
      <c r="BJ665" s="23">
        <v>0.0</v>
      </c>
      <c r="BN665" s="23">
        <v>0.0</v>
      </c>
      <c r="BO665" s="23">
        <v>541.5</v>
      </c>
      <c r="BP665" s="16" t="s">
        <v>3743</v>
      </c>
      <c r="BQ665" s="16" t="b">
        <v>1</v>
      </c>
      <c r="BR665" s="23">
        <v>541.5</v>
      </c>
      <c r="BT665" s="16" t="b">
        <v>0</v>
      </c>
      <c r="BU665" s="16" t="s">
        <v>546</v>
      </c>
    </row>
    <row r="666">
      <c r="A666" s="16" t="s">
        <v>3745</v>
      </c>
      <c r="B666" s="16" t="s">
        <v>35</v>
      </c>
      <c r="C666" s="22">
        <v>45576.0</v>
      </c>
      <c r="D666" s="16" t="s">
        <v>112</v>
      </c>
      <c r="E666" s="16" t="s">
        <v>3746</v>
      </c>
      <c r="F666" s="16" t="s">
        <v>157</v>
      </c>
      <c r="G666" s="16" t="s">
        <v>159</v>
      </c>
      <c r="H666" s="23">
        <v>15.0</v>
      </c>
      <c r="I666" s="23">
        <v>12.0</v>
      </c>
      <c r="J666" s="23">
        <v>180.0</v>
      </c>
      <c r="K666" s="16" t="s">
        <v>155</v>
      </c>
      <c r="L666" s="23">
        <v>1.0</v>
      </c>
      <c r="M666" s="23">
        <v>34.65</v>
      </c>
      <c r="N666" s="23">
        <v>34.65</v>
      </c>
      <c r="O666" s="16" t="s">
        <v>226</v>
      </c>
      <c r="P666" s="23">
        <v>6.0</v>
      </c>
      <c r="Q666" s="23">
        <v>8.5</v>
      </c>
      <c r="R666" s="23">
        <v>51.0</v>
      </c>
      <c r="V666" s="23">
        <v>0.0</v>
      </c>
      <c r="Z666" s="23">
        <v>0.0</v>
      </c>
      <c r="AD666" s="23">
        <v>0.0</v>
      </c>
      <c r="AH666" s="23">
        <v>0.0</v>
      </c>
      <c r="AL666" s="23">
        <v>0.0</v>
      </c>
      <c r="AP666" s="23">
        <v>0.0</v>
      </c>
      <c r="AT666" s="23">
        <v>0.0</v>
      </c>
      <c r="AX666" s="23">
        <v>0.0</v>
      </c>
      <c r="BF666" s="23">
        <v>0.0</v>
      </c>
      <c r="BJ666" s="23">
        <v>0.0</v>
      </c>
      <c r="BN666" s="23">
        <v>0.0</v>
      </c>
      <c r="BO666" s="23">
        <v>265.65</v>
      </c>
      <c r="BP666" s="16" t="s">
        <v>3748</v>
      </c>
      <c r="BQ666" s="16" t="b">
        <v>1</v>
      </c>
      <c r="BR666" s="23">
        <v>265.65</v>
      </c>
      <c r="BT666" s="16" t="b">
        <v>0</v>
      </c>
      <c r="BU666" s="16" t="s">
        <v>546</v>
      </c>
    </row>
    <row r="667">
      <c r="A667" s="16" t="s">
        <v>3749</v>
      </c>
      <c r="B667" s="16" t="s">
        <v>35</v>
      </c>
      <c r="C667" s="22">
        <v>45576.0</v>
      </c>
      <c r="D667" s="16" t="s">
        <v>175</v>
      </c>
      <c r="E667" s="16" t="s">
        <v>3751</v>
      </c>
      <c r="F667" s="16" t="s">
        <v>3753</v>
      </c>
      <c r="G667" s="16" t="s">
        <v>691</v>
      </c>
      <c r="H667" s="23">
        <v>1.0</v>
      </c>
      <c r="I667" s="23">
        <v>60.0</v>
      </c>
      <c r="J667" s="23">
        <v>60.0</v>
      </c>
      <c r="K667" s="16" t="s">
        <v>1683</v>
      </c>
      <c r="L667" s="23">
        <v>1.0</v>
      </c>
      <c r="M667" s="23">
        <v>40.0</v>
      </c>
      <c r="N667" s="23">
        <v>40.0</v>
      </c>
      <c r="O667" s="16" t="s">
        <v>5215</v>
      </c>
      <c r="P667" s="23">
        <v>1.0</v>
      </c>
      <c r="Q667" s="23">
        <v>9.34</v>
      </c>
      <c r="R667" s="23">
        <v>9.34</v>
      </c>
      <c r="S667" s="16" t="s">
        <v>1197</v>
      </c>
      <c r="T667" s="23">
        <v>1.0</v>
      </c>
      <c r="U667" s="23">
        <v>40.0</v>
      </c>
      <c r="V667" s="23">
        <v>40.0</v>
      </c>
      <c r="W667" s="16" t="s">
        <v>305</v>
      </c>
      <c r="X667" s="23">
        <v>1.0</v>
      </c>
      <c r="Y667" s="23">
        <v>200.0</v>
      </c>
      <c r="Z667" s="23">
        <v>200.0</v>
      </c>
      <c r="AD667" s="23">
        <v>0.0</v>
      </c>
      <c r="AH667" s="23">
        <v>0.0</v>
      </c>
      <c r="AL667" s="23">
        <v>0.0</v>
      </c>
      <c r="AP667" s="23">
        <v>0.0</v>
      </c>
      <c r="AT667" s="23">
        <v>0.0</v>
      </c>
      <c r="AX667" s="23">
        <v>0.0</v>
      </c>
      <c r="BF667" s="23">
        <v>0.0</v>
      </c>
      <c r="BJ667" s="23">
        <v>0.0</v>
      </c>
      <c r="BN667" s="23">
        <v>0.0</v>
      </c>
      <c r="BO667" s="23">
        <v>349.34</v>
      </c>
      <c r="BP667" s="16" t="s">
        <v>3752</v>
      </c>
      <c r="BQ667" s="16" t="b">
        <v>1</v>
      </c>
      <c r="BR667" s="23">
        <v>349.34</v>
      </c>
      <c r="BT667" s="16" t="b">
        <v>0</v>
      </c>
      <c r="BU667" s="16" t="s">
        <v>546</v>
      </c>
    </row>
    <row r="668">
      <c r="A668" s="16" t="s">
        <v>3755</v>
      </c>
      <c r="B668" s="16" t="s">
        <v>35</v>
      </c>
      <c r="C668" s="22">
        <v>45577.0</v>
      </c>
      <c r="D668" s="16" t="s">
        <v>3756</v>
      </c>
      <c r="E668" s="16" t="s">
        <v>3757</v>
      </c>
      <c r="F668" s="16" t="s">
        <v>3759</v>
      </c>
      <c r="G668" s="16" t="s">
        <v>5222</v>
      </c>
      <c r="H668" s="23">
        <v>1.0</v>
      </c>
      <c r="I668" s="23">
        <v>450.0</v>
      </c>
      <c r="J668" s="23">
        <v>450.0</v>
      </c>
      <c r="N668" s="23">
        <v>0.0</v>
      </c>
      <c r="R668" s="23">
        <v>0.0</v>
      </c>
      <c r="V668" s="23">
        <v>0.0</v>
      </c>
      <c r="Z668" s="23">
        <v>0.0</v>
      </c>
      <c r="AD668" s="23">
        <v>0.0</v>
      </c>
      <c r="AH668" s="23">
        <v>0.0</v>
      </c>
      <c r="AL668" s="23">
        <v>0.0</v>
      </c>
      <c r="AP668" s="23">
        <v>0.0</v>
      </c>
      <c r="AT668" s="23">
        <v>0.0</v>
      </c>
      <c r="AX668" s="23">
        <v>0.0</v>
      </c>
      <c r="BF668" s="23">
        <v>0.0</v>
      </c>
      <c r="BJ668" s="23">
        <v>0.0</v>
      </c>
      <c r="BN668" s="23">
        <v>0.0</v>
      </c>
      <c r="BO668" s="23">
        <v>450.0</v>
      </c>
      <c r="BP668" s="16" t="s">
        <v>3758</v>
      </c>
      <c r="BQ668" s="16" t="b">
        <v>1</v>
      </c>
      <c r="BR668" s="23">
        <v>450.0</v>
      </c>
      <c r="BT668" s="16" t="b">
        <v>0</v>
      </c>
      <c r="BU668" s="16" t="s">
        <v>546</v>
      </c>
    </row>
    <row r="669">
      <c r="A669" s="16" t="s">
        <v>3761</v>
      </c>
      <c r="B669" s="16" t="s">
        <v>35</v>
      </c>
      <c r="C669" s="22">
        <v>45579.0</v>
      </c>
      <c r="D669" s="16" t="s">
        <v>307</v>
      </c>
      <c r="E669" s="16" t="s">
        <v>3762</v>
      </c>
      <c r="F669" s="16" t="s">
        <v>3764</v>
      </c>
      <c r="G669" s="16" t="s">
        <v>5225</v>
      </c>
      <c r="H669" s="23">
        <v>1.0</v>
      </c>
      <c r="I669" s="23">
        <v>34.4</v>
      </c>
      <c r="J669" s="23">
        <v>34.4</v>
      </c>
      <c r="N669" s="23">
        <v>0.0</v>
      </c>
      <c r="R669" s="23">
        <v>0.0</v>
      </c>
      <c r="V669" s="23">
        <v>0.0</v>
      </c>
      <c r="Z669" s="23">
        <v>0.0</v>
      </c>
      <c r="AD669" s="23">
        <v>0.0</v>
      </c>
      <c r="AH669" s="23">
        <v>0.0</v>
      </c>
      <c r="AL669" s="23">
        <v>0.0</v>
      </c>
      <c r="AP669" s="23">
        <v>0.0</v>
      </c>
      <c r="AT669" s="23">
        <v>0.0</v>
      </c>
      <c r="AX669" s="23">
        <v>0.0</v>
      </c>
      <c r="BF669" s="23">
        <v>0.0</v>
      </c>
      <c r="BJ669" s="23">
        <v>0.0</v>
      </c>
      <c r="BN669" s="23">
        <v>0.0</v>
      </c>
      <c r="BO669" s="23">
        <v>34.4</v>
      </c>
      <c r="BP669" s="16" t="s">
        <v>3763</v>
      </c>
      <c r="BQ669" s="16" t="b">
        <v>1</v>
      </c>
      <c r="BR669" s="23">
        <v>34.4</v>
      </c>
      <c r="BT669" s="16" t="b">
        <v>0</v>
      </c>
      <c r="BU669" s="16" t="s">
        <v>546</v>
      </c>
    </row>
    <row r="670">
      <c r="A670" s="16" t="s">
        <v>3766</v>
      </c>
      <c r="B670" s="16" t="s">
        <v>35</v>
      </c>
      <c r="C670" s="22">
        <v>45579.0</v>
      </c>
      <c r="D670" s="16" t="s">
        <v>3767</v>
      </c>
      <c r="E670" s="16" t="s">
        <v>3770</v>
      </c>
      <c r="F670" s="16" t="s">
        <v>3772</v>
      </c>
      <c r="G670" s="16" t="s">
        <v>5228</v>
      </c>
      <c r="H670" s="23">
        <v>1.0</v>
      </c>
      <c r="I670" s="23">
        <v>23.4</v>
      </c>
      <c r="J670" s="23">
        <v>23.4</v>
      </c>
      <c r="N670" s="23">
        <v>0.0</v>
      </c>
      <c r="R670" s="23">
        <v>0.0</v>
      </c>
      <c r="V670" s="23">
        <v>0.0</v>
      </c>
      <c r="Z670" s="23">
        <v>0.0</v>
      </c>
      <c r="AD670" s="23">
        <v>0.0</v>
      </c>
      <c r="AH670" s="23">
        <v>0.0</v>
      </c>
      <c r="AL670" s="23">
        <v>0.0</v>
      </c>
      <c r="AP670" s="23">
        <v>0.0</v>
      </c>
      <c r="AT670" s="23">
        <v>0.0</v>
      </c>
      <c r="AX670" s="23">
        <v>0.0</v>
      </c>
      <c r="BF670" s="23">
        <v>0.0</v>
      </c>
      <c r="BJ670" s="23">
        <v>0.0</v>
      </c>
      <c r="BN670" s="23">
        <v>0.0</v>
      </c>
      <c r="BO670" s="23">
        <v>23.4</v>
      </c>
      <c r="BP670" s="16" t="s">
        <v>3771</v>
      </c>
      <c r="BQ670" s="16" t="b">
        <v>1</v>
      </c>
      <c r="BR670" s="23">
        <v>23.4</v>
      </c>
      <c r="BT670" s="16" t="b">
        <v>0</v>
      </c>
      <c r="BU670" s="16" t="s">
        <v>546</v>
      </c>
    </row>
    <row r="671">
      <c r="A671" s="16" t="s">
        <v>3774</v>
      </c>
      <c r="B671" s="16" t="s">
        <v>35</v>
      </c>
      <c r="C671" s="22">
        <v>45579.0</v>
      </c>
      <c r="D671" s="16" t="s">
        <v>543</v>
      </c>
      <c r="E671" s="16" t="s">
        <v>3775</v>
      </c>
      <c r="F671" s="16" t="s">
        <v>171</v>
      </c>
      <c r="G671" s="16">
        <v>1.2539885E7</v>
      </c>
      <c r="H671" s="23">
        <v>1.0</v>
      </c>
      <c r="I671" s="23">
        <v>400.0</v>
      </c>
      <c r="J671" s="23">
        <v>400.0</v>
      </c>
      <c r="N671" s="23">
        <v>0.0</v>
      </c>
      <c r="R671" s="23">
        <v>0.0</v>
      </c>
      <c r="V671" s="23">
        <v>0.0</v>
      </c>
      <c r="Z671" s="23">
        <v>0.0</v>
      </c>
      <c r="AD671" s="23">
        <v>0.0</v>
      </c>
      <c r="AH671" s="23">
        <v>0.0</v>
      </c>
      <c r="AL671" s="23">
        <v>0.0</v>
      </c>
      <c r="AP671" s="23">
        <v>0.0</v>
      </c>
      <c r="AT671" s="23">
        <v>0.0</v>
      </c>
      <c r="AX671" s="23">
        <v>0.0</v>
      </c>
      <c r="BF671" s="23">
        <v>0.0</v>
      </c>
      <c r="BJ671" s="23">
        <v>0.0</v>
      </c>
      <c r="BN671" s="23">
        <v>0.0</v>
      </c>
      <c r="BO671" s="23">
        <v>400.0</v>
      </c>
      <c r="BP671" s="16" t="s">
        <v>3776</v>
      </c>
      <c r="BQ671" s="16" t="b">
        <v>1</v>
      </c>
      <c r="BR671" s="23">
        <v>400.0</v>
      </c>
      <c r="BT671" s="16" t="b">
        <v>0</v>
      </c>
      <c r="BU671" s="16" t="s">
        <v>546</v>
      </c>
    </row>
    <row r="672">
      <c r="A672" s="16" t="s">
        <v>3777</v>
      </c>
      <c r="B672" s="16" t="s">
        <v>35</v>
      </c>
      <c r="C672" s="22">
        <v>45579.0</v>
      </c>
      <c r="D672" s="16" t="s">
        <v>112</v>
      </c>
      <c r="E672" s="16" t="s">
        <v>3778</v>
      </c>
      <c r="F672" s="16" t="s">
        <v>157</v>
      </c>
      <c r="G672" s="16" t="s">
        <v>159</v>
      </c>
      <c r="H672" s="23">
        <v>1.0</v>
      </c>
      <c r="I672" s="23">
        <v>144.0</v>
      </c>
      <c r="J672" s="23">
        <v>144.0</v>
      </c>
      <c r="K672" s="16" t="s">
        <v>155</v>
      </c>
      <c r="L672" s="23">
        <v>1.0</v>
      </c>
      <c r="M672" s="23">
        <v>34.87</v>
      </c>
      <c r="N672" s="23">
        <v>34.87</v>
      </c>
      <c r="O672" s="16" t="s">
        <v>152</v>
      </c>
      <c r="P672" s="23">
        <v>1.0</v>
      </c>
      <c r="Q672" s="23">
        <v>20.82</v>
      </c>
      <c r="R672" s="23">
        <v>20.82</v>
      </c>
      <c r="S672" s="16" t="s">
        <v>226</v>
      </c>
      <c r="T672" s="23">
        <v>1.0</v>
      </c>
      <c r="U672" s="23">
        <v>47.5</v>
      </c>
      <c r="V672" s="23">
        <v>47.5</v>
      </c>
      <c r="Z672" s="23">
        <v>0.0</v>
      </c>
      <c r="AD672" s="23">
        <v>0.0</v>
      </c>
      <c r="AH672" s="23">
        <v>0.0</v>
      </c>
      <c r="AL672" s="23">
        <v>0.0</v>
      </c>
      <c r="AP672" s="23">
        <v>0.0</v>
      </c>
      <c r="AT672" s="23">
        <v>0.0</v>
      </c>
      <c r="AX672" s="23">
        <v>0.0</v>
      </c>
      <c r="BF672" s="23">
        <v>0.0</v>
      </c>
      <c r="BJ672" s="23">
        <v>0.0</v>
      </c>
      <c r="BN672" s="23">
        <v>0.0</v>
      </c>
      <c r="BO672" s="23">
        <v>247.19</v>
      </c>
      <c r="BP672" s="16" t="s">
        <v>3779</v>
      </c>
      <c r="BQ672" s="16" t="b">
        <v>1</v>
      </c>
      <c r="BR672" s="23">
        <v>247.19</v>
      </c>
      <c r="BT672" s="16" t="b">
        <v>0</v>
      </c>
      <c r="BU672" s="16" t="s">
        <v>546</v>
      </c>
    </row>
    <row r="673">
      <c r="A673" s="16" t="s">
        <v>3781</v>
      </c>
      <c r="B673" s="16" t="s">
        <v>35</v>
      </c>
      <c r="C673" s="22">
        <v>45579.0</v>
      </c>
      <c r="D673" s="16" t="s">
        <v>353</v>
      </c>
      <c r="E673" s="16" t="s">
        <v>3783</v>
      </c>
      <c r="F673" s="16" t="s">
        <v>3785</v>
      </c>
      <c r="G673" s="16" t="s">
        <v>691</v>
      </c>
      <c r="H673" s="23">
        <v>1.0</v>
      </c>
      <c r="I673" s="23">
        <v>135.38</v>
      </c>
      <c r="J673" s="23">
        <v>135.38</v>
      </c>
      <c r="N673" s="23">
        <v>0.0</v>
      </c>
      <c r="R673" s="23">
        <v>0.0</v>
      </c>
      <c r="V673" s="23">
        <v>0.0</v>
      </c>
      <c r="Z673" s="23">
        <v>0.0</v>
      </c>
      <c r="AD673" s="23">
        <v>0.0</v>
      </c>
      <c r="AH673" s="23">
        <v>0.0</v>
      </c>
      <c r="AL673" s="23">
        <v>0.0</v>
      </c>
      <c r="AP673" s="23">
        <v>0.0</v>
      </c>
      <c r="AT673" s="23">
        <v>0.0</v>
      </c>
      <c r="AX673" s="23">
        <v>0.0</v>
      </c>
      <c r="BF673" s="23">
        <v>0.0</v>
      </c>
      <c r="BJ673" s="23">
        <v>0.0</v>
      </c>
      <c r="BN673" s="23">
        <v>0.0</v>
      </c>
      <c r="BO673" s="23">
        <v>135.38</v>
      </c>
      <c r="BP673" s="16" t="s">
        <v>3784</v>
      </c>
      <c r="BQ673" s="16" t="b">
        <v>1</v>
      </c>
      <c r="BR673" s="23">
        <v>135.38</v>
      </c>
      <c r="BT673" s="16" t="b">
        <v>0</v>
      </c>
      <c r="BU673" s="16" t="s">
        <v>546</v>
      </c>
    </row>
    <row r="674">
      <c r="A674" s="16" t="s">
        <v>3786</v>
      </c>
      <c r="B674" s="16" t="s">
        <v>35</v>
      </c>
      <c r="C674" s="22">
        <v>45580.0</v>
      </c>
      <c r="D674" s="16" t="s">
        <v>890</v>
      </c>
      <c r="F674" s="16" t="s">
        <v>3788</v>
      </c>
      <c r="G674" s="16" t="s">
        <v>4831</v>
      </c>
      <c r="H674" s="16">
        <v>1.0</v>
      </c>
      <c r="I674" s="23">
        <v>250.0</v>
      </c>
      <c r="J674" s="23">
        <v>250.0</v>
      </c>
      <c r="BO674" s="23">
        <v>250.0</v>
      </c>
      <c r="BR674" s="23">
        <v>250.0</v>
      </c>
      <c r="BU674" s="16" t="s">
        <v>539</v>
      </c>
    </row>
    <row r="675">
      <c r="A675" s="16" t="s">
        <v>3790</v>
      </c>
      <c r="B675" s="16" t="s">
        <v>35</v>
      </c>
      <c r="C675" s="22">
        <v>45580.0</v>
      </c>
      <c r="D675" s="16" t="s">
        <v>2248</v>
      </c>
      <c r="F675" s="16" t="s">
        <v>2549</v>
      </c>
      <c r="G675" s="16" t="s">
        <v>3218</v>
      </c>
      <c r="H675" s="16">
        <v>1.0</v>
      </c>
      <c r="I675" s="23">
        <v>352.95</v>
      </c>
      <c r="J675" s="23">
        <v>352.95</v>
      </c>
      <c r="BO675" s="23">
        <v>352.95</v>
      </c>
      <c r="BR675" s="23">
        <v>352.95</v>
      </c>
      <c r="BU675" s="16" t="s">
        <v>539</v>
      </c>
    </row>
    <row r="676">
      <c r="A676" s="16" t="s">
        <v>3792</v>
      </c>
      <c r="B676" s="16" t="s">
        <v>35</v>
      </c>
      <c r="C676" s="22">
        <v>45582.0</v>
      </c>
      <c r="F676" s="16" t="s">
        <v>1329</v>
      </c>
      <c r="G676" s="16" t="s">
        <v>1168</v>
      </c>
      <c r="H676" s="16">
        <v>1.0</v>
      </c>
      <c r="I676" s="23">
        <v>500.0</v>
      </c>
      <c r="J676" s="23">
        <v>500.0</v>
      </c>
      <c r="BO676" s="23">
        <v>500.0</v>
      </c>
      <c r="BR676" s="23">
        <v>500.0</v>
      </c>
      <c r="BU676" s="16" t="s">
        <v>539</v>
      </c>
      <c r="BV676" s="16" t="s">
        <v>2052</v>
      </c>
      <c r="BW676" s="16"/>
      <c r="BX676" s="16"/>
      <c r="BY676" s="16"/>
    </row>
    <row r="677">
      <c r="A677" s="16" t="s">
        <v>3794</v>
      </c>
      <c r="B677" s="16" t="s">
        <v>35</v>
      </c>
      <c r="C677" s="22">
        <v>45584.0</v>
      </c>
      <c r="F677" s="16" t="s">
        <v>1329</v>
      </c>
      <c r="G677" s="16" t="s">
        <v>1168</v>
      </c>
      <c r="H677" s="16">
        <v>1.0</v>
      </c>
      <c r="I677" s="23">
        <v>500.0</v>
      </c>
      <c r="J677" s="23">
        <v>500.0</v>
      </c>
      <c r="BO677" s="23">
        <v>500.0</v>
      </c>
      <c r="BR677" s="23">
        <v>500.0</v>
      </c>
      <c r="BU677" s="16" t="s">
        <v>539</v>
      </c>
      <c r="BV677" s="16" t="s">
        <v>3795</v>
      </c>
      <c r="BW677" s="16"/>
      <c r="BX677" s="16"/>
      <c r="BY677" s="16"/>
    </row>
    <row r="678">
      <c r="A678" s="16" t="s">
        <v>3797</v>
      </c>
      <c r="B678" s="16" t="s">
        <v>35</v>
      </c>
      <c r="C678" s="22">
        <v>45586.0</v>
      </c>
      <c r="D678" s="16" t="s">
        <v>460</v>
      </c>
      <c r="F678" s="16" t="s">
        <v>3798</v>
      </c>
      <c r="G678" s="16" t="s">
        <v>5247</v>
      </c>
      <c r="H678" s="16">
        <v>1.0</v>
      </c>
      <c r="I678" s="23">
        <v>1000.0</v>
      </c>
      <c r="J678" s="23">
        <v>1000.0</v>
      </c>
      <c r="BO678" s="23">
        <v>1000.0</v>
      </c>
      <c r="BR678" s="23">
        <v>1000.0</v>
      </c>
      <c r="BU678" s="16" t="s">
        <v>539</v>
      </c>
    </row>
    <row r="679">
      <c r="A679" s="16" t="s">
        <v>3800</v>
      </c>
      <c r="B679" s="16" t="s">
        <v>35</v>
      </c>
      <c r="C679" s="22">
        <v>45580.0</v>
      </c>
      <c r="D679" s="16" t="s">
        <v>1918</v>
      </c>
      <c r="E679" s="16" t="s">
        <v>3801</v>
      </c>
      <c r="F679" s="16" t="s">
        <v>3804</v>
      </c>
      <c r="G679" s="16" t="s">
        <v>5249</v>
      </c>
      <c r="H679" s="23">
        <v>1.0</v>
      </c>
      <c r="I679" s="23">
        <v>21.8</v>
      </c>
      <c r="J679" s="23">
        <v>21.8</v>
      </c>
      <c r="N679" s="23">
        <v>0.0</v>
      </c>
      <c r="R679" s="23">
        <v>0.0</v>
      </c>
      <c r="V679" s="23">
        <v>0.0</v>
      </c>
      <c r="Z679" s="23">
        <v>0.0</v>
      </c>
      <c r="AD679" s="23">
        <v>0.0</v>
      </c>
      <c r="AH679" s="23">
        <v>0.0</v>
      </c>
      <c r="AL679" s="23">
        <v>0.0</v>
      </c>
      <c r="AP679" s="23">
        <v>0.0</v>
      </c>
      <c r="AT679" s="23">
        <v>0.0</v>
      </c>
      <c r="AX679" s="23">
        <v>0.0</v>
      </c>
      <c r="BF679" s="23">
        <v>0.0</v>
      </c>
      <c r="BJ679" s="23">
        <v>0.0</v>
      </c>
      <c r="BN679" s="23">
        <v>0.0</v>
      </c>
      <c r="BO679" s="23">
        <v>21.8</v>
      </c>
      <c r="BP679" s="16" t="s">
        <v>3803</v>
      </c>
      <c r="BQ679" s="16" t="b">
        <v>1</v>
      </c>
      <c r="BR679" s="23">
        <v>21.8</v>
      </c>
      <c r="BS679" s="23">
        <v>1102317.0</v>
      </c>
      <c r="BT679" s="16" t="b">
        <v>1</v>
      </c>
      <c r="BU679" s="16" t="s">
        <v>546</v>
      </c>
    </row>
    <row r="680">
      <c r="A680" s="16" t="s">
        <v>3805</v>
      </c>
      <c r="B680" s="16" t="s">
        <v>35</v>
      </c>
      <c r="C680" s="22">
        <v>45581.0</v>
      </c>
      <c r="D680" s="16" t="s">
        <v>112</v>
      </c>
      <c r="E680" s="16" t="s">
        <v>3807</v>
      </c>
      <c r="F680" s="16" t="s">
        <v>157</v>
      </c>
      <c r="G680" s="16" t="s">
        <v>159</v>
      </c>
      <c r="H680" s="23">
        <v>1.0</v>
      </c>
      <c r="I680" s="23">
        <v>180.0</v>
      </c>
      <c r="J680" s="23">
        <v>180.0</v>
      </c>
      <c r="K680" s="16" t="s">
        <v>155</v>
      </c>
      <c r="L680" s="23">
        <v>1.0</v>
      </c>
      <c r="M680" s="23">
        <v>25.57</v>
      </c>
      <c r="N680" s="23">
        <v>25.57</v>
      </c>
      <c r="O680" s="16" t="s">
        <v>226</v>
      </c>
      <c r="P680" s="23">
        <v>1.0</v>
      </c>
      <c r="Q680" s="23">
        <v>47.5</v>
      </c>
      <c r="R680" s="23">
        <v>47.5</v>
      </c>
      <c r="V680" s="23">
        <v>0.0</v>
      </c>
      <c r="Z680" s="23">
        <v>0.0</v>
      </c>
      <c r="AD680" s="23">
        <v>0.0</v>
      </c>
      <c r="AH680" s="23">
        <v>0.0</v>
      </c>
      <c r="AL680" s="23">
        <v>0.0</v>
      </c>
      <c r="AP680" s="23">
        <v>0.0</v>
      </c>
      <c r="AT680" s="23">
        <v>0.0</v>
      </c>
      <c r="AX680" s="23">
        <v>0.0</v>
      </c>
      <c r="BF680" s="23">
        <v>0.0</v>
      </c>
      <c r="BJ680" s="23">
        <v>0.0</v>
      </c>
      <c r="BN680" s="23">
        <v>0.0</v>
      </c>
      <c r="BO680" s="23">
        <v>253.07</v>
      </c>
      <c r="BP680" s="16" t="s">
        <v>3808</v>
      </c>
      <c r="BQ680" s="16" t="b">
        <v>1</v>
      </c>
      <c r="BR680" s="23">
        <v>253.07</v>
      </c>
      <c r="BT680" s="16" t="b">
        <v>0</v>
      </c>
      <c r="BU680" s="16" t="s">
        <v>546</v>
      </c>
    </row>
    <row r="681">
      <c r="A681" s="16" t="s">
        <v>3810</v>
      </c>
      <c r="B681" s="16" t="s">
        <v>35</v>
      </c>
      <c r="C681" s="22">
        <v>45581.0</v>
      </c>
      <c r="D681" s="16" t="s">
        <v>890</v>
      </c>
      <c r="E681" s="16" t="s">
        <v>3811</v>
      </c>
      <c r="F681" s="16" t="s">
        <v>3813</v>
      </c>
      <c r="G681" s="16" t="s">
        <v>1517</v>
      </c>
      <c r="H681" s="23">
        <v>1.0</v>
      </c>
      <c r="I681" s="23">
        <v>9024.49</v>
      </c>
      <c r="J681" s="23">
        <v>9024.49</v>
      </c>
      <c r="N681" s="23">
        <v>0.0</v>
      </c>
      <c r="R681" s="23">
        <v>0.0</v>
      </c>
      <c r="V681" s="23">
        <v>0.0</v>
      </c>
      <c r="Z681" s="23">
        <v>0.0</v>
      </c>
      <c r="AD681" s="23">
        <v>0.0</v>
      </c>
      <c r="AH681" s="23">
        <v>0.0</v>
      </c>
      <c r="AL681" s="23">
        <v>0.0</v>
      </c>
      <c r="AP681" s="23">
        <v>0.0</v>
      </c>
      <c r="AT681" s="23">
        <v>0.0</v>
      </c>
      <c r="AX681" s="23">
        <v>0.0</v>
      </c>
      <c r="BF681" s="23">
        <v>0.0</v>
      </c>
      <c r="BJ681" s="23">
        <v>0.0</v>
      </c>
      <c r="BN681" s="23">
        <v>0.0</v>
      </c>
      <c r="BO681" s="23">
        <v>9024.49</v>
      </c>
      <c r="BP681" s="16" t="s">
        <v>3812</v>
      </c>
      <c r="BQ681" s="16" t="b">
        <v>1</v>
      </c>
      <c r="BR681" s="23">
        <v>9024.49</v>
      </c>
      <c r="BT681" s="16" t="b">
        <v>0</v>
      </c>
      <c r="BU681" s="16" t="s">
        <v>546</v>
      </c>
    </row>
    <row r="682">
      <c r="A682" s="16" t="s">
        <v>3815</v>
      </c>
      <c r="B682" s="16" t="s">
        <v>35</v>
      </c>
      <c r="C682" s="22">
        <v>45583.0</v>
      </c>
      <c r="D682" s="16" t="s">
        <v>3816</v>
      </c>
      <c r="E682" s="16" t="s">
        <v>3817</v>
      </c>
      <c r="F682" s="16" t="s">
        <v>3820</v>
      </c>
      <c r="G682" s="16" t="s">
        <v>305</v>
      </c>
      <c r="H682" s="23">
        <v>1.0</v>
      </c>
      <c r="I682" s="23">
        <v>59.51</v>
      </c>
      <c r="J682" s="23">
        <v>59.51</v>
      </c>
      <c r="N682" s="23">
        <v>0.0</v>
      </c>
      <c r="R682" s="23">
        <v>0.0</v>
      </c>
      <c r="V682" s="23">
        <v>0.0</v>
      </c>
      <c r="Z682" s="23">
        <v>0.0</v>
      </c>
      <c r="AD682" s="23">
        <v>0.0</v>
      </c>
      <c r="AH682" s="23">
        <v>0.0</v>
      </c>
      <c r="AL682" s="23">
        <v>0.0</v>
      </c>
      <c r="AP682" s="23">
        <v>0.0</v>
      </c>
      <c r="AT682" s="23">
        <v>0.0</v>
      </c>
      <c r="AX682" s="23">
        <v>0.0</v>
      </c>
      <c r="BF682" s="23">
        <v>0.0</v>
      </c>
      <c r="BJ682" s="23">
        <v>0.0</v>
      </c>
      <c r="BN682" s="23">
        <v>0.0</v>
      </c>
      <c r="BO682" s="23">
        <v>59.51</v>
      </c>
      <c r="BP682" s="16" t="s">
        <v>3819</v>
      </c>
      <c r="BQ682" s="16" t="b">
        <v>1</v>
      </c>
      <c r="BR682" s="23">
        <v>59.51</v>
      </c>
      <c r="BT682" s="16" t="b">
        <v>0</v>
      </c>
      <c r="BU682" s="16" t="s">
        <v>546</v>
      </c>
    </row>
    <row r="683">
      <c r="A683" s="16" t="s">
        <v>3821</v>
      </c>
      <c r="B683" s="16" t="s">
        <v>35</v>
      </c>
      <c r="C683" s="22">
        <v>45583.0</v>
      </c>
      <c r="D683" s="23">
        <v>8.627274E7</v>
      </c>
      <c r="E683" s="16" t="s">
        <v>3824</v>
      </c>
      <c r="F683" s="16" t="s">
        <v>3826</v>
      </c>
      <c r="G683" s="16" t="s">
        <v>305</v>
      </c>
      <c r="H683" s="23">
        <v>1.0</v>
      </c>
      <c r="I683" s="23">
        <v>21.98</v>
      </c>
      <c r="J683" s="23">
        <v>21.98</v>
      </c>
      <c r="N683" s="23">
        <v>0.0</v>
      </c>
      <c r="R683" s="23">
        <v>0.0</v>
      </c>
      <c r="V683" s="23">
        <v>0.0</v>
      </c>
      <c r="Z683" s="23">
        <v>0.0</v>
      </c>
      <c r="AD683" s="23">
        <v>0.0</v>
      </c>
      <c r="AH683" s="23">
        <v>0.0</v>
      </c>
      <c r="AL683" s="23">
        <v>0.0</v>
      </c>
      <c r="AP683" s="23">
        <v>0.0</v>
      </c>
      <c r="AT683" s="23">
        <v>0.0</v>
      </c>
      <c r="AX683" s="23">
        <v>0.0</v>
      </c>
      <c r="BF683" s="23">
        <v>0.0</v>
      </c>
      <c r="BJ683" s="23">
        <v>0.0</v>
      </c>
      <c r="BN683" s="23">
        <v>0.0</v>
      </c>
      <c r="BO683" s="23">
        <v>21.98</v>
      </c>
      <c r="BP683" s="16" t="s">
        <v>3825</v>
      </c>
      <c r="BQ683" s="16" t="b">
        <v>1</v>
      </c>
      <c r="BR683" s="23">
        <v>21.98</v>
      </c>
      <c r="BT683" s="16" t="b">
        <v>0</v>
      </c>
      <c r="BU683" s="16" t="s">
        <v>546</v>
      </c>
    </row>
    <row r="684">
      <c r="A684" s="16" t="s">
        <v>3828</v>
      </c>
      <c r="B684" s="16" t="s">
        <v>35</v>
      </c>
      <c r="C684" s="22">
        <v>45583.0</v>
      </c>
      <c r="D684" s="16" t="s">
        <v>543</v>
      </c>
      <c r="E684" s="16" t="s">
        <v>3829</v>
      </c>
      <c r="F684" s="16" t="s">
        <v>171</v>
      </c>
      <c r="G684" s="16">
        <v>1.2539885E7</v>
      </c>
      <c r="H684" s="23">
        <v>1.0</v>
      </c>
      <c r="I684" s="23">
        <v>360.0</v>
      </c>
      <c r="J684" s="23">
        <v>360.0</v>
      </c>
      <c r="N684" s="23">
        <v>0.0</v>
      </c>
      <c r="R684" s="23">
        <v>0.0</v>
      </c>
      <c r="V684" s="23">
        <v>0.0</v>
      </c>
      <c r="Z684" s="23">
        <v>0.0</v>
      </c>
      <c r="AD684" s="23">
        <v>0.0</v>
      </c>
      <c r="AH684" s="23">
        <v>0.0</v>
      </c>
      <c r="AL684" s="23">
        <v>0.0</v>
      </c>
      <c r="AP684" s="23">
        <v>0.0</v>
      </c>
      <c r="AT684" s="23">
        <v>0.0</v>
      </c>
      <c r="AX684" s="23">
        <v>0.0</v>
      </c>
      <c r="BF684" s="23">
        <v>0.0</v>
      </c>
      <c r="BJ684" s="23">
        <v>0.0</v>
      </c>
      <c r="BN684" s="23">
        <v>0.0</v>
      </c>
      <c r="BO684" s="23">
        <v>360.0</v>
      </c>
      <c r="BP684" s="16" t="s">
        <v>3830</v>
      </c>
      <c r="BQ684" s="16" t="b">
        <v>1</v>
      </c>
      <c r="BR684" s="23">
        <v>360.0</v>
      </c>
      <c r="BT684" s="16" t="b">
        <v>0</v>
      </c>
      <c r="BU684" s="16" t="s">
        <v>546</v>
      </c>
    </row>
    <row r="685">
      <c r="A685" s="16" t="s">
        <v>3832</v>
      </c>
      <c r="B685" s="16" t="s">
        <v>35</v>
      </c>
      <c r="C685" s="22">
        <v>45583.0</v>
      </c>
      <c r="D685" s="16" t="s">
        <v>112</v>
      </c>
      <c r="E685" s="16" t="s">
        <v>3834</v>
      </c>
      <c r="F685" s="16" t="s">
        <v>157</v>
      </c>
      <c r="G685" s="16" t="s">
        <v>159</v>
      </c>
      <c r="H685" s="23">
        <v>1.0</v>
      </c>
      <c r="I685" s="23">
        <v>180.0</v>
      </c>
      <c r="J685" s="23">
        <v>180.0</v>
      </c>
      <c r="K685" s="16" t="s">
        <v>155</v>
      </c>
      <c r="L685" s="23">
        <v>1.0</v>
      </c>
      <c r="M685" s="23">
        <v>58.82</v>
      </c>
      <c r="N685" s="23">
        <v>58.82</v>
      </c>
      <c r="O685" s="16" t="s">
        <v>152</v>
      </c>
      <c r="P685" s="23">
        <v>1.0</v>
      </c>
      <c r="Q685" s="23">
        <v>22.56</v>
      </c>
      <c r="R685" s="23">
        <v>22.56</v>
      </c>
      <c r="S685" s="16" t="s">
        <v>226</v>
      </c>
      <c r="T685" s="23">
        <v>1.0</v>
      </c>
      <c r="U685" s="23">
        <v>57.0</v>
      </c>
      <c r="V685" s="23">
        <v>57.0</v>
      </c>
      <c r="Z685" s="23">
        <v>0.0</v>
      </c>
      <c r="AD685" s="23">
        <v>0.0</v>
      </c>
      <c r="AH685" s="23">
        <v>0.0</v>
      </c>
      <c r="AL685" s="23">
        <v>0.0</v>
      </c>
      <c r="AP685" s="23">
        <v>0.0</v>
      </c>
      <c r="AT685" s="23">
        <v>0.0</v>
      </c>
      <c r="AX685" s="23">
        <v>0.0</v>
      </c>
      <c r="BF685" s="23">
        <v>0.0</v>
      </c>
      <c r="BJ685" s="23">
        <v>0.0</v>
      </c>
      <c r="BN685" s="23">
        <v>0.0</v>
      </c>
      <c r="BO685" s="23">
        <v>318.38</v>
      </c>
      <c r="BP685" s="16" t="s">
        <v>3836</v>
      </c>
      <c r="BQ685" s="16" t="b">
        <v>1</v>
      </c>
      <c r="BR685" s="23">
        <v>318.38</v>
      </c>
      <c r="BT685" s="16" t="b">
        <v>0</v>
      </c>
      <c r="BU685" s="16" t="s">
        <v>546</v>
      </c>
    </row>
    <row r="686">
      <c r="A686" s="16" t="s">
        <v>3837</v>
      </c>
      <c r="B686" s="16" t="s">
        <v>35</v>
      </c>
      <c r="C686" s="22">
        <v>45584.0</v>
      </c>
      <c r="D686" s="16" t="s">
        <v>890</v>
      </c>
      <c r="E686" s="16" t="s">
        <v>3839</v>
      </c>
      <c r="F686" s="16" t="s">
        <v>2894</v>
      </c>
      <c r="G686" s="16" t="s">
        <v>1510</v>
      </c>
      <c r="H686" s="23">
        <v>1.0</v>
      </c>
      <c r="I686" s="23">
        <v>17517.49</v>
      </c>
      <c r="J686" s="23">
        <v>17517.49</v>
      </c>
      <c r="N686" s="23">
        <v>0.0</v>
      </c>
      <c r="R686" s="23">
        <v>0.0</v>
      </c>
      <c r="V686" s="23">
        <v>0.0</v>
      </c>
      <c r="Z686" s="23">
        <v>0.0</v>
      </c>
      <c r="AD686" s="23">
        <v>0.0</v>
      </c>
      <c r="AH686" s="23">
        <v>0.0</v>
      </c>
      <c r="AL686" s="23">
        <v>0.0</v>
      </c>
      <c r="AP686" s="23">
        <v>0.0</v>
      </c>
      <c r="AT686" s="23">
        <v>0.0</v>
      </c>
      <c r="AX686" s="23">
        <v>0.0</v>
      </c>
      <c r="BF686" s="23">
        <v>0.0</v>
      </c>
      <c r="BJ686" s="23">
        <v>0.0</v>
      </c>
      <c r="BN686" s="23">
        <v>0.0</v>
      </c>
      <c r="BO686" s="23">
        <v>17517.49</v>
      </c>
      <c r="BP686" s="16" t="s">
        <v>3840</v>
      </c>
      <c r="BQ686" s="16" t="b">
        <v>1</v>
      </c>
      <c r="BR686" s="23">
        <v>17517.49</v>
      </c>
      <c r="BT686" s="16" t="b">
        <v>0</v>
      </c>
      <c r="BU686" s="16" t="s">
        <v>546</v>
      </c>
    </row>
    <row r="687">
      <c r="A687" s="16" t="s">
        <v>3842</v>
      </c>
      <c r="B687" s="16" t="s">
        <v>35</v>
      </c>
      <c r="C687" s="22">
        <v>45584.0</v>
      </c>
      <c r="D687" s="16" t="s">
        <v>193</v>
      </c>
      <c r="E687" s="16" t="s">
        <v>3843</v>
      </c>
      <c r="F687" s="16" t="s">
        <v>195</v>
      </c>
      <c r="G687" s="16" t="s">
        <v>335</v>
      </c>
      <c r="H687" s="23">
        <v>1.0</v>
      </c>
      <c r="I687" s="23">
        <v>224.08</v>
      </c>
      <c r="J687" s="23">
        <v>224.08</v>
      </c>
      <c r="K687" s="16" t="s">
        <v>338</v>
      </c>
      <c r="L687" s="23">
        <v>1.0</v>
      </c>
      <c r="M687" s="23">
        <v>224.08</v>
      </c>
      <c r="N687" s="23">
        <v>224.08</v>
      </c>
      <c r="O687" s="16" t="s">
        <v>1777</v>
      </c>
      <c r="P687" s="23">
        <v>1.0</v>
      </c>
      <c r="Q687" s="23">
        <v>224.08</v>
      </c>
      <c r="R687" s="23">
        <v>224.08</v>
      </c>
      <c r="V687" s="23">
        <v>0.0</v>
      </c>
      <c r="Z687" s="23">
        <v>0.0</v>
      </c>
      <c r="AD687" s="23">
        <v>0.0</v>
      </c>
      <c r="AH687" s="23">
        <v>0.0</v>
      </c>
      <c r="AL687" s="23">
        <v>0.0</v>
      </c>
      <c r="AP687" s="23">
        <v>0.0</v>
      </c>
      <c r="AT687" s="23">
        <v>0.0</v>
      </c>
      <c r="AX687" s="23">
        <v>0.0</v>
      </c>
      <c r="BF687" s="23">
        <v>0.0</v>
      </c>
      <c r="BJ687" s="23">
        <v>0.0</v>
      </c>
      <c r="BN687" s="23">
        <v>0.0</v>
      </c>
      <c r="BO687" s="23">
        <v>672.24</v>
      </c>
      <c r="BP687" s="16" t="s">
        <v>3844</v>
      </c>
      <c r="BQ687" s="16" t="b">
        <v>1</v>
      </c>
      <c r="BR687" s="23">
        <v>672.24</v>
      </c>
      <c r="BT687" s="16" t="b">
        <v>0</v>
      </c>
      <c r="BU687" s="16" t="s">
        <v>546</v>
      </c>
    </row>
    <row r="688">
      <c r="A688" s="16" t="s">
        <v>3846</v>
      </c>
      <c r="B688" s="16" t="s">
        <v>35</v>
      </c>
      <c r="C688" s="22">
        <v>45584.0</v>
      </c>
      <c r="D688" s="16" t="s">
        <v>193</v>
      </c>
      <c r="E688" s="16" t="s">
        <v>3843</v>
      </c>
      <c r="F688" s="16" t="s">
        <v>195</v>
      </c>
      <c r="G688" s="16" t="s">
        <v>1777</v>
      </c>
      <c r="H688" s="23">
        <v>1.0</v>
      </c>
      <c r="I688" s="23">
        <v>29.88</v>
      </c>
      <c r="J688" s="23">
        <v>29.88</v>
      </c>
      <c r="N688" s="23">
        <v>0.0</v>
      </c>
      <c r="R688" s="23">
        <v>0.0</v>
      </c>
      <c r="V688" s="23">
        <v>0.0</v>
      </c>
      <c r="Z688" s="23">
        <v>0.0</v>
      </c>
      <c r="AD688" s="23">
        <v>0.0</v>
      </c>
      <c r="AH688" s="23">
        <v>0.0</v>
      </c>
      <c r="AL688" s="23">
        <v>0.0</v>
      </c>
      <c r="AP688" s="23">
        <v>0.0</v>
      </c>
      <c r="AT688" s="23">
        <v>0.0</v>
      </c>
      <c r="AX688" s="23">
        <v>0.0</v>
      </c>
      <c r="BF688" s="23">
        <v>0.0</v>
      </c>
      <c r="BJ688" s="23">
        <v>0.0</v>
      </c>
      <c r="BN688" s="23">
        <v>0.0</v>
      </c>
      <c r="BO688" s="23">
        <v>29.88</v>
      </c>
      <c r="BP688" s="16" t="s">
        <v>3847</v>
      </c>
      <c r="BQ688" s="16" t="b">
        <v>1</v>
      </c>
      <c r="BR688" s="23">
        <v>29.88</v>
      </c>
      <c r="BT688" s="16" t="b">
        <v>0</v>
      </c>
      <c r="BU688" s="16" t="s">
        <v>546</v>
      </c>
    </row>
    <row r="689">
      <c r="A689" s="16" t="s">
        <v>3849</v>
      </c>
      <c r="B689" s="16" t="s">
        <v>35</v>
      </c>
      <c r="C689" s="22">
        <v>45581.0</v>
      </c>
      <c r="D689" s="16" t="s">
        <v>420</v>
      </c>
      <c r="E689" s="16" t="s">
        <v>3851</v>
      </c>
      <c r="F689" s="16" t="s">
        <v>369</v>
      </c>
      <c r="G689" s="16" t="s">
        <v>794</v>
      </c>
      <c r="H689" s="23">
        <v>4.0</v>
      </c>
      <c r="I689" s="23">
        <v>28.7</v>
      </c>
      <c r="J689" s="23">
        <v>114.8</v>
      </c>
      <c r="K689" s="16" t="s">
        <v>802</v>
      </c>
      <c r="L689" s="23">
        <v>2.0</v>
      </c>
      <c r="M689" s="23">
        <v>84.07</v>
      </c>
      <c r="N689" s="23">
        <v>168.14</v>
      </c>
      <c r="O689" s="16" t="s">
        <v>249</v>
      </c>
      <c r="P689" s="23">
        <v>48.0</v>
      </c>
      <c r="Q689" s="23">
        <v>5.76</v>
      </c>
      <c r="R689" s="23">
        <v>276.48</v>
      </c>
      <c r="S689" s="16" t="s">
        <v>249</v>
      </c>
      <c r="T689" s="23">
        <v>24.0</v>
      </c>
      <c r="U689" s="23">
        <v>11.27</v>
      </c>
      <c r="V689" s="23">
        <v>270.48</v>
      </c>
      <c r="W689" s="16" t="s">
        <v>789</v>
      </c>
      <c r="X689" s="23">
        <v>3.0</v>
      </c>
      <c r="Y689" s="23">
        <v>62.41</v>
      </c>
      <c r="Z689" s="23">
        <v>187.23</v>
      </c>
      <c r="AD689" s="23">
        <v>0.0</v>
      </c>
      <c r="AH689" s="23">
        <v>0.0</v>
      </c>
      <c r="AL689" s="23">
        <v>0.0</v>
      </c>
      <c r="AP689" s="23">
        <v>0.0</v>
      </c>
      <c r="AT689" s="23">
        <v>0.0</v>
      </c>
      <c r="AX689" s="23">
        <v>0.0</v>
      </c>
      <c r="BF689" s="23">
        <v>0.0</v>
      </c>
      <c r="BJ689" s="23">
        <v>0.0</v>
      </c>
      <c r="BN689" s="23">
        <v>0.0</v>
      </c>
      <c r="BO689" s="23">
        <v>1017.13</v>
      </c>
      <c r="BP689" s="16" t="s">
        <v>3852</v>
      </c>
      <c r="BQ689" s="16" t="b">
        <v>1</v>
      </c>
      <c r="BR689" s="23">
        <v>1017.13</v>
      </c>
      <c r="BS689" s="23">
        <v>1105635.0</v>
      </c>
      <c r="BT689" s="16" t="b">
        <v>1</v>
      </c>
      <c r="BU689" s="16" t="s">
        <v>546</v>
      </c>
    </row>
    <row r="690">
      <c r="A690" s="16" t="s">
        <v>3854</v>
      </c>
      <c r="B690" s="16" t="s">
        <v>35</v>
      </c>
      <c r="C690" s="22">
        <v>45587.0</v>
      </c>
      <c r="D690" s="16" t="s">
        <v>112</v>
      </c>
      <c r="E690" s="16" t="s">
        <v>3855</v>
      </c>
      <c r="F690" s="16" t="s">
        <v>157</v>
      </c>
      <c r="G690" s="16" t="s">
        <v>159</v>
      </c>
      <c r="H690" s="23">
        <v>1.0</v>
      </c>
      <c r="I690" s="23">
        <v>144.0</v>
      </c>
      <c r="J690" s="23">
        <v>144.0</v>
      </c>
      <c r="K690" s="16" t="s">
        <v>155</v>
      </c>
      <c r="L690" s="23">
        <v>1.0</v>
      </c>
      <c r="M690" s="23">
        <v>23.59</v>
      </c>
      <c r="N690" s="23">
        <v>23.59</v>
      </c>
      <c r="R690" s="23">
        <v>0.0</v>
      </c>
      <c r="V690" s="23">
        <v>0.0</v>
      </c>
      <c r="Z690" s="23">
        <v>0.0</v>
      </c>
      <c r="AD690" s="23">
        <v>0.0</v>
      </c>
      <c r="AH690" s="23">
        <v>0.0</v>
      </c>
      <c r="AL690" s="23">
        <v>0.0</v>
      </c>
      <c r="AP690" s="23">
        <v>0.0</v>
      </c>
      <c r="AT690" s="23">
        <v>0.0</v>
      </c>
      <c r="AX690" s="23">
        <v>0.0</v>
      </c>
      <c r="BF690" s="23">
        <v>0.0</v>
      </c>
      <c r="BJ690" s="23">
        <v>0.0</v>
      </c>
      <c r="BN690" s="23">
        <v>0.0</v>
      </c>
      <c r="BO690" s="23">
        <v>167.59</v>
      </c>
      <c r="BP690" s="16" t="s">
        <v>3856</v>
      </c>
      <c r="BQ690" s="16" t="b">
        <v>1</v>
      </c>
      <c r="BR690" s="23">
        <v>167.59</v>
      </c>
      <c r="BT690" s="16" t="b">
        <v>0</v>
      </c>
      <c r="BU690" s="16" t="s">
        <v>546</v>
      </c>
    </row>
    <row r="691">
      <c r="A691" s="16" t="s">
        <v>3858</v>
      </c>
      <c r="B691" s="16" t="s">
        <v>35</v>
      </c>
      <c r="C691" s="22">
        <v>45588.0</v>
      </c>
      <c r="D691" s="16" t="s">
        <v>543</v>
      </c>
      <c r="E691" s="16" t="s">
        <v>3859</v>
      </c>
      <c r="F691" s="16" t="s">
        <v>171</v>
      </c>
      <c r="G691" s="16">
        <v>1.2539885E7</v>
      </c>
      <c r="H691" s="23">
        <v>1.0</v>
      </c>
      <c r="I691" s="23">
        <v>400.0</v>
      </c>
      <c r="J691" s="23">
        <v>400.0</v>
      </c>
      <c r="N691" s="23">
        <v>0.0</v>
      </c>
      <c r="R691" s="23">
        <v>0.0</v>
      </c>
      <c r="V691" s="23">
        <v>0.0</v>
      </c>
      <c r="Z691" s="23">
        <v>0.0</v>
      </c>
      <c r="AD691" s="23">
        <v>0.0</v>
      </c>
      <c r="AH691" s="23">
        <v>0.0</v>
      </c>
      <c r="AL691" s="23">
        <v>0.0</v>
      </c>
      <c r="AP691" s="23">
        <v>0.0</v>
      </c>
      <c r="AT691" s="23">
        <v>0.0</v>
      </c>
      <c r="AX691" s="23">
        <v>0.0</v>
      </c>
      <c r="BF691" s="23">
        <v>0.0</v>
      </c>
      <c r="BJ691" s="23">
        <v>0.0</v>
      </c>
      <c r="BN691" s="23">
        <v>0.0</v>
      </c>
      <c r="BO691" s="23">
        <v>400.0</v>
      </c>
      <c r="BP691" s="16" t="s">
        <v>3860</v>
      </c>
      <c r="BQ691" s="16" t="b">
        <v>1</v>
      </c>
      <c r="BR691" s="23">
        <v>400.0</v>
      </c>
      <c r="BT691" s="16" t="b">
        <v>0</v>
      </c>
      <c r="BU691" s="16" t="s">
        <v>546</v>
      </c>
    </row>
    <row r="692">
      <c r="A692" s="16" t="s">
        <v>3862</v>
      </c>
      <c r="B692" s="16" t="s">
        <v>35</v>
      </c>
      <c r="C692" s="22">
        <v>45588.0</v>
      </c>
      <c r="D692" s="16" t="s">
        <v>1414</v>
      </c>
      <c r="E692" s="16" t="s">
        <v>3863</v>
      </c>
      <c r="F692" s="16" t="s">
        <v>1250</v>
      </c>
      <c r="G692" s="16" t="s">
        <v>1757</v>
      </c>
      <c r="H692" s="23">
        <v>1.0</v>
      </c>
      <c r="I692" s="23">
        <v>50.0</v>
      </c>
      <c r="J692" s="23">
        <v>50.0</v>
      </c>
      <c r="N692" s="23">
        <v>0.0</v>
      </c>
      <c r="R692" s="23">
        <v>0.0</v>
      </c>
      <c r="V692" s="23">
        <v>0.0</v>
      </c>
      <c r="Z692" s="23">
        <v>0.0</v>
      </c>
      <c r="AD692" s="23">
        <v>0.0</v>
      </c>
      <c r="AH692" s="23">
        <v>0.0</v>
      </c>
      <c r="AL692" s="23">
        <v>0.0</v>
      </c>
      <c r="AP692" s="23">
        <v>0.0</v>
      </c>
      <c r="AT692" s="23">
        <v>0.0</v>
      </c>
      <c r="AX692" s="23">
        <v>0.0</v>
      </c>
      <c r="BF692" s="23">
        <v>0.0</v>
      </c>
      <c r="BJ692" s="23">
        <v>0.0</v>
      </c>
      <c r="BN692" s="23">
        <v>0.0</v>
      </c>
      <c r="BO692" s="23">
        <v>50.0</v>
      </c>
      <c r="BP692" s="16" t="s">
        <v>3864</v>
      </c>
      <c r="BQ692" s="16" t="b">
        <v>1</v>
      </c>
      <c r="BR692" s="23">
        <v>50.0</v>
      </c>
      <c r="BT692" s="16" t="b">
        <v>0</v>
      </c>
      <c r="BU692" s="16" t="s">
        <v>546</v>
      </c>
    </row>
    <row r="693">
      <c r="A693" s="16" t="s">
        <v>3866</v>
      </c>
      <c r="B693" s="16" t="s">
        <v>35</v>
      </c>
      <c r="C693" s="22">
        <v>45589.0</v>
      </c>
      <c r="D693" s="16" t="s">
        <v>3155</v>
      </c>
      <c r="E693" s="16" t="s">
        <v>3868</v>
      </c>
      <c r="F693" s="16" t="s">
        <v>3870</v>
      </c>
      <c r="G693" s="16" t="s">
        <v>1668</v>
      </c>
      <c r="H693" s="23">
        <v>1.0</v>
      </c>
      <c r="I693" s="23">
        <v>118.0</v>
      </c>
      <c r="J693" s="23">
        <v>118.0</v>
      </c>
      <c r="N693" s="23">
        <v>0.0</v>
      </c>
      <c r="R693" s="23">
        <v>0.0</v>
      </c>
      <c r="V693" s="23">
        <v>0.0</v>
      </c>
      <c r="Z693" s="23">
        <v>0.0</v>
      </c>
      <c r="AD693" s="23">
        <v>0.0</v>
      </c>
      <c r="AH693" s="23">
        <v>0.0</v>
      </c>
      <c r="AL693" s="23">
        <v>0.0</v>
      </c>
      <c r="AP693" s="23">
        <v>0.0</v>
      </c>
      <c r="AT693" s="23">
        <v>0.0</v>
      </c>
      <c r="AX693" s="23">
        <v>0.0</v>
      </c>
      <c r="BF693" s="23">
        <v>0.0</v>
      </c>
      <c r="BJ693" s="23">
        <v>0.0</v>
      </c>
      <c r="BN693" s="23">
        <v>0.0</v>
      </c>
      <c r="BO693" s="23">
        <v>118.0</v>
      </c>
      <c r="BP693" s="16" t="s">
        <v>3869</v>
      </c>
      <c r="BQ693" s="16" t="b">
        <v>1</v>
      </c>
      <c r="BR693" s="23">
        <v>118.0</v>
      </c>
      <c r="BT693" s="16" t="b">
        <v>0</v>
      </c>
      <c r="BU693" s="16" t="s">
        <v>546</v>
      </c>
    </row>
    <row r="694">
      <c r="A694" s="16" t="s">
        <v>3871</v>
      </c>
      <c r="B694" s="16" t="s">
        <v>35</v>
      </c>
      <c r="C694" s="22">
        <v>45589.0</v>
      </c>
      <c r="F694" s="16" t="s">
        <v>1329</v>
      </c>
      <c r="G694" s="16" t="s">
        <v>1168</v>
      </c>
      <c r="H694" s="16">
        <v>1.0</v>
      </c>
      <c r="I694" s="23">
        <v>200.0</v>
      </c>
      <c r="J694" s="23">
        <v>200.0</v>
      </c>
      <c r="BO694" s="23">
        <v>200.0</v>
      </c>
      <c r="BR694" s="23">
        <v>200.0</v>
      </c>
      <c r="BU694" s="16" t="s">
        <v>539</v>
      </c>
      <c r="BV694" s="16" t="s">
        <v>227</v>
      </c>
      <c r="BW694" s="16"/>
      <c r="BX694" s="16"/>
      <c r="BY694" s="16"/>
    </row>
    <row r="695">
      <c r="A695" s="16" t="s">
        <v>3875</v>
      </c>
      <c r="B695" s="16" t="s">
        <v>35</v>
      </c>
      <c r="C695" s="22">
        <v>45589.0</v>
      </c>
      <c r="D695" s="16" t="s">
        <v>2096</v>
      </c>
      <c r="E695" s="16" t="s">
        <v>3876</v>
      </c>
      <c r="F695" s="16" t="s">
        <v>3878</v>
      </c>
      <c r="G695" s="16" t="s">
        <v>1536</v>
      </c>
      <c r="H695" s="23">
        <v>1.0</v>
      </c>
      <c r="I695" s="23">
        <v>165.0</v>
      </c>
      <c r="J695" s="23">
        <v>165.0</v>
      </c>
      <c r="N695" s="23">
        <v>0.0</v>
      </c>
      <c r="R695" s="23">
        <v>0.0</v>
      </c>
      <c r="V695" s="23">
        <v>0.0</v>
      </c>
      <c r="Z695" s="23">
        <v>0.0</v>
      </c>
      <c r="AD695" s="23">
        <v>0.0</v>
      </c>
      <c r="AH695" s="23">
        <v>0.0</v>
      </c>
      <c r="AL695" s="23">
        <v>0.0</v>
      </c>
      <c r="AP695" s="23">
        <v>0.0</v>
      </c>
      <c r="AT695" s="23">
        <v>0.0</v>
      </c>
      <c r="AX695" s="23">
        <v>0.0</v>
      </c>
      <c r="BF695" s="23">
        <v>0.0</v>
      </c>
      <c r="BJ695" s="23">
        <v>0.0</v>
      </c>
      <c r="BN695" s="23">
        <v>0.0</v>
      </c>
      <c r="BO695" s="23">
        <v>165.0</v>
      </c>
      <c r="BP695" s="16" t="s">
        <v>3877</v>
      </c>
      <c r="BQ695" s="16" t="b">
        <v>1</v>
      </c>
      <c r="BR695" s="23">
        <v>165.0</v>
      </c>
      <c r="BS695" s="23">
        <v>1115205.0</v>
      </c>
      <c r="BT695" s="16" t="b">
        <v>1</v>
      </c>
      <c r="BU695" s="16" t="s">
        <v>546</v>
      </c>
    </row>
    <row r="696">
      <c r="A696" s="16" t="s">
        <v>3880</v>
      </c>
      <c r="B696" s="16" t="s">
        <v>35</v>
      </c>
      <c r="C696" s="22">
        <v>45589.0</v>
      </c>
      <c r="D696" s="16" t="s">
        <v>764</v>
      </c>
      <c r="E696" s="16" t="s">
        <v>3881</v>
      </c>
      <c r="F696" s="16" t="s">
        <v>195</v>
      </c>
      <c r="G696" s="16" t="s">
        <v>1073</v>
      </c>
      <c r="H696" s="23">
        <v>2.0</v>
      </c>
      <c r="I696" s="23">
        <v>19.25</v>
      </c>
      <c r="J696" s="23">
        <v>38.5</v>
      </c>
      <c r="K696" s="16" t="s">
        <v>1074</v>
      </c>
      <c r="L696" s="23">
        <v>2.0</v>
      </c>
      <c r="M696" s="23">
        <v>38.0</v>
      </c>
      <c r="N696" s="23">
        <v>76.0</v>
      </c>
      <c r="O696" s="16" t="s">
        <v>1075</v>
      </c>
      <c r="P696" s="23">
        <v>2.0</v>
      </c>
      <c r="Q696" s="23">
        <v>19.0</v>
      </c>
      <c r="R696" s="23">
        <v>38.0</v>
      </c>
      <c r="S696" s="16" t="s">
        <v>1077</v>
      </c>
      <c r="T696" s="23">
        <v>1.0</v>
      </c>
      <c r="U696" s="23">
        <v>25.0</v>
      </c>
      <c r="V696" s="23">
        <v>25.0</v>
      </c>
      <c r="W696" s="16" t="s">
        <v>1079</v>
      </c>
      <c r="X696" s="23">
        <v>5.0</v>
      </c>
      <c r="Y696" s="23">
        <v>17.5</v>
      </c>
      <c r="Z696" s="23">
        <v>87.5</v>
      </c>
      <c r="AA696" s="16" t="s">
        <v>1077</v>
      </c>
      <c r="AB696" s="23">
        <v>1.0</v>
      </c>
      <c r="AC696" s="23">
        <v>25.0</v>
      </c>
      <c r="AD696" s="23">
        <v>25.0</v>
      </c>
      <c r="AH696" s="23">
        <v>0.0</v>
      </c>
      <c r="AL696" s="23">
        <v>0.0</v>
      </c>
      <c r="AP696" s="23">
        <v>0.0</v>
      </c>
      <c r="AT696" s="23">
        <v>0.0</v>
      </c>
      <c r="AX696" s="23">
        <v>0.0</v>
      </c>
      <c r="BF696" s="23">
        <v>0.0</v>
      </c>
      <c r="BJ696" s="23">
        <v>0.0</v>
      </c>
      <c r="BN696" s="23">
        <v>0.0</v>
      </c>
      <c r="BO696" s="23">
        <v>290.0</v>
      </c>
      <c r="BP696" s="16" t="s">
        <v>3882</v>
      </c>
      <c r="BQ696" s="16" t="b">
        <v>1</v>
      </c>
      <c r="BR696" s="23">
        <v>290.0</v>
      </c>
      <c r="BT696" s="16" t="b">
        <v>0</v>
      </c>
      <c r="BU696" s="16" t="s">
        <v>546</v>
      </c>
    </row>
    <row r="697">
      <c r="A697" s="16" t="s">
        <v>3884</v>
      </c>
      <c r="B697" s="16" t="s">
        <v>35</v>
      </c>
      <c r="C697" s="22">
        <v>45361.0</v>
      </c>
      <c r="D697" s="16" t="s">
        <v>2439</v>
      </c>
      <c r="E697" s="16" t="s">
        <v>3886</v>
      </c>
      <c r="F697" s="16" t="s">
        <v>3888</v>
      </c>
      <c r="G697" s="16" t="s">
        <v>3496</v>
      </c>
      <c r="H697" s="23">
        <v>1.0</v>
      </c>
      <c r="I697" s="23">
        <v>193.0</v>
      </c>
      <c r="J697" s="23">
        <v>193.0</v>
      </c>
      <c r="N697" s="23">
        <v>0.0</v>
      </c>
      <c r="R697" s="23">
        <v>0.0</v>
      </c>
      <c r="V697" s="23">
        <v>0.0</v>
      </c>
      <c r="Z697" s="23">
        <v>0.0</v>
      </c>
      <c r="AD697" s="23">
        <v>0.0</v>
      </c>
      <c r="AH697" s="23">
        <v>0.0</v>
      </c>
      <c r="AL697" s="23">
        <v>0.0</v>
      </c>
      <c r="AP697" s="23">
        <v>0.0</v>
      </c>
      <c r="AT697" s="23">
        <v>0.0</v>
      </c>
      <c r="AX697" s="23">
        <v>0.0</v>
      </c>
      <c r="BF697" s="23">
        <v>0.0</v>
      </c>
      <c r="BJ697" s="23">
        <v>0.0</v>
      </c>
      <c r="BN697" s="23">
        <v>0.0</v>
      </c>
      <c r="BO697" s="23">
        <v>193.0</v>
      </c>
      <c r="BP697" s="16" t="s">
        <v>3887</v>
      </c>
      <c r="BQ697" s="16" t="b">
        <v>1</v>
      </c>
      <c r="BR697" s="23">
        <v>193.0</v>
      </c>
      <c r="BT697" s="16" t="b">
        <v>0</v>
      </c>
      <c r="BU697" s="16" t="s">
        <v>546</v>
      </c>
    </row>
    <row r="698">
      <c r="A698" s="16" t="s">
        <v>3890</v>
      </c>
      <c r="B698" s="16" t="s">
        <v>35</v>
      </c>
      <c r="C698" s="22">
        <v>45590.0</v>
      </c>
      <c r="D698" s="16" t="s">
        <v>112</v>
      </c>
      <c r="E698" s="16" t="s">
        <v>3892</v>
      </c>
      <c r="F698" s="16" t="s">
        <v>157</v>
      </c>
      <c r="G698" s="16" t="s">
        <v>159</v>
      </c>
      <c r="H698" s="23">
        <v>1.0</v>
      </c>
      <c r="I698" s="23">
        <v>240.0</v>
      </c>
      <c r="J698" s="23">
        <v>240.0</v>
      </c>
      <c r="K698" s="16" t="s">
        <v>155</v>
      </c>
      <c r="L698" s="23">
        <v>1.0</v>
      </c>
      <c r="M698" s="23">
        <v>34.96</v>
      </c>
      <c r="N698" s="23">
        <v>34.96</v>
      </c>
      <c r="O698" s="16" t="s">
        <v>152</v>
      </c>
      <c r="P698" s="23">
        <v>1.0</v>
      </c>
      <c r="Q698" s="23">
        <v>15.8</v>
      </c>
      <c r="R698" s="23">
        <v>15.8</v>
      </c>
      <c r="S698" s="16" t="s">
        <v>226</v>
      </c>
      <c r="T698" s="23">
        <v>1.0</v>
      </c>
      <c r="U698" s="23">
        <v>47.5</v>
      </c>
      <c r="V698" s="23">
        <v>47.5</v>
      </c>
      <c r="Z698" s="23">
        <v>0.0</v>
      </c>
      <c r="AD698" s="23">
        <v>0.0</v>
      </c>
      <c r="AH698" s="23">
        <v>0.0</v>
      </c>
      <c r="AL698" s="23">
        <v>0.0</v>
      </c>
      <c r="AP698" s="23">
        <v>0.0</v>
      </c>
      <c r="AT698" s="23">
        <v>0.0</v>
      </c>
      <c r="AX698" s="23">
        <v>0.0</v>
      </c>
      <c r="BF698" s="23">
        <v>0.0</v>
      </c>
      <c r="BJ698" s="23">
        <v>0.0</v>
      </c>
      <c r="BN698" s="23">
        <v>0.0</v>
      </c>
      <c r="BO698" s="23">
        <v>338.26</v>
      </c>
      <c r="BP698" s="16" t="s">
        <v>3893</v>
      </c>
      <c r="BQ698" s="16" t="b">
        <v>1</v>
      </c>
      <c r="BR698" s="23">
        <v>338.26</v>
      </c>
      <c r="BT698" s="16" t="b">
        <v>0</v>
      </c>
      <c r="BU698" s="16" t="s">
        <v>546</v>
      </c>
    </row>
    <row r="699">
      <c r="A699" s="16" t="s">
        <v>3894</v>
      </c>
      <c r="B699" s="16" t="s">
        <v>35</v>
      </c>
      <c r="C699" s="22">
        <v>45590.0</v>
      </c>
      <c r="D699" s="23">
        <v>8.627274E7</v>
      </c>
      <c r="E699" s="16" t="s">
        <v>3896</v>
      </c>
      <c r="F699" s="16" t="s">
        <v>3898</v>
      </c>
      <c r="G699" s="16" t="s">
        <v>305</v>
      </c>
      <c r="H699" s="23">
        <v>1.0</v>
      </c>
      <c r="I699" s="23">
        <v>52.73</v>
      </c>
      <c r="J699" s="23">
        <v>52.73</v>
      </c>
      <c r="N699" s="23">
        <v>0.0</v>
      </c>
      <c r="R699" s="23">
        <v>0.0</v>
      </c>
      <c r="V699" s="23">
        <v>0.0</v>
      </c>
      <c r="Z699" s="23">
        <v>0.0</v>
      </c>
      <c r="AD699" s="23">
        <v>0.0</v>
      </c>
      <c r="AH699" s="23">
        <v>0.0</v>
      </c>
      <c r="AL699" s="23">
        <v>0.0</v>
      </c>
      <c r="AP699" s="23">
        <v>0.0</v>
      </c>
      <c r="AT699" s="23">
        <v>0.0</v>
      </c>
      <c r="AX699" s="23">
        <v>0.0</v>
      </c>
      <c r="BF699" s="23">
        <v>0.0</v>
      </c>
      <c r="BJ699" s="23">
        <v>0.0</v>
      </c>
      <c r="BN699" s="23">
        <v>0.0</v>
      </c>
      <c r="BO699" s="23">
        <v>52.73</v>
      </c>
      <c r="BP699" s="16" t="s">
        <v>3897</v>
      </c>
      <c r="BQ699" s="16" t="b">
        <v>1</v>
      </c>
      <c r="BR699" s="23">
        <v>52.73</v>
      </c>
      <c r="BT699" s="16" t="b">
        <v>0</v>
      </c>
      <c r="BU699" s="16" t="s">
        <v>546</v>
      </c>
    </row>
    <row r="700">
      <c r="A700" s="16" t="s">
        <v>3900</v>
      </c>
      <c r="B700" s="16" t="s">
        <v>35</v>
      </c>
      <c r="C700" s="22">
        <v>45591.0</v>
      </c>
      <c r="D700" s="16" t="s">
        <v>1557</v>
      </c>
      <c r="E700" s="16" t="s">
        <v>3901</v>
      </c>
      <c r="F700" s="16" t="s">
        <v>3903</v>
      </c>
      <c r="G700" s="16" t="s">
        <v>5325</v>
      </c>
      <c r="H700" s="23">
        <v>1.0</v>
      </c>
      <c r="I700" s="23">
        <v>110.0</v>
      </c>
      <c r="J700" s="23">
        <v>110.0</v>
      </c>
      <c r="N700" s="23">
        <v>0.0</v>
      </c>
      <c r="R700" s="23">
        <v>0.0</v>
      </c>
      <c r="V700" s="23">
        <v>0.0</v>
      </c>
      <c r="Z700" s="23">
        <v>0.0</v>
      </c>
      <c r="AD700" s="23">
        <v>0.0</v>
      </c>
      <c r="AH700" s="23">
        <v>0.0</v>
      </c>
      <c r="AL700" s="23">
        <v>0.0</v>
      </c>
      <c r="AP700" s="23">
        <v>0.0</v>
      </c>
      <c r="AT700" s="23">
        <v>0.0</v>
      </c>
      <c r="AX700" s="23">
        <v>0.0</v>
      </c>
      <c r="BF700" s="23">
        <v>0.0</v>
      </c>
      <c r="BJ700" s="23">
        <v>0.0</v>
      </c>
      <c r="BN700" s="23">
        <v>0.0</v>
      </c>
      <c r="BO700" s="23">
        <v>110.0</v>
      </c>
      <c r="BP700" s="16" t="s">
        <v>3902</v>
      </c>
      <c r="BQ700" s="16" t="b">
        <v>1</v>
      </c>
      <c r="BR700" s="23">
        <v>110.0</v>
      </c>
      <c r="BT700" s="16" t="b">
        <v>0</v>
      </c>
      <c r="BU700" s="16" t="s">
        <v>546</v>
      </c>
    </row>
    <row r="701">
      <c r="A701" s="16" t="s">
        <v>3905</v>
      </c>
      <c r="B701" s="16" t="s">
        <v>35</v>
      </c>
      <c r="C701" s="22">
        <v>45591.0</v>
      </c>
      <c r="D701" s="16" t="s">
        <v>112</v>
      </c>
      <c r="E701" s="16" t="s">
        <v>3906</v>
      </c>
      <c r="F701" s="16" t="s">
        <v>157</v>
      </c>
      <c r="G701" s="16" t="s">
        <v>159</v>
      </c>
      <c r="H701" s="23">
        <v>1.0</v>
      </c>
      <c r="I701" s="23">
        <v>120.0</v>
      </c>
      <c r="J701" s="23">
        <v>120.0</v>
      </c>
      <c r="K701" s="16" t="s">
        <v>155</v>
      </c>
      <c r="L701" s="23">
        <v>1.0</v>
      </c>
      <c r="M701" s="23">
        <v>47.04</v>
      </c>
      <c r="N701" s="23">
        <v>47.04</v>
      </c>
      <c r="O701" s="16" t="s">
        <v>226</v>
      </c>
      <c r="P701" s="23">
        <v>1.0</v>
      </c>
      <c r="Q701" s="23">
        <v>76.0</v>
      </c>
      <c r="R701" s="23">
        <v>76.0</v>
      </c>
      <c r="V701" s="23">
        <v>0.0</v>
      </c>
      <c r="Z701" s="23">
        <v>0.0</v>
      </c>
      <c r="AD701" s="23">
        <v>0.0</v>
      </c>
      <c r="AH701" s="23">
        <v>0.0</v>
      </c>
      <c r="AL701" s="23">
        <v>0.0</v>
      </c>
      <c r="AP701" s="23">
        <v>0.0</v>
      </c>
      <c r="AT701" s="23">
        <v>0.0</v>
      </c>
      <c r="AX701" s="23">
        <v>0.0</v>
      </c>
      <c r="BF701" s="23">
        <v>0.0</v>
      </c>
      <c r="BJ701" s="23">
        <v>0.0</v>
      </c>
      <c r="BN701" s="23">
        <v>0.0</v>
      </c>
      <c r="BO701" s="23">
        <v>243.04</v>
      </c>
      <c r="BP701" s="16" t="s">
        <v>3907</v>
      </c>
      <c r="BQ701" s="16" t="b">
        <v>1</v>
      </c>
      <c r="BR701" s="23">
        <v>243.04</v>
      </c>
      <c r="BT701" s="16" t="b">
        <v>0</v>
      </c>
      <c r="BU701" s="16" t="s">
        <v>546</v>
      </c>
    </row>
    <row r="702">
      <c r="A702" s="16" t="s">
        <v>3909</v>
      </c>
      <c r="B702" s="16" t="s">
        <v>35</v>
      </c>
      <c r="C702" s="22">
        <v>45591.0</v>
      </c>
      <c r="D702" s="16" t="s">
        <v>3911</v>
      </c>
      <c r="E702" s="16" t="s">
        <v>3912</v>
      </c>
      <c r="F702" s="16" t="s">
        <v>3914</v>
      </c>
      <c r="G702" s="16" t="s">
        <v>305</v>
      </c>
      <c r="H702" s="23">
        <v>1.0</v>
      </c>
      <c r="I702" s="23">
        <v>191.92</v>
      </c>
      <c r="J702" s="23">
        <v>191.92</v>
      </c>
      <c r="N702" s="23">
        <v>0.0</v>
      </c>
      <c r="R702" s="23">
        <v>0.0</v>
      </c>
      <c r="V702" s="23">
        <v>0.0</v>
      </c>
      <c r="Z702" s="23">
        <v>0.0</v>
      </c>
      <c r="AD702" s="23">
        <v>0.0</v>
      </c>
      <c r="AH702" s="23">
        <v>0.0</v>
      </c>
      <c r="AL702" s="23">
        <v>0.0</v>
      </c>
      <c r="AP702" s="23">
        <v>0.0</v>
      </c>
      <c r="AT702" s="23">
        <v>0.0</v>
      </c>
      <c r="AX702" s="23">
        <v>0.0</v>
      </c>
      <c r="BF702" s="23">
        <v>0.0</v>
      </c>
      <c r="BJ702" s="23">
        <v>0.0</v>
      </c>
      <c r="BN702" s="23">
        <v>0.0</v>
      </c>
      <c r="BO702" s="23">
        <v>191.92</v>
      </c>
      <c r="BP702" s="16" t="s">
        <v>3913</v>
      </c>
      <c r="BQ702" s="16" t="b">
        <v>1</v>
      </c>
      <c r="BR702" s="23">
        <v>191.92</v>
      </c>
      <c r="BT702" s="16" t="b">
        <v>0</v>
      </c>
      <c r="BU702" s="16" t="s">
        <v>546</v>
      </c>
    </row>
    <row r="703">
      <c r="A703" s="16" t="s">
        <v>3916</v>
      </c>
      <c r="B703" s="16" t="s">
        <v>35</v>
      </c>
      <c r="C703" s="22">
        <v>45593.0</v>
      </c>
      <c r="F703" s="16" t="s">
        <v>3918</v>
      </c>
      <c r="G703" s="16" t="s">
        <v>1168</v>
      </c>
      <c r="H703" s="16">
        <v>1.0</v>
      </c>
      <c r="I703" s="23">
        <v>100.0</v>
      </c>
      <c r="J703" s="23">
        <v>100.0</v>
      </c>
      <c r="BO703" s="23">
        <v>100.0</v>
      </c>
      <c r="BR703" s="23">
        <v>100.0</v>
      </c>
      <c r="BU703" s="16" t="s">
        <v>539</v>
      </c>
      <c r="BV703" s="16" t="s">
        <v>658</v>
      </c>
      <c r="BW703" s="16"/>
      <c r="BX703" s="16"/>
      <c r="BY703" s="16"/>
    </row>
    <row r="704">
      <c r="A704" s="16" t="s">
        <v>3920</v>
      </c>
      <c r="B704" s="16" t="s">
        <v>35</v>
      </c>
      <c r="C704" s="22">
        <v>45594.0</v>
      </c>
      <c r="D704" s="16" t="s">
        <v>460</v>
      </c>
      <c r="F704" s="16" t="s">
        <v>931</v>
      </c>
      <c r="G704" s="16" t="s">
        <v>1126</v>
      </c>
      <c r="H704" s="16">
        <v>1.0</v>
      </c>
      <c r="I704" s="23">
        <v>30.0</v>
      </c>
      <c r="J704" s="23">
        <v>30.0</v>
      </c>
      <c r="BO704" s="23">
        <v>30.0</v>
      </c>
      <c r="BR704" s="23">
        <v>30.0</v>
      </c>
      <c r="BU704" s="16" t="s">
        <v>539</v>
      </c>
    </row>
    <row r="705">
      <c r="A705" s="16" t="s">
        <v>3922</v>
      </c>
      <c r="B705" s="16" t="s">
        <v>35</v>
      </c>
      <c r="C705" s="22">
        <v>45593.0</v>
      </c>
      <c r="D705" s="16" t="s">
        <v>3716</v>
      </c>
      <c r="E705" s="16" t="s">
        <v>3925</v>
      </c>
      <c r="F705" s="16" t="s">
        <v>767</v>
      </c>
      <c r="G705" s="16" t="s">
        <v>1080</v>
      </c>
      <c r="H705" s="23">
        <v>10.0</v>
      </c>
      <c r="I705" s="23">
        <v>12.9</v>
      </c>
      <c r="J705" s="23">
        <v>129.0</v>
      </c>
      <c r="K705" s="16" t="s">
        <v>1427</v>
      </c>
      <c r="L705" s="23">
        <v>1.0</v>
      </c>
      <c r="M705" s="23">
        <v>77.7</v>
      </c>
      <c r="N705" s="23">
        <v>77.7</v>
      </c>
      <c r="R705" s="23">
        <v>0.0</v>
      </c>
      <c r="V705" s="23">
        <v>0.0</v>
      </c>
      <c r="Z705" s="23">
        <v>0.0</v>
      </c>
      <c r="AD705" s="23">
        <v>0.0</v>
      </c>
      <c r="AH705" s="23">
        <v>0.0</v>
      </c>
      <c r="AL705" s="23">
        <v>0.0</v>
      </c>
      <c r="AP705" s="23">
        <v>0.0</v>
      </c>
      <c r="AT705" s="23">
        <v>0.0</v>
      </c>
      <c r="AX705" s="23">
        <v>0.0</v>
      </c>
      <c r="BF705" s="23">
        <v>0.0</v>
      </c>
      <c r="BJ705" s="23">
        <v>0.0</v>
      </c>
      <c r="BN705" s="23">
        <v>0.0</v>
      </c>
      <c r="BO705" s="23">
        <v>206.7</v>
      </c>
      <c r="BP705" s="16" t="s">
        <v>3926</v>
      </c>
      <c r="BQ705" s="16" t="b">
        <v>1</v>
      </c>
      <c r="BR705" s="23">
        <v>206.7</v>
      </c>
      <c r="BT705" s="16" t="b">
        <v>0</v>
      </c>
      <c r="BU705" s="16" t="s">
        <v>546</v>
      </c>
    </row>
    <row r="706">
      <c r="A706" s="16" t="s">
        <v>3929</v>
      </c>
      <c r="B706" s="16" t="s">
        <v>35</v>
      </c>
      <c r="C706" s="22">
        <v>45593.0</v>
      </c>
      <c r="D706" s="16" t="s">
        <v>543</v>
      </c>
      <c r="E706" s="16" t="s">
        <v>3931</v>
      </c>
      <c r="F706" s="16" t="s">
        <v>59</v>
      </c>
      <c r="G706" s="16">
        <v>1.2539885E7</v>
      </c>
      <c r="H706" s="23">
        <v>1.0</v>
      </c>
      <c r="I706" s="23">
        <v>400.0</v>
      </c>
      <c r="J706" s="23">
        <v>400.0</v>
      </c>
      <c r="N706" s="23">
        <v>0.0</v>
      </c>
      <c r="R706" s="23">
        <v>0.0</v>
      </c>
      <c r="V706" s="23">
        <v>0.0</v>
      </c>
      <c r="Z706" s="23">
        <v>0.0</v>
      </c>
      <c r="AD706" s="23">
        <v>0.0</v>
      </c>
      <c r="AH706" s="23">
        <v>0.0</v>
      </c>
      <c r="AL706" s="23">
        <v>0.0</v>
      </c>
      <c r="AP706" s="23">
        <v>0.0</v>
      </c>
      <c r="AT706" s="23">
        <v>0.0</v>
      </c>
      <c r="AX706" s="23">
        <v>0.0</v>
      </c>
      <c r="BF706" s="23">
        <v>0.0</v>
      </c>
      <c r="BJ706" s="23">
        <v>0.0</v>
      </c>
      <c r="BN706" s="23">
        <v>0.0</v>
      </c>
      <c r="BO706" s="23">
        <v>400.0</v>
      </c>
      <c r="BP706" s="16" t="s">
        <v>3932</v>
      </c>
      <c r="BQ706" s="16" t="b">
        <v>1</v>
      </c>
      <c r="BR706" s="23">
        <v>400.0</v>
      </c>
      <c r="BT706" s="16" t="b">
        <v>0</v>
      </c>
      <c r="BU706" s="16" t="s">
        <v>546</v>
      </c>
    </row>
    <row r="707">
      <c r="A707" s="16" t="s">
        <v>3934</v>
      </c>
      <c r="B707" s="16" t="s">
        <v>35</v>
      </c>
      <c r="C707" s="22">
        <v>45593.0</v>
      </c>
      <c r="D707" s="16" t="s">
        <v>122</v>
      </c>
      <c r="E707" s="16" t="s">
        <v>3936</v>
      </c>
      <c r="F707" s="16" t="s">
        <v>801</v>
      </c>
      <c r="G707" s="16" t="s">
        <v>981</v>
      </c>
      <c r="H707" s="23">
        <v>6.0</v>
      </c>
      <c r="I707" s="23">
        <v>4.59</v>
      </c>
      <c r="J707" s="23">
        <v>27.54</v>
      </c>
      <c r="K707" s="16" t="s">
        <v>238</v>
      </c>
      <c r="L707" s="23">
        <v>12.0</v>
      </c>
      <c r="M707" s="23">
        <v>5.9</v>
      </c>
      <c r="N707" s="23">
        <v>70.8</v>
      </c>
      <c r="O707" s="16" t="s">
        <v>243</v>
      </c>
      <c r="P707" s="23">
        <v>9.0</v>
      </c>
      <c r="Q707" s="23">
        <v>7.2</v>
      </c>
      <c r="R707" s="23">
        <v>64.8</v>
      </c>
      <c r="V707" s="23">
        <v>0.0</v>
      </c>
      <c r="Z707" s="23">
        <v>0.0</v>
      </c>
      <c r="AD707" s="23">
        <v>0.0</v>
      </c>
      <c r="AH707" s="23">
        <v>0.0</v>
      </c>
      <c r="AL707" s="23">
        <v>0.0</v>
      </c>
      <c r="AP707" s="23">
        <v>0.0</v>
      </c>
      <c r="AT707" s="23">
        <v>0.0</v>
      </c>
      <c r="AX707" s="23">
        <v>0.0</v>
      </c>
      <c r="BF707" s="23">
        <v>0.0</v>
      </c>
      <c r="BJ707" s="23">
        <v>0.0</v>
      </c>
      <c r="BN707" s="23">
        <v>0.0</v>
      </c>
      <c r="BO707" s="23">
        <v>163.14</v>
      </c>
      <c r="BP707" s="16" t="s">
        <v>3937</v>
      </c>
      <c r="BQ707" s="16" t="b">
        <v>1</v>
      </c>
      <c r="BR707" s="23">
        <v>163.14</v>
      </c>
      <c r="BS707" s="23">
        <v>1122528.0</v>
      </c>
      <c r="BT707" s="16" t="b">
        <v>1</v>
      </c>
      <c r="BU707" s="16" t="s">
        <v>546</v>
      </c>
    </row>
    <row r="708">
      <c r="A708" s="16" t="s">
        <v>3939</v>
      </c>
      <c r="B708" s="16" t="s">
        <v>35</v>
      </c>
      <c r="C708" s="22">
        <v>45593.0</v>
      </c>
      <c r="D708" s="16" t="s">
        <v>112</v>
      </c>
      <c r="E708" s="16" t="s">
        <v>3940</v>
      </c>
      <c r="F708" s="16" t="s">
        <v>45</v>
      </c>
      <c r="G708" s="16" t="s">
        <v>159</v>
      </c>
      <c r="H708" s="23">
        <v>1.0</v>
      </c>
      <c r="I708" s="23">
        <v>144.0</v>
      </c>
      <c r="J708" s="23">
        <v>144.0</v>
      </c>
      <c r="K708" s="16" t="s">
        <v>230</v>
      </c>
      <c r="L708" s="23">
        <v>1.0</v>
      </c>
      <c r="M708" s="23">
        <v>98.04</v>
      </c>
      <c r="N708" s="23">
        <v>98.04</v>
      </c>
      <c r="O708" s="16" t="s">
        <v>226</v>
      </c>
      <c r="P708" s="23">
        <v>1.0</v>
      </c>
      <c r="Q708" s="23">
        <v>66.5</v>
      </c>
      <c r="R708" s="23">
        <v>66.5</v>
      </c>
      <c r="V708" s="23">
        <v>0.0</v>
      </c>
      <c r="Z708" s="23">
        <v>0.0</v>
      </c>
      <c r="AD708" s="23">
        <v>0.0</v>
      </c>
      <c r="AH708" s="23">
        <v>0.0</v>
      </c>
      <c r="AL708" s="23">
        <v>0.0</v>
      </c>
      <c r="AP708" s="23">
        <v>0.0</v>
      </c>
      <c r="AT708" s="23">
        <v>0.0</v>
      </c>
      <c r="AX708" s="23">
        <v>0.0</v>
      </c>
      <c r="BF708" s="23">
        <v>0.0</v>
      </c>
      <c r="BJ708" s="23">
        <v>0.0</v>
      </c>
      <c r="BN708" s="23">
        <v>0.0</v>
      </c>
      <c r="BO708" s="23">
        <v>308.54</v>
      </c>
      <c r="BP708" s="16" t="s">
        <v>3941</v>
      </c>
      <c r="BQ708" s="16" t="b">
        <v>1</v>
      </c>
      <c r="BR708" s="23">
        <v>308.54</v>
      </c>
      <c r="BT708" s="16" t="b">
        <v>0</v>
      </c>
      <c r="BU708" s="16" t="s">
        <v>546</v>
      </c>
    </row>
    <row r="709">
      <c r="A709" s="16" t="s">
        <v>3943</v>
      </c>
      <c r="B709" s="16" t="s">
        <v>35</v>
      </c>
      <c r="C709" s="22">
        <v>45593.0</v>
      </c>
      <c r="D709" s="16" t="s">
        <v>112</v>
      </c>
      <c r="E709" s="16" t="s">
        <v>3940</v>
      </c>
      <c r="F709" s="16" t="s">
        <v>45</v>
      </c>
      <c r="G709" s="16" t="s">
        <v>155</v>
      </c>
      <c r="H709" s="23">
        <v>1.0</v>
      </c>
      <c r="I709" s="23">
        <v>23.27</v>
      </c>
      <c r="J709" s="23">
        <v>23.27</v>
      </c>
      <c r="K709" s="16" t="s">
        <v>152</v>
      </c>
      <c r="L709" s="23">
        <v>1.0</v>
      </c>
      <c r="M709" s="23">
        <v>16.85</v>
      </c>
      <c r="N709" s="23">
        <v>16.85</v>
      </c>
      <c r="O709" s="16" t="s">
        <v>226</v>
      </c>
      <c r="P709" s="23">
        <v>1.0</v>
      </c>
      <c r="Q709" s="23">
        <v>38.0</v>
      </c>
      <c r="R709" s="23">
        <v>38.0</v>
      </c>
      <c r="V709" s="23">
        <v>0.0</v>
      </c>
      <c r="Z709" s="23">
        <v>0.0</v>
      </c>
      <c r="AD709" s="23">
        <v>0.0</v>
      </c>
      <c r="AH709" s="23">
        <v>0.0</v>
      </c>
      <c r="AL709" s="23">
        <v>0.0</v>
      </c>
      <c r="AP709" s="23">
        <v>0.0</v>
      </c>
      <c r="AT709" s="23">
        <v>0.0</v>
      </c>
      <c r="AX709" s="23">
        <v>0.0</v>
      </c>
      <c r="BF709" s="23">
        <v>0.0</v>
      </c>
      <c r="BJ709" s="23">
        <v>0.0</v>
      </c>
      <c r="BN709" s="23">
        <v>0.0</v>
      </c>
      <c r="BO709" s="23">
        <v>78.12</v>
      </c>
      <c r="BP709" s="16" t="s">
        <v>3945</v>
      </c>
      <c r="BQ709" s="16" t="b">
        <v>1</v>
      </c>
      <c r="BR709" s="23">
        <v>78.12</v>
      </c>
      <c r="BT709" s="16" t="b">
        <v>0</v>
      </c>
      <c r="BU709" s="16" t="s">
        <v>546</v>
      </c>
    </row>
    <row r="710">
      <c r="A710" s="16" t="s">
        <v>3946</v>
      </c>
      <c r="B710" s="16" t="s">
        <v>35</v>
      </c>
      <c r="C710" s="22">
        <v>45553.0</v>
      </c>
      <c r="D710" s="16" t="s">
        <v>2165</v>
      </c>
      <c r="E710" s="16" t="s">
        <v>3948</v>
      </c>
      <c r="F710" s="16" t="s">
        <v>3950</v>
      </c>
      <c r="G710" s="16" t="s">
        <v>249</v>
      </c>
      <c r="H710" s="23">
        <v>1.0</v>
      </c>
      <c r="I710" s="23">
        <v>100.0</v>
      </c>
      <c r="J710" s="23">
        <v>100.0</v>
      </c>
      <c r="K710" s="16" t="s">
        <v>794</v>
      </c>
      <c r="L710" s="23">
        <v>1.0</v>
      </c>
      <c r="M710" s="23">
        <v>250.0</v>
      </c>
      <c r="N710" s="23">
        <v>250.0</v>
      </c>
      <c r="O710" s="16" t="s">
        <v>802</v>
      </c>
      <c r="P710" s="23">
        <v>1.0</v>
      </c>
      <c r="Q710" s="23">
        <v>60.0</v>
      </c>
      <c r="R710" s="23">
        <v>60.0</v>
      </c>
      <c r="S710" s="16" t="s">
        <v>789</v>
      </c>
      <c r="T710" s="23">
        <v>1.0</v>
      </c>
      <c r="U710" s="23">
        <v>130.14</v>
      </c>
      <c r="V710" s="23">
        <v>130.14</v>
      </c>
      <c r="W710" s="16" t="s">
        <v>1350</v>
      </c>
      <c r="X710" s="23">
        <v>1.0</v>
      </c>
      <c r="Y710" s="23">
        <v>70.0</v>
      </c>
      <c r="Z710" s="23">
        <v>70.0</v>
      </c>
      <c r="AA710" s="16" t="s">
        <v>797</v>
      </c>
      <c r="AB710" s="23">
        <v>1.0</v>
      </c>
      <c r="AC710" s="23">
        <v>200.0</v>
      </c>
      <c r="AD710" s="23">
        <v>200.0</v>
      </c>
      <c r="AE710" s="16" t="s">
        <v>266</v>
      </c>
      <c r="AF710" s="23">
        <v>1.0</v>
      </c>
      <c r="AG710" s="23">
        <v>124.0</v>
      </c>
      <c r="AH710" s="23">
        <v>124.0</v>
      </c>
      <c r="AI710" s="16">
        <v>1.6367609E7</v>
      </c>
      <c r="AJ710" s="23">
        <v>1.0</v>
      </c>
      <c r="AK710" s="23">
        <v>200.0</v>
      </c>
      <c r="AL710" s="23">
        <v>200.0</v>
      </c>
      <c r="AP710" s="23">
        <v>0.0</v>
      </c>
      <c r="AT710" s="23">
        <v>0.0</v>
      </c>
      <c r="AX710" s="23">
        <v>0.0</v>
      </c>
      <c r="BF710" s="23">
        <v>0.0</v>
      </c>
      <c r="BJ710" s="23">
        <v>0.0</v>
      </c>
      <c r="BN710" s="23">
        <v>0.0</v>
      </c>
      <c r="BO710" s="23">
        <v>1134.14</v>
      </c>
      <c r="BP710" s="16" t="s">
        <v>3949</v>
      </c>
      <c r="BQ710" s="16" t="b">
        <v>1</v>
      </c>
      <c r="BR710" s="23">
        <v>1134.14</v>
      </c>
      <c r="BT710" s="16" t="b">
        <v>0</v>
      </c>
      <c r="BU710" s="16" t="s">
        <v>546</v>
      </c>
    </row>
    <row r="711">
      <c r="A711" s="16" t="s">
        <v>3952</v>
      </c>
      <c r="B711" s="16" t="s">
        <v>35</v>
      </c>
      <c r="C711" s="22">
        <v>45583.0</v>
      </c>
      <c r="D711" s="16" t="s">
        <v>764</v>
      </c>
      <c r="E711" s="16" t="s">
        <v>3953</v>
      </c>
      <c r="F711" s="16" t="s">
        <v>195</v>
      </c>
      <c r="G711" s="16" t="s">
        <v>1074</v>
      </c>
      <c r="H711" s="23">
        <v>2.0</v>
      </c>
      <c r="I711" s="23">
        <v>38.0</v>
      </c>
      <c r="J711" s="23">
        <v>76.0</v>
      </c>
      <c r="K711" s="16" t="s">
        <v>1384</v>
      </c>
      <c r="L711" s="23">
        <v>1.0</v>
      </c>
      <c r="M711" s="23">
        <v>18.0</v>
      </c>
      <c r="N711" s="23">
        <v>18.0</v>
      </c>
      <c r="O711" s="16" t="s">
        <v>1404</v>
      </c>
      <c r="P711" s="23">
        <v>1.0</v>
      </c>
      <c r="Q711" s="23">
        <v>18.0</v>
      </c>
      <c r="R711" s="23">
        <v>18.0</v>
      </c>
      <c r="S711" s="16" t="s">
        <v>1075</v>
      </c>
      <c r="T711" s="23">
        <v>2.0</v>
      </c>
      <c r="U711" s="23">
        <v>18.0</v>
      </c>
      <c r="V711" s="23">
        <v>36.0</v>
      </c>
      <c r="W711" s="16" t="s">
        <v>1077</v>
      </c>
      <c r="X711" s="23">
        <v>1.0</v>
      </c>
      <c r="Y711" s="23">
        <v>25.0</v>
      </c>
      <c r="Z711" s="23">
        <v>25.0</v>
      </c>
      <c r="AA711" s="16" t="s">
        <v>1081</v>
      </c>
      <c r="AB711" s="23">
        <v>3.0</v>
      </c>
      <c r="AC711" s="23">
        <v>46.0</v>
      </c>
      <c r="AD711" s="23">
        <v>138.0</v>
      </c>
      <c r="AE711" s="16" t="s">
        <v>1085</v>
      </c>
      <c r="AF711" s="23">
        <v>2.0</v>
      </c>
      <c r="AG711" s="23">
        <v>38.0</v>
      </c>
      <c r="AH711" s="23">
        <v>76.0</v>
      </c>
      <c r="AI711" s="16" t="s">
        <v>1079</v>
      </c>
      <c r="AJ711" s="23">
        <v>25.0</v>
      </c>
      <c r="AK711" s="23">
        <v>17.0</v>
      </c>
      <c r="AL711" s="23">
        <v>425.0</v>
      </c>
      <c r="AM711" s="16" t="s">
        <v>1427</v>
      </c>
      <c r="AN711" s="23">
        <v>1.0</v>
      </c>
      <c r="AO711" s="23">
        <v>60.0</v>
      </c>
      <c r="AP711" s="23">
        <v>60.0</v>
      </c>
      <c r="AQ711" s="16" t="s">
        <v>1083</v>
      </c>
      <c r="AR711" s="23">
        <v>1.0</v>
      </c>
      <c r="AS711" s="23">
        <v>43.0</v>
      </c>
      <c r="AT711" s="23">
        <v>43.0</v>
      </c>
      <c r="AX711" s="23">
        <v>0.0</v>
      </c>
      <c r="BF711" s="23">
        <v>0.0</v>
      </c>
      <c r="BJ711" s="23">
        <v>0.0</v>
      </c>
      <c r="BN711" s="23">
        <v>0.0</v>
      </c>
      <c r="BO711" s="23">
        <v>915.0</v>
      </c>
      <c r="BP711" s="16" t="s">
        <v>3954</v>
      </c>
      <c r="BQ711" s="16" t="b">
        <v>1</v>
      </c>
      <c r="BR711" s="23">
        <v>915.0</v>
      </c>
      <c r="BT711" s="16" t="b">
        <v>0</v>
      </c>
      <c r="BU711" s="16" t="s">
        <v>546</v>
      </c>
    </row>
    <row r="712">
      <c r="A712" s="16" t="s">
        <v>3956</v>
      </c>
      <c r="B712" s="16" t="s">
        <v>35</v>
      </c>
      <c r="C712" s="22">
        <v>45597.0</v>
      </c>
      <c r="F712" s="16" t="s">
        <v>1329</v>
      </c>
      <c r="G712" s="16" t="s">
        <v>1168</v>
      </c>
      <c r="H712" s="16">
        <v>1.0</v>
      </c>
      <c r="I712" s="23">
        <v>500.0</v>
      </c>
      <c r="J712" s="23">
        <v>500.0</v>
      </c>
      <c r="BO712" s="23">
        <v>500.0</v>
      </c>
      <c r="BR712" s="23">
        <v>500.0</v>
      </c>
      <c r="BU712" s="16" t="s">
        <v>539</v>
      </c>
      <c r="BV712" s="16" t="s">
        <v>3795</v>
      </c>
      <c r="BW712" s="16"/>
      <c r="BX712" s="16"/>
      <c r="BY712" s="16"/>
    </row>
    <row r="713">
      <c r="A713" s="16" t="s">
        <v>3958</v>
      </c>
      <c r="B713" s="16" t="s">
        <v>35</v>
      </c>
      <c r="C713" s="22">
        <v>45597.0</v>
      </c>
      <c r="F713" s="16" t="s">
        <v>1329</v>
      </c>
      <c r="G713" s="16" t="s">
        <v>1168</v>
      </c>
      <c r="H713" s="16">
        <v>1.0</v>
      </c>
      <c r="I713" s="23">
        <v>500.0</v>
      </c>
      <c r="J713" s="23">
        <v>500.0</v>
      </c>
      <c r="BO713" s="23">
        <v>500.0</v>
      </c>
      <c r="BR713" s="23">
        <v>500.0</v>
      </c>
      <c r="BU713" s="16" t="s">
        <v>539</v>
      </c>
      <c r="BV713" s="16" t="s">
        <v>624</v>
      </c>
      <c r="BW713" s="16"/>
      <c r="BX713" s="16"/>
      <c r="BY713" s="16"/>
    </row>
    <row r="714">
      <c r="A714" s="16" t="s">
        <v>3961</v>
      </c>
      <c r="B714" s="16" t="s">
        <v>35</v>
      </c>
      <c r="C714" s="22">
        <v>45593.0</v>
      </c>
      <c r="D714" s="16" t="s">
        <v>890</v>
      </c>
      <c r="E714" s="16" t="s">
        <v>3962</v>
      </c>
      <c r="F714" s="16" t="s">
        <v>3813</v>
      </c>
      <c r="G714" s="16" t="s">
        <v>1517</v>
      </c>
      <c r="H714" s="23">
        <v>1.0</v>
      </c>
      <c r="I714" s="23">
        <v>9601.47</v>
      </c>
      <c r="J714" s="23">
        <v>9601.47</v>
      </c>
      <c r="N714" s="23">
        <v>0.0</v>
      </c>
      <c r="R714" s="23">
        <v>0.0</v>
      </c>
      <c r="V714" s="23">
        <v>0.0</v>
      </c>
      <c r="Z714" s="23">
        <v>0.0</v>
      </c>
      <c r="AD714" s="23">
        <v>0.0</v>
      </c>
      <c r="AH714" s="23">
        <v>0.0</v>
      </c>
      <c r="AL714" s="23">
        <v>0.0</v>
      </c>
      <c r="AP714" s="23">
        <v>0.0</v>
      </c>
      <c r="AT714" s="23">
        <v>0.0</v>
      </c>
      <c r="AX714" s="23">
        <v>0.0</v>
      </c>
      <c r="BF714" s="23">
        <v>0.0</v>
      </c>
      <c r="BJ714" s="23">
        <v>0.0</v>
      </c>
      <c r="BN714" s="23">
        <v>0.0</v>
      </c>
      <c r="BO714" s="23">
        <v>9601.47</v>
      </c>
      <c r="BP714" s="16" t="s">
        <v>3963</v>
      </c>
      <c r="BQ714" s="16" t="b">
        <v>1</v>
      </c>
      <c r="BR714" s="23">
        <v>9601.47</v>
      </c>
      <c r="BT714" s="16" t="b">
        <v>0</v>
      </c>
      <c r="BU714" s="16" t="s">
        <v>546</v>
      </c>
    </row>
    <row r="715">
      <c r="A715" s="16" t="s">
        <v>3965</v>
      </c>
      <c r="B715" s="16" t="s">
        <v>35</v>
      </c>
      <c r="C715" s="22">
        <v>45596.0</v>
      </c>
      <c r="D715" s="16" t="s">
        <v>764</v>
      </c>
      <c r="E715" s="16" t="s">
        <v>3966</v>
      </c>
      <c r="F715" s="16" t="s">
        <v>195</v>
      </c>
      <c r="G715" s="16" t="s">
        <v>1073</v>
      </c>
      <c r="H715" s="23">
        <v>1.0</v>
      </c>
      <c r="I715" s="23">
        <v>19.25</v>
      </c>
      <c r="J715" s="23">
        <v>19.25</v>
      </c>
      <c r="K715" s="16" t="s">
        <v>1384</v>
      </c>
      <c r="L715" s="23">
        <v>1.0</v>
      </c>
      <c r="M715" s="23">
        <v>19.0</v>
      </c>
      <c r="N715" s="23">
        <v>19.0</v>
      </c>
      <c r="O715" s="16" t="s">
        <v>1404</v>
      </c>
      <c r="P715" s="23">
        <v>1.0</v>
      </c>
      <c r="Q715" s="23">
        <v>19.0</v>
      </c>
      <c r="R715" s="23">
        <v>19.0</v>
      </c>
      <c r="S715" s="16" t="s">
        <v>1404</v>
      </c>
      <c r="T715" s="23">
        <v>1.0</v>
      </c>
      <c r="U715" s="23">
        <v>65.0</v>
      </c>
      <c r="V715" s="23">
        <v>65.0</v>
      </c>
      <c r="W715" s="16" t="s">
        <v>1074</v>
      </c>
      <c r="X715" s="23">
        <v>2.0</v>
      </c>
      <c r="Y715" s="23">
        <v>38.0</v>
      </c>
      <c r="Z715" s="23">
        <v>76.0</v>
      </c>
      <c r="AA715" s="16" t="s">
        <v>1075</v>
      </c>
      <c r="AB715" s="23">
        <v>2.0</v>
      </c>
      <c r="AC715" s="23">
        <v>19.75</v>
      </c>
      <c r="AD715" s="23">
        <v>39.5</v>
      </c>
      <c r="AE715" s="16" t="s">
        <v>1077</v>
      </c>
      <c r="AF715" s="23">
        <v>2.0</v>
      </c>
      <c r="AG715" s="23">
        <v>25.0</v>
      </c>
      <c r="AH715" s="23">
        <v>50.0</v>
      </c>
      <c r="AI715" s="16" t="s">
        <v>1079</v>
      </c>
      <c r="AJ715" s="23">
        <v>20.0</v>
      </c>
      <c r="AK715" s="23">
        <v>17.0</v>
      </c>
      <c r="AL715" s="23">
        <v>340.0</v>
      </c>
      <c r="AM715" s="16" t="s">
        <v>1081</v>
      </c>
      <c r="AN715" s="23">
        <v>1.0</v>
      </c>
      <c r="AO715" s="23">
        <v>61.0</v>
      </c>
      <c r="AP715" s="23">
        <v>61.0</v>
      </c>
      <c r="AT715" s="23">
        <v>0.0</v>
      </c>
      <c r="AX715" s="23">
        <v>0.0</v>
      </c>
      <c r="BF715" s="23">
        <v>0.0</v>
      </c>
      <c r="BJ715" s="23">
        <v>0.0</v>
      </c>
      <c r="BN715" s="23">
        <v>0.0</v>
      </c>
      <c r="BO715" s="23">
        <v>688.75</v>
      </c>
      <c r="BP715" s="16" t="s">
        <v>3968</v>
      </c>
      <c r="BQ715" s="16" t="b">
        <v>1</v>
      </c>
      <c r="BR715" s="23">
        <v>688.75</v>
      </c>
      <c r="BT715" s="16" t="b">
        <v>0</v>
      </c>
      <c r="BU715" s="16" t="s">
        <v>546</v>
      </c>
    </row>
    <row r="716">
      <c r="A716" s="16" t="s">
        <v>3969</v>
      </c>
      <c r="B716" s="16" t="s">
        <v>35</v>
      </c>
      <c r="C716" s="22">
        <v>45596.0</v>
      </c>
      <c r="D716" s="16" t="s">
        <v>890</v>
      </c>
      <c r="E716" s="16" t="s">
        <v>3971</v>
      </c>
      <c r="F716" s="16" t="s">
        <v>2894</v>
      </c>
      <c r="G716" s="16" t="s">
        <v>1510</v>
      </c>
      <c r="H716" s="23">
        <v>1.0</v>
      </c>
      <c r="I716" s="23">
        <v>16679.84</v>
      </c>
      <c r="J716" s="23">
        <v>16679.84</v>
      </c>
      <c r="N716" s="23">
        <v>0.0</v>
      </c>
      <c r="R716" s="23">
        <v>0.0</v>
      </c>
      <c r="V716" s="23">
        <v>0.0</v>
      </c>
      <c r="Z716" s="23">
        <v>0.0</v>
      </c>
      <c r="AD716" s="23">
        <v>0.0</v>
      </c>
      <c r="AH716" s="23">
        <v>0.0</v>
      </c>
      <c r="AL716" s="23">
        <v>0.0</v>
      </c>
      <c r="AP716" s="23">
        <v>0.0</v>
      </c>
      <c r="AT716" s="23">
        <v>0.0</v>
      </c>
      <c r="AX716" s="23">
        <v>0.0</v>
      </c>
      <c r="BF716" s="23">
        <v>0.0</v>
      </c>
      <c r="BJ716" s="23">
        <v>0.0</v>
      </c>
      <c r="BN716" s="23">
        <v>0.0</v>
      </c>
      <c r="BO716" s="23">
        <v>16679.84</v>
      </c>
      <c r="BP716" s="16" t="s">
        <v>3972</v>
      </c>
      <c r="BQ716" s="16" t="b">
        <v>1</v>
      </c>
      <c r="BR716" s="23">
        <v>16679.84</v>
      </c>
      <c r="BT716" s="16" t="b">
        <v>0</v>
      </c>
      <c r="BU716" s="16" t="s">
        <v>546</v>
      </c>
    </row>
    <row r="717">
      <c r="A717" s="16" t="s">
        <v>3974</v>
      </c>
      <c r="B717" s="16" t="s">
        <v>35</v>
      </c>
      <c r="C717" s="22">
        <v>45597.0</v>
      </c>
      <c r="D717" s="16" t="s">
        <v>112</v>
      </c>
      <c r="E717" s="16" t="s">
        <v>3975</v>
      </c>
      <c r="F717" s="16" t="s">
        <v>157</v>
      </c>
      <c r="G717" s="16" t="s">
        <v>159</v>
      </c>
      <c r="H717" s="23">
        <v>1.0</v>
      </c>
      <c r="I717" s="23">
        <v>300.0</v>
      </c>
      <c r="J717" s="23">
        <v>300.0</v>
      </c>
      <c r="K717" s="16" t="s">
        <v>155</v>
      </c>
      <c r="L717" s="23">
        <v>1.0</v>
      </c>
      <c r="M717" s="23">
        <v>53.9</v>
      </c>
      <c r="N717" s="23">
        <v>53.9</v>
      </c>
      <c r="O717" s="16" t="s">
        <v>152</v>
      </c>
      <c r="P717" s="23">
        <v>1.0</v>
      </c>
      <c r="Q717" s="23">
        <v>20.58</v>
      </c>
      <c r="R717" s="23">
        <v>20.58</v>
      </c>
      <c r="S717" s="16" t="s">
        <v>226</v>
      </c>
      <c r="T717" s="23">
        <v>1.0</v>
      </c>
      <c r="U717" s="23">
        <v>142.5</v>
      </c>
      <c r="V717" s="23">
        <v>142.5</v>
      </c>
      <c r="Z717" s="23">
        <v>0.0</v>
      </c>
      <c r="AD717" s="23">
        <v>0.0</v>
      </c>
      <c r="AH717" s="23">
        <v>0.0</v>
      </c>
      <c r="AL717" s="23">
        <v>0.0</v>
      </c>
      <c r="AP717" s="23">
        <v>0.0</v>
      </c>
      <c r="AT717" s="23">
        <v>0.0</v>
      </c>
      <c r="AX717" s="23">
        <v>0.0</v>
      </c>
      <c r="BF717" s="23">
        <v>0.0</v>
      </c>
      <c r="BJ717" s="23">
        <v>0.0</v>
      </c>
      <c r="BN717" s="23">
        <v>0.0</v>
      </c>
      <c r="BO717" s="23">
        <v>516.98</v>
      </c>
      <c r="BP717" s="16" t="s">
        <v>3976</v>
      </c>
      <c r="BQ717" s="16" t="b">
        <v>1</v>
      </c>
      <c r="BR717" s="23">
        <v>516.98</v>
      </c>
      <c r="BT717" s="16" t="b">
        <v>0</v>
      </c>
      <c r="BU717" s="16" t="s">
        <v>546</v>
      </c>
    </row>
    <row r="718">
      <c r="A718" s="16" t="s">
        <v>3978</v>
      </c>
      <c r="B718" s="16" t="s">
        <v>35</v>
      </c>
      <c r="C718" s="22">
        <v>45597.0</v>
      </c>
      <c r="D718" s="16" t="s">
        <v>543</v>
      </c>
      <c r="E718" s="16" t="s">
        <v>3979</v>
      </c>
      <c r="F718" s="16" t="s">
        <v>171</v>
      </c>
      <c r="G718" s="16">
        <v>1.2539885E7</v>
      </c>
      <c r="H718" s="23">
        <v>1.0</v>
      </c>
      <c r="I718" s="23">
        <v>300.0</v>
      </c>
      <c r="J718" s="23">
        <v>300.0</v>
      </c>
      <c r="N718" s="23">
        <v>0.0</v>
      </c>
      <c r="R718" s="23">
        <v>0.0</v>
      </c>
      <c r="V718" s="23">
        <v>0.0</v>
      </c>
      <c r="Z718" s="23">
        <v>0.0</v>
      </c>
      <c r="AD718" s="23">
        <v>0.0</v>
      </c>
      <c r="AH718" s="23">
        <v>0.0</v>
      </c>
      <c r="AL718" s="23">
        <v>0.0</v>
      </c>
      <c r="AP718" s="23">
        <v>0.0</v>
      </c>
      <c r="AT718" s="23">
        <v>0.0</v>
      </c>
      <c r="AX718" s="23">
        <v>0.0</v>
      </c>
      <c r="BF718" s="23">
        <v>0.0</v>
      </c>
      <c r="BJ718" s="23">
        <v>0.0</v>
      </c>
      <c r="BN718" s="23">
        <v>0.0</v>
      </c>
      <c r="BO718" s="23">
        <v>300.0</v>
      </c>
      <c r="BP718" s="16" t="s">
        <v>3980</v>
      </c>
      <c r="BQ718" s="16" t="b">
        <v>1</v>
      </c>
      <c r="BR718" s="23">
        <v>300.0</v>
      </c>
      <c r="BT718" s="16" t="b">
        <v>0</v>
      </c>
      <c r="BU718" s="16" t="s">
        <v>546</v>
      </c>
    </row>
    <row r="719">
      <c r="A719" s="16" t="s">
        <v>3982</v>
      </c>
      <c r="B719" s="16" t="s">
        <v>35</v>
      </c>
      <c r="C719" s="22">
        <v>45599.0</v>
      </c>
      <c r="F719" s="16" t="s">
        <v>1329</v>
      </c>
      <c r="G719" s="16" t="s">
        <v>1168</v>
      </c>
      <c r="H719" s="16">
        <v>1.0</v>
      </c>
      <c r="I719" s="23">
        <v>100.0</v>
      </c>
      <c r="J719" s="23">
        <v>100.0</v>
      </c>
      <c r="BO719" s="23">
        <v>100.0</v>
      </c>
      <c r="BR719" s="23">
        <v>100.0</v>
      </c>
      <c r="BU719" s="16" t="s">
        <v>539</v>
      </c>
      <c r="BV719" s="16" t="s">
        <v>658</v>
      </c>
      <c r="BW719" s="16"/>
      <c r="BX719" s="16"/>
      <c r="BY719" s="16"/>
    </row>
    <row r="720">
      <c r="A720" s="16" t="s">
        <v>3984</v>
      </c>
      <c r="B720" s="16" t="s">
        <v>35</v>
      </c>
      <c r="C720" s="22">
        <v>45601.0</v>
      </c>
      <c r="F720" s="16" t="s">
        <v>3986</v>
      </c>
      <c r="G720" s="16" t="s">
        <v>1239</v>
      </c>
      <c r="H720" s="16">
        <v>1.0</v>
      </c>
      <c r="I720" s="23">
        <v>1608.09</v>
      </c>
      <c r="J720" s="23">
        <v>1608.09</v>
      </c>
      <c r="BO720" s="23">
        <v>1608.09</v>
      </c>
      <c r="BR720" s="23">
        <v>1608.09</v>
      </c>
      <c r="BU720" s="16" t="s">
        <v>539</v>
      </c>
      <c r="BV720" s="16" t="s">
        <v>2052</v>
      </c>
      <c r="BW720" s="16"/>
      <c r="BX720" s="16"/>
      <c r="BY720" s="16"/>
    </row>
    <row r="721">
      <c r="A721" s="16" t="s">
        <v>3989</v>
      </c>
      <c r="B721" s="16" t="s">
        <v>35</v>
      </c>
      <c r="C721" s="22">
        <v>45601.0</v>
      </c>
      <c r="D721" s="16" t="s">
        <v>460</v>
      </c>
      <c r="F721" s="16" t="s">
        <v>23</v>
      </c>
      <c r="G721" s="16" t="s">
        <v>1653</v>
      </c>
      <c r="H721" s="16">
        <v>1.0</v>
      </c>
      <c r="I721" s="23">
        <v>228.0</v>
      </c>
      <c r="J721" s="23">
        <v>228.0</v>
      </c>
      <c r="BO721" s="23">
        <v>228.0</v>
      </c>
      <c r="BR721" s="23">
        <v>228.0</v>
      </c>
      <c r="BU721" s="16" t="s">
        <v>539</v>
      </c>
    </row>
    <row r="722">
      <c r="A722" s="16" t="s">
        <v>3991</v>
      </c>
      <c r="B722" s="16" t="s">
        <v>35</v>
      </c>
      <c r="C722" s="22">
        <v>45601.0</v>
      </c>
      <c r="F722" s="16" t="s">
        <v>3992</v>
      </c>
      <c r="G722" s="16" t="s">
        <v>1239</v>
      </c>
      <c r="H722" s="16">
        <v>1.0</v>
      </c>
      <c r="I722" s="23">
        <v>2655.18</v>
      </c>
      <c r="J722" s="23">
        <v>2655.18</v>
      </c>
      <c r="BO722" s="23">
        <v>2655.18</v>
      </c>
      <c r="BR722" s="23">
        <v>2655.18</v>
      </c>
      <c r="BU722" s="16" t="s">
        <v>539</v>
      </c>
      <c r="BV722" s="16" t="s">
        <v>624</v>
      </c>
      <c r="BW722" s="16"/>
      <c r="BX722" s="16"/>
      <c r="BY722" s="16"/>
    </row>
    <row r="723">
      <c r="A723" s="16" t="s">
        <v>3994</v>
      </c>
      <c r="B723" s="16" t="s">
        <v>35</v>
      </c>
      <c r="C723" s="22">
        <v>45601.0</v>
      </c>
      <c r="F723" s="16" t="s">
        <v>3996</v>
      </c>
      <c r="G723" s="16" t="s">
        <v>1239</v>
      </c>
      <c r="H723" s="16">
        <v>1.0</v>
      </c>
      <c r="I723" s="23">
        <v>2031.37</v>
      </c>
      <c r="J723" s="23">
        <v>2031.37</v>
      </c>
      <c r="BO723" s="23">
        <v>2031.37</v>
      </c>
      <c r="BR723" s="23">
        <v>2031.37</v>
      </c>
      <c r="BU723" s="16" t="s">
        <v>539</v>
      </c>
      <c r="BV723" s="16" t="s">
        <v>227</v>
      </c>
      <c r="BW723" s="16"/>
      <c r="BX723" s="16"/>
      <c r="BY723" s="16"/>
    </row>
    <row r="724">
      <c r="A724" s="16">
        <v>1.22709868E8</v>
      </c>
      <c r="B724" s="16" t="s">
        <v>35</v>
      </c>
      <c r="C724" s="22">
        <v>45601.0</v>
      </c>
      <c r="F724" s="16" t="s">
        <v>3986</v>
      </c>
      <c r="G724" s="16" t="s">
        <v>1239</v>
      </c>
      <c r="H724" s="16">
        <v>1.0</v>
      </c>
      <c r="I724" s="23">
        <v>1262.4</v>
      </c>
      <c r="J724" s="23">
        <v>1262.4</v>
      </c>
      <c r="BO724" s="23">
        <v>1262.4</v>
      </c>
      <c r="BR724" s="23">
        <v>1262.4</v>
      </c>
      <c r="BU724" s="16" t="s">
        <v>539</v>
      </c>
      <c r="BV724" s="16" t="s">
        <v>658</v>
      </c>
      <c r="BW724" s="16"/>
      <c r="BX724" s="16"/>
      <c r="BY724" s="16"/>
    </row>
    <row r="725">
      <c r="A725" s="16" t="s">
        <v>3999</v>
      </c>
      <c r="B725" s="16" t="s">
        <v>35</v>
      </c>
      <c r="C725" s="22">
        <v>45601.0</v>
      </c>
      <c r="F725" s="16" t="s">
        <v>3986</v>
      </c>
      <c r="G725" s="16" t="s">
        <v>1239</v>
      </c>
      <c r="H725" s="16">
        <v>1.0</v>
      </c>
      <c r="I725" s="23">
        <v>1680.93</v>
      </c>
      <c r="J725" s="23">
        <v>1680.93</v>
      </c>
      <c r="BO725" s="23">
        <v>1680.93</v>
      </c>
      <c r="BR725" s="23">
        <v>1680.93</v>
      </c>
      <c r="BU725" s="16" t="s">
        <v>539</v>
      </c>
      <c r="BV725" s="16" t="s">
        <v>3795</v>
      </c>
      <c r="BW725" s="16"/>
      <c r="BX725" s="16"/>
      <c r="BY725" s="16"/>
    </row>
    <row r="726">
      <c r="A726" s="16" t="s">
        <v>4001</v>
      </c>
      <c r="B726" s="16" t="s">
        <v>35</v>
      </c>
      <c r="C726" s="22">
        <v>45601.0</v>
      </c>
      <c r="D726" s="16" t="s">
        <v>890</v>
      </c>
      <c r="F726" s="16" t="s">
        <v>4003</v>
      </c>
      <c r="G726" s="16" t="s">
        <v>3833</v>
      </c>
      <c r="H726" s="16">
        <v>1.0</v>
      </c>
      <c r="I726" s="23">
        <v>81.75</v>
      </c>
      <c r="J726" s="23">
        <v>81.75</v>
      </c>
      <c r="BO726" s="23">
        <v>81.75</v>
      </c>
      <c r="BR726" s="23">
        <v>81.75</v>
      </c>
      <c r="BU726" s="16" t="s">
        <v>539</v>
      </c>
    </row>
    <row r="727">
      <c r="A727" s="16" t="s">
        <v>4004</v>
      </c>
      <c r="B727" s="16" t="s">
        <v>35</v>
      </c>
      <c r="C727" s="22">
        <v>45601.0</v>
      </c>
      <c r="D727" s="16" t="s">
        <v>890</v>
      </c>
      <c r="F727" s="16" t="s">
        <v>4003</v>
      </c>
      <c r="G727" s="16" t="s">
        <v>3833</v>
      </c>
      <c r="H727" s="16">
        <v>1.0</v>
      </c>
      <c r="I727" s="23">
        <v>25.0</v>
      </c>
      <c r="J727" s="23">
        <v>25.0</v>
      </c>
      <c r="BO727" s="23">
        <v>25.0</v>
      </c>
      <c r="BR727" s="23">
        <v>25.0</v>
      </c>
      <c r="BU727" s="16" t="s">
        <v>539</v>
      </c>
    </row>
    <row r="728">
      <c r="A728" s="16" t="s">
        <v>4006</v>
      </c>
      <c r="B728" s="16" t="s">
        <v>35</v>
      </c>
      <c r="C728" s="22">
        <v>45606.0</v>
      </c>
      <c r="F728" s="16" t="s">
        <v>1329</v>
      </c>
      <c r="G728" s="16" t="s">
        <v>1168</v>
      </c>
      <c r="H728" s="16">
        <v>1.0</v>
      </c>
      <c r="I728" s="23">
        <v>700.0</v>
      </c>
      <c r="J728" s="23">
        <v>700.0</v>
      </c>
      <c r="BO728" s="23">
        <v>700.0</v>
      </c>
      <c r="BR728" s="23">
        <v>700.0</v>
      </c>
      <c r="BU728" s="16" t="s">
        <v>539</v>
      </c>
      <c r="BV728" s="16" t="s">
        <v>624</v>
      </c>
      <c r="BW728" s="16"/>
      <c r="BX728" s="16"/>
      <c r="BY728" s="16"/>
    </row>
    <row r="729">
      <c r="A729" s="16" t="s">
        <v>4008</v>
      </c>
      <c r="B729" s="16" t="s">
        <v>35</v>
      </c>
      <c r="C729" s="22">
        <v>45609.0</v>
      </c>
      <c r="D729" s="16" t="s">
        <v>890</v>
      </c>
      <c r="F729" s="16" t="s">
        <v>4010</v>
      </c>
      <c r="G729" s="16" t="s">
        <v>4831</v>
      </c>
      <c r="H729" s="16">
        <v>1.0</v>
      </c>
      <c r="I729" s="23">
        <v>250.0</v>
      </c>
      <c r="J729" s="23">
        <v>250.0</v>
      </c>
      <c r="BO729" s="23">
        <v>250.0</v>
      </c>
      <c r="BR729" s="23">
        <v>250.0</v>
      </c>
      <c r="BU729" s="16" t="s">
        <v>539</v>
      </c>
    </row>
    <row r="730">
      <c r="A730" s="16" t="s">
        <v>4012</v>
      </c>
      <c r="B730" s="16" t="s">
        <v>35</v>
      </c>
      <c r="C730" s="22">
        <v>45609.0</v>
      </c>
      <c r="D730" s="16" t="s">
        <v>2248</v>
      </c>
      <c r="F730" s="16" t="s">
        <v>2549</v>
      </c>
      <c r="G730" s="16" t="s">
        <v>3218</v>
      </c>
      <c r="H730" s="16">
        <v>1.0</v>
      </c>
      <c r="I730" s="23">
        <v>352.26</v>
      </c>
      <c r="J730" s="23">
        <v>352.26</v>
      </c>
      <c r="BO730" s="23">
        <v>352.26</v>
      </c>
      <c r="BR730" s="23">
        <v>352.26</v>
      </c>
      <c r="BU730" s="16" t="s">
        <v>539</v>
      </c>
    </row>
    <row r="731">
      <c r="A731" s="16" t="s">
        <v>4015</v>
      </c>
      <c r="B731" s="16" t="s">
        <v>35</v>
      </c>
      <c r="C731" s="22">
        <v>45614.0</v>
      </c>
      <c r="D731" s="16" t="s">
        <v>460</v>
      </c>
      <c r="F731" s="16" t="s">
        <v>4017</v>
      </c>
      <c r="G731" s="16" t="s">
        <v>4937</v>
      </c>
      <c r="H731" s="16">
        <v>1.0</v>
      </c>
      <c r="I731" s="23">
        <v>20.0</v>
      </c>
      <c r="J731" s="23">
        <v>20.0</v>
      </c>
      <c r="BO731" s="23">
        <v>20.0</v>
      </c>
      <c r="BR731" s="23">
        <v>20.0</v>
      </c>
      <c r="BU731" s="16" t="s">
        <v>539</v>
      </c>
    </row>
    <row r="732">
      <c r="A732" s="16" t="s">
        <v>4018</v>
      </c>
      <c r="B732" s="16" t="s">
        <v>35</v>
      </c>
      <c r="C732" s="22">
        <v>45614.0</v>
      </c>
      <c r="D732" s="16" t="s">
        <v>460</v>
      </c>
      <c r="F732" s="16" t="s">
        <v>4020</v>
      </c>
      <c r="G732" s="16" t="s">
        <v>1259</v>
      </c>
      <c r="H732" s="16">
        <v>1.0</v>
      </c>
      <c r="I732" s="23">
        <v>530.0</v>
      </c>
      <c r="J732" s="23">
        <v>530.0</v>
      </c>
      <c r="BO732" s="23">
        <v>530.0</v>
      </c>
      <c r="BR732" s="23">
        <v>530.0</v>
      </c>
      <c r="BU732" s="16" t="s">
        <v>539</v>
      </c>
    </row>
    <row r="733">
      <c r="A733" s="16" t="s">
        <v>4022</v>
      </c>
      <c r="B733" s="16" t="s">
        <v>35</v>
      </c>
      <c r="C733" s="22">
        <v>45614.0</v>
      </c>
      <c r="D733" s="16" t="s">
        <v>460</v>
      </c>
      <c r="F733" s="16" t="s">
        <v>4023</v>
      </c>
      <c r="G733" s="16" t="s">
        <v>5440</v>
      </c>
      <c r="H733" s="16">
        <v>1.0</v>
      </c>
      <c r="I733" s="23">
        <v>472.8</v>
      </c>
      <c r="J733" s="23">
        <v>472.8</v>
      </c>
      <c r="BO733" s="23">
        <v>472.8</v>
      </c>
      <c r="BR733" s="23">
        <v>472.8</v>
      </c>
      <c r="BU733" s="16" t="s">
        <v>539</v>
      </c>
    </row>
    <row r="734">
      <c r="A734" s="16" t="s">
        <v>4025</v>
      </c>
      <c r="B734" s="16" t="s">
        <v>35</v>
      </c>
      <c r="C734" s="22">
        <v>45614.0</v>
      </c>
      <c r="D734" s="16" t="s">
        <v>460</v>
      </c>
      <c r="F734" s="16" t="s">
        <v>4026</v>
      </c>
      <c r="G734" s="16" t="s">
        <v>5443</v>
      </c>
      <c r="H734" s="16">
        <v>1.0</v>
      </c>
      <c r="I734" s="23">
        <v>325.0</v>
      </c>
      <c r="J734" s="23">
        <v>325.0</v>
      </c>
      <c r="BO734" s="23">
        <v>325.0</v>
      </c>
      <c r="BR734" s="23">
        <v>325.0</v>
      </c>
      <c r="BU734" s="16" t="s">
        <v>539</v>
      </c>
    </row>
    <row r="735">
      <c r="A735" s="16" t="s">
        <v>4028</v>
      </c>
      <c r="B735" s="16" t="s">
        <v>35</v>
      </c>
      <c r="C735" s="22">
        <v>45597.0</v>
      </c>
      <c r="D735" s="16" t="s">
        <v>4029</v>
      </c>
      <c r="E735" s="16" t="s">
        <v>4030</v>
      </c>
      <c r="F735" s="16" t="s">
        <v>4033</v>
      </c>
      <c r="G735" s="16" t="s">
        <v>1757</v>
      </c>
      <c r="H735" s="23">
        <v>1.0</v>
      </c>
      <c r="I735" s="23">
        <v>31.0</v>
      </c>
      <c r="J735" s="23">
        <v>31.0</v>
      </c>
      <c r="N735" s="23">
        <v>0.0</v>
      </c>
      <c r="R735" s="23">
        <v>0.0</v>
      </c>
      <c r="V735" s="23">
        <v>0.0</v>
      </c>
      <c r="Z735" s="23">
        <v>0.0</v>
      </c>
      <c r="AD735" s="23">
        <v>0.0</v>
      </c>
      <c r="AH735" s="23">
        <v>0.0</v>
      </c>
      <c r="AL735" s="23">
        <v>0.0</v>
      </c>
      <c r="AP735" s="23">
        <v>0.0</v>
      </c>
      <c r="AT735" s="23">
        <v>0.0</v>
      </c>
      <c r="AX735" s="23">
        <v>0.0</v>
      </c>
      <c r="BF735" s="23">
        <v>0.0</v>
      </c>
      <c r="BJ735" s="23">
        <v>0.0</v>
      </c>
      <c r="BN735" s="23">
        <v>0.0</v>
      </c>
      <c r="BO735" s="23">
        <v>31.0</v>
      </c>
      <c r="BP735" s="16" t="s">
        <v>4032</v>
      </c>
      <c r="BQ735" s="16" t="b">
        <v>1</v>
      </c>
      <c r="BR735" s="23">
        <v>31.0</v>
      </c>
      <c r="BS735" s="23">
        <v>1111520.0</v>
      </c>
      <c r="BT735" s="16" t="b">
        <v>1</v>
      </c>
      <c r="BU735" s="16" t="s">
        <v>546</v>
      </c>
    </row>
    <row r="736">
      <c r="A736" s="16" t="s">
        <v>4034</v>
      </c>
      <c r="B736" s="16" t="s">
        <v>35</v>
      </c>
      <c r="C736" s="22">
        <v>45600.0</v>
      </c>
      <c r="D736" s="23">
        <v>6.8893939E7</v>
      </c>
      <c r="E736" s="16" t="s">
        <v>4036</v>
      </c>
      <c r="F736" s="16" t="s">
        <v>772</v>
      </c>
      <c r="G736" s="16" t="s">
        <v>1145</v>
      </c>
      <c r="H736" s="23">
        <v>1.0</v>
      </c>
      <c r="I736" s="23">
        <v>3247.87</v>
      </c>
      <c r="J736" s="23">
        <v>3247.87</v>
      </c>
      <c r="N736" s="23">
        <v>0.0</v>
      </c>
      <c r="R736" s="23">
        <v>0.0</v>
      </c>
      <c r="V736" s="23">
        <v>0.0</v>
      </c>
      <c r="Z736" s="23">
        <v>0.0</v>
      </c>
      <c r="AD736" s="23">
        <v>0.0</v>
      </c>
      <c r="AH736" s="23">
        <v>0.0</v>
      </c>
      <c r="AL736" s="23">
        <v>0.0</v>
      </c>
      <c r="AP736" s="23">
        <v>0.0</v>
      </c>
      <c r="AT736" s="23">
        <v>0.0</v>
      </c>
      <c r="AX736" s="23">
        <v>0.0</v>
      </c>
      <c r="BF736" s="23">
        <v>0.0</v>
      </c>
      <c r="BJ736" s="23">
        <v>0.0</v>
      </c>
      <c r="BN736" s="23">
        <v>0.0</v>
      </c>
      <c r="BO736" s="23">
        <v>3247.87</v>
      </c>
      <c r="BP736" s="16" t="s">
        <v>4037</v>
      </c>
      <c r="BQ736" s="16" t="b">
        <v>1</v>
      </c>
      <c r="BR736" s="23">
        <v>3247.87</v>
      </c>
      <c r="BT736" s="16" t="b">
        <v>0</v>
      </c>
      <c r="BU736" s="16" t="s">
        <v>546</v>
      </c>
    </row>
    <row r="737">
      <c r="A737" s="16" t="s">
        <v>4039</v>
      </c>
      <c r="B737" s="16" t="s">
        <v>35</v>
      </c>
      <c r="C737" s="22">
        <v>45601.0</v>
      </c>
      <c r="D737" s="16" t="s">
        <v>2439</v>
      </c>
      <c r="E737" s="16" t="s">
        <v>4040</v>
      </c>
      <c r="F737" s="16" t="s">
        <v>4042</v>
      </c>
      <c r="G737" s="16" t="s">
        <v>3496</v>
      </c>
      <c r="H737" s="23">
        <v>1.0</v>
      </c>
      <c r="I737" s="23">
        <v>237.86</v>
      </c>
      <c r="J737" s="23">
        <v>237.86</v>
      </c>
      <c r="N737" s="23">
        <v>0.0</v>
      </c>
      <c r="R737" s="23">
        <v>0.0</v>
      </c>
      <c r="V737" s="23">
        <v>0.0</v>
      </c>
      <c r="Z737" s="23">
        <v>0.0</v>
      </c>
      <c r="AD737" s="23">
        <v>0.0</v>
      </c>
      <c r="AH737" s="23">
        <v>0.0</v>
      </c>
      <c r="AL737" s="23">
        <v>0.0</v>
      </c>
      <c r="AP737" s="23">
        <v>0.0</v>
      </c>
      <c r="AT737" s="23">
        <v>0.0</v>
      </c>
      <c r="AX737" s="23">
        <v>0.0</v>
      </c>
      <c r="BF737" s="23">
        <v>0.0</v>
      </c>
      <c r="BJ737" s="23">
        <v>0.0</v>
      </c>
      <c r="BN737" s="23">
        <v>0.0</v>
      </c>
      <c r="BO737" s="23">
        <v>237.86</v>
      </c>
      <c r="BP737" s="16" t="s">
        <v>4041</v>
      </c>
      <c r="BQ737" s="16" t="b">
        <v>1</v>
      </c>
      <c r="BR737" s="23">
        <v>237.86</v>
      </c>
      <c r="BT737" s="16" t="b">
        <v>0</v>
      </c>
      <c r="BU737" s="16" t="s">
        <v>546</v>
      </c>
    </row>
    <row r="738">
      <c r="A738" s="16" t="s">
        <v>4044</v>
      </c>
      <c r="B738" s="16" t="s">
        <v>35</v>
      </c>
      <c r="C738" s="22">
        <v>45601.0</v>
      </c>
      <c r="D738" s="16" t="s">
        <v>353</v>
      </c>
      <c r="E738" s="16" t="s">
        <v>4045</v>
      </c>
      <c r="F738" s="16" t="s">
        <v>4048</v>
      </c>
      <c r="G738" s="16" t="s">
        <v>789</v>
      </c>
      <c r="H738" s="23">
        <v>1.0</v>
      </c>
      <c r="I738" s="23">
        <v>191.36</v>
      </c>
      <c r="J738" s="23">
        <v>191.36</v>
      </c>
      <c r="K738" s="16" t="s">
        <v>4176</v>
      </c>
      <c r="L738" s="23">
        <v>1.0</v>
      </c>
      <c r="M738" s="23">
        <v>97.5</v>
      </c>
      <c r="N738" s="23">
        <v>97.5</v>
      </c>
      <c r="R738" s="23">
        <v>0.0</v>
      </c>
      <c r="V738" s="23">
        <v>0.0</v>
      </c>
      <c r="Z738" s="23">
        <v>0.0</v>
      </c>
      <c r="AD738" s="23">
        <v>0.0</v>
      </c>
      <c r="AH738" s="23">
        <v>0.0</v>
      </c>
      <c r="AL738" s="23">
        <v>0.0</v>
      </c>
      <c r="AP738" s="23">
        <v>0.0</v>
      </c>
      <c r="AT738" s="23">
        <v>0.0</v>
      </c>
      <c r="AX738" s="23">
        <v>0.0</v>
      </c>
      <c r="BF738" s="23">
        <v>0.0</v>
      </c>
      <c r="BJ738" s="23">
        <v>0.0</v>
      </c>
      <c r="BN738" s="23">
        <v>0.0</v>
      </c>
      <c r="BO738" s="23">
        <v>288.86</v>
      </c>
      <c r="BP738" s="16" t="s">
        <v>4047</v>
      </c>
      <c r="BQ738" s="16" t="b">
        <v>1</v>
      </c>
      <c r="BR738" s="23">
        <v>288.86</v>
      </c>
      <c r="BS738" s="16" t="s">
        <v>4049</v>
      </c>
      <c r="BT738" s="16" t="b">
        <v>1</v>
      </c>
      <c r="BU738" s="16" t="s">
        <v>546</v>
      </c>
    </row>
    <row r="739">
      <c r="A739" s="16" t="s">
        <v>4050</v>
      </c>
      <c r="B739" s="16" t="s">
        <v>35</v>
      </c>
      <c r="C739" s="22">
        <v>45601.0</v>
      </c>
      <c r="D739" s="16" t="s">
        <v>112</v>
      </c>
      <c r="E739" s="16" t="s">
        <v>4052</v>
      </c>
      <c r="F739" s="16" t="s">
        <v>45</v>
      </c>
      <c r="G739" s="16" t="s">
        <v>159</v>
      </c>
      <c r="H739" s="23">
        <v>1.0</v>
      </c>
      <c r="I739" s="23">
        <v>144.0</v>
      </c>
      <c r="J739" s="23">
        <v>144.0</v>
      </c>
      <c r="K739" s="16" t="s">
        <v>155</v>
      </c>
      <c r="L739" s="23">
        <v>1.0</v>
      </c>
      <c r="M739" s="23">
        <v>44.1</v>
      </c>
      <c r="N739" s="23">
        <v>44.1</v>
      </c>
      <c r="O739" s="16" t="s">
        <v>152</v>
      </c>
      <c r="P739" s="23">
        <v>1.0</v>
      </c>
      <c r="Q739" s="23">
        <v>15.9</v>
      </c>
      <c r="R739" s="23">
        <v>15.9</v>
      </c>
      <c r="S739" s="16" t="s">
        <v>226</v>
      </c>
      <c r="T739" s="23">
        <v>1.0</v>
      </c>
      <c r="U739" s="23">
        <v>42.5</v>
      </c>
      <c r="V739" s="23">
        <v>42.5</v>
      </c>
      <c r="Z739" s="23">
        <v>0.0</v>
      </c>
      <c r="AD739" s="23">
        <v>0.0</v>
      </c>
      <c r="AH739" s="23">
        <v>0.0</v>
      </c>
      <c r="AL739" s="23">
        <v>0.0</v>
      </c>
      <c r="AP739" s="23">
        <v>0.0</v>
      </c>
      <c r="AT739" s="23">
        <v>0.0</v>
      </c>
      <c r="AX739" s="23">
        <v>0.0</v>
      </c>
      <c r="BF739" s="23">
        <v>0.0</v>
      </c>
      <c r="BJ739" s="23">
        <v>0.0</v>
      </c>
      <c r="BN739" s="23">
        <v>0.0</v>
      </c>
      <c r="BO739" s="23">
        <v>246.5</v>
      </c>
      <c r="BP739" s="16" t="s">
        <v>4053</v>
      </c>
      <c r="BQ739" s="16" t="b">
        <v>1</v>
      </c>
      <c r="BR739" s="23">
        <v>246.5</v>
      </c>
      <c r="BT739" s="16" t="b">
        <v>0</v>
      </c>
      <c r="BU739" s="16" t="s">
        <v>546</v>
      </c>
    </row>
    <row r="740">
      <c r="A740" s="16" t="s">
        <v>4055</v>
      </c>
      <c r="B740" s="16" t="s">
        <v>35</v>
      </c>
      <c r="C740" s="22">
        <v>45602.0</v>
      </c>
      <c r="D740" s="16" t="s">
        <v>286</v>
      </c>
      <c r="E740" s="16" t="s">
        <v>4056</v>
      </c>
      <c r="F740" s="16" t="s">
        <v>4058</v>
      </c>
      <c r="G740" s="16" t="s">
        <v>1904</v>
      </c>
      <c r="H740" s="23">
        <v>1.0</v>
      </c>
      <c r="I740" s="23">
        <v>2.0</v>
      </c>
      <c r="J740" s="23">
        <v>2.0</v>
      </c>
      <c r="N740" s="23">
        <v>0.0</v>
      </c>
      <c r="R740" s="23">
        <v>0.0</v>
      </c>
      <c r="V740" s="23">
        <v>0.0</v>
      </c>
      <c r="Z740" s="23">
        <v>0.0</v>
      </c>
      <c r="AD740" s="23">
        <v>0.0</v>
      </c>
      <c r="AH740" s="23">
        <v>0.0</v>
      </c>
      <c r="AL740" s="23">
        <v>0.0</v>
      </c>
      <c r="AP740" s="23">
        <v>0.0</v>
      </c>
      <c r="AT740" s="23">
        <v>0.0</v>
      </c>
      <c r="AX740" s="23">
        <v>0.0</v>
      </c>
      <c r="BF740" s="23">
        <v>0.0</v>
      </c>
      <c r="BJ740" s="23">
        <v>0.0</v>
      </c>
      <c r="BN740" s="23">
        <v>0.0</v>
      </c>
      <c r="BO740" s="23">
        <v>2.0</v>
      </c>
      <c r="BP740" s="16" t="s">
        <v>4057</v>
      </c>
      <c r="BQ740" s="16" t="b">
        <v>1</v>
      </c>
      <c r="BR740" s="23">
        <v>2.0</v>
      </c>
      <c r="BS740" s="23">
        <v>1137155.0</v>
      </c>
      <c r="BT740" s="16" t="b">
        <v>1</v>
      </c>
      <c r="BU740" s="16" t="s">
        <v>546</v>
      </c>
    </row>
    <row r="741">
      <c r="A741" s="16" t="s">
        <v>4060</v>
      </c>
      <c r="B741" s="16" t="s">
        <v>35</v>
      </c>
      <c r="C741" s="22">
        <v>45603.0</v>
      </c>
      <c r="D741" s="16" t="s">
        <v>1414</v>
      </c>
      <c r="E741" s="16" t="s">
        <v>4061</v>
      </c>
      <c r="F741" s="16" t="s">
        <v>4063</v>
      </c>
      <c r="G741" s="16" t="s">
        <v>1757</v>
      </c>
      <c r="H741" s="23">
        <v>1.0</v>
      </c>
      <c r="I741" s="23">
        <v>50.0</v>
      </c>
      <c r="J741" s="23">
        <v>50.0</v>
      </c>
      <c r="N741" s="23">
        <v>0.0</v>
      </c>
      <c r="R741" s="23">
        <v>0.0</v>
      </c>
      <c r="V741" s="23">
        <v>0.0</v>
      </c>
      <c r="Z741" s="23">
        <v>0.0</v>
      </c>
      <c r="AD741" s="23">
        <v>0.0</v>
      </c>
      <c r="AH741" s="23">
        <v>0.0</v>
      </c>
      <c r="AL741" s="23">
        <v>0.0</v>
      </c>
      <c r="AP741" s="23">
        <v>0.0</v>
      </c>
      <c r="AT741" s="23">
        <v>0.0</v>
      </c>
      <c r="AX741" s="23">
        <v>0.0</v>
      </c>
      <c r="BF741" s="23">
        <v>0.0</v>
      </c>
      <c r="BJ741" s="23">
        <v>0.0</v>
      </c>
      <c r="BN741" s="23">
        <v>0.0</v>
      </c>
      <c r="BO741" s="23">
        <v>50.0</v>
      </c>
      <c r="BP741" s="16" t="s">
        <v>4062</v>
      </c>
      <c r="BQ741" s="16" t="b">
        <v>1</v>
      </c>
      <c r="BR741" s="23">
        <v>50.0</v>
      </c>
      <c r="BS741" s="23">
        <v>1137244.0</v>
      </c>
      <c r="BT741" s="16" t="b">
        <v>1</v>
      </c>
      <c r="BU741" s="16" t="s">
        <v>546</v>
      </c>
    </row>
    <row r="742">
      <c r="A742" s="16" t="s">
        <v>4065</v>
      </c>
      <c r="B742" s="16" t="s">
        <v>35</v>
      </c>
      <c r="C742" s="22">
        <v>45604.0</v>
      </c>
      <c r="D742" s="16" t="s">
        <v>3816</v>
      </c>
      <c r="E742" s="16" t="s">
        <v>4067</v>
      </c>
      <c r="F742" s="16" t="s">
        <v>528</v>
      </c>
      <c r="G742" s="16" t="s">
        <v>305</v>
      </c>
      <c r="H742" s="23">
        <v>1.0</v>
      </c>
      <c r="I742" s="23">
        <v>24.11</v>
      </c>
      <c r="J742" s="23">
        <v>24.11</v>
      </c>
      <c r="N742" s="23">
        <v>0.0</v>
      </c>
      <c r="R742" s="23">
        <v>0.0</v>
      </c>
      <c r="V742" s="23">
        <v>0.0</v>
      </c>
      <c r="Z742" s="23">
        <v>0.0</v>
      </c>
      <c r="AD742" s="23">
        <v>0.0</v>
      </c>
      <c r="AH742" s="23">
        <v>0.0</v>
      </c>
      <c r="AL742" s="23">
        <v>0.0</v>
      </c>
      <c r="AP742" s="23">
        <v>0.0</v>
      </c>
      <c r="AT742" s="23">
        <v>0.0</v>
      </c>
      <c r="AX742" s="23">
        <v>0.0</v>
      </c>
      <c r="BF742" s="23">
        <v>0.0</v>
      </c>
      <c r="BJ742" s="23">
        <v>0.0</v>
      </c>
      <c r="BN742" s="23">
        <v>0.0</v>
      </c>
      <c r="BO742" s="23">
        <v>24.11</v>
      </c>
      <c r="BP742" s="16" t="s">
        <v>4068</v>
      </c>
      <c r="BQ742" s="16" t="b">
        <v>1</v>
      </c>
      <c r="BR742" s="23">
        <v>24.11</v>
      </c>
      <c r="BS742" s="23">
        <v>1138453.0</v>
      </c>
      <c r="BT742" s="16" t="b">
        <v>1</v>
      </c>
      <c r="BU742" s="16" t="s">
        <v>546</v>
      </c>
    </row>
    <row r="743">
      <c r="A743" s="16" t="s">
        <v>4070</v>
      </c>
      <c r="B743" s="16" t="s">
        <v>35</v>
      </c>
      <c r="C743" s="22">
        <v>45604.0</v>
      </c>
      <c r="D743" s="16" t="s">
        <v>112</v>
      </c>
      <c r="E743" s="16" t="s">
        <v>4072</v>
      </c>
      <c r="F743" s="16" t="s">
        <v>45</v>
      </c>
      <c r="G743" s="16" t="s">
        <v>226</v>
      </c>
      <c r="H743" s="23">
        <v>1.0</v>
      </c>
      <c r="I743" s="23">
        <v>95.0</v>
      </c>
      <c r="J743" s="23">
        <v>95.0</v>
      </c>
      <c r="K743" s="16" t="s">
        <v>152</v>
      </c>
      <c r="L743" s="23">
        <v>1.0</v>
      </c>
      <c r="M743" s="23">
        <v>15.21</v>
      </c>
      <c r="N743" s="23">
        <v>15.21</v>
      </c>
      <c r="O743" s="16" t="s">
        <v>155</v>
      </c>
      <c r="P743" s="23">
        <v>1.0</v>
      </c>
      <c r="Q743" s="23">
        <v>37.87</v>
      </c>
      <c r="R743" s="23">
        <v>37.87</v>
      </c>
      <c r="S743" s="16" t="s">
        <v>159</v>
      </c>
      <c r="T743" s="23">
        <v>1.0</v>
      </c>
      <c r="U743" s="23">
        <v>240.0</v>
      </c>
      <c r="V743" s="23">
        <v>240.0</v>
      </c>
      <c r="Z743" s="23">
        <v>0.0</v>
      </c>
      <c r="AD743" s="23">
        <v>0.0</v>
      </c>
      <c r="AH743" s="23">
        <v>0.0</v>
      </c>
      <c r="AL743" s="23">
        <v>0.0</v>
      </c>
      <c r="AP743" s="23">
        <v>0.0</v>
      </c>
      <c r="AT743" s="23">
        <v>0.0</v>
      </c>
      <c r="AX743" s="23">
        <v>0.0</v>
      </c>
      <c r="BF743" s="23">
        <v>0.0</v>
      </c>
      <c r="BJ743" s="23">
        <v>0.0</v>
      </c>
      <c r="BN743" s="23">
        <v>0.0</v>
      </c>
      <c r="BO743" s="23">
        <v>388.08</v>
      </c>
      <c r="BP743" s="16" t="s">
        <v>4074</v>
      </c>
      <c r="BQ743" s="16" t="b">
        <v>1</v>
      </c>
      <c r="BR743" s="23">
        <v>388.08</v>
      </c>
      <c r="BT743" s="16" t="b">
        <v>0</v>
      </c>
      <c r="BU743" s="16" t="s">
        <v>546</v>
      </c>
    </row>
    <row r="744">
      <c r="A744" s="16" t="s">
        <v>4076</v>
      </c>
      <c r="B744" s="16" t="s">
        <v>35</v>
      </c>
      <c r="C744" s="22">
        <v>45604.0</v>
      </c>
      <c r="D744" s="16" t="s">
        <v>543</v>
      </c>
      <c r="E744" s="16" t="s">
        <v>4077</v>
      </c>
      <c r="F744" s="16" t="s">
        <v>59</v>
      </c>
      <c r="G744" s="16">
        <v>1.2539885E7</v>
      </c>
      <c r="H744" s="23">
        <v>1.0</v>
      </c>
      <c r="I744" s="23">
        <v>200.0</v>
      </c>
      <c r="J744" s="23">
        <v>200.0</v>
      </c>
      <c r="N744" s="23">
        <v>0.0</v>
      </c>
      <c r="R744" s="23">
        <v>0.0</v>
      </c>
      <c r="V744" s="23">
        <v>0.0</v>
      </c>
      <c r="Z744" s="23">
        <v>0.0</v>
      </c>
      <c r="AD744" s="23">
        <v>0.0</v>
      </c>
      <c r="AH744" s="23">
        <v>0.0</v>
      </c>
      <c r="AL744" s="23">
        <v>0.0</v>
      </c>
      <c r="AP744" s="23">
        <v>0.0</v>
      </c>
      <c r="AT744" s="23">
        <v>0.0</v>
      </c>
      <c r="AX744" s="23">
        <v>0.0</v>
      </c>
      <c r="BF744" s="23">
        <v>0.0</v>
      </c>
      <c r="BJ744" s="23">
        <v>0.0</v>
      </c>
      <c r="BN744" s="23">
        <v>0.0</v>
      </c>
      <c r="BO744" s="23">
        <v>200.0</v>
      </c>
      <c r="BP744" s="16" t="s">
        <v>4078</v>
      </c>
      <c r="BQ744" s="16" t="b">
        <v>1</v>
      </c>
      <c r="BR744" s="23">
        <v>200.0</v>
      </c>
      <c r="BT744" s="16" t="b">
        <v>0</v>
      </c>
      <c r="BU744" s="16" t="s">
        <v>546</v>
      </c>
    </row>
    <row r="745">
      <c r="A745" s="16" t="s">
        <v>4080</v>
      </c>
      <c r="B745" s="16" t="s">
        <v>35</v>
      </c>
      <c r="C745" s="22">
        <v>45606.0</v>
      </c>
      <c r="D745" s="16" t="s">
        <v>543</v>
      </c>
      <c r="E745" s="16" t="s">
        <v>4081</v>
      </c>
      <c r="F745" s="16" t="s">
        <v>171</v>
      </c>
      <c r="G745" s="16">
        <v>1.2539885E7</v>
      </c>
      <c r="H745" s="23">
        <v>1.0</v>
      </c>
      <c r="I745" s="23">
        <v>400.0</v>
      </c>
      <c r="J745" s="23">
        <v>400.0</v>
      </c>
      <c r="N745" s="23">
        <v>0.0</v>
      </c>
      <c r="R745" s="23">
        <v>0.0</v>
      </c>
      <c r="V745" s="23">
        <v>0.0</v>
      </c>
      <c r="Z745" s="23">
        <v>0.0</v>
      </c>
      <c r="AD745" s="23">
        <v>0.0</v>
      </c>
      <c r="AH745" s="23">
        <v>0.0</v>
      </c>
      <c r="AL745" s="23">
        <v>0.0</v>
      </c>
      <c r="AP745" s="23">
        <v>0.0</v>
      </c>
      <c r="AT745" s="23">
        <v>0.0</v>
      </c>
      <c r="AX745" s="23">
        <v>0.0</v>
      </c>
      <c r="BF745" s="23">
        <v>0.0</v>
      </c>
      <c r="BJ745" s="23">
        <v>0.0</v>
      </c>
      <c r="BN745" s="23">
        <v>0.0</v>
      </c>
      <c r="BO745" s="23">
        <v>400.0</v>
      </c>
      <c r="BP745" s="16" t="s">
        <v>4082</v>
      </c>
      <c r="BQ745" s="16" t="b">
        <v>1</v>
      </c>
      <c r="BR745" s="23">
        <v>400.0</v>
      </c>
      <c r="BT745" s="16" t="b">
        <v>0</v>
      </c>
      <c r="BU745" s="16" t="s">
        <v>546</v>
      </c>
    </row>
    <row r="746">
      <c r="A746" s="16" t="s">
        <v>4084</v>
      </c>
      <c r="B746" s="16" t="s">
        <v>35</v>
      </c>
      <c r="C746" s="22">
        <v>45607.0</v>
      </c>
      <c r="D746" s="16" t="s">
        <v>2613</v>
      </c>
      <c r="E746" s="16" t="s">
        <v>4086</v>
      </c>
      <c r="F746" s="16" t="s">
        <v>482</v>
      </c>
      <c r="G746" s="16" t="s">
        <v>981</v>
      </c>
      <c r="H746" s="23">
        <v>6.0</v>
      </c>
      <c r="I746" s="23">
        <v>4.59</v>
      </c>
      <c r="J746" s="23">
        <v>27.54</v>
      </c>
      <c r="K746" s="16" t="s">
        <v>238</v>
      </c>
      <c r="L746" s="23">
        <v>12.0</v>
      </c>
      <c r="M746" s="23">
        <v>5.9</v>
      </c>
      <c r="N746" s="23">
        <v>70.8</v>
      </c>
      <c r="O746" s="16" t="s">
        <v>242</v>
      </c>
      <c r="P746" s="23">
        <v>6.0</v>
      </c>
      <c r="Q746" s="23">
        <v>5.4</v>
      </c>
      <c r="R746" s="23">
        <v>32.4</v>
      </c>
      <c r="S746" s="16" t="s">
        <v>243</v>
      </c>
      <c r="T746" s="23">
        <v>6.0</v>
      </c>
      <c r="U746" s="23">
        <v>7.2</v>
      </c>
      <c r="V746" s="23">
        <v>43.2</v>
      </c>
      <c r="Z746" s="23">
        <v>0.0</v>
      </c>
      <c r="AD746" s="23">
        <v>0.0</v>
      </c>
      <c r="AH746" s="23">
        <v>0.0</v>
      </c>
      <c r="AL746" s="23">
        <v>0.0</v>
      </c>
      <c r="AP746" s="23">
        <v>0.0</v>
      </c>
      <c r="AT746" s="23">
        <v>0.0</v>
      </c>
      <c r="AX746" s="23">
        <v>0.0</v>
      </c>
      <c r="BF746" s="23">
        <v>0.0</v>
      </c>
      <c r="BJ746" s="23">
        <v>0.0</v>
      </c>
      <c r="BN746" s="23">
        <v>0.0</v>
      </c>
      <c r="BO746" s="23">
        <v>173.94</v>
      </c>
      <c r="BP746" s="16" t="s">
        <v>4087</v>
      </c>
      <c r="BQ746" s="16" t="b">
        <v>1</v>
      </c>
      <c r="BR746" s="23">
        <v>173.94</v>
      </c>
      <c r="BS746" s="23">
        <v>1144730.0</v>
      </c>
      <c r="BT746" s="16" t="b">
        <v>1</v>
      </c>
      <c r="BU746" s="16" t="s">
        <v>546</v>
      </c>
    </row>
    <row r="747">
      <c r="A747" s="16" t="s">
        <v>4089</v>
      </c>
      <c r="B747" s="16" t="s">
        <v>35</v>
      </c>
      <c r="C747" s="22">
        <v>45607.0</v>
      </c>
      <c r="D747" s="16" t="s">
        <v>112</v>
      </c>
      <c r="E747" s="16" t="s">
        <v>4090</v>
      </c>
      <c r="F747" s="16" t="s">
        <v>157</v>
      </c>
      <c r="G747" s="16" t="s">
        <v>226</v>
      </c>
      <c r="H747" s="23">
        <v>1.0</v>
      </c>
      <c r="I747" s="23">
        <v>57.0</v>
      </c>
      <c r="J747" s="23">
        <v>57.0</v>
      </c>
      <c r="K747" s="16" t="s">
        <v>152</v>
      </c>
      <c r="L747" s="23">
        <v>1.0</v>
      </c>
      <c r="M747" s="23">
        <v>14.7</v>
      </c>
      <c r="N747" s="23">
        <v>14.7</v>
      </c>
      <c r="O747" s="16" t="s">
        <v>155</v>
      </c>
      <c r="P747" s="23">
        <v>1.0</v>
      </c>
      <c r="Q747" s="23">
        <v>22.54</v>
      </c>
      <c r="R747" s="23">
        <v>22.54</v>
      </c>
      <c r="S747" s="16" t="s">
        <v>159</v>
      </c>
      <c r="T747" s="23">
        <v>1.0</v>
      </c>
      <c r="U747" s="23">
        <v>144.0</v>
      </c>
      <c r="V747" s="23">
        <v>144.0</v>
      </c>
      <c r="Z747" s="23">
        <v>0.0</v>
      </c>
      <c r="AD747" s="23">
        <v>0.0</v>
      </c>
      <c r="AH747" s="23">
        <v>0.0</v>
      </c>
      <c r="AL747" s="23">
        <v>0.0</v>
      </c>
      <c r="AP747" s="23">
        <v>0.0</v>
      </c>
      <c r="AT747" s="23">
        <v>0.0</v>
      </c>
      <c r="AX747" s="23">
        <v>0.0</v>
      </c>
      <c r="BF747" s="23">
        <v>0.0</v>
      </c>
      <c r="BJ747" s="23">
        <v>0.0</v>
      </c>
      <c r="BN747" s="23">
        <v>0.0</v>
      </c>
      <c r="BO747" s="23">
        <v>238.24</v>
      </c>
      <c r="BP747" s="16" t="s">
        <v>4091</v>
      </c>
      <c r="BQ747" s="16" t="b">
        <v>1</v>
      </c>
      <c r="BR747" s="23">
        <v>238.24</v>
      </c>
      <c r="BT747" s="16" t="b">
        <v>0</v>
      </c>
      <c r="BU747" s="16" t="s">
        <v>546</v>
      </c>
    </row>
    <row r="748">
      <c r="A748" s="16" t="s">
        <v>4093</v>
      </c>
      <c r="B748" s="16" t="s">
        <v>35</v>
      </c>
      <c r="C748" s="22">
        <v>45607.0</v>
      </c>
      <c r="D748" s="23">
        <v>6.8893939E7</v>
      </c>
      <c r="E748" s="16" t="s">
        <v>4094</v>
      </c>
      <c r="F748" s="16" t="s">
        <v>605</v>
      </c>
      <c r="G748" s="16" t="s">
        <v>1145</v>
      </c>
      <c r="H748" s="23">
        <v>1.0</v>
      </c>
      <c r="I748" s="23">
        <v>2980.19</v>
      </c>
      <c r="J748" s="23">
        <v>2980.19</v>
      </c>
      <c r="N748" s="23">
        <v>0.0</v>
      </c>
      <c r="R748" s="23">
        <v>0.0</v>
      </c>
      <c r="V748" s="23">
        <v>0.0</v>
      </c>
      <c r="Z748" s="23">
        <v>0.0</v>
      </c>
      <c r="AD748" s="23">
        <v>0.0</v>
      </c>
      <c r="AH748" s="23">
        <v>0.0</v>
      </c>
      <c r="AL748" s="23">
        <v>0.0</v>
      </c>
      <c r="AP748" s="23">
        <v>0.0</v>
      </c>
      <c r="AT748" s="23">
        <v>0.0</v>
      </c>
      <c r="AX748" s="23">
        <v>0.0</v>
      </c>
      <c r="BF748" s="23">
        <v>0.0</v>
      </c>
      <c r="BJ748" s="23">
        <v>0.0</v>
      </c>
      <c r="BN748" s="23">
        <v>0.0</v>
      </c>
      <c r="BO748" s="23">
        <v>2980.19</v>
      </c>
      <c r="BP748" s="16" t="s">
        <v>4095</v>
      </c>
      <c r="BQ748" s="16" t="b">
        <v>1</v>
      </c>
      <c r="BR748" s="23">
        <v>2980.19</v>
      </c>
      <c r="BT748" s="16" t="b">
        <v>0</v>
      </c>
      <c r="BU748" s="16" t="s">
        <v>546</v>
      </c>
    </row>
    <row r="749">
      <c r="A749" s="16" t="s">
        <v>4097</v>
      </c>
      <c r="B749" s="16" t="s">
        <v>35</v>
      </c>
      <c r="C749" s="22">
        <v>45607.0</v>
      </c>
      <c r="D749" s="16" t="s">
        <v>890</v>
      </c>
      <c r="E749" s="16" t="s">
        <v>4099</v>
      </c>
      <c r="F749" s="16" t="s">
        <v>3813</v>
      </c>
      <c r="G749" s="16" t="s">
        <v>1517</v>
      </c>
      <c r="H749" s="23">
        <v>1.0</v>
      </c>
      <c r="I749" s="23">
        <v>11688.06</v>
      </c>
      <c r="J749" s="23">
        <v>11688.06</v>
      </c>
      <c r="N749" s="23">
        <v>0.0</v>
      </c>
      <c r="R749" s="23">
        <v>0.0</v>
      </c>
      <c r="V749" s="23">
        <v>0.0</v>
      </c>
      <c r="Z749" s="23">
        <v>0.0</v>
      </c>
      <c r="AD749" s="23">
        <v>0.0</v>
      </c>
      <c r="AH749" s="23">
        <v>0.0</v>
      </c>
      <c r="AL749" s="23">
        <v>0.0</v>
      </c>
      <c r="AP749" s="23">
        <v>0.0</v>
      </c>
      <c r="AT749" s="23">
        <v>0.0</v>
      </c>
      <c r="AX749" s="23">
        <v>0.0</v>
      </c>
      <c r="BF749" s="23">
        <v>0.0</v>
      </c>
      <c r="BJ749" s="23">
        <v>0.0</v>
      </c>
      <c r="BN749" s="23">
        <v>0.0</v>
      </c>
      <c r="BO749" s="23">
        <v>11688.06</v>
      </c>
      <c r="BP749" s="16" t="s">
        <v>4100</v>
      </c>
      <c r="BQ749" s="16" t="b">
        <v>1</v>
      </c>
      <c r="BR749" s="23">
        <v>11688.06</v>
      </c>
      <c r="BT749" s="16" t="b">
        <v>0</v>
      </c>
      <c r="BU749" s="16" t="s">
        <v>546</v>
      </c>
      <c r="BW749" s="16" t="s">
        <v>4101</v>
      </c>
      <c r="BX749" s="16" t="s">
        <v>4102</v>
      </c>
    </row>
    <row r="750">
      <c r="A750" s="16" t="s">
        <v>4104</v>
      </c>
      <c r="B750" s="16" t="s">
        <v>35</v>
      </c>
      <c r="C750" s="22">
        <v>45608.0</v>
      </c>
      <c r="D750" s="16" t="s">
        <v>2096</v>
      </c>
      <c r="E750" s="16" t="s">
        <v>4105</v>
      </c>
      <c r="F750" s="16" t="s">
        <v>4107</v>
      </c>
      <c r="G750" s="16" t="s">
        <v>1536</v>
      </c>
      <c r="H750" s="23">
        <v>1.0</v>
      </c>
      <c r="I750" s="23">
        <v>30.0</v>
      </c>
      <c r="J750" s="23">
        <v>30.0</v>
      </c>
      <c r="N750" s="23">
        <v>0.0</v>
      </c>
      <c r="R750" s="23">
        <v>0.0</v>
      </c>
      <c r="V750" s="23">
        <v>0.0</v>
      </c>
      <c r="Z750" s="23">
        <v>0.0</v>
      </c>
      <c r="AD750" s="23">
        <v>0.0</v>
      </c>
      <c r="AH750" s="23">
        <v>0.0</v>
      </c>
      <c r="AL750" s="23">
        <v>0.0</v>
      </c>
      <c r="AP750" s="23">
        <v>0.0</v>
      </c>
      <c r="AT750" s="23">
        <v>0.0</v>
      </c>
      <c r="AX750" s="23">
        <v>0.0</v>
      </c>
      <c r="BF750" s="23">
        <v>0.0</v>
      </c>
      <c r="BJ750" s="23">
        <v>0.0</v>
      </c>
      <c r="BN750" s="23">
        <v>0.0</v>
      </c>
      <c r="BO750" s="23">
        <v>30.0</v>
      </c>
      <c r="BP750" s="16" t="s">
        <v>4106</v>
      </c>
      <c r="BQ750" s="16" t="b">
        <v>1</v>
      </c>
      <c r="BR750" s="23">
        <v>30.0</v>
      </c>
      <c r="BS750" s="23">
        <v>1146357.0</v>
      </c>
      <c r="BT750" s="16" t="b">
        <v>1</v>
      </c>
      <c r="BU750" s="16" t="s">
        <v>546</v>
      </c>
    </row>
    <row r="751">
      <c r="A751" s="16" t="s">
        <v>4109</v>
      </c>
      <c r="B751" s="16" t="s">
        <v>35</v>
      </c>
      <c r="C751" s="22">
        <v>45608.0</v>
      </c>
      <c r="D751" s="23">
        <v>2.6065919E7</v>
      </c>
      <c r="E751" s="16" t="s">
        <v>4111</v>
      </c>
      <c r="F751" s="16" t="s">
        <v>4113</v>
      </c>
      <c r="G751" s="16" t="s">
        <v>1022</v>
      </c>
      <c r="H751" s="23">
        <v>1.0</v>
      </c>
      <c r="I751" s="23">
        <v>108.0</v>
      </c>
      <c r="J751" s="23">
        <v>108.0</v>
      </c>
      <c r="N751" s="23">
        <v>0.0</v>
      </c>
      <c r="R751" s="23">
        <v>0.0</v>
      </c>
      <c r="V751" s="23">
        <v>0.0</v>
      </c>
      <c r="Z751" s="23">
        <v>0.0</v>
      </c>
      <c r="AD751" s="23">
        <v>0.0</v>
      </c>
      <c r="AH751" s="23">
        <v>0.0</v>
      </c>
      <c r="AL751" s="23">
        <v>0.0</v>
      </c>
      <c r="AP751" s="23">
        <v>0.0</v>
      </c>
      <c r="AT751" s="23">
        <v>0.0</v>
      </c>
      <c r="AX751" s="23">
        <v>0.0</v>
      </c>
      <c r="BF751" s="23">
        <v>0.0</v>
      </c>
      <c r="BJ751" s="23">
        <v>0.0</v>
      </c>
      <c r="BN751" s="23">
        <v>0.0</v>
      </c>
      <c r="BO751" s="23">
        <v>108.0</v>
      </c>
      <c r="BP751" s="16" t="s">
        <v>4112</v>
      </c>
      <c r="BQ751" s="16" t="b">
        <v>1</v>
      </c>
      <c r="BR751" s="23">
        <v>108.0</v>
      </c>
      <c r="BS751" s="23">
        <v>1146460.0</v>
      </c>
      <c r="BT751" s="16" t="b">
        <v>1</v>
      </c>
      <c r="BU751" s="16" t="s">
        <v>546</v>
      </c>
    </row>
    <row r="752">
      <c r="A752" s="16" t="s">
        <v>4115</v>
      </c>
      <c r="B752" s="16" t="s">
        <v>35</v>
      </c>
      <c r="C752" s="22">
        <v>45609.0</v>
      </c>
      <c r="D752" s="16" t="s">
        <v>145</v>
      </c>
      <c r="E752" s="16" t="s">
        <v>4116</v>
      </c>
      <c r="F752" s="16" t="s">
        <v>3627</v>
      </c>
      <c r="G752" s="16" t="s">
        <v>1197</v>
      </c>
      <c r="H752" s="23">
        <v>1.0</v>
      </c>
      <c r="I752" s="23">
        <v>84.0</v>
      </c>
      <c r="J752" s="23">
        <v>84.0</v>
      </c>
      <c r="K752" s="16" t="s">
        <v>266</v>
      </c>
      <c r="L752" s="23">
        <v>1.0</v>
      </c>
      <c r="M752" s="23">
        <v>36.0</v>
      </c>
      <c r="N752" s="23">
        <v>36.0</v>
      </c>
      <c r="R752" s="23">
        <v>0.0</v>
      </c>
      <c r="V752" s="23">
        <v>0.0</v>
      </c>
      <c r="Z752" s="23">
        <v>0.0</v>
      </c>
      <c r="AD752" s="23">
        <v>0.0</v>
      </c>
      <c r="AH752" s="23">
        <v>0.0</v>
      </c>
      <c r="AL752" s="23">
        <v>0.0</v>
      </c>
      <c r="AP752" s="23">
        <v>0.0</v>
      </c>
      <c r="AT752" s="23">
        <v>0.0</v>
      </c>
      <c r="AX752" s="23">
        <v>0.0</v>
      </c>
      <c r="BF752" s="23">
        <v>0.0</v>
      </c>
      <c r="BJ752" s="23">
        <v>0.0</v>
      </c>
      <c r="BN752" s="23">
        <v>0.0</v>
      </c>
      <c r="BO752" s="23">
        <v>120.0</v>
      </c>
      <c r="BP752" s="16" t="s">
        <v>4117</v>
      </c>
      <c r="BQ752" s="16" t="b">
        <v>1</v>
      </c>
      <c r="BR752" s="23">
        <v>120.0</v>
      </c>
      <c r="BT752" s="16" t="b">
        <v>0</v>
      </c>
      <c r="BU752" s="16" t="s">
        <v>546</v>
      </c>
    </row>
    <row r="753">
      <c r="A753" s="16" t="s">
        <v>4119</v>
      </c>
      <c r="B753" s="16" t="s">
        <v>35</v>
      </c>
      <c r="C753" s="22">
        <v>45609.0</v>
      </c>
      <c r="D753" s="16" t="s">
        <v>112</v>
      </c>
      <c r="E753" s="16" t="s">
        <v>4120</v>
      </c>
      <c r="F753" s="16" t="s">
        <v>157</v>
      </c>
      <c r="G753" s="16" t="s">
        <v>159</v>
      </c>
      <c r="H753" s="23">
        <v>1.0</v>
      </c>
      <c r="I753" s="23">
        <v>144.0</v>
      </c>
      <c r="J753" s="23">
        <v>144.0</v>
      </c>
      <c r="K753" s="16" t="s">
        <v>155</v>
      </c>
      <c r="L753" s="23">
        <v>1.0</v>
      </c>
      <c r="M753" s="23">
        <v>34.3</v>
      </c>
      <c r="N753" s="23">
        <v>34.3</v>
      </c>
      <c r="O753" s="16" t="s">
        <v>230</v>
      </c>
      <c r="P753" s="23">
        <v>1.0</v>
      </c>
      <c r="Q753" s="23">
        <v>144.0</v>
      </c>
      <c r="R753" s="23">
        <v>144.0</v>
      </c>
      <c r="S753" s="16" t="s">
        <v>152</v>
      </c>
      <c r="T753" s="23">
        <v>1.0</v>
      </c>
      <c r="U753" s="23">
        <v>15.19</v>
      </c>
      <c r="V753" s="23">
        <v>15.19</v>
      </c>
      <c r="W753" s="16" t="s">
        <v>226</v>
      </c>
      <c r="X753" s="23">
        <v>1.0</v>
      </c>
      <c r="Y753" s="23">
        <v>47.5</v>
      </c>
      <c r="Z753" s="23">
        <v>47.5</v>
      </c>
      <c r="AD753" s="23">
        <v>0.0</v>
      </c>
      <c r="AH753" s="23">
        <v>0.0</v>
      </c>
      <c r="AL753" s="23">
        <v>0.0</v>
      </c>
      <c r="AP753" s="23">
        <v>0.0</v>
      </c>
      <c r="AT753" s="23">
        <v>0.0</v>
      </c>
      <c r="AX753" s="23">
        <v>0.0</v>
      </c>
      <c r="BF753" s="23">
        <v>0.0</v>
      </c>
      <c r="BJ753" s="23">
        <v>0.0</v>
      </c>
      <c r="BN753" s="23">
        <v>0.0</v>
      </c>
      <c r="BO753" s="23">
        <v>384.99</v>
      </c>
      <c r="BP753" s="16" t="s">
        <v>4121</v>
      </c>
      <c r="BQ753" s="16" t="b">
        <v>1</v>
      </c>
      <c r="BR753" s="23">
        <v>384.99</v>
      </c>
      <c r="BT753" s="16" t="b">
        <v>0</v>
      </c>
      <c r="BU753" s="16" t="s">
        <v>546</v>
      </c>
    </row>
    <row r="754">
      <c r="A754" s="16" t="s">
        <v>4124</v>
      </c>
      <c r="B754" s="16" t="s">
        <v>35</v>
      </c>
      <c r="C754" s="22">
        <v>45610.0</v>
      </c>
      <c r="D754" s="16" t="s">
        <v>112</v>
      </c>
      <c r="E754" s="16" t="s">
        <v>4125</v>
      </c>
      <c r="F754" s="16" t="s">
        <v>157</v>
      </c>
      <c r="G754" s="16" t="s">
        <v>159</v>
      </c>
      <c r="H754" s="23">
        <v>1.0</v>
      </c>
      <c r="I754" s="23">
        <v>240.0</v>
      </c>
      <c r="J754" s="23">
        <v>240.0</v>
      </c>
      <c r="K754" s="16" t="s">
        <v>155</v>
      </c>
      <c r="L754" s="23">
        <v>1.0</v>
      </c>
      <c r="M754" s="23">
        <v>43.7</v>
      </c>
      <c r="N754" s="23">
        <v>43.7</v>
      </c>
      <c r="O754" s="16" t="s">
        <v>226</v>
      </c>
      <c r="P754" s="23">
        <v>1.0</v>
      </c>
      <c r="Q754" s="23">
        <v>100.0</v>
      </c>
      <c r="R754" s="23">
        <v>100.0</v>
      </c>
      <c r="V754" s="23">
        <v>0.0</v>
      </c>
      <c r="Z754" s="23">
        <v>0.0</v>
      </c>
      <c r="AD754" s="23">
        <v>0.0</v>
      </c>
      <c r="AH754" s="23">
        <v>0.0</v>
      </c>
      <c r="AL754" s="23">
        <v>0.0</v>
      </c>
      <c r="AP754" s="23">
        <v>0.0</v>
      </c>
      <c r="AT754" s="23">
        <v>0.0</v>
      </c>
      <c r="AX754" s="23">
        <v>0.0</v>
      </c>
      <c r="BF754" s="23">
        <v>0.0</v>
      </c>
      <c r="BJ754" s="23">
        <v>0.0</v>
      </c>
      <c r="BN754" s="23">
        <v>0.0</v>
      </c>
      <c r="BO754" s="23">
        <v>383.7</v>
      </c>
      <c r="BP754" s="16" t="s">
        <v>4126</v>
      </c>
      <c r="BQ754" s="16" t="b">
        <v>1</v>
      </c>
      <c r="BR754" s="23">
        <v>383.7</v>
      </c>
      <c r="BT754" s="16" t="b">
        <v>0</v>
      </c>
      <c r="BU754" s="16" t="s">
        <v>546</v>
      </c>
    </row>
    <row r="755">
      <c r="A755" s="16" t="s">
        <v>4128</v>
      </c>
      <c r="B755" s="16" t="s">
        <v>35</v>
      </c>
      <c r="C755" s="22">
        <v>45610.0</v>
      </c>
      <c r="D755" s="16" t="s">
        <v>890</v>
      </c>
      <c r="E755" s="16" t="s">
        <v>4130</v>
      </c>
      <c r="F755" s="16" t="s">
        <v>2894</v>
      </c>
      <c r="G755" s="16" t="s">
        <v>1510</v>
      </c>
      <c r="H755" s="23">
        <v>1.0</v>
      </c>
      <c r="I755" s="23">
        <v>17971.6</v>
      </c>
      <c r="J755" s="23">
        <v>17971.6</v>
      </c>
      <c r="N755" s="23">
        <v>0.0</v>
      </c>
      <c r="R755" s="23">
        <v>0.0</v>
      </c>
      <c r="V755" s="23">
        <v>0.0</v>
      </c>
      <c r="Z755" s="23">
        <v>0.0</v>
      </c>
      <c r="AD755" s="23">
        <v>0.0</v>
      </c>
      <c r="AH755" s="23">
        <v>0.0</v>
      </c>
      <c r="AL755" s="23">
        <v>0.0</v>
      </c>
      <c r="AP755" s="23">
        <v>0.0</v>
      </c>
      <c r="AT755" s="23">
        <v>0.0</v>
      </c>
      <c r="AX755" s="23">
        <v>0.0</v>
      </c>
      <c r="BF755" s="23">
        <v>0.0</v>
      </c>
      <c r="BJ755" s="23">
        <v>0.0</v>
      </c>
      <c r="BN755" s="23">
        <v>0.0</v>
      </c>
      <c r="BO755" s="23">
        <v>17971.6</v>
      </c>
      <c r="BP755" s="16" t="s">
        <v>4131</v>
      </c>
      <c r="BQ755" s="16" t="b">
        <v>1</v>
      </c>
      <c r="BR755" s="23">
        <v>17971.6</v>
      </c>
      <c r="BT755" s="16" t="b">
        <v>0</v>
      </c>
      <c r="BU755" s="16" t="s">
        <v>546</v>
      </c>
    </row>
    <row r="756">
      <c r="A756" s="23">
        <v>5.21936E7</v>
      </c>
      <c r="B756" s="16" t="s">
        <v>35</v>
      </c>
      <c r="C756" s="22">
        <v>45610.0</v>
      </c>
      <c r="D756" s="16" t="s">
        <v>233</v>
      </c>
      <c r="E756" s="16" t="s">
        <v>4133</v>
      </c>
      <c r="F756" s="16" t="s">
        <v>4135</v>
      </c>
      <c r="G756" s="16" t="s">
        <v>305</v>
      </c>
      <c r="H756" s="23">
        <v>1.0</v>
      </c>
      <c r="I756" s="23">
        <v>190.77</v>
      </c>
      <c r="J756" s="23">
        <v>190.77</v>
      </c>
      <c r="N756" s="23">
        <v>0.0</v>
      </c>
      <c r="R756" s="23">
        <v>0.0</v>
      </c>
      <c r="V756" s="23">
        <v>0.0</v>
      </c>
      <c r="Z756" s="23">
        <v>0.0</v>
      </c>
      <c r="AD756" s="23">
        <v>0.0</v>
      </c>
      <c r="AH756" s="23">
        <v>0.0</v>
      </c>
      <c r="AL756" s="23">
        <v>0.0</v>
      </c>
      <c r="AP756" s="23">
        <v>0.0</v>
      </c>
      <c r="AT756" s="23">
        <v>0.0</v>
      </c>
      <c r="AX756" s="23">
        <v>0.0</v>
      </c>
      <c r="BF756" s="23">
        <v>0.0</v>
      </c>
      <c r="BJ756" s="23">
        <v>0.0</v>
      </c>
      <c r="BN756" s="23">
        <v>0.0</v>
      </c>
      <c r="BO756" s="23">
        <v>190.77</v>
      </c>
      <c r="BP756" s="16" t="s">
        <v>4134</v>
      </c>
      <c r="BQ756" s="16" t="b">
        <v>1</v>
      </c>
      <c r="BR756" s="23">
        <v>190.77</v>
      </c>
      <c r="BT756" s="16" t="b">
        <v>0</v>
      </c>
      <c r="BU756" s="16" t="s">
        <v>546</v>
      </c>
    </row>
    <row r="757">
      <c r="A757" s="16" t="s">
        <v>4137</v>
      </c>
      <c r="B757" s="16" t="s">
        <v>35</v>
      </c>
      <c r="C757" s="22">
        <v>45611.0</v>
      </c>
      <c r="D757" s="16" t="s">
        <v>543</v>
      </c>
      <c r="E757" s="16" t="s">
        <v>4138</v>
      </c>
      <c r="F757" s="16" t="s">
        <v>171</v>
      </c>
      <c r="G757" s="16">
        <v>1.2539885E7</v>
      </c>
      <c r="H757" s="23">
        <v>1.0</v>
      </c>
      <c r="I757" s="23">
        <v>250.0</v>
      </c>
      <c r="J757" s="23">
        <v>250.0</v>
      </c>
      <c r="N757" s="23">
        <v>0.0</v>
      </c>
      <c r="R757" s="23">
        <v>0.0</v>
      </c>
      <c r="V757" s="23">
        <v>0.0</v>
      </c>
      <c r="Z757" s="23">
        <v>0.0</v>
      </c>
      <c r="AD757" s="23">
        <v>0.0</v>
      </c>
      <c r="AH757" s="23">
        <v>0.0</v>
      </c>
      <c r="AL757" s="23">
        <v>0.0</v>
      </c>
      <c r="AP757" s="23">
        <v>0.0</v>
      </c>
      <c r="AT757" s="23">
        <v>0.0</v>
      </c>
      <c r="AX757" s="23">
        <v>0.0</v>
      </c>
      <c r="BF757" s="23">
        <v>0.0</v>
      </c>
      <c r="BJ757" s="23">
        <v>0.0</v>
      </c>
      <c r="BN757" s="23">
        <v>0.0</v>
      </c>
      <c r="BO757" s="23">
        <v>250.0</v>
      </c>
      <c r="BP757" s="16" t="s">
        <v>4139</v>
      </c>
      <c r="BQ757" s="16" t="b">
        <v>1</v>
      </c>
      <c r="BR757" s="23">
        <v>250.0</v>
      </c>
      <c r="BT757" s="16" t="b">
        <v>0</v>
      </c>
      <c r="BU757" s="16" t="s">
        <v>546</v>
      </c>
    </row>
    <row r="758">
      <c r="A758" s="16" t="s">
        <v>4141</v>
      </c>
      <c r="B758" s="16" t="s">
        <v>35</v>
      </c>
      <c r="C758" s="22">
        <v>45611.0</v>
      </c>
      <c r="D758" s="16" t="s">
        <v>4142</v>
      </c>
      <c r="E758" s="16" t="s">
        <v>4143</v>
      </c>
      <c r="F758" s="16" t="s">
        <v>4146</v>
      </c>
      <c r="G758" s="16" t="s">
        <v>305</v>
      </c>
      <c r="H758" s="23">
        <v>1.0</v>
      </c>
      <c r="I758" s="23">
        <v>15.74</v>
      </c>
      <c r="J758" s="23">
        <v>15.74</v>
      </c>
      <c r="N758" s="23">
        <v>0.0</v>
      </c>
      <c r="R758" s="23">
        <v>0.0</v>
      </c>
      <c r="V758" s="23">
        <v>0.0</v>
      </c>
      <c r="Z758" s="23">
        <v>0.0</v>
      </c>
      <c r="AD758" s="23">
        <v>0.0</v>
      </c>
      <c r="AH758" s="23">
        <v>0.0</v>
      </c>
      <c r="AL758" s="23">
        <v>0.0</v>
      </c>
      <c r="AP758" s="23">
        <v>0.0</v>
      </c>
      <c r="AT758" s="23">
        <v>0.0</v>
      </c>
      <c r="AX758" s="23">
        <v>0.0</v>
      </c>
      <c r="BF758" s="23">
        <v>0.0</v>
      </c>
      <c r="BJ758" s="23">
        <v>0.0</v>
      </c>
      <c r="BN758" s="23">
        <v>0.0</v>
      </c>
      <c r="BO758" s="23">
        <v>15.74</v>
      </c>
      <c r="BP758" s="16" t="s">
        <v>4145</v>
      </c>
      <c r="BQ758" s="16" t="b">
        <v>1</v>
      </c>
      <c r="BR758" s="23">
        <v>15.74</v>
      </c>
      <c r="BS758" s="23">
        <v>1151646.0</v>
      </c>
      <c r="BT758" s="16" t="b">
        <v>1</v>
      </c>
      <c r="BU758" s="16" t="s">
        <v>546</v>
      </c>
    </row>
    <row r="759">
      <c r="A759" s="16" t="s">
        <v>4147</v>
      </c>
      <c r="B759" s="16" t="s">
        <v>35</v>
      </c>
      <c r="C759" s="22">
        <v>45612.0</v>
      </c>
      <c r="D759" s="16" t="s">
        <v>112</v>
      </c>
      <c r="E759" s="16" t="s">
        <v>4149</v>
      </c>
      <c r="F759" s="16" t="s">
        <v>157</v>
      </c>
      <c r="G759" s="16" t="s">
        <v>159</v>
      </c>
      <c r="H759" s="23">
        <v>1.0</v>
      </c>
      <c r="I759" s="23">
        <v>240.0</v>
      </c>
      <c r="J759" s="23">
        <v>240.0</v>
      </c>
      <c r="K759" s="16" t="s">
        <v>155</v>
      </c>
      <c r="L759" s="23">
        <v>1.0</v>
      </c>
      <c r="M759" s="23">
        <v>46.8</v>
      </c>
      <c r="N759" s="23">
        <v>46.8</v>
      </c>
      <c r="O759" s="16" t="s">
        <v>152</v>
      </c>
      <c r="P759" s="23">
        <v>1.0</v>
      </c>
      <c r="Q759" s="23">
        <v>9.8</v>
      </c>
      <c r="R759" s="23">
        <v>9.8</v>
      </c>
      <c r="S759" s="16" t="s">
        <v>226</v>
      </c>
      <c r="T759" s="23">
        <v>1.0</v>
      </c>
      <c r="U759" s="23">
        <v>60.0</v>
      </c>
      <c r="V759" s="23">
        <v>60.0</v>
      </c>
      <c r="Z759" s="23">
        <v>0.0</v>
      </c>
      <c r="AD759" s="23">
        <v>0.0</v>
      </c>
      <c r="AH759" s="23">
        <v>0.0</v>
      </c>
      <c r="AL759" s="23">
        <v>0.0</v>
      </c>
      <c r="AP759" s="23">
        <v>0.0</v>
      </c>
      <c r="AT759" s="23">
        <v>0.0</v>
      </c>
      <c r="AX759" s="23">
        <v>0.0</v>
      </c>
      <c r="BF759" s="23">
        <v>0.0</v>
      </c>
      <c r="BJ759" s="23">
        <v>0.0</v>
      </c>
      <c r="BN759" s="23">
        <v>0.0</v>
      </c>
      <c r="BO759" s="23">
        <v>356.6</v>
      </c>
      <c r="BP759" s="16" t="s">
        <v>4150</v>
      </c>
      <c r="BQ759" s="16" t="b">
        <v>1</v>
      </c>
      <c r="BR759" s="23">
        <v>356.6</v>
      </c>
      <c r="BT759" s="16" t="b">
        <v>0</v>
      </c>
      <c r="BU759" s="16" t="s">
        <v>546</v>
      </c>
    </row>
    <row r="760">
      <c r="A760" s="16" t="s">
        <v>4152</v>
      </c>
      <c r="B760" s="16" t="s">
        <v>35</v>
      </c>
      <c r="C760" s="22">
        <v>45613.0</v>
      </c>
      <c r="D760" s="23">
        <v>8.627274E7</v>
      </c>
      <c r="E760" s="16" t="s">
        <v>4153</v>
      </c>
      <c r="F760" s="16" t="s">
        <v>4146</v>
      </c>
      <c r="G760" s="16" t="s">
        <v>305</v>
      </c>
      <c r="H760" s="23">
        <v>1.0</v>
      </c>
      <c r="I760" s="23">
        <v>24.5</v>
      </c>
      <c r="J760" s="23">
        <v>24.5</v>
      </c>
      <c r="N760" s="23">
        <v>0.0</v>
      </c>
      <c r="R760" s="23">
        <v>0.0</v>
      </c>
      <c r="V760" s="23">
        <v>0.0</v>
      </c>
      <c r="Z760" s="23">
        <v>0.0</v>
      </c>
      <c r="AD760" s="23">
        <v>0.0</v>
      </c>
      <c r="AH760" s="23">
        <v>0.0</v>
      </c>
      <c r="AL760" s="23">
        <v>0.0</v>
      </c>
      <c r="AP760" s="23">
        <v>0.0</v>
      </c>
      <c r="AT760" s="23">
        <v>0.0</v>
      </c>
      <c r="AX760" s="23">
        <v>0.0</v>
      </c>
      <c r="BF760" s="23">
        <v>0.0</v>
      </c>
      <c r="BJ760" s="23">
        <v>0.0</v>
      </c>
      <c r="BN760" s="23">
        <v>0.0</v>
      </c>
      <c r="BO760" s="23">
        <v>24.5</v>
      </c>
      <c r="BP760" s="16" t="s">
        <v>4154</v>
      </c>
      <c r="BQ760" s="16" t="b">
        <v>1</v>
      </c>
      <c r="BR760" s="23">
        <v>24.5</v>
      </c>
      <c r="BT760" s="16" t="b">
        <v>0</v>
      </c>
      <c r="BU760" s="16" t="s">
        <v>546</v>
      </c>
    </row>
    <row r="761">
      <c r="A761" s="16" t="s">
        <v>4156</v>
      </c>
      <c r="B761" s="16" t="s">
        <v>35</v>
      </c>
      <c r="C761" s="22">
        <v>45613.0</v>
      </c>
      <c r="D761" s="16" t="s">
        <v>543</v>
      </c>
      <c r="E761" s="16" t="s">
        <v>4158</v>
      </c>
      <c r="F761" s="16" t="s">
        <v>171</v>
      </c>
      <c r="G761" s="16">
        <v>1.2539885E7</v>
      </c>
      <c r="H761" s="23">
        <v>1.0</v>
      </c>
      <c r="I761" s="23">
        <v>475.0</v>
      </c>
      <c r="J761" s="23">
        <v>475.0</v>
      </c>
      <c r="N761" s="23">
        <v>0.0</v>
      </c>
      <c r="R761" s="23">
        <v>0.0</v>
      </c>
      <c r="V761" s="23">
        <v>0.0</v>
      </c>
      <c r="Z761" s="23">
        <v>0.0</v>
      </c>
      <c r="AD761" s="23">
        <v>0.0</v>
      </c>
      <c r="AH761" s="23">
        <v>0.0</v>
      </c>
      <c r="AL761" s="23">
        <v>0.0</v>
      </c>
      <c r="AP761" s="23">
        <v>0.0</v>
      </c>
      <c r="AT761" s="23">
        <v>0.0</v>
      </c>
      <c r="AX761" s="23">
        <v>0.0</v>
      </c>
      <c r="BF761" s="23">
        <v>0.0</v>
      </c>
      <c r="BJ761" s="23">
        <v>0.0</v>
      </c>
      <c r="BN761" s="23">
        <v>0.0</v>
      </c>
      <c r="BO761" s="23">
        <v>475.0</v>
      </c>
      <c r="BP761" s="16" t="s">
        <v>4159</v>
      </c>
      <c r="BQ761" s="16" t="b">
        <v>1</v>
      </c>
      <c r="BR761" s="23">
        <v>475.0</v>
      </c>
      <c r="BT761" s="16" t="b">
        <v>0</v>
      </c>
      <c r="BU761" s="16" t="s">
        <v>546</v>
      </c>
    </row>
    <row r="762">
      <c r="A762" s="16" t="s">
        <v>4161</v>
      </c>
      <c r="B762" s="16" t="s">
        <v>35</v>
      </c>
      <c r="C762" s="22">
        <v>45614.0</v>
      </c>
      <c r="D762" s="16" t="s">
        <v>353</v>
      </c>
      <c r="E762" s="16" t="s">
        <v>4163</v>
      </c>
      <c r="F762" s="16" t="s">
        <v>4165</v>
      </c>
      <c r="G762" s="16" t="s">
        <v>4176</v>
      </c>
      <c r="H762" s="23">
        <v>1.0</v>
      </c>
      <c r="I762" s="23">
        <v>277.63</v>
      </c>
      <c r="J762" s="23">
        <v>277.63</v>
      </c>
      <c r="N762" s="23">
        <v>0.0</v>
      </c>
      <c r="R762" s="23">
        <v>0.0</v>
      </c>
      <c r="V762" s="23">
        <v>0.0</v>
      </c>
      <c r="Z762" s="23">
        <v>0.0</v>
      </c>
      <c r="AD762" s="23">
        <v>0.0</v>
      </c>
      <c r="AH762" s="23">
        <v>0.0</v>
      </c>
      <c r="AL762" s="23">
        <v>0.0</v>
      </c>
      <c r="AP762" s="23">
        <v>0.0</v>
      </c>
      <c r="AT762" s="23">
        <v>0.0</v>
      </c>
      <c r="AX762" s="23">
        <v>0.0</v>
      </c>
      <c r="BF762" s="23">
        <v>0.0</v>
      </c>
      <c r="BJ762" s="23">
        <v>0.0</v>
      </c>
      <c r="BN762" s="23">
        <v>0.0</v>
      </c>
      <c r="BO762" s="23">
        <v>277.63</v>
      </c>
      <c r="BP762" s="16" t="s">
        <v>4164</v>
      </c>
      <c r="BQ762" s="16" t="b">
        <v>1</v>
      </c>
      <c r="BR762" s="23">
        <v>277.63</v>
      </c>
      <c r="BS762" s="16" t="s">
        <v>4049</v>
      </c>
      <c r="BT762" s="16" t="b">
        <v>1</v>
      </c>
      <c r="BU762" s="16" t="s">
        <v>546</v>
      </c>
    </row>
    <row r="763">
      <c r="A763" s="16" t="s">
        <v>4167</v>
      </c>
      <c r="B763" s="16" t="s">
        <v>35</v>
      </c>
      <c r="C763" s="22">
        <v>45615.0</v>
      </c>
      <c r="D763" s="16" t="s">
        <v>543</v>
      </c>
      <c r="E763" s="16" t="s">
        <v>4168</v>
      </c>
      <c r="F763" s="16" t="s">
        <v>171</v>
      </c>
      <c r="G763" s="16">
        <v>1.2539885E7</v>
      </c>
      <c r="H763" s="23">
        <v>1.0</v>
      </c>
      <c r="I763" s="23">
        <v>175.0</v>
      </c>
      <c r="J763" s="23">
        <v>175.0</v>
      </c>
      <c r="N763" s="23">
        <v>0.0</v>
      </c>
      <c r="R763" s="23">
        <v>0.0</v>
      </c>
      <c r="V763" s="23">
        <v>0.0</v>
      </c>
      <c r="Z763" s="23">
        <v>0.0</v>
      </c>
      <c r="AD763" s="23">
        <v>0.0</v>
      </c>
      <c r="AH763" s="23">
        <v>0.0</v>
      </c>
      <c r="AL763" s="23">
        <v>0.0</v>
      </c>
      <c r="AP763" s="23">
        <v>0.0</v>
      </c>
      <c r="AT763" s="23">
        <v>0.0</v>
      </c>
      <c r="AX763" s="23">
        <v>0.0</v>
      </c>
      <c r="BF763" s="23">
        <v>0.0</v>
      </c>
      <c r="BJ763" s="23">
        <v>0.0</v>
      </c>
      <c r="BN763" s="23">
        <v>0.0</v>
      </c>
      <c r="BO763" s="23">
        <v>175.0</v>
      </c>
      <c r="BP763" s="16" t="s">
        <v>4170</v>
      </c>
      <c r="BQ763" s="16" t="b">
        <v>1</v>
      </c>
      <c r="BR763" s="23">
        <v>175.0</v>
      </c>
      <c r="BT763" s="16" t="b">
        <v>0</v>
      </c>
      <c r="BU763" s="16" t="s">
        <v>546</v>
      </c>
    </row>
    <row r="764">
      <c r="A764" s="16" t="s">
        <v>4172</v>
      </c>
      <c r="B764" s="16" t="s">
        <v>35</v>
      </c>
      <c r="C764" s="22">
        <v>45615.0</v>
      </c>
      <c r="D764" s="16" t="s">
        <v>112</v>
      </c>
      <c r="E764" s="16" t="s">
        <v>4173</v>
      </c>
      <c r="F764" s="16" t="s">
        <v>157</v>
      </c>
      <c r="G764" s="16" t="s">
        <v>159</v>
      </c>
      <c r="H764" s="23">
        <v>1.0</v>
      </c>
      <c r="I764" s="23">
        <v>240.0</v>
      </c>
      <c r="J764" s="23">
        <v>240.0</v>
      </c>
      <c r="K764" s="16" t="s">
        <v>155</v>
      </c>
      <c r="L764" s="23">
        <v>1.0</v>
      </c>
      <c r="M764" s="23">
        <v>46.04</v>
      </c>
      <c r="N764" s="23">
        <v>46.04</v>
      </c>
      <c r="O764" s="16" t="s">
        <v>152</v>
      </c>
      <c r="P764" s="23">
        <v>1.0</v>
      </c>
      <c r="Q764" s="23">
        <v>8.42</v>
      </c>
      <c r="R764" s="23">
        <v>8.42</v>
      </c>
      <c r="V764" s="23">
        <v>0.0</v>
      </c>
      <c r="Z764" s="23">
        <v>0.0</v>
      </c>
      <c r="AD764" s="23">
        <v>0.0</v>
      </c>
      <c r="AH764" s="23">
        <v>0.0</v>
      </c>
      <c r="AL764" s="23">
        <v>0.0</v>
      </c>
      <c r="AP764" s="23">
        <v>0.0</v>
      </c>
      <c r="AT764" s="23">
        <v>0.0</v>
      </c>
      <c r="AX764" s="23">
        <v>0.0</v>
      </c>
      <c r="BF764" s="23">
        <v>0.0</v>
      </c>
      <c r="BJ764" s="23">
        <v>0.0</v>
      </c>
      <c r="BN764" s="23">
        <v>0.0</v>
      </c>
      <c r="BO764" s="23">
        <v>294.46</v>
      </c>
      <c r="BP764" s="16" t="s">
        <v>4174</v>
      </c>
      <c r="BQ764" s="16" t="b">
        <v>1</v>
      </c>
      <c r="BR764" s="23">
        <v>294.46</v>
      </c>
      <c r="BT764" s="16" t="b">
        <v>0</v>
      </c>
      <c r="BU764" s="16" t="s">
        <v>546</v>
      </c>
    </row>
    <row r="765">
      <c r="A765" s="16" t="s">
        <v>4177</v>
      </c>
      <c r="B765" s="16" t="s">
        <v>35</v>
      </c>
      <c r="C765" s="22">
        <v>45620.0</v>
      </c>
      <c r="F765" s="16" t="s">
        <v>4179</v>
      </c>
      <c r="G765" s="16" t="s">
        <v>1239</v>
      </c>
      <c r="H765" s="16">
        <v>1.0</v>
      </c>
      <c r="I765" s="23">
        <v>1011.66</v>
      </c>
      <c r="J765" s="23">
        <v>1011.66</v>
      </c>
      <c r="BO765" s="23">
        <v>1011.66</v>
      </c>
      <c r="BR765" s="23">
        <v>1011.66</v>
      </c>
      <c r="BU765" s="16" t="s">
        <v>539</v>
      </c>
      <c r="BV765" s="16" t="s">
        <v>658</v>
      </c>
    </row>
    <row r="766">
      <c r="A766" s="16" t="s">
        <v>4182</v>
      </c>
      <c r="B766" s="16" t="s">
        <v>35</v>
      </c>
      <c r="C766" s="22">
        <v>45620.0</v>
      </c>
      <c r="F766" s="16" t="s">
        <v>4179</v>
      </c>
      <c r="G766" s="16" t="s">
        <v>1239</v>
      </c>
      <c r="H766" s="16">
        <v>1.0</v>
      </c>
      <c r="I766" s="23">
        <v>957.0</v>
      </c>
      <c r="J766" s="23">
        <v>957.0</v>
      </c>
      <c r="BO766" s="23">
        <v>957.0</v>
      </c>
      <c r="BR766" s="23">
        <v>957.0</v>
      </c>
      <c r="BU766" s="16" t="s">
        <v>539</v>
      </c>
      <c r="BV766" s="16" t="s">
        <v>624</v>
      </c>
    </row>
    <row r="767">
      <c r="A767" s="16" t="s">
        <v>4185</v>
      </c>
      <c r="B767" s="16" t="s">
        <v>35</v>
      </c>
      <c r="C767" s="22">
        <v>45620.0</v>
      </c>
      <c r="F767" s="16" t="s">
        <v>4179</v>
      </c>
      <c r="G767" s="16" t="s">
        <v>1239</v>
      </c>
      <c r="H767" s="16">
        <v>1.0</v>
      </c>
      <c r="I767" s="23">
        <v>665.11</v>
      </c>
      <c r="J767" s="23">
        <v>665.11</v>
      </c>
      <c r="BO767" s="23">
        <v>665.11</v>
      </c>
      <c r="BR767" s="23">
        <v>665.11</v>
      </c>
      <c r="BU767" s="16" t="s">
        <v>539</v>
      </c>
      <c r="BV767" s="16" t="s">
        <v>2052</v>
      </c>
    </row>
    <row r="768">
      <c r="A768" s="16" t="s">
        <v>4189</v>
      </c>
      <c r="B768" s="16" t="s">
        <v>35</v>
      </c>
      <c r="C768" s="22">
        <v>45620.0</v>
      </c>
      <c r="F768" s="16" t="s">
        <v>4179</v>
      </c>
      <c r="G768" s="16" t="s">
        <v>1239</v>
      </c>
      <c r="H768" s="16">
        <v>1.0</v>
      </c>
      <c r="I768" s="23">
        <v>345.83</v>
      </c>
      <c r="J768" s="23">
        <v>345.83</v>
      </c>
      <c r="BO768" s="23">
        <v>345.83</v>
      </c>
      <c r="BR768" s="23">
        <v>345.83</v>
      </c>
      <c r="BU768" s="16" t="s">
        <v>539</v>
      </c>
      <c r="BV768" s="16" t="s">
        <v>227</v>
      </c>
    </row>
    <row r="769">
      <c r="A769" s="16" t="s">
        <v>4192</v>
      </c>
      <c r="B769" s="16" t="s">
        <v>35</v>
      </c>
      <c r="C769" s="22">
        <v>45620.0</v>
      </c>
      <c r="F769" s="16" t="s">
        <v>4179</v>
      </c>
      <c r="G769" s="16" t="s">
        <v>1239</v>
      </c>
      <c r="H769" s="16">
        <v>1.0</v>
      </c>
      <c r="I769" s="23">
        <v>1872.5</v>
      </c>
      <c r="J769" s="23">
        <v>1872.5</v>
      </c>
      <c r="BO769" s="23">
        <v>1872.5</v>
      </c>
      <c r="BR769" s="23">
        <v>1872.5</v>
      </c>
      <c r="BU769" s="16" t="s">
        <v>539</v>
      </c>
      <c r="BV769" s="16" t="s">
        <v>682</v>
      </c>
    </row>
    <row r="770">
      <c r="A770" s="16" t="s">
        <v>4196</v>
      </c>
      <c r="B770" s="16" t="s">
        <v>35</v>
      </c>
      <c r="C770" s="22">
        <v>45601.0</v>
      </c>
      <c r="D770" s="16" t="s">
        <v>233</v>
      </c>
      <c r="E770" s="16" t="s">
        <v>4198</v>
      </c>
      <c r="F770" s="16" t="s">
        <v>4200</v>
      </c>
      <c r="G770" s="16" t="s">
        <v>1197</v>
      </c>
      <c r="H770" s="23">
        <v>1.0</v>
      </c>
      <c r="I770" s="23">
        <v>40.0</v>
      </c>
      <c r="J770" s="23">
        <v>40.0</v>
      </c>
      <c r="K770" s="16" t="s">
        <v>1195</v>
      </c>
      <c r="L770" s="23">
        <v>1.0</v>
      </c>
      <c r="M770" s="23">
        <v>60.0</v>
      </c>
      <c r="N770" s="23">
        <v>60.0</v>
      </c>
      <c r="O770" s="16" t="s">
        <v>5215</v>
      </c>
      <c r="P770" s="23">
        <v>1.0</v>
      </c>
      <c r="Q770" s="23">
        <v>41.88</v>
      </c>
      <c r="R770" s="23">
        <v>41.88</v>
      </c>
      <c r="S770" s="16" t="s">
        <v>249</v>
      </c>
      <c r="T770" s="23">
        <v>1.0</v>
      </c>
      <c r="U770" s="23">
        <v>100.0</v>
      </c>
      <c r="V770" s="23">
        <v>100.0</v>
      </c>
      <c r="W770" s="16" t="s">
        <v>5563</v>
      </c>
      <c r="X770" s="23">
        <v>1.0</v>
      </c>
      <c r="Y770" s="23">
        <v>60.47</v>
      </c>
      <c r="Z770" s="23">
        <v>60.47</v>
      </c>
      <c r="AD770" s="23">
        <v>0.0</v>
      </c>
      <c r="AH770" s="23">
        <v>0.0</v>
      </c>
      <c r="AL770" s="23">
        <v>0.0</v>
      </c>
      <c r="AP770" s="23">
        <v>0.0</v>
      </c>
      <c r="AT770" s="23">
        <v>0.0</v>
      </c>
      <c r="AX770" s="23">
        <v>0.0</v>
      </c>
      <c r="BF770" s="23">
        <v>0.0</v>
      </c>
      <c r="BJ770" s="23">
        <v>0.0</v>
      </c>
      <c r="BN770" s="23">
        <v>0.0</v>
      </c>
      <c r="BO770" s="23">
        <v>302.35</v>
      </c>
      <c r="BP770" s="16" t="s">
        <v>4199</v>
      </c>
      <c r="BQ770" s="16" t="b">
        <v>1</v>
      </c>
      <c r="BR770" s="23">
        <v>302.35</v>
      </c>
      <c r="BS770" s="16" t="s">
        <v>4049</v>
      </c>
      <c r="BT770" s="16" t="b">
        <v>1</v>
      </c>
      <c r="BU770" s="16" t="s">
        <v>546</v>
      </c>
    </row>
    <row r="771">
      <c r="A771" s="16" t="s">
        <v>4205</v>
      </c>
      <c r="B771" s="16" t="s">
        <v>35</v>
      </c>
      <c r="C771" s="22">
        <v>45603.0</v>
      </c>
      <c r="D771" s="16" t="s">
        <v>2644</v>
      </c>
      <c r="E771" s="16" t="s">
        <v>4208</v>
      </c>
      <c r="F771" s="16" t="s">
        <v>767</v>
      </c>
      <c r="G771" s="16">
        <v>7.5375964E7</v>
      </c>
      <c r="H771" s="23">
        <v>1.0</v>
      </c>
      <c r="I771" s="23">
        <v>18.0</v>
      </c>
      <c r="J771" s="23">
        <v>18.0</v>
      </c>
      <c r="K771" s="16" t="s">
        <v>1384</v>
      </c>
      <c r="L771" s="23">
        <v>1.0</v>
      </c>
      <c r="M771" s="23">
        <v>18.0</v>
      </c>
      <c r="N771" s="23">
        <v>18.0</v>
      </c>
      <c r="O771" s="16" t="s">
        <v>1404</v>
      </c>
      <c r="P771" s="23">
        <v>1.0</v>
      </c>
      <c r="Q771" s="23">
        <v>18.0</v>
      </c>
      <c r="R771" s="23">
        <v>18.0</v>
      </c>
      <c r="S771" s="16" t="s">
        <v>1074</v>
      </c>
      <c r="T771" s="23">
        <v>2.0</v>
      </c>
      <c r="U771" s="23">
        <v>38.0</v>
      </c>
      <c r="V771" s="23">
        <v>76.0</v>
      </c>
      <c r="W771" s="16" t="s">
        <v>1387</v>
      </c>
      <c r="X771" s="23">
        <v>1.0</v>
      </c>
      <c r="Y771" s="23">
        <v>45.0</v>
      </c>
      <c r="Z771" s="23">
        <v>45.0</v>
      </c>
      <c r="AA771" s="16" t="s">
        <v>1075</v>
      </c>
      <c r="AB771" s="23">
        <v>1.0</v>
      </c>
      <c r="AC771" s="23">
        <v>19.0</v>
      </c>
      <c r="AD771" s="23">
        <v>19.0</v>
      </c>
      <c r="AE771" s="16" t="s">
        <v>1077</v>
      </c>
      <c r="AF771" s="23">
        <v>2.0</v>
      </c>
      <c r="AG771" s="23">
        <v>25.0</v>
      </c>
      <c r="AH771" s="23">
        <v>50.0</v>
      </c>
      <c r="AI771" s="16" t="s">
        <v>1079</v>
      </c>
      <c r="AJ771" s="23">
        <v>25.0</v>
      </c>
      <c r="AK771" s="23">
        <v>17.5</v>
      </c>
      <c r="AL771" s="23">
        <v>437.5</v>
      </c>
      <c r="AM771" s="16" t="s">
        <v>1077</v>
      </c>
      <c r="AN771" s="23">
        <v>2.0</v>
      </c>
      <c r="AO771" s="23">
        <v>25.0</v>
      </c>
      <c r="AP771" s="23">
        <v>50.0</v>
      </c>
      <c r="AQ771" s="16" t="s">
        <v>1081</v>
      </c>
      <c r="AR771" s="23">
        <v>1.0</v>
      </c>
      <c r="AS771" s="23">
        <v>97.0</v>
      </c>
      <c r="AT771" s="23">
        <v>97.0</v>
      </c>
      <c r="AX771" s="23">
        <v>0.0</v>
      </c>
      <c r="BF771" s="23">
        <v>0.0</v>
      </c>
      <c r="BJ771" s="23">
        <v>0.0</v>
      </c>
      <c r="BN771" s="23">
        <v>0.0</v>
      </c>
      <c r="BO771" s="23">
        <v>828.5</v>
      </c>
      <c r="BP771" s="16" t="s">
        <v>4209</v>
      </c>
      <c r="BQ771" s="16" t="b">
        <v>1</v>
      </c>
      <c r="BR771" s="23">
        <v>828.5</v>
      </c>
      <c r="BT771" s="16" t="b">
        <v>0</v>
      </c>
      <c r="BU771" s="16" t="s">
        <v>546</v>
      </c>
    </row>
    <row r="772">
      <c r="A772" s="16" t="s">
        <v>4212</v>
      </c>
      <c r="B772" s="16" t="s">
        <v>35</v>
      </c>
      <c r="C772" s="22">
        <v>45607.0</v>
      </c>
      <c r="D772" s="16" t="s">
        <v>3716</v>
      </c>
      <c r="E772" s="16" t="s">
        <v>4214</v>
      </c>
      <c r="F772" s="16" t="s">
        <v>195</v>
      </c>
      <c r="G772" s="16" t="s">
        <v>1080</v>
      </c>
      <c r="H772" s="23">
        <v>1.0</v>
      </c>
      <c r="I772" s="23">
        <v>278.0</v>
      </c>
      <c r="J772" s="23">
        <v>278.0</v>
      </c>
      <c r="K772" s="16" t="s">
        <v>1427</v>
      </c>
      <c r="L772" s="23">
        <v>1.0</v>
      </c>
      <c r="M772" s="23">
        <v>51.8</v>
      </c>
      <c r="N772" s="23">
        <v>51.8</v>
      </c>
      <c r="R772" s="23">
        <v>0.0</v>
      </c>
      <c r="V772" s="23">
        <v>0.0</v>
      </c>
      <c r="Z772" s="23">
        <v>0.0</v>
      </c>
      <c r="AD772" s="23">
        <v>0.0</v>
      </c>
      <c r="AH772" s="23">
        <v>0.0</v>
      </c>
      <c r="AL772" s="23">
        <v>0.0</v>
      </c>
      <c r="AP772" s="23">
        <v>0.0</v>
      </c>
      <c r="AT772" s="23">
        <v>0.0</v>
      </c>
      <c r="AX772" s="23">
        <v>0.0</v>
      </c>
      <c r="BF772" s="23">
        <v>0.0</v>
      </c>
      <c r="BJ772" s="23">
        <v>0.0</v>
      </c>
      <c r="BN772" s="23">
        <v>0.0</v>
      </c>
      <c r="BO772" s="23">
        <v>329.8</v>
      </c>
      <c r="BP772" s="16" t="s">
        <v>4215</v>
      </c>
      <c r="BQ772" s="16" t="b">
        <v>1</v>
      </c>
      <c r="BR772" s="23">
        <v>329.8</v>
      </c>
      <c r="BT772" s="16" t="b">
        <v>0</v>
      </c>
      <c r="BU772" s="16" t="s">
        <v>546</v>
      </c>
    </row>
    <row r="773">
      <c r="A773" s="16" t="s">
        <v>4218</v>
      </c>
      <c r="B773" s="16" t="s">
        <v>35</v>
      </c>
      <c r="C773" s="22">
        <v>45610.0</v>
      </c>
      <c r="D773" s="16" t="s">
        <v>764</v>
      </c>
      <c r="E773" s="16" t="s">
        <v>4220</v>
      </c>
      <c r="F773" s="16" t="s">
        <v>195</v>
      </c>
      <c r="G773" s="16" t="s">
        <v>1073</v>
      </c>
      <c r="H773" s="23">
        <v>1.0</v>
      </c>
      <c r="I773" s="23">
        <v>19.25</v>
      </c>
      <c r="J773" s="23">
        <v>19.25</v>
      </c>
      <c r="K773" s="16" t="s">
        <v>1085</v>
      </c>
      <c r="L773" s="23">
        <v>1.0</v>
      </c>
      <c r="M773" s="23">
        <v>18.0</v>
      </c>
      <c r="N773" s="23">
        <v>18.0</v>
      </c>
      <c r="O773" s="16" t="s">
        <v>1384</v>
      </c>
      <c r="P773" s="23">
        <v>1.0</v>
      </c>
      <c r="Q773" s="23">
        <v>18.0</v>
      </c>
      <c r="R773" s="23">
        <v>18.0</v>
      </c>
      <c r="S773" s="16" t="s">
        <v>1074</v>
      </c>
      <c r="T773" s="23">
        <v>4.0</v>
      </c>
      <c r="U773" s="23">
        <v>38.0</v>
      </c>
      <c r="V773" s="23">
        <v>152.0</v>
      </c>
      <c r="W773" s="16" t="s">
        <v>1075</v>
      </c>
      <c r="X773" s="23">
        <v>3.0</v>
      </c>
      <c r="Y773" s="23">
        <v>19.0</v>
      </c>
      <c r="Z773" s="23">
        <v>57.0</v>
      </c>
      <c r="AA773" s="16" t="s">
        <v>1077</v>
      </c>
      <c r="AB773" s="23">
        <v>3.0</v>
      </c>
      <c r="AC773" s="23">
        <v>25.0</v>
      </c>
      <c r="AD773" s="23">
        <v>75.0</v>
      </c>
      <c r="AE773" s="16" t="s">
        <v>1079</v>
      </c>
      <c r="AF773" s="23">
        <v>10.0</v>
      </c>
      <c r="AG773" s="23">
        <v>17.0</v>
      </c>
      <c r="AH773" s="23">
        <v>170.0</v>
      </c>
      <c r="AI773" s="16" t="s">
        <v>1081</v>
      </c>
      <c r="AJ773" s="23">
        <v>2.0</v>
      </c>
      <c r="AK773" s="23">
        <v>46.0</v>
      </c>
      <c r="AL773" s="23">
        <v>92.0</v>
      </c>
      <c r="AM773" s="16" t="s">
        <v>1404</v>
      </c>
      <c r="AN773" s="23">
        <v>1.0</v>
      </c>
      <c r="AO773" s="23">
        <v>31.0</v>
      </c>
      <c r="AP773" s="23">
        <v>31.0</v>
      </c>
      <c r="AQ773" s="16" t="s">
        <v>1387</v>
      </c>
      <c r="AR773" s="23">
        <v>1.0</v>
      </c>
      <c r="AS773" s="23">
        <v>50.0</v>
      </c>
      <c r="AT773" s="23">
        <v>50.0</v>
      </c>
      <c r="AU773" s="16" t="s">
        <v>5605</v>
      </c>
      <c r="AV773" s="23">
        <v>1.0</v>
      </c>
      <c r="AW773" s="23">
        <v>50.0</v>
      </c>
      <c r="AX773" s="23">
        <v>50.0</v>
      </c>
      <c r="AY773" s="16" t="s">
        <v>338</v>
      </c>
      <c r="AZ773" s="23">
        <v>1.0</v>
      </c>
      <c r="BA773" s="23">
        <v>100.0</v>
      </c>
      <c r="BB773" s="23">
        <v>100.0</v>
      </c>
      <c r="BF773" s="23">
        <v>0.0</v>
      </c>
      <c r="BJ773" s="23">
        <v>0.0</v>
      </c>
      <c r="BN773" s="23">
        <v>0.0</v>
      </c>
      <c r="BO773" s="23">
        <v>832.25</v>
      </c>
      <c r="BP773" s="16" t="s">
        <v>4221</v>
      </c>
      <c r="BQ773" s="16" t="b">
        <v>1</v>
      </c>
      <c r="BR773" s="23">
        <v>832.25</v>
      </c>
      <c r="BT773" s="16" t="b">
        <v>0</v>
      </c>
      <c r="BU773" s="16" t="s">
        <v>546</v>
      </c>
    </row>
    <row r="774">
      <c r="A774" s="16" t="s">
        <v>4225</v>
      </c>
      <c r="B774" s="16" t="s">
        <v>35</v>
      </c>
      <c r="C774" s="22">
        <v>45616.0</v>
      </c>
      <c r="D774" s="16" t="s">
        <v>420</v>
      </c>
      <c r="E774" s="16" t="s">
        <v>4227</v>
      </c>
      <c r="F774" s="16" t="s">
        <v>4230</v>
      </c>
      <c r="G774" s="16" t="s">
        <v>249</v>
      </c>
      <c r="H774" s="23">
        <v>2.0</v>
      </c>
      <c r="I774" s="23">
        <v>200.0</v>
      </c>
      <c r="J774" s="23">
        <v>400.0</v>
      </c>
      <c r="K774" s="16" t="s">
        <v>797</v>
      </c>
      <c r="L774" s="23">
        <v>2.0</v>
      </c>
      <c r="M774" s="23">
        <v>250.0</v>
      </c>
      <c r="N774" s="23">
        <v>500.0</v>
      </c>
      <c r="O774" s="16" t="s">
        <v>1350</v>
      </c>
      <c r="P774" s="23">
        <v>1.0</v>
      </c>
      <c r="Q774" s="23">
        <v>150.0</v>
      </c>
      <c r="R774" s="23">
        <v>150.0</v>
      </c>
      <c r="S774" s="16" t="s">
        <v>802</v>
      </c>
      <c r="T774" s="23">
        <v>1.0</v>
      </c>
      <c r="U774" s="23">
        <v>1000.66</v>
      </c>
      <c r="V774" s="23">
        <v>1000.66</v>
      </c>
      <c r="W774" s="16" t="s">
        <v>794</v>
      </c>
      <c r="X774" s="23">
        <v>1.0</v>
      </c>
      <c r="Y774" s="23">
        <v>202.0</v>
      </c>
      <c r="Z774" s="23">
        <v>202.0</v>
      </c>
      <c r="AD774" s="23">
        <v>0.0</v>
      </c>
      <c r="AH774" s="23">
        <v>0.0</v>
      </c>
      <c r="AL774" s="23">
        <v>0.0</v>
      </c>
      <c r="AP774" s="23">
        <v>0.0</v>
      </c>
      <c r="AT774" s="23">
        <v>0.0</v>
      </c>
      <c r="AX774" s="23">
        <v>0.0</v>
      </c>
      <c r="BF774" s="23">
        <v>0.0</v>
      </c>
      <c r="BJ774" s="23">
        <v>0.0</v>
      </c>
      <c r="BN774" s="23">
        <v>0.0</v>
      </c>
      <c r="BO774" s="23">
        <v>2252.66</v>
      </c>
      <c r="BP774" s="16" t="s">
        <v>4228</v>
      </c>
      <c r="BQ774" s="16" t="b">
        <v>1</v>
      </c>
      <c r="BR774" s="23">
        <v>2252.66</v>
      </c>
      <c r="BT774" s="16" t="b">
        <v>0</v>
      </c>
      <c r="BU774" s="16" t="s">
        <v>546</v>
      </c>
      <c r="BW774" s="16" t="s">
        <v>4231</v>
      </c>
    </row>
    <row r="775">
      <c r="A775" s="16" t="s">
        <v>4233</v>
      </c>
      <c r="B775" s="16" t="s">
        <v>35</v>
      </c>
      <c r="C775" s="22">
        <v>45618.0</v>
      </c>
      <c r="D775" s="16" t="s">
        <v>543</v>
      </c>
      <c r="E775" s="16" t="s">
        <v>4235</v>
      </c>
      <c r="F775" s="16" t="s">
        <v>171</v>
      </c>
      <c r="G775" s="16">
        <v>1.2539885E7</v>
      </c>
      <c r="H775" s="23">
        <v>1.0</v>
      </c>
      <c r="I775" s="23">
        <v>250.0</v>
      </c>
      <c r="J775" s="23">
        <v>250.0</v>
      </c>
      <c r="N775" s="23">
        <v>0.0</v>
      </c>
      <c r="R775" s="23">
        <v>0.0</v>
      </c>
      <c r="V775" s="23">
        <v>0.0</v>
      </c>
      <c r="Z775" s="23">
        <v>0.0</v>
      </c>
      <c r="AD775" s="23">
        <v>0.0</v>
      </c>
      <c r="AH775" s="23">
        <v>0.0</v>
      </c>
      <c r="AL775" s="23">
        <v>0.0</v>
      </c>
      <c r="AP775" s="23">
        <v>0.0</v>
      </c>
      <c r="AT775" s="23">
        <v>0.0</v>
      </c>
      <c r="AX775" s="23">
        <v>0.0</v>
      </c>
      <c r="BF775" s="23">
        <v>0.0</v>
      </c>
      <c r="BJ775" s="23">
        <v>0.0</v>
      </c>
      <c r="BN775" s="23">
        <v>0.0</v>
      </c>
      <c r="BO775" s="23">
        <v>250.0</v>
      </c>
      <c r="BP775" s="16" t="s">
        <v>4236</v>
      </c>
      <c r="BQ775" s="16" t="b">
        <v>1</v>
      </c>
      <c r="BR775" s="23">
        <v>250.0</v>
      </c>
      <c r="BT775" s="16" t="b">
        <v>0</v>
      </c>
      <c r="BU775" s="16" t="s">
        <v>546</v>
      </c>
    </row>
    <row r="776">
      <c r="A776" s="16" t="s">
        <v>4239</v>
      </c>
      <c r="B776" s="16" t="s">
        <v>35</v>
      </c>
      <c r="C776" s="22">
        <v>45619.0</v>
      </c>
      <c r="D776" s="16" t="s">
        <v>112</v>
      </c>
      <c r="E776" s="16" t="s">
        <v>4240</v>
      </c>
      <c r="F776" s="16" t="s">
        <v>157</v>
      </c>
      <c r="G776" s="16" t="s">
        <v>159</v>
      </c>
      <c r="H776" s="23">
        <v>1.0</v>
      </c>
      <c r="I776" s="23">
        <v>180.0</v>
      </c>
      <c r="J776" s="23">
        <v>180.0</v>
      </c>
      <c r="K776" s="16" t="s">
        <v>155</v>
      </c>
      <c r="L776" s="23">
        <v>1.0</v>
      </c>
      <c r="M776" s="23">
        <v>31.0</v>
      </c>
      <c r="N776" s="23">
        <v>31.0</v>
      </c>
      <c r="O776" s="16" t="s">
        <v>152</v>
      </c>
      <c r="P776" s="23">
        <v>1.0</v>
      </c>
      <c r="Q776" s="23">
        <v>15.04</v>
      </c>
      <c r="R776" s="23">
        <v>15.04</v>
      </c>
      <c r="S776" s="16" t="s">
        <v>226</v>
      </c>
      <c r="T776" s="23">
        <v>1.0</v>
      </c>
      <c r="U776" s="23">
        <v>54.0</v>
      </c>
      <c r="V776" s="23">
        <v>54.0</v>
      </c>
      <c r="Z776" s="23">
        <v>0.0</v>
      </c>
      <c r="AD776" s="23">
        <v>0.0</v>
      </c>
      <c r="AH776" s="23">
        <v>0.0</v>
      </c>
      <c r="AL776" s="23">
        <v>0.0</v>
      </c>
      <c r="AP776" s="23">
        <v>0.0</v>
      </c>
      <c r="AT776" s="23">
        <v>0.0</v>
      </c>
      <c r="AX776" s="23">
        <v>0.0</v>
      </c>
      <c r="BF776" s="23">
        <v>0.0</v>
      </c>
      <c r="BJ776" s="23">
        <v>0.0</v>
      </c>
      <c r="BN776" s="23">
        <v>0.0</v>
      </c>
      <c r="BO776" s="23">
        <v>280.04</v>
      </c>
      <c r="BP776" s="16" t="s">
        <v>4241</v>
      </c>
      <c r="BQ776" s="16" t="b">
        <v>1</v>
      </c>
      <c r="BR776" s="23">
        <v>280.04</v>
      </c>
      <c r="BT776" s="16" t="b">
        <v>0</v>
      </c>
      <c r="BU776" s="16" t="s">
        <v>546</v>
      </c>
    </row>
    <row r="777">
      <c r="A777" s="16" t="s">
        <v>4244</v>
      </c>
      <c r="B777" s="16" t="s">
        <v>35</v>
      </c>
      <c r="C777" s="22">
        <v>45619.0</v>
      </c>
      <c r="D777" s="16" t="s">
        <v>1807</v>
      </c>
      <c r="E777" s="16" t="s">
        <v>4246</v>
      </c>
      <c r="F777" s="16" t="s">
        <v>4248</v>
      </c>
      <c r="G777" s="16" t="s">
        <v>305</v>
      </c>
      <c r="H777" s="23">
        <v>1.0</v>
      </c>
      <c r="I777" s="23">
        <v>115.19</v>
      </c>
      <c r="J777" s="23">
        <v>115.19</v>
      </c>
      <c r="N777" s="23">
        <v>0.0</v>
      </c>
      <c r="R777" s="23">
        <v>0.0</v>
      </c>
      <c r="V777" s="23">
        <v>0.0</v>
      </c>
      <c r="Z777" s="23">
        <v>0.0</v>
      </c>
      <c r="AD777" s="23">
        <v>0.0</v>
      </c>
      <c r="AH777" s="23">
        <v>0.0</v>
      </c>
      <c r="AL777" s="23">
        <v>0.0</v>
      </c>
      <c r="AP777" s="23">
        <v>0.0</v>
      </c>
      <c r="AT777" s="23">
        <v>0.0</v>
      </c>
      <c r="AX777" s="23">
        <v>0.0</v>
      </c>
      <c r="BF777" s="23">
        <v>0.0</v>
      </c>
      <c r="BJ777" s="23">
        <v>0.0</v>
      </c>
      <c r="BN777" s="23">
        <v>0.0</v>
      </c>
      <c r="BO777" s="23">
        <v>115.19</v>
      </c>
      <c r="BP777" s="16" t="s">
        <v>4247</v>
      </c>
      <c r="BQ777" s="16" t="b">
        <v>1</v>
      </c>
      <c r="BR777" s="23">
        <v>115.19</v>
      </c>
      <c r="BS777" s="16" t="s">
        <v>4250</v>
      </c>
      <c r="BT777" s="16" t="b">
        <v>1</v>
      </c>
      <c r="BU777" s="16" t="s">
        <v>546</v>
      </c>
    </row>
    <row r="778">
      <c r="A778" s="16" t="s">
        <v>4252</v>
      </c>
      <c r="B778" s="16" t="s">
        <v>35</v>
      </c>
      <c r="C778" s="22">
        <v>45619.0</v>
      </c>
      <c r="D778" s="16" t="s">
        <v>286</v>
      </c>
      <c r="E778" s="16" t="s">
        <v>4254</v>
      </c>
      <c r="F778" s="16" t="s">
        <v>456</v>
      </c>
      <c r="G778" s="16" t="s">
        <v>854</v>
      </c>
      <c r="H778" s="23">
        <v>1.0</v>
      </c>
      <c r="I778" s="23">
        <v>19.99</v>
      </c>
      <c r="J778" s="23">
        <v>19.99</v>
      </c>
      <c r="N778" s="23">
        <v>0.0</v>
      </c>
      <c r="R778" s="23">
        <v>0.0</v>
      </c>
      <c r="V778" s="23">
        <v>0.0</v>
      </c>
      <c r="Z778" s="23">
        <v>0.0</v>
      </c>
      <c r="AD778" s="23">
        <v>0.0</v>
      </c>
      <c r="AH778" s="23">
        <v>0.0</v>
      </c>
      <c r="AL778" s="23">
        <v>0.0</v>
      </c>
      <c r="AP778" s="23">
        <v>0.0</v>
      </c>
      <c r="AT778" s="23">
        <v>0.0</v>
      </c>
      <c r="AX778" s="23">
        <v>0.0</v>
      </c>
      <c r="BF778" s="23">
        <v>0.0</v>
      </c>
      <c r="BJ778" s="23">
        <v>0.0</v>
      </c>
      <c r="BN778" s="23">
        <v>0.0</v>
      </c>
      <c r="BO778" s="23">
        <v>19.99</v>
      </c>
      <c r="BP778" s="16" t="s">
        <v>4255</v>
      </c>
      <c r="BQ778" s="16" t="b">
        <v>1</v>
      </c>
      <c r="BR778" s="23">
        <v>19.99</v>
      </c>
      <c r="BS778" s="23">
        <v>1164855.0</v>
      </c>
      <c r="BT778" s="16" t="b">
        <v>1</v>
      </c>
      <c r="BU778" s="16" t="s">
        <v>546</v>
      </c>
    </row>
    <row r="779">
      <c r="A779" s="16" t="s">
        <v>4258</v>
      </c>
      <c r="B779" s="16" t="s">
        <v>35</v>
      </c>
      <c r="C779" s="22">
        <v>45621.0</v>
      </c>
      <c r="D779" s="16" t="s">
        <v>543</v>
      </c>
      <c r="E779" s="16" t="s">
        <v>4260</v>
      </c>
      <c r="F779" s="16" t="s">
        <v>157</v>
      </c>
      <c r="G779" s="16">
        <v>1.2539885E7</v>
      </c>
      <c r="H779" s="23">
        <v>1.0</v>
      </c>
      <c r="I779" s="23">
        <v>350.0</v>
      </c>
      <c r="J779" s="23">
        <v>350.0</v>
      </c>
      <c r="N779" s="23">
        <v>0.0</v>
      </c>
      <c r="R779" s="23">
        <v>0.0</v>
      </c>
      <c r="V779" s="23">
        <v>0.0</v>
      </c>
      <c r="Z779" s="23">
        <v>0.0</v>
      </c>
      <c r="AD779" s="23">
        <v>0.0</v>
      </c>
      <c r="AH779" s="23">
        <v>0.0</v>
      </c>
      <c r="AL779" s="23">
        <v>0.0</v>
      </c>
      <c r="AP779" s="23">
        <v>0.0</v>
      </c>
      <c r="AT779" s="23">
        <v>0.0</v>
      </c>
      <c r="AX779" s="23">
        <v>0.0</v>
      </c>
      <c r="BF779" s="23">
        <v>0.0</v>
      </c>
      <c r="BJ779" s="23">
        <v>0.0</v>
      </c>
      <c r="BN779" s="23">
        <v>0.0</v>
      </c>
      <c r="BO779" s="23">
        <v>350.0</v>
      </c>
      <c r="BP779" s="16" t="s">
        <v>4261</v>
      </c>
      <c r="BQ779" s="16" t="b">
        <v>1</v>
      </c>
      <c r="BR779" s="23">
        <v>350.0</v>
      </c>
      <c r="BT779" s="16" t="b">
        <v>0</v>
      </c>
      <c r="BU779" s="16" t="s">
        <v>546</v>
      </c>
    </row>
    <row r="780">
      <c r="A780" s="16" t="s">
        <v>4264</v>
      </c>
      <c r="B780" s="16" t="s">
        <v>35</v>
      </c>
      <c r="C780" s="22">
        <v>45617.0</v>
      </c>
      <c r="D780" s="16" t="s">
        <v>764</v>
      </c>
      <c r="E780" s="16" t="s">
        <v>4265</v>
      </c>
      <c r="F780" s="16" t="s">
        <v>195</v>
      </c>
      <c r="G780" s="16" t="s">
        <v>1073</v>
      </c>
      <c r="H780" s="23">
        <v>1.0</v>
      </c>
      <c r="I780" s="23">
        <v>18.0</v>
      </c>
      <c r="J780" s="23">
        <v>18.0</v>
      </c>
      <c r="K780" s="16" t="s">
        <v>1074</v>
      </c>
      <c r="L780" s="23">
        <v>5.0</v>
      </c>
      <c r="M780" s="23">
        <v>38.0</v>
      </c>
      <c r="N780" s="23">
        <v>190.0</v>
      </c>
      <c r="O780" s="16" t="s">
        <v>1075</v>
      </c>
      <c r="P780" s="23">
        <v>4.0</v>
      </c>
      <c r="Q780" s="23">
        <v>18.0</v>
      </c>
      <c r="R780" s="23">
        <v>72.0</v>
      </c>
      <c r="S780" s="16" t="s">
        <v>1081</v>
      </c>
      <c r="T780" s="23">
        <v>5.0</v>
      </c>
      <c r="U780" s="23">
        <v>46.0</v>
      </c>
      <c r="V780" s="23">
        <v>230.0</v>
      </c>
      <c r="W780" s="16">
        <v>7.5375964E7</v>
      </c>
      <c r="X780" s="23">
        <v>2.0</v>
      </c>
      <c r="Y780" s="23">
        <v>38.0</v>
      </c>
      <c r="Z780" s="23">
        <v>76.0</v>
      </c>
      <c r="AA780" s="16" t="s">
        <v>1091</v>
      </c>
      <c r="AB780" s="23">
        <v>1.0</v>
      </c>
      <c r="AC780" s="23">
        <v>36.0</v>
      </c>
      <c r="AD780" s="23">
        <v>36.0</v>
      </c>
      <c r="AH780" s="23">
        <v>0.0</v>
      </c>
      <c r="AL780" s="23">
        <v>0.0</v>
      </c>
      <c r="AP780" s="23">
        <v>0.0</v>
      </c>
      <c r="AT780" s="23">
        <v>0.0</v>
      </c>
      <c r="AX780" s="23">
        <v>0.0</v>
      </c>
      <c r="BF780" s="23">
        <v>0.0</v>
      </c>
      <c r="BJ780" s="23">
        <v>0.0</v>
      </c>
      <c r="BN780" s="23">
        <v>0.0</v>
      </c>
      <c r="BO780" s="23">
        <v>622.0</v>
      </c>
      <c r="BP780" s="16" t="s">
        <v>4266</v>
      </c>
      <c r="BQ780" s="16" t="b">
        <v>1</v>
      </c>
      <c r="BR780" s="23">
        <v>622.0</v>
      </c>
      <c r="BT780" s="16" t="b">
        <v>0</v>
      </c>
      <c r="BU780" s="16" t="s">
        <v>546</v>
      </c>
      <c r="BW780" s="16" t="s">
        <v>4268</v>
      </c>
    </row>
    <row r="781">
      <c r="A781" s="16" t="s">
        <v>4270</v>
      </c>
      <c r="B781" s="16" t="s">
        <v>35</v>
      </c>
      <c r="C781" s="22">
        <v>45609.0</v>
      </c>
      <c r="D781" s="16" t="s">
        <v>4271</v>
      </c>
      <c r="E781" s="16" t="s">
        <v>4272</v>
      </c>
      <c r="F781" s="16" t="s">
        <v>171</v>
      </c>
      <c r="G781" s="16">
        <v>1.2539885E7</v>
      </c>
      <c r="H781" s="23">
        <v>1.0</v>
      </c>
      <c r="I781" s="23">
        <v>333.0</v>
      </c>
      <c r="J781" s="23">
        <v>333.0</v>
      </c>
      <c r="N781" s="23">
        <v>0.0</v>
      </c>
      <c r="R781" s="23">
        <v>0.0</v>
      </c>
      <c r="V781" s="23">
        <v>0.0</v>
      </c>
      <c r="Z781" s="23">
        <v>0.0</v>
      </c>
      <c r="AD781" s="23">
        <v>0.0</v>
      </c>
      <c r="AH781" s="23">
        <v>0.0</v>
      </c>
      <c r="AL781" s="23">
        <v>0.0</v>
      </c>
      <c r="AP781" s="23">
        <v>0.0</v>
      </c>
      <c r="AT781" s="23">
        <v>0.0</v>
      </c>
      <c r="AX781" s="23">
        <v>0.0</v>
      </c>
      <c r="BF781" s="23">
        <v>0.0</v>
      </c>
      <c r="BJ781" s="23">
        <v>0.0</v>
      </c>
      <c r="BN781" s="23">
        <v>0.0</v>
      </c>
      <c r="BO781" s="23">
        <v>333.0</v>
      </c>
      <c r="BP781" s="16" t="s">
        <v>4273</v>
      </c>
      <c r="BQ781" s="16" t="b">
        <v>1</v>
      </c>
      <c r="BR781" s="23">
        <v>333.0</v>
      </c>
      <c r="BS781" s="23">
        <v>1147760.0</v>
      </c>
      <c r="BT781" s="16" t="b">
        <v>1</v>
      </c>
      <c r="BU781" s="16" t="s">
        <v>546</v>
      </c>
    </row>
    <row r="782">
      <c r="A782" s="16" t="s">
        <v>4275</v>
      </c>
      <c r="B782" s="16" t="s">
        <v>35</v>
      </c>
      <c r="C782" s="22">
        <v>45622.0</v>
      </c>
      <c r="D782" s="16" t="s">
        <v>890</v>
      </c>
      <c r="F782" s="16" t="s">
        <v>4277</v>
      </c>
      <c r="G782" s="16" t="s">
        <v>3833</v>
      </c>
      <c r="H782" s="16">
        <v>1.0</v>
      </c>
      <c r="I782" s="23">
        <v>11688.06</v>
      </c>
      <c r="J782" s="23">
        <v>11688.06</v>
      </c>
      <c r="BO782" s="23">
        <v>11688.06</v>
      </c>
      <c r="BR782" s="23">
        <v>11688.06</v>
      </c>
      <c r="BU782" s="16" t="s">
        <v>539</v>
      </c>
    </row>
    <row r="783">
      <c r="A783" s="16" t="s">
        <v>4279</v>
      </c>
      <c r="B783" s="16" t="s">
        <v>35</v>
      </c>
      <c r="C783" s="22">
        <v>45622.0</v>
      </c>
      <c r="D783" s="16" t="s">
        <v>460</v>
      </c>
      <c r="F783" s="16" t="s">
        <v>931</v>
      </c>
      <c r="G783" s="16" t="s">
        <v>1126</v>
      </c>
      <c r="H783" s="16">
        <v>1.0</v>
      </c>
      <c r="I783" s="23">
        <v>30.0</v>
      </c>
      <c r="J783" s="23">
        <v>30.0</v>
      </c>
      <c r="BO783" s="23">
        <v>30.0</v>
      </c>
      <c r="BR783" s="23">
        <v>30.0</v>
      </c>
      <c r="BU783" s="16" t="s">
        <v>539</v>
      </c>
    </row>
    <row r="784">
      <c r="A784" s="16" t="s">
        <v>4282</v>
      </c>
      <c r="B784" s="16" t="s">
        <v>35</v>
      </c>
      <c r="C784" s="22">
        <v>45622.0</v>
      </c>
      <c r="D784" s="16" t="s">
        <v>460</v>
      </c>
      <c r="F784" s="16" t="s">
        <v>4284</v>
      </c>
      <c r="G784" s="16" t="s">
        <v>5636</v>
      </c>
      <c r="H784" s="16">
        <v>1.0</v>
      </c>
      <c r="I784" s="23">
        <v>200.0</v>
      </c>
      <c r="J784" s="23">
        <v>200.0</v>
      </c>
      <c r="BO784" s="23">
        <v>200.0</v>
      </c>
      <c r="BR784" s="23">
        <v>200.0</v>
      </c>
      <c r="BU784" s="16" t="s">
        <v>539</v>
      </c>
    </row>
    <row r="785">
      <c r="A785" s="16" t="s">
        <v>4287</v>
      </c>
      <c r="B785" s="16" t="s">
        <v>35</v>
      </c>
      <c r="C785" s="22">
        <v>45622.0</v>
      </c>
      <c r="D785" s="16" t="s">
        <v>460</v>
      </c>
      <c r="F785" s="16" t="s">
        <v>4289</v>
      </c>
      <c r="G785" s="16" t="s">
        <v>5638</v>
      </c>
      <c r="H785" s="16">
        <v>1.0</v>
      </c>
      <c r="I785" s="23">
        <v>150.0</v>
      </c>
      <c r="J785" s="23">
        <v>150.0</v>
      </c>
      <c r="BO785" s="23">
        <v>150.0</v>
      </c>
      <c r="BR785" s="23">
        <v>150.0</v>
      </c>
      <c r="BU785" s="16" t="s">
        <v>539</v>
      </c>
    </row>
    <row r="786">
      <c r="A786" s="16" t="s">
        <v>4291</v>
      </c>
      <c r="B786" s="16" t="s">
        <v>35</v>
      </c>
      <c r="C786" s="22">
        <v>45622.0</v>
      </c>
      <c r="D786" s="16" t="s">
        <v>460</v>
      </c>
      <c r="F786" s="16" t="s">
        <v>4293</v>
      </c>
      <c r="G786" s="16" t="s">
        <v>5640</v>
      </c>
      <c r="H786" s="16">
        <v>1.0</v>
      </c>
      <c r="I786" s="23">
        <v>396.0</v>
      </c>
      <c r="J786" s="23">
        <v>396.0</v>
      </c>
      <c r="BO786" s="23">
        <v>396.0</v>
      </c>
      <c r="BR786" s="23">
        <v>396.0</v>
      </c>
      <c r="BU786" s="16" t="s">
        <v>539</v>
      </c>
    </row>
    <row r="787">
      <c r="A787" s="16" t="s">
        <v>4296</v>
      </c>
      <c r="B787" s="16" t="s">
        <v>35</v>
      </c>
      <c r="C787" s="22">
        <v>45617.0</v>
      </c>
      <c r="D787" s="23">
        <v>6.8893939E7</v>
      </c>
      <c r="E787" s="16" t="s">
        <v>4297</v>
      </c>
      <c r="F787" s="16" t="s">
        <v>4300</v>
      </c>
      <c r="G787" s="16" t="s">
        <v>1653</v>
      </c>
      <c r="H787" s="23">
        <v>1.0</v>
      </c>
      <c r="I787" s="23">
        <v>259.52</v>
      </c>
      <c r="J787" s="23">
        <v>259.52</v>
      </c>
      <c r="N787" s="23">
        <v>0.0</v>
      </c>
      <c r="R787" s="23">
        <v>0.0</v>
      </c>
      <c r="V787" s="23">
        <v>0.0</v>
      </c>
      <c r="Z787" s="23">
        <v>0.0</v>
      </c>
      <c r="AD787" s="23">
        <v>0.0</v>
      </c>
      <c r="AH787" s="23">
        <v>0.0</v>
      </c>
      <c r="AL787" s="23">
        <v>0.0</v>
      </c>
      <c r="AP787" s="23">
        <v>0.0</v>
      </c>
      <c r="AT787" s="23">
        <v>0.0</v>
      </c>
      <c r="AX787" s="23">
        <v>0.0</v>
      </c>
      <c r="BF787" s="23">
        <v>0.0</v>
      </c>
      <c r="BJ787" s="23">
        <v>0.0</v>
      </c>
      <c r="BN787" s="23">
        <v>0.0</v>
      </c>
      <c r="BO787" s="23">
        <v>259.52</v>
      </c>
      <c r="BP787" s="16" t="s">
        <v>4298</v>
      </c>
      <c r="BQ787" s="16" t="b">
        <v>1</v>
      </c>
      <c r="BR787" s="23">
        <v>259.52</v>
      </c>
      <c r="BT787" s="16" t="b">
        <v>0</v>
      </c>
      <c r="BU787" s="16" t="s">
        <v>546</v>
      </c>
    </row>
    <row r="788">
      <c r="A788" s="16" t="s">
        <v>4302</v>
      </c>
      <c r="B788" s="16" t="s">
        <v>35</v>
      </c>
      <c r="C788" s="22">
        <v>45618.0</v>
      </c>
      <c r="D788" s="16" t="s">
        <v>4304</v>
      </c>
      <c r="E788" s="16" t="s">
        <v>4305</v>
      </c>
      <c r="F788" s="16" t="s">
        <v>4308</v>
      </c>
      <c r="G788" s="16" t="s">
        <v>5644</v>
      </c>
      <c r="H788" s="23">
        <v>1.0</v>
      </c>
      <c r="I788" s="23">
        <v>92.38</v>
      </c>
      <c r="J788" s="23">
        <v>92.38</v>
      </c>
      <c r="N788" s="23">
        <v>0.0</v>
      </c>
      <c r="R788" s="23">
        <v>0.0</v>
      </c>
      <c r="V788" s="23">
        <v>0.0</v>
      </c>
      <c r="Z788" s="23">
        <v>0.0</v>
      </c>
      <c r="AD788" s="23">
        <v>0.0</v>
      </c>
      <c r="AH788" s="23">
        <v>0.0</v>
      </c>
      <c r="AL788" s="23">
        <v>0.0</v>
      </c>
      <c r="AP788" s="23">
        <v>0.0</v>
      </c>
      <c r="AT788" s="23">
        <v>0.0</v>
      </c>
      <c r="AX788" s="23">
        <v>0.0</v>
      </c>
      <c r="BF788" s="23">
        <v>0.0</v>
      </c>
      <c r="BJ788" s="23">
        <v>0.0</v>
      </c>
      <c r="BN788" s="23">
        <v>0.0</v>
      </c>
      <c r="BO788" s="23">
        <v>92.38</v>
      </c>
      <c r="BP788" s="16" t="s">
        <v>4307</v>
      </c>
      <c r="BQ788" s="16" t="b">
        <v>1</v>
      </c>
      <c r="BR788" s="23">
        <v>92.38</v>
      </c>
      <c r="BS788" s="23">
        <v>1169366.0</v>
      </c>
      <c r="BT788" s="16" t="b">
        <v>1</v>
      </c>
      <c r="BU788" s="16" t="s">
        <v>546</v>
      </c>
    </row>
    <row r="789">
      <c r="A789" s="16" t="s">
        <v>4310</v>
      </c>
      <c r="B789" s="16" t="s">
        <v>35</v>
      </c>
      <c r="C789" s="22">
        <v>45621.0</v>
      </c>
      <c r="D789" s="16" t="s">
        <v>2096</v>
      </c>
      <c r="E789" s="16" t="s">
        <v>4312</v>
      </c>
      <c r="F789" s="16" t="s">
        <v>925</v>
      </c>
      <c r="G789" s="16" t="s">
        <v>1536</v>
      </c>
      <c r="H789" s="23">
        <v>1.0</v>
      </c>
      <c r="I789" s="23">
        <v>80.0</v>
      </c>
      <c r="J789" s="23">
        <v>80.0</v>
      </c>
      <c r="N789" s="23">
        <v>0.0</v>
      </c>
      <c r="R789" s="23">
        <v>0.0</v>
      </c>
      <c r="V789" s="23">
        <v>0.0</v>
      </c>
      <c r="Z789" s="23">
        <v>0.0</v>
      </c>
      <c r="AD789" s="23">
        <v>0.0</v>
      </c>
      <c r="AH789" s="23">
        <v>0.0</v>
      </c>
      <c r="AL789" s="23">
        <v>0.0</v>
      </c>
      <c r="AP789" s="23">
        <v>0.0</v>
      </c>
      <c r="AT789" s="23">
        <v>0.0</v>
      </c>
      <c r="AX789" s="23">
        <v>0.0</v>
      </c>
      <c r="BF789" s="23">
        <v>0.0</v>
      </c>
      <c r="BJ789" s="23">
        <v>0.0</v>
      </c>
      <c r="BN789" s="23">
        <v>0.0</v>
      </c>
      <c r="BO789" s="23">
        <v>80.0</v>
      </c>
      <c r="BP789" s="16" t="s">
        <v>4314</v>
      </c>
      <c r="BQ789" s="16" t="b">
        <v>1</v>
      </c>
      <c r="BR789" s="23">
        <v>80.0</v>
      </c>
      <c r="BS789" s="23">
        <v>1169370.0</v>
      </c>
      <c r="BT789" s="16" t="b">
        <v>1</v>
      </c>
      <c r="BU789" s="16" t="s">
        <v>546</v>
      </c>
    </row>
    <row r="790">
      <c r="A790" s="16" t="s">
        <v>4317</v>
      </c>
      <c r="B790" s="16" t="s">
        <v>35</v>
      </c>
      <c r="C790" s="22">
        <v>45621.0</v>
      </c>
      <c r="D790" s="16" t="s">
        <v>112</v>
      </c>
      <c r="E790" s="16" t="s">
        <v>4319</v>
      </c>
      <c r="F790" s="16" t="s">
        <v>157</v>
      </c>
      <c r="G790" s="16" t="s">
        <v>155</v>
      </c>
      <c r="H790" s="23">
        <v>1.0</v>
      </c>
      <c r="I790" s="23">
        <v>27.31</v>
      </c>
      <c r="J790" s="23">
        <v>27.31</v>
      </c>
      <c r="K790" s="16" t="s">
        <v>152</v>
      </c>
      <c r="L790" s="23">
        <v>1.0</v>
      </c>
      <c r="M790" s="23">
        <v>9.4</v>
      </c>
      <c r="N790" s="23">
        <v>9.4</v>
      </c>
      <c r="O790" s="16" t="s">
        <v>226</v>
      </c>
      <c r="P790" s="23">
        <v>1.0</v>
      </c>
      <c r="Q790" s="23">
        <v>47.5</v>
      </c>
      <c r="R790" s="23">
        <v>47.5</v>
      </c>
      <c r="V790" s="23">
        <v>0.0</v>
      </c>
      <c r="Z790" s="23">
        <v>0.0</v>
      </c>
      <c r="AD790" s="23">
        <v>0.0</v>
      </c>
      <c r="AH790" s="23">
        <v>0.0</v>
      </c>
      <c r="AL790" s="23">
        <v>0.0</v>
      </c>
      <c r="AP790" s="23">
        <v>0.0</v>
      </c>
      <c r="AT790" s="23">
        <v>0.0</v>
      </c>
      <c r="AX790" s="23">
        <v>0.0</v>
      </c>
      <c r="BF790" s="23">
        <v>0.0</v>
      </c>
      <c r="BJ790" s="23">
        <v>0.0</v>
      </c>
      <c r="BN790" s="23">
        <v>0.0</v>
      </c>
      <c r="BO790" s="23">
        <v>84.21</v>
      </c>
      <c r="BP790" s="16" t="s">
        <v>4320</v>
      </c>
      <c r="BQ790" s="16" t="b">
        <v>1</v>
      </c>
      <c r="BR790" s="23">
        <v>84.21</v>
      </c>
      <c r="BT790" s="16" t="b">
        <v>0</v>
      </c>
      <c r="BU790" s="16" t="s">
        <v>546</v>
      </c>
    </row>
    <row r="791">
      <c r="A791" s="16" t="s">
        <v>4325</v>
      </c>
      <c r="B791" s="16" t="s">
        <v>35</v>
      </c>
      <c r="C791" s="22">
        <v>45622.0</v>
      </c>
      <c r="D791" s="16" t="s">
        <v>1557</v>
      </c>
      <c r="E791" s="16" t="s">
        <v>4327</v>
      </c>
      <c r="F791" s="16" t="s">
        <v>3903</v>
      </c>
      <c r="G791" s="16" t="s">
        <v>5325</v>
      </c>
      <c r="H791" s="23">
        <v>1.0</v>
      </c>
      <c r="I791" s="23">
        <v>110.0</v>
      </c>
      <c r="J791" s="23">
        <v>110.0</v>
      </c>
      <c r="N791" s="23">
        <v>0.0</v>
      </c>
      <c r="R791" s="23">
        <v>0.0</v>
      </c>
      <c r="V791" s="23">
        <v>0.0</v>
      </c>
      <c r="Z791" s="23">
        <v>0.0</v>
      </c>
      <c r="AD791" s="23">
        <v>0.0</v>
      </c>
      <c r="AH791" s="23">
        <v>0.0</v>
      </c>
      <c r="AL791" s="23">
        <v>0.0</v>
      </c>
      <c r="AP791" s="23">
        <v>0.0</v>
      </c>
      <c r="AT791" s="23">
        <v>0.0</v>
      </c>
      <c r="AX791" s="23">
        <v>0.0</v>
      </c>
      <c r="BF791" s="23">
        <v>0.0</v>
      </c>
      <c r="BJ791" s="23">
        <v>0.0</v>
      </c>
      <c r="BN791" s="23">
        <v>0.0</v>
      </c>
      <c r="BO791" s="23">
        <v>110.0</v>
      </c>
      <c r="BP791" s="16" t="s">
        <v>4328</v>
      </c>
      <c r="BQ791" s="16" t="b">
        <v>1</v>
      </c>
      <c r="BR791" s="23">
        <v>110.0</v>
      </c>
      <c r="BT791" s="16" t="b">
        <v>0</v>
      </c>
      <c r="BU791" s="16" t="s">
        <v>546</v>
      </c>
    </row>
    <row r="792">
      <c r="A792" s="16" t="s">
        <v>4331</v>
      </c>
      <c r="B792" s="16" t="s">
        <v>35</v>
      </c>
      <c r="C792" s="22">
        <v>45622.0</v>
      </c>
      <c r="D792" s="16" t="s">
        <v>193</v>
      </c>
      <c r="E792" s="16" t="s">
        <v>4333</v>
      </c>
      <c r="F792" s="16" t="s">
        <v>195</v>
      </c>
      <c r="G792" s="16" t="s">
        <v>335</v>
      </c>
      <c r="H792" s="23">
        <v>8.0</v>
      </c>
      <c r="I792" s="23">
        <v>39.84</v>
      </c>
      <c r="J792" s="23">
        <v>318.72</v>
      </c>
      <c r="K792" s="16" t="s">
        <v>1777</v>
      </c>
      <c r="L792" s="23">
        <v>1.0</v>
      </c>
      <c r="M792" s="23">
        <v>23.16</v>
      </c>
      <c r="N792" s="23">
        <v>23.16</v>
      </c>
      <c r="O792" s="16" t="s">
        <v>338</v>
      </c>
      <c r="P792" s="23">
        <v>2.0</v>
      </c>
      <c r="Q792" s="23">
        <v>27.96</v>
      </c>
      <c r="R792" s="23">
        <v>55.92</v>
      </c>
      <c r="S792" s="16" t="s">
        <v>1777</v>
      </c>
      <c r="T792" s="23">
        <v>2.0</v>
      </c>
      <c r="U792" s="23">
        <v>29.88</v>
      </c>
      <c r="V792" s="23">
        <v>59.76</v>
      </c>
      <c r="Z792" s="23">
        <v>0.0</v>
      </c>
      <c r="AD792" s="23">
        <v>0.0</v>
      </c>
      <c r="AH792" s="23">
        <v>0.0</v>
      </c>
      <c r="AL792" s="23">
        <v>0.0</v>
      </c>
      <c r="AP792" s="23">
        <v>0.0</v>
      </c>
      <c r="AT792" s="23">
        <v>0.0</v>
      </c>
      <c r="AX792" s="23">
        <v>0.0</v>
      </c>
      <c r="BF792" s="23">
        <v>0.0</v>
      </c>
      <c r="BJ792" s="23">
        <v>0.0</v>
      </c>
      <c r="BN792" s="23">
        <v>0.0</v>
      </c>
      <c r="BO792" s="23">
        <v>457.56</v>
      </c>
      <c r="BP792" s="16" t="s">
        <v>4334</v>
      </c>
      <c r="BQ792" s="16" t="b">
        <v>1</v>
      </c>
      <c r="BR792" s="23">
        <v>457.56</v>
      </c>
      <c r="BT792" s="16" t="b">
        <v>0</v>
      </c>
      <c r="BU792" s="16" t="s">
        <v>546</v>
      </c>
    </row>
    <row r="793">
      <c r="A793" s="16" t="s">
        <v>4335</v>
      </c>
      <c r="B793" s="16" t="s">
        <v>35</v>
      </c>
      <c r="C793" s="22">
        <v>45627.0</v>
      </c>
      <c r="D793" s="16" t="s">
        <v>460</v>
      </c>
      <c r="F793" s="16" t="s">
        <v>4337</v>
      </c>
      <c r="G793" s="16" t="s">
        <v>5660</v>
      </c>
      <c r="H793" s="16">
        <v>1.0</v>
      </c>
      <c r="I793" s="23">
        <v>1371.0</v>
      </c>
      <c r="J793" s="23">
        <v>1371.0</v>
      </c>
      <c r="BO793" s="23">
        <v>1371.0</v>
      </c>
      <c r="BR793" s="23">
        <v>1371.0</v>
      </c>
      <c r="BU793" s="16" t="s">
        <v>539</v>
      </c>
    </row>
    <row r="794">
      <c r="A794" s="16" t="s">
        <v>4341</v>
      </c>
      <c r="B794" s="16" t="s">
        <v>35</v>
      </c>
      <c r="C794" s="22">
        <v>45622.0</v>
      </c>
      <c r="D794" s="16" t="s">
        <v>4343</v>
      </c>
      <c r="E794" s="16" t="s">
        <v>4344</v>
      </c>
      <c r="F794" s="16" t="s">
        <v>195</v>
      </c>
      <c r="G794" s="16" t="s">
        <v>1510</v>
      </c>
      <c r="H794" s="23">
        <v>1.0</v>
      </c>
      <c r="I794" s="23">
        <v>1080.0</v>
      </c>
      <c r="J794" s="23">
        <v>1080.0</v>
      </c>
      <c r="N794" s="23">
        <v>0.0</v>
      </c>
      <c r="R794" s="23">
        <v>0.0</v>
      </c>
      <c r="V794" s="23">
        <v>0.0</v>
      </c>
      <c r="Z794" s="23">
        <v>0.0</v>
      </c>
      <c r="AD794" s="23">
        <v>0.0</v>
      </c>
      <c r="AH794" s="23">
        <v>0.0</v>
      </c>
      <c r="AL794" s="23">
        <v>0.0</v>
      </c>
      <c r="AP794" s="23">
        <v>0.0</v>
      </c>
      <c r="AT794" s="23">
        <v>0.0</v>
      </c>
      <c r="AX794" s="23">
        <v>0.0</v>
      </c>
      <c r="BF794" s="23">
        <v>0.0</v>
      </c>
      <c r="BJ794" s="23">
        <v>0.0</v>
      </c>
      <c r="BN794" s="23">
        <v>0.0</v>
      </c>
      <c r="BO794" s="23">
        <v>1080.0</v>
      </c>
      <c r="BP794" s="16" t="s">
        <v>4346</v>
      </c>
      <c r="BQ794" s="16" t="b">
        <v>1</v>
      </c>
      <c r="BR794" s="23">
        <v>1080.0</v>
      </c>
      <c r="BT794" s="16" t="b">
        <v>0</v>
      </c>
      <c r="BU794" s="16" t="s">
        <v>546</v>
      </c>
    </row>
    <row r="795">
      <c r="A795" s="16" t="s">
        <v>4350</v>
      </c>
      <c r="B795" s="16" t="s">
        <v>35</v>
      </c>
      <c r="C795" s="22">
        <v>45623.0</v>
      </c>
      <c r="D795" s="16" t="s">
        <v>112</v>
      </c>
      <c r="E795" s="16" t="s">
        <v>4353</v>
      </c>
      <c r="F795" s="16" t="s">
        <v>157</v>
      </c>
      <c r="G795" s="16" t="s">
        <v>159</v>
      </c>
      <c r="H795" s="23">
        <v>20.0</v>
      </c>
      <c r="I795" s="23">
        <v>12.0</v>
      </c>
      <c r="J795" s="23">
        <v>240.0</v>
      </c>
      <c r="K795" s="16" t="s">
        <v>155</v>
      </c>
      <c r="L795" s="23">
        <v>1.0</v>
      </c>
      <c r="M795" s="23">
        <v>37.75</v>
      </c>
      <c r="N795" s="23">
        <v>37.75</v>
      </c>
      <c r="O795" s="16" t="s">
        <v>152</v>
      </c>
      <c r="P795" s="23">
        <v>1.0</v>
      </c>
      <c r="Q795" s="23">
        <v>13.39</v>
      </c>
      <c r="R795" s="23">
        <v>13.39</v>
      </c>
      <c r="S795" s="16" t="s">
        <v>226</v>
      </c>
      <c r="T795" s="23">
        <v>1.0</v>
      </c>
      <c r="U795" s="23">
        <v>76.0</v>
      </c>
      <c r="V795" s="23">
        <v>76.0</v>
      </c>
      <c r="Z795" s="23">
        <v>0.0</v>
      </c>
      <c r="AD795" s="23">
        <v>0.0</v>
      </c>
      <c r="AH795" s="23">
        <v>0.0</v>
      </c>
      <c r="AL795" s="23">
        <v>0.0</v>
      </c>
      <c r="AP795" s="23">
        <v>0.0</v>
      </c>
      <c r="AT795" s="23">
        <v>0.0</v>
      </c>
      <c r="AX795" s="23">
        <v>0.0</v>
      </c>
      <c r="BF795" s="23">
        <v>0.0</v>
      </c>
      <c r="BJ795" s="23">
        <v>0.0</v>
      </c>
      <c r="BN795" s="23">
        <v>0.0</v>
      </c>
      <c r="BO795" s="23">
        <v>367.14</v>
      </c>
      <c r="BP795" s="16" t="s">
        <v>4355</v>
      </c>
      <c r="BQ795" s="16" t="b">
        <v>1</v>
      </c>
      <c r="BR795" s="23">
        <v>367.14</v>
      </c>
      <c r="BT795" s="16" t="b">
        <v>0</v>
      </c>
      <c r="BU795" s="16" t="s">
        <v>546</v>
      </c>
    </row>
    <row r="796">
      <c r="A796" s="16" t="s">
        <v>4359</v>
      </c>
      <c r="B796" s="16" t="s">
        <v>35</v>
      </c>
      <c r="C796" s="22">
        <v>45623.0</v>
      </c>
      <c r="D796" s="16" t="s">
        <v>543</v>
      </c>
      <c r="E796" s="16" t="s">
        <v>4364</v>
      </c>
      <c r="F796" s="16" t="s">
        <v>171</v>
      </c>
      <c r="G796" s="16">
        <v>1.2539885E7</v>
      </c>
      <c r="H796" s="23">
        <v>1.0</v>
      </c>
      <c r="I796" s="23">
        <v>300.0</v>
      </c>
      <c r="J796" s="23">
        <v>300.0</v>
      </c>
      <c r="N796" s="23">
        <v>0.0</v>
      </c>
      <c r="R796" s="23">
        <v>0.0</v>
      </c>
      <c r="V796" s="23">
        <v>0.0</v>
      </c>
      <c r="Z796" s="23">
        <v>0.0</v>
      </c>
      <c r="AD796" s="23">
        <v>0.0</v>
      </c>
      <c r="AH796" s="23">
        <v>0.0</v>
      </c>
      <c r="AL796" s="23">
        <v>0.0</v>
      </c>
      <c r="AP796" s="23">
        <v>0.0</v>
      </c>
      <c r="AT796" s="23">
        <v>0.0</v>
      </c>
      <c r="AX796" s="23">
        <v>0.0</v>
      </c>
      <c r="BF796" s="23">
        <v>0.0</v>
      </c>
      <c r="BJ796" s="23">
        <v>0.0</v>
      </c>
      <c r="BN796" s="23">
        <v>0.0</v>
      </c>
      <c r="BO796" s="23">
        <v>300.0</v>
      </c>
      <c r="BP796" s="16" t="s">
        <v>4365</v>
      </c>
      <c r="BQ796" s="16" t="b">
        <v>1</v>
      </c>
      <c r="BR796" s="23">
        <v>300.0</v>
      </c>
      <c r="BT796" s="16" t="b">
        <v>0</v>
      </c>
      <c r="BU796" s="16" t="s">
        <v>546</v>
      </c>
    </row>
    <row r="797">
      <c r="A797" s="16" t="s">
        <v>4370</v>
      </c>
      <c r="B797" s="16" t="s">
        <v>35</v>
      </c>
      <c r="C797" s="22">
        <v>45624.0</v>
      </c>
      <c r="D797" s="16" t="s">
        <v>3716</v>
      </c>
      <c r="E797" s="16" t="s">
        <v>4372</v>
      </c>
      <c r="F797" s="16" t="s">
        <v>195</v>
      </c>
      <c r="G797" s="16" t="s">
        <v>1080</v>
      </c>
      <c r="H797" s="23">
        <v>10.0</v>
      </c>
      <c r="I797" s="23">
        <v>13.9</v>
      </c>
      <c r="J797" s="23">
        <v>139.0</v>
      </c>
      <c r="K797" s="16" t="s">
        <v>1427</v>
      </c>
      <c r="L797" s="23">
        <v>2.0</v>
      </c>
      <c r="M797" s="23">
        <v>25.9</v>
      </c>
      <c r="N797" s="23">
        <v>51.8</v>
      </c>
      <c r="R797" s="23">
        <v>0.0</v>
      </c>
      <c r="V797" s="23">
        <v>0.0</v>
      </c>
      <c r="Z797" s="23">
        <v>0.0</v>
      </c>
      <c r="AD797" s="23">
        <v>0.0</v>
      </c>
      <c r="AH797" s="23">
        <v>0.0</v>
      </c>
      <c r="AL797" s="23">
        <v>0.0</v>
      </c>
      <c r="AP797" s="23">
        <v>0.0</v>
      </c>
      <c r="AT797" s="23">
        <v>0.0</v>
      </c>
      <c r="AX797" s="23">
        <v>0.0</v>
      </c>
      <c r="BF797" s="23">
        <v>0.0</v>
      </c>
      <c r="BJ797" s="23">
        <v>0.0</v>
      </c>
      <c r="BN797" s="23">
        <v>0.0</v>
      </c>
      <c r="BO797" s="23">
        <v>190.8</v>
      </c>
      <c r="BP797" s="16" t="s">
        <v>4374</v>
      </c>
      <c r="BQ797" s="16" t="b">
        <v>1</v>
      </c>
      <c r="BR797" s="23">
        <v>190.8</v>
      </c>
      <c r="BS797" s="23">
        <v>1173947.0</v>
      </c>
      <c r="BT797" s="16" t="b">
        <v>1</v>
      </c>
      <c r="BU797" s="16" t="s">
        <v>546</v>
      </c>
    </row>
    <row r="798">
      <c r="A798" s="16" t="s">
        <v>4379</v>
      </c>
      <c r="B798" s="16" t="s">
        <v>35</v>
      </c>
      <c r="C798" s="22">
        <v>45624.0</v>
      </c>
      <c r="D798" s="16" t="s">
        <v>2644</v>
      </c>
      <c r="E798" s="16" t="s">
        <v>4382</v>
      </c>
      <c r="F798" s="16" t="s">
        <v>195</v>
      </c>
      <c r="G798" s="16" t="s">
        <v>1073</v>
      </c>
      <c r="H798" s="23">
        <v>1.0</v>
      </c>
      <c r="I798" s="23">
        <v>19.0</v>
      </c>
      <c r="J798" s="23">
        <v>19.0</v>
      </c>
      <c r="K798" s="16">
        <v>7.5375964E7</v>
      </c>
      <c r="L798" s="23">
        <v>1.0</v>
      </c>
      <c r="M798" s="23">
        <v>18.0</v>
      </c>
      <c r="N798" s="23">
        <v>18.0</v>
      </c>
      <c r="O798" s="16" t="s">
        <v>1074</v>
      </c>
      <c r="P798" s="23">
        <v>2.0</v>
      </c>
      <c r="Q798" s="23">
        <v>37.0</v>
      </c>
      <c r="R798" s="23">
        <v>74.0</v>
      </c>
      <c r="S798" s="16" t="s">
        <v>1075</v>
      </c>
      <c r="T798" s="23">
        <v>3.0</v>
      </c>
      <c r="U798" s="23">
        <v>18.5</v>
      </c>
      <c r="V798" s="23">
        <v>55.5</v>
      </c>
      <c r="W798" s="16" t="s">
        <v>1077</v>
      </c>
      <c r="X798" s="23">
        <v>1.0</v>
      </c>
      <c r="Y798" s="23">
        <v>24.0</v>
      </c>
      <c r="Z798" s="23">
        <v>24.0</v>
      </c>
      <c r="AA798" s="16" t="s">
        <v>1079</v>
      </c>
      <c r="AB798" s="23">
        <v>10.0</v>
      </c>
      <c r="AC798" s="23">
        <v>17.0</v>
      </c>
      <c r="AD798" s="23">
        <v>170.0</v>
      </c>
      <c r="AE798" s="16" t="s">
        <v>1081</v>
      </c>
      <c r="AF798" s="23">
        <v>2.0</v>
      </c>
      <c r="AG798" s="23">
        <v>46.0</v>
      </c>
      <c r="AH798" s="23">
        <v>92.0</v>
      </c>
      <c r="AI798" s="16">
        <v>7.5375964E7</v>
      </c>
      <c r="AJ798" s="23">
        <v>2.0</v>
      </c>
      <c r="AK798" s="23">
        <v>37.0</v>
      </c>
      <c r="AL798" s="23">
        <v>74.0</v>
      </c>
      <c r="AM798" s="16" t="s">
        <v>1074</v>
      </c>
      <c r="AN798" s="23">
        <v>1.0</v>
      </c>
      <c r="AO798" s="23">
        <v>70.0</v>
      </c>
      <c r="AP798" s="23">
        <v>70.0</v>
      </c>
      <c r="AQ798" s="16" t="s">
        <v>1077</v>
      </c>
      <c r="AR798" s="23">
        <v>1.0</v>
      </c>
      <c r="AS798" s="23">
        <v>24.0</v>
      </c>
      <c r="AT798" s="23">
        <v>24.0</v>
      </c>
      <c r="AX798" s="23">
        <v>0.0</v>
      </c>
      <c r="BF798" s="23">
        <v>0.0</v>
      </c>
      <c r="BJ798" s="23">
        <v>0.0</v>
      </c>
      <c r="BN798" s="23">
        <v>0.0</v>
      </c>
      <c r="BO798" s="23">
        <v>620.5</v>
      </c>
      <c r="BP798" s="16" t="s">
        <v>4383</v>
      </c>
      <c r="BQ798" s="16" t="b">
        <v>1</v>
      </c>
      <c r="BR798" s="23">
        <v>620.5</v>
      </c>
      <c r="BT798" s="16" t="b">
        <v>0</v>
      </c>
      <c r="BU798" s="16" t="s">
        <v>546</v>
      </c>
      <c r="BW798" s="16" t="s">
        <v>4386</v>
      </c>
    </row>
    <row r="799">
      <c r="A799" s="16" t="s">
        <v>4389</v>
      </c>
      <c r="B799" s="16" t="s">
        <v>35</v>
      </c>
      <c r="C799" s="22">
        <v>45625.0</v>
      </c>
      <c r="D799" s="16" t="s">
        <v>112</v>
      </c>
      <c r="E799" s="16" t="s">
        <v>4391</v>
      </c>
      <c r="F799" s="16" t="s">
        <v>157</v>
      </c>
      <c r="G799" s="16" t="s">
        <v>159</v>
      </c>
      <c r="H799" s="23">
        <v>1.0</v>
      </c>
      <c r="I799" s="23">
        <v>120.0</v>
      </c>
      <c r="J799" s="23">
        <v>120.0</v>
      </c>
      <c r="K799" s="16" t="s">
        <v>155</v>
      </c>
      <c r="L799" s="23">
        <v>1.0</v>
      </c>
      <c r="M799" s="23">
        <v>21.82</v>
      </c>
      <c r="N799" s="23">
        <v>21.82</v>
      </c>
      <c r="O799" s="16" t="s">
        <v>152</v>
      </c>
      <c r="P799" s="23">
        <v>1.0</v>
      </c>
      <c r="Q799" s="23">
        <v>5.82</v>
      </c>
      <c r="R799" s="23">
        <v>5.82</v>
      </c>
      <c r="S799" s="16" t="s">
        <v>226</v>
      </c>
      <c r="T799" s="23">
        <v>10.0</v>
      </c>
      <c r="U799" s="23">
        <v>9.5</v>
      </c>
      <c r="V799" s="23">
        <v>95.0</v>
      </c>
      <c r="Z799" s="23">
        <v>0.0</v>
      </c>
      <c r="AD799" s="23">
        <v>0.0</v>
      </c>
      <c r="AH799" s="23">
        <v>0.0</v>
      </c>
      <c r="AL799" s="23">
        <v>0.0</v>
      </c>
      <c r="AP799" s="23">
        <v>0.0</v>
      </c>
      <c r="AT799" s="23">
        <v>0.0</v>
      </c>
      <c r="AX799" s="23">
        <v>0.0</v>
      </c>
      <c r="BF799" s="23">
        <v>0.0</v>
      </c>
      <c r="BJ799" s="23">
        <v>0.0</v>
      </c>
      <c r="BN799" s="23">
        <v>0.0</v>
      </c>
      <c r="BO799" s="23">
        <v>242.64</v>
      </c>
      <c r="BP799" s="16" t="s">
        <v>4393</v>
      </c>
      <c r="BQ799" s="16" t="b">
        <v>1</v>
      </c>
      <c r="BR799" s="23">
        <v>242.64</v>
      </c>
      <c r="BT799" s="16" t="b">
        <v>0</v>
      </c>
      <c r="BU799" s="16" t="s">
        <v>546</v>
      </c>
    </row>
    <row r="800">
      <c r="A800" s="16" t="s">
        <v>4398</v>
      </c>
      <c r="B800" s="16" t="s">
        <v>35</v>
      </c>
      <c r="C800" s="22">
        <v>45625.0</v>
      </c>
      <c r="D800" s="16" t="s">
        <v>1036</v>
      </c>
      <c r="E800" s="16" t="s">
        <v>4400</v>
      </c>
      <c r="F800" s="16" t="s">
        <v>4403</v>
      </c>
      <c r="G800" s="16" t="s">
        <v>1668</v>
      </c>
      <c r="H800" s="23">
        <v>1.0</v>
      </c>
      <c r="I800" s="23">
        <v>118.0</v>
      </c>
      <c r="J800" s="23">
        <v>118.0</v>
      </c>
      <c r="N800" s="23">
        <v>0.0</v>
      </c>
      <c r="R800" s="23">
        <v>0.0</v>
      </c>
      <c r="V800" s="23">
        <v>0.0</v>
      </c>
      <c r="Z800" s="23">
        <v>0.0</v>
      </c>
      <c r="AD800" s="23">
        <v>0.0</v>
      </c>
      <c r="AH800" s="23">
        <v>0.0</v>
      </c>
      <c r="AL800" s="23">
        <v>0.0</v>
      </c>
      <c r="AP800" s="23">
        <v>0.0</v>
      </c>
      <c r="AT800" s="23">
        <v>0.0</v>
      </c>
      <c r="AX800" s="23">
        <v>0.0</v>
      </c>
      <c r="BF800" s="23">
        <v>0.0</v>
      </c>
      <c r="BJ800" s="23">
        <v>0.0</v>
      </c>
      <c r="BN800" s="23">
        <v>0.0</v>
      </c>
      <c r="BO800" s="23">
        <v>118.0</v>
      </c>
      <c r="BP800" s="16" t="s">
        <v>4402</v>
      </c>
      <c r="BQ800" s="16" t="b">
        <v>1</v>
      </c>
      <c r="BR800" s="23">
        <v>118.0</v>
      </c>
      <c r="BT800" s="16" t="b">
        <v>0</v>
      </c>
      <c r="BU800" s="16" t="s">
        <v>546</v>
      </c>
    </row>
    <row r="801">
      <c r="A801" s="16" t="s">
        <v>4409</v>
      </c>
      <c r="B801" s="16" t="s">
        <v>35</v>
      </c>
      <c r="C801" s="22">
        <v>45626.0</v>
      </c>
      <c r="D801" s="16" t="s">
        <v>112</v>
      </c>
      <c r="E801" s="16" t="s">
        <v>4411</v>
      </c>
      <c r="F801" s="16" t="s">
        <v>157</v>
      </c>
      <c r="G801" s="16" t="s">
        <v>159</v>
      </c>
      <c r="H801" s="23">
        <v>20.0</v>
      </c>
      <c r="I801" s="23">
        <v>12.0</v>
      </c>
      <c r="J801" s="23">
        <v>240.0</v>
      </c>
      <c r="K801" s="16" t="s">
        <v>155</v>
      </c>
      <c r="L801" s="23">
        <v>1.0</v>
      </c>
      <c r="M801" s="23">
        <v>38.25</v>
      </c>
      <c r="N801" s="23">
        <v>38.25</v>
      </c>
      <c r="O801" s="16" t="s">
        <v>152</v>
      </c>
      <c r="P801" s="23">
        <v>1.0</v>
      </c>
      <c r="Q801" s="23">
        <v>13.0</v>
      </c>
      <c r="R801" s="23">
        <v>13.0</v>
      </c>
      <c r="S801" s="16" t="s">
        <v>226</v>
      </c>
      <c r="T801" s="23">
        <v>1.0</v>
      </c>
      <c r="U801" s="23">
        <v>66.5</v>
      </c>
      <c r="V801" s="23">
        <v>66.5</v>
      </c>
      <c r="Z801" s="23">
        <v>0.0</v>
      </c>
      <c r="AD801" s="23">
        <v>0.0</v>
      </c>
      <c r="AH801" s="23">
        <v>0.0</v>
      </c>
      <c r="AL801" s="23">
        <v>0.0</v>
      </c>
      <c r="AP801" s="23">
        <v>0.0</v>
      </c>
      <c r="AT801" s="23">
        <v>0.0</v>
      </c>
      <c r="AX801" s="23">
        <v>0.0</v>
      </c>
      <c r="BF801" s="23">
        <v>0.0</v>
      </c>
      <c r="BJ801" s="23">
        <v>0.0</v>
      </c>
      <c r="BN801" s="23">
        <v>0.0</v>
      </c>
      <c r="BO801" s="23">
        <v>357.75</v>
      </c>
      <c r="BP801" s="16" t="s">
        <v>4413</v>
      </c>
      <c r="BQ801" s="16" t="b">
        <v>1</v>
      </c>
      <c r="BR801" s="23">
        <v>357.75</v>
      </c>
      <c r="BT801" s="16" t="b">
        <v>0</v>
      </c>
      <c r="BU801" s="16" t="s">
        <v>546</v>
      </c>
    </row>
    <row r="802">
      <c r="A802" s="16" t="s">
        <v>4417</v>
      </c>
      <c r="B802" s="16" t="s">
        <v>35</v>
      </c>
      <c r="C802" s="22">
        <v>45627.0</v>
      </c>
      <c r="D802" s="16" t="s">
        <v>890</v>
      </c>
      <c r="E802" s="16" t="s">
        <v>4419</v>
      </c>
      <c r="F802" s="16" t="s">
        <v>4422</v>
      </c>
      <c r="G802" s="16" t="s">
        <v>5709</v>
      </c>
      <c r="H802" s="23">
        <v>1.0</v>
      </c>
      <c r="I802" s="23">
        <v>7395.25</v>
      </c>
      <c r="J802" s="23">
        <v>7395.25</v>
      </c>
      <c r="N802" s="23">
        <v>0.0</v>
      </c>
      <c r="R802" s="23">
        <v>0.0</v>
      </c>
      <c r="V802" s="23">
        <v>0.0</v>
      </c>
      <c r="Z802" s="23">
        <v>0.0</v>
      </c>
      <c r="AD802" s="23">
        <v>0.0</v>
      </c>
      <c r="AH802" s="23">
        <v>0.0</v>
      </c>
      <c r="AL802" s="23">
        <v>0.0</v>
      </c>
      <c r="AP802" s="23">
        <v>0.0</v>
      </c>
      <c r="AT802" s="23">
        <v>0.0</v>
      </c>
      <c r="AX802" s="23">
        <v>0.0</v>
      </c>
      <c r="BF802" s="23">
        <v>0.0</v>
      </c>
      <c r="BJ802" s="23">
        <v>0.0</v>
      </c>
      <c r="BN802" s="23">
        <v>0.0</v>
      </c>
      <c r="BO802" s="23">
        <v>7395.25</v>
      </c>
      <c r="BP802" s="16" t="s">
        <v>4421</v>
      </c>
      <c r="BQ802" s="16" t="b">
        <v>1</v>
      </c>
      <c r="BR802" s="23">
        <v>7395.25</v>
      </c>
      <c r="BT802" s="16" t="b">
        <v>0</v>
      </c>
      <c r="BU802" s="16" t="s">
        <v>546</v>
      </c>
    </row>
    <row r="803">
      <c r="A803" s="16" t="s">
        <v>4426</v>
      </c>
      <c r="B803" s="16" t="s">
        <v>35</v>
      </c>
      <c r="C803" s="22">
        <v>45627.0</v>
      </c>
      <c r="D803" s="16" t="s">
        <v>890</v>
      </c>
      <c r="E803" s="16" t="s">
        <v>4428</v>
      </c>
      <c r="F803" s="16" t="s">
        <v>4431</v>
      </c>
      <c r="G803" s="16" t="s">
        <v>1510</v>
      </c>
      <c r="H803" s="23">
        <v>1.0</v>
      </c>
      <c r="I803" s="23">
        <v>24539.95</v>
      </c>
      <c r="J803" s="23">
        <v>24539.95</v>
      </c>
      <c r="N803" s="23">
        <v>0.0</v>
      </c>
      <c r="R803" s="23">
        <v>0.0</v>
      </c>
      <c r="V803" s="23">
        <v>0.0</v>
      </c>
      <c r="Z803" s="23">
        <v>0.0</v>
      </c>
      <c r="AD803" s="23">
        <v>0.0</v>
      </c>
      <c r="AH803" s="23">
        <v>0.0</v>
      </c>
      <c r="AL803" s="23">
        <v>0.0</v>
      </c>
      <c r="AP803" s="23">
        <v>0.0</v>
      </c>
      <c r="AT803" s="23">
        <v>0.0</v>
      </c>
      <c r="AX803" s="23">
        <v>0.0</v>
      </c>
      <c r="BF803" s="23">
        <v>0.0</v>
      </c>
      <c r="BJ803" s="23">
        <v>0.0</v>
      </c>
      <c r="BN803" s="23">
        <v>0.0</v>
      </c>
      <c r="BO803" s="23">
        <v>24539.95</v>
      </c>
      <c r="BP803" s="16" t="s">
        <v>4430</v>
      </c>
      <c r="BQ803" s="16" t="b">
        <v>1</v>
      </c>
      <c r="BR803" s="23">
        <v>24539.95</v>
      </c>
      <c r="BT803" s="16" t="b">
        <v>0</v>
      </c>
      <c r="BU803" s="16" t="s">
        <v>546</v>
      </c>
      <c r="BW803" s="16" t="s">
        <v>4434</v>
      </c>
    </row>
    <row r="804">
      <c r="A804" s="16" t="s">
        <v>4437</v>
      </c>
      <c r="B804" s="16" t="s">
        <v>35</v>
      </c>
      <c r="C804" s="22">
        <v>45616.0</v>
      </c>
      <c r="D804" s="16" t="s">
        <v>890</v>
      </c>
      <c r="E804" s="16" t="s">
        <v>4439</v>
      </c>
      <c r="F804" s="16" t="s">
        <v>4442</v>
      </c>
      <c r="G804" s="16" t="s">
        <v>5713</v>
      </c>
      <c r="H804" s="23">
        <v>1.0</v>
      </c>
      <c r="I804" s="23">
        <v>155.25</v>
      </c>
      <c r="J804" s="23">
        <v>155.25</v>
      </c>
      <c r="K804" s="16" t="s">
        <v>5715</v>
      </c>
      <c r="L804" s="23">
        <v>1.0</v>
      </c>
      <c r="M804" s="23">
        <v>310.5</v>
      </c>
      <c r="N804" s="23">
        <v>310.5</v>
      </c>
      <c r="R804" s="23">
        <v>0.0</v>
      </c>
      <c r="V804" s="23">
        <v>0.0</v>
      </c>
      <c r="Z804" s="23">
        <v>0.0</v>
      </c>
      <c r="AD804" s="23">
        <v>0.0</v>
      </c>
      <c r="AH804" s="23">
        <v>0.0</v>
      </c>
      <c r="AL804" s="23">
        <v>0.0</v>
      </c>
      <c r="AP804" s="23">
        <v>0.0</v>
      </c>
      <c r="AT804" s="23">
        <v>0.0</v>
      </c>
      <c r="AX804" s="23">
        <v>0.0</v>
      </c>
      <c r="BF804" s="23">
        <v>0.0</v>
      </c>
      <c r="BJ804" s="23">
        <v>0.0</v>
      </c>
      <c r="BN804" s="23">
        <v>0.0</v>
      </c>
      <c r="BO804" s="23">
        <v>465.75</v>
      </c>
      <c r="BP804" s="16" t="s">
        <v>4441</v>
      </c>
      <c r="BQ804" s="16" t="b">
        <v>1</v>
      </c>
      <c r="BR804" s="23">
        <v>507.67</v>
      </c>
      <c r="BS804" s="16" t="s">
        <v>4446</v>
      </c>
      <c r="BT804" s="16" t="b">
        <v>1</v>
      </c>
      <c r="BU804" s="16" t="s">
        <v>546</v>
      </c>
    </row>
    <row r="805">
      <c r="A805" s="16" t="s">
        <v>4448</v>
      </c>
      <c r="B805" s="16" t="s">
        <v>35</v>
      </c>
      <c r="C805" s="22">
        <v>45628.0</v>
      </c>
      <c r="D805" s="16" t="s">
        <v>543</v>
      </c>
      <c r="E805" s="16" t="s">
        <v>4450</v>
      </c>
      <c r="F805" s="16" t="s">
        <v>171</v>
      </c>
      <c r="G805" s="16">
        <v>1.2539885E7</v>
      </c>
      <c r="H805" s="23">
        <v>1.0</v>
      </c>
      <c r="I805" s="23">
        <v>375.0</v>
      </c>
      <c r="J805" s="23">
        <v>375.0</v>
      </c>
      <c r="N805" s="23">
        <v>0.0</v>
      </c>
      <c r="R805" s="23">
        <v>0.0</v>
      </c>
      <c r="V805" s="23">
        <v>0.0</v>
      </c>
      <c r="Z805" s="23">
        <v>0.0</v>
      </c>
      <c r="AD805" s="23">
        <v>0.0</v>
      </c>
      <c r="AH805" s="23">
        <v>0.0</v>
      </c>
      <c r="AL805" s="23">
        <v>0.0</v>
      </c>
      <c r="AP805" s="23">
        <v>0.0</v>
      </c>
      <c r="AT805" s="23">
        <v>0.0</v>
      </c>
      <c r="AX805" s="23">
        <v>0.0</v>
      </c>
      <c r="BF805" s="23">
        <v>0.0</v>
      </c>
      <c r="BJ805" s="23">
        <v>0.0</v>
      </c>
      <c r="BN805" s="23">
        <v>0.0</v>
      </c>
      <c r="BO805" s="23">
        <v>375.0</v>
      </c>
      <c r="BP805" s="16" t="s">
        <v>4452</v>
      </c>
      <c r="BQ805" s="16" t="b">
        <v>1</v>
      </c>
      <c r="BR805" s="23">
        <v>375.0</v>
      </c>
      <c r="BT805" s="16" t="b">
        <v>0</v>
      </c>
      <c r="BU805" s="16" t="s">
        <v>546</v>
      </c>
    </row>
    <row r="806">
      <c r="A806" s="16" t="s">
        <v>4456</v>
      </c>
      <c r="B806" s="16" t="s">
        <v>35</v>
      </c>
      <c r="C806" s="22">
        <v>45628.0</v>
      </c>
      <c r="D806" s="16" t="s">
        <v>353</v>
      </c>
      <c r="E806" s="16" t="s">
        <v>4460</v>
      </c>
      <c r="F806" s="16" t="s">
        <v>4464</v>
      </c>
      <c r="G806" s="16" t="s">
        <v>688</v>
      </c>
      <c r="H806" s="23">
        <v>6.0</v>
      </c>
      <c r="I806" s="23">
        <v>19.49</v>
      </c>
      <c r="J806" s="23">
        <v>116.94</v>
      </c>
      <c r="K806" s="16" t="s">
        <v>5720</v>
      </c>
      <c r="L806" s="23">
        <v>27.0</v>
      </c>
      <c r="M806" s="23">
        <v>3.49</v>
      </c>
      <c r="N806" s="23">
        <v>94.23</v>
      </c>
      <c r="R806" s="23">
        <v>0.0</v>
      </c>
      <c r="V806" s="23">
        <v>0.0</v>
      </c>
      <c r="Z806" s="23">
        <v>0.0</v>
      </c>
      <c r="AD806" s="23">
        <v>0.0</v>
      </c>
      <c r="AH806" s="23">
        <v>0.0</v>
      </c>
      <c r="AL806" s="23">
        <v>0.0</v>
      </c>
      <c r="AP806" s="23">
        <v>0.0</v>
      </c>
      <c r="AT806" s="23">
        <v>0.0</v>
      </c>
      <c r="AX806" s="23">
        <v>0.0</v>
      </c>
      <c r="BF806" s="23">
        <v>0.0</v>
      </c>
      <c r="BJ806" s="23">
        <v>0.0</v>
      </c>
      <c r="BN806" s="23">
        <v>0.0</v>
      </c>
      <c r="BO806" s="23">
        <v>211.17</v>
      </c>
      <c r="BP806" s="16" t="s">
        <v>4462</v>
      </c>
      <c r="BQ806" s="16" t="b">
        <v>1</v>
      </c>
      <c r="BR806" s="23">
        <v>211.17</v>
      </c>
      <c r="BS806" s="23">
        <v>1192372.0</v>
      </c>
      <c r="BT806" s="16" t="b">
        <v>1</v>
      </c>
      <c r="BU806" s="16" t="s">
        <v>546</v>
      </c>
    </row>
    <row r="807">
      <c r="A807" s="16" t="s">
        <v>4468</v>
      </c>
      <c r="B807" s="16" t="s">
        <v>35</v>
      </c>
      <c r="C807" s="22">
        <v>45628.0</v>
      </c>
      <c r="D807" s="16" t="s">
        <v>145</v>
      </c>
      <c r="E807" s="16" t="s">
        <v>4472</v>
      </c>
      <c r="F807" s="16" t="s">
        <v>4200</v>
      </c>
      <c r="G807" s="16" t="s">
        <v>1683</v>
      </c>
      <c r="H807" s="23">
        <v>1.0</v>
      </c>
      <c r="I807" s="23">
        <v>105.0</v>
      </c>
      <c r="J807" s="23">
        <v>105.0</v>
      </c>
      <c r="K807" s="16" t="s">
        <v>1195</v>
      </c>
      <c r="L807" s="23">
        <v>1.0</v>
      </c>
      <c r="M807" s="23">
        <v>138.0</v>
      </c>
      <c r="N807" s="23">
        <v>138.0</v>
      </c>
      <c r="O807" s="16" t="s">
        <v>2305</v>
      </c>
      <c r="P807" s="23">
        <v>1.0</v>
      </c>
      <c r="Q807" s="23">
        <v>31.0</v>
      </c>
      <c r="R807" s="23">
        <v>31.0</v>
      </c>
      <c r="S807" s="16">
        <v>7.9788768E7</v>
      </c>
      <c r="T807" s="23">
        <v>1.0</v>
      </c>
      <c r="U807" s="23">
        <v>31.5</v>
      </c>
      <c r="V807" s="23">
        <v>31.5</v>
      </c>
      <c r="Z807" s="23">
        <v>0.0</v>
      </c>
      <c r="AD807" s="23">
        <v>0.0</v>
      </c>
      <c r="AH807" s="23">
        <v>0.0</v>
      </c>
      <c r="AL807" s="23">
        <v>0.0</v>
      </c>
      <c r="AP807" s="23">
        <v>0.0</v>
      </c>
      <c r="AT807" s="23">
        <v>0.0</v>
      </c>
      <c r="AX807" s="23">
        <v>0.0</v>
      </c>
      <c r="BF807" s="23">
        <v>0.0</v>
      </c>
      <c r="BJ807" s="23">
        <v>0.0</v>
      </c>
      <c r="BN807" s="23">
        <v>0.0</v>
      </c>
      <c r="BO807" s="23">
        <v>305.5</v>
      </c>
      <c r="BP807" s="16" t="s">
        <v>4474</v>
      </c>
      <c r="BQ807" s="16" t="b">
        <v>1</v>
      </c>
      <c r="BR807" s="23">
        <v>305.5</v>
      </c>
      <c r="BT807" s="16" t="b">
        <v>0</v>
      </c>
      <c r="BU807" s="16" t="s">
        <v>546</v>
      </c>
    </row>
    <row r="808">
      <c r="A808" s="16" t="s">
        <v>4478</v>
      </c>
      <c r="B808" s="16" t="s">
        <v>35</v>
      </c>
      <c r="C808" s="22">
        <v>45630.0</v>
      </c>
      <c r="F808" s="16" t="s">
        <v>1329</v>
      </c>
      <c r="G808" s="16" t="s">
        <v>1168</v>
      </c>
      <c r="H808" s="16">
        <v>1.0</v>
      </c>
      <c r="I808" s="23">
        <v>500.0</v>
      </c>
      <c r="J808" s="23">
        <v>500.0</v>
      </c>
      <c r="BO808" s="23">
        <v>500.0</v>
      </c>
      <c r="BR808" s="23">
        <v>500.0</v>
      </c>
      <c r="BU808" s="16" t="s">
        <v>539</v>
      </c>
      <c r="BV808" s="16" t="s">
        <v>658</v>
      </c>
    </row>
    <row r="809">
      <c r="A809" s="16" t="s">
        <v>4484</v>
      </c>
      <c r="B809" s="16" t="s">
        <v>35</v>
      </c>
      <c r="C809" s="22">
        <v>45622.0</v>
      </c>
      <c r="D809" s="16" t="s">
        <v>2644</v>
      </c>
      <c r="E809" s="16" t="s">
        <v>4487</v>
      </c>
      <c r="F809" s="16" t="s">
        <v>195</v>
      </c>
      <c r="G809" s="16" t="s">
        <v>1073</v>
      </c>
      <c r="H809" s="23">
        <v>1.0</v>
      </c>
      <c r="I809" s="23">
        <v>19.0</v>
      </c>
      <c r="J809" s="23">
        <v>19.0</v>
      </c>
      <c r="K809" s="16">
        <v>7.5375964E7</v>
      </c>
      <c r="L809" s="23">
        <v>1.0</v>
      </c>
      <c r="M809" s="23">
        <v>18.0</v>
      </c>
      <c r="N809" s="23">
        <v>18.0</v>
      </c>
      <c r="O809" s="16" t="s">
        <v>1074</v>
      </c>
      <c r="P809" s="23">
        <v>2.0</v>
      </c>
      <c r="Q809" s="23">
        <v>37.0</v>
      </c>
      <c r="R809" s="23">
        <v>74.0</v>
      </c>
      <c r="S809" s="16" t="s">
        <v>1075</v>
      </c>
      <c r="T809" s="23">
        <v>3.0</v>
      </c>
      <c r="U809" s="23">
        <v>18.5</v>
      </c>
      <c r="V809" s="23">
        <v>55.5</v>
      </c>
      <c r="W809" s="16" t="s">
        <v>1077</v>
      </c>
      <c r="X809" s="23">
        <v>2.0</v>
      </c>
      <c r="Y809" s="23">
        <v>24.0</v>
      </c>
      <c r="Z809" s="23">
        <v>48.0</v>
      </c>
      <c r="AA809" s="16" t="s">
        <v>1079</v>
      </c>
      <c r="AB809" s="23">
        <v>10.0</v>
      </c>
      <c r="AC809" s="23">
        <v>17.0</v>
      </c>
      <c r="AD809" s="23">
        <v>170.0</v>
      </c>
      <c r="AE809" s="16" t="s">
        <v>1081</v>
      </c>
      <c r="AF809" s="23">
        <v>2.0</v>
      </c>
      <c r="AG809" s="23">
        <v>46.0</v>
      </c>
      <c r="AH809" s="23">
        <v>92.0</v>
      </c>
      <c r="AI809" s="16">
        <v>7.5375964E7</v>
      </c>
      <c r="AJ809" s="23">
        <v>2.0</v>
      </c>
      <c r="AK809" s="23">
        <v>37.0</v>
      </c>
      <c r="AL809" s="23">
        <v>74.0</v>
      </c>
      <c r="AM809" s="16" t="s">
        <v>1074</v>
      </c>
      <c r="AN809" s="23">
        <v>1.0</v>
      </c>
      <c r="AO809" s="23">
        <v>70.0</v>
      </c>
      <c r="AP809" s="23">
        <v>70.0</v>
      </c>
      <c r="AT809" s="23">
        <v>0.0</v>
      </c>
      <c r="AX809" s="23">
        <v>0.0</v>
      </c>
      <c r="BF809" s="23">
        <v>0.0</v>
      </c>
      <c r="BJ809" s="23">
        <v>0.0</v>
      </c>
      <c r="BN809" s="23">
        <v>0.0</v>
      </c>
      <c r="BO809" s="23">
        <v>620.5</v>
      </c>
      <c r="BP809" s="16" t="s">
        <v>4488</v>
      </c>
      <c r="BQ809" s="16" t="b">
        <v>1</v>
      </c>
      <c r="BR809" s="23">
        <v>620.5</v>
      </c>
      <c r="BT809" s="16" t="b">
        <v>0</v>
      </c>
      <c r="BU809" s="16" t="s">
        <v>546</v>
      </c>
    </row>
    <row r="810">
      <c r="A810" s="16" t="s">
        <v>4492</v>
      </c>
      <c r="B810" s="16" t="s">
        <v>35</v>
      </c>
      <c r="C810" s="22">
        <v>45625.0</v>
      </c>
      <c r="D810" s="16" t="s">
        <v>3427</v>
      </c>
      <c r="E810" s="16" t="s">
        <v>4494</v>
      </c>
      <c r="F810" s="16" t="s">
        <v>4497</v>
      </c>
      <c r="G810" s="16" t="s">
        <v>4874</v>
      </c>
      <c r="H810" s="23">
        <v>1.0</v>
      </c>
      <c r="I810" s="23">
        <v>1400.89</v>
      </c>
      <c r="J810" s="23">
        <v>1400.89</v>
      </c>
      <c r="N810" s="23">
        <v>0.0</v>
      </c>
      <c r="R810" s="23">
        <v>0.0</v>
      </c>
      <c r="V810" s="23">
        <v>0.0</v>
      </c>
      <c r="Z810" s="23">
        <v>0.0</v>
      </c>
      <c r="AD810" s="23">
        <v>0.0</v>
      </c>
      <c r="AH810" s="23">
        <v>0.0</v>
      </c>
      <c r="AL810" s="23">
        <v>0.0</v>
      </c>
      <c r="AP810" s="23">
        <v>0.0</v>
      </c>
      <c r="AT810" s="23">
        <v>0.0</v>
      </c>
      <c r="AX810" s="23">
        <v>0.0</v>
      </c>
      <c r="BF810" s="23">
        <v>0.0</v>
      </c>
      <c r="BJ810" s="23">
        <v>0.0</v>
      </c>
      <c r="BN810" s="23">
        <v>0.0</v>
      </c>
      <c r="BO810" s="23">
        <v>1400.89</v>
      </c>
      <c r="BP810" s="16" t="s">
        <v>4496</v>
      </c>
      <c r="BQ810" s="16" t="b">
        <v>1</v>
      </c>
      <c r="BR810" s="23">
        <v>1400.89</v>
      </c>
      <c r="BT810" s="16" t="b">
        <v>0</v>
      </c>
      <c r="BU810" s="16" t="s">
        <v>546</v>
      </c>
    </row>
    <row r="811">
      <c r="A811" s="16" t="s">
        <v>4500</v>
      </c>
      <c r="B811" s="16" t="s">
        <v>35</v>
      </c>
      <c r="C811" s="22">
        <v>45631.0</v>
      </c>
      <c r="D811" s="16" t="s">
        <v>890</v>
      </c>
      <c r="F811" s="16" t="s">
        <v>4503</v>
      </c>
      <c r="G811" s="16" t="s">
        <v>3833</v>
      </c>
      <c r="H811" s="16">
        <v>1.0</v>
      </c>
      <c r="I811" s="23">
        <v>508.18</v>
      </c>
      <c r="J811" s="23">
        <v>508.18</v>
      </c>
      <c r="BO811" s="23">
        <v>508.18</v>
      </c>
      <c r="BR811" s="23">
        <v>508.18</v>
      </c>
      <c r="BU811" s="16" t="s">
        <v>539</v>
      </c>
    </row>
    <row r="812">
      <c r="A812" s="16" t="s">
        <v>4506</v>
      </c>
      <c r="B812" s="16" t="s">
        <v>35</v>
      </c>
      <c r="C812" s="22">
        <v>45631.0</v>
      </c>
      <c r="D812" s="16" t="s">
        <v>890</v>
      </c>
      <c r="F812" s="16" t="s">
        <v>4509</v>
      </c>
      <c r="G812" s="16" t="s">
        <v>3833</v>
      </c>
      <c r="H812" s="16">
        <v>1.0</v>
      </c>
      <c r="I812" s="23">
        <v>155.41</v>
      </c>
      <c r="J812" s="23">
        <v>155.41</v>
      </c>
      <c r="BO812" s="23">
        <v>155.41</v>
      </c>
      <c r="BR812" s="23">
        <v>155.41</v>
      </c>
      <c r="BU812" s="16" t="s">
        <v>539</v>
      </c>
    </row>
    <row r="813">
      <c r="A813" s="16" t="s">
        <v>4512</v>
      </c>
      <c r="B813" s="16" t="s">
        <v>35</v>
      </c>
      <c r="C813" s="22">
        <v>45631.0</v>
      </c>
      <c r="F813" s="16" t="s">
        <v>1329</v>
      </c>
      <c r="G813" s="16" t="s">
        <v>1168</v>
      </c>
      <c r="H813" s="16">
        <v>1.0</v>
      </c>
      <c r="I813" s="23">
        <v>300.0</v>
      </c>
      <c r="J813" s="23">
        <v>300.0</v>
      </c>
      <c r="BO813" s="23">
        <v>300.0</v>
      </c>
      <c r="BR813" s="23">
        <v>300.0</v>
      </c>
      <c r="BU813" s="16" t="s">
        <v>539</v>
      </c>
      <c r="BV813" s="16" t="s">
        <v>624</v>
      </c>
    </row>
    <row r="814">
      <c r="A814" s="16" t="s">
        <v>4518</v>
      </c>
      <c r="B814" s="16" t="s">
        <v>35</v>
      </c>
      <c r="C814" s="22">
        <v>45631.0</v>
      </c>
      <c r="F814" s="16" t="s">
        <v>1329</v>
      </c>
      <c r="G814" s="16" t="s">
        <v>1168</v>
      </c>
      <c r="H814" s="16">
        <v>1.0</v>
      </c>
      <c r="I814" s="23">
        <v>100.0</v>
      </c>
      <c r="J814" s="23">
        <v>100.0</v>
      </c>
      <c r="BO814" s="23">
        <v>100.0</v>
      </c>
      <c r="BR814" s="23">
        <v>100.0</v>
      </c>
      <c r="BU814" s="16" t="s">
        <v>539</v>
      </c>
      <c r="BV814" s="16" t="s">
        <v>3795</v>
      </c>
    </row>
    <row r="815">
      <c r="A815" s="16" t="s">
        <v>4523</v>
      </c>
      <c r="B815" s="16" t="s">
        <v>35</v>
      </c>
      <c r="C815" s="22">
        <v>45634.0</v>
      </c>
      <c r="F815" s="16" t="s">
        <v>4526</v>
      </c>
      <c r="G815" s="16" t="s">
        <v>1168</v>
      </c>
      <c r="H815" s="16">
        <v>1.0</v>
      </c>
      <c r="I815" s="23">
        <v>400.0</v>
      </c>
      <c r="J815" s="23">
        <v>400.0</v>
      </c>
      <c r="BO815" s="23">
        <v>400.0</v>
      </c>
      <c r="BR815" s="23">
        <v>400.0</v>
      </c>
      <c r="BU815" s="16" t="s">
        <v>539</v>
      </c>
      <c r="BV815" s="16" t="s">
        <v>3795</v>
      </c>
    </row>
    <row r="816">
      <c r="A816" s="16" t="s">
        <v>4530</v>
      </c>
      <c r="B816" s="16" t="s">
        <v>35</v>
      </c>
      <c r="C816" s="22">
        <v>45631.0</v>
      </c>
      <c r="D816" s="16" t="s">
        <v>112</v>
      </c>
      <c r="E816" s="16" t="s">
        <v>4532</v>
      </c>
      <c r="F816" s="16" t="s">
        <v>157</v>
      </c>
      <c r="G816" s="16" t="s">
        <v>159</v>
      </c>
      <c r="H816" s="23">
        <v>12.0</v>
      </c>
      <c r="I816" s="23">
        <v>13.0</v>
      </c>
      <c r="J816" s="23">
        <v>156.0</v>
      </c>
      <c r="K816" s="16" t="s">
        <v>155</v>
      </c>
      <c r="L816" s="23">
        <v>1.0</v>
      </c>
      <c r="M816" s="23">
        <v>34.27</v>
      </c>
      <c r="N816" s="23">
        <v>34.27</v>
      </c>
      <c r="O816" s="16" t="s">
        <v>152</v>
      </c>
      <c r="P816" s="23">
        <v>1.0</v>
      </c>
      <c r="Q816" s="23">
        <v>13.21</v>
      </c>
      <c r="R816" s="23">
        <v>13.21</v>
      </c>
      <c r="S816" s="16" t="s">
        <v>226</v>
      </c>
      <c r="T816" s="23">
        <v>1.0</v>
      </c>
      <c r="U816" s="23">
        <v>95.0</v>
      </c>
      <c r="V816" s="23">
        <v>95.0</v>
      </c>
      <c r="Z816" s="23">
        <v>0.0</v>
      </c>
      <c r="AD816" s="23">
        <v>0.0</v>
      </c>
      <c r="AH816" s="23">
        <v>0.0</v>
      </c>
      <c r="AL816" s="23">
        <v>0.0</v>
      </c>
      <c r="AP816" s="23">
        <v>0.0</v>
      </c>
      <c r="AT816" s="23">
        <v>0.0</v>
      </c>
      <c r="AX816" s="23">
        <v>0.0</v>
      </c>
      <c r="BF816" s="23">
        <v>0.0</v>
      </c>
      <c r="BJ816" s="23">
        <v>0.0</v>
      </c>
      <c r="BN816" s="23">
        <v>0.0</v>
      </c>
      <c r="BO816" s="23">
        <v>298.48</v>
      </c>
      <c r="BP816" s="16" t="s">
        <v>4534</v>
      </c>
      <c r="BQ816" s="16" t="b">
        <v>1</v>
      </c>
      <c r="BR816" s="23">
        <v>298.48</v>
      </c>
      <c r="BT816" s="16" t="b">
        <v>0</v>
      </c>
      <c r="BU816" s="16" t="s">
        <v>546</v>
      </c>
    </row>
    <row r="817">
      <c r="A817" s="16" t="s">
        <v>4538</v>
      </c>
      <c r="B817" s="16" t="s">
        <v>35</v>
      </c>
      <c r="C817" s="22">
        <v>45631.0</v>
      </c>
      <c r="D817" s="16" t="s">
        <v>764</v>
      </c>
      <c r="E817" s="16" t="s">
        <v>4540</v>
      </c>
      <c r="F817" s="16" t="s">
        <v>195</v>
      </c>
      <c r="G817" s="16" t="s">
        <v>1074</v>
      </c>
      <c r="H817" s="23">
        <v>3.0</v>
      </c>
      <c r="I817" s="23">
        <v>39.5</v>
      </c>
      <c r="J817" s="23">
        <v>118.5</v>
      </c>
      <c r="K817" s="16" t="s">
        <v>1077</v>
      </c>
      <c r="L817" s="23">
        <v>2.0</v>
      </c>
      <c r="M817" s="23">
        <v>25.0</v>
      </c>
      <c r="N817" s="23">
        <v>50.0</v>
      </c>
      <c r="O817" s="16" t="s">
        <v>1079</v>
      </c>
      <c r="P817" s="23">
        <v>15.0</v>
      </c>
      <c r="Q817" s="23">
        <v>17.5</v>
      </c>
      <c r="R817" s="23">
        <v>262.5</v>
      </c>
      <c r="V817" s="23">
        <v>0.0</v>
      </c>
      <c r="Z817" s="23">
        <v>0.0</v>
      </c>
      <c r="AD817" s="23">
        <v>0.0</v>
      </c>
      <c r="AH817" s="23">
        <v>0.0</v>
      </c>
      <c r="AL817" s="23">
        <v>0.0</v>
      </c>
      <c r="AP817" s="23">
        <v>0.0</v>
      </c>
      <c r="AT817" s="23">
        <v>0.0</v>
      </c>
      <c r="AX817" s="23">
        <v>0.0</v>
      </c>
      <c r="BF817" s="23">
        <v>0.0</v>
      </c>
      <c r="BJ817" s="23">
        <v>0.0</v>
      </c>
      <c r="BN817" s="23">
        <v>0.0</v>
      </c>
      <c r="BO817" s="23">
        <v>431.0</v>
      </c>
      <c r="BP817" s="16" t="s">
        <v>4542</v>
      </c>
      <c r="BQ817" s="16" t="b">
        <v>1</v>
      </c>
      <c r="BR817" s="23">
        <v>431.0</v>
      </c>
      <c r="BS817" s="23">
        <v>1186987.0</v>
      </c>
      <c r="BT817" s="16" t="b">
        <v>1</v>
      </c>
      <c r="BU817" s="16" t="s">
        <v>546</v>
      </c>
    </row>
    <row r="818">
      <c r="A818" s="16" t="s">
        <v>4546</v>
      </c>
      <c r="B818" s="16" t="s">
        <v>35</v>
      </c>
      <c r="C818" s="22">
        <v>45631.0</v>
      </c>
      <c r="D818" s="16" t="s">
        <v>3716</v>
      </c>
      <c r="E818" s="16" t="s">
        <v>4548</v>
      </c>
      <c r="F818" s="16" t="s">
        <v>195</v>
      </c>
      <c r="G818" s="16" t="s">
        <v>1080</v>
      </c>
      <c r="H818" s="23">
        <v>1.0</v>
      </c>
      <c r="I818" s="23">
        <v>208.5</v>
      </c>
      <c r="J818" s="23">
        <v>208.5</v>
      </c>
      <c r="N818" s="23">
        <v>0.0</v>
      </c>
      <c r="R818" s="23">
        <v>0.0</v>
      </c>
      <c r="V818" s="23">
        <v>0.0</v>
      </c>
      <c r="Z818" s="23">
        <v>0.0</v>
      </c>
      <c r="AD818" s="23">
        <v>0.0</v>
      </c>
      <c r="AH818" s="23">
        <v>0.0</v>
      </c>
      <c r="AL818" s="23">
        <v>0.0</v>
      </c>
      <c r="AP818" s="23">
        <v>0.0</v>
      </c>
      <c r="AT818" s="23">
        <v>0.0</v>
      </c>
      <c r="AX818" s="23">
        <v>0.0</v>
      </c>
      <c r="BF818" s="23">
        <v>0.0</v>
      </c>
      <c r="BJ818" s="23">
        <v>0.0</v>
      </c>
      <c r="BN818" s="23">
        <v>0.0</v>
      </c>
      <c r="BO818" s="23">
        <v>208.5</v>
      </c>
      <c r="BP818" s="16" t="s">
        <v>4550</v>
      </c>
      <c r="BQ818" s="16" t="b">
        <v>1</v>
      </c>
      <c r="BR818" s="23">
        <v>208.5</v>
      </c>
      <c r="BS818" s="23">
        <v>1186989.0</v>
      </c>
      <c r="BT818" s="16" t="b">
        <v>1</v>
      </c>
      <c r="BU818" s="16" t="s">
        <v>546</v>
      </c>
    </row>
    <row r="819">
      <c r="A819" s="16" t="s">
        <v>4554</v>
      </c>
      <c r="B819" s="16" t="s">
        <v>35</v>
      </c>
      <c r="C819" s="22">
        <v>45632.0</v>
      </c>
      <c r="D819" s="16" t="s">
        <v>3816</v>
      </c>
      <c r="E819" s="16" t="s">
        <v>4556</v>
      </c>
      <c r="F819" s="16" t="s">
        <v>4146</v>
      </c>
      <c r="G819" s="16" t="s">
        <v>305</v>
      </c>
      <c r="H819" s="23">
        <v>1.0</v>
      </c>
      <c r="I819" s="23">
        <v>10.21</v>
      </c>
      <c r="J819" s="23">
        <v>10.21</v>
      </c>
      <c r="N819" s="23">
        <v>0.0</v>
      </c>
      <c r="R819" s="23">
        <v>0.0</v>
      </c>
      <c r="V819" s="23">
        <v>0.0</v>
      </c>
      <c r="Z819" s="23">
        <v>0.0</v>
      </c>
      <c r="AD819" s="23">
        <v>0.0</v>
      </c>
      <c r="AH819" s="23">
        <v>0.0</v>
      </c>
      <c r="AL819" s="23">
        <v>0.0</v>
      </c>
      <c r="AP819" s="23">
        <v>0.0</v>
      </c>
      <c r="AT819" s="23">
        <v>0.0</v>
      </c>
      <c r="AX819" s="23">
        <v>0.0</v>
      </c>
      <c r="BF819" s="23">
        <v>0.0</v>
      </c>
      <c r="BJ819" s="23">
        <v>0.0</v>
      </c>
      <c r="BN819" s="23">
        <v>0.0</v>
      </c>
      <c r="BO819" s="23">
        <v>10.21</v>
      </c>
      <c r="BP819" s="16" t="s">
        <v>4558</v>
      </c>
      <c r="BQ819" s="16" t="b">
        <v>1</v>
      </c>
      <c r="BR819" s="23">
        <v>10.21</v>
      </c>
      <c r="BS819" s="23">
        <v>1188243.0</v>
      </c>
      <c r="BT819" s="16" t="b">
        <v>1</v>
      </c>
      <c r="BU819" s="16" t="s">
        <v>546</v>
      </c>
    </row>
    <row r="820">
      <c r="A820" s="16" t="s">
        <v>4562</v>
      </c>
      <c r="B820" s="16" t="s">
        <v>35</v>
      </c>
      <c r="C820" s="22">
        <v>45632.0</v>
      </c>
      <c r="D820" s="16" t="s">
        <v>353</v>
      </c>
      <c r="E820" s="16" t="s">
        <v>4564</v>
      </c>
      <c r="F820" s="16" t="s">
        <v>605</v>
      </c>
      <c r="G820" s="16" t="s">
        <v>4406</v>
      </c>
      <c r="H820" s="23">
        <v>1.0</v>
      </c>
      <c r="I820" s="23">
        <v>559.6</v>
      </c>
      <c r="J820" s="23">
        <v>559.6</v>
      </c>
      <c r="K820" s="16" t="s">
        <v>5770</v>
      </c>
      <c r="L820" s="23">
        <v>1.0</v>
      </c>
      <c r="M820" s="23">
        <v>149.95</v>
      </c>
      <c r="N820" s="23">
        <v>149.95</v>
      </c>
      <c r="O820" s="16" t="s">
        <v>4176</v>
      </c>
      <c r="P820" s="23">
        <v>1.0</v>
      </c>
      <c r="Q820" s="23">
        <v>162.5</v>
      </c>
      <c r="R820" s="23">
        <v>162.5</v>
      </c>
      <c r="S820" s="16" t="s">
        <v>1725</v>
      </c>
      <c r="T820" s="23">
        <v>1.0</v>
      </c>
      <c r="U820" s="23">
        <v>286.2</v>
      </c>
      <c r="V820" s="23">
        <v>286.2</v>
      </c>
      <c r="Z820" s="23">
        <v>0.0</v>
      </c>
      <c r="AD820" s="23">
        <v>0.0</v>
      </c>
      <c r="AH820" s="23">
        <v>0.0</v>
      </c>
      <c r="AL820" s="23">
        <v>0.0</v>
      </c>
      <c r="AP820" s="23">
        <v>0.0</v>
      </c>
      <c r="AT820" s="23">
        <v>0.0</v>
      </c>
      <c r="AX820" s="23">
        <v>0.0</v>
      </c>
      <c r="BF820" s="23">
        <v>0.0</v>
      </c>
      <c r="BJ820" s="23">
        <v>0.0</v>
      </c>
      <c r="BN820" s="23">
        <v>0.0</v>
      </c>
      <c r="BO820" s="23">
        <v>1158.25</v>
      </c>
      <c r="BP820" s="16" t="s">
        <v>4566</v>
      </c>
      <c r="BQ820" s="16" t="b">
        <v>1</v>
      </c>
      <c r="BR820" s="23">
        <v>1158.25</v>
      </c>
      <c r="BS820" s="16" t="s">
        <v>4568</v>
      </c>
      <c r="BT820" s="16" t="b">
        <v>1</v>
      </c>
      <c r="BU820" s="16" t="s">
        <v>546</v>
      </c>
    </row>
    <row r="821">
      <c r="A821" s="16" t="s">
        <v>4570</v>
      </c>
      <c r="B821" s="16" t="s">
        <v>35</v>
      </c>
      <c r="C821" s="22">
        <v>45636.0</v>
      </c>
      <c r="D821" s="16" t="s">
        <v>2685</v>
      </c>
      <c r="F821" s="16" t="s">
        <v>1172</v>
      </c>
      <c r="G821" s="16" t="s">
        <v>1152</v>
      </c>
      <c r="H821" s="16">
        <v>1.0</v>
      </c>
      <c r="I821" s="23">
        <v>20.72</v>
      </c>
      <c r="J821" s="23">
        <v>20.72</v>
      </c>
      <c r="BO821" s="23">
        <v>20.72</v>
      </c>
      <c r="BR821" s="23">
        <v>20.72</v>
      </c>
      <c r="BU821" s="16" t="s">
        <v>539</v>
      </c>
    </row>
    <row r="822">
      <c r="A822" s="16" t="s">
        <v>4576</v>
      </c>
      <c r="B822" s="16" t="s">
        <v>35</v>
      </c>
      <c r="C822" s="22">
        <v>45636.0</v>
      </c>
      <c r="D822" s="16" t="s">
        <v>2685</v>
      </c>
      <c r="F822" s="16" t="s">
        <v>4579</v>
      </c>
      <c r="G822" s="16" t="s">
        <v>5777</v>
      </c>
      <c r="H822" s="16">
        <v>1.0</v>
      </c>
      <c r="I822" s="23">
        <v>44.0</v>
      </c>
      <c r="J822" s="23">
        <v>44.0</v>
      </c>
      <c r="BO822" s="23">
        <v>44.0</v>
      </c>
      <c r="BR822" s="23">
        <v>44.0</v>
      </c>
      <c r="BU822" s="16" t="s">
        <v>539</v>
      </c>
    </row>
    <row r="823">
      <c r="A823" s="16" t="s">
        <v>4582</v>
      </c>
      <c r="B823" s="16" t="s">
        <v>35</v>
      </c>
      <c r="C823" s="22">
        <v>45636.0</v>
      </c>
      <c r="F823" s="16" t="s">
        <v>4585</v>
      </c>
      <c r="G823" s="16" t="s">
        <v>5660</v>
      </c>
      <c r="H823" s="16">
        <v>1.0</v>
      </c>
      <c r="I823" s="23">
        <v>290.0</v>
      </c>
      <c r="J823" s="23">
        <v>290.0</v>
      </c>
      <c r="BO823" s="23">
        <v>290.0</v>
      </c>
      <c r="BR823" s="23">
        <v>290.0</v>
      </c>
      <c r="BU823" s="16" t="s">
        <v>539</v>
      </c>
      <c r="BV823" s="16" t="s">
        <v>668</v>
      </c>
    </row>
    <row r="824">
      <c r="A824" s="16" t="s">
        <v>4589</v>
      </c>
      <c r="B824" s="16" t="s">
        <v>35</v>
      </c>
      <c r="C824" s="22">
        <v>45636.0</v>
      </c>
      <c r="D824" s="16" t="s">
        <v>890</v>
      </c>
      <c r="F824" s="16" t="s">
        <v>4010</v>
      </c>
      <c r="G824" s="16" t="s">
        <v>4831</v>
      </c>
      <c r="H824" s="16">
        <v>1.0</v>
      </c>
      <c r="I824" s="23">
        <v>250.0</v>
      </c>
      <c r="J824" s="23">
        <v>250.0</v>
      </c>
      <c r="BO824" s="23">
        <v>250.0</v>
      </c>
      <c r="BR824" s="23">
        <v>250.0</v>
      </c>
      <c r="BU824" s="16" t="s">
        <v>539</v>
      </c>
    </row>
    <row r="825">
      <c r="A825" s="16" t="s">
        <v>4595</v>
      </c>
      <c r="B825" s="16" t="s">
        <v>35</v>
      </c>
      <c r="C825" s="22">
        <v>45636.0</v>
      </c>
      <c r="D825" s="16" t="s">
        <v>2248</v>
      </c>
      <c r="F825" s="16" t="s">
        <v>2549</v>
      </c>
      <c r="G825" s="16" t="s">
        <v>3218</v>
      </c>
      <c r="H825" s="16">
        <v>1.0</v>
      </c>
      <c r="I825" s="23">
        <v>355.32</v>
      </c>
      <c r="J825" s="23">
        <v>355.32</v>
      </c>
      <c r="BO825" s="23">
        <v>355.32</v>
      </c>
      <c r="BR825" s="23">
        <v>355.32</v>
      </c>
      <c r="BU825" s="16" t="s">
        <v>539</v>
      </c>
    </row>
    <row r="826">
      <c r="A826" s="16" t="s">
        <v>4600</v>
      </c>
      <c r="B826" s="16" t="s">
        <v>35</v>
      </c>
      <c r="C826" s="22">
        <v>45623.0</v>
      </c>
      <c r="D826" s="16" t="s">
        <v>890</v>
      </c>
      <c r="E826" s="16" t="s">
        <v>4602</v>
      </c>
      <c r="F826" s="16" t="s">
        <v>3813</v>
      </c>
      <c r="G826" s="16" t="s">
        <v>1517</v>
      </c>
      <c r="H826" s="23">
        <v>1.0</v>
      </c>
      <c r="I826" s="23">
        <v>13950.69</v>
      </c>
      <c r="J826" s="23">
        <v>13950.69</v>
      </c>
      <c r="N826" s="23">
        <v>0.0</v>
      </c>
      <c r="R826" s="23">
        <v>0.0</v>
      </c>
      <c r="V826" s="23">
        <v>0.0</v>
      </c>
      <c r="Z826" s="23">
        <v>0.0</v>
      </c>
      <c r="AD826" s="23">
        <v>0.0</v>
      </c>
      <c r="AH826" s="23">
        <v>0.0</v>
      </c>
      <c r="AL826" s="23">
        <v>0.0</v>
      </c>
      <c r="AP826" s="23">
        <v>0.0</v>
      </c>
      <c r="AT826" s="23">
        <v>0.0</v>
      </c>
      <c r="AX826" s="23">
        <v>0.0</v>
      </c>
      <c r="BF826" s="23">
        <v>0.0</v>
      </c>
      <c r="BJ826" s="23">
        <v>0.0</v>
      </c>
      <c r="BN826" s="23">
        <v>0.0</v>
      </c>
      <c r="BO826" s="23">
        <v>13950.69</v>
      </c>
      <c r="BP826" s="16" t="s">
        <v>4604</v>
      </c>
      <c r="BQ826" s="16" t="b">
        <v>1</v>
      </c>
      <c r="BR826" s="23">
        <v>13950.69</v>
      </c>
      <c r="BT826" s="16" t="b">
        <v>0</v>
      </c>
      <c r="BU826" s="16" t="s">
        <v>546</v>
      </c>
      <c r="BW826" s="16" t="s">
        <v>4606</v>
      </c>
    </row>
    <row r="827">
      <c r="A827" s="16" t="s">
        <v>4609</v>
      </c>
      <c r="B827" s="16" t="s">
        <v>35</v>
      </c>
      <c r="C827" s="22">
        <v>45634.0</v>
      </c>
      <c r="D827" s="23">
        <v>8.627274E7</v>
      </c>
      <c r="E827" s="16" t="s">
        <v>4611</v>
      </c>
      <c r="F827" s="16" t="s">
        <v>4614</v>
      </c>
      <c r="G827" s="16" t="s">
        <v>305</v>
      </c>
      <c r="H827" s="23">
        <v>1.0</v>
      </c>
      <c r="I827" s="23">
        <v>77.36</v>
      </c>
      <c r="J827" s="23">
        <v>77.36</v>
      </c>
      <c r="N827" s="23">
        <v>0.0</v>
      </c>
      <c r="R827" s="23">
        <v>0.0</v>
      </c>
      <c r="V827" s="23">
        <v>0.0</v>
      </c>
      <c r="Z827" s="23">
        <v>0.0</v>
      </c>
      <c r="AD827" s="23">
        <v>0.0</v>
      </c>
      <c r="AH827" s="23">
        <v>0.0</v>
      </c>
      <c r="AL827" s="23">
        <v>0.0</v>
      </c>
      <c r="AP827" s="23">
        <v>0.0</v>
      </c>
      <c r="AT827" s="23">
        <v>0.0</v>
      </c>
      <c r="AX827" s="23">
        <v>0.0</v>
      </c>
      <c r="BF827" s="23">
        <v>0.0</v>
      </c>
      <c r="BJ827" s="23">
        <v>0.0</v>
      </c>
      <c r="BN827" s="23">
        <v>0.0</v>
      </c>
      <c r="BO827" s="23">
        <v>77.36</v>
      </c>
      <c r="BP827" s="16" t="s">
        <v>4613</v>
      </c>
      <c r="BQ827" s="16" t="b">
        <v>1</v>
      </c>
      <c r="BR827" s="23">
        <v>77.36</v>
      </c>
      <c r="BS827" s="16" t="s">
        <v>4049</v>
      </c>
      <c r="BT827" s="16" t="b">
        <v>1</v>
      </c>
      <c r="BU827" s="16" t="s">
        <v>546</v>
      </c>
    </row>
    <row r="828">
      <c r="A828" s="16" t="s">
        <v>4618</v>
      </c>
      <c r="B828" s="16" t="s">
        <v>35</v>
      </c>
      <c r="C828" s="22">
        <v>45635.0</v>
      </c>
      <c r="D828" s="16" t="s">
        <v>543</v>
      </c>
      <c r="E828" s="16" t="s">
        <v>4621</v>
      </c>
      <c r="F828" s="16" t="s">
        <v>171</v>
      </c>
      <c r="G828" s="16">
        <v>1.2539885E7</v>
      </c>
      <c r="H828" s="23">
        <v>1.0</v>
      </c>
      <c r="I828" s="23">
        <v>500.0</v>
      </c>
      <c r="J828" s="23">
        <v>500.0</v>
      </c>
      <c r="N828" s="23">
        <v>0.0</v>
      </c>
      <c r="R828" s="23">
        <v>0.0</v>
      </c>
      <c r="V828" s="23">
        <v>0.0</v>
      </c>
      <c r="Z828" s="23">
        <v>0.0</v>
      </c>
      <c r="AD828" s="23">
        <v>0.0</v>
      </c>
      <c r="AH828" s="23">
        <v>0.0</v>
      </c>
      <c r="AL828" s="23">
        <v>0.0</v>
      </c>
      <c r="AP828" s="23">
        <v>0.0</v>
      </c>
      <c r="AT828" s="23">
        <v>0.0</v>
      </c>
      <c r="AX828" s="23">
        <v>0.0</v>
      </c>
      <c r="BF828" s="23">
        <v>0.0</v>
      </c>
      <c r="BJ828" s="23">
        <v>0.0</v>
      </c>
      <c r="BN828" s="23">
        <v>0.0</v>
      </c>
      <c r="BO828" s="23">
        <v>500.0</v>
      </c>
      <c r="BP828" s="16" t="s">
        <v>4622</v>
      </c>
      <c r="BQ828" s="16" t="b">
        <v>1</v>
      </c>
      <c r="BR828" s="23">
        <v>500.0</v>
      </c>
      <c r="BT828" s="16" t="b">
        <v>0</v>
      </c>
      <c r="BU828" s="16" t="s">
        <v>546</v>
      </c>
    </row>
    <row r="829">
      <c r="A829" s="16" t="s">
        <v>4626</v>
      </c>
      <c r="B829" s="16" t="s">
        <v>35</v>
      </c>
      <c r="C829" s="22">
        <v>45636.0</v>
      </c>
      <c r="D829" s="16" t="s">
        <v>2439</v>
      </c>
      <c r="E829" s="16" t="s">
        <v>4628</v>
      </c>
      <c r="F829" s="16" t="s">
        <v>3888</v>
      </c>
      <c r="G829" s="16" t="s">
        <v>3496</v>
      </c>
      <c r="H829" s="23">
        <v>1.0</v>
      </c>
      <c r="I829" s="23">
        <v>342.47</v>
      </c>
      <c r="J829" s="23">
        <v>342.47</v>
      </c>
      <c r="N829" s="23">
        <v>0.0</v>
      </c>
      <c r="R829" s="23">
        <v>0.0</v>
      </c>
      <c r="V829" s="23">
        <v>0.0</v>
      </c>
      <c r="Z829" s="23">
        <v>0.0</v>
      </c>
      <c r="AD829" s="23">
        <v>0.0</v>
      </c>
      <c r="AH829" s="23">
        <v>0.0</v>
      </c>
      <c r="AL829" s="23">
        <v>0.0</v>
      </c>
      <c r="AP829" s="23">
        <v>0.0</v>
      </c>
      <c r="AT829" s="23">
        <v>0.0</v>
      </c>
      <c r="AX829" s="23">
        <v>0.0</v>
      </c>
      <c r="BF829" s="23">
        <v>0.0</v>
      </c>
      <c r="BJ829" s="23">
        <v>0.0</v>
      </c>
      <c r="BN829" s="23">
        <v>0.0</v>
      </c>
      <c r="BO829" s="23">
        <v>342.47</v>
      </c>
      <c r="BP829" s="16" t="s">
        <v>4630</v>
      </c>
      <c r="BQ829" s="16" t="b">
        <v>1</v>
      </c>
      <c r="BR829" s="23">
        <v>342.47</v>
      </c>
      <c r="BT829" s="16" t="b">
        <v>0</v>
      </c>
      <c r="BU829" s="16" t="s">
        <v>546</v>
      </c>
    </row>
    <row r="830">
      <c r="A830" s="16" t="s">
        <v>4634</v>
      </c>
      <c r="B830" s="16" t="s">
        <v>35</v>
      </c>
      <c r="C830" s="22">
        <v>45636.0</v>
      </c>
      <c r="D830" s="16" t="s">
        <v>233</v>
      </c>
      <c r="E830" s="16" t="s">
        <v>4637</v>
      </c>
      <c r="F830" s="16" t="s">
        <v>4639</v>
      </c>
      <c r="G830" s="16" t="s">
        <v>5215</v>
      </c>
      <c r="H830" s="23">
        <v>7.0</v>
      </c>
      <c r="I830" s="23">
        <v>6.49</v>
      </c>
      <c r="J830" s="23">
        <v>45.43</v>
      </c>
      <c r="K830" s="16" t="s">
        <v>1197</v>
      </c>
      <c r="L830" s="23">
        <v>1.0</v>
      </c>
      <c r="M830" s="23">
        <v>68.56</v>
      </c>
      <c r="N830" s="23">
        <v>68.56</v>
      </c>
      <c r="O830" s="16" t="s">
        <v>5794</v>
      </c>
      <c r="P830" s="23">
        <v>5.0</v>
      </c>
      <c r="Q830" s="23">
        <v>3.99</v>
      </c>
      <c r="R830" s="23">
        <v>19.95</v>
      </c>
      <c r="S830" s="16" t="s">
        <v>247</v>
      </c>
      <c r="T830" s="23">
        <v>18.0</v>
      </c>
      <c r="U830" s="23">
        <v>0.99</v>
      </c>
      <c r="V830" s="23">
        <v>17.82</v>
      </c>
      <c r="W830" s="16" t="s">
        <v>1041</v>
      </c>
      <c r="X830" s="23">
        <v>2.0</v>
      </c>
      <c r="Y830" s="23">
        <v>13.29</v>
      </c>
      <c r="Z830" s="23">
        <v>26.58</v>
      </c>
      <c r="AA830" s="16" t="s">
        <v>691</v>
      </c>
      <c r="AB830" s="23">
        <v>1.0</v>
      </c>
      <c r="AC830" s="23">
        <v>96.69</v>
      </c>
      <c r="AD830" s="23">
        <v>96.69</v>
      </c>
      <c r="AE830" s="16" t="s">
        <v>678</v>
      </c>
      <c r="AF830" s="23">
        <v>1.0</v>
      </c>
      <c r="AG830" s="23">
        <v>8.51</v>
      </c>
      <c r="AH830" s="23">
        <v>8.51</v>
      </c>
      <c r="AI830" s="16" t="s">
        <v>266</v>
      </c>
      <c r="AJ830" s="23">
        <v>1.0</v>
      </c>
      <c r="AK830" s="23">
        <v>60.0</v>
      </c>
      <c r="AL830" s="23">
        <v>60.0</v>
      </c>
      <c r="AP830" s="23">
        <v>0.0</v>
      </c>
      <c r="AT830" s="23">
        <v>0.0</v>
      </c>
      <c r="AX830" s="23">
        <v>0.0</v>
      </c>
      <c r="BF830" s="23">
        <v>0.0</v>
      </c>
      <c r="BJ830" s="23">
        <v>0.0</v>
      </c>
      <c r="BN830" s="23">
        <v>0.0</v>
      </c>
      <c r="BO830" s="23">
        <v>343.54</v>
      </c>
      <c r="BP830" s="16" t="s">
        <v>4638</v>
      </c>
      <c r="BQ830" s="16" t="b">
        <v>1</v>
      </c>
      <c r="BR830" s="23">
        <v>343.54</v>
      </c>
      <c r="BS830" s="16" t="s">
        <v>4049</v>
      </c>
      <c r="BT830" s="16" t="b">
        <v>1</v>
      </c>
      <c r="BU830" s="16" t="s">
        <v>546</v>
      </c>
    </row>
    <row r="831">
      <c r="A831" s="16" t="s">
        <v>4643</v>
      </c>
      <c r="B831" s="16" t="s">
        <v>35</v>
      </c>
      <c r="C831" s="22">
        <v>45636.0</v>
      </c>
      <c r="D831" s="16" t="s">
        <v>307</v>
      </c>
      <c r="E831" s="16" t="s">
        <v>4646</v>
      </c>
      <c r="F831" s="16" t="s">
        <v>4649</v>
      </c>
      <c r="G831" s="16" t="s">
        <v>5806</v>
      </c>
      <c r="H831" s="23">
        <v>1.0</v>
      </c>
      <c r="I831" s="23">
        <v>52.9</v>
      </c>
      <c r="J831" s="23">
        <v>52.9</v>
      </c>
      <c r="K831" s="16" t="s">
        <v>5808</v>
      </c>
      <c r="L831" s="23">
        <v>1.0</v>
      </c>
      <c r="M831" s="23">
        <v>56.7</v>
      </c>
      <c r="N831" s="23">
        <v>56.7</v>
      </c>
      <c r="R831" s="23">
        <v>0.0</v>
      </c>
      <c r="V831" s="23">
        <v>0.0</v>
      </c>
      <c r="Z831" s="23">
        <v>0.0</v>
      </c>
      <c r="AD831" s="23">
        <v>0.0</v>
      </c>
      <c r="AH831" s="23">
        <v>0.0</v>
      </c>
      <c r="AL831" s="23">
        <v>0.0</v>
      </c>
      <c r="AP831" s="23">
        <v>0.0</v>
      </c>
      <c r="AT831" s="23">
        <v>0.0</v>
      </c>
      <c r="AX831" s="23">
        <v>0.0</v>
      </c>
      <c r="BF831" s="23">
        <v>0.0</v>
      </c>
      <c r="BJ831" s="23">
        <v>0.0</v>
      </c>
      <c r="BN831" s="23">
        <v>0.0</v>
      </c>
      <c r="BO831" s="23">
        <v>109.6</v>
      </c>
      <c r="BP831" s="16" t="s">
        <v>4647</v>
      </c>
      <c r="BQ831" s="16" t="b">
        <v>1</v>
      </c>
      <c r="BR831" s="23">
        <v>109.6</v>
      </c>
      <c r="BS831" s="16" t="s">
        <v>4049</v>
      </c>
      <c r="BT831" s="16" t="b">
        <v>1</v>
      </c>
      <c r="BU831" s="16" t="s">
        <v>546</v>
      </c>
    </row>
    <row r="832">
      <c r="A832" s="16" t="s">
        <v>4652</v>
      </c>
      <c r="B832" s="16" t="s">
        <v>35</v>
      </c>
      <c r="C832" s="22">
        <v>45636.0</v>
      </c>
      <c r="D832" s="16" t="s">
        <v>2096</v>
      </c>
      <c r="E832" s="16" t="s">
        <v>4655</v>
      </c>
      <c r="F832" s="16" t="s">
        <v>925</v>
      </c>
      <c r="G832" s="16" t="s">
        <v>1536</v>
      </c>
      <c r="H832" s="23">
        <v>1.0</v>
      </c>
      <c r="I832" s="23">
        <v>30.0</v>
      </c>
      <c r="J832" s="23">
        <v>30.0</v>
      </c>
      <c r="N832" s="23">
        <v>0.0</v>
      </c>
      <c r="R832" s="23">
        <v>0.0</v>
      </c>
      <c r="V832" s="23">
        <v>0.0</v>
      </c>
      <c r="Z832" s="23">
        <v>0.0</v>
      </c>
      <c r="AD832" s="23">
        <v>0.0</v>
      </c>
      <c r="AH832" s="23">
        <v>0.0</v>
      </c>
      <c r="AL832" s="23">
        <v>0.0</v>
      </c>
      <c r="AP832" s="23">
        <v>0.0</v>
      </c>
      <c r="AT832" s="23">
        <v>0.0</v>
      </c>
      <c r="AX832" s="23">
        <v>0.0</v>
      </c>
      <c r="BF832" s="23">
        <v>0.0</v>
      </c>
      <c r="BJ832" s="23">
        <v>0.0</v>
      </c>
      <c r="BN832" s="23">
        <v>0.0</v>
      </c>
      <c r="BO832" s="23">
        <v>30.0</v>
      </c>
      <c r="BP832" s="16" t="s">
        <v>4656</v>
      </c>
      <c r="BQ832" s="16" t="b">
        <v>1</v>
      </c>
      <c r="BR832" s="23">
        <v>30.0</v>
      </c>
      <c r="BS832" s="23">
        <v>1195226.0</v>
      </c>
      <c r="BT832" s="16" t="b">
        <v>1</v>
      </c>
      <c r="BU832" s="16" t="s">
        <v>546</v>
      </c>
      <c r="BW832" s="16" t="s">
        <v>4659</v>
      </c>
    </row>
    <row r="833">
      <c r="A833" s="16" t="s">
        <v>4664</v>
      </c>
      <c r="B833" s="16" t="s">
        <v>35</v>
      </c>
      <c r="C833" s="22">
        <v>45638.0</v>
      </c>
      <c r="D833" s="16" t="s">
        <v>112</v>
      </c>
      <c r="E833" s="16" t="s">
        <v>4666</v>
      </c>
      <c r="F833" s="16" t="s">
        <v>157</v>
      </c>
      <c r="G833" s="16" t="s">
        <v>159</v>
      </c>
      <c r="H833" s="23">
        <v>12.0</v>
      </c>
      <c r="I833" s="23">
        <v>13.0</v>
      </c>
      <c r="J833" s="23">
        <v>156.0</v>
      </c>
      <c r="K833" s="16" t="s">
        <v>155</v>
      </c>
      <c r="L833" s="23">
        <v>1.0</v>
      </c>
      <c r="M833" s="23">
        <v>37.1</v>
      </c>
      <c r="N833" s="23">
        <v>37.1</v>
      </c>
      <c r="O833" s="16" t="s">
        <v>152</v>
      </c>
      <c r="P833" s="23">
        <v>1.0</v>
      </c>
      <c r="Q833" s="23">
        <v>11.89</v>
      </c>
      <c r="R833" s="23">
        <v>11.89</v>
      </c>
      <c r="S833" s="16" t="s">
        <v>226</v>
      </c>
      <c r="T833" s="23">
        <v>1.0</v>
      </c>
      <c r="U833" s="23">
        <v>76.0</v>
      </c>
      <c r="V833" s="23">
        <v>76.0</v>
      </c>
      <c r="Z833" s="23">
        <v>0.0</v>
      </c>
      <c r="AD833" s="23">
        <v>0.0</v>
      </c>
      <c r="AH833" s="23">
        <v>0.0</v>
      </c>
      <c r="AL833" s="23">
        <v>0.0</v>
      </c>
      <c r="AP833" s="23">
        <v>0.0</v>
      </c>
      <c r="AT833" s="23">
        <v>0.0</v>
      </c>
      <c r="AX833" s="23">
        <v>0.0</v>
      </c>
      <c r="BF833" s="23">
        <v>0.0</v>
      </c>
      <c r="BJ833" s="23">
        <v>0.0</v>
      </c>
      <c r="BN833" s="23">
        <v>0.0</v>
      </c>
      <c r="BO833" s="23">
        <v>280.99</v>
      </c>
      <c r="BP833" s="16" t="s">
        <v>4667</v>
      </c>
      <c r="BQ833" s="16" t="b">
        <v>1</v>
      </c>
      <c r="BR833" s="23">
        <v>280.99</v>
      </c>
      <c r="BT833" s="16" t="b">
        <v>0</v>
      </c>
      <c r="BU833" s="16" t="s">
        <v>546</v>
      </c>
    </row>
    <row r="834">
      <c r="A834" s="16" t="s">
        <v>4671</v>
      </c>
      <c r="B834" s="16" t="s">
        <v>35</v>
      </c>
      <c r="C834" s="22">
        <v>45639.0</v>
      </c>
      <c r="D834" s="16" t="s">
        <v>2613</v>
      </c>
      <c r="E834" s="16" t="s">
        <v>4674</v>
      </c>
      <c r="F834" s="16" t="s">
        <v>4677</v>
      </c>
      <c r="G834" s="16" t="s">
        <v>238</v>
      </c>
      <c r="H834" s="23">
        <v>12.0</v>
      </c>
      <c r="I834" s="23">
        <v>5.9</v>
      </c>
      <c r="J834" s="23">
        <v>70.8</v>
      </c>
      <c r="K834" s="16" t="s">
        <v>243</v>
      </c>
      <c r="L834" s="23">
        <v>6.0</v>
      </c>
      <c r="M834" s="23">
        <v>7.2</v>
      </c>
      <c r="N834" s="23">
        <v>43.2</v>
      </c>
      <c r="R834" s="23">
        <v>0.0</v>
      </c>
      <c r="V834" s="23">
        <v>0.0</v>
      </c>
      <c r="Z834" s="23">
        <v>0.0</v>
      </c>
      <c r="AD834" s="23">
        <v>0.0</v>
      </c>
      <c r="AH834" s="23">
        <v>0.0</v>
      </c>
      <c r="AL834" s="23">
        <v>0.0</v>
      </c>
      <c r="AP834" s="23">
        <v>0.0</v>
      </c>
      <c r="AT834" s="23">
        <v>0.0</v>
      </c>
      <c r="AX834" s="23">
        <v>0.0</v>
      </c>
      <c r="BF834" s="23">
        <v>0.0</v>
      </c>
      <c r="BJ834" s="23">
        <v>0.0</v>
      </c>
      <c r="BN834" s="23">
        <v>0.0</v>
      </c>
      <c r="BO834" s="23">
        <v>114.0</v>
      </c>
      <c r="BP834" s="16" t="s">
        <v>4675</v>
      </c>
      <c r="BQ834" s="16" t="b">
        <v>1</v>
      </c>
      <c r="BR834" s="23">
        <v>114.0</v>
      </c>
      <c r="BS834" s="23">
        <v>1200055.0</v>
      </c>
      <c r="BT834" s="16" t="b">
        <v>1</v>
      </c>
      <c r="BU834" s="16" t="s">
        <v>546</v>
      </c>
    </row>
    <row r="835">
      <c r="A835" s="16" t="s">
        <v>4680</v>
      </c>
      <c r="B835" s="16" t="s">
        <v>35</v>
      </c>
      <c r="C835" s="22">
        <v>45639.0</v>
      </c>
      <c r="D835" s="16" t="s">
        <v>543</v>
      </c>
      <c r="E835" s="16" t="s">
        <v>4683</v>
      </c>
      <c r="F835" s="16" t="s">
        <v>171</v>
      </c>
      <c r="G835" s="16">
        <v>1.2539885E7</v>
      </c>
      <c r="H835" s="23">
        <v>1.0</v>
      </c>
      <c r="I835" s="23">
        <v>300.0</v>
      </c>
      <c r="J835" s="23">
        <v>300.0</v>
      </c>
      <c r="N835" s="23">
        <v>0.0</v>
      </c>
      <c r="R835" s="23">
        <v>0.0</v>
      </c>
      <c r="V835" s="23">
        <v>0.0</v>
      </c>
      <c r="Z835" s="23">
        <v>0.0</v>
      </c>
      <c r="AD835" s="23">
        <v>0.0</v>
      </c>
      <c r="AH835" s="23">
        <v>0.0</v>
      </c>
      <c r="AL835" s="23">
        <v>0.0</v>
      </c>
      <c r="AP835" s="23">
        <v>0.0</v>
      </c>
      <c r="AT835" s="23">
        <v>0.0</v>
      </c>
      <c r="AX835" s="23">
        <v>0.0</v>
      </c>
      <c r="BF835" s="23">
        <v>0.0</v>
      </c>
      <c r="BJ835" s="23">
        <v>0.0</v>
      </c>
      <c r="BN835" s="23">
        <v>0.0</v>
      </c>
      <c r="BO835" s="23">
        <v>300.0</v>
      </c>
      <c r="BP835" s="16" t="s">
        <v>4684</v>
      </c>
      <c r="BQ835" s="16" t="b">
        <v>1</v>
      </c>
      <c r="BR835" s="23">
        <v>300.0</v>
      </c>
      <c r="BT835" s="16" t="b">
        <v>0</v>
      </c>
      <c r="BU835" s="16" t="s">
        <v>546</v>
      </c>
    </row>
    <row r="836">
      <c r="A836" s="16" t="s">
        <v>4688</v>
      </c>
      <c r="B836" s="16" t="s">
        <v>35</v>
      </c>
      <c r="C836" s="22">
        <v>45638.0</v>
      </c>
      <c r="D836" s="16" t="s">
        <v>764</v>
      </c>
      <c r="E836" s="16" t="s">
        <v>4690</v>
      </c>
      <c r="F836" s="16" t="s">
        <v>195</v>
      </c>
      <c r="G836" s="16" t="s">
        <v>1077</v>
      </c>
      <c r="H836" s="23">
        <v>3.0</v>
      </c>
      <c r="I836" s="23">
        <v>24.0</v>
      </c>
      <c r="J836" s="23">
        <v>72.0</v>
      </c>
      <c r="K836" s="16" t="s">
        <v>1081</v>
      </c>
      <c r="L836" s="23">
        <v>5.0</v>
      </c>
      <c r="M836" s="23">
        <v>45.0</v>
      </c>
      <c r="N836" s="23">
        <v>225.0</v>
      </c>
      <c r="O836" s="16">
        <v>7.5375964E7</v>
      </c>
      <c r="P836" s="23">
        <v>1.0</v>
      </c>
      <c r="Q836" s="23">
        <v>18.0</v>
      </c>
      <c r="R836" s="23">
        <v>18.0</v>
      </c>
      <c r="S836" s="16" t="s">
        <v>1074</v>
      </c>
      <c r="T836" s="23">
        <v>5.0</v>
      </c>
      <c r="U836" s="23">
        <v>38.0</v>
      </c>
      <c r="V836" s="23">
        <v>190.0</v>
      </c>
      <c r="W836" s="16" t="s">
        <v>1079</v>
      </c>
      <c r="X836" s="23">
        <v>20.0</v>
      </c>
      <c r="Y836" s="23">
        <v>17.5</v>
      </c>
      <c r="Z836" s="23">
        <v>350.0</v>
      </c>
      <c r="AA836" s="16" t="s">
        <v>1075</v>
      </c>
      <c r="AB836" s="23">
        <v>3.0</v>
      </c>
      <c r="AC836" s="23">
        <v>36.5</v>
      </c>
      <c r="AD836" s="23">
        <v>109.5</v>
      </c>
      <c r="AH836" s="23">
        <v>0.0</v>
      </c>
      <c r="AL836" s="23">
        <v>0.0</v>
      </c>
      <c r="AP836" s="23">
        <v>0.0</v>
      </c>
      <c r="AT836" s="23">
        <v>0.0</v>
      </c>
      <c r="AX836" s="23">
        <v>0.0</v>
      </c>
      <c r="BF836" s="23">
        <v>0.0</v>
      </c>
      <c r="BJ836" s="23">
        <v>0.0</v>
      </c>
      <c r="BN836" s="23">
        <v>0.0</v>
      </c>
      <c r="BO836" s="23">
        <v>964.5</v>
      </c>
      <c r="BP836" s="16" t="s">
        <v>4692</v>
      </c>
      <c r="BQ836" s="16" t="b">
        <v>1</v>
      </c>
      <c r="BR836" s="23">
        <v>964.5</v>
      </c>
      <c r="BT836" s="16" t="b">
        <v>0</v>
      </c>
      <c r="BU836" s="16" t="s">
        <v>546</v>
      </c>
      <c r="BW836" s="16" t="s">
        <v>4694</v>
      </c>
    </row>
    <row r="837">
      <c r="A837" s="16" t="s">
        <v>4698</v>
      </c>
      <c r="B837" s="16" t="s">
        <v>35</v>
      </c>
      <c r="C837" s="22">
        <v>45643.0</v>
      </c>
      <c r="F837" s="16" t="s">
        <v>4700</v>
      </c>
      <c r="G837" s="16" t="s">
        <v>1239</v>
      </c>
      <c r="H837" s="16">
        <v>1.0</v>
      </c>
      <c r="I837" s="23">
        <v>859.05</v>
      </c>
      <c r="J837" s="23">
        <v>859.05</v>
      </c>
      <c r="BO837" s="23">
        <v>859.05</v>
      </c>
      <c r="BR837" s="23">
        <v>859.05</v>
      </c>
      <c r="BU837" s="16" t="s">
        <v>539</v>
      </c>
      <c r="BV837" s="16" t="s">
        <v>658</v>
      </c>
    </row>
    <row r="838">
      <c r="A838" s="16" t="s">
        <v>4704</v>
      </c>
      <c r="B838" s="16" t="s">
        <v>35</v>
      </c>
      <c r="C838" s="22">
        <v>45643.0</v>
      </c>
      <c r="F838" s="16" t="s">
        <v>4700</v>
      </c>
      <c r="G838" s="16" t="s">
        <v>1239</v>
      </c>
      <c r="H838" s="16">
        <v>1.0</v>
      </c>
      <c r="I838" s="23">
        <v>1872.5</v>
      </c>
      <c r="J838" s="23">
        <v>1872.5</v>
      </c>
      <c r="BO838" s="23">
        <v>1872.5</v>
      </c>
      <c r="BR838" s="23">
        <v>1872.5</v>
      </c>
      <c r="BU838" s="16" t="s">
        <v>539</v>
      </c>
      <c r="BV838" s="16" t="s">
        <v>682</v>
      </c>
    </row>
    <row r="839">
      <c r="A839" s="16" t="s">
        <v>4710</v>
      </c>
      <c r="B839" s="16" t="s">
        <v>35</v>
      </c>
      <c r="C839" s="22">
        <v>45643.0</v>
      </c>
      <c r="F839" s="16" t="s">
        <v>4700</v>
      </c>
      <c r="G839" s="16" t="s">
        <v>1239</v>
      </c>
      <c r="H839" s="16">
        <v>1.0</v>
      </c>
      <c r="I839" s="23">
        <v>585.95</v>
      </c>
      <c r="J839" s="23">
        <v>585.95</v>
      </c>
      <c r="BO839" s="23">
        <v>585.95</v>
      </c>
      <c r="BR839" s="23">
        <v>585.95</v>
      </c>
      <c r="BU839" s="16" t="s">
        <v>539</v>
      </c>
      <c r="BV839" s="16" t="s">
        <v>2052</v>
      </c>
    </row>
    <row r="840">
      <c r="A840" s="16" t="s">
        <v>4716</v>
      </c>
      <c r="B840" s="16" t="s">
        <v>35</v>
      </c>
      <c r="C840" s="22">
        <v>45643.0</v>
      </c>
      <c r="F840" s="16" t="s">
        <v>4700</v>
      </c>
      <c r="G840" s="16" t="s">
        <v>1239</v>
      </c>
      <c r="H840" s="16">
        <v>1.0</v>
      </c>
      <c r="I840" s="23">
        <v>318.9</v>
      </c>
      <c r="J840" s="23">
        <v>318.9</v>
      </c>
      <c r="BO840" s="23">
        <v>318.9</v>
      </c>
      <c r="BR840" s="23">
        <v>318.9</v>
      </c>
      <c r="BU840" s="16" t="s">
        <v>539</v>
      </c>
      <c r="BV840" s="16" t="s">
        <v>227</v>
      </c>
    </row>
    <row r="841">
      <c r="A841" s="16" t="s">
        <v>4721</v>
      </c>
      <c r="B841" s="16" t="s">
        <v>35</v>
      </c>
      <c r="C841" s="22">
        <v>45643.0</v>
      </c>
      <c r="F841" s="16" t="s">
        <v>4700</v>
      </c>
      <c r="G841" s="16" t="s">
        <v>1239</v>
      </c>
      <c r="H841" s="16">
        <v>1.0</v>
      </c>
      <c r="I841" s="23">
        <v>147.54</v>
      </c>
      <c r="J841" s="23">
        <v>147.54</v>
      </c>
      <c r="BO841" s="23">
        <v>147.54</v>
      </c>
      <c r="BR841" s="23">
        <v>147.54</v>
      </c>
      <c r="BU841" s="16" t="s">
        <v>539</v>
      </c>
      <c r="BV841" s="16" t="s">
        <v>3795</v>
      </c>
    </row>
    <row r="842">
      <c r="A842" s="16" t="s">
        <v>4727</v>
      </c>
      <c r="B842" s="16" t="s">
        <v>35</v>
      </c>
      <c r="C842" s="22">
        <v>45643.0</v>
      </c>
      <c r="F842" s="16" t="s">
        <v>4700</v>
      </c>
      <c r="G842" s="16" t="s">
        <v>1239</v>
      </c>
      <c r="H842" s="16">
        <v>1.0</v>
      </c>
      <c r="I842" s="23">
        <v>805.92</v>
      </c>
      <c r="J842" s="23">
        <v>805.92</v>
      </c>
      <c r="BO842" s="23">
        <v>805.92</v>
      </c>
      <c r="BR842" s="23">
        <v>805.92</v>
      </c>
      <c r="BU842" s="16" t="s">
        <v>539</v>
      </c>
      <c r="BV842" s="16" t="s">
        <v>624</v>
      </c>
    </row>
    <row r="843">
      <c r="A843" s="16" t="s">
        <v>4732</v>
      </c>
      <c r="B843" s="16" t="s">
        <v>35</v>
      </c>
      <c r="C843" s="22">
        <v>45643.0</v>
      </c>
      <c r="D843" s="16" t="s">
        <v>2685</v>
      </c>
      <c r="F843" s="16" t="s">
        <v>4735</v>
      </c>
      <c r="G843" s="16" t="s">
        <v>2448</v>
      </c>
      <c r="H843" s="16">
        <v>1.0</v>
      </c>
      <c r="I843" s="23">
        <v>255.79</v>
      </c>
      <c r="J843" s="23">
        <v>255.79</v>
      </c>
      <c r="BO843" s="23">
        <v>255.79</v>
      </c>
      <c r="BR843" s="23">
        <v>255.79</v>
      </c>
      <c r="BU843" s="16" t="s">
        <v>539</v>
      </c>
    </row>
    <row r="844">
      <c r="A844" s="16" t="s">
        <v>4739</v>
      </c>
      <c r="B844" s="16" t="s">
        <v>35</v>
      </c>
      <c r="C844" s="22">
        <v>45646.0</v>
      </c>
      <c r="D844" s="16" t="s">
        <v>4741</v>
      </c>
      <c r="F844" s="16" t="s">
        <v>1314</v>
      </c>
      <c r="G844" s="16" t="s">
        <v>1787</v>
      </c>
      <c r="H844" s="16">
        <v>1.0</v>
      </c>
      <c r="I844" s="23">
        <v>1265.4</v>
      </c>
      <c r="J844" s="23">
        <v>1265.4</v>
      </c>
      <c r="BO844" s="23">
        <v>1265.4</v>
      </c>
      <c r="BR844" s="23">
        <v>1265.4</v>
      </c>
      <c r="BU844" s="16" t="s">
        <v>539</v>
      </c>
    </row>
    <row r="845">
      <c r="A845" s="16" t="s">
        <v>4745</v>
      </c>
      <c r="B845" s="16" t="s">
        <v>35</v>
      </c>
      <c r="C845" s="22">
        <v>45649.0</v>
      </c>
      <c r="D845" s="16" t="s">
        <v>460</v>
      </c>
      <c r="F845" s="16" t="s">
        <v>4748</v>
      </c>
      <c r="G845" s="16" t="s">
        <v>5853</v>
      </c>
      <c r="H845" s="16">
        <v>1.0</v>
      </c>
      <c r="I845" s="23">
        <v>850.0</v>
      </c>
      <c r="J845" s="23">
        <v>850.0</v>
      </c>
      <c r="BO845" s="23">
        <v>850.0</v>
      </c>
      <c r="BR845" s="23">
        <v>850.0</v>
      </c>
      <c r="BU845" s="16" t="s">
        <v>539</v>
      </c>
    </row>
    <row r="846">
      <c r="A846" s="16" t="s">
        <v>4752</v>
      </c>
      <c r="B846" s="16" t="s">
        <v>35</v>
      </c>
      <c r="C846" s="22">
        <v>45649.0</v>
      </c>
      <c r="D846" s="16" t="s">
        <v>460</v>
      </c>
      <c r="F846" s="16" t="s">
        <v>4754</v>
      </c>
      <c r="G846" s="16" t="s">
        <v>5856</v>
      </c>
      <c r="H846" s="16">
        <v>1.0</v>
      </c>
      <c r="I846" s="23">
        <v>716.0</v>
      </c>
      <c r="J846" s="23">
        <v>716.0</v>
      </c>
      <c r="BO846" s="23">
        <v>716.0</v>
      </c>
      <c r="BR846" s="23">
        <v>716.0</v>
      </c>
      <c r="BU846" s="16" t="s">
        <v>539</v>
      </c>
    </row>
    <row r="847">
      <c r="A847" s="16" t="s">
        <v>4758</v>
      </c>
      <c r="B847" s="16" t="s">
        <v>35</v>
      </c>
      <c r="C847" s="22">
        <v>45649.0</v>
      </c>
      <c r="D847" s="16" t="s">
        <v>460</v>
      </c>
      <c r="F847" s="16" t="s">
        <v>4761</v>
      </c>
      <c r="G847" s="16" t="s">
        <v>305</v>
      </c>
      <c r="H847" s="16">
        <v>1.0</v>
      </c>
      <c r="I847" s="23">
        <v>384.0</v>
      </c>
      <c r="J847" s="23">
        <v>384.0</v>
      </c>
      <c r="BO847" s="23">
        <v>384.0</v>
      </c>
      <c r="BR847" s="23">
        <v>384.0</v>
      </c>
      <c r="BU847" s="16" t="s">
        <v>539</v>
      </c>
    </row>
    <row r="848">
      <c r="A848" s="16" t="s">
        <v>4764</v>
      </c>
      <c r="B848" s="16" t="s">
        <v>35</v>
      </c>
      <c r="C848" s="22">
        <v>45636.0</v>
      </c>
      <c r="D848" s="16" t="s">
        <v>1036</v>
      </c>
      <c r="E848" s="16" t="s">
        <v>4767</v>
      </c>
      <c r="F848" s="16" t="s">
        <v>4770</v>
      </c>
      <c r="G848" s="16" t="s">
        <v>1668</v>
      </c>
      <c r="H848" s="23">
        <v>1.0</v>
      </c>
      <c r="I848" s="23">
        <v>118.0</v>
      </c>
      <c r="J848" s="23">
        <v>118.0</v>
      </c>
      <c r="N848" s="23">
        <v>0.0</v>
      </c>
      <c r="R848" s="23">
        <v>0.0</v>
      </c>
      <c r="V848" s="23">
        <v>0.0</v>
      </c>
      <c r="Z848" s="23">
        <v>0.0</v>
      </c>
      <c r="AD848" s="23">
        <v>0.0</v>
      </c>
      <c r="AH848" s="23">
        <v>0.0</v>
      </c>
      <c r="AL848" s="23">
        <v>0.0</v>
      </c>
      <c r="AP848" s="23">
        <v>0.0</v>
      </c>
      <c r="AT848" s="23">
        <v>0.0</v>
      </c>
      <c r="AX848" s="23">
        <v>0.0</v>
      </c>
      <c r="BF848" s="23">
        <v>0.0</v>
      </c>
      <c r="BJ848" s="23">
        <v>0.0</v>
      </c>
      <c r="BN848" s="23">
        <v>0.0</v>
      </c>
      <c r="BO848" s="23">
        <v>118.0</v>
      </c>
      <c r="BP848" s="16" t="s">
        <v>4768</v>
      </c>
      <c r="BQ848" s="16" t="b">
        <v>1</v>
      </c>
      <c r="BR848" s="23">
        <v>118.0</v>
      </c>
      <c r="BT848" s="16" t="b">
        <v>0</v>
      </c>
      <c r="BU848" s="16" t="s">
        <v>546</v>
      </c>
    </row>
    <row r="849">
      <c r="A849" s="16" t="s">
        <v>4773</v>
      </c>
      <c r="B849" s="16" t="s">
        <v>35</v>
      </c>
      <c r="C849" s="22">
        <v>45638.0</v>
      </c>
      <c r="D849" s="16" t="s">
        <v>890</v>
      </c>
      <c r="E849" s="16" t="s">
        <v>4775</v>
      </c>
      <c r="F849" s="16" t="s">
        <v>4778</v>
      </c>
      <c r="G849" s="16" t="s">
        <v>5862</v>
      </c>
      <c r="H849" s="23">
        <v>1.0</v>
      </c>
      <c r="I849" s="23">
        <v>266.83</v>
      </c>
      <c r="J849" s="23">
        <v>266.83</v>
      </c>
      <c r="N849" s="23">
        <v>0.0</v>
      </c>
      <c r="R849" s="23">
        <v>0.0</v>
      </c>
      <c r="V849" s="23">
        <v>0.0</v>
      </c>
      <c r="Z849" s="23">
        <v>0.0</v>
      </c>
      <c r="AD849" s="23">
        <v>0.0</v>
      </c>
      <c r="AH849" s="23">
        <v>0.0</v>
      </c>
      <c r="AL849" s="23">
        <v>0.0</v>
      </c>
      <c r="AP849" s="23">
        <v>0.0</v>
      </c>
      <c r="AT849" s="23">
        <v>0.0</v>
      </c>
      <c r="AX849" s="23">
        <v>0.0</v>
      </c>
      <c r="BF849" s="23">
        <v>0.0</v>
      </c>
      <c r="BJ849" s="23">
        <v>0.0</v>
      </c>
      <c r="BN849" s="23">
        <v>0.0</v>
      </c>
      <c r="BO849" s="23">
        <v>266.83</v>
      </c>
      <c r="BP849" s="16" t="s">
        <v>4777</v>
      </c>
      <c r="BQ849" s="16" t="b">
        <v>1</v>
      </c>
      <c r="BR849" s="23">
        <v>266.83</v>
      </c>
      <c r="BT849" s="16" t="b">
        <v>0</v>
      </c>
      <c r="BU849" s="16" t="s">
        <v>546</v>
      </c>
    </row>
    <row r="850">
      <c r="A850" s="16" t="s">
        <v>4782</v>
      </c>
      <c r="B850" s="16" t="s">
        <v>35</v>
      </c>
      <c r="C850" s="22">
        <v>45638.0</v>
      </c>
      <c r="D850" s="16" t="s">
        <v>890</v>
      </c>
      <c r="E850" s="16" t="s">
        <v>4785</v>
      </c>
      <c r="F850" s="16" t="s">
        <v>4787</v>
      </c>
      <c r="G850" s="16" t="s">
        <v>1510</v>
      </c>
      <c r="H850" s="23">
        <v>1.0</v>
      </c>
      <c r="I850" s="23">
        <v>17966.87</v>
      </c>
      <c r="J850" s="23">
        <v>17966.87</v>
      </c>
      <c r="N850" s="23">
        <v>0.0</v>
      </c>
      <c r="R850" s="23">
        <v>0.0</v>
      </c>
      <c r="V850" s="23">
        <v>0.0</v>
      </c>
      <c r="Z850" s="23">
        <v>0.0</v>
      </c>
      <c r="AD850" s="23">
        <v>0.0</v>
      </c>
      <c r="AH850" s="23">
        <v>0.0</v>
      </c>
      <c r="AL850" s="23">
        <v>0.0</v>
      </c>
      <c r="AP850" s="23">
        <v>0.0</v>
      </c>
      <c r="AT850" s="23">
        <v>0.0</v>
      </c>
      <c r="AX850" s="23">
        <v>0.0</v>
      </c>
      <c r="BF850" s="23">
        <v>0.0</v>
      </c>
      <c r="BJ850" s="23">
        <v>0.0</v>
      </c>
      <c r="BN850" s="23">
        <v>0.0</v>
      </c>
      <c r="BO850" s="23">
        <v>17966.87</v>
      </c>
      <c r="BP850" s="16" t="s">
        <v>4786</v>
      </c>
      <c r="BQ850" s="16" t="b">
        <v>1</v>
      </c>
      <c r="BR850" s="23">
        <v>17966.87</v>
      </c>
      <c r="BT850" s="16" t="b">
        <v>0</v>
      </c>
      <c r="BU850" s="16" t="s">
        <v>546</v>
      </c>
      <c r="BW850" s="16" t="s">
        <v>4793</v>
      </c>
    </row>
    <row r="851">
      <c r="A851" s="16" t="s">
        <v>4796</v>
      </c>
      <c r="B851" s="16" t="s">
        <v>35</v>
      </c>
      <c r="C851" s="22">
        <v>45639.0</v>
      </c>
      <c r="D851" s="16" t="s">
        <v>890</v>
      </c>
      <c r="E851" s="16" t="s">
        <v>4798</v>
      </c>
      <c r="F851" s="16" t="s">
        <v>1511</v>
      </c>
      <c r="G851" s="16" t="s">
        <v>1517</v>
      </c>
      <c r="H851" s="23">
        <v>1.0</v>
      </c>
      <c r="I851" s="23">
        <v>10048.93</v>
      </c>
      <c r="J851" s="23">
        <v>10048.93</v>
      </c>
      <c r="N851" s="23">
        <v>0.0</v>
      </c>
      <c r="R851" s="23">
        <v>0.0</v>
      </c>
      <c r="V851" s="23">
        <v>0.0</v>
      </c>
      <c r="Z851" s="23">
        <v>0.0</v>
      </c>
      <c r="AD851" s="23">
        <v>0.0</v>
      </c>
      <c r="AH851" s="23">
        <v>0.0</v>
      </c>
      <c r="AL851" s="23">
        <v>0.0</v>
      </c>
      <c r="AP851" s="23">
        <v>0.0</v>
      </c>
      <c r="AT851" s="23">
        <v>0.0</v>
      </c>
      <c r="AX851" s="23">
        <v>0.0</v>
      </c>
      <c r="BF851" s="23">
        <v>0.0</v>
      </c>
      <c r="BJ851" s="23">
        <v>0.0</v>
      </c>
      <c r="BN851" s="23">
        <v>0.0</v>
      </c>
      <c r="BO851" s="23">
        <v>10048.93</v>
      </c>
      <c r="BP851" s="16" t="s">
        <v>4799</v>
      </c>
      <c r="BQ851" s="16" t="b">
        <v>1</v>
      </c>
      <c r="BR851" s="23">
        <v>10048.93</v>
      </c>
      <c r="BT851" s="16" t="b">
        <v>0</v>
      </c>
      <c r="BU851" s="16" t="s">
        <v>546</v>
      </c>
      <c r="BW851" s="16" t="s">
        <v>4802</v>
      </c>
      <c r="BX851" s="16" t="s">
        <v>4803</v>
      </c>
    </row>
    <row r="852">
      <c r="A852" s="23">
        <v>3.742165E7</v>
      </c>
      <c r="B852" s="16" t="s">
        <v>35</v>
      </c>
      <c r="C852" s="22">
        <v>45642.0</v>
      </c>
      <c r="D852" s="16" t="s">
        <v>543</v>
      </c>
      <c r="E852" s="16" t="s">
        <v>4807</v>
      </c>
      <c r="F852" s="16" t="s">
        <v>171</v>
      </c>
      <c r="G852" s="16">
        <v>1.2539885E7</v>
      </c>
      <c r="H852" s="23">
        <v>1.0</v>
      </c>
      <c r="I852" s="23">
        <v>500.0</v>
      </c>
      <c r="J852" s="23">
        <v>500.0</v>
      </c>
      <c r="N852" s="23">
        <v>0.0</v>
      </c>
      <c r="R852" s="23">
        <v>0.0</v>
      </c>
      <c r="V852" s="23">
        <v>0.0</v>
      </c>
      <c r="Z852" s="23">
        <v>0.0</v>
      </c>
      <c r="AD852" s="23">
        <v>0.0</v>
      </c>
      <c r="AH852" s="23">
        <v>0.0</v>
      </c>
      <c r="AL852" s="23">
        <v>0.0</v>
      </c>
      <c r="AP852" s="23">
        <v>0.0</v>
      </c>
      <c r="AT852" s="23">
        <v>0.0</v>
      </c>
      <c r="AX852" s="23">
        <v>0.0</v>
      </c>
      <c r="BF852" s="23">
        <v>0.0</v>
      </c>
      <c r="BJ852" s="23">
        <v>0.0</v>
      </c>
      <c r="BN852" s="23">
        <v>0.0</v>
      </c>
      <c r="BO852" s="23">
        <v>500.0</v>
      </c>
      <c r="BP852" s="16" t="s">
        <v>4809</v>
      </c>
      <c r="BQ852" s="16" t="b">
        <v>1</v>
      </c>
      <c r="BR852" s="23">
        <v>500.0</v>
      </c>
      <c r="BT852" s="16" t="b">
        <v>0</v>
      </c>
      <c r="BU852" s="16" t="s">
        <v>546</v>
      </c>
    </row>
    <row r="853">
      <c r="A853" s="16" t="s">
        <v>4813</v>
      </c>
      <c r="B853" s="16" t="s">
        <v>35</v>
      </c>
      <c r="C853" s="22">
        <v>45642.0</v>
      </c>
      <c r="D853" s="23">
        <v>6.8893939E7</v>
      </c>
      <c r="E853" s="16" t="s">
        <v>4815</v>
      </c>
      <c r="F853" s="16" t="s">
        <v>605</v>
      </c>
      <c r="G853" s="16" t="s">
        <v>1725</v>
      </c>
      <c r="H853" s="23">
        <v>1.0</v>
      </c>
      <c r="I853" s="23">
        <v>4879.73</v>
      </c>
      <c r="J853" s="23">
        <v>4879.73</v>
      </c>
      <c r="N853" s="23">
        <v>0.0</v>
      </c>
      <c r="R853" s="23">
        <v>0.0</v>
      </c>
      <c r="V853" s="23">
        <v>0.0</v>
      </c>
      <c r="Z853" s="23">
        <v>0.0</v>
      </c>
      <c r="AD853" s="23">
        <v>0.0</v>
      </c>
      <c r="AH853" s="23">
        <v>0.0</v>
      </c>
      <c r="AL853" s="23">
        <v>0.0</v>
      </c>
      <c r="AP853" s="23">
        <v>0.0</v>
      </c>
      <c r="AT853" s="23">
        <v>0.0</v>
      </c>
      <c r="AX853" s="23">
        <v>0.0</v>
      </c>
      <c r="BF853" s="23">
        <v>0.0</v>
      </c>
      <c r="BJ853" s="23">
        <v>0.0</v>
      </c>
      <c r="BN853" s="23">
        <v>0.0</v>
      </c>
      <c r="BO853" s="23">
        <v>4879.73</v>
      </c>
      <c r="BP853" s="16" t="s">
        <v>4817</v>
      </c>
      <c r="BQ853" s="16" t="b">
        <v>1</v>
      </c>
      <c r="BR853" s="23">
        <v>4879.73</v>
      </c>
      <c r="BT853" s="16" t="b">
        <v>0</v>
      </c>
      <c r="BU853" s="16" t="s">
        <v>546</v>
      </c>
    </row>
    <row r="854">
      <c r="A854" s="23">
        <v>8.6312875E7</v>
      </c>
      <c r="B854" s="16" t="s">
        <v>35</v>
      </c>
      <c r="C854" s="22">
        <v>45643.0</v>
      </c>
      <c r="D854" s="16" t="s">
        <v>112</v>
      </c>
      <c r="E854" s="16" t="s">
        <v>4821</v>
      </c>
      <c r="F854" s="16" t="s">
        <v>157</v>
      </c>
      <c r="G854" s="16" t="s">
        <v>152</v>
      </c>
      <c r="H854" s="23">
        <v>1.0</v>
      </c>
      <c r="I854" s="23">
        <v>10.33</v>
      </c>
      <c r="J854" s="23">
        <v>10.33</v>
      </c>
      <c r="K854" s="16" t="s">
        <v>155</v>
      </c>
      <c r="L854" s="23">
        <v>1.0</v>
      </c>
      <c r="M854" s="23">
        <v>24.37</v>
      </c>
      <c r="N854" s="23">
        <v>24.37</v>
      </c>
      <c r="O854" s="16" t="s">
        <v>159</v>
      </c>
      <c r="P854" s="23">
        <v>1.0</v>
      </c>
      <c r="Q854" s="23">
        <v>156.0</v>
      </c>
      <c r="R854" s="23">
        <v>156.0</v>
      </c>
      <c r="V854" s="23">
        <v>0.0</v>
      </c>
      <c r="Z854" s="23">
        <v>0.0</v>
      </c>
      <c r="AD854" s="23">
        <v>0.0</v>
      </c>
      <c r="AH854" s="23">
        <v>0.0</v>
      </c>
      <c r="AL854" s="23">
        <v>0.0</v>
      </c>
      <c r="AP854" s="23">
        <v>0.0</v>
      </c>
      <c r="AT854" s="23">
        <v>0.0</v>
      </c>
      <c r="AX854" s="23">
        <v>0.0</v>
      </c>
      <c r="BF854" s="23">
        <v>0.0</v>
      </c>
      <c r="BJ854" s="23">
        <v>0.0</v>
      </c>
      <c r="BN854" s="23">
        <v>0.0</v>
      </c>
      <c r="BO854" s="23">
        <v>190.7</v>
      </c>
      <c r="BP854" s="16" t="s">
        <v>4823</v>
      </c>
      <c r="BQ854" s="16" t="b">
        <v>1</v>
      </c>
      <c r="BR854" s="23">
        <v>190.7</v>
      </c>
      <c r="BT854" s="16" t="b">
        <v>0</v>
      </c>
      <c r="BU854" s="16" t="s">
        <v>546</v>
      </c>
    </row>
    <row r="855">
      <c r="A855" s="16" t="s">
        <v>4827</v>
      </c>
      <c r="B855" s="16" t="s">
        <v>35</v>
      </c>
      <c r="C855" s="22">
        <v>45644.0</v>
      </c>
      <c r="D855" s="16" t="s">
        <v>112</v>
      </c>
      <c r="E855" s="16" t="s">
        <v>4830</v>
      </c>
      <c r="F855" s="16" t="s">
        <v>157</v>
      </c>
      <c r="G855" s="16" t="s">
        <v>159</v>
      </c>
      <c r="H855" s="23">
        <v>1.0</v>
      </c>
      <c r="I855" s="23">
        <v>195.0</v>
      </c>
      <c r="J855" s="23">
        <v>195.0</v>
      </c>
      <c r="K855" s="16" t="s">
        <v>155</v>
      </c>
      <c r="L855" s="23">
        <v>1.0</v>
      </c>
      <c r="M855" s="23">
        <v>21.36</v>
      </c>
      <c r="N855" s="23">
        <v>21.36</v>
      </c>
      <c r="O855" s="16" t="s">
        <v>226</v>
      </c>
      <c r="P855" s="23">
        <v>1.0</v>
      </c>
      <c r="Q855" s="23">
        <v>95.0</v>
      </c>
      <c r="R855" s="23">
        <v>95.0</v>
      </c>
      <c r="V855" s="23">
        <v>0.0</v>
      </c>
      <c r="Z855" s="23">
        <v>0.0</v>
      </c>
      <c r="AD855" s="23">
        <v>0.0</v>
      </c>
      <c r="AH855" s="23">
        <v>0.0</v>
      </c>
      <c r="AL855" s="23">
        <v>0.0</v>
      </c>
      <c r="AP855" s="23">
        <v>0.0</v>
      </c>
      <c r="AT855" s="23">
        <v>0.0</v>
      </c>
      <c r="AX855" s="23">
        <v>0.0</v>
      </c>
      <c r="BF855" s="23">
        <v>0.0</v>
      </c>
      <c r="BJ855" s="23">
        <v>0.0</v>
      </c>
      <c r="BN855" s="23">
        <v>0.0</v>
      </c>
      <c r="BO855" s="23">
        <v>311.36</v>
      </c>
      <c r="BP855" s="16" t="s">
        <v>4832</v>
      </c>
      <c r="BQ855" s="16" t="b">
        <v>1</v>
      </c>
      <c r="BR855" s="23">
        <v>311.36</v>
      </c>
      <c r="BT855" s="16" t="b">
        <v>0</v>
      </c>
      <c r="BU855" s="16" t="s">
        <v>546</v>
      </c>
    </row>
    <row r="856">
      <c r="A856" s="16" t="s">
        <v>4836</v>
      </c>
      <c r="B856" s="16" t="s">
        <v>35</v>
      </c>
      <c r="C856" s="22">
        <v>45645.0</v>
      </c>
      <c r="D856" s="16" t="s">
        <v>3716</v>
      </c>
      <c r="E856" s="16" t="s">
        <v>4839</v>
      </c>
      <c r="F856" s="16" t="s">
        <v>195</v>
      </c>
      <c r="G856" s="16" t="s">
        <v>1080</v>
      </c>
      <c r="H856" s="23">
        <v>1.0</v>
      </c>
      <c r="I856" s="23">
        <v>208.5</v>
      </c>
      <c r="J856" s="23">
        <v>208.5</v>
      </c>
      <c r="N856" s="23">
        <v>0.0</v>
      </c>
      <c r="R856" s="23">
        <v>0.0</v>
      </c>
      <c r="V856" s="23">
        <v>0.0</v>
      </c>
      <c r="Z856" s="23">
        <v>0.0</v>
      </c>
      <c r="AD856" s="23">
        <v>0.0</v>
      </c>
      <c r="AH856" s="23">
        <v>0.0</v>
      </c>
      <c r="AL856" s="23">
        <v>0.0</v>
      </c>
      <c r="AP856" s="23">
        <v>0.0</v>
      </c>
      <c r="AT856" s="23">
        <v>0.0</v>
      </c>
      <c r="AX856" s="23">
        <v>0.0</v>
      </c>
      <c r="BF856" s="23">
        <v>0.0</v>
      </c>
      <c r="BJ856" s="23">
        <v>0.0</v>
      </c>
      <c r="BN856" s="23">
        <v>0.0</v>
      </c>
      <c r="BO856" s="23">
        <v>208.5</v>
      </c>
      <c r="BP856" s="16" t="s">
        <v>4840</v>
      </c>
      <c r="BQ856" s="16" t="b">
        <v>1</v>
      </c>
      <c r="BR856" s="23">
        <v>208.5</v>
      </c>
      <c r="BS856" s="23">
        <v>1210891.0</v>
      </c>
      <c r="BT856" s="16" t="b">
        <v>1</v>
      </c>
      <c r="BU856" s="16" t="s">
        <v>546</v>
      </c>
    </row>
    <row r="857">
      <c r="A857" s="16" t="s">
        <v>4844</v>
      </c>
      <c r="B857" s="16" t="s">
        <v>35</v>
      </c>
      <c r="C857" s="22">
        <v>45646.0</v>
      </c>
      <c r="D857" s="16" t="s">
        <v>543</v>
      </c>
      <c r="E857" s="16" t="s">
        <v>4847</v>
      </c>
      <c r="F857" s="16" t="s">
        <v>171</v>
      </c>
      <c r="G857" s="16">
        <v>1.2539885E7</v>
      </c>
      <c r="H857" s="23">
        <v>1.0</v>
      </c>
      <c r="I857" s="23">
        <v>250.0</v>
      </c>
      <c r="J857" s="23">
        <v>250.0</v>
      </c>
      <c r="N857" s="23">
        <v>0.0</v>
      </c>
      <c r="R857" s="23">
        <v>0.0</v>
      </c>
      <c r="V857" s="23">
        <v>0.0</v>
      </c>
      <c r="Z857" s="23">
        <v>0.0</v>
      </c>
      <c r="AD857" s="23">
        <v>0.0</v>
      </c>
      <c r="AH857" s="23">
        <v>0.0</v>
      </c>
      <c r="AL857" s="23">
        <v>0.0</v>
      </c>
      <c r="AP857" s="23">
        <v>0.0</v>
      </c>
      <c r="AT857" s="23">
        <v>0.0</v>
      </c>
      <c r="AX857" s="23">
        <v>0.0</v>
      </c>
      <c r="BF857" s="23">
        <v>0.0</v>
      </c>
      <c r="BJ857" s="23">
        <v>0.0</v>
      </c>
      <c r="BN857" s="23">
        <v>0.0</v>
      </c>
      <c r="BO857" s="23">
        <v>250.0</v>
      </c>
      <c r="BP857" s="16" t="s">
        <v>4848</v>
      </c>
      <c r="BQ857" s="16" t="b">
        <v>1</v>
      </c>
      <c r="BR857" s="23">
        <v>250.0</v>
      </c>
      <c r="BT857" s="16" t="b">
        <v>0</v>
      </c>
      <c r="BU857" s="16" t="s">
        <v>546</v>
      </c>
    </row>
    <row r="858">
      <c r="A858" s="23">
        <v>9.6144959E7</v>
      </c>
      <c r="B858" s="16" t="s">
        <v>35</v>
      </c>
      <c r="C858" s="22">
        <v>45646.0</v>
      </c>
      <c r="D858" s="16" t="s">
        <v>112</v>
      </c>
      <c r="E858" s="16" t="s">
        <v>4853</v>
      </c>
      <c r="F858" s="16" t="s">
        <v>157</v>
      </c>
      <c r="G858" s="16" t="s">
        <v>159</v>
      </c>
      <c r="H858" s="23">
        <v>1.0</v>
      </c>
      <c r="I858" s="23">
        <v>195.0</v>
      </c>
      <c r="J858" s="23">
        <v>195.0</v>
      </c>
      <c r="K858" s="16" t="s">
        <v>152</v>
      </c>
      <c r="L858" s="23">
        <v>1.0</v>
      </c>
      <c r="M858" s="23">
        <v>8.03</v>
      </c>
      <c r="N858" s="23">
        <v>8.03</v>
      </c>
      <c r="O858" s="16" t="s">
        <v>226</v>
      </c>
      <c r="P858" s="23">
        <v>1.0</v>
      </c>
      <c r="Q858" s="23">
        <v>95.0</v>
      </c>
      <c r="R858" s="23">
        <v>95.0</v>
      </c>
      <c r="V858" s="23">
        <v>0.0</v>
      </c>
      <c r="Z858" s="23">
        <v>0.0</v>
      </c>
      <c r="AD858" s="23">
        <v>0.0</v>
      </c>
      <c r="AH858" s="23">
        <v>0.0</v>
      </c>
      <c r="AL858" s="23">
        <v>0.0</v>
      </c>
      <c r="AP858" s="23">
        <v>0.0</v>
      </c>
      <c r="AT858" s="23">
        <v>0.0</v>
      </c>
      <c r="AX858" s="23">
        <v>0.0</v>
      </c>
      <c r="BF858" s="23">
        <v>0.0</v>
      </c>
      <c r="BJ858" s="23">
        <v>0.0</v>
      </c>
      <c r="BN858" s="23">
        <v>0.0</v>
      </c>
      <c r="BO858" s="23">
        <v>298.03</v>
      </c>
      <c r="BP858" s="16" t="s">
        <v>4855</v>
      </c>
      <c r="BQ858" s="16" t="b">
        <v>1</v>
      </c>
      <c r="BR858" s="23">
        <v>298.03</v>
      </c>
      <c r="BT858" s="16" t="b">
        <v>0</v>
      </c>
      <c r="BU858" s="16" t="s">
        <v>546</v>
      </c>
    </row>
    <row r="859">
      <c r="A859" s="16" t="s">
        <v>4859</v>
      </c>
      <c r="B859" s="16" t="s">
        <v>35</v>
      </c>
      <c r="C859" s="22">
        <v>45647.0</v>
      </c>
      <c r="D859" s="16" t="s">
        <v>112</v>
      </c>
      <c r="E859" s="16" t="s">
        <v>4861</v>
      </c>
      <c r="F859" s="16" t="s">
        <v>157</v>
      </c>
      <c r="G859" s="16" t="s">
        <v>159</v>
      </c>
      <c r="H859" s="23">
        <v>1.0</v>
      </c>
      <c r="I859" s="23">
        <v>260.0</v>
      </c>
      <c r="J859" s="23">
        <v>260.0</v>
      </c>
      <c r="K859" s="16" t="s">
        <v>155</v>
      </c>
      <c r="L859" s="23">
        <v>1.0</v>
      </c>
      <c r="M859" s="23">
        <v>40.0</v>
      </c>
      <c r="N859" s="23">
        <v>40.0</v>
      </c>
      <c r="O859" s="16" t="s">
        <v>152</v>
      </c>
      <c r="P859" s="23">
        <v>1.0</v>
      </c>
      <c r="Q859" s="23">
        <v>8.74</v>
      </c>
      <c r="R859" s="23">
        <v>8.74</v>
      </c>
      <c r="S859" s="16" t="s">
        <v>226</v>
      </c>
      <c r="T859" s="23">
        <v>1.0</v>
      </c>
      <c r="U859" s="23">
        <v>47.5</v>
      </c>
      <c r="V859" s="23">
        <v>47.5</v>
      </c>
      <c r="Z859" s="23">
        <v>0.0</v>
      </c>
      <c r="AD859" s="23">
        <v>0.0</v>
      </c>
      <c r="AH859" s="23">
        <v>0.0</v>
      </c>
      <c r="AL859" s="23">
        <v>0.0</v>
      </c>
      <c r="AP859" s="23">
        <v>0.0</v>
      </c>
      <c r="AT859" s="23">
        <v>0.0</v>
      </c>
      <c r="AX859" s="23">
        <v>0.0</v>
      </c>
      <c r="BF859" s="23">
        <v>0.0</v>
      </c>
      <c r="BJ859" s="23">
        <v>0.0</v>
      </c>
      <c r="BN859" s="23">
        <v>0.0</v>
      </c>
      <c r="BO859" s="23">
        <v>356.24</v>
      </c>
      <c r="BP859" s="16" t="s">
        <v>4863</v>
      </c>
      <c r="BQ859" s="16" t="b">
        <v>1</v>
      </c>
      <c r="BR859" s="23">
        <v>356.24</v>
      </c>
      <c r="BT859" s="16" t="b">
        <v>0</v>
      </c>
      <c r="BU859" s="16" t="s">
        <v>546</v>
      </c>
    </row>
    <row r="860">
      <c r="A860" s="16" t="s">
        <v>4867</v>
      </c>
      <c r="B860" s="16" t="s">
        <v>35</v>
      </c>
      <c r="C860" s="22">
        <v>45648.0</v>
      </c>
      <c r="D860" s="16" t="s">
        <v>543</v>
      </c>
      <c r="E860" s="16" t="s">
        <v>4869</v>
      </c>
      <c r="F860" s="16" t="s">
        <v>171</v>
      </c>
      <c r="G860" s="16">
        <v>1.2539885E7</v>
      </c>
      <c r="H860" s="23">
        <v>1.0</v>
      </c>
      <c r="I860" s="23">
        <v>550.0</v>
      </c>
      <c r="J860" s="23">
        <v>550.0</v>
      </c>
      <c r="N860" s="23">
        <v>0.0</v>
      </c>
      <c r="R860" s="23">
        <v>0.0</v>
      </c>
      <c r="V860" s="23">
        <v>0.0</v>
      </c>
      <c r="Z860" s="23">
        <v>0.0</v>
      </c>
      <c r="AD860" s="23">
        <v>0.0</v>
      </c>
      <c r="AH860" s="23">
        <v>0.0</v>
      </c>
      <c r="AL860" s="23">
        <v>0.0</v>
      </c>
      <c r="AP860" s="23">
        <v>0.0</v>
      </c>
      <c r="AT860" s="23">
        <v>0.0</v>
      </c>
      <c r="AX860" s="23">
        <v>0.0</v>
      </c>
      <c r="BF860" s="23">
        <v>0.0</v>
      </c>
      <c r="BJ860" s="23">
        <v>0.0</v>
      </c>
      <c r="BN860" s="23">
        <v>0.0</v>
      </c>
      <c r="BO860" s="23">
        <v>550.0</v>
      </c>
      <c r="BP860" s="16" t="s">
        <v>4871</v>
      </c>
      <c r="BQ860" s="16" t="b">
        <v>1</v>
      </c>
      <c r="BR860" s="23">
        <v>550.0</v>
      </c>
      <c r="BT860" s="16" t="b">
        <v>0</v>
      </c>
      <c r="BU860" s="16" t="s">
        <v>546</v>
      </c>
    </row>
    <row r="861">
      <c r="A861" s="16" t="s">
        <v>4876</v>
      </c>
      <c r="B861" s="16" t="s">
        <v>35</v>
      </c>
      <c r="C861" s="22">
        <v>45645.0</v>
      </c>
      <c r="D861" s="16" t="s">
        <v>764</v>
      </c>
      <c r="E861" s="16" t="s">
        <v>4878</v>
      </c>
      <c r="F861" s="16" t="s">
        <v>195</v>
      </c>
      <c r="G861" s="16" t="s">
        <v>1085</v>
      </c>
      <c r="H861" s="23">
        <v>1.0</v>
      </c>
      <c r="I861" s="23">
        <v>18.0</v>
      </c>
      <c r="J861" s="23">
        <v>18.0</v>
      </c>
      <c r="K861" s="16" t="s">
        <v>1074</v>
      </c>
      <c r="L861" s="23">
        <v>4.0</v>
      </c>
      <c r="M861" s="23">
        <v>37.0</v>
      </c>
      <c r="N861" s="23">
        <v>148.0</v>
      </c>
      <c r="O861" s="16" t="s">
        <v>1077</v>
      </c>
      <c r="P861" s="23">
        <v>3.0</v>
      </c>
      <c r="Q861" s="23">
        <v>24.0</v>
      </c>
      <c r="R861" s="23">
        <v>72.0</v>
      </c>
      <c r="S861" s="16" t="s">
        <v>1079</v>
      </c>
      <c r="T861" s="23">
        <v>15.0</v>
      </c>
      <c r="U861" s="23">
        <v>17.0</v>
      </c>
      <c r="V861" s="23">
        <v>255.0</v>
      </c>
      <c r="W861" s="16" t="s">
        <v>1081</v>
      </c>
      <c r="X861" s="23">
        <v>2.0</v>
      </c>
      <c r="Y861" s="23">
        <v>48.0</v>
      </c>
      <c r="Z861" s="23">
        <v>96.0</v>
      </c>
      <c r="AA861" s="16">
        <v>7.5375964E7</v>
      </c>
      <c r="AB861" s="23">
        <v>2.0</v>
      </c>
      <c r="AC861" s="23">
        <v>38.0</v>
      </c>
      <c r="AD861" s="23">
        <v>76.0</v>
      </c>
      <c r="AH861" s="23">
        <v>0.0</v>
      </c>
      <c r="AL861" s="23">
        <v>0.0</v>
      </c>
      <c r="AP861" s="23">
        <v>0.0</v>
      </c>
      <c r="AT861" s="23">
        <v>0.0</v>
      </c>
      <c r="AX861" s="23">
        <v>0.0</v>
      </c>
      <c r="BF861" s="23">
        <v>0.0</v>
      </c>
      <c r="BJ861" s="23">
        <v>0.0</v>
      </c>
      <c r="BN861" s="23">
        <v>0.0</v>
      </c>
      <c r="BO861" s="23">
        <v>665.0</v>
      </c>
      <c r="BP861" s="16" t="s">
        <v>4880</v>
      </c>
      <c r="BQ861" s="16" t="b">
        <v>1</v>
      </c>
      <c r="BR861" s="23">
        <v>665.0</v>
      </c>
      <c r="BT861" s="16" t="b">
        <v>0</v>
      </c>
      <c r="BU861" s="16" t="s">
        <v>546</v>
      </c>
    </row>
    <row r="862">
      <c r="A862" s="16" t="s">
        <v>4883</v>
      </c>
      <c r="B862" s="16" t="s">
        <v>35</v>
      </c>
      <c r="C862" s="22">
        <v>45650.0</v>
      </c>
      <c r="D862" s="16" t="s">
        <v>193</v>
      </c>
      <c r="E862" s="16" t="s">
        <v>4886</v>
      </c>
      <c r="F862" s="16" t="s">
        <v>195</v>
      </c>
      <c r="G862" s="16" t="s">
        <v>335</v>
      </c>
      <c r="H862" s="23">
        <v>4.0</v>
      </c>
      <c r="I862" s="23">
        <v>39.84</v>
      </c>
      <c r="J862" s="23">
        <v>159.36</v>
      </c>
      <c r="K862" s="16" t="s">
        <v>338</v>
      </c>
      <c r="L862" s="23">
        <v>10.0</v>
      </c>
      <c r="M862" s="23">
        <v>30.4</v>
      </c>
      <c r="N862" s="23">
        <v>304.0</v>
      </c>
      <c r="O862" s="16" t="s">
        <v>338</v>
      </c>
      <c r="P862" s="23">
        <v>2.0</v>
      </c>
      <c r="Q862" s="23">
        <v>45.6</v>
      </c>
      <c r="R862" s="23">
        <v>91.2</v>
      </c>
      <c r="S862" s="16" t="s">
        <v>1777</v>
      </c>
      <c r="T862" s="23">
        <v>2.0</v>
      </c>
      <c r="U862" s="23">
        <v>29.88</v>
      </c>
      <c r="V862" s="23">
        <v>59.76</v>
      </c>
      <c r="Z862" s="23">
        <v>0.0</v>
      </c>
      <c r="AD862" s="23">
        <v>0.0</v>
      </c>
      <c r="AH862" s="23">
        <v>0.0</v>
      </c>
      <c r="AL862" s="23">
        <v>0.0</v>
      </c>
      <c r="AP862" s="23">
        <v>0.0</v>
      </c>
      <c r="AT862" s="23">
        <v>0.0</v>
      </c>
      <c r="AX862" s="23">
        <v>0.0</v>
      </c>
      <c r="BF862" s="23">
        <v>0.0</v>
      </c>
      <c r="BJ862" s="23">
        <v>0.0</v>
      </c>
      <c r="BN862" s="23">
        <v>0.0</v>
      </c>
      <c r="BO862" s="23">
        <v>614.32</v>
      </c>
      <c r="BP862" s="16" t="s">
        <v>4887</v>
      </c>
      <c r="BQ862" s="16" t="b">
        <v>1</v>
      </c>
      <c r="BR862" s="23">
        <v>614.32</v>
      </c>
      <c r="BS862" s="16" t="s">
        <v>4892</v>
      </c>
      <c r="BT862" s="16" t="b">
        <v>1</v>
      </c>
      <c r="BU862" s="16" t="s">
        <v>546</v>
      </c>
      <c r="BW862" s="16" t="s">
        <v>4890</v>
      </c>
    </row>
    <row r="863">
      <c r="A863" s="16" t="s">
        <v>4894</v>
      </c>
      <c r="B863" s="16" t="s">
        <v>35</v>
      </c>
      <c r="C863" s="22">
        <v>45652.0</v>
      </c>
      <c r="D863" s="16" t="s">
        <v>112</v>
      </c>
      <c r="E863" s="16" t="s">
        <v>4896</v>
      </c>
      <c r="F863" s="16" t="s">
        <v>157</v>
      </c>
      <c r="G863" s="16" t="s">
        <v>159</v>
      </c>
      <c r="H863" s="23">
        <v>1.0</v>
      </c>
      <c r="I863" s="23">
        <v>210.0</v>
      </c>
      <c r="J863" s="23">
        <v>210.0</v>
      </c>
      <c r="K863" s="16" t="s">
        <v>155</v>
      </c>
      <c r="L863" s="23">
        <v>1.0</v>
      </c>
      <c r="M863" s="23">
        <v>42.22</v>
      </c>
      <c r="N863" s="23">
        <v>42.22</v>
      </c>
      <c r="O863" s="16" t="s">
        <v>152</v>
      </c>
      <c r="P863" s="23">
        <v>1.0</v>
      </c>
      <c r="Q863" s="23">
        <v>8.36</v>
      </c>
      <c r="R863" s="23">
        <v>8.36</v>
      </c>
      <c r="V863" s="23">
        <v>0.0</v>
      </c>
      <c r="Z863" s="23">
        <v>0.0</v>
      </c>
      <c r="AD863" s="23">
        <v>0.0</v>
      </c>
      <c r="AH863" s="23">
        <v>0.0</v>
      </c>
      <c r="AL863" s="23">
        <v>0.0</v>
      </c>
      <c r="AP863" s="23">
        <v>0.0</v>
      </c>
      <c r="AT863" s="23">
        <v>0.0</v>
      </c>
      <c r="AX863" s="23">
        <v>0.0</v>
      </c>
      <c r="BF863" s="23">
        <v>0.0</v>
      </c>
      <c r="BJ863" s="23">
        <v>0.0</v>
      </c>
      <c r="BN863" s="23">
        <v>0.0</v>
      </c>
      <c r="BO863" s="23">
        <v>260.58</v>
      </c>
      <c r="BP863" s="16" t="s">
        <v>4898</v>
      </c>
      <c r="BQ863" s="16" t="b">
        <v>1</v>
      </c>
      <c r="BR863" s="23">
        <v>260.58</v>
      </c>
      <c r="BT863" s="16" t="b">
        <v>0</v>
      </c>
      <c r="BU863" s="16" t="s">
        <v>546</v>
      </c>
    </row>
    <row r="864">
      <c r="A864" s="16" t="s">
        <v>4902</v>
      </c>
      <c r="B864" s="16" t="s">
        <v>35</v>
      </c>
      <c r="C864" s="22">
        <v>45652.0</v>
      </c>
      <c r="D864" s="16" t="s">
        <v>112</v>
      </c>
      <c r="E864" s="16" t="s">
        <v>4896</v>
      </c>
      <c r="F864" s="16" t="s">
        <v>157</v>
      </c>
      <c r="G864" s="16" t="s">
        <v>159</v>
      </c>
      <c r="H864" s="23">
        <v>1.0</v>
      </c>
      <c r="I864" s="23">
        <v>280.0</v>
      </c>
      <c r="J864" s="23">
        <v>280.0</v>
      </c>
      <c r="K864" s="16" t="s">
        <v>155</v>
      </c>
      <c r="L864" s="23">
        <v>1.0</v>
      </c>
      <c r="M864" s="23">
        <v>44.08</v>
      </c>
      <c r="N864" s="23">
        <v>44.08</v>
      </c>
      <c r="O864" s="16" t="s">
        <v>152</v>
      </c>
      <c r="P864" s="23">
        <v>1.0</v>
      </c>
      <c r="Q864" s="23">
        <v>8.75</v>
      </c>
      <c r="R864" s="23">
        <v>8.75</v>
      </c>
      <c r="S864" s="16" t="s">
        <v>226</v>
      </c>
      <c r="T864" s="23">
        <v>1.0</v>
      </c>
      <c r="U864" s="23">
        <v>57.0</v>
      </c>
      <c r="V864" s="23">
        <v>57.0</v>
      </c>
      <c r="Z864" s="23">
        <v>0.0</v>
      </c>
      <c r="AD864" s="23">
        <v>0.0</v>
      </c>
      <c r="AH864" s="23">
        <v>0.0</v>
      </c>
      <c r="AL864" s="23">
        <v>0.0</v>
      </c>
      <c r="AP864" s="23">
        <v>0.0</v>
      </c>
      <c r="AT864" s="23">
        <v>0.0</v>
      </c>
      <c r="AX864" s="23">
        <v>0.0</v>
      </c>
      <c r="BF864" s="23">
        <v>0.0</v>
      </c>
      <c r="BJ864" s="23">
        <v>0.0</v>
      </c>
      <c r="BN864" s="23">
        <v>0.0</v>
      </c>
      <c r="BO864" s="23">
        <v>389.83</v>
      </c>
      <c r="BP864" s="16" t="s">
        <v>4905</v>
      </c>
      <c r="BQ864" s="16" t="b">
        <v>1</v>
      </c>
      <c r="BR864" s="23">
        <v>389.83</v>
      </c>
      <c r="BT864" s="16" t="b">
        <v>0</v>
      </c>
      <c r="BU864" s="16" t="s">
        <v>546</v>
      </c>
    </row>
    <row r="865">
      <c r="A865" s="16" t="s">
        <v>4909</v>
      </c>
      <c r="B865" s="16" t="s">
        <v>35</v>
      </c>
      <c r="C865" s="22">
        <v>45653.0</v>
      </c>
      <c r="D865" s="16" t="s">
        <v>2613</v>
      </c>
      <c r="E865" s="16" t="s">
        <v>4911</v>
      </c>
      <c r="F865" s="16" t="s">
        <v>482</v>
      </c>
      <c r="G865" s="16" t="s">
        <v>981</v>
      </c>
      <c r="H865" s="23">
        <v>6.0</v>
      </c>
      <c r="I865" s="23">
        <v>4.59</v>
      </c>
      <c r="J865" s="23">
        <v>27.54</v>
      </c>
      <c r="K865" s="16" t="s">
        <v>238</v>
      </c>
      <c r="L865" s="23">
        <v>12.0</v>
      </c>
      <c r="M865" s="23">
        <v>5.9</v>
      </c>
      <c r="N865" s="23">
        <v>70.8</v>
      </c>
      <c r="O865" s="16" t="s">
        <v>243</v>
      </c>
      <c r="P865" s="23">
        <v>6.0</v>
      </c>
      <c r="Q865" s="23">
        <v>7.2</v>
      </c>
      <c r="R865" s="23">
        <v>43.2</v>
      </c>
      <c r="V865" s="23">
        <v>0.0</v>
      </c>
      <c r="Z865" s="23">
        <v>0.0</v>
      </c>
      <c r="AD865" s="23">
        <v>0.0</v>
      </c>
      <c r="AH865" s="23">
        <v>0.0</v>
      </c>
      <c r="AL865" s="23">
        <v>0.0</v>
      </c>
      <c r="AP865" s="23">
        <v>0.0</v>
      </c>
      <c r="AT865" s="23">
        <v>0.0</v>
      </c>
      <c r="AX865" s="23">
        <v>0.0</v>
      </c>
      <c r="BF865" s="23">
        <v>0.0</v>
      </c>
      <c r="BJ865" s="23">
        <v>0.0</v>
      </c>
      <c r="BN865" s="23">
        <v>0.0</v>
      </c>
      <c r="BO865" s="23">
        <v>141.54</v>
      </c>
      <c r="BP865" s="16" t="s">
        <v>4913</v>
      </c>
      <c r="BQ865" s="16" t="b">
        <v>1</v>
      </c>
      <c r="BR865" s="23">
        <v>141.54</v>
      </c>
      <c r="BS865" s="23">
        <v>1224060.0</v>
      </c>
      <c r="BT865" s="16" t="b">
        <v>1</v>
      </c>
      <c r="BU865" s="16" t="s">
        <v>546</v>
      </c>
    </row>
    <row r="866">
      <c r="A866" s="16" t="s">
        <v>4917</v>
      </c>
      <c r="B866" s="16" t="s">
        <v>35</v>
      </c>
      <c r="C866" s="22">
        <v>45653.0</v>
      </c>
      <c r="D866" s="16" t="s">
        <v>543</v>
      </c>
      <c r="E866" s="16" t="s">
        <v>4919</v>
      </c>
      <c r="F866" s="16" t="s">
        <v>171</v>
      </c>
      <c r="G866" s="16">
        <v>1.2539885E7</v>
      </c>
      <c r="H866" s="23">
        <v>1.0</v>
      </c>
      <c r="I866" s="23">
        <v>500.0</v>
      </c>
      <c r="J866" s="23">
        <v>500.0</v>
      </c>
      <c r="N866" s="23">
        <v>0.0</v>
      </c>
      <c r="R866" s="23">
        <v>0.0</v>
      </c>
      <c r="V866" s="23">
        <v>0.0</v>
      </c>
      <c r="Z866" s="23">
        <v>0.0</v>
      </c>
      <c r="AD866" s="23">
        <v>0.0</v>
      </c>
      <c r="AH866" s="23">
        <v>0.0</v>
      </c>
      <c r="AL866" s="23">
        <v>0.0</v>
      </c>
      <c r="AP866" s="23">
        <v>0.0</v>
      </c>
      <c r="AT866" s="23">
        <v>0.0</v>
      </c>
      <c r="AX866" s="23">
        <v>0.0</v>
      </c>
      <c r="BF866" s="23">
        <v>0.0</v>
      </c>
      <c r="BJ866" s="23">
        <v>0.0</v>
      </c>
      <c r="BN866" s="23">
        <v>0.0</v>
      </c>
      <c r="BO866" s="23">
        <v>500.0</v>
      </c>
      <c r="BP866" s="16" t="s">
        <v>4921</v>
      </c>
      <c r="BQ866" s="16" t="b">
        <v>1</v>
      </c>
      <c r="BR866" s="23">
        <v>500.0</v>
      </c>
      <c r="BT866" s="16" t="b">
        <v>0</v>
      </c>
      <c r="BU866" s="16" t="s">
        <v>546</v>
      </c>
    </row>
    <row r="867">
      <c r="A867" s="16" t="s">
        <v>4925</v>
      </c>
      <c r="B867" s="16" t="s">
        <v>35</v>
      </c>
      <c r="C867" s="22">
        <v>45653.0</v>
      </c>
      <c r="D867" s="16" t="s">
        <v>2644</v>
      </c>
      <c r="E867" s="16" t="s">
        <v>4927</v>
      </c>
      <c r="F867" s="16" t="s">
        <v>195</v>
      </c>
      <c r="G867" s="16" t="s">
        <v>1073</v>
      </c>
      <c r="H867" s="23">
        <v>2.0</v>
      </c>
      <c r="I867" s="23">
        <v>19.25</v>
      </c>
      <c r="J867" s="23">
        <v>38.5</v>
      </c>
      <c r="K867" s="16" t="s">
        <v>1404</v>
      </c>
      <c r="L867" s="23">
        <v>1.0</v>
      </c>
      <c r="M867" s="23">
        <v>18.0</v>
      </c>
      <c r="N867" s="23">
        <v>18.0</v>
      </c>
      <c r="O867" s="16" t="s">
        <v>1404</v>
      </c>
      <c r="P867" s="23">
        <v>1.0</v>
      </c>
      <c r="Q867" s="23">
        <v>60.0</v>
      </c>
      <c r="R867" s="23">
        <v>60.0</v>
      </c>
      <c r="S867" s="16">
        <v>7.5375964E7</v>
      </c>
      <c r="T867" s="23">
        <v>1.0</v>
      </c>
      <c r="U867" s="23">
        <v>60.0</v>
      </c>
      <c r="V867" s="23">
        <v>60.0</v>
      </c>
      <c r="W867" s="16" t="s">
        <v>1074</v>
      </c>
      <c r="X867" s="23">
        <v>3.0</v>
      </c>
      <c r="Y867" s="23">
        <v>38.0</v>
      </c>
      <c r="Z867" s="23">
        <v>114.0</v>
      </c>
      <c r="AA867" s="16" t="s">
        <v>1077</v>
      </c>
      <c r="AB867" s="23">
        <v>2.0</v>
      </c>
      <c r="AC867" s="23">
        <v>24.0</v>
      </c>
      <c r="AD867" s="23">
        <v>48.0</v>
      </c>
      <c r="AE867" s="16" t="s">
        <v>1079</v>
      </c>
      <c r="AF867" s="23">
        <v>15.0</v>
      </c>
      <c r="AG867" s="23">
        <v>17.0</v>
      </c>
      <c r="AH867" s="23">
        <v>255.0</v>
      </c>
      <c r="AI867" s="16" t="s">
        <v>1080</v>
      </c>
      <c r="AJ867" s="23">
        <v>10.0</v>
      </c>
      <c r="AK867" s="23">
        <v>17.0</v>
      </c>
      <c r="AL867" s="23">
        <v>170.0</v>
      </c>
      <c r="AM867" s="16" t="s">
        <v>1081</v>
      </c>
      <c r="AN867" s="23">
        <v>2.0</v>
      </c>
      <c r="AO867" s="23">
        <v>46.0</v>
      </c>
      <c r="AP867" s="23">
        <v>92.0</v>
      </c>
      <c r="AQ867" s="16" t="s">
        <v>1075</v>
      </c>
      <c r="AR867" s="23">
        <v>2.0</v>
      </c>
      <c r="AS867" s="23">
        <v>36.5</v>
      </c>
      <c r="AT867" s="23">
        <v>73.0</v>
      </c>
      <c r="AU867" s="16" t="s">
        <v>1077</v>
      </c>
      <c r="AV867" s="23">
        <v>1.0</v>
      </c>
      <c r="AW867" s="23">
        <v>24.0</v>
      </c>
      <c r="AX867" s="23">
        <v>24.0</v>
      </c>
      <c r="BF867" s="23">
        <v>0.0</v>
      </c>
      <c r="BJ867" s="23">
        <v>0.0</v>
      </c>
      <c r="BN867" s="23">
        <v>0.0</v>
      </c>
      <c r="BO867" s="23">
        <v>952.5</v>
      </c>
      <c r="BP867" s="16" t="s">
        <v>4929</v>
      </c>
      <c r="BQ867" s="16" t="b">
        <v>1</v>
      </c>
      <c r="BR867" s="23">
        <v>952.5</v>
      </c>
      <c r="BT867" s="16" t="b">
        <v>0</v>
      </c>
      <c r="BU867" s="16" t="s">
        <v>546</v>
      </c>
      <c r="BW867" s="16" t="s">
        <v>4932</v>
      </c>
    </row>
    <row r="868">
      <c r="A868" s="16" t="s">
        <v>4935</v>
      </c>
      <c r="B868" s="16" t="s">
        <v>35</v>
      </c>
      <c r="C868" s="22">
        <v>45654.0</v>
      </c>
      <c r="D868" s="16" t="s">
        <v>112</v>
      </c>
      <c r="E868" s="16" t="s">
        <v>4938</v>
      </c>
      <c r="F868" s="16" t="s">
        <v>157</v>
      </c>
      <c r="G868" s="16" t="s">
        <v>159</v>
      </c>
      <c r="H868" s="23">
        <v>1.0</v>
      </c>
      <c r="I868" s="23">
        <v>210.0</v>
      </c>
      <c r="J868" s="23">
        <v>210.0</v>
      </c>
      <c r="K868" s="16" t="s">
        <v>155</v>
      </c>
      <c r="L868" s="23">
        <v>1.0</v>
      </c>
      <c r="M868" s="23">
        <v>39.38</v>
      </c>
      <c r="N868" s="23">
        <v>39.38</v>
      </c>
      <c r="O868" s="16" t="s">
        <v>152</v>
      </c>
      <c r="P868" s="23">
        <v>1.0</v>
      </c>
      <c r="Q868" s="23">
        <v>5.49</v>
      </c>
      <c r="R868" s="23">
        <v>5.49</v>
      </c>
      <c r="S868" s="16" t="s">
        <v>226</v>
      </c>
      <c r="T868" s="23">
        <v>7.0</v>
      </c>
      <c r="U868" s="23">
        <v>10.0</v>
      </c>
      <c r="V868" s="23">
        <v>70.0</v>
      </c>
      <c r="Z868" s="23">
        <v>0.0</v>
      </c>
      <c r="AD868" s="23">
        <v>0.0</v>
      </c>
      <c r="AH868" s="23">
        <v>0.0</v>
      </c>
      <c r="AL868" s="23">
        <v>0.0</v>
      </c>
      <c r="AP868" s="23">
        <v>0.0</v>
      </c>
      <c r="AT868" s="23">
        <v>0.0</v>
      </c>
      <c r="AX868" s="23">
        <v>0.0</v>
      </c>
      <c r="BF868" s="23">
        <v>0.0</v>
      </c>
      <c r="BJ868" s="23">
        <v>0.0</v>
      </c>
      <c r="BN868" s="23">
        <v>0.0</v>
      </c>
      <c r="BO868" s="23">
        <v>324.87</v>
      </c>
      <c r="BP868" s="16" t="s">
        <v>4940</v>
      </c>
      <c r="BQ868" s="16" t="b">
        <v>1</v>
      </c>
      <c r="BR868" s="23">
        <v>324.87</v>
      </c>
      <c r="BT868" s="16" t="b">
        <v>0</v>
      </c>
      <c r="BU868" s="16" t="s">
        <v>546</v>
      </c>
    </row>
    <row r="869">
      <c r="A869" s="16" t="s">
        <v>4944</v>
      </c>
      <c r="B869" s="16" t="s">
        <v>35</v>
      </c>
      <c r="C869" s="22">
        <v>45656.0</v>
      </c>
      <c r="D869" s="16" t="s">
        <v>460</v>
      </c>
      <c r="F869" s="16" t="s">
        <v>4947</v>
      </c>
      <c r="G869" s="16" t="s">
        <v>305</v>
      </c>
      <c r="H869" s="16">
        <v>1.0</v>
      </c>
      <c r="I869" s="23">
        <v>153.0</v>
      </c>
      <c r="J869" s="23">
        <v>153.0</v>
      </c>
      <c r="BO869" s="23">
        <v>153.0</v>
      </c>
      <c r="BR869" s="23">
        <v>153.0</v>
      </c>
      <c r="BU869" s="16" t="s">
        <v>539</v>
      </c>
    </row>
    <row r="870">
      <c r="A870" s="16" t="s">
        <v>4951</v>
      </c>
      <c r="B870" s="16" t="s">
        <v>35</v>
      </c>
      <c r="C870" s="22">
        <v>45656.0</v>
      </c>
      <c r="D870" s="16" t="s">
        <v>460</v>
      </c>
      <c r="F870" s="16" t="s">
        <v>4954</v>
      </c>
      <c r="G870" s="16" t="s">
        <v>1653</v>
      </c>
      <c r="H870" s="16">
        <v>1.0</v>
      </c>
      <c r="I870" s="23">
        <v>130.0</v>
      </c>
      <c r="J870" s="23">
        <v>130.0</v>
      </c>
      <c r="BO870" s="23">
        <v>130.0</v>
      </c>
      <c r="BR870" s="23">
        <v>130.0</v>
      </c>
      <c r="BU870" s="16" t="s">
        <v>539</v>
      </c>
    </row>
    <row r="871">
      <c r="A871" s="16" t="s">
        <v>4958</v>
      </c>
      <c r="B871" s="16" t="s">
        <v>35</v>
      </c>
      <c r="C871" s="22">
        <v>45656.0</v>
      </c>
      <c r="D871" s="16" t="s">
        <v>460</v>
      </c>
      <c r="F871" s="16" t="s">
        <v>931</v>
      </c>
      <c r="G871" s="16" t="s">
        <v>1126</v>
      </c>
      <c r="H871" s="16">
        <v>1.0</v>
      </c>
      <c r="I871" s="23">
        <v>30.0</v>
      </c>
      <c r="J871" s="23">
        <v>30.0</v>
      </c>
      <c r="BO871" s="23">
        <v>30.0</v>
      </c>
      <c r="BR871" s="23">
        <v>30.0</v>
      </c>
      <c r="BU871" s="16" t="s">
        <v>539</v>
      </c>
    </row>
    <row r="872">
      <c r="A872" s="16" t="s">
        <v>4964</v>
      </c>
      <c r="B872" s="16" t="s">
        <v>35</v>
      </c>
      <c r="C872" s="22">
        <v>45656.0</v>
      </c>
      <c r="D872" s="16" t="s">
        <v>460</v>
      </c>
      <c r="F872" s="16" t="s">
        <v>4284</v>
      </c>
      <c r="G872" s="16" t="s">
        <v>5636</v>
      </c>
      <c r="H872" s="16">
        <v>1.0</v>
      </c>
      <c r="I872" s="23">
        <v>200.0</v>
      </c>
      <c r="J872" s="23">
        <v>200.0</v>
      </c>
      <c r="BO872" s="23">
        <v>200.0</v>
      </c>
      <c r="BR872" s="23">
        <v>200.0</v>
      </c>
      <c r="BU872" s="16" t="s">
        <v>539</v>
      </c>
    </row>
    <row r="873">
      <c r="A873" s="16" t="s">
        <v>4969</v>
      </c>
      <c r="B873" s="16" t="s">
        <v>35</v>
      </c>
      <c r="C873" s="22">
        <v>45656.0</v>
      </c>
      <c r="D873" s="16" t="s">
        <v>460</v>
      </c>
      <c r="F873" s="16" t="s">
        <v>4972</v>
      </c>
      <c r="G873" s="16" t="s">
        <v>5640</v>
      </c>
      <c r="H873" s="16">
        <v>1.0</v>
      </c>
      <c r="I873" s="23">
        <v>22.0</v>
      </c>
      <c r="J873" s="23">
        <v>22.0</v>
      </c>
      <c r="BO873" s="23">
        <v>22.0</v>
      </c>
      <c r="BR873" s="23">
        <v>22.0</v>
      </c>
      <c r="BU873" s="16" t="s">
        <v>539</v>
      </c>
    </row>
    <row r="874">
      <c r="A874" s="16" t="s">
        <v>4976</v>
      </c>
      <c r="B874" s="16" t="s">
        <v>35</v>
      </c>
      <c r="C874" s="22">
        <v>45656.0</v>
      </c>
      <c r="D874" s="16" t="s">
        <v>460</v>
      </c>
      <c r="F874" s="16" t="s">
        <v>4979</v>
      </c>
      <c r="G874" s="16" t="s">
        <v>5973</v>
      </c>
      <c r="H874" s="16">
        <v>1.0</v>
      </c>
      <c r="I874" s="23">
        <v>10.0</v>
      </c>
      <c r="J874" s="23">
        <v>10.0</v>
      </c>
      <c r="BO874" s="23">
        <v>10.0</v>
      </c>
      <c r="BR874" s="23">
        <v>10.0</v>
      </c>
      <c r="BU874" s="16" t="s">
        <v>539</v>
      </c>
    </row>
    <row r="875">
      <c r="A875" s="16" t="s">
        <v>4982</v>
      </c>
      <c r="B875" s="16" t="s">
        <v>35</v>
      </c>
      <c r="C875" s="22">
        <v>45640.0</v>
      </c>
      <c r="D875" s="16" t="s">
        <v>112</v>
      </c>
      <c r="E875" s="16" t="s">
        <v>4984</v>
      </c>
      <c r="F875" s="16" t="s">
        <v>157</v>
      </c>
      <c r="G875" s="16" t="s">
        <v>159</v>
      </c>
      <c r="H875" s="23">
        <v>1.0</v>
      </c>
      <c r="I875" s="23">
        <v>195.0</v>
      </c>
      <c r="J875" s="23">
        <v>195.0</v>
      </c>
      <c r="K875" s="16" t="s">
        <v>155</v>
      </c>
      <c r="L875" s="23">
        <v>1.0</v>
      </c>
      <c r="M875" s="23">
        <v>33.6</v>
      </c>
      <c r="N875" s="23">
        <v>33.6</v>
      </c>
      <c r="O875" s="16" t="s">
        <v>152</v>
      </c>
      <c r="P875" s="23">
        <v>1.0</v>
      </c>
      <c r="Q875" s="23">
        <v>9.5</v>
      </c>
      <c r="R875" s="23">
        <v>9.5</v>
      </c>
      <c r="S875" s="16" t="s">
        <v>226</v>
      </c>
      <c r="T875" s="23">
        <v>1.0</v>
      </c>
      <c r="U875" s="23">
        <v>57.0</v>
      </c>
      <c r="V875" s="23">
        <v>57.0</v>
      </c>
      <c r="Z875" s="23">
        <v>0.0</v>
      </c>
      <c r="AD875" s="23">
        <v>0.0</v>
      </c>
      <c r="AH875" s="23">
        <v>0.0</v>
      </c>
      <c r="AL875" s="23">
        <v>0.0</v>
      </c>
      <c r="AP875" s="23">
        <v>0.0</v>
      </c>
      <c r="AT875" s="23">
        <v>0.0</v>
      </c>
      <c r="AX875" s="23">
        <v>0.0</v>
      </c>
      <c r="BF875" s="23">
        <v>0.0</v>
      </c>
      <c r="BJ875" s="23">
        <v>0.0</v>
      </c>
      <c r="BN875" s="23">
        <v>0.0</v>
      </c>
      <c r="BO875" s="23">
        <v>295.1</v>
      </c>
      <c r="BP875" s="16" t="s">
        <v>4986</v>
      </c>
      <c r="BQ875" s="16" t="b">
        <v>1</v>
      </c>
      <c r="BR875" s="23">
        <v>295.1</v>
      </c>
      <c r="BT875" s="16" t="b">
        <v>0</v>
      </c>
      <c r="BU875" s="16" t="s">
        <v>546</v>
      </c>
    </row>
    <row r="876">
      <c r="A876" s="16" t="s">
        <v>4989</v>
      </c>
      <c r="B876" s="16" t="s">
        <v>35</v>
      </c>
      <c r="C876" s="22">
        <v>45653.0</v>
      </c>
      <c r="D876" s="16" t="s">
        <v>890</v>
      </c>
      <c r="E876" s="16" t="s">
        <v>4991</v>
      </c>
      <c r="F876" s="16" t="s">
        <v>3813</v>
      </c>
      <c r="G876" s="16" t="s">
        <v>1517</v>
      </c>
      <c r="H876" s="23">
        <v>1.0</v>
      </c>
      <c r="I876" s="23">
        <v>21201.28</v>
      </c>
      <c r="J876" s="23">
        <v>21201.28</v>
      </c>
      <c r="N876" s="23">
        <v>0.0</v>
      </c>
      <c r="R876" s="23">
        <v>0.0</v>
      </c>
      <c r="V876" s="23">
        <v>0.0</v>
      </c>
      <c r="Z876" s="23">
        <v>0.0</v>
      </c>
      <c r="AD876" s="23">
        <v>0.0</v>
      </c>
      <c r="AH876" s="23">
        <v>0.0</v>
      </c>
      <c r="AL876" s="23">
        <v>0.0</v>
      </c>
      <c r="AP876" s="23">
        <v>0.0</v>
      </c>
      <c r="AT876" s="23">
        <v>0.0</v>
      </c>
      <c r="AX876" s="23">
        <v>0.0</v>
      </c>
      <c r="BF876" s="23">
        <v>0.0</v>
      </c>
      <c r="BJ876" s="23">
        <v>0.0</v>
      </c>
      <c r="BN876" s="23">
        <v>0.0</v>
      </c>
      <c r="BO876" s="23">
        <v>21201.28</v>
      </c>
      <c r="BP876" s="16" t="s">
        <v>4993</v>
      </c>
      <c r="BQ876" s="16" t="b">
        <v>1</v>
      </c>
      <c r="BR876" s="23">
        <v>21201.28</v>
      </c>
      <c r="BT876" s="16" t="b">
        <v>0</v>
      </c>
      <c r="BU876" s="16" t="s">
        <v>546</v>
      </c>
      <c r="BW876" s="16" t="s">
        <v>4995</v>
      </c>
      <c r="BX876" s="16" t="s">
        <v>4996</v>
      </c>
    </row>
    <row r="877">
      <c r="A877" s="16" t="s">
        <v>4999</v>
      </c>
      <c r="B877" s="16" t="s">
        <v>35</v>
      </c>
      <c r="C877" s="22">
        <v>45657.0</v>
      </c>
      <c r="F877" s="16" t="s">
        <v>1329</v>
      </c>
      <c r="G877" s="16" t="s">
        <v>1168</v>
      </c>
      <c r="H877" s="16">
        <v>1.0</v>
      </c>
      <c r="I877" s="23">
        <v>500.0</v>
      </c>
      <c r="J877" s="23">
        <v>500.0</v>
      </c>
      <c r="BO877" s="23">
        <v>500.0</v>
      </c>
      <c r="BR877" s="23">
        <v>500.0</v>
      </c>
      <c r="BU877" s="16" t="s">
        <v>539</v>
      </c>
      <c r="BV877" s="16" t="s">
        <v>658</v>
      </c>
    </row>
    <row r="878">
      <c r="A878" s="16" t="s">
        <v>5004</v>
      </c>
      <c r="B878" s="16" t="s">
        <v>35</v>
      </c>
      <c r="C878" s="22">
        <v>45653.0</v>
      </c>
      <c r="D878" s="16" t="s">
        <v>890</v>
      </c>
      <c r="E878" s="16" t="s">
        <v>5006</v>
      </c>
      <c r="F878" s="16" t="s">
        <v>2894</v>
      </c>
      <c r="G878" s="16" t="s">
        <v>1510</v>
      </c>
      <c r="H878" s="23">
        <v>1.0</v>
      </c>
      <c r="I878" s="23">
        <v>21201.28</v>
      </c>
      <c r="J878" s="23">
        <v>21201.28</v>
      </c>
      <c r="N878" s="23">
        <v>0.0</v>
      </c>
      <c r="R878" s="23">
        <v>0.0</v>
      </c>
      <c r="V878" s="23">
        <v>0.0</v>
      </c>
      <c r="Z878" s="23">
        <v>0.0</v>
      </c>
      <c r="AD878" s="23">
        <v>0.0</v>
      </c>
      <c r="AH878" s="23">
        <v>0.0</v>
      </c>
      <c r="AL878" s="23">
        <v>0.0</v>
      </c>
      <c r="AP878" s="23">
        <v>0.0</v>
      </c>
      <c r="AT878" s="23">
        <v>0.0</v>
      </c>
      <c r="AX878" s="23">
        <v>0.0</v>
      </c>
      <c r="BF878" s="23">
        <v>0.0</v>
      </c>
      <c r="BJ878" s="23">
        <v>0.0</v>
      </c>
      <c r="BN878" s="23">
        <v>0.0</v>
      </c>
      <c r="BO878" s="23">
        <v>21201.28</v>
      </c>
      <c r="BP878" s="16" t="s">
        <v>5008</v>
      </c>
      <c r="BQ878" s="16" t="b">
        <v>1</v>
      </c>
      <c r="BR878" s="23">
        <v>21201.28</v>
      </c>
      <c r="BT878" s="16" t="b">
        <v>0</v>
      </c>
      <c r="BU878" s="16" t="s">
        <v>546</v>
      </c>
      <c r="BW878" s="16" t="s">
        <v>5011</v>
      </c>
      <c r="BX878" s="16" t="s">
        <v>5012</v>
      </c>
    </row>
    <row r="879">
      <c r="A879" s="16" t="s">
        <v>5015</v>
      </c>
      <c r="B879" s="16" t="s">
        <v>35</v>
      </c>
      <c r="C879" s="22">
        <v>45659.0</v>
      </c>
      <c r="F879" s="16" t="s">
        <v>5019</v>
      </c>
      <c r="G879" s="16" t="s">
        <v>1168</v>
      </c>
      <c r="H879" s="16">
        <v>1.0</v>
      </c>
      <c r="I879" s="23">
        <v>500.0</v>
      </c>
      <c r="J879" s="23">
        <v>500.0</v>
      </c>
      <c r="BO879" s="23">
        <v>500.0</v>
      </c>
      <c r="BR879" s="23">
        <v>500.0</v>
      </c>
      <c r="BU879" s="16" t="s">
        <v>539</v>
      </c>
      <c r="BV879" s="16" t="s">
        <v>624</v>
      </c>
    </row>
    <row r="880">
      <c r="A880" s="16" t="s">
        <v>5024</v>
      </c>
      <c r="B880" s="16" t="s">
        <v>35</v>
      </c>
      <c r="C880" s="22">
        <v>45659.0</v>
      </c>
      <c r="F880" s="16" t="s">
        <v>5027</v>
      </c>
      <c r="G880" s="16" t="s">
        <v>1168</v>
      </c>
      <c r="H880" s="16">
        <v>1.0</v>
      </c>
      <c r="I880" s="23">
        <v>500.0</v>
      </c>
      <c r="J880" s="23">
        <v>500.0</v>
      </c>
      <c r="BO880" s="23">
        <v>500.0</v>
      </c>
      <c r="BR880" s="23">
        <v>500.0</v>
      </c>
      <c r="BU880" s="16" t="s">
        <v>539</v>
      </c>
      <c r="BV880" s="16" t="s">
        <v>3795</v>
      </c>
    </row>
    <row r="881">
      <c r="A881" s="16" t="s">
        <v>5031</v>
      </c>
      <c r="B881" s="16" t="s">
        <v>35</v>
      </c>
      <c r="C881" s="22">
        <v>45660.0</v>
      </c>
      <c r="F881" s="16" t="s">
        <v>1329</v>
      </c>
      <c r="G881" s="16" t="s">
        <v>1168</v>
      </c>
      <c r="H881" s="16">
        <v>1.0</v>
      </c>
      <c r="I881" s="23">
        <v>100.0</v>
      </c>
      <c r="J881" s="23">
        <v>100.0</v>
      </c>
      <c r="BO881" s="23">
        <v>100.0</v>
      </c>
      <c r="BR881" s="23">
        <v>100.0</v>
      </c>
      <c r="BU881" s="16" t="s">
        <v>539</v>
      </c>
      <c r="BV881" s="16" t="s">
        <v>117</v>
      </c>
    </row>
    <row r="882">
      <c r="A882" s="16" t="s">
        <v>5037</v>
      </c>
      <c r="B882" s="16" t="s">
        <v>35</v>
      </c>
      <c r="C882" s="22">
        <v>45652.0</v>
      </c>
      <c r="D882" s="23">
        <v>6.8893939E7</v>
      </c>
      <c r="E882" s="16" t="s">
        <v>5039</v>
      </c>
      <c r="F882" s="16" t="s">
        <v>605</v>
      </c>
      <c r="G882" s="16" t="s">
        <v>1653</v>
      </c>
      <c r="H882" s="23">
        <v>1.0</v>
      </c>
      <c r="I882" s="23">
        <v>185.53</v>
      </c>
      <c r="J882" s="23">
        <v>185.53</v>
      </c>
      <c r="N882" s="23">
        <v>0.0</v>
      </c>
      <c r="R882" s="23">
        <v>0.0</v>
      </c>
      <c r="V882" s="23">
        <v>0.0</v>
      </c>
      <c r="Z882" s="23">
        <v>0.0</v>
      </c>
      <c r="AD882" s="23">
        <v>0.0</v>
      </c>
      <c r="AH882" s="23">
        <v>0.0</v>
      </c>
      <c r="AL882" s="23">
        <v>0.0</v>
      </c>
      <c r="AP882" s="23">
        <v>0.0</v>
      </c>
      <c r="AT882" s="23">
        <v>0.0</v>
      </c>
      <c r="AX882" s="23">
        <v>0.0</v>
      </c>
      <c r="BF882" s="23">
        <v>0.0</v>
      </c>
      <c r="BJ882" s="23">
        <v>0.0</v>
      </c>
      <c r="BN882" s="23">
        <v>0.0</v>
      </c>
      <c r="BO882" s="23">
        <v>185.53</v>
      </c>
      <c r="BP882" s="16" t="s">
        <v>5041</v>
      </c>
      <c r="BQ882" s="16" t="b">
        <v>1</v>
      </c>
      <c r="BR882" s="23">
        <v>185.53</v>
      </c>
      <c r="BT882" s="16" t="b">
        <v>0</v>
      </c>
      <c r="BU882" s="16" t="s">
        <v>546</v>
      </c>
    </row>
    <row r="883">
      <c r="A883" s="16" t="s">
        <v>5045</v>
      </c>
      <c r="B883" s="16" t="s">
        <v>35</v>
      </c>
      <c r="C883" s="22">
        <v>45654.0</v>
      </c>
      <c r="D883" s="16" t="s">
        <v>3816</v>
      </c>
      <c r="E883" s="16" t="s">
        <v>5047</v>
      </c>
      <c r="F883" s="16" t="s">
        <v>4146</v>
      </c>
      <c r="G883" s="16" t="s">
        <v>305</v>
      </c>
      <c r="H883" s="23">
        <v>1.0</v>
      </c>
      <c r="I883" s="23">
        <v>14.36</v>
      </c>
      <c r="J883" s="23">
        <v>14.36</v>
      </c>
      <c r="N883" s="23">
        <v>0.0</v>
      </c>
      <c r="R883" s="23">
        <v>0.0</v>
      </c>
      <c r="V883" s="23">
        <v>0.0</v>
      </c>
      <c r="Z883" s="23">
        <v>0.0</v>
      </c>
      <c r="AD883" s="23">
        <v>0.0</v>
      </c>
      <c r="AH883" s="23">
        <v>0.0</v>
      </c>
      <c r="AL883" s="23">
        <v>0.0</v>
      </c>
      <c r="AP883" s="23">
        <v>0.0</v>
      </c>
      <c r="AT883" s="23">
        <v>0.0</v>
      </c>
      <c r="AX883" s="23">
        <v>0.0</v>
      </c>
      <c r="BF883" s="23">
        <v>0.0</v>
      </c>
      <c r="BJ883" s="23">
        <v>0.0</v>
      </c>
      <c r="BN883" s="23">
        <v>0.0</v>
      </c>
      <c r="BO883" s="23">
        <v>14.36</v>
      </c>
      <c r="BP883" s="16" t="s">
        <v>5048</v>
      </c>
      <c r="BQ883" s="16" t="b">
        <v>1</v>
      </c>
      <c r="BR883" s="23">
        <v>14.36</v>
      </c>
      <c r="BS883" s="23">
        <v>1226451.0</v>
      </c>
      <c r="BT883" s="16" t="b">
        <v>1</v>
      </c>
      <c r="BU883" s="16" t="s">
        <v>546</v>
      </c>
    </row>
    <row r="884">
      <c r="A884" s="16" t="s">
        <v>5051</v>
      </c>
      <c r="B884" s="16" t="s">
        <v>35</v>
      </c>
      <c r="C884" s="22">
        <v>45655.0</v>
      </c>
      <c r="D884" s="16" t="s">
        <v>5053</v>
      </c>
      <c r="E884" s="16" t="s">
        <v>5054</v>
      </c>
      <c r="F884" s="16" t="s">
        <v>5057</v>
      </c>
      <c r="G884" s="16" t="s">
        <v>305</v>
      </c>
      <c r="H884" s="23">
        <v>1.0</v>
      </c>
      <c r="I884" s="23">
        <v>10.13</v>
      </c>
      <c r="J884" s="23">
        <v>10.13</v>
      </c>
      <c r="N884" s="23">
        <v>0.0</v>
      </c>
      <c r="R884" s="23">
        <v>0.0</v>
      </c>
      <c r="V884" s="23">
        <v>0.0</v>
      </c>
      <c r="Z884" s="23">
        <v>0.0</v>
      </c>
      <c r="AD884" s="23">
        <v>0.0</v>
      </c>
      <c r="AH884" s="23">
        <v>0.0</v>
      </c>
      <c r="AL884" s="23">
        <v>0.0</v>
      </c>
      <c r="AP884" s="23">
        <v>0.0</v>
      </c>
      <c r="AT884" s="23">
        <v>0.0</v>
      </c>
      <c r="AX884" s="23">
        <v>0.0</v>
      </c>
      <c r="BF884" s="23">
        <v>0.0</v>
      </c>
      <c r="BJ884" s="23">
        <v>0.0</v>
      </c>
      <c r="BN884" s="23">
        <v>0.0</v>
      </c>
      <c r="BO884" s="23">
        <v>10.13</v>
      </c>
      <c r="BP884" s="16" t="s">
        <v>5055</v>
      </c>
      <c r="BQ884" s="16" t="b">
        <v>1</v>
      </c>
      <c r="BR884" s="23">
        <v>10.13</v>
      </c>
      <c r="BS884" s="23">
        <v>1228022.0</v>
      </c>
      <c r="BT884" s="16" t="b">
        <v>1</v>
      </c>
      <c r="BU884" s="16" t="s">
        <v>546</v>
      </c>
    </row>
    <row r="885">
      <c r="A885" s="16" t="s">
        <v>5060</v>
      </c>
      <c r="B885" s="16" t="s">
        <v>35</v>
      </c>
      <c r="C885" s="22">
        <v>45656.0</v>
      </c>
      <c r="D885" s="16" t="s">
        <v>890</v>
      </c>
      <c r="E885" s="16" t="s">
        <v>5062</v>
      </c>
      <c r="F885" s="16" t="s">
        <v>5067</v>
      </c>
      <c r="G885" s="16" t="s">
        <v>1510</v>
      </c>
      <c r="H885" s="23">
        <v>1.0</v>
      </c>
      <c r="I885" s="23">
        <v>6892.82</v>
      </c>
      <c r="J885" s="23">
        <v>6892.82</v>
      </c>
      <c r="N885" s="23">
        <v>0.0</v>
      </c>
      <c r="R885" s="23">
        <v>0.0</v>
      </c>
      <c r="V885" s="23">
        <v>0.0</v>
      </c>
      <c r="Z885" s="23">
        <v>0.0</v>
      </c>
      <c r="AD885" s="23">
        <v>0.0</v>
      </c>
      <c r="AH885" s="23">
        <v>0.0</v>
      </c>
      <c r="AL885" s="23">
        <v>0.0</v>
      </c>
      <c r="AP885" s="23">
        <v>0.0</v>
      </c>
      <c r="AT885" s="23">
        <v>0.0</v>
      </c>
      <c r="AX885" s="23">
        <v>0.0</v>
      </c>
      <c r="BF885" s="23">
        <v>0.0</v>
      </c>
      <c r="BJ885" s="23">
        <v>0.0</v>
      </c>
      <c r="BN885" s="23">
        <v>0.0</v>
      </c>
      <c r="BO885" s="23">
        <v>6892.82</v>
      </c>
      <c r="BP885" s="16" t="s">
        <v>5066</v>
      </c>
      <c r="BQ885" s="16" t="b">
        <v>1</v>
      </c>
      <c r="BR885" s="23">
        <v>6892.82</v>
      </c>
      <c r="BT885" s="16" t="b">
        <v>0</v>
      </c>
      <c r="BU885" s="16" t="s">
        <v>546</v>
      </c>
      <c r="BW885" s="16" t="s">
        <v>5070</v>
      </c>
    </row>
    <row r="886">
      <c r="A886" s="16" t="s">
        <v>5073</v>
      </c>
      <c r="B886" s="16" t="s">
        <v>35</v>
      </c>
      <c r="C886" s="22">
        <v>45658.0</v>
      </c>
      <c r="D886" s="16" t="s">
        <v>5053</v>
      </c>
      <c r="E886" s="16" t="s">
        <v>5075</v>
      </c>
      <c r="F886" s="16" t="s">
        <v>4248</v>
      </c>
      <c r="G886" s="16" t="s">
        <v>305</v>
      </c>
      <c r="H886" s="23">
        <v>1.0</v>
      </c>
      <c r="I886" s="23">
        <v>56.19</v>
      </c>
      <c r="J886" s="23">
        <v>56.19</v>
      </c>
      <c r="N886" s="23">
        <v>0.0</v>
      </c>
      <c r="R886" s="23">
        <v>0.0</v>
      </c>
      <c r="V886" s="23">
        <v>0.0</v>
      </c>
      <c r="Z886" s="23">
        <v>0.0</v>
      </c>
      <c r="AD886" s="23">
        <v>0.0</v>
      </c>
      <c r="AH886" s="23">
        <v>0.0</v>
      </c>
      <c r="AL886" s="23">
        <v>0.0</v>
      </c>
      <c r="AP886" s="23">
        <v>0.0</v>
      </c>
      <c r="AT886" s="23">
        <v>0.0</v>
      </c>
      <c r="AX886" s="23">
        <v>0.0</v>
      </c>
      <c r="BF886" s="23">
        <v>0.0</v>
      </c>
      <c r="BJ886" s="23">
        <v>0.0</v>
      </c>
      <c r="BN886" s="23">
        <v>0.0</v>
      </c>
      <c r="BO886" s="23">
        <v>56.19</v>
      </c>
      <c r="BP886" s="16" t="s">
        <v>5077</v>
      </c>
      <c r="BQ886" s="16" t="b">
        <v>1</v>
      </c>
      <c r="BR886" s="23">
        <v>56.19</v>
      </c>
      <c r="BS886" s="23">
        <v>1232941.0</v>
      </c>
      <c r="BT886" s="16" t="b">
        <v>1</v>
      </c>
      <c r="BU886" s="16" t="s">
        <v>546</v>
      </c>
    </row>
    <row r="887">
      <c r="A887" s="16" t="s">
        <v>5081</v>
      </c>
      <c r="B887" s="16" t="s">
        <v>35</v>
      </c>
      <c r="C887" s="22">
        <v>45659.0</v>
      </c>
      <c r="D887" s="16" t="s">
        <v>543</v>
      </c>
      <c r="E887" s="16" t="s">
        <v>5087</v>
      </c>
      <c r="F887" s="16" t="s">
        <v>171</v>
      </c>
      <c r="G887" s="16">
        <v>1.2539885E7</v>
      </c>
      <c r="H887" s="23">
        <v>1.0</v>
      </c>
      <c r="I887" s="23">
        <v>200.0</v>
      </c>
      <c r="J887" s="23">
        <v>200.0</v>
      </c>
      <c r="N887" s="23">
        <v>0.0</v>
      </c>
      <c r="R887" s="23">
        <v>0.0</v>
      </c>
      <c r="V887" s="23">
        <v>0.0</v>
      </c>
      <c r="Z887" s="23">
        <v>0.0</v>
      </c>
      <c r="AD887" s="23">
        <v>0.0</v>
      </c>
      <c r="AH887" s="23">
        <v>0.0</v>
      </c>
      <c r="AL887" s="23">
        <v>0.0</v>
      </c>
      <c r="AP887" s="23">
        <v>0.0</v>
      </c>
      <c r="AT887" s="23">
        <v>0.0</v>
      </c>
      <c r="AX887" s="23">
        <v>0.0</v>
      </c>
      <c r="BF887" s="23">
        <v>0.0</v>
      </c>
      <c r="BJ887" s="23">
        <v>0.0</v>
      </c>
      <c r="BN887" s="23">
        <v>0.0</v>
      </c>
      <c r="BO887" s="23">
        <v>200.0</v>
      </c>
      <c r="BP887" s="16" t="s">
        <v>5088</v>
      </c>
      <c r="BQ887" s="16" t="b">
        <v>1</v>
      </c>
      <c r="BR887" s="23">
        <v>200.0</v>
      </c>
      <c r="BT887" s="16" t="b">
        <v>0</v>
      </c>
      <c r="BU887" s="16" t="s">
        <v>546</v>
      </c>
    </row>
    <row r="888">
      <c r="A888" s="16" t="s">
        <v>5093</v>
      </c>
      <c r="B888" s="16" t="s">
        <v>35</v>
      </c>
      <c r="C888" s="22">
        <v>45659.0</v>
      </c>
      <c r="D888" s="16" t="s">
        <v>112</v>
      </c>
      <c r="E888" s="16" t="s">
        <v>5095</v>
      </c>
      <c r="F888" s="16" t="s">
        <v>157</v>
      </c>
      <c r="G888" s="16" t="s">
        <v>159</v>
      </c>
      <c r="H888" s="23">
        <v>1.0</v>
      </c>
      <c r="I888" s="23">
        <v>168.0</v>
      </c>
      <c r="J888" s="23">
        <v>168.0</v>
      </c>
      <c r="K888" s="16" t="s">
        <v>155</v>
      </c>
      <c r="L888" s="23">
        <v>1.0</v>
      </c>
      <c r="M888" s="23">
        <v>26.48</v>
      </c>
      <c r="N888" s="23">
        <v>26.48</v>
      </c>
      <c r="O888" s="16" t="s">
        <v>152</v>
      </c>
      <c r="P888" s="23">
        <v>1.0</v>
      </c>
      <c r="Q888" s="23">
        <v>12.95</v>
      </c>
      <c r="R888" s="23">
        <v>12.95</v>
      </c>
      <c r="S888" s="16" t="s">
        <v>226</v>
      </c>
      <c r="T888" s="23">
        <v>1.0</v>
      </c>
      <c r="U888" s="23">
        <v>60.0</v>
      </c>
      <c r="V888" s="23">
        <v>60.0</v>
      </c>
      <c r="Z888" s="23">
        <v>0.0</v>
      </c>
      <c r="AD888" s="23">
        <v>0.0</v>
      </c>
      <c r="AH888" s="23">
        <v>0.0</v>
      </c>
      <c r="AL888" s="23">
        <v>0.0</v>
      </c>
      <c r="AP888" s="23">
        <v>0.0</v>
      </c>
      <c r="AT888" s="23">
        <v>0.0</v>
      </c>
      <c r="AX888" s="23">
        <v>0.0</v>
      </c>
      <c r="BF888" s="23">
        <v>0.0</v>
      </c>
      <c r="BJ888" s="23">
        <v>0.0</v>
      </c>
      <c r="BN888" s="23">
        <v>0.0</v>
      </c>
      <c r="BO888" s="23">
        <v>267.43</v>
      </c>
      <c r="BP888" s="16" t="s">
        <v>5096</v>
      </c>
      <c r="BQ888" s="16" t="b">
        <v>1</v>
      </c>
      <c r="BR888" s="23">
        <v>267.43</v>
      </c>
      <c r="BT888" s="16" t="b">
        <v>0</v>
      </c>
      <c r="BU888" s="16" t="s">
        <v>546</v>
      </c>
    </row>
    <row r="889">
      <c r="A889" s="16" t="s">
        <v>5100</v>
      </c>
      <c r="B889" s="16" t="s">
        <v>35</v>
      </c>
      <c r="C889" s="22">
        <v>45660.0</v>
      </c>
      <c r="D889" s="16" t="s">
        <v>353</v>
      </c>
      <c r="E889" s="16" t="s">
        <v>5103</v>
      </c>
      <c r="F889" s="16" t="s">
        <v>605</v>
      </c>
      <c r="G889" s="16" t="s">
        <v>1653</v>
      </c>
      <c r="H889" s="23">
        <v>1.0</v>
      </c>
      <c r="I889" s="23">
        <v>162.5</v>
      </c>
      <c r="J889" s="23">
        <v>162.5</v>
      </c>
      <c r="N889" s="23">
        <v>0.0</v>
      </c>
      <c r="R889" s="23">
        <v>0.0</v>
      </c>
      <c r="V889" s="23">
        <v>0.0</v>
      </c>
      <c r="Z889" s="23">
        <v>0.0</v>
      </c>
      <c r="AD889" s="23">
        <v>0.0</v>
      </c>
      <c r="AH889" s="23">
        <v>0.0</v>
      </c>
      <c r="AL889" s="23">
        <v>0.0</v>
      </c>
      <c r="AP889" s="23">
        <v>0.0</v>
      </c>
      <c r="AT889" s="23">
        <v>0.0</v>
      </c>
      <c r="AX889" s="23">
        <v>0.0</v>
      </c>
      <c r="BF889" s="23">
        <v>0.0</v>
      </c>
      <c r="BJ889" s="23">
        <v>0.0</v>
      </c>
      <c r="BN889" s="23">
        <v>0.0</v>
      </c>
      <c r="BO889" s="23">
        <v>162.5</v>
      </c>
      <c r="BP889" s="16" t="s">
        <v>5104</v>
      </c>
      <c r="BQ889" s="16" t="b">
        <v>1</v>
      </c>
      <c r="BR889" s="23">
        <v>162.5</v>
      </c>
      <c r="BS889" s="23">
        <v>1236988.0</v>
      </c>
      <c r="BT889" s="16" t="b">
        <v>1</v>
      </c>
      <c r="BU889" s="16" t="s">
        <v>546</v>
      </c>
    </row>
    <row r="890">
      <c r="A890" s="16" t="s">
        <v>5109</v>
      </c>
      <c r="B890" s="16" t="s">
        <v>35</v>
      </c>
      <c r="C890" s="22">
        <v>45660.0</v>
      </c>
      <c r="D890" s="16" t="s">
        <v>543</v>
      </c>
      <c r="E890" s="16" t="s">
        <v>5111</v>
      </c>
      <c r="F890" s="16" t="s">
        <v>171</v>
      </c>
      <c r="G890" s="16">
        <v>1.2539885E7</v>
      </c>
      <c r="H890" s="23">
        <v>1.0</v>
      </c>
      <c r="I890" s="23">
        <v>500.0</v>
      </c>
      <c r="J890" s="23">
        <v>500.0</v>
      </c>
      <c r="N890" s="23">
        <v>0.0</v>
      </c>
      <c r="R890" s="23">
        <v>0.0</v>
      </c>
      <c r="V890" s="23">
        <v>0.0</v>
      </c>
      <c r="Z890" s="23">
        <v>0.0</v>
      </c>
      <c r="AD890" s="23">
        <v>0.0</v>
      </c>
      <c r="AH890" s="23">
        <v>0.0</v>
      </c>
      <c r="AL890" s="23">
        <v>0.0</v>
      </c>
      <c r="AP890" s="23">
        <v>0.0</v>
      </c>
      <c r="AT890" s="23">
        <v>0.0</v>
      </c>
      <c r="AX890" s="23">
        <v>0.0</v>
      </c>
      <c r="BF890" s="23">
        <v>0.0</v>
      </c>
      <c r="BJ890" s="23">
        <v>0.0</v>
      </c>
      <c r="BN890" s="23">
        <v>0.0</v>
      </c>
      <c r="BO890" s="23">
        <v>500.0</v>
      </c>
      <c r="BP890" s="16" t="s">
        <v>5113</v>
      </c>
      <c r="BQ890" s="16" t="b">
        <v>1</v>
      </c>
      <c r="BR890" s="23">
        <v>500.0</v>
      </c>
      <c r="BT890" s="16" t="b">
        <v>0</v>
      </c>
      <c r="BU890" s="16" t="s">
        <v>546</v>
      </c>
    </row>
    <row r="891">
      <c r="A891" s="16" t="s">
        <v>5116</v>
      </c>
      <c r="B891" s="16" t="s">
        <v>35</v>
      </c>
      <c r="C891" s="22">
        <v>45660.0</v>
      </c>
      <c r="D891" s="16" t="s">
        <v>112</v>
      </c>
      <c r="E891" s="16" t="s">
        <v>5118</v>
      </c>
      <c r="F891" s="16" t="s">
        <v>157</v>
      </c>
      <c r="G891" s="16" t="s">
        <v>159</v>
      </c>
      <c r="H891" s="23">
        <v>1.0</v>
      </c>
      <c r="I891" s="23">
        <v>210.0</v>
      </c>
      <c r="J891" s="23">
        <v>210.0</v>
      </c>
      <c r="K891" s="16" t="s">
        <v>155</v>
      </c>
      <c r="L891" s="23">
        <v>1.0</v>
      </c>
      <c r="M891" s="23">
        <v>57.42</v>
      </c>
      <c r="N891" s="23">
        <v>57.42</v>
      </c>
      <c r="O891" s="16" t="s">
        <v>230</v>
      </c>
      <c r="P891" s="23">
        <v>1.0</v>
      </c>
      <c r="Q891" s="23">
        <v>137.7</v>
      </c>
      <c r="R891" s="23">
        <v>137.7</v>
      </c>
      <c r="S891" s="16" t="s">
        <v>152</v>
      </c>
      <c r="T891" s="23">
        <v>1.0</v>
      </c>
      <c r="U891" s="23">
        <v>8.74</v>
      </c>
      <c r="V891" s="23">
        <v>8.74</v>
      </c>
      <c r="W891" s="16" t="s">
        <v>226</v>
      </c>
      <c r="X891" s="23">
        <v>1.0</v>
      </c>
      <c r="Y891" s="23">
        <v>80.0</v>
      </c>
      <c r="Z891" s="23">
        <v>80.0</v>
      </c>
      <c r="AD891" s="23">
        <v>0.0</v>
      </c>
      <c r="AH891" s="23">
        <v>0.0</v>
      </c>
      <c r="AL891" s="23">
        <v>0.0</v>
      </c>
      <c r="AP891" s="23">
        <v>0.0</v>
      </c>
      <c r="AT891" s="23">
        <v>0.0</v>
      </c>
      <c r="AX891" s="23">
        <v>0.0</v>
      </c>
      <c r="BF891" s="23">
        <v>0.0</v>
      </c>
      <c r="BJ891" s="23">
        <v>0.0</v>
      </c>
      <c r="BN891" s="23">
        <v>0.0</v>
      </c>
      <c r="BO891" s="23">
        <v>493.86</v>
      </c>
      <c r="BP891" s="16" t="s">
        <v>5119</v>
      </c>
      <c r="BQ891" s="16" t="b">
        <v>1</v>
      </c>
      <c r="BR891" s="23">
        <v>493.86</v>
      </c>
      <c r="BT891" s="16" t="b">
        <v>0</v>
      </c>
      <c r="BU891" s="16" t="s">
        <v>546</v>
      </c>
    </row>
    <row r="892">
      <c r="A892" s="16" t="s">
        <v>5123</v>
      </c>
      <c r="B892" s="16" t="s">
        <v>35</v>
      </c>
      <c r="C892" s="22">
        <v>45661.0</v>
      </c>
      <c r="D892" s="16" t="s">
        <v>112</v>
      </c>
      <c r="E892" s="16" t="s">
        <v>5126</v>
      </c>
      <c r="F892" s="16" t="s">
        <v>157</v>
      </c>
      <c r="G892" s="16" t="s">
        <v>159</v>
      </c>
      <c r="H892" s="23">
        <v>1.0</v>
      </c>
      <c r="I892" s="23">
        <v>168.0</v>
      </c>
      <c r="J892" s="23">
        <v>168.0</v>
      </c>
      <c r="K892" s="16" t="s">
        <v>155</v>
      </c>
      <c r="L892" s="23">
        <v>1.0</v>
      </c>
      <c r="M892" s="23">
        <v>36.85</v>
      </c>
      <c r="N892" s="23">
        <v>36.85</v>
      </c>
      <c r="R892" s="23">
        <v>0.0</v>
      </c>
      <c r="V892" s="23">
        <v>0.0</v>
      </c>
      <c r="Z892" s="23">
        <v>0.0</v>
      </c>
      <c r="AD892" s="23">
        <v>0.0</v>
      </c>
      <c r="AH892" s="23">
        <v>0.0</v>
      </c>
      <c r="AL892" s="23">
        <v>0.0</v>
      </c>
      <c r="AP892" s="23">
        <v>0.0</v>
      </c>
      <c r="AT892" s="23">
        <v>0.0</v>
      </c>
      <c r="AX892" s="23">
        <v>0.0</v>
      </c>
      <c r="BF892" s="23">
        <v>0.0</v>
      </c>
      <c r="BJ892" s="23">
        <v>0.0</v>
      </c>
      <c r="BN892" s="23">
        <v>0.0</v>
      </c>
      <c r="BO892" s="23">
        <v>204.85</v>
      </c>
      <c r="BP892" s="16" t="s">
        <v>5127</v>
      </c>
      <c r="BQ892" s="16" t="b">
        <v>1</v>
      </c>
      <c r="BR892" s="23">
        <v>204.85</v>
      </c>
      <c r="BT892" s="16" t="b">
        <v>0</v>
      </c>
      <c r="BU892" s="16" t="s">
        <v>546</v>
      </c>
    </row>
    <row r="893">
      <c r="A893" s="16" t="s">
        <v>5131</v>
      </c>
      <c r="B893" s="16" t="s">
        <v>35</v>
      </c>
      <c r="C893" s="22">
        <v>45662.0</v>
      </c>
      <c r="D893" s="16" t="s">
        <v>2439</v>
      </c>
      <c r="E893" s="16" t="s">
        <v>5134</v>
      </c>
      <c r="F893" s="16" t="s">
        <v>5136</v>
      </c>
      <c r="G893" s="16" t="s">
        <v>3496</v>
      </c>
      <c r="H893" s="23">
        <v>1.0</v>
      </c>
      <c r="I893" s="23">
        <v>296.36</v>
      </c>
      <c r="J893" s="23">
        <v>296.36</v>
      </c>
      <c r="N893" s="23">
        <v>0.0</v>
      </c>
      <c r="R893" s="23">
        <v>0.0</v>
      </c>
      <c r="V893" s="23">
        <v>0.0</v>
      </c>
      <c r="Z893" s="23">
        <v>0.0</v>
      </c>
      <c r="AD893" s="23">
        <v>0.0</v>
      </c>
      <c r="AH893" s="23">
        <v>0.0</v>
      </c>
      <c r="AL893" s="23">
        <v>0.0</v>
      </c>
      <c r="AP893" s="23">
        <v>0.0</v>
      </c>
      <c r="AT893" s="23">
        <v>0.0</v>
      </c>
      <c r="AX893" s="23">
        <v>0.0</v>
      </c>
      <c r="BF893" s="23">
        <v>0.0</v>
      </c>
      <c r="BJ893" s="23">
        <v>0.0</v>
      </c>
      <c r="BN893" s="23">
        <v>0.0</v>
      </c>
      <c r="BO893" s="23">
        <v>296.36</v>
      </c>
      <c r="BP893" s="16" t="s">
        <v>5135</v>
      </c>
      <c r="BQ893" s="16" t="b">
        <v>1</v>
      </c>
      <c r="BR893" s="23">
        <v>296.36</v>
      </c>
      <c r="BT893" s="16" t="b">
        <v>0</v>
      </c>
      <c r="BU893" s="16" t="s">
        <v>546</v>
      </c>
    </row>
    <row r="894">
      <c r="A894" s="16" t="s">
        <v>5141</v>
      </c>
      <c r="B894" s="16" t="s">
        <v>35</v>
      </c>
      <c r="C894" s="22">
        <v>45662.0</v>
      </c>
      <c r="D894" s="16" t="s">
        <v>1557</v>
      </c>
      <c r="E894" s="16" t="s">
        <v>5143</v>
      </c>
      <c r="F894" s="16" t="s">
        <v>3903</v>
      </c>
      <c r="G894" s="16" t="s">
        <v>5325</v>
      </c>
      <c r="H894" s="23">
        <v>1.0</v>
      </c>
      <c r="I894" s="23">
        <v>110.0</v>
      </c>
      <c r="J894" s="23">
        <v>110.0</v>
      </c>
      <c r="N894" s="23">
        <v>0.0</v>
      </c>
      <c r="R894" s="23">
        <v>0.0</v>
      </c>
      <c r="V894" s="23">
        <v>0.0</v>
      </c>
      <c r="Z894" s="23">
        <v>0.0</v>
      </c>
      <c r="AD894" s="23">
        <v>0.0</v>
      </c>
      <c r="AH894" s="23">
        <v>0.0</v>
      </c>
      <c r="AL894" s="23">
        <v>0.0</v>
      </c>
      <c r="AP894" s="23">
        <v>0.0</v>
      </c>
      <c r="AT894" s="23">
        <v>0.0</v>
      </c>
      <c r="AX894" s="23">
        <v>0.0</v>
      </c>
      <c r="BF894" s="23">
        <v>0.0</v>
      </c>
      <c r="BJ894" s="23">
        <v>0.0</v>
      </c>
      <c r="BN894" s="23">
        <v>0.0</v>
      </c>
      <c r="BO894" s="23">
        <v>110.0</v>
      </c>
      <c r="BP894" s="16" t="s">
        <v>5145</v>
      </c>
      <c r="BQ894" s="16" t="b">
        <v>1</v>
      </c>
      <c r="BR894" s="23">
        <v>110.0</v>
      </c>
      <c r="BT894" s="16" t="b">
        <v>0</v>
      </c>
      <c r="BU894" s="16" t="s">
        <v>546</v>
      </c>
    </row>
    <row r="895">
      <c r="A895" s="16" t="s">
        <v>5148</v>
      </c>
      <c r="B895" s="16" t="s">
        <v>35</v>
      </c>
      <c r="C895" s="22">
        <v>45663.0</v>
      </c>
      <c r="D895" s="16" t="s">
        <v>543</v>
      </c>
      <c r="E895" s="16" t="s">
        <v>5151</v>
      </c>
      <c r="F895" s="16" t="s">
        <v>171</v>
      </c>
      <c r="G895" s="16">
        <v>1.2539885E7</v>
      </c>
      <c r="H895" s="23">
        <v>1.0</v>
      </c>
      <c r="I895" s="23">
        <v>500.0</v>
      </c>
      <c r="J895" s="23">
        <v>500.0</v>
      </c>
      <c r="N895" s="23">
        <v>0.0</v>
      </c>
      <c r="R895" s="23">
        <v>0.0</v>
      </c>
      <c r="V895" s="23">
        <v>0.0</v>
      </c>
      <c r="Z895" s="23">
        <v>0.0</v>
      </c>
      <c r="AD895" s="23">
        <v>0.0</v>
      </c>
      <c r="AH895" s="23">
        <v>0.0</v>
      </c>
      <c r="AL895" s="23">
        <v>0.0</v>
      </c>
      <c r="AP895" s="23">
        <v>0.0</v>
      </c>
      <c r="AT895" s="23">
        <v>0.0</v>
      </c>
      <c r="AX895" s="23">
        <v>0.0</v>
      </c>
      <c r="BF895" s="23">
        <v>0.0</v>
      </c>
      <c r="BJ895" s="23">
        <v>0.0</v>
      </c>
      <c r="BN895" s="23">
        <v>0.0</v>
      </c>
      <c r="BO895" s="23">
        <v>500.0</v>
      </c>
      <c r="BP895" s="16" t="s">
        <v>5152</v>
      </c>
      <c r="BQ895" s="16" t="b">
        <v>1</v>
      </c>
      <c r="BR895" s="23">
        <v>500.0</v>
      </c>
      <c r="BT895" s="16" t="b">
        <v>0</v>
      </c>
      <c r="BU895" s="16" t="s">
        <v>546</v>
      </c>
    </row>
    <row r="896">
      <c r="A896" s="16" t="s">
        <v>5156</v>
      </c>
      <c r="B896" s="16" t="s">
        <v>35</v>
      </c>
      <c r="C896" s="22">
        <v>45665.0</v>
      </c>
      <c r="F896" s="16" t="s">
        <v>5159</v>
      </c>
      <c r="G896" s="16" t="s">
        <v>1239</v>
      </c>
      <c r="H896" s="16">
        <v>1.0</v>
      </c>
      <c r="I896" s="23">
        <v>1230.21</v>
      </c>
      <c r="J896" s="23">
        <v>1230.21</v>
      </c>
      <c r="BO896" s="23">
        <v>1230.21</v>
      </c>
      <c r="BR896" s="23">
        <v>1230.21</v>
      </c>
      <c r="BU896" s="16" t="s">
        <v>539</v>
      </c>
      <c r="BV896" s="16" t="s">
        <v>658</v>
      </c>
    </row>
    <row r="897">
      <c r="A897" s="16" t="s">
        <v>5163</v>
      </c>
      <c r="B897" s="16" t="s">
        <v>35</v>
      </c>
      <c r="C897" s="22">
        <v>45665.0</v>
      </c>
      <c r="F897" s="16" t="s">
        <v>5159</v>
      </c>
      <c r="G897" s="16" t="s">
        <v>1239</v>
      </c>
      <c r="H897" s="16">
        <v>1.0</v>
      </c>
      <c r="I897" s="23">
        <v>1232.92</v>
      </c>
      <c r="J897" s="23">
        <v>1232.92</v>
      </c>
      <c r="BO897" s="23">
        <v>1232.92</v>
      </c>
      <c r="BR897" s="23">
        <v>1232.92</v>
      </c>
      <c r="BU897" s="16" t="s">
        <v>539</v>
      </c>
      <c r="BV897" s="16" t="s">
        <v>117</v>
      </c>
    </row>
    <row r="898">
      <c r="A898" s="16" t="s">
        <v>5169</v>
      </c>
      <c r="B898" s="16" t="s">
        <v>35</v>
      </c>
      <c r="C898" s="22">
        <v>45665.0</v>
      </c>
      <c r="F898" s="16" t="s">
        <v>5159</v>
      </c>
      <c r="G898" s="16" t="s">
        <v>1239</v>
      </c>
      <c r="H898" s="16">
        <v>1.0</v>
      </c>
      <c r="I898" s="23">
        <v>2160.18</v>
      </c>
      <c r="J898" s="23">
        <v>2160.18</v>
      </c>
      <c r="BO898" s="23">
        <v>2160.18</v>
      </c>
      <c r="BR898" s="23">
        <v>2160.18</v>
      </c>
      <c r="BU898" s="16" t="s">
        <v>539</v>
      </c>
      <c r="BV898" s="16" t="s">
        <v>2052</v>
      </c>
    </row>
    <row r="899">
      <c r="A899" s="16" t="s">
        <v>5177</v>
      </c>
      <c r="B899" s="16" t="s">
        <v>35</v>
      </c>
      <c r="C899" s="22">
        <v>45665.0</v>
      </c>
      <c r="F899" s="16" t="s">
        <v>5159</v>
      </c>
      <c r="G899" s="16" t="s">
        <v>1239</v>
      </c>
      <c r="H899" s="16">
        <v>1.0</v>
      </c>
      <c r="I899" s="23">
        <v>2190.74</v>
      </c>
      <c r="J899" s="23">
        <v>2190.74</v>
      </c>
      <c r="BO899" s="23">
        <v>2190.74</v>
      </c>
      <c r="BR899" s="23">
        <v>2190.74</v>
      </c>
      <c r="BU899" s="16" t="s">
        <v>539</v>
      </c>
      <c r="BV899" s="16" t="s">
        <v>227</v>
      </c>
    </row>
    <row r="900">
      <c r="A900" s="16" t="s">
        <v>5181</v>
      </c>
      <c r="B900" s="16" t="s">
        <v>35</v>
      </c>
      <c r="C900" s="22">
        <v>45665.0</v>
      </c>
      <c r="F900" s="16" t="s">
        <v>5159</v>
      </c>
      <c r="G900" s="16" t="s">
        <v>1239</v>
      </c>
      <c r="H900" s="16">
        <v>1.0</v>
      </c>
      <c r="I900" s="23">
        <v>2686.84</v>
      </c>
      <c r="J900" s="23">
        <v>2686.84</v>
      </c>
      <c r="BO900" s="23">
        <v>2686.84</v>
      </c>
      <c r="BR900" s="23">
        <v>2686.84</v>
      </c>
      <c r="BU900" s="16" t="s">
        <v>539</v>
      </c>
      <c r="BV900" s="16" t="s">
        <v>624</v>
      </c>
    </row>
    <row r="901">
      <c r="A901" s="16" t="s">
        <v>5185</v>
      </c>
      <c r="B901" s="16" t="s">
        <v>35</v>
      </c>
      <c r="C901" s="22">
        <v>45665.0</v>
      </c>
      <c r="D901" s="16" t="s">
        <v>460</v>
      </c>
      <c r="F901" s="16" t="s">
        <v>5188</v>
      </c>
      <c r="G901" s="16" t="s">
        <v>6039</v>
      </c>
      <c r="H901" s="16">
        <v>1.0</v>
      </c>
      <c r="I901" s="23">
        <v>92.0</v>
      </c>
      <c r="J901" s="23">
        <v>92.0</v>
      </c>
      <c r="BO901" s="23">
        <v>92.0</v>
      </c>
      <c r="BR901" s="23">
        <v>92.0</v>
      </c>
      <c r="BU901" s="16" t="s">
        <v>539</v>
      </c>
    </row>
    <row r="902">
      <c r="A902" s="16" t="s">
        <v>5191</v>
      </c>
      <c r="B902" s="16" t="s">
        <v>35</v>
      </c>
      <c r="C902" s="22">
        <v>45665.0</v>
      </c>
      <c r="D902" s="16" t="s">
        <v>460</v>
      </c>
      <c r="F902" s="16" t="s">
        <v>5194</v>
      </c>
      <c r="G902" s="16" t="s">
        <v>1653</v>
      </c>
      <c r="H902" s="16">
        <v>1.0</v>
      </c>
      <c r="I902" s="23">
        <v>200.0</v>
      </c>
      <c r="J902" s="23">
        <v>200.0</v>
      </c>
      <c r="BO902" s="23">
        <v>200.0</v>
      </c>
      <c r="BR902" s="23">
        <v>200.0</v>
      </c>
      <c r="BU902" s="16" t="s">
        <v>539</v>
      </c>
    </row>
    <row r="903">
      <c r="A903" s="16" t="s">
        <v>5198</v>
      </c>
      <c r="B903" s="16" t="s">
        <v>35</v>
      </c>
      <c r="C903" s="22">
        <v>45665.0</v>
      </c>
      <c r="F903" s="22">
        <v>45665.0</v>
      </c>
      <c r="G903" s="16" t="s">
        <v>1270</v>
      </c>
      <c r="H903" s="16">
        <v>1.0</v>
      </c>
      <c r="I903" s="23">
        <v>16000.0</v>
      </c>
      <c r="J903" s="23">
        <v>16000.0</v>
      </c>
      <c r="BO903" s="23">
        <v>16000.0</v>
      </c>
      <c r="BR903" s="23">
        <v>16000.0</v>
      </c>
      <c r="BU903" s="16" t="s">
        <v>539</v>
      </c>
      <c r="BV903" s="16" t="s">
        <v>682</v>
      </c>
    </row>
    <row r="904">
      <c r="A904" s="16" t="s">
        <v>5204</v>
      </c>
      <c r="B904" s="16" t="s">
        <v>35</v>
      </c>
      <c r="C904" s="22">
        <v>45665.0</v>
      </c>
      <c r="F904" s="22">
        <v>45665.0</v>
      </c>
      <c r="G904" s="16" t="s">
        <v>1270</v>
      </c>
      <c r="H904" s="16">
        <v>1.0</v>
      </c>
      <c r="I904" s="23">
        <v>16000.0</v>
      </c>
      <c r="J904" s="23">
        <v>16000.0</v>
      </c>
      <c r="BO904" s="23">
        <v>16000.0</v>
      </c>
      <c r="BR904" s="23">
        <v>16000.0</v>
      </c>
      <c r="BU904" s="16" t="s">
        <v>539</v>
      </c>
      <c r="BV904" s="16" t="s">
        <v>668</v>
      </c>
    </row>
    <row r="905">
      <c r="A905" s="16" t="s">
        <v>5210</v>
      </c>
      <c r="B905" s="16" t="s">
        <v>35</v>
      </c>
      <c r="C905" s="22">
        <v>45665.0</v>
      </c>
      <c r="F905" s="22">
        <v>45665.0</v>
      </c>
      <c r="G905" s="16" t="s">
        <v>1270</v>
      </c>
      <c r="H905" s="16">
        <v>1.0</v>
      </c>
      <c r="I905" s="23">
        <v>16000.0</v>
      </c>
      <c r="J905" s="23">
        <v>16000.0</v>
      </c>
      <c r="BO905" s="23">
        <v>16000.0</v>
      </c>
      <c r="BR905" s="23">
        <v>16000.0</v>
      </c>
      <c r="BU905" s="16" t="s">
        <v>539</v>
      </c>
      <c r="BV905" s="16" t="s">
        <v>671</v>
      </c>
    </row>
    <row r="906">
      <c r="A906" s="16" t="s">
        <v>5217</v>
      </c>
      <c r="B906" s="16" t="s">
        <v>35</v>
      </c>
      <c r="C906" s="22">
        <v>45665.0</v>
      </c>
      <c r="D906" s="16" t="s">
        <v>5219</v>
      </c>
      <c r="F906" s="16" t="s">
        <v>5220</v>
      </c>
      <c r="G906" s="16" t="s">
        <v>6049</v>
      </c>
      <c r="H906" s="16">
        <v>1.0</v>
      </c>
      <c r="I906" s="23">
        <v>89.9</v>
      </c>
      <c r="J906" s="23">
        <v>89.9</v>
      </c>
      <c r="BO906" s="23">
        <v>89.9</v>
      </c>
      <c r="BR906" s="23">
        <v>89.9</v>
      </c>
      <c r="BU906" s="16" t="s">
        <v>539</v>
      </c>
    </row>
    <row r="907">
      <c r="A907" s="16" t="s">
        <v>5224</v>
      </c>
      <c r="B907" s="16" t="s">
        <v>35</v>
      </c>
      <c r="C907" s="22">
        <v>45665.0</v>
      </c>
      <c r="D907" s="16" t="s">
        <v>890</v>
      </c>
      <c r="F907" s="16" t="s">
        <v>5227</v>
      </c>
      <c r="G907" s="16" t="s">
        <v>3833</v>
      </c>
      <c r="H907" s="16">
        <v>1.0</v>
      </c>
      <c r="I907" s="23">
        <v>6082.0</v>
      </c>
      <c r="J907" s="23">
        <v>6082.0</v>
      </c>
      <c r="BO907" s="23">
        <v>6082.0</v>
      </c>
      <c r="BR907" s="23">
        <v>6082.0</v>
      </c>
      <c r="BU907" s="16" t="s">
        <v>539</v>
      </c>
    </row>
    <row r="908">
      <c r="A908" s="16" t="s">
        <v>5231</v>
      </c>
      <c r="B908" s="16" t="s">
        <v>35</v>
      </c>
      <c r="C908" s="22">
        <v>45665.0</v>
      </c>
      <c r="F908" s="16" t="s">
        <v>5159</v>
      </c>
      <c r="G908" s="16" t="s">
        <v>1239</v>
      </c>
      <c r="H908" s="16">
        <v>1.0</v>
      </c>
      <c r="I908" s="23">
        <v>1157.04</v>
      </c>
      <c r="J908" s="23">
        <v>1157.04</v>
      </c>
      <c r="BO908" s="23">
        <v>1157.04</v>
      </c>
      <c r="BR908" s="23">
        <v>1157.04</v>
      </c>
      <c r="BU908" s="16" t="s">
        <v>539</v>
      </c>
      <c r="BV908" s="16" t="s">
        <v>3795</v>
      </c>
    </row>
    <row r="909">
      <c r="A909" s="16" t="s">
        <v>5234</v>
      </c>
      <c r="B909" s="16" t="s">
        <v>35</v>
      </c>
      <c r="C909" s="22">
        <v>45661.0</v>
      </c>
      <c r="D909" s="16" t="s">
        <v>3816</v>
      </c>
      <c r="E909" s="16" t="s">
        <v>5236</v>
      </c>
      <c r="F909" s="16" t="s">
        <v>236</v>
      </c>
      <c r="G909" s="16" t="s">
        <v>305</v>
      </c>
      <c r="H909" s="23">
        <v>1.0</v>
      </c>
      <c r="I909" s="23">
        <v>72.58</v>
      </c>
      <c r="J909" s="23">
        <v>72.58</v>
      </c>
      <c r="N909" s="23">
        <v>0.0</v>
      </c>
      <c r="R909" s="23">
        <v>0.0</v>
      </c>
      <c r="V909" s="23">
        <v>0.0</v>
      </c>
      <c r="Z909" s="23">
        <v>0.0</v>
      </c>
      <c r="AD909" s="23">
        <v>0.0</v>
      </c>
      <c r="AH909" s="23">
        <v>0.0</v>
      </c>
      <c r="AL909" s="23">
        <v>0.0</v>
      </c>
      <c r="AP909" s="23">
        <v>0.0</v>
      </c>
      <c r="AT909" s="23">
        <v>0.0</v>
      </c>
      <c r="AX909" s="23">
        <v>0.0</v>
      </c>
      <c r="BF909" s="23">
        <v>0.0</v>
      </c>
      <c r="BJ909" s="23">
        <v>0.0</v>
      </c>
      <c r="BN909" s="23">
        <v>0.0</v>
      </c>
      <c r="BO909" s="23">
        <v>72.58</v>
      </c>
      <c r="BP909" s="16" t="s">
        <v>5237</v>
      </c>
      <c r="BQ909" s="16" t="b">
        <v>1</v>
      </c>
      <c r="BR909" s="23">
        <v>72.58</v>
      </c>
      <c r="BS909" s="23">
        <v>1238346.0</v>
      </c>
      <c r="BT909" s="16" t="b">
        <v>1</v>
      </c>
      <c r="BU909" s="16" t="s">
        <v>546</v>
      </c>
    </row>
    <row r="910">
      <c r="A910" s="16" t="s">
        <v>5242</v>
      </c>
      <c r="B910" s="16" t="s">
        <v>35</v>
      </c>
      <c r="C910" s="22">
        <v>45663.0</v>
      </c>
      <c r="D910" s="23">
        <v>6.8893939E7</v>
      </c>
      <c r="E910" s="16" t="s">
        <v>5243</v>
      </c>
      <c r="F910" s="16" t="s">
        <v>605</v>
      </c>
      <c r="G910" s="16" t="s">
        <v>1653</v>
      </c>
      <c r="H910" s="23">
        <v>1.0</v>
      </c>
      <c r="I910" s="23">
        <v>4381.94</v>
      </c>
      <c r="J910" s="23">
        <v>4381.94</v>
      </c>
      <c r="N910" s="23">
        <v>0.0</v>
      </c>
      <c r="R910" s="23">
        <v>0.0</v>
      </c>
      <c r="V910" s="23">
        <v>0.0</v>
      </c>
      <c r="Z910" s="23">
        <v>0.0</v>
      </c>
      <c r="AD910" s="23">
        <v>0.0</v>
      </c>
      <c r="AH910" s="23">
        <v>0.0</v>
      </c>
      <c r="AL910" s="23">
        <v>0.0</v>
      </c>
      <c r="AP910" s="23">
        <v>0.0</v>
      </c>
      <c r="AT910" s="23">
        <v>0.0</v>
      </c>
      <c r="AX910" s="23">
        <v>0.0</v>
      </c>
      <c r="BF910" s="23">
        <v>0.0</v>
      </c>
      <c r="BJ910" s="23">
        <v>0.0</v>
      </c>
      <c r="BN910" s="23">
        <v>0.0</v>
      </c>
      <c r="BO910" s="23">
        <v>4381.94</v>
      </c>
      <c r="BP910" s="16" t="s">
        <v>5245</v>
      </c>
      <c r="BQ910" s="16" t="b">
        <v>1</v>
      </c>
      <c r="BR910" s="23">
        <v>4381.94</v>
      </c>
      <c r="BT910" s="16" t="b">
        <v>0</v>
      </c>
      <c r="BU910" s="16" t="s">
        <v>546</v>
      </c>
    </row>
    <row r="911">
      <c r="A911" s="16" t="s">
        <v>5250</v>
      </c>
      <c r="B911" s="16" t="s">
        <v>35</v>
      </c>
      <c r="C911" s="22">
        <v>45663.0</v>
      </c>
      <c r="D911" s="16" t="s">
        <v>890</v>
      </c>
      <c r="E911" s="16" t="s">
        <v>5252</v>
      </c>
      <c r="F911" s="16" t="s">
        <v>3813</v>
      </c>
      <c r="G911" s="16" t="s">
        <v>1517</v>
      </c>
      <c r="H911" s="23">
        <v>1.0</v>
      </c>
      <c r="I911" s="23">
        <v>47.37</v>
      </c>
      <c r="J911" s="23">
        <v>47.37</v>
      </c>
      <c r="N911" s="23">
        <v>0.0</v>
      </c>
      <c r="R911" s="23">
        <v>0.0</v>
      </c>
      <c r="V911" s="23">
        <v>0.0</v>
      </c>
      <c r="Z911" s="23">
        <v>0.0</v>
      </c>
      <c r="AD911" s="23">
        <v>0.0</v>
      </c>
      <c r="AH911" s="23">
        <v>0.0</v>
      </c>
      <c r="AL911" s="23">
        <v>0.0</v>
      </c>
      <c r="AP911" s="23">
        <v>0.0</v>
      </c>
      <c r="AT911" s="23">
        <v>0.0</v>
      </c>
      <c r="AX911" s="23">
        <v>0.0</v>
      </c>
      <c r="BF911" s="23">
        <v>0.0</v>
      </c>
      <c r="BJ911" s="23">
        <v>0.0</v>
      </c>
      <c r="BN911" s="23">
        <v>0.0</v>
      </c>
      <c r="BO911" s="23">
        <v>47.37</v>
      </c>
      <c r="BP911" s="16" t="s">
        <v>5253</v>
      </c>
      <c r="BQ911" s="16" t="b">
        <v>1</v>
      </c>
      <c r="BR911" s="23">
        <v>47.37</v>
      </c>
      <c r="BT911" s="16" t="b">
        <v>0</v>
      </c>
      <c r="BU911" s="16" t="s">
        <v>546</v>
      </c>
    </row>
    <row r="912">
      <c r="A912" s="16" t="s">
        <v>5256</v>
      </c>
      <c r="B912" s="16" t="s">
        <v>35</v>
      </c>
      <c r="C912" s="22">
        <v>45664.0</v>
      </c>
      <c r="D912" s="16" t="s">
        <v>3716</v>
      </c>
      <c r="E912" s="16" t="s">
        <v>5258</v>
      </c>
      <c r="F912" s="16" t="s">
        <v>195</v>
      </c>
      <c r="G912" s="16" t="s">
        <v>1080</v>
      </c>
      <c r="H912" s="23">
        <v>1.0</v>
      </c>
      <c r="I912" s="23">
        <v>208.5</v>
      </c>
      <c r="J912" s="23">
        <v>208.5</v>
      </c>
      <c r="N912" s="23">
        <v>0.0</v>
      </c>
      <c r="R912" s="23">
        <v>0.0</v>
      </c>
      <c r="V912" s="23">
        <v>0.0</v>
      </c>
      <c r="Z912" s="23">
        <v>0.0</v>
      </c>
      <c r="AD912" s="23">
        <v>0.0</v>
      </c>
      <c r="AH912" s="23">
        <v>0.0</v>
      </c>
      <c r="AL912" s="23">
        <v>0.0</v>
      </c>
      <c r="AP912" s="23">
        <v>0.0</v>
      </c>
      <c r="AT912" s="23">
        <v>0.0</v>
      </c>
      <c r="AX912" s="23">
        <v>0.0</v>
      </c>
      <c r="BF912" s="23">
        <v>0.0</v>
      </c>
      <c r="BJ912" s="23">
        <v>0.0</v>
      </c>
      <c r="BN912" s="23">
        <v>0.0</v>
      </c>
      <c r="BO912" s="23">
        <v>208.5</v>
      </c>
      <c r="BP912" s="16" t="s">
        <v>5259</v>
      </c>
      <c r="BQ912" s="16" t="b">
        <v>1</v>
      </c>
      <c r="BR912" s="23">
        <v>208.5</v>
      </c>
      <c r="BS912" s="23">
        <v>1244921.0</v>
      </c>
      <c r="BT912" s="16" t="b">
        <v>1</v>
      </c>
      <c r="BU912" s="16" t="s">
        <v>546</v>
      </c>
    </row>
    <row r="913">
      <c r="A913" s="16" t="s">
        <v>5262</v>
      </c>
      <c r="B913" s="16" t="s">
        <v>35</v>
      </c>
      <c r="C913" s="22">
        <v>45665.0</v>
      </c>
      <c r="D913" s="16" t="s">
        <v>112</v>
      </c>
      <c r="E913" s="16" t="s">
        <v>5264</v>
      </c>
      <c r="F913" s="16" t="s">
        <v>157</v>
      </c>
      <c r="G913" s="16" t="s">
        <v>226</v>
      </c>
      <c r="H913" s="23">
        <v>1.0</v>
      </c>
      <c r="I913" s="23">
        <v>60.0</v>
      </c>
      <c r="J913" s="23">
        <v>60.0</v>
      </c>
      <c r="K913" s="16" t="s">
        <v>152</v>
      </c>
      <c r="L913" s="23">
        <v>1.0</v>
      </c>
      <c r="M913" s="23">
        <v>11.59</v>
      </c>
      <c r="N913" s="23">
        <v>11.59</v>
      </c>
      <c r="O913" s="16" t="s">
        <v>155</v>
      </c>
      <c r="P913" s="23">
        <v>1.0</v>
      </c>
      <c r="Q913" s="23">
        <v>28.49</v>
      </c>
      <c r="R913" s="23">
        <v>28.49</v>
      </c>
      <c r="S913" s="16" t="s">
        <v>159</v>
      </c>
      <c r="T913" s="23">
        <v>1.0</v>
      </c>
      <c r="U913" s="23">
        <v>168.0</v>
      </c>
      <c r="V913" s="23">
        <v>168.0</v>
      </c>
      <c r="Z913" s="23">
        <v>0.0</v>
      </c>
      <c r="AD913" s="23">
        <v>0.0</v>
      </c>
      <c r="AH913" s="23">
        <v>0.0</v>
      </c>
      <c r="AL913" s="23">
        <v>0.0</v>
      </c>
      <c r="AP913" s="23">
        <v>0.0</v>
      </c>
      <c r="AT913" s="23">
        <v>0.0</v>
      </c>
      <c r="AX913" s="23">
        <v>0.0</v>
      </c>
      <c r="BF913" s="23">
        <v>0.0</v>
      </c>
      <c r="BJ913" s="23">
        <v>0.0</v>
      </c>
      <c r="BN913" s="23">
        <v>0.0</v>
      </c>
      <c r="BO913" s="23">
        <v>268.08</v>
      </c>
      <c r="BP913" s="16" t="s">
        <v>5265</v>
      </c>
      <c r="BQ913" s="16" t="b">
        <v>1</v>
      </c>
      <c r="BR913" s="23">
        <v>268.08</v>
      </c>
      <c r="BT913" s="16" t="b">
        <v>0</v>
      </c>
      <c r="BU913" s="16" t="s">
        <v>546</v>
      </c>
    </row>
    <row r="914">
      <c r="A914" s="16" t="s">
        <v>5268</v>
      </c>
      <c r="B914" s="16" t="s">
        <v>35</v>
      </c>
      <c r="C914" s="22">
        <v>45665.0</v>
      </c>
      <c r="D914" s="16" t="s">
        <v>145</v>
      </c>
      <c r="E914" s="16" t="s">
        <v>5270</v>
      </c>
      <c r="F914" s="16" t="s">
        <v>3627</v>
      </c>
      <c r="G914" s="16" t="s">
        <v>1195</v>
      </c>
      <c r="H914" s="23">
        <v>1.0</v>
      </c>
      <c r="I914" s="23">
        <v>144.0</v>
      </c>
      <c r="J914" s="23">
        <v>144.0</v>
      </c>
      <c r="K914" s="16" t="s">
        <v>1046</v>
      </c>
      <c r="L914" s="23">
        <v>1.0</v>
      </c>
      <c r="M914" s="23">
        <v>63.0</v>
      </c>
      <c r="N914" s="23">
        <v>63.0</v>
      </c>
      <c r="O914" s="16" t="s">
        <v>1197</v>
      </c>
      <c r="P914" s="23">
        <v>1.0</v>
      </c>
      <c r="Q914" s="23">
        <v>63.0</v>
      </c>
      <c r="R914" s="23">
        <v>63.0</v>
      </c>
      <c r="S914" s="16" t="s">
        <v>6071</v>
      </c>
      <c r="T914" s="23">
        <v>1.0</v>
      </c>
      <c r="U914" s="23">
        <v>23.0</v>
      </c>
      <c r="V914" s="23">
        <v>23.0</v>
      </c>
      <c r="W914" s="16" t="s">
        <v>266</v>
      </c>
      <c r="X914" s="23">
        <v>1.0</v>
      </c>
      <c r="Y914" s="23">
        <v>74.0</v>
      </c>
      <c r="Z914" s="23">
        <v>74.0</v>
      </c>
      <c r="AD914" s="23">
        <v>0.0</v>
      </c>
      <c r="AH914" s="23">
        <v>0.0</v>
      </c>
      <c r="AL914" s="23">
        <v>0.0</v>
      </c>
      <c r="AP914" s="23">
        <v>0.0</v>
      </c>
      <c r="AT914" s="23">
        <v>0.0</v>
      </c>
      <c r="AX914" s="23">
        <v>0.0</v>
      </c>
      <c r="BF914" s="23">
        <v>0.0</v>
      </c>
      <c r="BJ914" s="23">
        <v>0.0</v>
      </c>
      <c r="BN914" s="23">
        <v>0.0</v>
      </c>
      <c r="BO914" s="23">
        <v>367.0</v>
      </c>
      <c r="BP914" s="16" t="s">
        <v>5271</v>
      </c>
      <c r="BQ914" s="16" t="b">
        <v>1</v>
      </c>
      <c r="BR914" s="23">
        <v>367.0</v>
      </c>
      <c r="BT914" s="16" t="b">
        <v>0</v>
      </c>
      <c r="BU914" s="16" t="s">
        <v>546</v>
      </c>
    </row>
    <row r="915">
      <c r="A915" s="16" t="s">
        <v>5274</v>
      </c>
      <c r="B915" s="16" t="s">
        <v>35</v>
      </c>
      <c r="C915" s="22">
        <v>45664.0</v>
      </c>
      <c r="D915" s="16" t="s">
        <v>764</v>
      </c>
      <c r="E915" s="16" t="s">
        <v>5276</v>
      </c>
      <c r="F915" s="16" t="s">
        <v>195</v>
      </c>
      <c r="G915" s="16" t="s">
        <v>1073</v>
      </c>
      <c r="H915" s="23">
        <v>1.0</v>
      </c>
      <c r="I915" s="23">
        <v>19.25</v>
      </c>
      <c r="J915" s="23">
        <v>19.25</v>
      </c>
      <c r="K915" s="16">
        <v>7.5375964E7</v>
      </c>
      <c r="L915" s="23">
        <v>1.0</v>
      </c>
      <c r="M915" s="23">
        <v>18.0</v>
      </c>
      <c r="N915" s="23">
        <v>18.0</v>
      </c>
      <c r="O915" s="16" t="s">
        <v>1384</v>
      </c>
      <c r="P915" s="23">
        <v>1.0</v>
      </c>
      <c r="Q915" s="23">
        <v>18.0</v>
      </c>
      <c r="R915" s="23">
        <v>18.0</v>
      </c>
      <c r="S915" s="16" t="s">
        <v>1404</v>
      </c>
      <c r="T915" s="23">
        <v>1.0</v>
      </c>
      <c r="U915" s="23">
        <v>18.0</v>
      </c>
      <c r="V915" s="23">
        <v>18.0</v>
      </c>
      <c r="W915" s="16" t="s">
        <v>1074</v>
      </c>
      <c r="X915" s="23">
        <v>6.0</v>
      </c>
      <c r="Y915" s="23">
        <v>37.0</v>
      </c>
      <c r="Z915" s="23">
        <v>222.0</v>
      </c>
      <c r="AA915" s="16" t="s">
        <v>1077</v>
      </c>
      <c r="AB915" s="23">
        <v>3.0</v>
      </c>
      <c r="AC915" s="23">
        <v>25.0</v>
      </c>
      <c r="AD915" s="23">
        <v>75.0</v>
      </c>
      <c r="AE915" s="16" t="s">
        <v>1079</v>
      </c>
      <c r="AF915" s="23">
        <v>30.0</v>
      </c>
      <c r="AG915" s="23">
        <v>17.0</v>
      </c>
      <c r="AH915" s="23">
        <v>510.0</v>
      </c>
      <c r="AI915" s="16" t="s">
        <v>1081</v>
      </c>
      <c r="AJ915" s="23">
        <v>2.0</v>
      </c>
      <c r="AK915" s="23">
        <v>45.0</v>
      </c>
      <c r="AL915" s="23">
        <v>90.0</v>
      </c>
      <c r="AM915" s="16" t="s">
        <v>1081</v>
      </c>
      <c r="AN915" s="23">
        <v>3.0</v>
      </c>
      <c r="AO915" s="23">
        <v>46.0</v>
      </c>
      <c r="AP915" s="23">
        <v>138.0</v>
      </c>
      <c r="AQ915" s="16" t="s">
        <v>1083</v>
      </c>
      <c r="AR915" s="23">
        <v>1.0</v>
      </c>
      <c r="AS915" s="23">
        <v>18.0</v>
      </c>
      <c r="AT915" s="23">
        <v>18.0</v>
      </c>
      <c r="AU915" s="16" t="s">
        <v>1075</v>
      </c>
      <c r="AV915" s="23">
        <v>3.0</v>
      </c>
      <c r="AW915" s="23">
        <v>37.0</v>
      </c>
      <c r="AX915" s="23">
        <v>111.0</v>
      </c>
      <c r="AY915" s="16" t="s">
        <v>1091</v>
      </c>
      <c r="AZ915" s="23">
        <v>1.0</v>
      </c>
      <c r="BA915" s="23">
        <v>108.0</v>
      </c>
      <c r="BB915" s="23">
        <v>108.0</v>
      </c>
      <c r="BC915" s="16" t="s">
        <v>1091</v>
      </c>
      <c r="BD915" s="23">
        <v>1.0</v>
      </c>
      <c r="BE915" s="23">
        <v>36.0</v>
      </c>
      <c r="BF915" s="23">
        <v>36.0</v>
      </c>
      <c r="BJ915" s="23">
        <v>0.0</v>
      </c>
      <c r="BN915" s="23">
        <v>0.0</v>
      </c>
      <c r="BO915" s="23">
        <v>1381.25</v>
      </c>
      <c r="BP915" s="16" t="s">
        <v>5277</v>
      </c>
      <c r="BQ915" s="16" t="b">
        <v>1</v>
      </c>
      <c r="BR915" s="23">
        <v>1381.25</v>
      </c>
      <c r="BT915" s="16" t="b">
        <v>0</v>
      </c>
      <c r="BU915" s="16" t="s">
        <v>546</v>
      </c>
      <c r="BW915" s="16" t="s">
        <v>5279</v>
      </c>
    </row>
    <row r="916">
      <c r="A916" s="16" t="s">
        <v>5281</v>
      </c>
      <c r="B916" s="16" t="s">
        <v>35</v>
      </c>
      <c r="C916" s="22">
        <v>45669.0</v>
      </c>
      <c r="D916" s="16" t="s">
        <v>890</v>
      </c>
      <c r="F916" s="16" t="s">
        <v>5283</v>
      </c>
      <c r="G916" s="16" t="s">
        <v>3833</v>
      </c>
      <c r="H916" s="16">
        <v>1.0</v>
      </c>
      <c r="I916" s="23">
        <v>20233.67</v>
      </c>
      <c r="J916" s="23">
        <v>20233.67</v>
      </c>
      <c r="BO916" s="23">
        <v>20233.67</v>
      </c>
      <c r="BR916" s="23">
        <v>20233.67</v>
      </c>
      <c r="BU916" s="16" t="s">
        <v>539</v>
      </c>
    </row>
    <row r="917">
      <c r="A917" s="16" t="s">
        <v>5285</v>
      </c>
      <c r="B917" s="16" t="s">
        <v>35</v>
      </c>
      <c r="C917" s="22">
        <v>45669.0</v>
      </c>
      <c r="D917" s="16" t="s">
        <v>2248</v>
      </c>
      <c r="F917" s="16" t="s">
        <v>2549</v>
      </c>
      <c r="G917" s="16" t="s">
        <v>3218</v>
      </c>
      <c r="H917" s="16">
        <v>1.0</v>
      </c>
      <c r="I917" s="23">
        <v>353.53</v>
      </c>
      <c r="J917" s="23">
        <v>353.53</v>
      </c>
      <c r="BO917" s="23">
        <v>353.53</v>
      </c>
      <c r="BR917" s="23">
        <v>353.53</v>
      </c>
      <c r="BU917" s="16" t="s">
        <v>539</v>
      </c>
    </row>
    <row r="918">
      <c r="A918" s="16" t="s">
        <v>5290</v>
      </c>
      <c r="B918" s="16" t="s">
        <v>35</v>
      </c>
      <c r="C918" s="22">
        <v>45669.0</v>
      </c>
      <c r="D918" s="16" t="s">
        <v>890</v>
      </c>
      <c r="F918" s="16" t="s">
        <v>4010</v>
      </c>
      <c r="G918" s="16" t="s">
        <v>4831</v>
      </c>
      <c r="H918" s="16">
        <v>1.0</v>
      </c>
      <c r="I918" s="23">
        <v>250.0</v>
      </c>
      <c r="J918" s="23">
        <v>250.0</v>
      </c>
      <c r="BO918" s="23">
        <v>250.0</v>
      </c>
      <c r="BR918" s="23">
        <v>250.0</v>
      </c>
      <c r="BU918" s="16" t="s">
        <v>539</v>
      </c>
    </row>
    <row r="919">
      <c r="A919" s="16" t="s">
        <v>5295</v>
      </c>
      <c r="B919" s="16" t="s">
        <v>35</v>
      </c>
      <c r="C919" s="22">
        <v>45665.0</v>
      </c>
      <c r="D919" s="16" t="s">
        <v>286</v>
      </c>
      <c r="E919" s="16" t="s">
        <v>5297</v>
      </c>
      <c r="F919" s="16" t="s">
        <v>5300</v>
      </c>
      <c r="G919" s="16" t="s">
        <v>1350</v>
      </c>
      <c r="H919" s="23">
        <v>1.0</v>
      </c>
      <c r="I919" s="23">
        <v>47.2</v>
      </c>
      <c r="J919" s="23">
        <v>47.2</v>
      </c>
      <c r="N919" s="23">
        <v>0.0</v>
      </c>
      <c r="R919" s="23">
        <v>0.0</v>
      </c>
      <c r="V919" s="23">
        <v>0.0</v>
      </c>
      <c r="Z919" s="23">
        <v>0.0</v>
      </c>
      <c r="AD919" s="23">
        <v>0.0</v>
      </c>
      <c r="AH919" s="23">
        <v>0.0</v>
      </c>
      <c r="AL919" s="23">
        <v>0.0</v>
      </c>
      <c r="AP919" s="23">
        <v>0.0</v>
      </c>
      <c r="AT919" s="23">
        <v>0.0</v>
      </c>
      <c r="AX919" s="23">
        <v>0.0</v>
      </c>
      <c r="BF919" s="23">
        <v>0.0</v>
      </c>
      <c r="BJ919" s="23">
        <v>0.0</v>
      </c>
      <c r="BN919" s="23">
        <v>0.0</v>
      </c>
      <c r="BO919" s="23">
        <v>47.2</v>
      </c>
      <c r="BP919" s="16" t="s">
        <v>5299</v>
      </c>
      <c r="BQ919" s="16" t="b">
        <v>1</v>
      </c>
      <c r="BR919" s="23">
        <v>47.2</v>
      </c>
      <c r="BS919" s="23">
        <v>1247464.0</v>
      </c>
      <c r="BT919" s="16" t="b">
        <v>1</v>
      </c>
      <c r="BU919" s="16" t="s">
        <v>546</v>
      </c>
    </row>
    <row r="920">
      <c r="A920" s="16" t="s">
        <v>5303</v>
      </c>
      <c r="B920" s="16" t="s">
        <v>35</v>
      </c>
      <c r="C920" s="22">
        <v>45665.0</v>
      </c>
      <c r="D920" s="23">
        <v>2.6065919E7</v>
      </c>
      <c r="E920" s="16" t="s">
        <v>5305</v>
      </c>
      <c r="F920" s="16" t="s">
        <v>5308</v>
      </c>
      <c r="G920" s="16" t="s">
        <v>1022</v>
      </c>
      <c r="H920" s="23">
        <v>1.0</v>
      </c>
      <c r="I920" s="23">
        <v>108.0</v>
      </c>
      <c r="J920" s="23">
        <v>108.0</v>
      </c>
      <c r="N920" s="23">
        <v>0.0</v>
      </c>
      <c r="R920" s="23">
        <v>0.0</v>
      </c>
      <c r="V920" s="23">
        <v>0.0</v>
      </c>
      <c r="Z920" s="23">
        <v>0.0</v>
      </c>
      <c r="AD920" s="23">
        <v>0.0</v>
      </c>
      <c r="AH920" s="23">
        <v>0.0</v>
      </c>
      <c r="AL920" s="23">
        <v>0.0</v>
      </c>
      <c r="AP920" s="23">
        <v>0.0</v>
      </c>
      <c r="AT920" s="23">
        <v>0.0</v>
      </c>
      <c r="AX920" s="23">
        <v>0.0</v>
      </c>
      <c r="BF920" s="23">
        <v>0.0</v>
      </c>
      <c r="BJ920" s="23">
        <v>0.0</v>
      </c>
      <c r="BN920" s="23">
        <v>0.0</v>
      </c>
      <c r="BO920" s="23">
        <v>108.0</v>
      </c>
      <c r="BP920" s="16" t="s">
        <v>5306</v>
      </c>
      <c r="BQ920" s="16" t="b">
        <v>1</v>
      </c>
      <c r="BR920" s="23">
        <v>108.0</v>
      </c>
      <c r="BS920" s="23">
        <v>1247464.0</v>
      </c>
      <c r="BT920" s="16" t="b">
        <v>1</v>
      </c>
      <c r="BU920" s="16" t="s">
        <v>546</v>
      </c>
    </row>
    <row r="921">
      <c r="A921" s="16" t="s">
        <v>5311</v>
      </c>
      <c r="B921" s="16" t="s">
        <v>35</v>
      </c>
      <c r="C921" s="22">
        <v>45667.0</v>
      </c>
      <c r="D921" s="16" t="s">
        <v>122</v>
      </c>
      <c r="E921" s="16" t="s">
        <v>5313</v>
      </c>
      <c r="F921" s="16" t="s">
        <v>482</v>
      </c>
      <c r="G921" s="16" t="s">
        <v>238</v>
      </c>
      <c r="H921" s="23">
        <v>12.0</v>
      </c>
      <c r="I921" s="23">
        <v>5.9</v>
      </c>
      <c r="J921" s="23">
        <v>70.8</v>
      </c>
      <c r="K921" s="16" t="s">
        <v>243</v>
      </c>
      <c r="L921" s="23">
        <v>6.0</v>
      </c>
      <c r="M921" s="23">
        <v>7.2</v>
      </c>
      <c r="N921" s="23">
        <v>43.2</v>
      </c>
      <c r="O921" s="16" t="s">
        <v>981</v>
      </c>
      <c r="P921" s="23">
        <v>6.0</v>
      </c>
      <c r="Q921" s="23">
        <v>4.59</v>
      </c>
      <c r="R921" s="23">
        <v>27.54</v>
      </c>
      <c r="V921" s="23">
        <v>0.0</v>
      </c>
      <c r="Z921" s="23">
        <v>0.0</v>
      </c>
      <c r="AD921" s="23">
        <v>0.0</v>
      </c>
      <c r="AH921" s="23">
        <v>0.0</v>
      </c>
      <c r="AL921" s="23">
        <v>0.0</v>
      </c>
      <c r="AP921" s="23">
        <v>0.0</v>
      </c>
      <c r="AT921" s="23">
        <v>0.0</v>
      </c>
      <c r="AX921" s="23">
        <v>0.0</v>
      </c>
      <c r="BF921" s="23">
        <v>0.0</v>
      </c>
      <c r="BJ921" s="23">
        <v>0.0</v>
      </c>
      <c r="BN921" s="23">
        <v>0.0</v>
      </c>
      <c r="BO921" s="23">
        <v>141.54</v>
      </c>
      <c r="BP921" s="16" t="s">
        <v>5315</v>
      </c>
      <c r="BQ921" s="16" t="b">
        <v>1</v>
      </c>
      <c r="BR921" s="23">
        <v>141.54</v>
      </c>
      <c r="BS921" s="23">
        <v>1250767.0</v>
      </c>
      <c r="BT921" s="16" t="b">
        <v>1</v>
      </c>
      <c r="BU921" s="16" t="s">
        <v>546</v>
      </c>
    </row>
    <row r="922">
      <c r="A922" s="16" t="s">
        <v>5319</v>
      </c>
      <c r="B922" s="16" t="s">
        <v>35</v>
      </c>
      <c r="C922" s="22">
        <v>45667.0</v>
      </c>
      <c r="D922" s="16" t="s">
        <v>543</v>
      </c>
      <c r="E922" s="16" t="s">
        <v>5321</v>
      </c>
      <c r="F922" s="16" t="s">
        <v>171</v>
      </c>
      <c r="G922" s="16">
        <v>1.2539885E7</v>
      </c>
      <c r="H922" s="23">
        <v>1.0</v>
      </c>
      <c r="I922" s="23">
        <v>625.0</v>
      </c>
      <c r="J922" s="23">
        <v>625.0</v>
      </c>
      <c r="N922" s="23">
        <v>0.0</v>
      </c>
      <c r="R922" s="23">
        <v>0.0</v>
      </c>
      <c r="V922" s="23">
        <v>0.0</v>
      </c>
      <c r="Z922" s="23">
        <v>0.0</v>
      </c>
      <c r="AD922" s="23">
        <v>0.0</v>
      </c>
      <c r="AH922" s="23">
        <v>0.0</v>
      </c>
      <c r="AL922" s="23">
        <v>0.0</v>
      </c>
      <c r="AP922" s="23">
        <v>0.0</v>
      </c>
      <c r="AT922" s="23">
        <v>0.0</v>
      </c>
      <c r="AX922" s="23">
        <v>0.0</v>
      </c>
      <c r="BF922" s="23">
        <v>0.0</v>
      </c>
      <c r="BJ922" s="23">
        <v>0.0</v>
      </c>
      <c r="BN922" s="23">
        <v>0.0</v>
      </c>
      <c r="BO922" s="23">
        <v>625.0</v>
      </c>
      <c r="BP922" s="16" t="s">
        <v>5323</v>
      </c>
      <c r="BQ922" s="16" t="b">
        <v>1</v>
      </c>
      <c r="BR922" s="23">
        <v>625.0</v>
      </c>
      <c r="BT922" s="16" t="b">
        <v>0</v>
      </c>
      <c r="BU922" s="16" t="s">
        <v>546</v>
      </c>
    </row>
    <row r="923">
      <c r="A923" s="16" t="s">
        <v>5328</v>
      </c>
      <c r="B923" s="16" t="s">
        <v>35</v>
      </c>
      <c r="C923" s="22">
        <v>45667.0</v>
      </c>
      <c r="D923" s="16" t="s">
        <v>112</v>
      </c>
      <c r="E923" s="16" t="s">
        <v>5330</v>
      </c>
      <c r="F923" s="16" t="s">
        <v>157</v>
      </c>
      <c r="G923" s="16" t="s">
        <v>159</v>
      </c>
      <c r="H923" s="23">
        <v>20.0</v>
      </c>
      <c r="I923" s="23">
        <v>14.0</v>
      </c>
      <c r="J923" s="23">
        <v>280.0</v>
      </c>
      <c r="K923" s="16" t="s">
        <v>155</v>
      </c>
      <c r="L923" s="23">
        <v>1.0</v>
      </c>
      <c r="M923" s="23">
        <v>41.17</v>
      </c>
      <c r="N923" s="23">
        <v>41.17</v>
      </c>
      <c r="O923" s="16" t="s">
        <v>152</v>
      </c>
      <c r="P923" s="23">
        <v>1.0</v>
      </c>
      <c r="Q923" s="23">
        <v>12.16</v>
      </c>
      <c r="R923" s="23">
        <v>12.16</v>
      </c>
      <c r="S923" s="16" t="s">
        <v>226</v>
      </c>
      <c r="T923" s="23">
        <v>1.0</v>
      </c>
      <c r="U923" s="23">
        <v>100.0</v>
      </c>
      <c r="V923" s="23">
        <v>100.0</v>
      </c>
      <c r="Z923" s="23">
        <v>0.0</v>
      </c>
      <c r="AD923" s="23">
        <v>0.0</v>
      </c>
      <c r="AH923" s="23">
        <v>0.0</v>
      </c>
      <c r="AL923" s="23">
        <v>0.0</v>
      </c>
      <c r="AP923" s="23">
        <v>0.0</v>
      </c>
      <c r="AT923" s="23">
        <v>0.0</v>
      </c>
      <c r="AX923" s="23">
        <v>0.0</v>
      </c>
      <c r="BF923" s="23">
        <v>0.0</v>
      </c>
      <c r="BJ923" s="23">
        <v>0.0</v>
      </c>
      <c r="BN923" s="23">
        <v>0.0</v>
      </c>
      <c r="BO923" s="23">
        <v>433.33</v>
      </c>
      <c r="BP923" s="16" t="s">
        <v>5332</v>
      </c>
      <c r="BQ923" s="16" t="b">
        <v>1</v>
      </c>
      <c r="BR923" s="23">
        <v>433.33</v>
      </c>
      <c r="BT923" s="16" t="b">
        <v>0</v>
      </c>
      <c r="BU923" s="16" t="s">
        <v>546</v>
      </c>
    </row>
    <row r="924">
      <c r="A924" s="16" t="s">
        <v>5336</v>
      </c>
      <c r="B924" s="16" t="s">
        <v>35</v>
      </c>
      <c r="C924" s="22">
        <v>45668.0</v>
      </c>
      <c r="D924" s="16" t="s">
        <v>1918</v>
      </c>
      <c r="E924" s="16" t="s">
        <v>5338</v>
      </c>
      <c r="F924" s="16" t="s">
        <v>5341</v>
      </c>
      <c r="G924" s="16" t="s">
        <v>5225</v>
      </c>
      <c r="H924" s="23">
        <v>1.0</v>
      </c>
      <c r="I924" s="23">
        <v>18.9</v>
      </c>
      <c r="J924" s="23">
        <v>18.9</v>
      </c>
      <c r="N924" s="23">
        <v>0.0</v>
      </c>
      <c r="R924" s="23">
        <v>0.0</v>
      </c>
      <c r="V924" s="23">
        <v>0.0</v>
      </c>
      <c r="Z924" s="23">
        <v>0.0</v>
      </c>
      <c r="AD924" s="23">
        <v>0.0</v>
      </c>
      <c r="AH924" s="23">
        <v>0.0</v>
      </c>
      <c r="AL924" s="23">
        <v>0.0</v>
      </c>
      <c r="AP924" s="23">
        <v>0.0</v>
      </c>
      <c r="AT924" s="23">
        <v>0.0</v>
      </c>
      <c r="AX924" s="23">
        <v>0.0</v>
      </c>
      <c r="BF924" s="23">
        <v>0.0</v>
      </c>
      <c r="BJ924" s="23">
        <v>0.0</v>
      </c>
      <c r="BN924" s="23">
        <v>0.0</v>
      </c>
      <c r="BO924" s="23">
        <v>18.9</v>
      </c>
      <c r="BP924" s="16" t="s">
        <v>5340</v>
      </c>
      <c r="BQ924" s="16" t="b">
        <v>1</v>
      </c>
      <c r="BR924" s="23">
        <v>18.9</v>
      </c>
      <c r="BS924" s="23">
        <v>1252798.0</v>
      </c>
      <c r="BT924" s="16" t="b">
        <v>1</v>
      </c>
      <c r="BU924" s="16" t="s">
        <v>546</v>
      </c>
    </row>
    <row r="925">
      <c r="A925" s="16" t="s">
        <v>5345</v>
      </c>
      <c r="B925" s="16" t="s">
        <v>35</v>
      </c>
      <c r="C925" s="22">
        <v>45666.0</v>
      </c>
      <c r="D925" s="23">
        <v>6.8893939E7</v>
      </c>
      <c r="E925" s="16" t="s">
        <v>5347</v>
      </c>
      <c r="F925" s="16" t="s">
        <v>605</v>
      </c>
      <c r="G925" s="16" t="s">
        <v>1145</v>
      </c>
      <c r="H925" s="23">
        <v>1.0</v>
      </c>
      <c r="I925" s="23">
        <v>2589.53</v>
      </c>
      <c r="J925" s="23">
        <v>2589.53</v>
      </c>
      <c r="N925" s="23">
        <v>0.0</v>
      </c>
      <c r="R925" s="23">
        <v>0.0</v>
      </c>
      <c r="V925" s="23">
        <v>0.0</v>
      </c>
      <c r="Z925" s="23">
        <v>0.0</v>
      </c>
      <c r="AD925" s="23">
        <v>0.0</v>
      </c>
      <c r="AH925" s="23">
        <v>0.0</v>
      </c>
      <c r="AL925" s="23">
        <v>0.0</v>
      </c>
      <c r="AP925" s="23">
        <v>0.0</v>
      </c>
      <c r="AT925" s="23">
        <v>0.0</v>
      </c>
      <c r="AX925" s="23">
        <v>0.0</v>
      </c>
      <c r="BF925" s="23">
        <v>0.0</v>
      </c>
      <c r="BJ925" s="23">
        <v>0.0</v>
      </c>
      <c r="BN925" s="23">
        <v>0.0</v>
      </c>
      <c r="BO925" s="23">
        <v>2589.53</v>
      </c>
      <c r="BP925" s="16" t="s">
        <v>5348</v>
      </c>
      <c r="BQ925" s="16" t="b">
        <v>1</v>
      </c>
      <c r="BR925" s="23">
        <v>2589.53</v>
      </c>
      <c r="BT925" s="16" t="b">
        <v>0</v>
      </c>
      <c r="BU925" s="16" t="s">
        <v>546</v>
      </c>
    </row>
    <row r="926">
      <c r="A926" s="16" t="s">
        <v>5353</v>
      </c>
      <c r="B926" s="16" t="s">
        <v>35</v>
      </c>
      <c r="C926" s="22">
        <v>45666.0</v>
      </c>
      <c r="D926" s="16" t="s">
        <v>890</v>
      </c>
      <c r="E926" s="16" t="s">
        <v>5355</v>
      </c>
      <c r="F926" s="16" t="s">
        <v>5358</v>
      </c>
      <c r="G926" s="16" t="s">
        <v>6122</v>
      </c>
      <c r="H926" s="23">
        <v>1.0</v>
      </c>
      <c r="I926" s="23">
        <v>157.84</v>
      </c>
      <c r="J926" s="23">
        <v>157.84</v>
      </c>
      <c r="N926" s="23">
        <v>0.0</v>
      </c>
      <c r="R926" s="23">
        <v>0.0</v>
      </c>
      <c r="V926" s="23">
        <v>0.0</v>
      </c>
      <c r="Z926" s="23">
        <v>0.0</v>
      </c>
      <c r="AD926" s="23">
        <v>0.0</v>
      </c>
      <c r="AH926" s="23">
        <v>0.0</v>
      </c>
      <c r="AL926" s="23">
        <v>0.0</v>
      </c>
      <c r="AP926" s="23">
        <v>0.0</v>
      </c>
      <c r="AT926" s="23">
        <v>0.0</v>
      </c>
      <c r="AX926" s="23">
        <v>0.0</v>
      </c>
      <c r="BF926" s="23">
        <v>0.0</v>
      </c>
      <c r="BJ926" s="23">
        <v>0.0</v>
      </c>
      <c r="BN926" s="23">
        <v>0.0</v>
      </c>
      <c r="BO926" s="23">
        <v>157.84</v>
      </c>
      <c r="BP926" s="16" t="s">
        <v>5356</v>
      </c>
      <c r="BQ926" s="16" t="b">
        <v>1</v>
      </c>
      <c r="BR926" s="23">
        <v>157.84</v>
      </c>
      <c r="BT926" s="16" t="b">
        <v>0</v>
      </c>
      <c r="BU926" s="16" t="s">
        <v>546</v>
      </c>
    </row>
    <row r="927">
      <c r="A927" s="16" t="s">
        <v>5361</v>
      </c>
      <c r="B927" s="16" t="s">
        <v>35</v>
      </c>
      <c r="C927" s="22">
        <v>45670.0</v>
      </c>
      <c r="D927" s="16" t="s">
        <v>543</v>
      </c>
      <c r="E927" s="16" t="s">
        <v>5363</v>
      </c>
      <c r="F927" s="16" t="s">
        <v>171</v>
      </c>
      <c r="G927" s="16">
        <v>1.2539885E7</v>
      </c>
      <c r="H927" s="23">
        <v>1.0</v>
      </c>
      <c r="I927" s="23">
        <v>500.0</v>
      </c>
      <c r="J927" s="23">
        <v>500.0</v>
      </c>
      <c r="N927" s="23">
        <v>0.0</v>
      </c>
      <c r="R927" s="23">
        <v>0.0</v>
      </c>
      <c r="V927" s="23">
        <v>0.0</v>
      </c>
      <c r="Z927" s="23">
        <v>0.0</v>
      </c>
      <c r="AD927" s="23">
        <v>0.0</v>
      </c>
      <c r="AH927" s="23">
        <v>0.0</v>
      </c>
      <c r="AL927" s="23">
        <v>0.0</v>
      </c>
      <c r="AP927" s="23">
        <v>0.0</v>
      </c>
      <c r="AT927" s="23">
        <v>0.0</v>
      </c>
      <c r="AX927" s="23">
        <v>0.0</v>
      </c>
      <c r="BF927" s="23">
        <v>0.0</v>
      </c>
      <c r="BJ927" s="23">
        <v>0.0</v>
      </c>
      <c r="BN927" s="23">
        <v>0.0</v>
      </c>
      <c r="BO927" s="23">
        <v>500.0</v>
      </c>
      <c r="BP927" s="16" t="s">
        <v>5365</v>
      </c>
      <c r="BQ927" s="16" t="b">
        <v>1</v>
      </c>
      <c r="BR927" s="23">
        <v>500.0</v>
      </c>
      <c r="BT927" s="16" t="b">
        <v>0</v>
      </c>
      <c r="BU927" s="16" t="s">
        <v>546</v>
      </c>
    </row>
    <row r="928">
      <c r="A928" s="16" t="s">
        <v>5369</v>
      </c>
      <c r="B928" s="16" t="s">
        <v>35</v>
      </c>
      <c r="C928" s="22">
        <v>45670.0</v>
      </c>
      <c r="D928" s="23">
        <v>2.6065919E7</v>
      </c>
      <c r="E928" s="16" t="s">
        <v>5370</v>
      </c>
      <c r="F928" s="16" t="s">
        <v>5373</v>
      </c>
      <c r="G928" s="16" t="s">
        <v>1022</v>
      </c>
      <c r="H928" s="23">
        <v>1.0</v>
      </c>
      <c r="I928" s="23">
        <v>229.0</v>
      </c>
      <c r="J928" s="23">
        <v>229.0</v>
      </c>
      <c r="N928" s="23">
        <v>0.0</v>
      </c>
      <c r="R928" s="23">
        <v>0.0</v>
      </c>
      <c r="V928" s="23">
        <v>0.0</v>
      </c>
      <c r="Z928" s="23">
        <v>0.0</v>
      </c>
      <c r="AD928" s="23">
        <v>0.0</v>
      </c>
      <c r="AH928" s="23">
        <v>0.0</v>
      </c>
      <c r="AL928" s="23">
        <v>0.0</v>
      </c>
      <c r="AP928" s="23">
        <v>0.0</v>
      </c>
      <c r="AT928" s="23">
        <v>0.0</v>
      </c>
      <c r="AX928" s="23">
        <v>0.0</v>
      </c>
      <c r="BF928" s="23">
        <v>0.0</v>
      </c>
      <c r="BJ928" s="23">
        <v>0.0</v>
      </c>
      <c r="BN928" s="23">
        <v>0.0</v>
      </c>
      <c r="BO928" s="23">
        <v>229.0</v>
      </c>
      <c r="BP928" s="16" t="s">
        <v>5372</v>
      </c>
      <c r="BQ928" s="16" t="b">
        <v>1</v>
      </c>
      <c r="BR928" s="23">
        <v>229.0</v>
      </c>
      <c r="BS928" s="23">
        <v>1257456.0</v>
      </c>
      <c r="BT928" s="16" t="b">
        <v>1</v>
      </c>
      <c r="BU928" s="16" t="s">
        <v>546</v>
      </c>
    </row>
    <row r="929">
      <c r="A929" s="16" t="s">
        <v>5376</v>
      </c>
      <c r="B929" s="16" t="s">
        <v>35</v>
      </c>
      <c r="C929" s="22">
        <v>45670.0</v>
      </c>
      <c r="D929" s="16" t="s">
        <v>1414</v>
      </c>
      <c r="E929" s="16" t="s">
        <v>5379</v>
      </c>
      <c r="F929" s="16" t="s">
        <v>5382</v>
      </c>
      <c r="G929" s="16" t="s">
        <v>2622</v>
      </c>
      <c r="H929" s="23">
        <v>1.0</v>
      </c>
      <c r="I929" s="23">
        <v>100.0</v>
      </c>
      <c r="J929" s="23">
        <v>100.0</v>
      </c>
      <c r="N929" s="23">
        <v>0.0</v>
      </c>
      <c r="R929" s="23">
        <v>0.0</v>
      </c>
      <c r="V929" s="23">
        <v>0.0</v>
      </c>
      <c r="Z929" s="23">
        <v>0.0</v>
      </c>
      <c r="AD929" s="23">
        <v>0.0</v>
      </c>
      <c r="AH929" s="23">
        <v>0.0</v>
      </c>
      <c r="AL929" s="23">
        <v>0.0</v>
      </c>
      <c r="AP929" s="23">
        <v>0.0</v>
      </c>
      <c r="AT929" s="23">
        <v>0.0</v>
      </c>
      <c r="AX929" s="23">
        <v>0.0</v>
      </c>
      <c r="BF929" s="23">
        <v>0.0</v>
      </c>
      <c r="BJ929" s="23">
        <v>0.0</v>
      </c>
      <c r="BN929" s="23">
        <v>0.0</v>
      </c>
      <c r="BO929" s="23">
        <v>100.0</v>
      </c>
      <c r="BP929" s="16" t="s">
        <v>5380</v>
      </c>
      <c r="BQ929" s="16" t="b">
        <v>1</v>
      </c>
      <c r="BR929" s="23">
        <v>100.0</v>
      </c>
      <c r="BS929" s="23">
        <v>1257453.0</v>
      </c>
      <c r="BT929" s="16" t="b">
        <v>1</v>
      </c>
      <c r="BU929" s="16" t="s">
        <v>546</v>
      </c>
    </row>
    <row r="930">
      <c r="A930" s="16" t="s">
        <v>5386</v>
      </c>
      <c r="B930" s="16" t="s">
        <v>35</v>
      </c>
      <c r="C930" s="22">
        <v>45671.0</v>
      </c>
      <c r="D930" s="16" t="s">
        <v>460</v>
      </c>
      <c r="F930" s="16" t="s">
        <v>5389</v>
      </c>
      <c r="G930" s="16" t="s">
        <v>1653</v>
      </c>
      <c r="H930" s="16">
        <v>1.0</v>
      </c>
      <c r="I930" s="23">
        <v>200.0</v>
      </c>
      <c r="J930" s="23">
        <v>200.0</v>
      </c>
      <c r="BO930" s="23">
        <v>200.0</v>
      </c>
      <c r="BR930" s="23">
        <v>200.0</v>
      </c>
      <c r="BU930" s="16" t="s">
        <v>539</v>
      </c>
    </row>
    <row r="931">
      <c r="A931" s="16" t="s">
        <v>5392</v>
      </c>
      <c r="B931" s="16" t="s">
        <v>35</v>
      </c>
      <c r="C931" s="22">
        <v>45671.0</v>
      </c>
      <c r="D931" s="16" t="s">
        <v>460</v>
      </c>
      <c r="F931" s="16" t="s">
        <v>5395</v>
      </c>
      <c r="G931" s="16" t="s">
        <v>5806</v>
      </c>
      <c r="H931" s="16">
        <v>1.0</v>
      </c>
      <c r="I931" s="23">
        <v>53.0</v>
      </c>
      <c r="J931" s="23">
        <v>53.0</v>
      </c>
      <c r="BO931" s="23">
        <v>53.0</v>
      </c>
      <c r="BR931" s="23">
        <v>53.0</v>
      </c>
      <c r="BU931" s="16" t="s">
        <v>539</v>
      </c>
    </row>
    <row r="932">
      <c r="A932" s="16" t="s">
        <v>5399</v>
      </c>
      <c r="B932" s="16" t="s">
        <v>35</v>
      </c>
      <c r="C932" s="22">
        <v>45671.0</v>
      </c>
      <c r="D932" s="16" t="s">
        <v>460</v>
      </c>
      <c r="F932" s="16" t="s">
        <v>5402</v>
      </c>
      <c r="G932" s="16" t="s">
        <v>5856</v>
      </c>
      <c r="H932" s="16">
        <v>1.0</v>
      </c>
      <c r="I932" s="23">
        <v>240.0</v>
      </c>
      <c r="J932" s="23">
        <v>240.0</v>
      </c>
      <c r="BO932" s="23">
        <v>240.0</v>
      </c>
      <c r="BR932" s="23">
        <v>240.0</v>
      </c>
      <c r="BU932" s="16" t="s">
        <v>539</v>
      </c>
    </row>
    <row r="933">
      <c r="A933" s="16" t="s">
        <v>5406</v>
      </c>
      <c r="B933" s="16" t="s">
        <v>35</v>
      </c>
      <c r="C933" s="22">
        <v>45672.0</v>
      </c>
      <c r="F933" s="16" t="s">
        <v>1329</v>
      </c>
      <c r="G933" s="16" t="s">
        <v>1168</v>
      </c>
      <c r="H933" s="16">
        <v>1.0</v>
      </c>
      <c r="I933" s="23">
        <v>500.0</v>
      </c>
      <c r="J933" s="23">
        <v>500.0</v>
      </c>
      <c r="BO933" s="23">
        <v>500.0</v>
      </c>
      <c r="BR933" s="23">
        <v>500.0</v>
      </c>
      <c r="BU933" s="16" t="s">
        <v>539</v>
      </c>
      <c r="BV933" s="16" t="s">
        <v>2052</v>
      </c>
    </row>
    <row r="934">
      <c r="A934" s="16" t="s">
        <v>5412</v>
      </c>
      <c r="B934" s="16" t="s">
        <v>35</v>
      </c>
      <c r="C934" s="22">
        <v>45667.0</v>
      </c>
      <c r="D934" s="16" t="s">
        <v>890</v>
      </c>
      <c r="E934" s="16" t="s">
        <v>5414</v>
      </c>
      <c r="F934" s="16" t="s">
        <v>2894</v>
      </c>
      <c r="G934" s="16" t="s">
        <v>1510</v>
      </c>
      <c r="H934" s="23">
        <v>1.0</v>
      </c>
      <c r="I934" s="23">
        <v>11530.47</v>
      </c>
      <c r="J934" s="23">
        <v>11530.47</v>
      </c>
      <c r="N934" s="23">
        <v>0.0</v>
      </c>
      <c r="R934" s="23">
        <v>0.0</v>
      </c>
      <c r="V934" s="23">
        <v>0.0</v>
      </c>
      <c r="Z934" s="23">
        <v>0.0</v>
      </c>
      <c r="AD934" s="23">
        <v>0.0</v>
      </c>
      <c r="AH934" s="23">
        <v>0.0</v>
      </c>
      <c r="AL934" s="23">
        <v>0.0</v>
      </c>
      <c r="AP934" s="23">
        <v>0.0</v>
      </c>
      <c r="AT934" s="23">
        <v>0.0</v>
      </c>
      <c r="AX934" s="23">
        <v>0.0</v>
      </c>
      <c r="BF934" s="23">
        <v>0.0</v>
      </c>
      <c r="BJ934" s="23">
        <v>0.0</v>
      </c>
      <c r="BN934" s="23">
        <v>0.0</v>
      </c>
      <c r="BO934" s="23">
        <v>11530.47</v>
      </c>
      <c r="BP934" s="16" t="s">
        <v>5416</v>
      </c>
      <c r="BQ934" s="16" t="b">
        <v>1</v>
      </c>
      <c r="BR934" s="23">
        <v>11530.47</v>
      </c>
      <c r="BT934" s="16" t="b">
        <v>0</v>
      </c>
      <c r="BU934" s="16" t="s">
        <v>546</v>
      </c>
      <c r="BW934" s="16" t="s">
        <v>5418</v>
      </c>
    </row>
    <row r="935">
      <c r="A935" s="16" t="s">
        <v>5420</v>
      </c>
      <c r="B935" s="16" t="s">
        <v>35</v>
      </c>
      <c r="C935" s="22">
        <v>45672.0</v>
      </c>
      <c r="D935" s="16" t="s">
        <v>112</v>
      </c>
      <c r="E935" s="16" t="s">
        <v>5422</v>
      </c>
      <c r="F935" s="16" t="s">
        <v>157</v>
      </c>
      <c r="G935" s="16" t="s">
        <v>159</v>
      </c>
      <c r="H935" s="23">
        <v>1.0</v>
      </c>
      <c r="I935" s="23">
        <v>210.0</v>
      </c>
      <c r="J935" s="23">
        <v>210.0</v>
      </c>
      <c r="K935" s="16" t="s">
        <v>155</v>
      </c>
      <c r="L935" s="23">
        <v>1.0</v>
      </c>
      <c r="M935" s="23">
        <v>28.72</v>
      </c>
      <c r="N935" s="23">
        <v>28.72</v>
      </c>
      <c r="O935" s="16" t="s">
        <v>152</v>
      </c>
      <c r="P935" s="23">
        <v>1.0</v>
      </c>
      <c r="Q935" s="23">
        <v>9.82</v>
      </c>
      <c r="R935" s="23">
        <v>9.82</v>
      </c>
      <c r="V935" s="23">
        <v>0.0</v>
      </c>
      <c r="Z935" s="23">
        <v>0.0</v>
      </c>
      <c r="AD935" s="23">
        <v>0.0</v>
      </c>
      <c r="AH935" s="23">
        <v>0.0</v>
      </c>
      <c r="AL935" s="23">
        <v>0.0</v>
      </c>
      <c r="AP935" s="23">
        <v>0.0</v>
      </c>
      <c r="AT935" s="23">
        <v>0.0</v>
      </c>
      <c r="AX935" s="23">
        <v>0.0</v>
      </c>
      <c r="BF935" s="23">
        <v>0.0</v>
      </c>
      <c r="BJ935" s="23">
        <v>0.0</v>
      </c>
      <c r="BN935" s="23">
        <v>0.0</v>
      </c>
      <c r="BO935" s="23">
        <v>248.54</v>
      </c>
      <c r="BP935" s="16" t="s">
        <v>5424</v>
      </c>
      <c r="BQ935" s="16" t="b">
        <v>1</v>
      </c>
      <c r="BR935" s="23">
        <v>248.54</v>
      </c>
      <c r="BT935" s="16" t="b">
        <v>0</v>
      </c>
      <c r="BU935" s="16" t="s">
        <v>546</v>
      </c>
    </row>
    <row r="936">
      <c r="A936" s="16" t="s">
        <v>5428</v>
      </c>
      <c r="B936" s="16" t="s">
        <v>35</v>
      </c>
      <c r="C936" s="22">
        <v>45672.0</v>
      </c>
      <c r="D936" s="16" t="s">
        <v>2165</v>
      </c>
      <c r="E936" s="16" t="s">
        <v>5430</v>
      </c>
      <c r="F936" s="16" t="s">
        <v>5433</v>
      </c>
      <c r="G936" s="16" t="s">
        <v>802</v>
      </c>
      <c r="H936" s="23">
        <v>1.0</v>
      </c>
      <c r="I936" s="23">
        <v>706.08</v>
      </c>
      <c r="J936" s="23">
        <v>706.08</v>
      </c>
      <c r="K936" s="16" t="s">
        <v>5215</v>
      </c>
      <c r="L936" s="23">
        <v>1.0</v>
      </c>
      <c r="M936" s="23">
        <v>58.8</v>
      </c>
      <c r="N936" s="23">
        <v>58.8</v>
      </c>
      <c r="O936" s="16" t="s">
        <v>5138</v>
      </c>
      <c r="P936" s="23">
        <v>1.0</v>
      </c>
      <c r="Q936" s="23">
        <v>88.48</v>
      </c>
      <c r="R936" s="23">
        <v>88.48</v>
      </c>
      <c r="S936" s="16" t="s">
        <v>1346</v>
      </c>
      <c r="T936" s="23">
        <v>1.0</v>
      </c>
      <c r="U936" s="23">
        <v>18.48</v>
      </c>
      <c r="V936" s="23">
        <v>18.48</v>
      </c>
      <c r="W936" s="16" t="s">
        <v>249</v>
      </c>
      <c r="X936" s="23">
        <v>1.0</v>
      </c>
      <c r="Y936" s="23">
        <v>138.24</v>
      </c>
      <c r="Z936" s="23">
        <v>138.24</v>
      </c>
      <c r="AA936" s="16" t="s">
        <v>794</v>
      </c>
      <c r="AB936" s="23">
        <v>15.0</v>
      </c>
      <c r="AC936" s="23">
        <v>28.7</v>
      </c>
      <c r="AD936" s="23">
        <v>430.5</v>
      </c>
      <c r="AE936" s="16" t="s">
        <v>1350</v>
      </c>
      <c r="AF936" s="23">
        <v>1.0</v>
      </c>
      <c r="AG936" s="23">
        <v>266.61</v>
      </c>
      <c r="AH936" s="23">
        <v>266.61</v>
      </c>
      <c r="AL936" s="23">
        <v>0.0</v>
      </c>
      <c r="AP936" s="23">
        <v>0.0</v>
      </c>
      <c r="AT936" s="23">
        <v>0.0</v>
      </c>
      <c r="AX936" s="23">
        <v>0.0</v>
      </c>
      <c r="BF936" s="23">
        <v>0.0</v>
      </c>
      <c r="BJ936" s="23">
        <v>0.0</v>
      </c>
      <c r="BN936" s="23">
        <v>0.0</v>
      </c>
      <c r="BO936" s="23">
        <v>1707.19</v>
      </c>
      <c r="BP936" s="16" t="s">
        <v>5432</v>
      </c>
      <c r="BQ936" s="16" t="b">
        <v>1</v>
      </c>
      <c r="BR936" s="23">
        <v>1707.19</v>
      </c>
      <c r="BS936" s="23">
        <v>1263169.0</v>
      </c>
      <c r="BT936" s="16" t="b">
        <v>1</v>
      </c>
      <c r="BU936" s="16" t="s">
        <v>546</v>
      </c>
      <c r="BW936" s="16" t="s">
        <v>5435</v>
      </c>
    </row>
    <row r="937">
      <c r="A937" s="16" t="s">
        <v>5438</v>
      </c>
      <c r="B937" s="16" t="s">
        <v>35</v>
      </c>
      <c r="C937" s="22">
        <v>45673.0</v>
      </c>
      <c r="D937" s="16" t="s">
        <v>2096</v>
      </c>
      <c r="E937" s="16" t="s">
        <v>5442</v>
      </c>
      <c r="F937" s="16" t="s">
        <v>5445</v>
      </c>
      <c r="G937" s="16" t="s">
        <v>1536</v>
      </c>
      <c r="H937" s="23">
        <v>1.0</v>
      </c>
      <c r="I937" s="23">
        <v>205.0</v>
      </c>
      <c r="J937" s="23">
        <v>205.0</v>
      </c>
      <c r="N937" s="23">
        <v>0.0</v>
      </c>
      <c r="R937" s="23">
        <v>0.0</v>
      </c>
      <c r="V937" s="23">
        <v>0.0</v>
      </c>
      <c r="Z937" s="23">
        <v>0.0</v>
      </c>
      <c r="AD937" s="23">
        <v>0.0</v>
      </c>
      <c r="AH937" s="23">
        <v>0.0</v>
      </c>
      <c r="AL937" s="23">
        <v>0.0</v>
      </c>
      <c r="AP937" s="23">
        <v>0.0</v>
      </c>
      <c r="AT937" s="23">
        <v>0.0</v>
      </c>
      <c r="AX937" s="23">
        <v>0.0</v>
      </c>
      <c r="BF937" s="23">
        <v>0.0</v>
      </c>
      <c r="BJ937" s="23">
        <v>0.0</v>
      </c>
      <c r="BN937" s="23">
        <v>0.0</v>
      </c>
      <c r="BO937" s="23">
        <v>205.0</v>
      </c>
      <c r="BP937" s="16" t="s">
        <v>5444</v>
      </c>
      <c r="BQ937" s="16" t="b">
        <v>1</v>
      </c>
      <c r="BR937" s="23">
        <v>205.0</v>
      </c>
      <c r="BS937" s="23">
        <v>1265678.0</v>
      </c>
      <c r="BT937" s="16" t="b">
        <v>1</v>
      </c>
      <c r="BU937" s="16" t="s">
        <v>546</v>
      </c>
    </row>
    <row r="938">
      <c r="A938" s="16" t="s">
        <v>5449</v>
      </c>
      <c r="B938" s="16" t="s">
        <v>35</v>
      </c>
      <c r="C938" s="22">
        <v>45674.0</v>
      </c>
      <c r="D938" s="16" t="s">
        <v>543</v>
      </c>
      <c r="E938" s="16" t="s">
        <v>5451</v>
      </c>
      <c r="F938" s="16" t="s">
        <v>171</v>
      </c>
      <c r="G938" s="16">
        <v>1.2539885E7</v>
      </c>
      <c r="H938" s="23">
        <v>1.0</v>
      </c>
      <c r="I938" s="23">
        <v>375.0</v>
      </c>
      <c r="J938" s="23">
        <v>375.0</v>
      </c>
      <c r="N938" s="23">
        <v>0.0</v>
      </c>
      <c r="R938" s="23">
        <v>0.0</v>
      </c>
      <c r="V938" s="23">
        <v>0.0</v>
      </c>
      <c r="Z938" s="23">
        <v>0.0</v>
      </c>
      <c r="AD938" s="23">
        <v>0.0</v>
      </c>
      <c r="AH938" s="23">
        <v>0.0</v>
      </c>
      <c r="AL938" s="23">
        <v>0.0</v>
      </c>
      <c r="AP938" s="23">
        <v>0.0</v>
      </c>
      <c r="AT938" s="23">
        <v>0.0</v>
      </c>
      <c r="AX938" s="23">
        <v>0.0</v>
      </c>
      <c r="BF938" s="23">
        <v>0.0</v>
      </c>
      <c r="BJ938" s="23">
        <v>0.0</v>
      </c>
      <c r="BN938" s="23">
        <v>0.0</v>
      </c>
      <c r="BO938" s="23">
        <v>375.0</v>
      </c>
      <c r="BP938" s="16" t="s">
        <v>5453</v>
      </c>
      <c r="BQ938" s="16" t="b">
        <v>1</v>
      </c>
      <c r="BR938" s="23">
        <v>375.0</v>
      </c>
      <c r="BT938" s="16" t="b">
        <v>0</v>
      </c>
      <c r="BU938" s="16" t="s">
        <v>546</v>
      </c>
    </row>
    <row r="939">
      <c r="A939" s="16" t="s">
        <v>5457</v>
      </c>
      <c r="B939" s="16" t="s">
        <v>35</v>
      </c>
      <c r="C939" s="22">
        <v>45674.0</v>
      </c>
      <c r="D939" s="16" t="s">
        <v>112</v>
      </c>
      <c r="E939" s="16" t="s">
        <v>5459</v>
      </c>
      <c r="F939" s="16" t="s">
        <v>157</v>
      </c>
      <c r="G939" s="16" t="s">
        <v>159</v>
      </c>
      <c r="H939" s="23">
        <v>20.0</v>
      </c>
      <c r="I939" s="23">
        <v>14.0</v>
      </c>
      <c r="J939" s="23">
        <v>280.0</v>
      </c>
      <c r="K939" s="16" t="s">
        <v>155</v>
      </c>
      <c r="L939" s="23">
        <v>1.0</v>
      </c>
      <c r="M939" s="23">
        <v>63.86</v>
      </c>
      <c r="N939" s="23">
        <v>63.86</v>
      </c>
      <c r="O939" s="16" t="s">
        <v>226</v>
      </c>
      <c r="P939" s="23">
        <v>1.0</v>
      </c>
      <c r="Q939" s="23">
        <v>100.0</v>
      </c>
      <c r="R939" s="23">
        <v>100.0</v>
      </c>
      <c r="V939" s="23">
        <v>0.0</v>
      </c>
      <c r="Z939" s="23">
        <v>0.0</v>
      </c>
      <c r="AD939" s="23">
        <v>0.0</v>
      </c>
      <c r="AH939" s="23">
        <v>0.0</v>
      </c>
      <c r="AL939" s="23">
        <v>0.0</v>
      </c>
      <c r="AP939" s="23">
        <v>0.0</v>
      </c>
      <c r="AT939" s="23">
        <v>0.0</v>
      </c>
      <c r="AX939" s="23">
        <v>0.0</v>
      </c>
      <c r="BF939" s="23">
        <v>0.0</v>
      </c>
      <c r="BJ939" s="23">
        <v>0.0</v>
      </c>
      <c r="BN939" s="23">
        <v>0.0</v>
      </c>
      <c r="BO939" s="23">
        <v>443.86</v>
      </c>
      <c r="BP939" s="16" t="s">
        <v>5461</v>
      </c>
      <c r="BQ939" s="16" t="b">
        <v>1</v>
      </c>
      <c r="BR939" s="23">
        <v>443.86</v>
      </c>
      <c r="BT939" s="16" t="b">
        <v>0</v>
      </c>
      <c r="BU939" s="16" t="s">
        <v>546</v>
      </c>
    </row>
    <row r="940">
      <c r="A940" s="16" t="s">
        <v>5465</v>
      </c>
      <c r="B940" s="16" t="s">
        <v>35</v>
      </c>
      <c r="C940" s="22">
        <v>45674.0</v>
      </c>
      <c r="D940" s="16" t="s">
        <v>2613</v>
      </c>
      <c r="E940" s="16" t="s">
        <v>5467</v>
      </c>
      <c r="F940" s="16" t="s">
        <v>482</v>
      </c>
      <c r="G940" s="16" t="s">
        <v>981</v>
      </c>
      <c r="H940" s="23">
        <v>6.0</v>
      </c>
      <c r="I940" s="23">
        <v>4.59</v>
      </c>
      <c r="J940" s="23">
        <v>27.54</v>
      </c>
      <c r="K940" s="16" t="s">
        <v>238</v>
      </c>
      <c r="L940" s="23">
        <v>12.0</v>
      </c>
      <c r="M940" s="23">
        <v>5.9</v>
      </c>
      <c r="N940" s="23">
        <v>70.8</v>
      </c>
      <c r="O940" s="16" t="s">
        <v>243</v>
      </c>
      <c r="P940" s="23">
        <v>6.0</v>
      </c>
      <c r="Q940" s="23">
        <v>7.2</v>
      </c>
      <c r="R940" s="23">
        <v>43.2</v>
      </c>
      <c r="V940" s="23">
        <v>0.0</v>
      </c>
      <c r="Z940" s="23">
        <v>0.0</v>
      </c>
      <c r="AD940" s="23">
        <v>0.0</v>
      </c>
      <c r="AH940" s="23">
        <v>0.0</v>
      </c>
      <c r="AL940" s="23">
        <v>0.0</v>
      </c>
      <c r="AP940" s="23">
        <v>0.0</v>
      </c>
      <c r="AT940" s="23">
        <v>0.0</v>
      </c>
      <c r="AX940" s="23">
        <v>0.0</v>
      </c>
      <c r="BF940" s="23">
        <v>0.0</v>
      </c>
      <c r="BJ940" s="23">
        <v>0.0</v>
      </c>
      <c r="BN940" s="23">
        <v>0.0</v>
      </c>
      <c r="BO940" s="23">
        <v>141.54</v>
      </c>
      <c r="BP940" s="16" t="s">
        <v>5469</v>
      </c>
      <c r="BQ940" s="16" t="b">
        <v>1</v>
      </c>
      <c r="BR940" s="23">
        <v>141.54</v>
      </c>
      <c r="BS940" s="23">
        <v>1264858.0</v>
      </c>
      <c r="BT940" s="16" t="b">
        <v>1</v>
      </c>
      <c r="BU940" s="16" t="s">
        <v>546</v>
      </c>
    </row>
    <row r="941">
      <c r="A941" s="16" t="s">
        <v>5474</v>
      </c>
      <c r="B941" s="16" t="s">
        <v>35</v>
      </c>
      <c r="C941" s="22">
        <v>45674.0</v>
      </c>
      <c r="D941" s="16" t="s">
        <v>286</v>
      </c>
      <c r="E941" s="16" t="s">
        <v>5476</v>
      </c>
      <c r="F941" s="16" t="s">
        <v>5479</v>
      </c>
      <c r="G941" s="16" t="s">
        <v>1904</v>
      </c>
      <c r="H941" s="23">
        <v>1.0</v>
      </c>
      <c r="I941" s="23">
        <v>4.0</v>
      </c>
      <c r="J941" s="23">
        <v>4.0</v>
      </c>
      <c r="N941" s="23">
        <v>0.0</v>
      </c>
      <c r="R941" s="23">
        <v>0.0</v>
      </c>
      <c r="V941" s="23">
        <v>0.0</v>
      </c>
      <c r="Z941" s="23">
        <v>0.0</v>
      </c>
      <c r="AD941" s="23">
        <v>0.0</v>
      </c>
      <c r="AH941" s="23">
        <v>0.0</v>
      </c>
      <c r="AL941" s="23">
        <v>0.0</v>
      </c>
      <c r="AP941" s="23">
        <v>0.0</v>
      </c>
      <c r="AT941" s="23">
        <v>0.0</v>
      </c>
      <c r="AX941" s="23">
        <v>0.0</v>
      </c>
      <c r="BF941" s="23">
        <v>0.0</v>
      </c>
      <c r="BJ941" s="23">
        <v>0.0</v>
      </c>
      <c r="BN941" s="23">
        <v>0.0</v>
      </c>
      <c r="BO941" s="23">
        <v>4.0</v>
      </c>
      <c r="BP941" s="16" t="s">
        <v>5478</v>
      </c>
      <c r="BQ941" s="16" t="b">
        <v>1</v>
      </c>
      <c r="BR941" s="23">
        <v>4.0</v>
      </c>
      <c r="BS941" s="23">
        <v>1264511.0</v>
      </c>
      <c r="BT941" s="16" t="b">
        <v>1</v>
      </c>
      <c r="BU941" s="16" t="s">
        <v>546</v>
      </c>
    </row>
    <row r="942">
      <c r="A942" s="16" t="s">
        <v>5483</v>
      </c>
      <c r="B942" s="16" t="s">
        <v>35</v>
      </c>
      <c r="C942" s="22">
        <v>45675.0</v>
      </c>
      <c r="D942" s="16" t="s">
        <v>1918</v>
      </c>
      <c r="E942" s="16" t="s">
        <v>5485</v>
      </c>
      <c r="F942" s="16" t="s">
        <v>5488</v>
      </c>
      <c r="G942" s="16" t="s">
        <v>6161</v>
      </c>
      <c r="H942" s="23">
        <v>1.0</v>
      </c>
      <c r="I942" s="23">
        <v>79.8</v>
      </c>
      <c r="J942" s="23">
        <v>79.8</v>
      </c>
      <c r="N942" s="23">
        <v>0.0</v>
      </c>
      <c r="R942" s="23">
        <v>0.0</v>
      </c>
      <c r="V942" s="23">
        <v>0.0</v>
      </c>
      <c r="Z942" s="23">
        <v>0.0</v>
      </c>
      <c r="AD942" s="23">
        <v>0.0</v>
      </c>
      <c r="AH942" s="23">
        <v>0.0</v>
      </c>
      <c r="AL942" s="23">
        <v>0.0</v>
      </c>
      <c r="AP942" s="23">
        <v>0.0</v>
      </c>
      <c r="AT942" s="23">
        <v>0.0</v>
      </c>
      <c r="AX942" s="23">
        <v>0.0</v>
      </c>
      <c r="BF942" s="23">
        <v>0.0</v>
      </c>
      <c r="BJ942" s="23">
        <v>0.0</v>
      </c>
      <c r="BN942" s="23">
        <v>0.0</v>
      </c>
      <c r="BO942" s="23">
        <v>79.8</v>
      </c>
      <c r="BP942" s="16" t="s">
        <v>5486</v>
      </c>
      <c r="BQ942" s="16" t="b">
        <v>1</v>
      </c>
      <c r="BR942" s="23">
        <v>79.8</v>
      </c>
      <c r="BS942" s="16" t="s">
        <v>4049</v>
      </c>
      <c r="BT942" s="16" t="b">
        <v>1</v>
      </c>
      <c r="BU942" s="16" t="s">
        <v>546</v>
      </c>
    </row>
    <row r="943">
      <c r="A943" s="16" t="s">
        <v>5491</v>
      </c>
      <c r="B943" s="16" t="s">
        <v>35</v>
      </c>
      <c r="C943" s="22">
        <v>45653.0</v>
      </c>
      <c r="D943" s="16" t="s">
        <v>233</v>
      </c>
      <c r="E943" s="16" t="s">
        <v>5493</v>
      </c>
      <c r="F943" s="16" t="s">
        <v>5495</v>
      </c>
      <c r="G943" s="16" t="s">
        <v>305</v>
      </c>
      <c r="H943" s="23">
        <v>1.0</v>
      </c>
      <c r="I943" s="23">
        <v>268.57</v>
      </c>
      <c r="J943" s="23">
        <v>268.57</v>
      </c>
      <c r="N943" s="23">
        <v>0.0</v>
      </c>
      <c r="R943" s="23">
        <v>0.0</v>
      </c>
      <c r="V943" s="23">
        <v>0.0</v>
      </c>
      <c r="Z943" s="23">
        <v>0.0</v>
      </c>
      <c r="AD943" s="23">
        <v>0.0</v>
      </c>
      <c r="AH943" s="23">
        <v>0.0</v>
      </c>
      <c r="AL943" s="23">
        <v>0.0</v>
      </c>
      <c r="AP943" s="23">
        <v>0.0</v>
      </c>
      <c r="AT943" s="23">
        <v>0.0</v>
      </c>
      <c r="AX943" s="23">
        <v>0.0</v>
      </c>
      <c r="BF943" s="23">
        <v>0.0</v>
      </c>
      <c r="BJ943" s="23">
        <v>0.0</v>
      </c>
      <c r="BN943" s="23">
        <v>0.0</v>
      </c>
      <c r="BO943" s="23">
        <v>268.57</v>
      </c>
      <c r="BP943" s="16" t="s">
        <v>5494</v>
      </c>
      <c r="BQ943" s="16" t="b">
        <v>1</v>
      </c>
      <c r="BR943" s="23">
        <v>268.57</v>
      </c>
      <c r="BS943" s="16" t="s">
        <v>5497</v>
      </c>
      <c r="BT943" s="16" t="b">
        <v>1</v>
      </c>
      <c r="BU943" s="16" t="s">
        <v>546</v>
      </c>
    </row>
    <row r="944">
      <c r="A944" s="16" t="s">
        <v>5499</v>
      </c>
      <c r="B944" s="16" t="s">
        <v>35</v>
      </c>
      <c r="C944" s="22">
        <v>45667.0</v>
      </c>
      <c r="D944" s="16" t="s">
        <v>233</v>
      </c>
      <c r="E944" s="16" t="s">
        <v>5500</v>
      </c>
      <c r="F944" s="16" t="s">
        <v>5503</v>
      </c>
      <c r="G944" s="16" t="s">
        <v>691</v>
      </c>
      <c r="H944" s="23">
        <v>6.0</v>
      </c>
      <c r="I944" s="23">
        <v>5.49</v>
      </c>
      <c r="J944" s="23">
        <v>32.94</v>
      </c>
      <c r="K944" s="16" t="s">
        <v>305</v>
      </c>
      <c r="L944" s="23">
        <v>1.0</v>
      </c>
      <c r="M944" s="23">
        <v>165.47</v>
      </c>
      <c r="N944" s="23">
        <v>165.47</v>
      </c>
      <c r="R944" s="23">
        <v>0.0</v>
      </c>
      <c r="V944" s="23">
        <v>0.0</v>
      </c>
      <c r="Z944" s="23">
        <v>0.0</v>
      </c>
      <c r="AD944" s="23">
        <v>0.0</v>
      </c>
      <c r="AH944" s="23">
        <v>0.0</v>
      </c>
      <c r="AL944" s="23">
        <v>0.0</v>
      </c>
      <c r="AP944" s="23">
        <v>0.0</v>
      </c>
      <c r="AT944" s="23">
        <v>0.0</v>
      </c>
      <c r="AX944" s="23">
        <v>0.0</v>
      </c>
      <c r="BF944" s="23">
        <v>0.0</v>
      </c>
      <c r="BJ944" s="23">
        <v>0.0</v>
      </c>
      <c r="BN944" s="23">
        <v>0.0</v>
      </c>
      <c r="BO944" s="23">
        <v>198.41</v>
      </c>
      <c r="BP944" s="16" t="s">
        <v>5502</v>
      </c>
      <c r="BQ944" s="16" t="b">
        <v>1</v>
      </c>
      <c r="BR944" s="23">
        <v>198.41</v>
      </c>
      <c r="BS944" s="16" t="s">
        <v>5497</v>
      </c>
      <c r="BT944" s="16" t="b">
        <v>1</v>
      </c>
      <c r="BU944" s="16" t="s">
        <v>546</v>
      </c>
    </row>
    <row r="945">
      <c r="A945" s="16" t="s">
        <v>5505</v>
      </c>
      <c r="B945" s="16" t="s">
        <v>35</v>
      </c>
      <c r="C945" s="22">
        <v>45674.0</v>
      </c>
      <c r="D945" s="16" t="s">
        <v>3816</v>
      </c>
      <c r="E945" s="16" t="s">
        <v>5507</v>
      </c>
      <c r="F945" s="16" t="s">
        <v>5510</v>
      </c>
      <c r="G945" s="16" t="s">
        <v>305</v>
      </c>
      <c r="H945" s="23">
        <v>1.0</v>
      </c>
      <c r="I945" s="23">
        <v>55.33</v>
      </c>
      <c r="J945" s="23">
        <v>55.33</v>
      </c>
      <c r="N945" s="23">
        <v>0.0</v>
      </c>
      <c r="R945" s="23">
        <v>0.0</v>
      </c>
      <c r="V945" s="23">
        <v>0.0</v>
      </c>
      <c r="Z945" s="23">
        <v>0.0</v>
      </c>
      <c r="AD945" s="23">
        <v>0.0</v>
      </c>
      <c r="AH945" s="23">
        <v>0.0</v>
      </c>
      <c r="AL945" s="23">
        <v>0.0</v>
      </c>
      <c r="AP945" s="23">
        <v>0.0</v>
      </c>
      <c r="AT945" s="23">
        <v>0.0</v>
      </c>
      <c r="AX945" s="23">
        <v>0.0</v>
      </c>
      <c r="BF945" s="23">
        <v>0.0</v>
      </c>
      <c r="BJ945" s="23">
        <v>0.0</v>
      </c>
      <c r="BN945" s="23">
        <v>0.0</v>
      </c>
      <c r="BO945" s="23">
        <v>55.33</v>
      </c>
      <c r="BP945" s="16" t="s">
        <v>5508</v>
      </c>
      <c r="BQ945" s="16" t="b">
        <v>1</v>
      </c>
      <c r="BR945" s="23">
        <v>55.33</v>
      </c>
      <c r="BS945" s="16" t="s">
        <v>5497</v>
      </c>
      <c r="BT945" s="16" t="b">
        <v>1</v>
      </c>
      <c r="BU945" s="16" t="s">
        <v>546</v>
      </c>
    </row>
    <row r="946">
      <c r="A946" s="16" t="s">
        <v>5514</v>
      </c>
      <c r="B946" s="16" t="s">
        <v>35</v>
      </c>
      <c r="C946" s="22">
        <v>45675.0</v>
      </c>
      <c r="D946" s="16" t="s">
        <v>1807</v>
      </c>
      <c r="E946" s="16" t="s">
        <v>5516</v>
      </c>
      <c r="F946" s="16" t="s">
        <v>5519</v>
      </c>
      <c r="G946" s="16" t="s">
        <v>305</v>
      </c>
      <c r="H946" s="23">
        <v>1.0</v>
      </c>
      <c r="I946" s="23">
        <v>153.79</v>
      </c>
      <c r="J946" s="23">
        <v>153.79</v>
      </c>
      <c r="N946" s="23">
        <v>0.0</v>
      </c>
      <c r="R946" s="23">
        <v>0.0</v>
      </c>
      <c r="V946" s="23">
        <v>0.0</v>
      </c>
      <c r="Z946" s="23">
        <v>0.0</v>
      </c>
      <c r="AD946" s="23">
        <v>0.0</v>
      </c>
      <c r="AH946" s="23">
        <v>0.0</v>
      </c>
      <c r="AL946" s="23">
        <v>0.0</v>
      </c>
      <c r="AP946" s="23">
        <v>0.0</v>
      </c>
      <c r="AT946" s="23">
        <v>0.0</v>
      </c>
      <c r="AX946" s="23">
        <v>0.0</v>
      </c>
      <c r="BF946" s="23">
        <v>0.0</v>
      </c>
      <c r="BJ946" s="23">
        <v>0.0</v>
      </c>
      <c r="BN946" s="23">
        <v>0.0</v>
      </c>
      <c r="BO946" s="23">
        <v>153.79</v>
      </c>
      <c r="BP946" s="16" t="s">
        <v>5517</v>
      </c>
      <c r="BQ946" s="16" t="b">
        <v>1</v>
      </c>
      <c r="BR946" s="23">
        <v>153.79</v>
      </c>
      <c r="BS946" s="16" t="s">
        <v>5521</v>
      </c>
      <c r="BT946" s="16" t="b">
        <v>1</v>
      </c>
      <c r="BU946" s="16" t="s">
        <v>546</v>
      </c>
    </row>
    <row r="947">
      <c r="A947" s="16" t="s">
        <v>5523</v>
      </c>
      <c r="B947" s="16" t="s">
        <v>35</v>
      </c>
      <c r="C947" s="22">
        <v>45677.0</v>
      </c>
      <c r="D947" s="16" t="s">
        <v>137</v>
      </c>
      <c r="E947" s="16" t="s">
        <v>5526</v>
      </c>
      <c r="F947" s="16" t="s">
        <v>171</v>
      </c>
      <c r="G947" s="16">
        <v>1.2539885E7</v>
      </c>
      <c r="H947" s="23">
        <v>1.0</v>
      </c>
      <c r="I947" s="23">
        <v>550.0</v>
      </c>
      <c r="J947" s="23">
        <v>550.0</v>
      </c>
      <c r="N947" s="23">
        <v>0.0</v>
      </c>
      <c r="R947" s="23">
        <v>0.0</v>
      </c>
      <c r="V947" s="23">
        <v>0.0</v>
      </c>
      <c r="Z947" s="23">
        <v>0.0</v>
      </c>
      <c r="AD947" s="23">
        <v>0.0</v>
      </c>
      <c r="AH947" s="23">
        <v>0.0</v>
      </c>
      <c r="AL947" s="23">
        <v>0.0</v>
      </c>
      <c r="AP947" s="23">
        <v>0.0</v>
      </c>
      <c r="AT947" s="23">
        <v>0.0</v>
      </c>
      <c r="AX947" s="23">
        <v>0.0</v>
      </c>
      <c r="BF947" s="23">
        <v>0.0</v>
      </c>
      <c r="BJ947" s="23">
        <v>0.0</v>
      </c>
      <c r="BN947" s="23">
        <v>0.0</v>
      </c>
      <c r="BO947" s="23">
        <v>550.0</v>
      </c>
      <c r="BP947" s="16" t="s">
        <v>5527</v>
      </c>
      <c r="BQ947" s="16" t="b">
        <v>1</v>
      </c>
      <c r="BR947" s="23">
        <v>550.0</v>
      </c>
      <c r="BT947" s="16" t="b">
        <v>0</v>
      </c>
      <c r="BU947" s="16" t="s">
        <v>546</v>
      </c>
    </row>
    <row r="948">
      <c r="A948" s="16" t="s">
        <v>5531</v>
      </c>
      <c r="B948" s="16" t="s">
        <v>35</v>
      </c>
      <c r="C948" s="22">
        <v>45678.0</v>
      </c>
      <c r="D948" s="16" t="s">
        <v>3716</v>
      </c>
      <c r="E948" s="16" t="s">
        <v>5533</v>
      </c>
      <c r="F948" s="16" t="s">
        <v>5536</v>
      </c>
      <c r="G948" s="16" t="s">
        <v>1080</v>
      </c>
      <c r="H948" s="23">
        <v>1.0</v>
      </c>
      <c r="I948" s="23">
        <v>347.5</v>
      </c>
      <c r="J948" s="23">
        <v>347.5</v>
      </c>
      <c r="N948" s="23">
        <v>0.0</v>
      </c>
      <c r="R948" s="23">
        <v>0.0</v>
      </c>
      <c r="V948" s="23">
        <v>0.0</v>
      </c>
      <c r="Z948" s="23">
        <v>0.0</v>
      </c>
      <c r="AD948" s="23">
        <v>0.0</v>
      </c>
      <c r="AH948" s="23">
        <v>0.0</v>
      </c>
      <c r="AL948" s="23">
        <v>0.0</v>
      </c>
      <c r="AP948" s="23">
        <v>0.0</v>
      </c>
      <c r="AT948" s="23">
        <v>0.0</v>
      </c>
      <c r="AX948" s="23">
        <v>0.0</v>
      </c>
      <c r="BF948" s="23">
        <v>0.0</v>
      </c>
      <c r="BJ948" s="23">
        <v>0.0</v>
      </c>
      <c r="BN948" s="23">
        <v>0.0</v>
      </c>
      <c r="BO948" s="23">
        <v>347.5</v>
      </c>
      <c r="BP948" s="16" t="s">
        <v>5535</v>
      </c>
      <c r="BQ948" s="16" t="b">
        <v>1</v>
      </c>
      <c r="BR948" s="23">
        <v>347.5</v>
      </c>
      <c r="BS948" s="23">
        <v>1274574.0</v>
      </c>
      <c r="BT948" s="16" t="b">
        <v>1</v>
      </c>
      <c r="BU948" s="16" t="s">
        <v>546</v>
      </c>
    </row>
    <row r="949">
      <c r="A949" s="16" t="s">
        <v>5540</v>
      </c>
      <c r="B949" s="16" t="s">
        <v>35</v>
      </c>
      <c r="C949" s="22">
        <v>45678.0</v>
      </c>
      <c r="D949" s="16" t="s">
        <v>112</v>
      </c>
      <c r="E949" s="16" t="s">
        <v>5542</v>
      </c>
      <c r="F949" s="16" t="s">
        <v>5545</v>
      </c>
      <c r="G949" s="16" t="s">
        <v>159</v>
      </c>
      <c r="H949" s="23">
        <v>1.0</v>
      </c>
      <c r="I949" s="23">
        <v>174.0</v>
      </c>
      <c r="J949" s="23">
        <v>174.0</v>
      </c>
      <c r="K949" s="16" t="s">
        <v>155</v>
      </c>
      <c r="L949" s="23">
        <v>1.0</v>
      </c>
      <c r="M949" s="23">
        <v>35.58</v>
      </c>
      <c r="N949" s="23">
        <v>35.58</v>
      </c>
      <c r="O949" s="16" t="s">
        <v>152</v>
      </c>
      <c r="P949" s="23">
        <v>1.0</v>
      </c>
      <c r="Q949" s="23">
        <v>10.02</v>
      </c>
      <c r="R949" s="23">
        <v>10.02</v>
      </c>
      <c r="S949" s="16" t="s">
        <v>226</v>
      </c>
      <c r="T949" s="23">
        <v>1.0</v>
      </c>
      <c r="U949" s="23">
        <v>50.0</v>
      </c>
      <c r="V949" s="23">
        <v>50.0</v>
      </c>
      <c r="Z949" s="23">
        <v>0.0</v>
      </c>
      <c r="AD949" s="23">
        <v>0.0</v>
      </c>
      <c r="AH949" s="23">
        <v>0.0</v>
      </c>
      <c r="AL949" s="23">
        <v>0.0</v>
      </c>
      <c r="AP949" s="23">
        <v>0.0</v>
      </c>
      <c r="AT949" s="23">
        <v>0.0</v>
      </c>
      <c r="AX949" s="23">
        <v>0.0</v>
      </c>
      <c r="BF949" s="23">
        <v>0.0</v>
      </c>
      <c r="BJ949" s="23">
        <v>0.0</v>
      </c>
      <c r="BN949" s="23">
        <v>0.0</v>
      </c>
      <c r="BO949" s="23">
        <v>269.6</v>
      </c>
      <c r="BP949" s="16" t="s">
        <v>5544</v>
      </c>
      <c r="BQ949" s="16" t="b">
        <v>1</v>
      </c>
      <c r="BR949" s="23">
        <v>269.6</v>
      </c>
      <c r="BT949" s="16" t="b">
        <v>0</v>
      </c>
      <c r="BU949" s="16" t="s">
        <v>546</v>
      </c>
    </row>
    <row r="950">
      <c r="A950" s="16" t="s">
        <v>5549</v>
      </c>
      <c r="B950" s="16" t="s">
        <v>35</v>
      </c>
      <c r="C950" s="22">
        <v>45674.0</v>
      </c>
      <c r="D950" s="16" t="s">
        <v>764</v>
      </c>
      <c r="E950" s="16" t="s">
        <v>5551</v>
      </c>
      <c r="F950" s="16" t="s">
        <v>195</v>
      </c>
      <c r="G950" s="16">
        <v>7.5375964E7</v>
      </c>
      <c r="H950" s="23">
        <v>1.0</v>
      </c>
      <c r="I950" s="23">
        <v>17.0</v>
      </c>
      <c r="J950" s="23">
        <v>17.0</v>
      </c>
      <c r="K950" s="16" t="s">
        <v>1384</v>
      </c>
      <c r="L950" s="23">
        <v>1.0</v>
      </c>
      <c r="M950" s="23">
        <v>17.0</v>
      </c>
      <c r="N950" s="23">
        <v>17.0</v>
      </c>
      <c r="O950" s="16" t="s">
        <v>1404</v>
      </c>
      <c r="P950" s="23">
        <v>1.0</v>
      </c>
      <c r="Q950" s="23">
        <v>17.0</v>
      </c>
      <c r="R950" s="23">
        <v>17.0</v>
      </c>
      <c r="S950" s="16" t="s">
        <v>1074</v>
      </c>
      <c r="T950" s="23">
        <v>5.0</v>
      </c>
      <c r="U950" s="23">
        <v>36.0</v>
      </c>
      <c r="V950" s="23">
        <v>180.0</v>
      </c>
      <c r="W950" s="16" t="s">
        <v>1077</v>
      </c>
      <c r="X950" s="23">
        <v>3.0</v>
      </c>
      <c r="Y950" s="23">
        <v>24.0</v>
      </c>
      <c r="Z950" s="23">
        <v>72.0</v>
      </c>
      <c r="AA950" s="16" t="s">
        <v>1075</v>
      </c>
      <c r="AB950" s="23">
        <v>3.0</v>
      </c>
      <c r="AC950" s="23">
        <v>36.0</v>
      </c>
      <c r="AD950" s="23">
        <v>108.0</v>
      </c>
      <c r="AE950" s="16" t="s">
        <v>1091</v>
      </c>
      <c r="AF950" s="23">
        <v>1.0</v>
      </c>
      <c r="AG950" s="23">
        <v>35.0</v>
      </c>
      <c r="AH950" s="23">
        <v>35.0</v>
      </c>
      <c r="AL950" s="23">
        <v>0.0</v>
      </c>
      <c r="AP950" s="23">
        <v>0.0</v>
      </c>
      <c r="AT950" s="23">
        <v>0.0</v>
      </c>
      <c r="AX950" s="23">
        <v>0.0</v>
      </c>
      <c r="BF950" s="23">
        <v>0.0</v>
      </c>
      <c r="BJ950" s="23">
        <v>0.0</v>
      </c>
      <c r="BN950" s="23">
        <v>0.0</v>
      </c>
      <c r="BO950" s="23">
        <v>446.0</v>
      </c>
      <c r="BP950" s="16" t="s">
        <v>5553</v>
      </c>
      <c r="BQ950" s="16" t="b">
        <v>1</v>
      </c>
      <c r="BR950" s="23">
        <v>446.0</v>
      </c>
      <c r="BT950" s="16" t="b">
        <v>0</v>
      </c>
      <c r="BU950" s="16" t="s">
        <v>546</v>
      </c>
    </row>
    <row r="951">
      <c r="A951" s="16" t="s">
        <v>5557</v>
      </c>
      <c r="B951" s="16" t="s">
        <v>35</v>
      </c>
      <c r="C951" s="22">
        <v>45678.0</v>
      </c>
      <c r="D951" s="16" t="s">
        <v>764</v>
      </c>
      <c r="E951" s="16" t="s">
        <v>5559</v>
      </c>
      <c r="F951" s="16" t="s">
        <v>195</v>
      </c>
      <c r="G951" s="16" t="s">
        <v>1073</v>
      </c>
      <c r="H951" s="23">
        <v>1.0</v>
      </c>
      <c r="I951" s="23">
        <v>19.25</v>
      </c>
      <c r="J951" s="23">
        <v>19.25</v>
      </c>
      <c r="K951" s="16">
        <v>7.5375964E7</v>
      </c>
      <c r="L951" s="23">
        <v>1.0</v>
      </c>
      <c r="M951" s="23">
        <v>17.0</v>
      </c>
      <c r="N951" s="23">
        <v>17.0</v>
      </c>
      <c r="O951" s="16" t="s">
        <v>1074</v>
      </c>
      <c r="P951" s="23">
        <v>5.0</v>
      </c>
      <c r="Q951" s="23">
        <v>37.0</v>
      </c>
      <c r="R951" s="23">
        <v>185.0</v>
      </c>
      <c r="S951" s="16" t="s">
        <v>1077</v>
      </c>
      <c r="T951" s="23">
        <v>1.0</v>
      </c>
      <c r="U951" s="23">
        <v>24.0</v>
      </c>
      <c r="V951" s="23">
        <v>24.0</v>
      </c>
      <c r="W951" s="16" t="s">
        <v>1079</v>
      </c>
      <c r="X951" s="23">
        <v>30.0</v>
      </c>
      <c r="Y951" s="23">
        <v>17.0</v>
      </c>
      <c r="Z951" s="23">
        <v>510.0</v>
      </c>
      <c r="AA951" s="16" t="s">
        <v>1081</v>
      </c>
      <c r="AB951" s="23">
        <v>2.0</v>
      </c>
      <c r="AC951" s="23">
        <v>45.0</v>
      </c>
      <c r="AD951" s="23">
        <v>90.0</v>
      </c>
      <c r="AE951" s="16" t="s">
        <v>1075</v>
      </c>
      <c r="AF951" s="23">
        <v>3.0</v>
      </c>
      <c r="AG951" s="23">
        <v>37.0</v>
      </c>
      <c r="AH951" s="23">
        <v>111.0</v>
      </c>
      <c r="AI951" s="16" t="s">
        <v>1074</v>
      </c>
      <c r="AJ951" s="23">
        <v>1.0</v>
      </c>
      <c r="AK951" s="23">
        <v>68.0</v>
      </c>
      <c r="AL951" s="23">
        <v>68.0</v>
      </c>
      <c r="AM951" s="16" t="s">
        <v>1077</v>
      </c>
      <c r="AN951" s="23">
        <v>1.0</v>
      </c>
      <c r="AO951" s="23">
        <v>24.0</v>
      </c>
      <c r="AP951" s="23">
        <v>24.0</v>
      </c>
      <c r="AQ951" s="16" t="s">
        <v>1091</v>
      </c>
      <c r="AR951" s="23">
        <v>1.0</v>
      </c>
      <c r="AS951" s="23">
        <v>36.0</v>
      </c>
      <c r="AT951" s="23">
        <v>36.0</v>
      </c>
      <c r="AX951" s="23">
        <v>0.0</v>
      </c>
      <c r="BF951" s="23">
        <v>0.0</v>
      </c>
      <c r="BJ951" s="23">
        <v>0.0</v>
      </c>
      <c r="BN951" s="23">
        <v>0.0</v>
      </c>
      <c r="BO951" s="23">
        <v>1084.25</v>
      </c>
      <c r="BP951" s="16" t="s">
        <v>5561</v>
      </c>
      <c r="BQ951" s="16" t="b">
        <v>1</v>
      </c>
      <c r="BR951" s="23">
        <v>1084.25</v>
      </c>
      <c r="BT951" s="16" t="b">
        <v>0</v>
      </c>
      <c r="BU951" s="16" t="s">
        <v>546</v>
      </c>
      <c r="BW951" s="16" t="s">
        <v>5564</v>
      </c>
    </row>
    <row r="952">
      <c r="A952" s="16" t="s">
        <v>5567</v>
      </c>
      <c r="B952" s="16" t="s">
        <v>35</v>
      </c>
      <c r="C952" s="22">
        <v>45681.0</v>
      </c>
      <c r="D952" s="16" t="s">
        <v>543</v>
      </c>
      <c r="E952" s="16" t="s">
        <v>5569</v>
      </c>
      <c r="F952" s="16" t="s">
        <v>171</v>
      </c>
      <c r="G952" s="16">
        <v>1.2539885E7</v>
      </c>
      <c r="H952" s="23">
        <v>1.0</v>
      </c>
      <c r="I952" s="23">
        <v>500.0</v>
      </c>
      <c r="J952" s="23">
        <v>500.0</v>
      </c>
      <c r="N952" s="23">
        <v>0.0</v>
      </c>
      <c r="R952" s="23">
        <v>0.0</v>
      </c>
      <c r="V952" s="23">
        <v>0.0</v>
      </c>
      <c r="Z952" s="23">
        <v>0.0</v>
      </c>
      <c r="AD952" s="23">
        <v>0.0</v>
      </c>
      <c r="AH952" s="23">
        <v>0.0</v>
      </c>
      <c r="AL952" s="23">
        <v>0.0</v>
      </c>
      <c r="AP952" s="23">
        <v>0.0</v>
      </c>
      <c r="AT952" s="23">
        <v>0.0</v>
      </c>
      <c r="AX952" s="23">
        <v>0.0</v>
      </c>
      <c r="BF952" s="23">
        <v>0.0</v>
      </c>
      <c r="BJ952" s="23">
        <v>0.0</v>
      </c>
      <c r="BN952" s="23">
        <v>0.0</v>
      </c>
      <c r="BO952" s="23">
        <v>500.0</v>
      </c>
      <c r="BP952" s="16" t="s">
        <v>5571</v>
      </c>
      <c r="BQ952" s="16" t="b">
        <v>1</v>
      </c>
      <c r="BR952" s="23">
        <v>500.0</v>
      </c>
      <c r="BT952" s="16" t="b">
        <v>0</v>
      </c>
      <c r="BU952" s="16" t="s">
        <v>546</v>
      </c>
    </row>
    <row r="953">
      <c r="A953" s="16" t="s">
        <v>5574</v>
      </c>
      <c r="B953" s="16" t="s">
        <v>35</v>
      </c>
      <c r="C953" s="22">
        <v>45678.0</v>
      </c>
      <c r="D953" s="16" t="s">
        <v>890</v>
      </c>
      <c r="E953" s="16" t="s">
        <v>5577</v>
      </c>
      <c r="F953" s="16" t="s">
        <v>2894</v>
      </c>
      <c r="G953" s="16" t="s">
        <v>1510</v>
      </c>
      <c r="H953" s="23">
        <v>1.0</v>
      </c>
      <c r="I953" s="23">
        <v>15847.46</v>
      </c>
      <c r="J953" s="23">
        <v>15847.46</v>
      </c>
      <c r="N953" s="23">
        <v>0.0</v>
      </c>
      <c r="R953" s="23">
        <v>0.0</v>
      </c>
      <c r="V953" s="23">
        <v>0.0</v>
      </c>
      <c r="Z953" s="23">
        <v>0.0</v>
      </c>
      <c r="AD953" s="23">
        <v>0.0</v>
      </c>
      <c r="AH953" s="23">
        <v>0.0</v>
      </c>
      <c r="AL953" s="23">
        <v>0.0</v>
      </c>
      <c r="AP953" s="23">
        <v>0.0</v>
      </c>
      <c r="AT953" s="23">
        <v>0.0</v>
      </c>
      <c r="AX953" s="23">
        <v>0.0</v>
      </c>
      <c r="BF953" s="23">
        <v>0.0</v>
      </c>
      <c r="BJ953" s="23">
        <v>0.0</v>
      </c>
      <c r="BN953" s="23">
        <v>0.0</v>
      </c>
      <c r="BO953" s="23">
        <v>15847.46</v>
      </c>
      <c r="BP953" s="16" t="s">
        <v>5578</v>
      </c>
      <c r="BQ953" s="16" t="b">
        <v>1</v>
      </c>
      <c r="BR953" s="23">
        <v>15847.46</v>
      </c>
      <c r="BT953" s="16" t="b">
        <v>0</v>
      </c>
      <c r="BU953" s="16" t="s">
        <v>546</v>
      </c>
      <c r="BW953" s="16" t="s">
        <v>5580</v>
      </c>
      <c r="BX953" s="16" t="s">
        <v>5581</v>
      </c>
    </row>
    <row r="954">
      <c r="A954" s="16" t="s">
        <v>5584</v>
      </c>
      <c r="B954" s="16" t="s">
        <v>35</v>
      </c>
      <c r="C954" s="22">
        <v>45678.0</v>
      </c>
      <c r="D954" s="16" t="s">
        <v>890</v>
      </c>
      <c r="E954" s="16" t="s">
        <v>5586</v>
      </c>
      <c r="F954" s="16" t="s">
        <v>3813</v>
      </c>
      <c r="G954" s="16" t="s">
        <v>1517</v>
      </c>
      <c r="H954" s="23">
        <v>1.0</v>
      </c>
      <c r="I954" s="23">
        <v>7003.37</v>
      </c>
      <c r="J954" s="23">
        <v>7003.37</v>
      </c>
      <c r="N954" s="23">
        <v>0.0</v>
      </c>
      <c r="R954" s="23">
        <v>0.0</v>
      </c>
      <c r="V954" s="23">
        <v>0.0</v>
      </c>
      <c r="Z954" s="23">
        <v>0.0</v>
      </c>
      <c r="AD954" s="23">
        <v>0.0</v>
      </c>
      <c r="AH954" s="23">
        <v>0.0</v>
      </c>
      <c r="AL954" s="23">
        <v>0.0</v>
      </c>
      <c r="AP954" s="23">
        <v>0.0</v>
      </c>
      <c r="AT954" s="23">
        <v>0.0</v>
      </c>
      <c r="AX954" s="23">
        <v>0.0</v>
      </c>
      <c r="BF954" s="23">
        <v>0.0</v>
      </c>
      <c r="BJ954" s="23">
        <v>0.0</v>
      </c>
      <c r="BN954" s="23">
        <v>0.0</v>
      </c>
      <c r="BO954" s="23">
        <v>7003.37</v>
      </c>
      <c r="BP954" s="16" t="s">
        <v>5588</v>
      </c>
      <c r="BQ954" s="16" t="b">
        <v>1</v>
      </c>
      <c r="BR954" s="23">
        <v>7003.37</v>
      </c>
      <c r="BT954" s="16" t="b">
        <v>0</v>
      </c>
      <c r="BU954" s="16" t="s">
        <v>546</v>
      </c>
      <c r="BW954" s="16" t="s">
        <v>5590</v>
      </c>
      <c r="BX954" s="16" t="s">
        <v>5592</v>
      </c>
    </row>
    <row r="955">
      <c r="A955" s="16" t="s">
        <v>5594</v>
      </c>
      <c r="B955" s="16" t="s">
        <v>35</v>
      </c>
      <c r="C955" s="22">
        <v>45681.0</v>
      </c>
      <c r="D955" s="16" t="s">
        <v>112</v>
      </c>
      <c r="E955" s="16" t="s">
        <v>5597</v>
      </c>
      <c r="F955" s="16" t="s">
        <v>157</v>
      </c>
      <c r="G955" s="16" t="s">
        <v>159</v>
      </c>
      <c r="H955" s="23">
        <v>1.0</v>
      </c>
      <c r="I955" s="23">
        <v>280.0</v>
      </c>
      <c r="J955" s="23">
        <v>280.0</v>
      </c>
      <c r="K955" s="16" t="s">
        <v>155</v>
      </c>
      <c r="L955" s="23">
        <v>1.0</v>
      </c>
      <c r="M955" s="23">
        <v>71.76</v>
      </c>
      <c r="N955" s="23">
        <v>71.76</v>
      </c>
      <c r="O955" s="16" t="s">
        <v>152</v>
      </c>
      <c r="P955" s="23">
        <v>1.0</v>
      </c>
      <c r="Q955" s="23">
        <v>12.18</v>
      </c>
      <c r="R955" s="23">
        <v>12.18</v>
      </c>
      <c r="S955" s="16" t="s">
        <v>226</v>
      </c>
      <c r="T955" s="23">
        <v>1.0</v>
      </c>
      <c r="U955" s="23">
        <v>100.0</v>
      </c>
      <c r="V955" s="23">
        <v>100.0</v>
      </c>
      <c r="Z955" s="23">
        <v>0.0</v>
      </c>
      <c r="AD955" s="23">
        <v>0.0</v>
      </c>
      <c r="AH955" s="23">
        <v>0.0</v>
      </c>
      <c r="AL955" s="23">
        <v>0.0</v>
      </c>
      <c r="AP955" s="23">
        <v>0.0</v>
      </c>
      <c r="AT955" s="23">
        <v>0.0</v>
      </c>
      <c r="AX955" s="23">
        <v>0.0</v>
      </c>
      <c r="BF955" s="23">
        <v>0.0</v>
      </c>
      <c r="BJ955" s="23">
        <v>0.0</v>
      </c>
      <c r="BN955" s="23">
        <v>0.0</v>
      </c>
      <c r="BO955" s="23">
        <v>463.94</v>
      </c>
      <c r="BP955" s="16" t="s">
        <v>5598</v>
      </c>
      <c r="BQ955" s="16" t="b">
        <v>1</v>
      </c>
      <c r="BR955" s="23">
        <v>463.94</v>
      </c>
      <c r="BT955" s="16" t="b">
        <v>0</v>
      </c>
      <c r="BU955" s="16" t="s">
        <v>546</v>
      </c>
      <c r="BW955" s="16"/>
      <c r="BX955" s="16"/>
    </row>
    <row r="956">
      <c r="A956" s="16" t="s">
        <v>5602</v>
      </c>
      <c r="B956" s="16" t="s">
        <v>35</v>
      </c>
      <c r="C956" s="22">
        <v>45681.0</v>
      </c>
      <c r="D956" s="16" t="s">
        <v>673</v>
      </c>
      <c r="E956" s="16"/>
      <c r="F956" s="16">
        <v>2025.0</v>
      </c>
      <c r="G956" s="16" t="s">
        <v>1280</v>
      </c>
      <c r="H956" s="16">
        <v>1.0</v>
      </c>
      <c r="I956" s="23">
        <v>824.36</v>
      </c>
      <c r="J956" s="23">
        <v>824.36</v>
      </c>
      <c r="K956" s="16"/>
      <c r="L956" s="23"/>
      <c r="M956" s="23"/>
      <c r="N956" s="23"/>
      <c r="O956" s="16"/>
      <c r="P956" s="23"/>
      <c r="Q956" s="23"/>
      <c r="R956" s="23"/>
      <c r="S956" s="16"/>
      <c r="T956" s="23"/>
      <c r="U956" s="23"/>
      <c r="V956" s="23"/>
      <c r="Z956" s="23"/>
      <c r="AD956" s="23"/>
      <c r="AH956" s="23"/>
      <c r="AL956" s="23"/>
      <c r="AP956" s="23"/>
      <c r="AT956" s="23"/>
      <c r="AX956" s="23"/>
      <c r="BF956" s="23"/>
      <c r="BJ956" s="23"/>
      <c r="BN956" s="23"/>
      <c r="BO956" s="23">
        <v>824.36</v>
      </c>
      <c r="BP956" s="16"/>
      <c r="BQ956" s="16"/>
      <c r="BR956" s="23">
        <v>824.36</v>
      </c>
      <c r="BT956" s="16"/>
      <c r="BU956" s="16" t="s">
        <v>539</v>
      </c>
      <c r="BW956" s="16"/>
      <c r="BX956" s="16"/>
    </row>
    <row r="957">
      <c r="A957" s="16" t="s">
        <v>5607</v>
      </c>
      <c r="B957" s="16" t="s">
        <v>35</v>
      </c>
      <c r="C957" s="22">
        <v>45681.0</v>
      </c>
      <c r="D957" s="16" t="s">
        <v>1267</v>
      </c>
      <c r="E957" s="16"/>
      <c r="F957" s="16">
        <v>2025.0</v>
      </c>
      <c r="G957" s="16" t="s">
        <v>1848</v>
      </c>
      <c r="H957" s="16">
        <v>1.0</v>
      </c>
      <c r="I957" s="23">
        <v>100.0</v>
      </c>
      <c r="J957" s="23">
        <v>100.0</v>
      </c>
      <c r="K957" s="16"/>
      <c r="L957" s="23"/>
      <c r="M957" s="23"/>
      <c r="N957" s="23"/>
      <c r="O957" s="16"/>
      <c r="P957" s="23"/>
      <c r="Q957" s="23"/>
      <c r="R957" s="23"/>
      <c r="S957" s="16"/>
      <c r="T957" s="23"/>
      <c r="U957" s="23"/>
      <c r="V957" s="23"/>
      <c r="Z957" s="23"/>
      <c r="AD957" s="23"/>
      <c r="AH957" s="23"/>
      <c r="AL957" s="23"/>
      <c r="AP957" s="23"/>
      <c r="AT957" s="23"/>
      <c r="AX957" s="23"/>
      <c r="BF957" s="23"/>
      <c r="BJ957" s="23"/>
      <c r="BN957" s="23"/>
      <c r="BO957" s="23">
        <v>100.0</v>
      </c>
      <c r="BP957" s="16"/>
      <c r="BQ957" s="16"/>
      <c r="BR957" s="23">
        <v>100.0</v>
      </c>
      <c r="BT957" s="16"/>
      <c r="BU957" s="16" t="s">
        <v>539</v>
      </c>
      <c r="BW957" s="16"/>
      <c r="BX957" s="16"/>
    </row>
    <row r="958">
      <c r="A958" s="16" t="s">
        <v>5612</v>
      </c>
      <c r="B958" s="16" t="s">
        <v>35</v>
      </c>
      <c r="C958" s="22">
        <v>45682.0</v>
      </c>
      <c r="D958" s="16"/>
      <c r="E958" s="16"/>
      <c r="F958" s="16" t="s">
        <v>1329</v>
      </c>
      <c r="G958" s="16" t="s">
        <v>1168</v>
      </c>
      <c r="H958" s="16">
        <v>1.0</v>
      </c>
      <c r="I958" s="23">
        <v>200.0</v>
      </c>
      <c r="J958" s="23">
        <v>200.0</v>
      </c>
      <c r="K958" s="16"/>
      <c r="L958" s="23"/>
      <c r="M958" s="23"/>
      <c r="N958" s="23"/>
      <c r="O958" s="16"/>
      <c r="P958" s="23"/>
      <c r="Q958" s="23"/>
      <c r="R958" s="23"/>
      <c r="S958" s="16"/>
      <c r="T958" s="23"/>
      <c r="U958" s="23"/>
      <c r="V958" s="23"/>
      <c r="Z958" s="23"/>
      <c r="AD958" s="23"/>
      <c r="AH958" s="23"/>
      <c r="AL958" s="23"/>
      <c r="AP958" s="23"/>
      <c r="AT958" s="23"/>
      <c r="AX958" s="23"/>
      <c r="BF958" s="23"/>
      <c r="BJ958" s="23"/>
      <c r="BN958" s="23"/>
      <c r="BO958" s="23">
        <v>200.0</v>
      </c>
      <c r="BP958" s="16"/>
      <c r="BQ958" s="16"/>
      <c r="BR958" s="23">
        <v>200.0</v>
      </c>
      <c r="BT958" s="16"/>
      <c r="BU958" s="16" t="s">
        <v>539</v>
      </c>
      <c r="BV958" s="16" t="s">
        <v>624</v>
      </c>
      <c r="BW958" s="16"/>
      <c r="BX958" s="16"/>
    </row>
    <row r="959">
      <c r="A959" s="16" t="s">
        <v>5621</v>
      </c>
      <c r="B959" s="16" t="s">
        <v>35</v>
      </c>
      <c r="C959" s="22">
        <v>45683.0</v>
      </c>
      <c r="D959" s="16" t="s">
        <v>460</v>
      </c>
      <c r="E959" s="16"/>
      <c r="F959" s="16" t="s">
        <v>931</v>
      </c>
      <c r="G959" s="16" t="s">
        <v>1126</v>
      </c>
      <c r="H959" s="16">
        <v>1.0</v>
      </c>
      <c r="I959" s="23">
        <v>30.0</v>
      </c>
      <c r="J959" s="23">
        <v>30.0</v>
      </c>
      <c r="K959" s="16"/>
      <c r="L959" s="23"/>
      <c r="M959" s="23"/>
      <c r="N959" s="23"/>
      <c r="O959" s="16"/>
      <c r="P959" s="23"/>
      <c r="Q959" s="23"/>
      <c r="R959" s="23"/>
      <c r="S959" s="16"/>
      <c r="T959" s="23"/>
      <c r="U959" s="23"/>
      <c r="V959" s="23"/>
      <c r="Z959" s="23"/>
      <c r="AD959" s="23"/>
      <c r="AH959" s="23"/>
      <c r="AL959" s="23"/>
      <c r="AP959" s="23"/>
      <c r="AT959" s="23"/>
      <c r="AX959" s="23"/>
      <c r="BF959" s="23"/>
      <c r="BJ959" s="23"/>
      <c r="BN959" s="23"/>
      <c r="BO959" s="23">
        <v>30.0</v>
      </c>
      <c r="BP959" s="16"/>
      <c r="BQ959" s="16"/>
      <c r="BR959" s="23">
        <v>30.0</v>
      </c>
      <c r="BT959" s="16"/>
      <c r="BU959" s="16" t="s">
        <v>539</v>
      </c>
      <c r="BV959" s="16"/>
      <c r="BW959" s="16"/>
      <c r="BX959" s="16"/>
    </row>
    <row r="960">
      <c r="A960" s="16" t="s">
        <v>5627</v>
      </c>
      <c r="B960" s="16" t="s">
        <v>35</v>
      </c>
      <c r="C960" s="22">
        <v>45683.0</v>
      </c>
      <c r="D960" s="16" t="s">
        <v>460</v>
      </c>
      <c r="E960" s="16"/>
      <c r="F960" s="16" t="s">
        <v>5630</v>
      </c>
      <c r="G960" s="16" t="s">
        <v>5636</v>
      </c>
      <c r="H960" s="16">
        <v>1.0</v>
      </c>
      <c r="I960" s="23">
        <v>200.0</v>
      </c>
      <c r="J960" s="23">
        <v>200.0</v>
      </c>
      <c r="K960" s="16"/>
      <c r="L960" s="23"/>
      <c r="M960" s="23"/>
      <c r="N960" s="23"/>
      <c r="O960" s="16"/>
      <c r="P960" s="23"/>
      <c r="Q960" s="23"/>
      <c r="R960" s="23"/>
      <c r="S960" s="16"/>
      <c r="T960" s="23"/>
      <c r="U960" s="23"/>
      <c r="V960" s="23"/>
      <c r="Z960" s="23"/>
      <c r="AD960" s="23"/>
      <c r="AH960" s="23"/>
      <c r="AL960" s="23"/>
      <c r="AP960" s="23"/>
      <c r="AT960" s="23"/>
      <c r="AX960" s="23"/>
      <c r="BF960" s="23"/>
      <c r="BJ960" s="23"/>
      <c r="BN960" s="23"/>
      <c r="BO960" s="23">
        <v>200.0</v>
      </c>
      <c r="BP960" s="16"/>
      <c r="BQ960" s="16"/>
      <c r="BR960" s="23">
        <v>200.0</v>
      </c>
      <c r="BT960" s="16"/>
      <c r="BU960" s="16" t="s">
        <v>539</v>
      </c>
      <c r="BV960" s="16"/>
      <c r="BW960" s="16"/>
      <c r="BX960" s="16"/>
    </row>
    <row r="961">
      <c r="A961" s="16" t="s">
        <v>5634</v>
      </c>
      <c r="B961" s="16" t="s">
        <v>35</v>
      </c>
      <c r="C961" s="22">
        <v>45683.0</v>
      </c>
      <c r="D961" s="16" t="s">
        <v>460</v>
      </c>
      <c r="E961" s="16"/>
      <c r="F961" s="16" t="s">
        <v>4979</v>
      </c>
      <c r="G961" s="16" t="s">
        <v>5973</v>
      </c>
      <c r="H961" s="16">
        <v>1.0</v>
      </c>
      <c r="I961" s="23">
        <v>10.0</v>
      </c>
      <c r="J961" s="23">
        <v>10.0</v>
      </c>
      <c r="K961" s="16"/>
      <c r="L961" s="23"/>
      <c r="M961" s="23"/>
      <c r="N961" s="23"/>
      <c r="O961" s="16"/>
      <c r="P961" s="23"/>
      <c r="Q961" s="23"/>
      <c r="R961" s="23"/>
      <c r="S961" s="16"/>
      <c r="T961" s="23"/>
      <c r="U961" s="23"/>
      <c r="V961" s="23"/>
      <c r="Z961" s="23"/>
      <c r="AD961" s="23"/>
      <c r="AH961" s="23"/>
      <c r="AL961" s="23"/>
      <c r="AP961" s="23"/>
      <c r="AT961" s="23"/>
      <c r="AX961" s="23"/>
      <c r="BF961" s="23"/>
      <c r="BJ961" s="23"/>
      <c r="BN961" s="23"/>
      <c r="BO961" s="23">
        <v>10.0</v>
      </c>
      <c r="BP961" s="16"/>
      <c r="BQ961" s="16"/>
      <c r="BR961" s="23">
        <v>10.0</v>
      </c>
      <c r="BT961" s="16"/>
      <c r="BU961" s="16" t="s">
        <v>539</v>
      </c>
      <c r="BV961" s="16"/>
      <c r="BW961" s="16"/>
      <c r="BX961" s="16"/>
    </row>
    <row r="962">
      <c r="A962" s="16" t="s">
        <v>5642</v>
      </c>
      <c r="B962" s="16" t="s">
        <v>35</v>
      </c>
      <c r="C962" s="22">
        <v>45683.0</v>
      </c>
      <c r="D962" s="16" t="s">
        <v>460</v>
      </c>
      <c r="E962" s="16"/>
      <c r="F962" s="16" t="s">
        <v>4972</v>
      </c>
      <c r="G962" s="16" t="s">
        <v>5640</v>
      </c>
      <c r="H962" s="16">
        <v>1.0</v>
      </c>
      <c r="I962" s="23">
        <v>22.0</v>
      </c>
      <c r="J962" s="23">
        <v>22.0</v>
      </c>
      <c r="K962" s="16"/>
      <c r="L962" s="23"/>
      <c r="M962" s="23"/>
      <c r="N962" s="23"/>
      <c r="O962" s="16"/>
      <c r="P962" s="23"/>
      <c r="Q962" s="23"/>
      <c r="R962" s="23"/>
      <c r="S962" s="16"/>
      <c r="T962" s="23"/>
      <c r="U962" s="23"/>
      <c r="V962" s="23"/>
      <c r="Z962" s="23"/>
      <c r="AD962" s="23"/>
      <c r="AH962" s="23"/>
      <c r="AL962" s="23"/>
      <c r="AP962" s="23"/>
      <c r="AT962" s="23"/>
      <c r="AX962" s="23"/>
      <c r="BF962" s="23"/>
      <c r="BJ962" s="23"/>
      <c r="BN962" s="23"/>
      <c r="BO962" s="23">
        <v>22.0</v>
      </c>
      <c r="BP962" s="16"/>
      <c r="BQ962" s="16"/>
      <c r="BR962" s="23">
        <v>22.0</v>
      </c>
      <c r="BT962" s="16"/>
      <c r="BU962" s="16" t="s">
        <v>539</v>
      </c>
      <c r="BV962" s="16"/>
      <c r="BW962" s="16"/>
      <c r="BX962" s="16"/>
    </row>
    <row r="963">
      <c r="A963" s="16" t="s">
        <v>5649</v>
      </c>
      <c r="B963" s="16" t="s">
        <v>35</v>
      </c>
      <c r="C963" s="22">
        <v>45678.0</v>
      </c>
      <c r="D963" s="16" t="s">
        <v>193</v>
      </c>
      <c r="E963" s="16" t="s">
        <v>5651</v>
      </c>
      <c r="F963" s="16" t="s">
        <v>195</v>
      </c>
      <c r="G963" s="16" t="s">
        <v>335</v>
      </c>
      <c r="H963" s="16">
        <v>1.0</v>
      </c>
      <c r="I963" s="23">
        <v>159.36</v>
      </c>
      <c r="J963" s="23">
        <v>159.36</v>
      </c>
      <c r="K963" s="16" t="s">
        <v>338</v>
      </c>
      <c r="L963" s="23">
        <v>4.0</v>
      </c>
      <c r="M963" s="23">
        <v>29.16</v>
      </c>
      <c r="N963" s="23">
        <v>116.64</v>
      </c>
      <c r="O963" s="16" t="s">
        <v>338</v>
      </c>
      <c r="P963" s="23">
        <v>1.0</v>
      </c>
      <c r="Q963" s="23">
        <v>28.88</v>
      </c>
      <c r="R963" s="23">
        <v>28.88</v>
      </c>
      <c r="S963" s="16" t="s">
        <v>1083</v>
      </c>
      <c r="T963" s="23">
        <v>2.0</v>
      </c>
      <c r="U963" s="23">
        <v>29.88</v>
      </c>
      <c r="V963" s="23">
        <v>59.76</v>
      </c>
      <c r="W963" s="16" t="s">
        <v>338</v>
      </c>
      <c r="X963" s="23">
        <v>1.0</v>
      </c>
      <c r="Y963" s="23">
        <v>44.94</v>
      </c>
      <c r="Z963" s="23">
        <v>44.94</v>
      </c>
      <c r="AA963" s="16" t="s">
        <v>338</v>
      </c>
      <c r="AB963" s="23">
        <v>1.0</v>
      </c>
      <c r="AC963" s="23">
        <v>43.32</v>
      </c>
      <c r="AD963" s="23">
        <v>43.32</v>
      </c>
      <c r="AH963" s="23">
        <v>0.0</v>
      </c>
      <c r="AL963" s="23">
        <v>0.0</v>
      </c>
      <c r="AP963" s="23">
        <v>0.0</v>
      </c>
      <c r="AT963" s="23">
        <v>0.0</v>
      </c>
      <c r="AX963" s="23">
        <v>0.0</v>
      </c>
      <c r="BF963" s="23">
        <v>0.0</v>
      </c>
      <c r="BJ963" s="23">
        <v>0.0</v>
      </c>
      <c r="BN963" s="23">
        <v>0.0</v>
      </c>
      <c r="BO963" s="23">
        <v>452.9</v>
      </c>
      <c r="BP963" s="16" t="s">
        <v>5653</v>
      </c>
      <c r="BQ963" s="16" t="b">
        <v>1</v>
      </c>
      <c r="BR963" s="23">
        <v>452.9</v>
      </c>
      <c r="BT963" s="16" t="b">
        <v>0</v>
      </c>
      <c r="BU963" s="16" t="s">
        <v>546</v>
      </c>
      <c r="BV963" s="16"/>
      <c r="BW963" s="16" t="s">
        <v>5655</v>
      </c>
      <c r="BX963" s="16"/>
    </row>
    <row r="964">
      <c r="A964" s="16" t="s">
        <v>5658</v>
      </c>
      <c r="B964" s="16" t="s">
        <v>35</v>
      </c>
      <c r="C964" s="22">
        <v>45678.0</v>
      </c>
      <c r="D964" s="16" t="s">
        <v>193</v>
      </c>
      <c r="E964" s="16" t="s">
        <v>5651</v>
      </c>
      <c r="F964" s="16" t="s">
        <v>195</v>
      </c>
      <c r="G964" s="16" t="s">
        <v>335</v>
      </c>
      <c r="H964" s="16">
        <v>1.0</v>
      </c>
      <c r="I964" s="23">
        <v>79.68</v>
      </c>
      <c r="J964" s="23">
        <v>79.68</v>
      </c>
      <c r="K964" s="16" t="s">
        <v>338</v>
      </c>
      <c r="L964" s="23">
        <v>1.0</v>
      </c>
      <c r="M964" s="23">
        <v>116.08</v>
      </c>
      <c r="N964" s="23">
        <v>116.08</v>
      </c>
      <c r="O964" s="16" t="s">
        <v>338</v>
      </c>
      <c r="P964" s="23">
        <v>1.0</v>
      </c>
      <c r="Q964" s="23">
        <v>59.28</v>
      </c>
      <c r="R964" s="23">
        <v>59.28</v>
      </c>
      <c r="S964" s="16" t="s">
        <v>335</v>
      </c>
      <c r="T964" s="23">
        <v>1.0</v>
      </c>
      <c r="U964" s="23">
        <v>76.89</v>
      </c>
      <c r="V964" s="23">
        <v>76.89</v>
      </c>
      <c r="W964" s="16" t="s">
        <v>1777</v>
      </c>
      <c r="X964" s="23">
        <v>2.0</v>
      </c>
      <c r="Y964" s="23">
        <v>29.88</v>
      </c>
      <c r="Z964" s="23">
        <v>59.76</v>
      </c>
      <c r="AA964" s="16"/>
      <c r="AB964" s="23"/>
      <c r="AC964" s="23"/>
      <c r="AD964" s="23">
        <v>0.0</v>
      </c>
      <c r="AH964" s="23">
        <v>0.0</v>
      </c>
      <c r="AL964" s="23">
        <v>0.0</v>
      </c>
      <c r="AP964" s="23">
        <v>0.0</v>
      </c>
      <c r="AT964" s="23">
        <v>0.0</v>
      </c>
      <c r="AX964" s="23">
        <v>0.0</v>
      </c>
      <c r="BF964" s="23">
        <v>0.0</v>
      </c>
      <c r="BJ964" s="23">
        <v>0.0</v>
      </c>
      <c r="BN964" s="23">
        <v>0.0</v>
      </c>
      <c r="BO964" s="23">
        <v>391.69</v>
      </c>
      <c r="BP964" s="16" t="s">
        <v>5662</v>
      </c>
      <c r="BQ964" s="16" t="b">
        <v>1</v>
      </c>
      <c r="BR964" s="23">
        <v>391.69</v>
      </c>
      <c r="BT964" s="16" t="b">
        <v>0</v>
      </c>
      <c r="BU964" s="16" t="s">
        <v>546</v>
      </c>
      <c r="BV964" s="16"/>
      <c r="BW964" s="16"/>
      <c r="BX964" s="16"/>
    </row>
    <row r="965">
      <c r="A965" s="16" t="s">
        <v>5666</v>
      </c>
      <c r="B965" s="16" t="s">
        <v>35</v>
      </c>
      <c r="C965" s="22">
        <v>45680.0</v>
      </c>
      <c r="D965" s="16" t="s">
        <v>112</v>
      </c>
      <c r="E965" s="16" t="s">
        <v>5669</v>
      </c>
      <c r="F965" s="16" t="s">
        <v>157</v>
      </c>
      <c r="G965" s="16" t="s">
        <v>159</v>
      </c>
      <c r="H965" s="16">
        <v>1.0</v>
      </c>
      <c r="I965" s="23">
        <v>280.0</v>
      </c>
      <c r="J965" s="23">
        <v>280.0</v>
      </c>
      <c r="K965" s="16" t="s">
        <v>155</v>
      </c>
      <c r="L965" s="23">
        <v>1.0</v>
      </c>
      <c r="M965" s="23">
        <v>32.64</v>
      </c>
      <c r="N965" s="23">
        <v>32.64</v>
      </c>
      <c r="O965" s="16" t="s">
        <v>226</v>
      </c>
      <c r="P965" s="23">
        <v>1.0</v>
      </c>
      <c r="Q965" s="23">
        <v>50.0</v>
      </c>
      <c r="R965" s="23">
        <v>50.0</v>
      </c>
      <c r="S965" s="16"/>
      <c r="T965" s="23"/>
      <c r="U965" s="23"/>
      <c r="V965" s="23">
        <v>0.0</v>
      </c>
      <c r="W965" s="16"/>
      <c r="X965" s="23"/>
      <c r="Y965" s="23"/>
      <c r="Z965" s="23">
        <v>0.0</v>
      </c>
      <c r="AA965" s="16"/>
      <c r="AB965" s="23"/>
      <c r="AC965" s="23"/>
      <c r="AD965" s="23">
        <v>0.0</v>
      </c>
      <c r="AH965" s="23">
        <v>0.0</v>
      </c>
      <c r="AL965" s="23">
        <v>0.0</v>
      </c>
      <c r="AP965" s="23">
        <v>0.0</v>
      </c>
      <c r="AT965" s="23">
        <v>0.0</v>
      </c>
      <c r="AX965" s="23">
        <v>0.0</v>
      </c>
      <c r="BF965" s="23">
        <v>0.0</v>
      </c>
      <c r="BJ965" s="23">
        <v>0.0</v>
      </c>
      <c r="BN965" s="23">
        <v>0.0</v>
      </c>
      <c r="BO965" s="23">
        <v>362.64</v>
      </c>
      <c r="BP965" s="16" t="s">
        <v>5670</v>
      </c>
      <c r="BQ965" s="16" t="b">
        <v>1</v>
      </c>
      <c r="BR965" s="23">
        <v>362.64</v>
      </c>
      <c r="BT965" s="16" t="b">
        <v>0</v>
      </c>
      <c r="BU965" s="16" t="s">
        <v>546</v>
      </c>
      <c r="BV965" s="16"/>
      <c r="BW965" s="16"/>
      <c r="BX965" s="16"/>
    </row>
    <row r="966">
      <c r="A966" s="16">
        <v>4.2804146E7</v>
      </c>
      <c r="B966" s="16" t="s">
        <v>35</v>
      </c>
      <c r="C966" s="22">
        <v>45680.0</v>
      </c>
      <c r="D966" s="16" t="s">
        <v>353</v>
      </c>
      <c r="E966" s="16" t="s">
        <v>5676</v>
      </c>
      <c r="F966" s="16" t="s">
        <v>5679</v>
      </c>
      <c r="G966" s="16" t="s">
        <v>1343</v>
      </c>
      <c r="H966" s="16">
        <v>1.0</v>
      </c>
      <c r="I966" s="23">
        <v>200.0</v>
      </c>
      <c r="J966" s="23">
        <v>200.0</v>
      </c>
      <c r="K966" s="16" t="s">
        <v>854</v>
      </c>
      <c r="L966" s="23">
        <v>1.0</v>
      </c>
      <c r="M966" s="23">
        <v>5.86</v>
      </c>
      <c r="N966" s="23">
        <v>5.86</v>
      </c>
      <c r="O966" s="16"/>
      <c r="P966" s="23"/>
      <c r="Q966" s="23"/>
      <c r="R966" s="23">
        <v>0.0</v>
      </c>
      <c r="S966" s="16"/>
      <c r="T966" s="23"/>
      <c r="U966" s="23"/>
      <c r="V966" s="23">
        <v>0.0</v>
      </c>
      <c r="W966" s="16"/>
      <c r="X966" s="23"/>
      <c r="Y966" s="23"/>
      <c r="Z966" s="23">
        <v>0.0</v>
      </c>
      <c r="AA966" s="16"/>
      <c r="AB966" s="23"/>
      <c r="AC966" s="23"/>
      <c r="AD966" s="23">
        <v>0.0</v>
      </c>
      <c r="AH966" s="23">
        <v>0.0</v>
      </c>
      <c r="AL966" s="23">
        <v>0.0</v>
      </c>
      <c r="AP966" s="23">
        <v>0.0</v>
      </c>
      <c r="AT966" s="23">
        <v>0.0</v>
      </c>
      <c r="AX966" s="23">
        <v>0.0</v>
      </c>
      <c r="BF966" s="23">
        <v>0.0</v>
      </c>
      <c r="BJ966" s="23">
        <v>0.0</v>
      </c>
      <c r="BN966" s="23">
        <v>0.0</v>
      </c>
      <c r="BO966" s="23">
        <v>205.86</v>
      </c>
      <c r="BP966" s="16" t="s">
        <v>5677</v>
      </c>
      <c r="BQ966" s="16" t="b">
        <v>1</v>
      </c>
      <c r="BR966" s="23">
        <v>205.86</v>
      </c>
      <c r="BS966" s="23">
        <v>1276515.0</v>
      </c>
      <c r="BT966" s="16" t="b">
        <v>1</v>
      </c>
      <c r="BU966" s="16" t="s">
        <v>546</v>
      </c>
      <c r="BV966" s="16"/>
      <c r="BW966" s="16"/>
      <c r="BX966" s="16"/>
    </row>
    <row r="967">
      <c r="A967" s="16" t="s">
        <v>5681</v>
      </c>
      <c r="B967" s="16" t="s">
        <v>35</v>
      </c>
      <c r="C967" s="22">
        <v>45680.0</v>
      </c>
      <c r="D967" s="16" t="s">
        <v>233</v>
      </c>
      <c r="E967" s="16" t="s">
        <v>5682</v>
      </c>
      <c r="F967" s="16" t="s">
        <v>5685</v>
      </c>
      <c r="G967" s="16" t="s">
        <v>305</v>
      </c>
      <c r="H967" s="16">
        <v>1.0</v>
      </c>
      <c r="I967" s="23">
        <v>54.9</v>
      </c>
      <c r="J967" s="23">
        <v>54.9</v>
      </c>
      <c r="K967" s="16" t="s">
        <v>247</v>
      </c>
      <c r="L967" s="23">
        <v>27.0</v>
      </c>
      <c r="M967" s="23">
        <v>0.89</v>
      </c>
      <c r="N967" s="23">
        <v>24.03</v>
      </c>
      <c r="O967" s="16" t="s">
        <v>305</v>
      </c>
      <c r="P967" s="23">
        <v>1.0</v>
      </c>
      <c r="Q967" s="23">
        <v>247.8</v>
      </c>
      <c r="R967" s="23">
        <v>247.8</v>
      </c>
      <c r="S967" s="16"/>
      <c r="T967" s="23"/>
      <c r="U967" s="23"/>
      <c r="V967" s="23">
        <v>0.0</v>
      </c>
      <c r="W967" s="16"/>
      <c r="X967" s="23"/>
      <c r="Y967" s="23"/>
      <c r="Z967" s="23">
        <v>0.0</v>
      </c>
      <c r="AA967" s="16"/>
      <c r="AB967" s="23"/>
      <c r="AC967" s="23"/>
      <c r="AD967" s="23">
        <v>0.0</v>
      </c>
      <c r="AH967" s="23">
        <v>0.0</v>
      </c>
      <c r="AL967" s="23">
        <v>0.0</v>
      </c>
      <c r="AP967" s="23">
        <v>0.0</v>
      </c>
      <c r="AT967" s="23">
        <v>0.0</v>
      </c>
      <c r="AX967" s="23">
        <v>0.0</v>
      </c>
      <c r="BF967" s="23">
        <v>0.0</v>
      </c>
      <c r="BJ967" s="23">
        <v>0.0</v>
      </c>
      <c r="BN967" s="23">
        <v>0.0</v>
      </c>
      <c r="BO967" s="23">
        <v>326.73</v>
      </c>
      <c r="BP967" s="16" t="s">
        <v>5684</v>
      </c>
      <c r="BQ967" s="16" t="b">
        <v>1</v>
      </c>
      <c r="BR967" s="23">
        <v>326.73</v>
      </c>
      <c r="BS967" s="16" t="s">
        <v>4049</v>
      </c>
      <c r="BT967" s="16" t="b">
        <v>1</v>
      </c>
      <c r="BU967" s="16" t="s">
        <v>546</v>
      </c>
      <c r="BV967" s="16"/>
      <c r="BW967" s="16" t="s">
        <v>5687</v>
      </c>
      <c r="BX967" s="16"/>
    </row>
    <row r="968">
      <c r="A968" s="16" t="s">
        <v>5690</v>
      </c>
      <c r="B968" s="16" t="s">
        <v>35</v>
      </c>
      <c r="C968" s="22">
        <v>45680.0</v>
      </c>
      <c r="D968" s="16">
        <v>6.8893939E7</v>
      </c>
      <c r="E968" s="16" t="s">
        <v>5692</v>
      </c>
      <c r="F968" s="16" t="s">
        <v>605</v>
      </c>
      <c r="G968" s="16" t="s">
        <v>1690</v>
      </c>
      <c r="H968" s="16">
        <v>1.0</v>
      </c>
      <c r="I968" s="23">
        <v>4236.27</v>
      </c>
      <c r="J968" s="23">
        <v>4236.27</v>
      </c>
      <c r="K968" s="16"/>
      <c r="L968" s="23"/>
      <c r="M968" s="23"/>
      <c r="N968" s="23">
        <v>0.0</v>
      </c>
      <c r="O968" s="16"/>
      <c r="P968" s="23"/>
      <c r="Q968" s="23"/>
      <c r="R968" s="23">
        <v>0.0</v>
      </c>
      <c r="S968" s="16"/>
      <c r="T968" s="23"/>
      <c r="U968" s="23"/>
      <c r="V968" s="23">
        <v>0.0</v>
      </c>
      <c r="W968" s="16"/>
      <c r="X968" s="23"/>
      <c r="Y968" s="23"/>
      <c r="Z968" s="23">
        <v>0.0</v>
      </c>
      <c r="AA968" s="16"/>
      <c r="AB968" s="23"/>
      <c r="AC968" s="23"/>
      <c r="AD968" s="23">
        <v>0.0</v>
      </c>
      <c r="AH968" s="23">
        <v>0.0</v>
      </c>
      <c r="AL968" s="23">
        <v>0.0</v>
      </c>
      <c r="AP968" s="23">
        <v>0.0</v>
      </c>
      <c r="AT968" s="23">
        <v>0.0</v>
      </c>
      <c r="AX968" s="23">
        <v>0.0</v>
      </c>
      <c r="BF968" s="23">
        <v>0.0</v>
      </c>
      <c r="BJ968" s="23">
        <v>0.0</v>
      </c>
      <c r="BN968" s="23">
        <v>0.0</v>
      </c>
      <c r="BO968" s="23">
        <v>4236.27</v>
      </c>
      <c r="BP968" s="16" t="s">
        <v>5693</v>
      </c>
      <c r="BQ968" s="16" t="b">
        <v>1</v>
      </c>
      <c r="BR968" s="23">
        <v>4236.27</v>
      </c>
      <c r="BS968" s="16"/>
      <c r="BT968" s="16" t="b">
        <v>0</v>
      </c>
      <c r="BU968" s="16" t="s">
        <v>546</v>
      </c>
      <c r="BV968" s="16"/>
      <c r="BW968" s="16"/>
      <c r="BX968" s="16"/>
    </row>
    <row r="969">
      <c r="A969" s="16" t="s">
        <v>5694</v>
      </c>
      <c r="B969" s="16" t="s">
        <v>35</v>
      </c>
      <c r="C969" s="22">
        <v>45684.0</v>
      </c>
      <c r="D969" s="16" t="s">
        <v>543</v>
      </c>
      <c r="E969" s="16" t="s">
        <v>5695</v>
      </c>
      <c r="F969" s="16" t="s">
        <v>171</v>
      </c>
      <c r="G969" s="16">
        <v>1.2539885E7</v>
      </c>
      <c r="H969" s="16">
        <v>1.0</v>
      </c>
      <c r="I969" s="23">
        <v>500.0</v>
      </c>
      <c r="J969" s="23">
        <v>500.0</v>
      </c>
      <c r="K969" s="16"/>
      <c r="L969" s="23"/>
      <c r="M969" s="23"/>
      <c r="N969" s="23">
        <v>0.0</v>
      </c>
      <c r="O969" s="16"/>
      <c r="P969" s="23"/>
      <c r="Q969" s="23"/>
      <c r="R969" s="23">
        <v>0.0</v>
      </c>
      <c r="S969" s="16"/>
      <c r="T969" s="23"/>
      <c r="U969" s="23"/>
      <c r="V969" s="23">
        <v>0.0</v>
      </c>
      <c r="W969" s="16"/>
      <c r="X969" s="23"/>
      <c r="Y969" s="23"/>
      <c r="Z969" s="23">
        <v>0.0</v>
      </c>
      <c r="AA969" s="16"/>
      <c r="AB969" s="23"/>
      <c r="AC969" s="23"/>
      <c r="AD969" s="23">
        <v>0.0</v>
      </c>
      <c r="AH969" s="23">
        <v>0.0</v>
      </c>
      <c r="AL969" s="23">
        <v>0.0</v>
      </c>
      <c r="AP969" s="23">
        <v>0.0</v>
      </c>
      <c r="AT969" s="23">
        <v>0.0</v>
      </c>
      <c r="AX969" s="23">
        <v>0.0</v>
      </c>
      <c r="BF969" s="23">
        <v>0.0</v>
      </c>
      <c r="BJ969" s="23">
        <v>0.0</v>
      </c>
      <c r="BN969" s="23">
        <v>0.0</v>
      </c>
      <c r="BO969" s="23">
        <v>500.0</v>
      </c>
      <c r="BP969" s="16" t="s">
        <v>5697</v>
      </c>
      <c r="BQ969" s="16" t="b">
        <v>1</v>
      </c>
      <c r="BR969" s="23">
        <v>500.0</v>
      </c>
      <c r="BS969" s="16"/>
      <c r="BT969" s="16" t="b">
        <v>0</v>
      </c>
      <c r="BU969" s="16" t="s">
        <v>546</v>
      </c>
      <c r="BV969" s="16"/>
      <c r="BW969" s="16"/>
      <c r="BX969" s="16"/>
    </row>
    <row r="970">
      <c r="A970" s="16" t="s">
        <v>5699</v>
      </c>
      <c r="B970" s="16" t="s">
        <v>35</v>
      </c>
      <c r="C970" s="22">
        <v>45684.0</v>
      </c>
      <c r="D970" s="16"/>
      <c r="E970" s="16"/>
      <c r="F970" s="16" t="s">
        <v>1329</v>
      </c>
      <c r="G970" s="16" t="s">
        <v>1168</v>
      </c>
      <c r="H970" s="16">
        <v>1.0</v>
      </c>
      <c r="I970" s="23">
        <v>200.0</v>
      </c>
      <c r="J970" s="23">
        <v>200.0</v>
      </c>
      <c r="K970" s="16"/>
      <c r="L970" s="23"/>
      <c r="M970" s="23"/>
      <c r="N970" s="23"/>
      <c r="O970" s="16"/>
      <c r="P970" s="23"/>
      <c r="Q970" s="23"/>
      <c r="R970" s="23"/>
      <c r="S970" s="16"/>
      <c r="T970" s="23"/>
      <c r="U970" s="23"/>
      <c r="V970" s="23"/>
      <c r="W970" s="16"/>
      <c r="X970" s="23"/>
      <c r="Y970" s="23"/>
      <c r="Z970" s="23"/>
      <c r="AA970" s="16"/>
      <c r="AB970" s="23"/>
      <c r="AC970" s="23"/>
      <c r="AD970" s="23"/>
      <c r="AH970" s="23"/>
      <c r="AL970" s="23"/>
      <c r="AP970" s="23"/>
      <c r="AT970" s="23"/>
      <c r="AX970" s="23"/>
      <c r="BF970" s="23"/>
      <c r="BJ970" s="23"/>
      <c r="BN970" s="23"/>
      <c r="BO970" s="23">
        <v>200.0</v>
      </c>
      <c r="BP970" s="16"/>
      <c r="BQ970" s="16"/>
      <c r="BR970" s="23">
        <v>200.0</v>
      </c>
      <c r="BS970" s="16"/>
      <c r="BT970" s="16"/>
      <c r="BU970" s="16" t="s">
        <v>539</v>
      </c>
      <c r="BV970" s="16" t="s">
        <v>117</v>
      </c>
      <c r="BW970" s="16"/>
      <c r="BX970" s="16"/>
    </row>
    <row r="971">
      <c r="A971" s="16" t="s">
        <v>5704</v>
      </c>
      <c r="B971" s="16" t="s">
        <v>35</v>
      </c>
      <c r="C971" s="22">
        <v>45686.0</v>
      </c>
      <c r="D971" s="16"/>
      <c r="E971" s="16"/>
      <c r="F971" s="16" t="s">
        <v>1329</v>
      </c>
      <c r="G971" s="16" t="s">
        <v>1168</v>
      </c>
      <c r="H971" s="16">
        <v>1.0</v>
      </c>
      <c r="I971" s="23">
        <v>500.0</v>
      </c>
      <c r="J971" s="23">
        <v>500.0</v>
      </c>
      <c r="K971" s="16"/>
      <c r="L971" s="23"/>
      <c r="M971" s="23"/>
      <c r="N971" s="23"/>
      <c r="O971" s="16"/>
      <c r="P971" s="23"/>
      <c r="Q971" s="23"/>
      <c r="R971" s="23"/>
      <c r="S971" s="16"/>
      <c r="T971" s="23"/>
      <c r="U971" s="23"/>
      <c r="V971" s="23"/>
      <c r="W971" s="16"/>
      <c r="X971" s="23"/>
      <c r="Y971" s="23"/>
      <c r="Z971" s="23"/>
      <c r="AA971" s="16"/>
      <c r="AB971" s="23"/>
      <c r="AC971" s="23"/>
      <c r="AD971" s="23"/>
      <c r="AH971" s="23"/>
      <c r="AL971" s="23"/>
      <c r="AP971" s="23"/>
      <c r="AT971" s="23"/>
      <c r="AX971" s="23"/>
      <c r="BF971" s="23"/>
      <c r="BJ971" s="23"/>
      <c r="BN971" s="23"/>
      <c r="BO971" s="23">
        <v>500.0</v>
      </c>
      <c r="BP971" s="16"/>
      <c r="BQ971" s="16"/>
      <c r="BR971" s="23">
        <v>500.0</v>
      </c>
      <c r="BS971" s="16"/>
      <c r="BT971" s="16"/>
      <c r="BU971" s="16" t="s">
        <v>539</v>
      </c>
      <c r="BV971" s="16" t="s">
        <v>624</v>
      </c>
      <c r="BW971" s="16"/>
      <c r="BX971" s="16"/>
    </row>
    <row r="972">
      <c r="A972" s="16" t="s">
        <v>5711</v>
      </c>
      <c r="B972" s="16" t="s">
        <v>35</v>
      </c>
      <c r="C972" s="22">
        <v>45691.0</v>
      </c>
      <c r="D972" s="16"/>
      <c r="E972" s="16"/>
      <c r="F972" s="16" t="s">
        <v>1329</v>
      </c>
      <c r="G972" s="16" t="s">
        <v>1168</v>
      </c>
      <c r="H972" s="16">
        <v>1.0</v>
      </c>
      <c r="I972" s="23">
        <v>500.0</v>
      </c>
      <c r="J972" s="23">
        <v>500.0</v>
      </c>
      <c r="K972" s="16"/>
      <c r="L972" s="23"/>
      <c r="M972" s="23"/>
      <c r="N972" s="23"/>
      <c r="O972" s="16"/>
      <c r="P972" s="23"/>
      <c r="Q972" s="23"/>
      <c r="R972" s="23"/>
      <c r="S972" s="16"/>
      <c r="T972" s="23"/>
      <c r="U972" s="23"/>
      <c r="V972" s="23"/>
      <c r="W972" s="16"/>
      <c r="X972" s="23"/>
      <c r="Y972" s="23"/>
      <c r="Z972" s="23"/>
      <c r="AA972" s="16"/>
      <c r="AB972" s="23"/>
      <c r="AC972" s="23"/>
      <c r="AD972" s="23"/>
      <c r="AH972" s="23"/>
      <c r="AL972" s="23"/>
      <c r="AP972" s="23"/>
      <c r="AT972" s="23"/>
      <c r="AX972" s="23"/>
      <c r="BF972" s="23"/>
      <c r="BJ972" s="23"/>
      <c r="BN972" s="23"/>
      <c r="BO972" s="23">
        <v>500.0</v>
      </c>
      <c r="BP972" s="16"/>
      <c r="BQ972" s="16"/>
      <c r="BR972" s="23">
        <v>500.0</v>
      </c>
      <c r="BS972" s="16"/>
      <c r="BT972" s="16"/>
      <c r="BU972" s="16" t="s">
        <v>539</v>
      </c>
      <c r="BV972" s="16" t="s">
        <v>3795</v>
      </c>
      <c r="BW972" s="16"/>
      <c r="BX972" s="16"/>
    </row>
    <row r="973">
      <c r="A973" s="16" t="s">
        <v>5718</v>
      </c>
      <c r="B973" s="16" t="s">
        <v>35</v>
      </c>
      <c r="C973" s="22">
        <v>45691.0</v>
      </c>
      <c r="D973" s="16" t="s">
        <v>460</v>
      </c>
      <c r="E973" s="16"/>
      <c r="F973" s="16" t="s">
        <v>5721</v>
      </c>
      <c r="G973" s="16" t="s">
        <v>1434</v>
      </c>
      <c r="H973" s="16">
        <v>1.0</v>
      </c>
      <c r="I973" s="23">
        <v>206.0</v>
      </c>
      <c r="J973" s="23">
        <v>206.0</v>
      </c>
      <c r="K973" s="16"/>
      <c r="L973" s="23"/>
      <c r="M973" s="23"/>
      <c r="N973" s="23"/>
      <c r="O973" s="16"/>
      <c r="P973" s="23"/>
      <c r="Q973" s="23"/>
      <c r="R973" s="23"/>
      <c r="S973" s="16"/>
      <c r="T973" s="23"/>
      <c r="U973" s="23"/>
      <c r="V973" s="23"/>
      <c r="W973" s="16"/>
      <c r="X973" s="23"/>
      <c r="Y973" s="23"/>
      <c r="Z973" s="23"/>
      <c r="AA973" s="16"/>
      <c r="AB973" s="23"/>
      <c r="AC973" s="23"/>
      <c r="AD973" s="23"/>
      <c r="AH973" s="23"/>
      <c r="AL973" s="23"/>
      <c r="AP973" s="23"/>
      <c r="AT973" s="23"/>
      <c r="AX973" s="23"/>
      <c r="BF973" s="23"/>
      <c r="BJ973" s="23"/>
      <c r="BN973" s="23"/>
      <c r="BO973" s="23">
        <v>206.0</v>
      </c>
      <c r="BP973" s="16"/>
      <c r="BQ973" s="16"/>
      <c r="BR973" s="23">
        <v>206.0</v>
      </c>
      <c r="BS973" s="16"/>
      <c r="BT973" s="16"/>
      <c r="BU973" s="16" t="s">
        <v>539</v>
      </c>
      <c r="BV973" s="16"/>
      <c r="BW973" s="16"/>
      <c r="BX973" s="16"/>
    </row>
    <row r="974">
      <c r="A974" s="16" t="s">
        <v>5725</v>
      </c>
      <c r="B974" s="16" t="s">
        <v>35</v>
      </c>
      <c r="C974" s="22">
        <v>45691.0</v>
      </c>
      <c r="D974" s="16" t="s">
        <v>460</v>
      </c>
      <c r="E974" s="16"/>
      <c r="F974" s="16" t="s">
        <v>5727</v>
      </c>
      <c r="G974" s="16" t="s">
        <v>6265</v>
      </c>
      <c r="H974" s="16">
        <v>1.0</v>
      </c>
      <c r="I974" s="23">
        <v>136.0</v>
      </c>
      <c r="J974" s="23">
        <v>136.0</v>
      </c>
      <c r="K974" s="16"/>
      <c r="L974" s="23"/>
      <c r="M974" s="23"/>
      <c r="N974" s="23"/>
      <c r="O974" s="16"/>
      <c r="P974" s="23"/>
      <c r="Q974" s="23"/>
      <c r="R974" s="23"/>
      <c r="S974" s="16"/>
      <c r="T974" s="23"/>
      <c r="U974" s="23"/>
      <c r="V974" s="23"/>
      <c r="W974" s="16"/>
      <c r="X974" s="23"/>
      <c r="Y974" s="23"/>
      <c r="Z974" s="23"/>
      <c r="AA974" s="16"/>
      <c r="AB974" s="23"/>
      <c r="AC974" s="23"/>
      <c r="AD974" s="23"/>
      <c r="AH974" s="23"/>
      <c r="AL974" s="23"/>
      <c r="AP974" s="23"/>
      <c r="AT974" s="23"/>
      <c r="AX974" s="23"/>
      <c r="BF974" s="23"/>
      <c r="BJ974" s="23"/>
      <c r="BN974" s="23"/>
      <c r="BO974" s="23">
        <v>136.0</v>
      </c>
      <c r="BP974" s="16"/>
      <c r="BQ974" s="16"/>
      <c r="BR974" s="23">
        <v>136.0</v>
      </c>
      <c r="BS974" s="16"/>
      <c r="BT974" s="16"/>
      <c r="BU974" s="16" t="s">
        <v>539</v>
      </c>
      <c r="BV974" s="16"/>
      <c r="BW974" s="16"/>
      <c r="BX974" s="16"/>
    </row>
    <row r="975">
      <c r="A975" s="16" t="s">
        <v>5731</v>
      </c>
      <c r="B975" s="16" t="s">
        <v>35</v>
      </c>
      <c r="C975" s="22">
        <v>45691.0</v>
      </c>
      <c r="D975" s="16" t="s">
        <v>460</v>
      </c>
      <c r="E975" s="16"/>
      <c r="F975" s="16" t="s">
        <v>5734</v>
      </c>
      <c r="G975" s="16" t="s">
        <v>6268</v>
      </c>
      <c r="H975" s="16">
        <v>1.0</v>
      </c>
      <c r="I975" s="23">
        <v>98.0</v>
      </c>
      <c r="J975" s="23">
        <v>98.0</v>
      </c>
      <c r="K975" s="16"/>
      <c r="L975" s="23"/>
      <c r="M975" s="23"/>
      <c r="N975" s="23"/>
      <c r="O975" s="16"/>
      <c r="P975" s="23"/>
      <c r="Q975" s="23"/>
      <c r="R975" s="23"/>
      <c r="S975" s="16"/>
      <c r="T975" s="23"/>
      <c r="U975" s="23"/>
      <c r="V975" s="23"/>
      <c r="W975" s="16"/>
      <c r="X975" s="23"/>
      <c r="Y975" s="23"/>
      <c r="Z975" s="23"/>
      <c r="AA975" s="16"/>
      <c r="AB975" s="23"/>
      <c r="AC975" s="23"/>
      <c r="AD975" s="23"/>
      <c r="AH975" s="23"/>
      <c r="AL975" s="23"/>
      <c r="AP975" s="23"/>
      <c r="AT975" s="23"/>
      <c r="AX975" s="23"/>
      <c r="BF975" s="23"/>
      <c r="BJ975" s="23"/>
      <c r="BN975" s="23"/>
      <c r="BO975" s="23">
        <v>98.0</v>
      </c>
      <c r="BP975" s="16"/>
      <c r="BQ975" s="16"/>
      <c r="BR975" s="23">
        <v>98.0</v>
      </c>
      <c r="BS975" s="16"/>
      <c r="BT975" s="16"/>
      <c r="BU975" s="16" t="s">
        <v>539</v>
      </c>
      <c r="BV975" s="16"/>
      <c r="BW975" s="16"/>
      <c r="BX975" s="16"/>
    </row>
    <row r="976">
      <c r="A976" s="16" t="s">
        <v>5737</v>
      </c>
      <c r="B976" s="16" t="s">
        <v>35</v>
      </c>
      <c r="C976" s="22">
        <v>45691.0</v>
      </c>
      <c r="D976" s="16" t="s">
        <v>460</v>
      </c>
      <c r="E976" s="16"/>
      <c r="F976" s="16" t="s">
        <v>5740</v>
      </c>
      <c r="G976" s="16" t="s">
        <v>6272</v>
      </c>
      <c r="H976" s="16">
        <v>1.0</v>
      </c>
      <c r="I976" s="23">
        <v>110.0</v>
      </c>
      <c r="J976" s="23">
        <v>110.0</v>
      </c>
      <c r="K976" s="16"/>
      <c r="L976" s="23"/>
      <c r="M976" s="23"/>
      <c r="N976" s="23"/>
      <c r="O976" s="16"/>
      <c r="P976" s="23"/>
      <c r="Q976" s="23"/>
      <c r="R976" s="23"/>
      <c r="S976" s="16"/>
      <c r="T976" s="23"/>
      <c r="U976" s="23"/>
      <c r="V976" s="23"/>
      <c r="W976" s="16"/>
      <c r="X976" s="23"/>
      <c r="Y976" s="23"/>
      <c r="Z976" s="23"/>
      <c r="AA976" s="16"/>
      <c r="AB976" s="23"/>
      <c r="AC976" s="23"/>
      <c r="AD976" s="23"/>
      <c r="AH976" s="23"/>
      <c r="AL976" s="23"/>
      <c r="AP976" s="23"/>
      <c r="AT976" s="23"/>
      <c r="AX976" s="23"/>
      <c r="BF976" s="23"/>
      <c r="BJ976" s="23"/>
      <c r="BN976" s="23"/>
      <c r="BO976" s="23">
        <v>110.0</v>
      </c>
      <c r="BP976" s="16"/>
      <c r="BQ976" s="16"/>
      <c r="BR976" s="23">
        <v>110.0</v>
      </c>
      <c r="BS976" s="16"/>
      <c r="BT976" s="16"/>
      <c r="BU976" s="16" t="s">
        <v>539</v>
      </c>
      <c r="BV976" s="16"/>
      <c r="BW976" s="16"/>
      <c r="BX976" s="16"/>
    </row>
    <row r="977">
      <c r="A977" s="16" t="s">
        <v>5743</v>
      </c>
      <c r="B977" s="16" t="s">
        <v>35</v>
      </c>
      <c r="C977" s="22">
        <v>45691.0</v>
      </c>
      <c r="D977" s="16" t="s">
        <v>460</v>
      </c>
      <c r="E977" s="16"/>
      <c r="F977" s="16" t="s">
        <v>5746</v>
      </c>
      <c r="G977" s="16" t="s">
        <v>6274</v>
      </c>
      <c r="H977" s="16">
        <v>1.0</v>
      </c>
      <c r="I977" s="23">
        <v>477.0</v>
      </c>
      <c r="J977" s="23">
        <v>477.0</v>
      </c>
      <c r="K977" s="16"/>
      <c r="L977" s="23"/>
      <c r="M977" s="23"/>
      <c r="N977" s="23"/>
      <c r="O977" s="16"/>
      <c r="P977" s="23"/>
      <c r="Q977" s="23"/>
      <c r="R977" s="23"/>
      <c r="S977" s="16"/>
      <c r="T977" s="23"/>
      <c r="U977" s="23"/>
      <c r="V977" s="23"/>
      <c r="W977" s="16"/>
      <c r="X977" s="23"/>
      <c r="Y977" s="23"/>
      <c r="Z977" s="23"/>
      <c r="AA977" s="16"/>
      <c r="AB977" s="23"/>
      <c r="AC977" s="23"/>
      <c r="AD977" s="23"/>
      <c r="AH977" s="23"/>
      <c r="AL977" s="23"/>
      <c r="AP977" s="23"/>
      <c r="AT977" s="23"/>
      <c r="AX977" s="23"/>
      <c r="BF977" s="23"/>
      <c r="BJ977" s="23"/>
      <c r="BN977" s="23"/>
      <c r="BO977" s="23">
        <v>477.0</v>
      </c>
      <c r="BP977" s="16"/>
      <c r="BQ977" s="16"/>
      <c r="BR977" s="23">
        <v>477.0</v>
      </c>
      <c r="BS977" s="16"/>
      <c r="BT977" s="16"/>
      <c r="BU977" s="16" t="s">
        <v>539</v>
      </c>
      <c r="BV977" s="16"/>
      <c r="BW977" s="16"/>
      <c r="BX977" s="16"/>
    </row>
    <row r="978">
      <c r="A978" s="16" t="s">
        <v>5750</v>
      </c>
      <c r="B978" s="16" t="s">
        <v>35</v>
      </c>
      <c r="C978" s="22">
        <v>45677.0</v>
      </c>
      <c r="D978" s="16" t="s">
        <v>3155</v>
      </c>
      <c r="E978" s="16" t="s">
        <v>5752</v>
      </c>
      <c r="F978" s="16" t="s">
        <v>5755</v>
      </c>
      <c r="G978" s="16" t="s">
        <v>1668</v>
      </c>
      <c r="H978" s="16">
        <v>1.0</v>
      </c>
      <c r="I978" s="23">
        <v>114.46</v>
      </c>
      <c r="J978" s="23">
        <v>114.46</v>
      </c>
      <c r="K978" s="16"/>
      <c r="L978" s="23"/>
      <c r="M978" s="23"/>
      <c r="N978" s="23">
        <v>0.0</v>
      </c>
      <c r="O978" s="16"/>
      <c r="P978" s="23"/>
      <c r="Q978" s="23"/>
      <c r="R978" s="23">
        <v>0.0</v>
      </c>
      <c r="S978" s="16"/>
      <c r="T978" s="23"/>
      <c r="U978" s="23"/>
      <c r="V978" s="23">
        <v>0.0</v>
      </c>
      <c r="W978" s="16"/>
      <c r="X978" s="23"/>
      <c r="Y978" s="23"/>
      <c r="Z978" s="23">
        <v>0.0</v>
      </c>
      <c r="AA978" s="16"/>
      <c r="AB978" s="23"/>
      <c r="AC978" s="23"/>
      <c r="AD978" s="23">
        <v>0.0</v>
      </c>
      <c r="AH978" s="23">
        <v>0.0</v>
      </c>
      <c r="AL978" s="23">
        <v>0.0</v>
      </c>
      <c r="AP978" s="23">
        <v>0.0</v>
      </c>
      <c r="AT978" s="23">
        <v>0.0</v>
      </c>
      <c r="AX978" s="23">
        <v>0.0</v>
      </c>
      <c r="BF978" s="23">
        <v>0.0</v>
      </c>
      <c r="BJ978" s="23">
        <v>0.0</v>
      </c>
      <c r="BN978" s="23">
        <v>0.0</v>
      </c>
      <c r="BO978" s="23">
        <v>114.46</v>
      </c>
      <c r="BP978" s="16" t="s">
        <v>5754</v>
      </c>
      <c r="BQ978" s="16" t="b">
        <v>1</v>
      </c>
      <c r="BR978" s="23">
        <v>114.46</v>
      </c>
      <c r="BS978" s="16"/>
      <c r="BT978" s="16" t="b">
        <v>0</v>
      </c>
      <c r="BU978" s="16" t="s">
        <v>546</v>
      </c>
      <c r="BV978" s="16"/>
      <c r="BW978" s="16"/>
      <c r="BX978" s="16"/>
    </row>
    <row r="979">
      <c r="A979" s="16" t="s">
        <v>5759</v>
      </c>
      <c r="B979" s="16" t="s">
        <v>35</v>
      </c>
      <c r="C979" s="22">
        <v>45685.0</v>
      </c>
      <c r="D979" s="16" t="s">
        <v>112</v>
      </c>
      <c r="E979" s="16" t="s">
        <v>5761</v>
      </c>
      <c r="F979" s="16" t="s">
        <v>157</v>
      </c>
      <c r="G979" s="16" t="s">
        <v>159</v>
      </c>
      <c r="H979" s="16">
        <v>1.0</v>
      </c>
      <c r="I979" s="23">
        <v>168.0</v>
      </c>
      <c r="J979" s="23">
        <v>168.0</v>
      </c>
      <c r="K979" s="16" t="s">
        <v>155</v>
      </c>
      <c r="L979" s="23">
        <v>1.0</v>
      </c>
      <c r="M979" s="23">
        <v>43.47</v>
      </c>
      <c r="N979" s="23">
        <v>43.47</v>
      </c>
      <c r="O979" s="16" t="s">
        <v>152</v>
      </c>
      <c r="P979" s="23">
        <v>1.0</v>
      </c>
      <c r="Q979" s="23">
        <v>12.84</v>
      </c>
      <c r="R979" s="23">
        <v>12.84</v>
      </c>
      <c r="S979" s="16" t="s">
        <v>226</v>
      </c>
      <c r="T979" s="23">
        <v>1.0</v>
      </c>
      <c r="U979" s="23">
        <v>50.0</v>
      </c>
      <c r="V979" s="23">
        <v>50.0</v>
      </c>
      <c r="W979" s="16"/>
      <c r="X979" s="23"/>
      <c r="Y979" s="23"/>
      <c r="Z979" s="23">
        <v>0.0</v>
      </c>
      <c r="AA979" s="16"/>
      <c r="AB979" s="23"/>
      <c r="AC979" s="23"/>
      <c r="AD979" s="23">
        <v>0.0</v>
      </c>
      <c r="AH979" s="23">
        <v>0.0</v>
      </c>
      <c r="AL979" s="23">
        <v>0.0</v>
      </c>
      <c r="AP979" s="23">
        <v>0.0</v>
      </c>
      <c r="AT979" s="23">
        <v>0.0</v>
      </c>
      <c r="AX979" s="23">
        <v>0.0</v>
      </c>
      <c r="BF979" s="23">
        <v>0.0</v>
      </c>
      <c r="BJ979" s="23">
        <v>0.0</v>
      </c>
      <c r="BN979" s="23">
        <v>0.0</v>
      </c>
      <c r="BO979" s="23">
        <v>274.31</v>
      </c>
      <c r="BP979" s="16" t="s">
        <v>5762</v>
      </c>
      <c r="BQ979" s="16" t="b">
        <v>1</v>
      </c>
      <c r="BR979" s="23">
        <v>274.31</v>
      </c>
      <c r="BS979" s="16"/>
      <c r="BT979" s="16" t="b">
        <v>0</v>
      </c>
      <c r="BU979" s="16" t="s">
        <v>546</v>
      </c>
      <c r="BV979" s="16"/>
      <c r="BW979" s="16"/>
      <c r="BX979" s="16"/>
    </row>
    <row r="980">
      <c r="A980" s="16" t="s">
        <v>5766</v>
      </c>
      <c r="B980" s="16" t="s">
        <v>35</v>
      </c>
      <c r="C980" s="22">
        <v>45687.0</v>
      </c>
      <c r="D980" s="16" t="s">
        <v>112</v>
      </c>
      <c r="E980" s="16" t="s">
        <v>5768</v>
      </c>
      <c r="F980" s="16" t="s">
        <v>157</v>
      </c>
      <c r="G980" s="16" t="s">
        <v>159</v>
      </c>
      <c r="H980" s="16">
        <v>1.0</v>
      </c>
      <c r="I980" s="23">
        <v>280.0</v>
      </c>
      <c r="J980" s="23">
        <v>280.0</v>
      </c>
      <c r="K980" s="16" t="s">
        <v>155</v>
      </c>
      <c r="L980" s="23">
        <v>1.0</v>
      </c>
      <c r="M980" s="23">
        <v>47.25</v>
      </c>
      <c r="N980" s="23">
        <v>47.25</v>
      </c>
      <c r="O980" s="16" t="s">
        <v>226</v>
      </c>
      <c r="P980" s="23">
        <v>1.0</v>
      </c>
      <c r="Q980" s="23">
        <v>100.0</v>
      </c>
      <c r="R980" s="23">
        <v>100.0</v>
      </c>
      <c r="S980" s="16" t="s">
        <v>152</v>
      </c>
      <c r="T980" s="23">
        <v>1.0</v>
      </c>
      <c r="U980" s="23">
        <v>11.6</v>
      </c>
      <c r="V980" s="23">
        <v>11.6</v>
      </c>
      <c r="W980" s="16"/>
      <c r="X980" s="23"/>
      <c r="Y980" s="23"/>
      <c r="Z980" s="23">
        <v>0.0</v>
      </c>
      <c r="AA980" s="16"/>
      <c r="AB980" s="23"/>
      <c r="AC980" s="23"/>
      <c r="AD980" s="23">
        <v>0.0</v>
      </c>
      <c r="AH980" s="23">
        <v>0.0</v>
      </c>
      <c r="AL980" s="23">
        <v>0.0</v>
      </c>
      <c r="AP980" s="23">
        <v>0.0</v>
      </c>
      <c r="AT980" s="23">
        <v>0.0</v>
      </c>
      <c r="AX980" s="23">
        <v>0.0</v>
      </c>
      <c r="BF980" s="23">
        <v>0.0</v>
      </c>
      <c r="BJ980" s="23">
        <v>0.0</v>
      </c>
      <c r="BN980" s="23">
        <v>0.0</v>
      </c>
      <c r="BO980" s="23">
        <v>438.85</v>
      </c>
      <c r="BP980" s="16" t="s">
        <v>5771</v>
      </c>
      <c r="BQ980" s="16" t="b">
        <v>1</v>
      </c>
      <c r="BR980" s="23">
        <v>438.85</v>
      </c>
      <c r="BS980" s="16"/>
      <c r="BT980" s="16" t="b">
        <v>0</v>
      </c>
      <c r="BU980" s="16" t="s">
        <v>546</v>
      </c>
      <c r="BV980" s="16"/>
      <c r="BW980" s="16"/>
      <c r="BX980" s="16"/>
    </row>
    <row r="981">
      <c r="A981" s="16" t="s">
        <v>5775</v>
      </c>
      <c r="B981" s="16" t="s">
        <v>35</v>
      </c>
      <c r="C981" s="22">
        <v>45687.0</v>
      </c>
      <c r="D981" s="16" t="s">
        <v>764</v>
      </c>
      <c r="E981" s="16" t="s">
        <v>5778</v>
      </c>
      <c r="F981" s="16" t="s">
        <v>195</v>
      </c>
      <c r="G981" s="16" t="s">
        <v>1384</v>
      </c>
      <c r="H981" s="16">
        <v>1.0</v>
      </c>
      <c r="I981" s="23">
        <v>17.5</v>
      </c>
      <c r="J981" s="23">
        <v>17.5</v>
      </c>
      <c r="K981" s="16" t="s">
        <v>1077</v>
      </c>
      <c r="L981" s="23">
        <v>3.0</v>
      </c>
      <c r="M981" s="23">
        <v>24.0</v>
      </c>
      <c r="N981" s="23">
        <v>72.0</v>
      </c>
      <c r="O981" s="16" t="s">
        <v>1081</v>
      </c>
      <c r="P981" s="23">
        <v>2.0</v>
      </c>
      <c r="Q981" s="23">
        <v>45.0</v>
      </c>
      <c r="R981" s="23">
        <v>90.0</v>
      </c>
      <c r="S981" s="16"/>
      <c r="T981" s="23"/>
      <c r="U981" s="23"/>
      <c r="V981" s="23">
        <v>0.0</v>
      </c>
      <c r="W981" s="16"/>
      <c r="X981" s="23"/>
      <c r="Y981" s="23"/>
      <c r="Z981" s="23">
        <v>0.0</v>
      </c>
      <c r="AA981" s="16"/>
      <c r="AB981" s="23"/>
      <c r="AC981" s="23"/>
      <c r="AD981" s="23">
        <v>0.0</v>
      </c>
      <c r="AH981" s="23">
        <v>0.0</v>
      </c>
      <c r="AL981" s="23">
        <v>0.0</v>
      </c>
      <c r="AP981" s="23">
        <v>0.0</v>
      </c>
      <c r="AT981" s="23">
        <v>0.0</v>
      </c>
      <c r="AX981" s="23">
        <v>0.0</v>
      </c>
      <c r="BF981" s="23">
        <v>0.0</v>
      </c>
      <c r="BJ981" s="23">
        <v>0.0</v>
      </c>
      <c r="BN981" s="23">
        <v>0.0</v>
      </c>
      <c r="BO981" s="23">
        <v>179.5</v>
      </c>
      <c r="BP981" s="16" t="s">
        <v>5780</v>
      </c>
      <c r="BQ981" s="16" t="b">
        <v>1</v>
      </c>
      <c r="BR981" s="23">
        <v>179.5</v>
      </c>
      <c r="BS981" s="16"/>
      <c r="BT981" s="16" t="b">
        <v>0</v>
      </c>
      <c r="BU981" s="16" t="s">
        <v>546</v>
      </c>
      <c r="BV981" s="16"/>
      <c r="BW981" s="16"/>
      <c r="BX981" s="16"/>
    </row>
    <row r="982">
      <c r="A982" s="16" t="s">
        <v>5784</v>
      </c>
      <c r="B982" s="16" t="s">
        <v>35</v>
      </c>
      <c r="C982" s="22">
        <v>45688.0</v>
      </c>
      <c r="D982" s="16" t="s">
        <v>2613</v>
      </c>
      <c r="E982" s="16" t="s">
        <v>5786</v>
      </c>
      <c r="F982" s="16" t="s">
        <v>319</v>
      </c>
      <c r="G982" s="16" t="s">
        <v>981</v>
      </c>
      <c r="H982" s="16">
        <v>6.0</v>
      </c>
      <c r="I982" s="23">
        <v>4.98</v>
      </c>
      <c r="J982" s="23">
        <v>29.88</v>
      </c>
      <c r="K982" s="16" t="s">
        <v>238</v>
      </c>
      <c r="L982" s="23">
        <v>1.0</v>
      </c>
      <c r="M982" s="23">
        <v>168.8</v>
      </c>
      <c r="N982" s="23">
        <v>168.8</v>
      </c>
      <c r="O982" s="16" t="s">
        <v>243</v>
      </c>
      <c r="P982" s="23">
        <v>6.0</v>
      </c>
      <c r="Q982" s="23">
        <v>7.2</v>
      </c>
      <c r="R982" s="23">
        <v>43.2</v>
      </c>
      <c r="S982" s="16"/>
      <c r="T982" s="23"/>
      <c r="U982" s="23"/>
      <c r="V982" s="23">
        <v>0.0</v>
      </c>
      <c r="W982" s="16"/>
      <c r="X982" s="23"/>
      <c r="Y982" s="23"/>
      <c r="Z982" s="23">
        <v>0.0</v>
      </c>
      <c r="AA982" s="16"/>
      <c r="AB982" s="23"/>
      <c r="AC982" s="23"/>
      <c r="AD982" s="23">
        <v>0.0</v>
      </c>
      <c r="AH982" s="23">
        <v>0.0</v>
      </c>
      <c r="AL982" s="23">
        <v>0.0</v>
      </c>
      <c r="AP982" s="23">
        <v>0.0</v>
      </c>
      <c r="AT982" s="23">
        <v>0.0</v>
      </c>
      <c r="AX982" s="23">
        <v>0.0</v>
      </c>
      <c r="BF982" s="23">
        <v>0.0</v>
      </c>
      <c r="BJ982" s="23">
        <v>0.0</v>
      </c>
      <c r="BN982" s="23">
        <v>0.0</v>
      </c>
      <c r="BO982" s="23">
        <v>241.88</v>
      </c>
      <c r="BP982" s="16" t="s">
        <v>5787</v>
      </c>
      <c r="BQ982" s="16" t="b">
        <v>1</v>
      </c>
      <c r="BR982" s="23">
        <v>241.88</v>
      </c>
      <c r="BS982" s="16">
        <v>1291406.0</v>
      </c>
      <c r="BT982" s="16" t="b">
        <v>1</v>
      </c>
      <c r="BU982" s="16" t="s">
        <v>546</v>
      </c>
      <c r="BV982" s="16"/>
      <c r="BW982" s="16"/>
      <c r="BX982" s="16"/>
    </row>
    <row r="983">
      <c r="A983" s="16" t="s">
        <v>5792</v>
      </c>
      <c r="B983" s="16" t="s">
        <v>35</v>
      </c>
      <c r="C983" s="22">
        <v>45688.0</v>
      </c>
      <c r="D983" s="16" t="s">
        <v>233</v>
      </c>
      <c r="E983" s="16" t="s">
        <v>5795</v>
      </c>
      <c r="F983" s="16" t="s">
        <v>5798</v>
      </c>
      <c r="G983" s="16" t="s">
        <v>1197</v>
      </c>
      <c r="H983" s="16">
        <v>1.0</v>
      </c>
      <c r="I983" s="23">
        <v>35.88</v>
      </c>
      <c r="J983" s="23">
        <v>35.88</v>
      </c>
      <c r="K983" s="16" t="s">
        <v>1683</v>
      </c>
      <c r="L983" s="23">
        <v>1.0</v>
      </c>
      <c r="M983" s="23">
        <v>35.79</v>
      </c>
      <c r="N983" s="23">
        <v>35.79</v>
      </c>
      <c r="O983" s="16" t="s">
        <v>305</v>
      </c>
      <c r="P983" s="23">
        <v>1.0</v>
      </c>
      <c r="Q983" s="23">
        <v>149.19</v>
      </c>
      <c r="R983" s="23">
        <v>149.19</v>
      </c>
      <c r="S983" s="16"/>
      <c r="T983" s="23"/>
      <c r="U983" s="23"/>
      <c r="V983" s="23">
        <v>0.0</v>
      </c>
      <c r="W983" s="16"/>
      <c r="X983" s="23"/>
      <c r="Y983" s="23"/>
      <c r="Z983" s="23">
        <v>0.0</v>
      </c>
      <c r="AA983" s="16"/>
      <c r="AB983" s="23"/>
      <c r="AC983" s="23"/>
      <c r="AD983" s="23">
        <v>0.0</v>
      </c>
      <c r="AH983" s="23">
        <v>0.0</v>
      </c>
      <c r="AL983" s="23">
        <v>0.0</v>
      </c>
      <c r="AP983" s="23">
        <v>0.0</v>
      </c>
      <c r="AT983" s="23">
        <v>0.0</v>
      </c>
      <c r="AX983" s="23">
        <v>0.0</v>
      </c>
      <c r="BF983" s="23">
        <v>0.0</v>
      </c>
      <c r="BJ983" s="23">
        <v>0.0</v>
      </c>
      <c r="BN983" s="23">
        <v>0.0</v>
      </c>
      <c r="BO983" s="23">
        <v>220.86</v>
      </c>
      <c r="BP983" s="16" t="s">
        <v>5796</v>
      </c>
      <c r="BQ983" s="16" t="b">
        <v>1</v>
      </c>
      <c r="BR983" s="23">
        <v>220.86</v>
      </c>
      <c r="BS983" s="16" t="s">
        <v>5497</v>
      </c>
      <c r="BT983" s="16" t="b">
        <v>1</v>
      </c>
      <c r="BU983" s="16" t="s">
        <v>546</v>
      </c>
      <c r="BV983" s="16"/>
      <c r="BW983" s="16"/>
      <c r="BX983" s="16"/>
    </row>
    <row r="984">
      <c r="A984" s="16">
        <v>4.7464915E7</v>
      </c>
      <c r="B984" s="16" t="s">
        <v>35</v>
      </c>
      <c r="C984" s="22">
        <v>45688.0</v>
      </c>
      <c r="D984" s="16" t="s">
        <v>543</v>
      </c>
      <c r="E984" s="16" t="s">
        <v>5803</v>
      </c>
      <c r="F984" s="16" t="s">
        <v>171</v>
      </c>
      <c r="G984" s="16">
        <v>1.2539885E7</v>
      </c>
      <c r="H984" s="16">
        <v>1.0</v>
      </c>
      <c r="I984" s="23">
        <v>500.0</v>
      </c>
      <c r="J984" s="23">
        <v>500.0</v>
      </c>
      <c r="K984" s="16"/>
      <c r="L984" s="23"/>
      <c r="M984" s="23"/>
      <c r="N984" s="23">
        <v>0.0</v>
      </c>
      <c r="O984" s="16"/>
      <c r="P984" s="23"/>
      <c r="Q984" s="23"/>
      <c r="R984" s="23">
        <v>0.0</v>
      </c>
      <c r="S984" s="16"/>
      <c r="T984" s="23"/>
      <c r="U984" s="23"/>
      <c r="V984" s="23">
        <v>0.0</v>
      </c>
      <c r="W984" s="16"/>
      <c r="X984" s="23"/>
      <c r="Y984" s="23"/>
      <c r="Z984" s="23">
        <v>0.0</v>
      </c>
      <c r="AA984" s="16"/>
      <c r="AB984" s="23"/>
      <c r="AC984" s="23"/>
      <c r="AD984" s="23">
        <v>0.0</v>
      </c>
      <c r="AH984" s="23">
        <v>0.0</v>
      </c>
      <c r="AL984" s="23">
        <v>0.0</v>
      </c>
      <c r="AP984" s="23">
        <v>0.0</v>
      </c>
      <c r="AT984" s="23">
        <v>0.0</v>
      </c>
      <c r="AX984" s="23">
        <v>0.0</v>
      </c>
      <c r="BF984" s="23">
        <v>0.0</v>
      </c>
      <c r="BJ984" s="23">
        <v>0.0</v>
      </c>
      <c r="BN984" s="23">
        <v>0.0</v>
      </c>
      <c r="BO984" s="23">
        <v>500.0</v>
      </c>
      <c r="BP984" s="16" t="s">
        <v>5804</v>
      </c>
      <c r="BQ984" s="16" t="b">
        <v>1</v>
      </c>
      <c r="BR984" s="23">
        <v>500.0</v>
      </c>
      <c r="BS984" s="16"/>
      <c r="BT984" s="16" t="b">
        <v>0</v>
      </c>
      <c r="BU984" s="16" t="s">
        <v>546</v>
      </c>
      <c r="BV984" s="16"/>
      <c r="BW984" s="16"/>
      <c r="BX984" s="16"/>
    </row>
    <row r="985">
      <c r="A985" s="16" t="s">
        <v>5810</v>
      </c>
      <c r="B985" s="16" t="s">
        <v>35</v>
      </c>
      <c r="C985" s="22">
        <v>45689.0</v>
      </c>
      <c r="D985" s="16">
        <v>8.627274E7</v>
      </c>
      <c r="E985" s="16" t="s">
        <v>5813</v>
      </c>
      <c r="F985" s="16" t="s">
        <v>5815</v>
      </c>
      <c r="G985" s="16" t="s">
        <v>6306</v>
      </c>
      <c r="H985" s="16">
        <v>1.0</v>
      </c>
      <c r="I985" s="23">
        <v>89.95</v>
      </c>
      <c r="J985" s="23">
        <v>89.95</v>
      </c>
      <c r="K985" s="16"/>
      <c r="L985" s="23"/>
      <c r="M985" s="23"/>
      <c r="N985" s="23">
        <v>0.0</v>
      </c>
      <c r="O985" s="16"/>
      <c r="P985" s="23"/>
      <c r="Q985" s="23"/>
      <c r="R985" s="23">
        <v>0.0</v>
      </c>
      <c r="S985" s="16"/>
      <c r="T985" s="23"/>
      <c r="U985" s="23"/>
      <c r="V985" s="23">
        <v>0.0</v>
      </c>
      <c r="W985" s="16"/>
      <c r="X985" s="23"/>
      <c r="Y985" s="23"/>
      <c r="Z985" s="23">
        <v>0.0</v>
      </c>
      <c r="AA985" s="16"/>
      <c r="AB985" s="23"/>
      <c r="AC985" s="23"/>
      <c r="AD985" s="23">
        <v>0.0</v>
      </c>
      <c r="AH985" s="23">
        <v>0.0</v>
      </c>
      <c r="AL985" s="23">
        <v>0.0</v>
      </c>
      <c r="AP985" s="23">
        <v>0.0</v>
      </c>
      <c r="AT985" s="23">
        <v>0.0</v>
      </c>
      <c r="AX985" s="23">
        <v>0.0</v>
      </c>
      <c r="BF985" s="23">
        <v>0.0</v>
      </c>
      <c r="BJ985" s="23">
        <v>0.0</v>
      </c>
      <c r="BN985" s="23">
        <v>0.0</v>
      </c>
      <c r="BO985" s="23">
        <v>89.95</v>
      </c>
      <c r="BP985" s="16" t="s">
        <v>5814</v>
      </c>
      <c r="BQ985" s="16" t="b">
        <v>1</v>
      </c>
      <c r="BR985" s="23">
        <v>89.95</v>
      </c>
      <c r="BS985" s="16">
        <v>1293444.0</v>
      </c>
      <c r="BT985" s="16" t="b">
        <v>1</v>
      </c>
      <c r="BU985" s="16" t="s">
        <v>546</v>
      </c>
      <c r="BV985" s="16"/>
      <c r="BW985" s="16"/>
      <c r="BX985" s="16"/>
    </row>
    <row r="986">
      <c r="A986" s="16" t="s">
        <v>5818</v>
      </c>
      <c r="B986" s="16" t="s">
        <v>35</v>
      </c>
      <c r="C986" s="22">
        <v>45689.0</v>
      </c>
      <c r="D986" s="16" t="s">
        <v>112</v>
      </c>
      <c r="E986" s="16" t="s">
        <v>5820</v>
      </c>
      <c r="F986" s="16" t="s">
        <v>157</v>
      </c>
      <c r="G986" s="16" t="s">
        <v>159</v>
      </c>
      <c r="H986" s="16">
        <v>1.0</v>
      </c>
      <c r="I986" s="23">
        <v>140.0</v>
      </c>
      <c r="J986" s="23">
        <v>140.0</v>
      </c>
      <c r="K986" s="16" t="s">
        <v>155</v>
      </c>
      <c r="L986" s="23">
        <v>1.0</v>
      </c>
      <c r="M986" s="23">
        <v>32.13</v>
      </c>
      <c r="N986" s="23">
        <v>32.13</v>
      </c>
      <c r="O986" s="16" t="s">
        <v>152</v>
      </c>
      <c r="P986" s="23">
        <v>1.0</v>
      </c>
      <c r="Q986" s="23">
        <v>16.34</v>
      </c>
      <c r="R986" s="23">
        <v>16.34</v>
      </c>
      <c r="S986" s="16"/>
      <c r="T986" s="23"/>
      <c r="U986" s="23"/>
      <c r="V986" s="23">
        <v>0.0</v>
      </c>
      <c r="W986" s="16"/>
      <c r="X986" s="23"/>
      <c r="Y986" s="23"/>
      <c r="Z986" s="23">
        <v>0.0</v>
      </c>
      <c r="AA986" s="16"/>
      <c r="AB986" s="23"/>
      <c r="AC986" s="23"/>
      <c r="AD986" s="23">
        <v>0.0</v>
      </c>
      <c r="AH986" s="23">
        <v>0.0</v>
      </c>
      <c r="AL986" s="23">
        <v>0.0</v>
      </c>
      <c r="AP986" s="23">
        <v>0.0</v>
      </c>
      <c r="AT986" s="23">
        <v>0.0</v>
      </c>
      <c r="AX986" s="23">
        <v>0.0</v>
      </c>
      <c r="BF986" s="23">
        <v>0.0</v>
      </c>
      <c r="BJ986" s="23">
        <v>0.0</v>
      </c>
      <c r="BN986" s="23">
        <v>0.0</v>
      </c>
      <c r="BO986" s="23">
        <v>188.47</v>
      </c>
      <c r="BP986" s="16" t="s">
        <v>5822</v>
      </c>
      <c r="BQ986" s="16" t="b">
        <v>1</v>
      </c>
      <c r="BR986" s="23">
        <v>188.47</v>
      </c>
      <c r="BS986" s="16"/>
      <c r="BT986" s="16" t="b">
        <v>0</v>
      </c>
      <c r="BU986" s="16" t="s">
        <v>546</v>
      </c>
      <c r="BV986" s="16"/>
      <c r="BW986" s="16"/>
      <c r="BX986" s="16"/>
    </row>
    <row r="987">
      <c r="A987" s="16" t="s">
        <v>5825</v>
      </c>
      <c r="B987" s="16" t="s">
        <v>35</v>
      </c>
      <c r="C987" s="22">
        <v>45689.0</v>
      </c>
      <c r="D987" s="16" t="s">
        <v>4029</v>
      </c>
      <c r="E987" s="16" t="s">
        <v>5827</v>
      </c>
      <c r="F987" s="16" t="s">
        <v>5830</v>
      </c>
      <c r="G987" s="16" t="s">
        <v>2622</v>
      </c>
      <c r="H987" s="16">
        <v>1.0</v>
      </c>
      <c r="I987" s="23">
        <v>31.0</v>
      </c>
      <c r="J987" s="23">
        <v>31.0</v>
      </c>
      <c r="K987" s="16"/>
      <c r="L987" s="23"/>
      <c r="M987" s="23"/>
      <c r="N987" s="23">
        <v>0.0</v>
      </c>
      <c r="O987" s="16"/>
      <c r="P987" s="23"/>
      <c r="Q987" s="23"/>
      <c r="R987" s="23">
        <v>0.0</v>
      </c>
      <c r="S987" s="16"/>
      <c r="T987" s="23"/>
      <c r="U987" s="23"/>
      <c r="V987" s="23">
        <v>0.0</v>
      </c>
      <c r="W987" s="16"/>
      <c r="X987" s="23"/>
      <c r="Y987" s="23"/>
      <c r="Z987" s="23">
        <v>0.0</v>
      </c>
      <c r="AA987" s="16"/>
      <c r="AB987" s="23"/>
      <c r="AC987" s="23"/>
      <c r="AD987" s="23">
        <v>0.0</v>
      </c>
      <c r="AH987" s="23">
        <v>0.0</v>
      </c>
      <c r="AL987" s="23">
        <v>0.0</v>
      </c>
      <c r="AP987" s="23">
        <v>0.0</v>
      </c>
      <c r="AT987" s="23">
        <v>0.0</v>
      </c>
      <c r="AX987" s="23">
        <v>0.0</v>
      </c>
      <c r="BF987" s="23">
        <v>0.0</v>
      </c>
      <c r="BJ987" s="23">
        <v>0.0</v>
      </c>
      <c r="BN987" s="23">
        <v>0.0</v>
      </c>
      <c r="BO987" s="23">
        <v>31.0</v>
      </c>
      <c r="BP987" s="16" t="s">
        <v>5828</v>
      </c>
      <c r="BQ987" s="16" t="b">
        <v>1</v>
      </c>
      <c r="BR987" s="23">
        <v>31.0</v>
      </c>
      <c r="BS987" s="16">
        <v>1291798.0</v>
      </c>
      <c r="BT987" s="16" t="b">
        <v>1</v>
      </c>
      <c r="BU987" s="16" t="s">
        <v>546</v>
      </c>
      <c r="BV987" s="16"/>
      <c r="BW987" s="16"/>
      <c r="BX987" s="16"/>
    </row>
    <row r="988">
      <c r="A988" s="16" t="s">
        <v>5832</v>
      </c>
      <c r="B988" s="16" t="s">
        <v>35</v>
      </c>
      <c r="C988" s="22">
        <v>45691.0</v>
      </c>
      <c r="D988" s="16" t="s">
        <v>543</v>
      </c>
      <c r="E988" s="16" t="s">
        <v>5834</v>
      </c>
      <c r="F988" s="16" t="s">
        <v>171</v>
      </c>
      <c r="G988" s="16">
        <v>1.2539885E7</v>
      </c>
      <c r="H988" s="16">
        <v>1.0</v>
      </c>
      <c r="I988" s="23">
        <v>500.0</v>
      </c>
      <c r="J988" s="23">
        <v>500.0</v>
      </c>
      <c r="K988" s="16"/>
      <c r="L988" s="23"/>
      <c r="M988" s="23"/>
      <c r="N988" s="23">
        <v>0.0</v>
      </c>
      <c r="O988" s="16"/>
      <c r="P988" s="23"/>
      <c r="Q988" s="23"/>
      <c r="R988" s="23">
        <v>0.0</v>
      </c>
      <c r="S988" s="16"/>
      <c r="T988" s="23"/>
      <c r="U988" s="23"/>
      <c r="V988" s="23">
        <v>0.0</v>
      </c>
      <c r="W988" s="16"/>
      <c r="X988" s="23"/>
      <c r="Y988" s="23"/>
      <c r="Z988" s="23">
        <v>0.0</v>
      </c>
      <c r="AA988" s="16"/>
      <c r="AB988" s="23"/>
      <c r="AC988" s="23"/>
      <c r="AD988" s="23">
        <v>0.0</v>
      </c>
      <c r="AH988" s="23">
        <v>0.0</v>
      </c>
      <c r="AL988" s="23">
        <v>0.0</v>
      </c>
      <c r="AP988" s="23">
        <v>0.0</v>
      </c>
      <c r="AT988" s="23">
        <v>0.0</v>
      </c>
      <c r="AX988" s="23">
        <v>0.0</v>
      </c>
      <c r="BF988" s="23">
        <v>0.0</v>
      </c>
      <c r="BJ988" s="23">
        <v>0.0</v>
      </c>
      <c r="BN988" s="23">
        <v>0.0</v>
      </c>
      <c r="BO988" s="23">
        <v>500.0</v>
      </c>
      <c r="BP988" s="16" t="s">
        <v>5835</v>
      </c>
      <c r="BQ988" s="16" t="b">
        <v>1</v>
      </c>
      <c r="BR988" s="23">
        <v>500.0</v>
      </c>
      <c r="BS988" s="16"/>
      <c r="BT988" s="16" t="b">
        <v>0</v>
      </c>
      <c r="BU988" s="16" t="s">
        <v>546</v>
      </c>
      <c r="BV988" s="16"/>
      <c r="BW988" s="16"/>
      <c r="BX988" s="16"/>
    </row>
    <row r="989">
      <c r="A989" s="16" t="s">
        <v>5838</v>
      </c>
      <c r="B989" s="16" t="s">
        <v>35</v>
      </c>
      <c r="C989" s="22">
        <v>45691.0</v>
      </c>
      <c r="D989" s="16" t="s">
        <v>1414</v>
      </c>
      <c r="E989" s="16" t="s">
        <v>5840</v>
      </c>
      <c r="F989" s="16" t="s">
        <v>5843</v>
      </c>
      <c r="G989" s="16" t="s">
        <v>1757</v>
      </c>
      <c r="H989" s="16">
        <v>1.0</v>
      </c>
      <c r="I989" s="23">
        <v>50.0</v>
      </c>
      <c r="J989" s="23">
        <v>50.0</v>
      </c>
      <c r="K989" s="16"/>
      <c r="L989" s="23"/>
      <c r="M989" s="23"/>
      <c r="N989" s="23">
        <v>0.0</v>
      </c>
      <c r="O989" s="16"/>
      <c r="P989" s="23"/>
      <c r="Q989" s="23"/>
      <c r="R989" s="23">
        <v>0.0</v>
      </c>
      <c r="S989" s="16"/>
      <c r="T989" s="23"/>
      <c r="U989" s="23"/>
      <c r="V989" s="23">
        <v>0.0</v>
      </c>
      <c r="W989" s="16"/>
      <c r="X989" s="23"/>
      <c r="Y989" s="23"/>
      <c r="Z989" s="23">
        <v>0.0</v>
      </c>
      <c r="AA989" s="16"/>
      <c r="AB989" s="23"/>
      <c r="AC989" s="23"/>
      <c r="AD989" s="23">
        <v>0.0</v>
      </c>
      <c r="AH989" s="23">
        <v>0.0</v>
      </c>
      <c r="AL989" s="23">
        <v>0.0</v>
      </c>
      <c r="AP989" s="23">
        <v>0.0</v>
      </c>
      <c r="AT989" s="23">
        <v>0.0</v>
      </c>
      <c r="AX989" s="23">
        <v>0.0</v>
      </c>
      <c r="BF989" s="23">
        <v>0.0</v>
      </c>
      <c r="BJ989" s="23">
        <v>0.0</v>
      </c>
      <c r="BN989" s="23">
        <v>0.0</v>
      </c>
      <c r="BO989" s="23">
        <v>50.0</v>
      </c>
      <c r="BP989" s="16" t="s">
        <v>5842</v>
      </c>
      <c r="BQ989" s="16" t="b">
        <v>1</v>
      </c>
      <c r="BR989" s="23">
        <v>50.0</v>
      </c>
      <c r="BS989" s="16">
        <v>1298164.0</v>
      </c>
      <c r="BT989" s="16" t="b">
        <v>1</v>
      </c>
      <c r="BU989" s="16" t="s">
        <v>546</v>
      </c>
      <c r="BV989" s="16"/>
      <c r="BW989" s="16"/>
      <c r="BX989" s="16"/>
    </row>
    <row r="990">
      <c r="A990" s="16" t="s">
        <v>5846</v>
      </c>
      <c r="B990" s="16" t="s">
        <v>35</v>
      </c>
      <c r="C990" s="22">
        <v>45692.0</v>
      </c>
      <c r="D990" s="16" t="s">
        <v>2439</v>
      </c>
      <c r="E990" s="16" t="s">
        <v>5848</v>
      </c>
      <c r="F990" s="16" t="s">
        <v>5136</v>
      </c>
      <c r="G990" s="16" t="s">
        <v>3496</v>
      </c>
      <c r="H990" s="16">
        <v>1.0</v>
      </c>
      <c r="I990" s="23">
        <v>286.01</v>
      </c>
      <c r="J990" s="23">
        <v>286.01</v>
      </c>
      <c r="K990" s="16"/>
      <c r="L990" s="23"/>
      <c r="M990" s="23"/>
      <c r="N990" s="23">
        <v>0.0</v>
      </c>
      <c r="O990" s="16"/>
      <c r="P990" s="23"/>
      <c r="Q990" s="23"/>
      <c r="R990" s="23">
        <v>0.0</v>
      </c>
      <c r="S990" s="16"/>
      <c r="T990" s="23"/>
      <c r="U990" s="23"/>
      <c r="V990" s="23">
        <v>0.0</v>
      </c>
      <c r="W990" s="16"/>
      <c r="X990" s="23"/>
      <c r="Y990" s="23"/>
      <c r="Z990" s="23">
        <v>0.0</v>
      </c>
      <c r="AA990" s="16"/>
      <c r="AB990" s="23"/>
      <c r="AC990" s="23"/>
      <c r="AD990" s="23">
        <v>0.0</v>
      </c>
      <c r="AH990" s="23">
        <v>0.0</v>
      </c>
      <c r="AL990" s="23">
        <v>0.0</v>
      </c>
      <c r="AP990" s="23">
        <v>0.0</v>
      </c>
      <c r="AT990" s="23">
        <v>0.0</v>
      </c>
      <c r="AX990" s="23">
        <v>0.0</v>
      </c>
      <c r="BF990" s="23">
        <v>0.0</v>
      </c>
      <c r="BJ990" s="23">
        <v>0.0</v>
      </c>
      <c r="BN990" s="23">
        <v>0.0</v>
      </c>
      <c r="BO990" s="23">
        <v>286.01</v>
      </c>
      <c r="BP990" s="16" t="s">
        <v>5850</v>
      </c>
      <c r="BQ990" s="16" t="b">
        <v>1</v>
      </c>
      <c r="BR990" s="23">
        <v>286.01</v>
      </c>
      <c r="BS990" s="16"/>
      <c r="BT990" s="16" t="b">
        <v>0</v>
      </c>
      <c r="BU990" s="16" t="s">
        <v>546</v>
      </c>
      <c r="BV990" s="16"/>
      <c r="BW990" s="16"/>
      <c r="BX990" s="16"/>
    </row>
    <row r="991">
      <c r="A991" s="16" t="s">
        <v>5855</v>
      </c>
      <c r="B991" s="16" t="s">
        <v>35</v>
      </c>
      <c r="C991" s="22">
        <v>45692.0</v>
      </c>
      <c r="D991" s="16" t="s">
        <v>2129</v>
      </c>
      <c r="E991" s="16" t="s">
        <v>5858</v>
      </c>
      <c r="F991" s="16" t="s">
        <v>5815</v>
      </c>
      <c r="G991" s="16" t="s">
        <v>6306</v>
      </c>
      <c r="H991" s="16">
        <v>1.0</v>
      </c>
      <c r="I991" s="23">
        <v>204.26</v>
      </c>
      <c r="J991" s="23">
        <v>204.26</v>
      </c>
      <c r="K991" s="16"/>
      <c r="L991" s="23"/>
      <c r="M991" s="23"/>
      <c r="N991" s="23">
        <v>0.0</v>
      </c>
      <c r="O991" s="16"/>
      <c r="P991" s="23"/>
      <c r="Q991" s="23"/>
      <c r="R991" s="23">
        <v>0.0</v>
      </c>
      <c r="S991" s="16"/>
      <c r="T991" s="23"/>
      <c r="U991" s="23"/>
      <c r="V991" s="23">
        <v>0.0</v>
      </c>
      <c r="W991" s="16"/>
      <c r="X991" s="23"/>
      <c r="Y991" s="23"/>
      <c r="Z991" s="23">
        <v>0.0</v>
      </c>
      <c r="AA991" s="16"/>
      <c r="AB991" s="23"/>
      <c r="AC991" s="23"/>
      <c r="AD991" s="23">
        <v>0.0</v>
      </c>
      <c r="AH991" s="23">
        <v>0.0</v>
      </c>
      <c r="AL991" s="23">
        <v>0.0</v>
      </c>
      <c r="AP991" s="23">
        <v>0.0</v>
      </c>
      <c r="AT991" s="23">
        <v>0.0</v>
      </c>
      <c r="AX991" s="23">
        <v>0.0</v>
      </c>
      <c r="BF991" s="23">
        <v>0.0</v>
      </c>
      <c r="BJ991" s="23">
        <v>0.0</v>
      </c>
      <c r="BN991" s="23">
        <v>0.0</v>
      </c>
      <c r="BO991" s="23">
        <v>204.26</v>
      </c>
      <c r="BP991" s="16" t="s">
        <v>5860</v>
      </c>
      <c r="BQ991" s="16" t="b">
        <v>1</v>
      </c>
      <c r="BR991" s="23">
        <v>204.26</v>
      </c>
      <c r="BS991" s="16" t="s">
        <v>5497</v>
      </c>
      <c r="BT991" s="16" t="b">
        <v>1</v>
      </c>
      <c r="BU991" s="16" t="s">
        <v>546</v>
      </c>
      <c r="BV991" s="16"/>
      <c r="BW991" s="16"/>
      <c r="BX991" s="16"/>
    </row>
    <row r="992">
      <c r="A992" s="16" t="s">
        <v>5865</v>
      </c>
      <c r="B992" s="16" t="s">
        <v>35</v>
      </c>
      <c r="C992" s="22">
        <v>45692.0</v>
      </c>
      <c r="D992" s="16" t="s">
        <v>5866</v>
      </c>
      <c r="E992" s="16" t="s">
        <v>5867</v>
      </c>
      <c r="F992" s="16" t="s">
        <v>4042</v>
      </c>
      <c r="G992" s="16" t="s">
        <v>6322</v>
      </c>
      <c r="H992" s="16">
        <v>1.0</v>
      </c>
      <c r="I992" s="23">
        <v>49.87</v>
      </c>
      <c r="J992" s="23">
        <v>49.87</v>
      </c>
      <c r="K992" s="16"/>
      <c r="L992" s="23"/>
      <c r="M992" s="23"/>
      <c r="N992" s="23">
        <v>0.0</v>
      </c>
      <c r="O992" s="16"/>
      <c r="P992" s="23"/>
      <c r="Q992" s="23"/>
      <c r="R992" s="23">
        <v>0.0</v>
      </c>
      <c r="S992" s="16"/>
      <c r="T992" s="23"/>
      <c r="U992" s="23"/>
      <c r="V992" s="23">
        <v>0.0</v>
      </c>
      <c r="W992" s="16"/>
      <c r="X992" s="23"/>
      <c r="Y992" s="23"/>
      <c r="Z992" s="23">
        <v>0.0</v>
      </c>
      <c r="AA992" s="16"/>
      <c r="AB992" s="23"/>
      <c r="AC992" s="23"/>
      <c r="AD992" s="23">
        <v>0.0</v>
      </c>
      <c r="AH992" s="23">
        <v>0.0</v>
      </c>
      <c r="AL992" s="23">
        <v>0.0</v>
      </c>
      <c r="AP992" s="23">
        <v>0.0</v>
      </c>
      <c r="AT992" s="23">
        <v>0.0</v>
      </c>
      <c r="AX992" s="23">
        <v>0.0</v>
      </c>
      <c r="BF992" s="23">
        <v>0.0</v>
      </c>
      <c r="BJ992" s="23">
        <v>0.0</v>
      </c>
      <c r="BN992" s="23">
        <v>0.0</v>
      </c>
      <c r="BO992" s="23">
        <v>49.87</v>
      </c>
      <c r="BP992" s="16" t="s">
        <v>5868</v>
      </c>
      <c r="BQ992" s="16" t="b">
        <v>1</v>
      </c>
      <c r="BR992" s="23">
        <v>49.87</v>
      </c>
      <c r="BS992" s="16"/>
      <c r="BT992" s="16" t="b">
        <v>0</v>
      </c>
      <c r="BU992" s="16" t="s">
        <v>546</v>
      </c>
      <c r="BV992" s="16"/>
      <c r="BW992" s="16"/>
      <c r="BX992" s="16"/>
    </row>
    <row r="993">
      <c r="A993" s="16" t="s">
        <v>5872</v>
      </c>
      <c r="B993" s="16" t="s">
        <v>35</v>
      </c>
      <c r="C993" s="22">
        <v>45692.0</v>
      </c>
      <c r="D993" s="16" t="s">
        <v>112</v>
      </c>
      <c r="E993" s="16" t="s">
        <v>5875</v>
      </c>
      <c r="F993" s="16" t="s">
        <v>157</v>
      </c>
      <c r="G993" s="16" t="s">
        <v>159</v>
      </c>
      <c r="H993" s="16">
        <v>1.0</v>
      </c>
      <c r="I993" s="23">
        <v>87.0</v>
      </c>
      <c r="J993" s="23">
        <v>87.0</v>
      </c>
      <c r="K993" s="16" t="s">
        <v>155</v>
      </c>
      <c r="L993" s="23">
        <v>1.0</v>
      </c>
      <c r="M993" s="23">
        <v>42.21</v>
      </c>
      <c r="N993" s="23">
        <v>42.21</v>
      </c>
      <c r="O993" s="16" t="s">
        <v>226</v>
      </c>
      <c r="P993" s="23">
        <v>1.0</v>
      </c>
      <c r="Q993" s="23">
        <v>40.0</v>
      </c>
      <c r="R993" s="23">
        <v>40.0</v>
      </c>
      <c r="S993" s="16"/>
      <c r="T993" s="23"/>
      <c r="U993" s="23"/>
      <c r="V993" s="23">
        <v>0.0</v>
      </c>
      <c r="W993" s="16"/>
      <c r="X993" s="23"/>
      <c r="Y993" s="23"/>
      <c r="Z993" s="23">
        <v>0.0</v>
      </c>
      <c r="AA993" s="16"/>
      <c r="AB993" s="23"/>
      <c r="AC993" s="23"/>
      <c r="AD993" s="23">
        <v>0.0</v>
      </c>
      <c r="AH993" s="23">
        <v>0.0</v>
      </c>
      <c r="AL993" s="23">
        <v>0.0</v>
      </c>
      <c r="AP993" s="23">
        <v>0.0</v>
      </c>
      <c r="AT993" s="23">
        <v>0.0</v>
      </c>
      <c r="AX993" s="23">
        <v>0.0</v>
      </c>
      <c r="BF993" s="23">
        <v>0.0</v>
      </c>
      <c r="BJ993" s="23">
        <v>0.0</v>
      </c>
      <c r="BN993" s="23">
        <v>0.0</v>
      </c>
      <c r="BO993" s="23">
        <v>169.21</v>
      </c>
      <c r="BP993" s="16" t="s">
        <v>5876</v>
      </c>
      <c r="BQ993" s="16" t="b">
        <v>1</v>
      </c>
      <c r="BR993" s="23">
        <v>169.21</v>
      </c>
      <c r="BS993" s="16"/>
      <c r="BT993" s="16" t="b">
        <v>0</v>
      </c>
      <c r="BU993" s="16" t="s">
        <v>546</v>
      </c>
      <c r="BV993" s="16"/>
      <c r="BW993" s="16"/>
      <c r="BX993" s="16"/>
    </row>
    <row r="994">
      <c r="A994" s="16" t="s">
        <v>5880</v>
      </c>
      <c r="B994" s="16" t="s">
        <v>35</v>
      </c>
      <c r="C994" s="22">
        <v>45692.0</v>
      </c>
      <c r="D994" s="16">
        <v>2.6065919E7</v>
      </c>
      <c r="E994" s="16" t="s">
        <v>5883</v>
      </c>
      <c r="F994" s="16" t="s">
        <v>5885</v>
      </c>
      <c r="G994" s="16" t="s">
        <v>1022</v>
      </c>
      <c r="H994" s="16">
        <v>1.0</v>
      </c>
      <c r="I994" s="23">
        <v>134.0</v>
      </c>
      <c r="J994" s="23">
        <v>134.0</v>
      </c>
      <c r="K994" s="16"/>
      <c r="L994" s="23"/>
      <c r="M994" s="23"/>
      <c r="N994" s="23">
        <v>0.0</v>
      </c>
      <c r="O994" s="16"/>
      <c r="P994" s="23"/>
      <c r="Q994" s="23"/>
      <c r="R994" s="23">
        <v>0.0</v>
      </c>
      <c r="S994" s="16"/>
      <c r="T994" s="23"/>
      <c r="U994" s="23"/>
      <c r="V994" s="23">
        <v>0.0</v>
      </c>
      <c r="W994" s="16"/>
      <c r="X994" s="23"/>
      <c r="Y994" s="23"/>
      <c r="Z994" s="23">
        <v>0.0</v>
      </c>
      <c r="AA994" s="16"/>
      <c r="AB994" s="23"/>
      <c r="AC994" s="23"/>
      <c r="AD994" s="23">
        <v>0.0</v>
      </c>
      <c r="AH994" s="23">
        <v>0.0</v>
      </c>
      <c r="AL994" s="23">
        <v>0.0</v>
      </c>
      <c r="AP994" s="23">
        <v>0.0</v>
      </c>
      <c r="AT994" s="23">
        <v>0.0</v>
      </c>
      <c r="AX994" s="23">
        <v>0.0</v>
      </c>
      <c r="BF994" s="23">
        <v>0.0</v>
      </c>
      <c r="BJ994" s="23">
        <v>0.0</v>
      </c>
      <c r="BN994" s="23">
        <v>0.0</v>
      </c>
      <c r="BO994" s="23">
        <v>134.0</v>
      </c>
      <c r="BP994" s="16" t="s">
        <v>5884</v>
      </c>
      <c r="BQ994" s="16" t="b">
        <v>1</v>
      </c>
      <c r="BR994" s="23">
        <v>134.0</v>
      </c>
      <c r="BS994" s="16">
        <v>1299418.0</v>
      </c>
      <c r="BT994" s="16" t="b">
        <v>1</v>
      </c>
      <c r="BU994" s="16" t="s">
        <v>546</v>
      </c>
      <c r="BV994" s="16"/>
      <c r="BW994" s="16"/>
      <c r="BX994" s="16"/>
    </row>
    <row r="995">
      <c r="A995" s="16" t="s">
        <v>5889</v>
      </c>
      <c r="B995" s="16" t="s">
        <v>35</v>
      </c>
      <c r="C995" s="22">
        <v>45692.0</v>
      </c>
      <c r="D995" s="16" t="s">
        <v>764</v>
      </c>
      <c r="E995" s="16" t="s">
        <v>5892</v>
      </c>
      <c r="F995" s="16" t="s">
        <v>195</v>
      </c>
      <c r="G995" s="16" t="s">
        <v>1073</v>
      </c>
      <c r="H995" s="16">
        <v>1.0</v>
      </c>
      <c r="I995" s="23">
        <v>19.25</v>
      </c>
      <c r="J995" s="23">
        <v>19.25</v>
      </c>
      <c r="K995" s="16" t="s">
        <v>1074</v>
      </c>
      <c r="L995" s="23">
        <v>4.0</v>
      </c>
      <c r="M995" s="23">
        <v>39.5</v>
      </c>
      <c r="N995" s="23">
        <v>158.0</v>
      </c>
      <c r="O995" s="16" t="s">
        <v>1077</v>
      </c>
      <c r="P995" s="23">
        <v>4.0</v>
      </c>
      <c r="Q995" s="23">
        <v>25.8</v>
      </c>
      <c r="R995" s="23">
        <v>103.2</v>
      </c>
      <c r="S995" s="16" t="s">
        <v>1079</v>
      </c>
      <c r="T995" s="23">
        <v>25.0</v>
      </c>
      <c r="U995" s="23">
        <v>17.5</v>
      </c>
      <c r="V995" s="23">
        <v>437.5</v>
      </c>
      <c r="W995" s="16" t="s">
        <v>1081</v>
      </c>
      <c r="X995" s="23">
        <v>3.0</v>
      </c>
      <c r="Y995" s="23">
        <v>48.0</v>
      </c>
      <c r="Z995" s="23">
        <v>144.0</v>
      </c>
      <c r="AA995" s="16" t="s">
        <v>1075</v>
      </c>
      <c r="AB995" s="23">
        <v>2.0</v>
      </c>
      <c r="AC995" s="23">
        <v>39.5</v>
      </c>
      <c r="AD995" s="23">
        <v>79.0</v>
      </c>
      <c r="AE995" s="16">
        <v>7.5375964E7</v>
      </c>
      <c r="AF995" s="23">
        <v>2.0</v>
      </c>
      <c r="AG995" s="23">
        <v>39.25</v>
      </c>
      <c r="AH995" s="23">
        <v>78.5</v>
      </c>
      <c r="AI995" s="16" t="s">
        <v>1081</v>
      </c>
      <c r="AJ995" s="23">
        <v>1.0</v>
      </c>
      <c r="AK995" s="23">
        <v>47.46</v>
      </c>
      <c r="AL995" s="23">
        <v>47.46</v>
      </c>
      <c r="AP995" s="23">
        <v>0.0</v>
      </c>
      <c r="AT995" s="23">
        <v>0.0</v>
      </c>
      <c r="AX995" s="23">
        <v>0.0</v>
      </c>
      <c r="BF995" s="23">
        <v>0.0</v>
      </c>
      <c r="BJ995" s="23">
        <v>0.0</v>
      </c>
      <c r="BN995" s="23">
        <v>0.0</v>
      </c>
      <c r="BO995" s="23">
        <v>1066.91</v>
      </c>
      <c r="BP995" s="16" t="s">
        <v>5893</v>
      </c>
      <c r="BQ995" s="16" t="b">
        <v>1</v>
      </c>
      <c r="BR995" s="23">
        <v>1066.91</v>
      </c>
      <c r="BS995" s="16"/>
      <c r="BT995" s="16" t="b">
        <v>0</v>
      </c>
      <c r="BU995" s="16" t="s">
        <v>546</v>
      </c>
      <c r="BV995" s="16"/>
      <c r="BW995" s="16" t="s">
        <v>5896</v>
      </c>
      <c r="BX995" s="16"/>
    </row>
    <row r="996">
      <c r="A996" s="16" t="s">
        <v>5899</v>
      </c>
      <c r="B996" s="16" t="s">
        <v>35</v>
      </c>
      <c r="C996" s="22">
        <v>45694.0</v>
      </c>
      <c r="D996" s="16"/>
      <c r="E996" s="16"/>
      <c r="F996" s="16" t="s">
        <v>1329</v>
      </c>
      <c r="G996" s="16" t="s">
        <v>1168</v>
      </c>
      <c r="H996" s="16">
        <v>1.0</v>
      </c>
      <c r="I996" s="23">
        <v>500.0</v>
      </c>
      <c r="J996" s="23">
        <v>500.0</v>
      </c>
      <c r="K996" s="16"/>
      <c r="L996" s="23"/>
      <c r="M996" s="23"/>
      <c r="N996" s="23"/>
      <c r="O996" s="16"/>
      <c r="P996" s="23"/>
      <c r="Q996" s="23"/>
      <c r="R996" s="23"/>
      <c r="S996" s="16"/>
      <c r="T996" s="23"/>
      <c r="U996" s="23"/>
      <c r="V996" s="23"/>
      <c r="W996" s="16"/>
      <c r="X996" s="23"/>
      <c r="Y996" s="23"/>
      <c r="Z996" s="23"/>
      <c r="AA996" s="16"/>
      <c r="AB996" s="23"/>
      <c r="AC996" s="23"/>
      <c r="AD996" s="23"/>
      <c r="AE996" s="16"/>
      <c r="AF996" s="23"/>
      <c r="AG996" s="23"/>
      <c r="AH996" s="23"/>
      <c r="AI996" s="16"/>
      <c r="AJ996" s="23"/>
      <c r="AK996" s="23"/>
      <c r="AL996" s="23"/>
      <c r="AP996" s="23"/>
      <c r="AT996" s="23"/>
      <c r="AX996" s="23"/>
      <c r="BF996" s="23"/>
      <c r="BJ996" s="23"/>
      <c r="BN996" s="23"/>
      <c r="BO996" s="23">
        <v>500.0</v>
      </c>
      <c r="BP996" s="16"/>
      <c r="BQ996" s="16"/>
      <c r="BR996" s="23">
        <v>500.0</v>
      </c>
      <c r="BS996" s="16"/>
      <c r="BT996" s="16"/>
      <c r="BU996" s="16" t="s">
        <v>539</v>
      </c>
      <c r="BV996" s="16" t="s">
        <v>624</v>
      </c>
      <c r="BW996" s="16"/>
      <c r="BX996" s="16"/>
    </row>
    <row r="997">
      <c r="A997" s="16" t="s">
        <v>5904</v>
      </c>
      <c r="B997" s="16" t="s">
        <v>35</v>
      </c>
      <c r="C997" s="22">
        <v>45695.0</v>
      </c>
      <c r="D997" s="16"/>
      <c r="E997" s="16"/>
      <c r="F997" s="16" t="s">
        <v>1329</v>
      </c>
      <c r="G997" s="16" t="s">
        <v>1168</v>
      </c>
      <c r="H997" s="16">
        <v>1.0</v>
      </c>
      <c r="I997" s="23">
        <v>500.0</v>
      </c>
      <c r="J997" s="23">
        <v>500.0</v>
      </c>
      <c r="K997" s="16"/>
      <c r="L997" s="23"/>
      <c r="M997" s="23"/>
      <c r="N997" s="23"/>
      <c r="O997" s="16"/>
      <c r="P997" s="23"/>
      <c r="Q997" s="23"/>
      <c r="R997" s="23"/>
      <c r="S997" s="16"/>
      <c r="T997" s="23"/>
      <c r="U997" s="23"/>
      <c r="V997" s="23"/>
      <c r="W997" s="16"/>
      <c r="X997" s="23"/>
      <c r="Y997" s="23"/>
      <c r="Z997" s="23"/>
      <c r="AA997" s="16"/>
      <c r="AB997" s="23"/>
      <c r="AC997" s="23"/>
      <c r="AD997" s="23"/>
      <c r="AE997" s="16"/>
      <c r="AF997" s="23"/>
      <c r="AG997" s="23"/>
      <c r="AH997" s="23"/>
      <c r="AI997" s="16"/>
      <c r="AJ997" s="23"/>
      <c r="AK997" s="23"/>
      <c r="AL997" s="23"/>
      <c r="AP997" s="23"/>
      <c r="AT997" s="23"/>
      <c r="AX997" s="23"/>
      <c r="BF997" s="23"/>
      <c r="BJ997" s="23"/>
      <c r="BN997" s="23"/>
      <c r="BO997" s="23">
        <v>500.0</v>
      </c>
      <c r="BP997" s="16"/>
      <c r="BQ997" s="16"/>
      <c r="BR997" s="23">
        <v>500.0</v>
      </c>
      <c r="BS997" s="16"/>
      <c r="BT997" s="16"/>
      <c r="BU997" s="16" t="s">
        <v>539</v>
      </c>
      <c r="BV997" s="16" t="s">
        <v>2052</v>
      </c>
      <c r="BW997" s="16"/>
      <c r="BX997" s="16"/>
    </row>
    <row r="998">
      <c r="A998" s="16" t="s">
        <v>5910</v>
      </c>
      <c r="B998" s="16" t="s">
        <v>35</v>
      </c>
      <c r="C998" s="22">
        <v>45691.0</v>
      </c>
      <c r="D998" s="16" t="s">
        <v>890</v>
      </c>
      <c r="E998" s="16" t="s">
        <v>5912</v>
      </c>
      <c r="F998" s="16" t="s">
        <v>5915</v>
      </c>
      <c r="G998" s="16" t="s">
        <v>1327</v>
      </c>
      <c r="H998" s="16">
        <v>1.0</v>
      </c>
      <c r="I998" s="23">
        <v>907.49</v>
      </c>
      <c r="J998" s="23">
        <v>907.49</v>
      </c>
      <c r="K998" s="16"/>
      <c r="L998" s="23"/>
      <c r="M998" s="23"/>
      <c r="N998" s="23">
        <v>0.0</v>
      </c>
      <c r="O998" s="16"/>
      <c r="P998" s="23"/>
      <c r="Q998" s="23"/>
      <c r="R998" s="23">
        <v>0.0</v>
      </c>
      <c r="S998" s="16"/>
      <c r="T998" s="23"/>
      <c r="U998" s="23"/>
      <c r="V998" s="23">
        <v>0.0</v>
      </c>
      <c r="W998" s="16"/>
      <c r="X998" s="23"/>
      <c r="Y998" s="23"/>
      <c r="Z998" s="23">
        <v>0.0</v>
      </c>
      <c r="AA998" s="16"/>
      <c r="AB998" s="23"/>
      <c r="AC998" s="23"/>
      <c r="AD998" s="23">
        <v>0.0</v>
      </c>
      <c r="AE998" s="16"/>
      <c r="AF998" s="23"/>
      <c r="AG998" s="23"/>
      <c r="AH998" s="23">
        <v>0.0</v>
      </c>
      <c r="AI998" s="16"/>
      <c r="AJ998" s="23"/>
      <c r="AK998" s="23"/>
      <c r="AL998" s="23">
        <v>0.0</v>
      </c>
      <c r="AP998" s="23">
        <v>0.0</v>
      </c>
      <c r="AT998" s="23">
        <v>0.0</v>
      </c>
      <c r="AX998" s="23">
        <v>0.0</v>
      </c>
      <c r="BF998" s="23">
        <v>0.0</v>
      </c>
      <c r="BJ998" s="23">
        <v>0.0</v>
      </c>
      <c r="BN998" s="23">
        <v>0.0</v>
      </c>
      <c r="BO998" s="23">
        <v>907.49</v>
      </c>
      <c r="BP998" s="16" t="s">
        <v>5914</v>
      </c>
      <c r="BQ998" s="16" t="b">
        <v>1</v>
      </c>
      <c r="BR998" s="23">
        <v>907.49</v>
      </c>
      <c r="BS998" s="16"/>
      <c r="BT998" s="16" t="b">
        <v>0</v>
      </c>
      <c r="BU998" s="16" t="s">
        <v>546</v>
      </c>
      <c r="BV998" s="16"/>
      <c r="BW998" s="16" t="s">
        <v>5917</v>
      </c>
      <c r="BX998" s="16"/>
    </row>
    <row r="999">
      <c r="A999" s="16" t="s">
        <v>5920</v>
      </c>
      <c r="B999" s="16" t="s">
        <v>35</v>
      </c>
      <c r="C999" s="22">
        <v>45691.0</v>
      </c>
      <c r="D999" s="16" t="s">
        <v>890</v>
      </c>
      <c r="E999" s="16" t="s">
        <v>5922</v>
      </c>
      <c r="F999" s="16" t="s">
        <v>1511</v>
      </c>
      <c r="G999" s="16" t="s">
        <v>1517</v>
      </c>
      <c r="H999" s="16">
        <v>1.0</v>
      </c>
      <c r="I999" s="23">
        <v>9642.94</v>
      </c>
      <c r="J999" s="23">
        <v>9642.94</v>
      </c>
      <c r="K999" s="16"/>
      <c r="L999" s="23"/>
      <c r="M999" s="23"/>
      <c r="N999" s="23">
        <v>0.0</v>
      </c>
      <c r="O999" s="16"/>
      <c r="P999" s="23"/>
      <c r="Q999" s="23"/>
      <c r="R999" s="23">
        <v>0.0</v>
      </c>
      <c r="S999" s="16"/>
      <c r="T999" s="23"/>
      <c r="U999" s="23"/>
      <c r="V999" s="23">
        <v>0.0</v>
      </c>
      <c r="W999" s="16"/>
      <c r="X999" s="23"/>
      <c r="Y999" s="23"/>
      <c r="Z999" s="23">
        <v>0.0</v>
      </c>
      <c r="AA999" s="16"/>
      <c r="AB999" s="23"/>
      <c r="AC999" s="23"/>
      <c r="AD999" s="23">
        <v>0.0</v>
      </c>
      <c r="AE999" s="16"/>
      <c r="AF999" s="23"/>
      <c r="AG999" s="23"/>
      <c r="AH999" s="23">
        <v>0.0</v>
      </c>
      <c r="AI999" s="16"/>
      <c r="AJ999" s="23"/>
      <c r="AK999" s="23"/>
      <c r="AL999" s="23">
        <v>0.0</v>
      </c>
      <c r="AP999" s="23">
        <v>0.0</v>
      </c>
      <c r="AT999" s="23">
        <v>0.0</v>
      </c>
      <c r="AX999" s="23">
        <v>0.0</v>
      </c>
      <c r="BF999" s="23">
        <v>0.0</v>
      </c>
      <c r="BJ999" s="23">
        <v>0.0</v>
      </c>
      <c r="BN999" s="23">
        <v>0.0</v>
      </c>
      <c r="BO999" s="23">
        <v>9642.94</v>
      </c>
      <c r="BP999" s="16" t="s">
        <v>5924</v>
      </c>
      <c r="BQ999" s="16" t="b">
        <v>1</v>
      </c>
      <c r="BR999" s="23">
        <v>9642.94</v>
      </c>
      <c r="BS999" s="16"/>
      <c r="BT999" s="16" t="b">
        <v>0</v>
      </c>
      <c r="BU999" s="16" t="s">
        <v>546</v>
      </c>
      <c r="BV999" s="16"/>
      <c r="BW999" s="16" t="s">
        <v>5926</v>
      </c>
      <c r="BX999" s="16" t="s">
        <v>5928</v>
      </c>
    </row>
    <row r="1000">
      <c r="A1000" s="16" t="s">
        <v>5930</v>
      </c>
      <c r="B1000" s="16" t="s">
        <v>35</v>
      </c>
      <c r="C1000" s="22">
        <v>45692.0</v>
      </c>
      <c r="D1000" s="16" t="s">
        <v>858</v>
      </c>
      <c r="E1000" s="16" t="s">
        <v>5932</v>
      </c>
      <c r="F1000" s="16" t="s">
        <v>5935</v>
      </c>
      <c r="G1000" s="16" t="s">
        <v>6355</v>
      </c>
      <c r="H1000" s="16">
        <v>1.0</v>
      </c>
      <c r="I1000" s="23">
        <v>1431.61</v>
      </c>
      <c r="J1000" s="23">
        <v>1431.61</v>
      </c>
      <c r="K1000" s="16"/>
      <c r="L1000" s="23"/>
      <c r="M1000" s="23"/>
      <c r="N1000" s="23">
        <v>0.0</v>
      </c>
      <c r="O1000" s="16"/>
      <c r="P1000" s="23"/>
      <c r="Q1000" s="23"/>
      <c r="R1000" s="23">
        <v>0.0</v>
      </c>
      <c r="S1000" s="16"/>
      <c r="T1000" s="23"/>
      <c r="U1000" s="23"/>
      <c r="V1000" s="23">
        <v>0.0</v>
      </c>
      <c r="W1000" s="16"/>
      <c r="X1000" s="23"/>
      <c r="Y1000" s="23"/>
      <c r="Z1000" s="23">
        <v>0.0</v>
      </c>
      <c r="AA1000" s="16"/>
      <c r="AB1000" s="23"/>
      <c r="AC1000" s="23"/>
      <c r="AD1000" s="23">
        <v>0.0</v>
      </c>
      <c r="AE1000" s="16"/>
      <c r="AF1000" s="23"/>
      <c r="AG1000" s="23"/>
      <c r="AH1000" s="23">
        <v>0.0</v>
      </c>
      <c r="AI1000" s="16"/>
      <c r="AJ1000" s="23"/>
      <c r="AK1000" s="23"/>
      <c r="AL1000" s="23">
        <v>0.0</v>
      </c>
      <c r="AP1000" s="23">
        <v>0.0</v>
      </c>
      <c r="AT1000" s="23">
        <v>0.0</v>
      </c>
      <c r="AX1000" s="23">
        <v>0.0</v>
      </c>
      <c r="BF1000" s="23">
        <v>0.0</v>
      </c>
      <c r="BJ1000" s="23">
        <v>0.0</v>
      </c>
      <c r="BN1000" s="23">
        <v>0.0</v>
      </c>
      <c r="BO1000" s="23">
        <v>1431.61</v>
      </c>
      <c r="BP1000" s="16" t="s">
        <v>5934</v>
      </c>
      <c r="BQ1000" s="16" t="b">
        <v>1</v>
      </c>
      <c r="BR1000" s="23">
        <v>1431.61</v>
      </c>
      <c r="BS1000" s="16"/>
      <c r="BT1000" s="16" t="b">
        <v>0</v>
      </c>
      <c r="BU1000" s="16" t="s">
        <v>546</v>
      </c>
      <c r="BV1000" s="16"/>
      <c r="BW1000" s="16"/>
      <c r="BX1000" s="16"/>
    </row>
    <row r="1001">
      <c r="A1001" s="16" t="s">
        <v>5939</v>
      </c>
      <c r="B1001" s="16" t="s">
        <v>35</v>
      </c>
      <c r="C1001" s="22">
        <v>45693.0</v>
      </c>
      <c r="D1001" s="16" t="s">
        <v>890</v>
      </c>
      <c r="E1001" s="16" t="s">
        <v>5941</v>
      </c>
      <c r="F1001" s="16" t="s">
        <v>4787</v>
      </c>
      <c r="G1001" s="16" t="s">
        <v>1510</v>
      </c>
      <c r="H1001" s="16">
        <v>1.0</v>
      </c>
      <c r="I1001" s="23">
        <v>19552.53</v>
      </c>
      <c r="J1001" s="23">
        <v>19552.53</v>
      </c>
      <c r="K1001" s="16"/>
      <c r="L1001" s="23"/>
      <c r="M1001" s="23"/>
      <c r="N1001" s="23">
        <v>0.0</v>
      </c>
      <c r="O1001" s="16"/>
      <c r="P1001" s="23"/>
      <c r="Q1001" s="23"/>
      <c r="R1001" s="23">
        <v>0.0</v>
      </c>
      <c r="S1001" s="16"/>
      <c r="T1001" s="23"/>
      <c r="U1001" s="23"/>
      <c r="V1001" s="23">
        <v>0.0</v>
      </c>
      <c r="W1001" s="16"/>
      <c r="X1001" s="23"/>
      <c r="Y1001" s="23"/>
      <c r="Z1001" s="23">
        <v>0.0</v>
      </c>
      <c r="AA1001" s="16"/>
      <c r="AB1001" s="23"/>
      <c r="AC1001" s="23"/>
      <c r="AD1001" s="23">
        <v>0.0</v>
      </c>
      <c r="AE1001" s="16"/>
      <c r="AF1001" s="23"/>
      <c r="AG1001" s="23"/>
      <c r="AH1001" s="23">
        <v>0.0</v>
      </c>
      <c r="AI1001" s="16"/>
      <c r="AJ1001" s="23"/>
      <c r="AK1001" s="23"/>
      <c r="AL1001" s="23">
        <v>0.0</v>
      </c>
      <c r="AP1001" s="23">
        <v>0.0</v>
      </c>
      <c r="AT1001" s="23">
        <v>0.0</v>
      </c>
      <c r="AX1001" s="23">
        <v>0.0</v>
      </c>
      <c r="BF1001" s="23">
        <v>0.0</v>
      </c>
      <c r="BJ1001" s="23">
        <v>0.0</v>
      </c>
      <c r="BN1001" s="23">
        <v>0.0</v>
      </c>
      <c r="BO1001" s="23">
        <v>19552.53</v>
      </c>
      <c r="BP1001" s="16" t="s">
        <v>5942</v>
      </c>
      <c r="BQ1001" s="16" t="b">
        <v>1</v>
      </c>
      <c r="BR1001" s="23">
        <v>19552.53</v>
      </c>
      <c r="BS1001" s="16"/>
      <c r="BT1001" s="16" t="b">
        <v>0</v>
      </c>
      <c r="BU1001" s="16" t="s">
        <v>546</v>
      </c>
      <c r="BV1001" s="16"/>
      <c r="BW1001" s="16" t="s">
        <v>5945</v>
      </c>
      <c r="BX1001" s="16" t="s">
        <v>5946</v>
      </c>
      <c r="BY1001" s="16" t="s">
        <v>5948</v>
      </c>
    </row>
    <row r="1002">
      <c r="A1002" s="16" t="s">
        <v>5950</v>
      </c>
      <c r="B1002" s="16" t="s">
        <v>35</v>
      </c>
      <c r="C1002" s="22">
        <v>45693.0</v>
      </c>
      <c r="D1002" s="16" t="s">
        <v>145</v>
      </c>
      <c r="E1002" s="16" t="s">
        <v>5952</v>
      </c>
      <c r="F1002" s="16" t="s">
        <v>3627</v>
      </c>
      <c r="G1002" s="16" t="s">
        <v>1197</v>
      </c>
      <c r="H1002" s="16">
        <v>1.0</v>
      </c>
      <c r="I1002" s="23">
        <v>176.0</v>
      </c>
      <c r="J1002" s="23">
        <v>176.0</v>
      </c>
      <c r="K1002" s="16" t="s">
        <v>1195</v>
      </c>
      <c r="L1002" s="23">
        <v>1.0</v>
      </c>
      <c r="M1002" s="23">
        <v>48.0</v>
      </c>
      <c r="N1002" s="23">
        <v>48.0</v>
      </c>
      <c r="O1002" s="16" t="s">
        <v>1683</v>
      </c>
      <c r="P1002" s="23">
        <v>1.0</v>
      </c>
      <c r="Q1002" s="23">
        <v>30.0</v>
      </c>
      <c r="R1002" s="23">
        <v>30.0</v>
      </c>
      <c r="S1002" s="16">
        <v>7.9788768E7</v>
      </c>
      <c r="T1002" s="23">
        <v>1.0</v>
      </c>
      <c r="U1002" s="23">
        <v>22.0</v>
      </c>
      <c r="V1002" s="23">
        <v>22.0</v>
      </c>
      <c r="W1002" s="16"/>
      <c r="X1002" s="23"/>
      <c r="Y1002" s="23"/>
      <c r="Z1002" s="23">
        <v>0.0</v>
      </c>
      <c r="AA1002" s="16"/>
      <c r="AB1002" s="23"/>
      <c r="AC1002" s="23"/>
      <c r="AD1002" s="23">
        <v>0.0</v>
      </c>
      <c r="AE1002" s="16"/>
      <c r="AF1002" s="23"/>
      <c r="AG1002" s="23"/>
      <c r="AH1002" s="23">
        <v>0.0</v>
      </c>
      <c r="AI1002" s="16"/>
      <c r="AJ1002" s="23"/>
      <c r="AK1002" s="23"/>
      <c r="AL1002" s="23">
        <v>0.0</v>
      </c>
      <c r="AP1002" s="23">
        <v>0.0</v>
      </c>
      <c r="AT1002" s="23">
        <v>0.0</v>
      </c>
      <c r="AX1002" s="23">
        <v>0.0</v>
      </c>
      <c r="BF1002" s="23">
        <v>0.0</v>
      </c>
      <c r="BJ1002" s="23">
        <v>0.0</v>
      </c>
      <c r="BN1002" s="23">
        <v>0.0</v>
      </c>
      <c r="BO1002" s="23">
        <v>276.0</v>
      </c>
      <c r="BP1002" s="16" t="s">
        <v>5954</v>
      </c>
      <c r="BQ1002" s="16" t="b">
        <v>1</v>
      </c>
      <c r="BR1002" s="23">
        <v>276.0</v>
      </c>
      <c r="BS1002" s="16"/>
      <c r="BT1002" s="16" t="b">
        <v>0</v>
      </c>
      <c r="BU1002" s="16" t="s">
        <v>546</v>
      </c>
      <c r="BV1002" s="16"/>
      <c r="BW1002" s="16"/>
      <c r="BX1002" s="16"/>
      <c r="BY1002" s="16"/>
    </row>
    <row r="1003">
      <c r="A1003" s="16" t="s">
        <v>5958</v>
      </c>
      <c r="B1003" s="16" t="s">
        <v>35</v>
      </c>
      <c r="C1003" s="22">
        <v>45693.0</v>
      </c>
      <c r="D1003" s="16">
        <v>2.6065919E7</v>
      </c>
      <c r="E1003" s="16" t="s">
        <v>5960</v>
      </c>
      <c r="F1003" s="16" t="s">
        <v>5373</v>
      </c>
      <c r="G1003" s="16" t="s">
        <v>1022</v>
      </c>
      <c r="H1003" s="16">
        <v>1.0</v>
      </c>
      <c r="I1003" s="23">
        <v>268.86</v>
      </c>
      <c r="J1003" s="23">
        <v>268.86</v>
      </c>
      <c r="K1003" s="16"/>
      <c r="L1003" s="23"/>
      <c r="M1003" s="23"/>
      <c r="N1003" s="23">
        <v>0.0</v>
      </c>
      <c r="O1003" s="16"/>
      <c r="P1003" s="23"/>
      <c r="Q1003" s="23"/>
      <c r="R1003" s="23">
        <v>0.0</v>
      </c>
      <c r="S1003" s="16"/>
      <c r="T1003" s="23"/>
      <c r="U1003" s="23"/>
      <c r="V1003" s="23">
        <v>0.0</v>
      </c>
      <c r="W1003" s="16"/>
      <c r="X1003" s="23"/>
      <c r="Y1003" s="23"/>
      <c r="Z1003" s="23">
        <v>0.0</v>
      </c>
      <c r="AA1003" s="16"/>
      <c r="AB1003" s="23"/>
      <c r="AC1003" s="23"/>
      <c r="AD1003" s="23">
        <v>0.0</v>
      </c>
      <c r="AE1003" s="16"/>
      <c r="AF1003" s="23"/>
      <c r="AG1003" s="23"/>
      <c r="AH1003" s="23">
        <v>0.0</v>
      </c>
      <c r="AI1003" s="16"/>
      <c r="AJ1003" s="23"/>
      <c r="AK1003" s="23"/>
      <c r="AL1003" s="23">
        <v>0.0</v>
      </c>
      <c r="AP1003" s="23">
        <v>0.0</v>
      </c>
      <c r="AT1003" s="23">
        <v>0.0</v>
      </c>
      <c r="AX1003" s="23">
        <v>0.0</v>
      </c>
      <c r="BF1003" s="23">
        <v>0.0</v>
      </c>
      <c r="BJ1003" s="23">
        <v>0.0</v>
      </c>
      <c r="BN1003" s="23">
        <v>0.0</v>
      </c>
      <c r="BO1003" s="23">
        <v>268.86</v>
      </c>
      <c r="BP1003" s="16" t="s">
        <v>5961</v>
      </c>
      <c r="BQ1003" s="16" t="b">
        <v>1</v>
      </c>
      <c r="BR1003" s="23">
        <v>268.86</v>
      </c>
      <c r="BS1003" s="16">
        <v>1300889.0</v>
      </c>
      <c r="BT1003" s="16" t="b">
        <v>1</v>
      </c>
      <c r="BU1003" s="16" t="s">
        <v>546</v>
      </c>
      <c r="BV1003" s="16"/>
      <c r="BW1003" s="16"/>
      <c r="BX1003" s="16"/>
      <c r="BY1003" s="16"/>
    </row>
    <row r="1004">
      <c r="A1004" s="16" t="s">
        <v>5965</v>
      </c>
      <c r="B1004" s="16" t="s">
        <v>35</v>
      </c>
      <c r="C1004" s="22">
        <v>45693.0</v>
      </c>
      <c r="D1004" s="16" t="s">
        <v>5967</v>
      </c>
      <c r="E1004" s="16" t="s">
        <v>5968</v>
      </c>
      <c r="F1004" s="16" t="s">
        <v>5971</v>
      </c>
      <c r="G1004" s="16" t="s">
        <v>1136</v>
      </c>
      <c r="H1004" s="16">
        <v>1.0</v>
      </c>
      <c r="I1004" s="23">
        <v>30.0</v>
      </c>
      <c r="J1004" s="23">
        <v>30.0</v>
      </c>
      <c r="K1004" s="16"/>
      <c r="L1004" s="23"/>
      <c r="M1004" s="23"/>
      <c r="N1004" s="23">
        <v>0.0</v>
      </c>
      <c r="O1004" s="16"/>
      <c r="P1004" s="23"/>
      <c r="Q1004" s="23"/>
      <c r="R1004" s="23">
        <v>0.0</v>
      </c>
      <c r="S1004" s="16"/>
      <c r="T1004" s="23"/>
      <c r="U1004" s="23"/>
      <c r="V1004" s="23">
        <v>0.0</v>
      </c>
      <c r="W1004" s="16"/>
      <c r="X1004" s="23"/>
      <c r="Y1004" s="23"/>
      <c r="Z1004" s="23">
        <v>0.0</v>
      </c>
      <c r="AA1004" s="16"/>
      <c r="AB1004" s="23"/>
      <c r="AC1004" s="23"/>
      <c r="AD1004" s="23">
        <v>0.0</v>
      </c>
      <c r="AE1004" s="16"/>
      <c r="AF1004" s="23"/>
      <c r="AG1004" s="23"/>
      <c r="AH1004" s="23">
        <v>0.0</v>
      </c>
      <c r="AI1004" s="16"/>
      <c r="AJ1004" s="23"/>
      <c r="AK1004" s="23"/>
      <c r="AL1004" s="23">
        <v>0.0</v>
      </c>
      <c r="AP1004" s="23">
        <v>0.0</v>
      </c>
      <c r="AT1004" s="23">
        <v>0.0</v>
      </c>
      <c r="AX1004" s="23">
        <v>0.0</v>
      </c>
      <c r="BF1004" s="23">
        <v>0.0</v>
      </c>
      <c r="BJ1004" s="23">
        <v>0.0</v>
      </c>
      <c r="BN1004" s="23">
        <v>0.0</v>
      </c>
      <c r="BO1004" s="23">
        <v>30.0</v>
      </c>
      <c r="BP1004" s="16" t="s">
        <v>5970</v>
      </c>
      <c r="BQ1004" s="16" t="b">
        <v>1</v>
      </c>
      <c r="BR1004" s="23">
        <v>30.0</v>
      </c>
      <c r="BS1004" s="16">
        <v>1301034.0</v>
      </c>
      <c r="BT1004" s="16" t="b">
        <v>1</v>
      </c>
      <c r="BU1004" s="16" t="s">
        <v>546</v>
      </c>
      <c r="BV1004" s="16"/>
      <c r="BW1004" s="16"/>
      <c r="BX1004" s="16"/>
      <c r="BY1004" s="16"/>
    </row>
    <row r="1005">
      <c r="A1005" s="16" t="s">
        <v>5975</v>
      </c>
      <c r="B1005" s="16" t="s">
        <v>35</v>
      </c>
      <c r="C1005" s="22">
        <v>45695.0</v>
      </c>
      <c r="D1005" s="16" t="s">
        <v>112</v>
      </c>
      <c r="E1005" s="16" t="s">
        <v>5978</v>
      </c>
      <c r="F1005" s="16" t="s">
        <v>157</v>
      </c>
      <c r="G1005" s="16" t="s">
        <v>159</v>
      </c>
      <c r="H1005" s="16">
        <v>1.0</v>
      </c>
      <c r="I1005" s="23">
        <v>350.0</v>
      </c>
      <c r="J1005" s="23">
        <v>350.0</v>
      </c>
      <c r="K1005" s="16" t="s">
        <v>155</v>
      </c>
      <c r="L1005" s="23">
        <v>1.0</v>
      </c>
      <c r="M1005" s="23">
        <v>63.94</v>
      </c>
      <c r="N1005" s="23">
        <v>63.94</v>
      </c>
      <c r="O1005" s="16" t="s">
        <v>152</v>
      </c>
      <c r="P1005" s="23">
        <v>1.0</v>
      </c>
      <c r="Q1005" s="23">
        <v>13.35</v>
      </c>
      <c r="R1005" s="23">
        <v>13.35</v>
      </c>
      <c r="S1005" s="16" t="s">
        <v>226</v>
      </c>
      <c r="T1005" s="23">
        <v>1.0</v>
      </c>
      <c r="U1005" s="23">
        <v>150.0</v>
      </c>
      <c r="V1005" s="23">
        <v>150.0</v>
      </c>
      <c r="W1005" s="16"/>
      <c r="X1005" s="23"/>
      <c r="Y1005" s="23"/>
      <c r="Z1005" s="23">
        <v>0.0</v>
      </c>
      <c r="AA1005" s="16"/>
      <c r="AB1005" s="23"/>
      <c r="AC1005" s="23"/>
      <c r="AD1005" s="23">
        <v>0.0</v>
      </c>
      <c r="AE1005" s="16"/>
      <c r="AF1005" s="23"/>
      <c r="AG1005" s="23"/>
      <c r="AH1005" s="23">
        <v>0.0</v>
      </c>
      <c r="AI1005" s="16"/>
      <c r="AJ1005" s="23"/>
      <c r="AK1005" s="23"/>
      <c r="AL1005" s="23">
        <v>0.0</v>
      </c>
      <c r="AP1005" s="23">
        <v>0.0</v>
      </c>
      <c r="AT1005" s="23">
        <v>0.0</v>
      </c>
      <c r="AX1005" s="23">
        <v>0.0</v>
      </c>
      <c r="BF1005" s="23">
        <v>0.0</v>
      </c>
      <c r="BJ1005" s="23">
        <v>0.0</v>
      </c>
      <c r="BN1005" s="23">
        <v>0.0</v>
      </c>
      <c r="BO1005" s="23">
        <v>577.29</v>
      </c>
      <c r="BP1005" s="16" t="s">
        <v>5979</v>
      </c>
      <c r="BQ1005" s="16" t="b">
        <v>1</v>
      </c>
      <c r="BR1005" s="23">
        <v>577.29</v>
      </c>
      <c r="BS1005" s="16"/>
      <c r="BT1005" s="16" t="b">
        <v>0</v>
      </c>
      <c r="BU1005" s="16" t="s">
        <v>546</v>
      </c>
      <c r="BV1005" s="16"/>
      <c r="BW1005" s="16"/>
      <c r="BX1005" s="16"/>
      <c r="BY1005" s="16"/>
    </row>
    <row r="1006">
      <c r="A1006" s="16" t="s">
        <v>5983</v>
      </c>
      <c r="B1006" s="16" t="s">
        <v>35</v>
      </c>
      <c r="C1006" s="22">
        <v>45695.0</v>
      </c>
      <c r="D1006" s="16" t="s">
        <v>543</v>
      </c>
      <c r="E1006" s="16" t="s">
        <v>5985</v>
      </c>
      <c r="F1006" s="16" t="s">
        <v>171</v>
      </c>
      <c r="G1006" s="16">
        <v>1.2539885E7</v>
      </c>
      <c r="H1006" s="16">
        <v>1.0</v>
      </c>
      <c r="I1006" s="23">
        <v>300.0</v>
      </c>
      <c r="J1006" s="23">
        <v>300.0</v>
      </c>
      <c r="K1006" s="16"/>
      <c r="L1006" s="23"/>
      <c r="M1006" s="23"/>
      <c r="N1006" s="23">
        <v>0.0</v>
      </c>
      <c r="O1006" s="16"/>
      <c r="P1006" s="23"/>
      <c r="Q1006" s="23"/>
      <c r="R1006" s="23">
        <v>0.0</v>
      </c>
      <c r="S1006" s="16"/>
      <c r="T1006" s="23"/>
      <c r="U1006" s="23"/>
      <c r="V1006" s="23">
        <v>0.0</v>
      </c>
      <c r="W1006" s="16"/>
      <c r="X1006" s="23"/>
      <c r="Y1006" s="23"/>
      <c r="Z1006" s="23">
        <v>0.0</v>
      </c>
      <c r="AA1006" s="16"/>
      <c r="AB1006" s="23"/>
      <c r="AC1006" s="23"/>
      <c r="AD1006" s="23">
        <v>0.0</v>
      </c>
      <c r="AE1006" s="16"/>
      <c r="AF1006" s="23"/>
      <c r="AG1006" s="23"/>
      <c r="AH1006" s="23">
        <v>0.0</v>
      </c>
      <c r="AI1006" s="16"/>
      <c r="AJ1006" s="23"/>
      <c r="AK1006" s="23"/>
      <c r="AL1006" s="23">
        <v>0.0</v>
      </c>
      <c r="AP1006" s="23">
        <v>0.0</v>
      </c>
      <c r="AT1006" s="23">
        <v>0.0</v>
      </c>
      <c r="AX1006" s="23">
        <v>0.0</v>
      </c>
      <c r="BF1006" s="23">
        <v>0.0</v>
      </c>
      <c r="BJ1006" s="23">
        <v>0.0</v>
      </c>
      <c r="BN1006" s="23">
        <v>0.0</v>
      </c>
      <c r="BO1006" s="23">
        <v>300.0</v>
      </c>
      <c r="BP1006" s="16" t="s">
        <v>5987</v>
      </c>
      <c r="BQ1006" s="16" t="b">
        <v>1</v>
      </c>
      <c r="BR1006" s="23">
        <v>300.0</v>
      </c>
      <c r="BS1006" s="16"/>
      <c r="BT1006" s="16" t="b">
        <v>0</v>
      </c>
      <c r="BU1006" s="16" t="s">
        <v>546</v>
      </c>
      <c r="BV1006" s="16"/>
      <c r="BW1006" s="16"/>
      <c r="BX1006" s="16"/>
      <c r="BY1006" s="16"/>
    </row>
    <row r="1007">
      <c r="A1007" s="16" t="s">
        <v>5991</v>
      </c>
      <c r="B1007" s="16" t="s">
        <v>35</v>
      </c>
      <c r="C1007" s="22">
        <v>45692.0</v>
      </c>
      <c r="D1007" s="16" t="s">
        <v>1414</v>
      </c>
      <c r="E1007" s="16" t="s">
        <v>5993</v>
      </c>
      <c r="F1007" s="16" t="s">
        <v>5996</v>
      </c>
      <c r="G1007" s="16" t="s">
        <v>1757</v>
      </c>
      <c r="H1007" s="16">
        <v>1.0</v>
      </c>
      <c r="I1007" s="23">
        <v>50.0</v>
      </c>
      <c r="J1007" s="23">
        <v>50.0</v>
      </c>
      <c r="K1007" s="16"/>
      <c r="L1007" s="23"/>
      <c r="M1007" s="23"/>
      <c r="N1007" s="23">
        <v>0.0</v>
      </c>
      <c r="O1007" s="16"/>
      <c r="P1007" s="23"/>
      <c r="Q1007" s="23"/>
      <c r="R1007" s="23">
        <v>0.0</v>
      </c>
      <c r="S1007" s="16"/>
      <c r="T1007" s="23"/>
      <c r="U1007" s="23"/>
      <c r="V1007" s="23">
        <v>0.0</v>
      </c>
      <c r="W1007" s="16"/>
      <c r="X1007" s="23"/>
      <c r="Y1007" s="23"/>
      <c r="Z1007" s="23">
        <v>0.0</v>
      </c>
      <c r="AA1007" s="16"/>
      <c r="AB1007" s="23"/>
      <c r="AC1007" s="23"/>
      <c r="AD1007" s="23">
        <v>0.0</v>
      </c>
      <c r="AE1007" s="16"/>
      <c r="AF1007" s="23"/>
      <c r="AG1007" s="23"/>
      <c r="AH1007" s="23">
        <v>0.0</v>
      </c>
      <c r="AI1007" s="16"/>
      <c r="AJ1007" s="23"/>
      <c r="AK1007" s="23"/>
      <c r="AL1007" s="23">
        <v>0.0</v>
      </c>
      <c r="AP1007" s="23">
        <v>0.0</v>
      </c>
      <c r="AT1007" s="23">
        <v>0.0</v>
      </c>
      <c r="AX1007" s="23">
        <v>0.0</v>
      </c>
      <c r="BF1007" s="23">
        <v>0.0</v>
      </c>
      <c r="BJ1007" s="23">
        <v>0.0</v>
      </c>
      <c r="BN1007" s="23">
        <v>0.0</v>
      </c>
      <c r="BO1007" s="23">
        <v>50.0</v>
      </c>
      <c r="BP1007" s="16" t="s">
        <v>5995</v>
      </c>
      <c r="BQ1007" s="16" t="b">
        <v>1</v>
      </c>
      <c r="BR1007" s="23">
        <v>50.0</v>
      </c>
      <c r="BS1007" s="16">
        <v>1299654.0</v>
      </c>
      <c r="BT1007" s="16" t="b">
        <v>1</v>
      </c>
      <c r="BU1007" s="16" t="s">
        <v>546</v>
      </c>
      <c r="BV1007" s="16"/>
      <c r="BW1007" s="16"/>
      <c r="BX1007" s="16"/>
      <c r="BY1007" s="16"/>
    </row>
    <row r="1008">
      <c r="A1008" s="16" t="s">
        <v>6000</v>
      </c>
      <c r="B1008" s="16" t="s">
        <v>35</v>
      </c>
      <c r="C1008" s="22">
        <v>45696.0</v>
      </c>
      <c r="D1008" s="16" t="s">
        <v>112</v>
      </c>
      <c r="E1008" s="16" t="s">
        <v>6002</v>
      </c>
      <c r="F1008" s="16" t="s">
        <v>157</v>
      </c>
      <c r="G1008" s="16" t="s">
        <v>159</v>
      </c>
      <c r="H1008" s="16">
        <v>1.0</v>
      </c>
      <c r="I1008" s="23">
        <v>112.0</v>
      </c>
      <c r="J1008" s="23">
        <v>112.0</v>
      </c>
      <c r="K1008" s="16" t="s">
        <v>155</v>
      </c>
      <c r="L1008" s="23">
        <v>1.0</v>
      </c>
      <c r="M1008" s="23">
        <v>28.35</v>
      </c>
      <c r="N1008" s="23">
        <v>28.35</v>
      </c>
      <c r="O1008" s="16"/>
      <c r="P1008" s="23"/>
      <c r="Q1008" s="23"/>
      <c r="R1008" s="23">
        <v>0.0</v>
      </c>
      <c r="S1008" s="16"/>
      <c r="T1008" s="23"/>
      <c r="U1008" s="23"/>
      <c r="V1008" s="23">
        <v>0.0</v>
      </c>
      <c r="W1008" s="16"/>
      <c r="X1008" s="23"/>
      <c r="Y1008" s="23"/>
      <c r="Z1008" s="23">
        <v>0.0</v>
      </c>
      <c r="AA1008" s="16"/>
      <c r="AB1008" s="23"/>
      <c r="AC1008" s="23"/>
      <c r="AD1008" s="23">
        <v>0.0</v>
      </c>
      <c r="AE1008" s="16"/>
      <c r="AF1008" s="23"/>
      <c r="AG1008" s="23"/>
      <c r="AH1008" s="23">
        <v>0.0</v>
      </c>
      <c r="AI1008" s="16"/>
      <c r="AJ1008" s="23"/>
      <c r="AK1008" s="23"/>
      <c r="AL1008" s="23">
        <v>0.0</v>
      </c>
      <c r="AP1008" s="23">
        <v>0.0</v>
      </c>
      <c r="AT1008" s="23">
        <v>0.0</v>
      </c>
      <c r="AX1008" s="23">
        <v>0.0</v>
      </c>
      <c r="BF1008" s="23">
        <v>0.0</v>
      </c>
      <c r="BJ1008" s="23">
        <v>0.0</v>
      </c>
      <c r="BN1008" s="23">
        <v>0.0</v>
      </c>
      <c r="BO1008" s="23">
        <v>140.35</v>
      </c>
      <c r="BP1008" s="16" t="s">
        <v>6004</v>
      </c>
      <c r="BQ1008" s="16" t="b">
        <v>1</v>
      </c>
      <c r="BR1008" s="23">
        <v>140.35</v>
      </c>
      <c r="BS1008" s="16"/>
      <c r="BT1008" s="16" t="b">
        <v>0</v>
      </c>
      <c r="BU1008" s="16" t="s">
        <v>546</v>
      </c>
      <c r="BV1008" s="16"/>
      <c r="BW1008" s="16"/>
      <c r="BX1008" s="16"/>
      <c r="BY1008" s="16"/>
    </row>
    <row r="1009">
      <c r="A1009" s="16" t="s">
        <v>6007</v>
      </c>
      <c r="B1009" s="16" t="s">
        <v>35</v>
      </c>
      <c r="C1009" s="22">
        <v>45698.0</v>
      </c>
      <c r="D1009" s="16" t="s">
        <v>6008</v>
      </c>
      <c r="E1009" s="16" t="s">
        <v>6009</v>
      </c>
      <c r="F1009" s="16" t="s">
        <v>171</v>
      </c>
      <c r="G1009" s="16">
        <v>1.2539885E7</v>
      </c>
      <c r="H1009" s="16">
        <v>1.0</v>
      </c>
      <c r="I1009" s="23">
        <v>500.0</v>
      </c>
      <c r="J1009" s="23">
        <v>500.0</v>
      </c>
      <c r="K1009" s="16"/>
      <c r="L1009" s="23"/>
      <c r="M1009" s="23"/>
      <c r="N1009" s="23">
        <v>0.0</v>
      </c>
      <c r="O1009" s="16"/>
      <c r="P1009" s="23"/>
      <c r="Q1009" s="23"/>
      <c r="R1009" s="23">
        <v>0.0</v>
      </c>
      <c r="S1009" s="16"/>
      <c r="T1009" s="23"/>
      <c r="U1009" s="23"/>
      <c r="V1009" s="23">
        <v>0.0</v>
      </c>
      <c r="W1009" s="16"/>
      <c r="X1009" s="23"/>
      <c r="Y1009" s="23"/>
      <c r="Z1009" s="23">
        <v>0.0</v>
      </c>
      <c r="AA1009" s="16"/>
      <c r="AB1009" s="23"/>
      <c r="AC1009" s="23"/>
      <c r="AD1009" s="23">
        <v>0.0</v>
      </c>
      <c r="AE1009" s="16"/>
      <c r="AF1009" s="23"/>
      <c r="AG1009" s="23"/>
      <c r="AH1009" s="23">
        <v>0.0</v>
      </c>
      <c r="AI1009" s="16"/>
      <c r="AJ1009" s="23"/>
      <c r="AK1009" s="23"/>
      <c r="AL1009" s="23">
        <v>0.0</v>
      </c>
      <c r="AP1009" s="23">
        <v>0.0</v>
      </c>
      <c r="AT1009" s="23">
        <v>0.0</v>
      </c>
      <c r="AX1009" s="23">
        <v>0.0</v>
      </c>
      <c r="BF1009" s="23">
        <v>0.0</v>
      </c>
      <c r="BJ1009" s="23">
        <v>0.0</v>
      </c>
      <c r="BN1009" s="23">
        <v>0.0</v>
      </c>
      <c r="BO1009" s="23">
        <v>500.0</v>
      </c>
      <c r="BP1009" s="16" t="s">
        <v>6011</v>
      </c>
      <c r="BQ1009" s="16" t="b">
        <v>1</v>
      </c>
      <c r="BR1009" s="23">
        <v>500.0</v>
      </c>
      <c r="BS1009" s="16"/>
      <c r="BT1009" s="16" t="b">
        <v>0</v>
      </c>
      <c r="BU1009" s="16" t="s">
        <v>546</v>
      </c>
      <c r="BV1009" s="16"/>
      <c r="BW1009" s="16"/>
      <c r="BX1009" s="16"/>
      <c r="BY1009" s="16"/>
    </row>
    <row r="1010">
      <c r="A1010" s="16" t="s">
        <v>6013</v>
      </c>
      <c r="B1010" s="16" t="s">
        <v>35</v>
      </c>
      <c r="C1010" s="22">
        <v>45698.0</v>
      </c>
      <c r="D1010" s="16" t="s">
        <v>112</v>
      </c>
      <c r="E1010" s="16" t="s">
        <v>6015</v>
      </c>
      <c r="F1010" s="16" t="s">
        <v>157</v>
      </c>
      <c r="G1010" s="16" t="s">
        <v>159</v>
      </c>
      <c r="H1010" s="16">
        <v>1.0</v>
      </c>
      <c r="I1010" s="23">
        <v>140.0</v>
      </c>
      <c r="J1010" s="23">
        <v>140.0</v>
      </c>
      <c r="K1010" s="16" t="s">
        <v>155</v>
      </c>
      <c r="L1010" s="23">
        <v>1.0</v>
      </c>
      <c r="M1010" s="23">
        <v>18.2</v>
      </c>
      <c r="N1010" s="23">
        <v>18.2</v>
      </c>
      <c r="O1010" s="16" t="s">
        <v>152</v>
      </c>
      <c r="P1010" s="23">
        <v>1.0</v>
      </c>
      <c r="Q1010" s="23">
        <v>7.5</v>
      </c>
      <c r="R1010" s="23">
        <v>7.5</v>
      </c>
      <c r="S1010" s="16"/>
      <c r="T1010" s="23"/>
      <c r="U1010" s="23"/>
      <c r="V1010" s="23">
        <v>0.0</v>
      </c>
      <c r="W1010" s="16"/>
      <c r="X1010" s="23"/>
      <c r="Y1010" s="23"/>
      <c r="Z1010" s="23">
        <v>0.0</v>
      </c>
      <c r="AA1010" s="16"/>
      <c r="AB1010" s="23"/>
      <c r="AC1010" s="23"/>
      <c r="AD1010" s="23">
        <v>0.0</v>
      </c>
      <c r="AE1010" s="16"/>
      <c r="AF1010" s="23"/>
      <c r="AG1010" s="23"/>
      <c r="AH1010" s="23">
        <v>0.0</v>
      </c>
      <c r="AI1010" s="16"/>
      <c r="AJ1010" s="23"/>
      <c r="AK1010" s="23"/>
      <c r="AL1010" s="23">
        <v>0.0</v>
      </c>
      <c r="AP1010" s="23">
        <v>0.0</v>
      </c>
      <c r="AT1010" s="23">
        <v>0.0</v>
      </c>
      <c r="AX1010" s="23">
        <v>0.0</v>
      </c>
      <c r="BF1010" s="23">
        <v>0.0</v>
      </c>
      <c r="BJ1010" s="23">
        <v>0.0</v>
      </c>
      <c r="BN1010" s="23">
        <v>0.0</v>
      </c>
      <c r="BO1010" s="23">
        <v>165.7</v>
      </c>
      <c r="BP1010" s="16" t="s">
        <v>6016</v>
      </c>
      <c r="BQ1010" s="16" t="b">
        <v>1</v>
      </c>
      <c r="BR1010" s="23">
        <v>165.2</v>
      </c>
      <c r="BS1010" s="16"/>
      <c r="BT1010" s="16" t="b">
        <v>0</v>
      </c>
      <c r="BU1010" s="16" t="s">
        <v>546</v>
      </c>
      <c r="BV1010" s="16"/>
      <c r="BW1010" s="16"/>
      <c r="BX1010" s="16"/>
      <c r="BY1010" s="16"/>
    </row>
    <row r="1011">
      <c r="A1011" s="16" t="s">
        <v>6019</v>
      </c>
      <c r="B1011" s="16" t="s">
        <v>35</v>
      </c>
      <c r="C1011" s="22">
        <v>45699.0</v>
      </c>
      <c r="D1011" s="16" t="s">
        <v>3716</v>
      </c>
      <c r="E1011" s="16" t="s">
        <v>6021</v>
      </c>
      <c r="F1011" s="16" t="s">
        <v>6025</v>
      </c>
      <c r="G1011" s="16" t="s">
        <v>1080</v>
      </c>
      <c r="H1011" s="16">
        <v>1.0</v>
      </c>
      <c r="I1011" s="23">
        <v>208.5</v>
      </c>
      <c r="J1011" s="23">
        <v>208.5</v>
      </c>
      <c r="K1011" s="16"/>
      <c r="L1011" s="23"/>
      <c r="M1011" s="23"/>
      <c r="N1011" s="23">
        <v>0.0</v>
      </c>
      <c r="O1011" s="16"/>
      <c r="P1011" s="23"/>
      <c r="Q1011" s="23"/>
      <c r="R1011" s="23">
        <v>0.0</v>
      </c>
      <c r="S1011" s="16"/>
      <c r="T1011" s="23"/>
      <c r="U1011" s="23"/>
      <c r="V1011" s="23">
        <v>0.0</v>
      </c>
      <c r="W1011" s="16"/>
      <c r="X1011" s="23"/>
      <c r="Y1011" s="23"/>
      <c r="Z1011" s="23">
        <v>0.0</v>
      </c>
      <c r="AA1011" s="16"/>
      <c r="AB1011" s="23"/>
      <c r="AC1011" s="23"/>
      <c r="AD1011" s="23">
        <v>0.0</v>
      </c>
      <c r="AE1011" s="16"/>
      <c r="AF1011" s="23"/>
      <c r="AG1011" s="23"/>
      <c r="AH1011" s="23">
        <v>0.0</v>
      </c>
      <c r="AI1011" s="16"/>
      <c r="AJ1011" s="23"/>
      <c r="AK1011" s="23"/>
      <c r="AL1011" s="23">
        <v>0.0</v>
      </c>
      <c r="AP1011" s="23">
        <v>0.0</v>
      </c>
      <c r="AT1011" s="23">
        <v>0.0</v>
      </c>
      <c r="AX1011" s="23">
        <v>0.0</v>
      </c>
      <c r="BF1011" s="23">
        <v>0.0</v>
      </c>
      <c r="BJ1011" s="23">
        <v>0.0</v>
      </c>
      <c r="BN1011" s="23">
        <v>0.0</v>
      </c>
      <c r="BO1011" s="23">
        <v>208.5</v>
      </c>
      <c r="BP1011" s="16" t="s">
        <v>6023</v>
      </c>
      <c r="BQ1011" s="16" t="b">
        <v>1</v>
      </c>
      <c r="BR1011" s="23">
        <v>208.5</v>
      </c>
      <c r="BS1011" s="16">
        <v>1313344.0</v>
      </c>
      <c r="BT1011" s="16" t="b">
        <v>1</v>
      </c>
      <c r="BU1011" s="16" t="s">
        <v>546</v>
      </c>
      <c r="BV1011" s="16"/>
      <c r="BW1011" s="16"/>
      <c r="BX1011" s="16"/>
      <c r="BY1011" s="16"/>
    </row>
    <row r="1012">
      <c r="A1012" s="16" t="s">
        <v>6027</v>
      </c>
      <c r="B1012" s="16" t="s">
        <v>35</v>
      </c>
      <c r="C1012" s="22">
        <v>45699.0</v>
      </c>
      <c r="D1012" s="16" t="s">
        <v>2248</v>
      </c>
      <c r="E1012" s="16"/>
      <c r="F1012" s="16" t="s">
        <v>2549</v>
      </c>
      <c r="G1012" s="16" t="s">
        <v>3218</v>
      </c>
      <c r="H1012" s="16">
        <v>1.0</v>
      </c>
      <c r="I1012" s="23">
        <v>354.04</v>
      </c>
      <c r="J1012" s="23">
        <v>354.04</v>
      </c>
      <c r="K1012" s="16"/>
      <c r="L1012" s="23"/>
      <c r="M1012" s="23"/>
      <c r="N1012" s="23"/>
      <c r="O1012" s="16"/>
      <c r="P1012" s="23"/>
      <c r="Q1012" s="23"/>
      <c r="R1012" s="23"/>
      <c r="S1012" s="16"/>
      <c r="T1012" s="23"/>
      <c r="U1012" s="23"/>
      <c r="V1012" s="23"/>
      <c r="W1012" s="16"/>
      <c r="X1012" s="23"/>
      <c r="Y1012" s="23"/>
      <c r="Z1012" s="23"/>
      <c r="AA1012" s="16"/>
      <c r="AB1012" s="23"/>
      <c r="AC1012" s="23"/>
      <c r="AD1012" s="23"/>
      <c r="AE1012" s="16"/>
      <c r="AF1012" s="23"/>
      <c r="AG1012" s="23"/>
      <c r="AH1012" s="23"/>
      <c r="AI1012" s="16"/>
      <c r="AJ1012" s="23"/>
      <c r="AK1012" s="23"/>
      <c r="AL1012" s="23"/>
      <c r="AP1012" s="23"/>
      <c r="AT1012" s="23"/>
      <c r="AX1012" s="23"/>
      <c r="BF1012" s="23"/>
      <c r="BJ1012" s="23"/>
      <c r="BN1012" s="23"/>
      <c r="BO1012" s="23">
        <v>354.04</v>
      </c>
      <c r="BP1012" s="16"/>
      <c r="BQ1012" s="16"/>
      <c r="BR1012" s="23">
        <v>354.04</v>
      </c>
      <c r="BS1012" s="16"/>
      <c r="BT1012" s="16"/>
      <c r="BU1012" s="16" t="s">
        <v>539</v>
      </c>
      <c r="BV1012" s="16"/>
      <c r="BW1012" s="16"/>
      <c r="BX1012" s="16"/>
      <c r="BY1012" s="16"/>
    </row>
    <row r="1013">
      <c r="A1013" s="16" t="s">
        <v>6032</v>
      </c>
      <c r="B1013" s="16" t="s">
        <v>35</v>
      </c>
      <c r="C1013" s="22">
        <v>45699.0</v>
      </c>
      <c r="D1013" s="16" t="s">
        <v>890</v>
      </c>
      <c r="E1013" s="16"/>
      <c r="F1013" s="16" t="s">
        <v>4010</v>
      </c>
      <c r="G1013" s="16" t="s">
        <v>4831</v>
      </c>
      <c r="H1013" s="16">
        <v>1.0</v>
      </c>
      <c r="I1013" s="23">
        <v>375.0</v>
      </c>
      <c r="J1013" s="23">
        <v>375.0</v>
      </c>
      <c r="K1013" s="16"/>
      <c r="L1013" s="23"/>
      <c r="M1013" s="23"/>
      <c r="N1013" s="23"/>
      <c r="O1013" s="16"/>
      <c r="P1013" s="23"/>
      <c r="Q1013" s="23"/>
      <c r="R1013" s="23"/>
      <c r="S1013" s="16"/>
      <c r="T1013" s="23"/>
      <c r="U1013" s="23"/>
      <c r="V1013" s="23"/>
      <c r="W1013" s="16"/>
      <c r="X1013" s="23"/>
      <c r="Y1013" s="23"/>
      <c r="Z1013" s="23"/>
      <c r="AA1013" s="16"/>
      <c r="AB1013" s="23"/>
      <c r="AC1013" s="23"/>
      <c r="AD1013" s="23"/>
      <c r="AE1013" s="16"/>
      <c r="AF1013" s="23"/>
      <c r="AG1013" s="23"/>
      <c r="AH1013" s="23"/>
      <c r="AI1013" s="16"/>
      <c r="AJ1013" s="23"/>
      <c r="AK1013" s="23"/>
      <c r="AL1013" s="23"/>
      <c r="AP1013" s="23"/>
      <c r="AT1013" s="23"/>
      <c r="AX1013" s="23"/>
      <c r="BF1013" s="23"/>
      <c r="BJ1013" s="23"/>
      <c r="BN1013" s="23"/>
      <c r="BO1013" s="23">
        <v>375.0</v>
      </c>
      <c r="BP1013" s="16"/>
      <c r="BQ1013" s="16"/>
      <c r="BR1013" s="23">
        <v>375.0</v>
      </c>
      <c r="BS1013" s="16"/>
      <c r="BT1013" s="16"/>
      <c r="BU1013" s="16" t="s">
        <v>539</v>
      </c>
      <c r="BV1013" s="16"/>
      <c r="BW1013" s="16"/>
      <c r="BX1013" s="16"/>
      <c r="BY1013" s="16"/>
    </row>
    <row r="1014">
      <c r="A1014" s="16" t="s">
        <v>6038</v>
      </c>
      <c r="B1014" s="16" t="s">
        <v>35</v>
      </c>
      <c r="C1014" s="22">
        <v>45700.0</v>
      </c>
      <c r="D1014" s="16" t="s">
        <v>764</v>
      </c>
      <c r="E1014" s="16" t="s">
        <v>6041</v>
      </c>
      <c r="F1014" s="16" t="s">
        <v>195</v>
      </c>
      <c r="G1014" s="16" t="s">
        <v>1384</v>
      </c>
      <c r="H1014" s="16">
        <v>2.0</v>
      </c>
      <c r="I1014" s="23">
        <v>18.0</v>
      </c>
      <c r="J1014" s="23">
        <v>36.0</v>
      </c>
      <c r="K1014" s="16" t="s">
        <v>1404</v>
      </c>
      <c r="L1014" s="23">
        <v>1.0</v>
      </c>
      <c r="M1014" s="23">
        <v>65.0</v>
      </c>
      <c r="N1014" s="23">
        <v>65.0</v>
      </c>
      <c r="O1014" s="16" t="s">
        <v>1074</v>
      </c>
      <c r="P1014" s="23">
        <v>5.0</v>
      </c>
      <c r="Q1014" s="23">
        <v>38.0</v>
      </c>
      <c r="R1014" s="23">
        <v>190.0</v>
      </c>
      <c r="S1014" s="16" t="s">
        <v>1077</v>
      </c>
      <c r="T1014" s="23">
        <v>4.0</v>
      </c>
      <c r="U1014" s="23">
        <v>25.8</v>
      </c>
      <c r="V1014" s="23">
        <v>103.2</v>
      </c>
      <c r="W1014" s="16" t="s">
        <v>1079</v>
      </c>
      <c r="X1014" s="23">
        <v>25.0</v>
      </c>
      <c r="Y1014" s="23">
        <v>16.6</v>
      </c>
      <c r="Z1014" s="23">
        <v>415.0</v>
      </c>
      <c r="AA1014" s="16" t="s">
        <v>1081</v>
      </c>
      <c r="AB1014" s="23">
        <v>3.0</v>
      </c>
      <c r="AC1014" s="23">
        <v>48.0</v>
      </c>
      <c r="AD1014" s="23">
        <v>144.0</v>
      </c>
      <c r="AE1014" s="16" t="s">
        <v>1075</v>
      </c>
      <c r="AF1014" s="23">
        <v>3.0</v>
      </c>
      <c r="AG1014" s="23">
        <v>38.0</v>
      </c>
      <c r="AH1014" s="23">
        <v>114.0</v>
      </c>
      <c r="AI1014" s="16" t="s">
        <v>1074</v>
      </c>
      <c r="AJ1014" s="23">
        <v>1.0</v>
      </c>
      <c r="AK1014" s="23">
        <v>77.0</v>
      </c>
      <c r="AL1014" s="23">
        <v>77.0</v>
      </c>
      <c r="AM1014" s="16" t="s">
        <v>1081</v>
      </c>
      <c r="AN1014" s="23">
        <v>2.0</v>
      </c>
      <c r="AO1014" s="23">
        <v>48.0</v>
      </c>
      <c r="AP1014" s="23">
        <v>96.0</v>
      </c>
      <c r="AT1014" s="23">
        <v>0.0</v>
      </c>
      <c r="AX1014" s="23">
        <v>0.0</v>
      </c>
      <c r="BF1014" s="23">
        <v>0.0</v>
      </c>
      <c r="BJ1014" s="23">
        <v>0.0</v>
      </c>
      <c r="BN1014" s="23">
        <v>0.0</v>
      </c>
      <c r="BO1014" s="23">
        <v>1240.2</v>
      </c>
      <c r="BP1014" s="16" t="s">
        <v>6043</v>
      </c>
      <c r="BQ1014" s="16" t="b">
        <v>1</v>
      </c>
      <c r="BR1014" s="23">
        <v>1240.2</v>
      </c>
      <c r="BS1014" s="16"/>
      <c r="BT1014" s="16" t="b">
        <v>0</v>
      </c>
      <c r="BU1014" s="16" t="s">
        <v>546</v>
      </c>
      <c r="BV1014" s="16"/>
      <c r="BW1014" s="16" t="s">
        <v>6045</v>
      </c>
      <c r="BX1014" s="16"/>
      <c r="BY1014" s="16"/>
    </row>
    <row r="1015">
      <c r="A1015" s="16" t="s">
        <v>6048</v>
      </c>
      <c r="B1015" s="16" t="s">
        <v>35</v>
      </c>
      <c r="C1015" s="22">
        <v>45700.0</v>
      </c>
      <c r="D1015" s="16" t="s">
        <v>420</v>
      </c>
      <c r="E1015" s="16" t="s">
        <v>6051</v>
      </c>
      <c r="F1015" s="16" t="s">
        <v>6054</v>
      </c>
      <c r="G1015" s="16" t="s">
        <v>794</v>
      </c>
      <c r="H1015" s="16">
        <v>1.0</v>
      </c>
      <c r="I1015" s="23">
        <v>401.8</v>
      </c>
      <c r="J1015" s="23">
        <v>401.8</v>
      </c>
      <c r="K1015" s="16" t="s">
        <v>1350</v>
      </c>
      <c r="L1015" s="23">
        <v>1.0</v>
      </c>
      <c r="M1015" s="23">
        <v>177.74</v>
      </c>
      <c r="N1015" s="23">
        <v>177.74</v>
      </c>
      <c r="O1015" s="16" t="s">
        <v>249</v>
      </c>
      <c r="P1015" s="23">
        <v>1.0</v>
      </c>
      <c r="Q1015" s="23">
        <v>1737.94</v>
      </c>
      <c r="R1015" s="23">
        <v>1737.94</v>
      </c>
      <c r="S1015" s="16"/>
      <c r="T1015" s="23"/>
      <c r="U1015" s="23"/>
      <c r="V1015" s="23">
        <v>0.0</v>
      </c>
      <c r="W1015" s="16"/>
      <c r="X1015" s="23"/>
      <c r="Y1015" s="23"/>
      <c r="Z1015" s="23">
        <v>0.0</v>
      </c>
      <c r="AA1015" s="16"/>
      <c r="AB1015" s="23"/>
      <c r="AC1015" s="23"/>
      <c r="AD1015" s="23">
        <v>0.0</v>
      </c>
      <c r="AE1015" s="16"/>
      <c r="AF1015" s="23"/>
      <c r="AG1015" s="23"/>
      <c r="AH1015" s="23">
        <v>0.0</v>
      </c>
      <c r="AI1015" s="16"/>
      <c r="AJ1015" s="23"/>
      <c r="AK1015" s="23"/>
      <c r="AL1015" s="23">
        <v>0.0</v>
      </c>
      <c r="AM1015" s="16"/>
      <c r="AN1015" s="23"/>
      <c r="AO1015" s="23"/>
      <c r="AP1015" s="23">
        <v>0.0</v>
      </c>
      <c r="AT1015" s="23">
        <v>0.0</v>
      </c>
      <c r="AX1015" s="23">
        <v>0.0</v>
      </c>
      <c r="BF1015" s="23">
        <v>0.0</v>
      </c>
      <c r="BJ1015" s="23">
        <v>0.0</v>
      </c>
      <c r="BN1015" s="23">
        <v>0.0</v>
      </c>
      <c r="BO1015" s="23">
        <v>2317.48</v>
      </c>
      <c r="BP1015" s="16" t="s">
        <v>6053</v>
      </c>
      <c r="BQ1015" s="16" t="b">
        <v>1</v>
      </c>
      <c r="BR1015" s="23">
        <v>2317.48</v>
      </c>
      <c r="BS1015" s="16"/>
      <c r="BT1015" s="16" t="b">
        <v>0</v>
      </c>
      <c r="BU1015" s="16" t="s">
        <v>546</v>
      </c>
      <c r="BV1015" s="16"/>
      <c r="BW1015" s="16" t="s">
        <v>6056</v>
      </c>
      <c r="BX1015" s="16"/>
      <c r="BY1015" s="16"/>
    </row>
    <row r="1016">
      <c r="A1016" s="16">
        <v>1.93579329E8</v>
      </c>
      <c r="B1016" s="16" t="s">
        <v>35</v>
      </c>
      <c r="C1016" s="22">
        <v>45701.0</v>
      </c>
      <c r="D1016" s="16"/>
      <c r="E1016" s="16"/>
      <c r="F1016" s="16" t="s">
        <v>1329</v>
      </c>
      <c r="G1016" s="16" t="s">
        <v>1168</v>
      </c>
      <c r="H1016" s="16">
        <v>1.0</v>
      </c>
      <c r="I1016" s="23">
        <v>500.0</v>
      </c>
      <c r="J1016" s="23">
        <v>500.0</v>
      </c>
      <c r="K1016" s="16"/>
      <c r="L1016" s="23"/>
      <c r="M1016" s="23"/>
      <c r="N1016" s="23"/>
      <c r="O1016" s="16"/>
      <c r="P1016" s="23"/>
      <c r="Q1016" s="23"/>
      <c r="R1016" s="23"/>
      <c r="S1016" s="16"/>
      <c r="T1016" s="23"/>
      <c r="U1016" s="23"/>
      <c r="V1016" s="23"/>
      <c r="W1016" s="16"/>
      <c r="X1016" s="23"/>
      <c r="Y1016" s="23"/>
      <c r="Z1016" s="23"/>
      <c r="AA1016" s="16"/>
      <c r="AB1016" s="23"/>
      <c r="AC1016" s="23"/>
      <c r="AD1016" s="23"/>
      <c r="AE1016" s="16"/>
      <c r="AF1016" s="23"/>
      <c r="AG1016" s="23"/>
      <c r="AH1016" s="23"/>
      <c r="AI1016" s="16"/>
      <c r="AJ1016" s="23"/>
      <c r="AK1016" s="23"/>
      <c r="AL1016" s="23"/>
      <c r="AM1016" s="16"/>
      <c r="AN1016" s="23"/>
      <c r="AO1016" s="23"/>
      <c r="AP1016" s="23"/>
      <c r="AT1016" s="23"/>
      <c r="AX1016" s="23"/>
      <c r="BF1016" s="23"/>
      <c r="BJ1016" s="23"/>
      <c r="BN1016" s="23"/>
      <c r="BO1016" s="23">
        <v>500.0</v>
      </c>
      <c r="BP1016" s="16"/>
      <c r="BQ1016" s="16"/>
      <c r="BR1016" s="23">
        <v>500.0</v>
      </c>
      <c r="BS1016" s="16"/>
      <c r="BT1016" s="16"/>
      <c r="BU1016" s="16" t="s">
        <v>2051</v>
      </c>
      <c r="BV1016" s="16" t="s">
        <v>6062</v>
      </c>
      <c r="BW1016" s="16"/>
      <c r="BX1016" s="16"/>
      <c r="BY1016" s="16"/>
    </row>
    <row r="1017">
      <c r="A1017" s="16" t="s">
        <v>6065</v>
      </c>
      <c r="B1017" s="16" t="s">
        <v>35</v>
      </c>
      <c r="C1017" s="22">
        <v>45702.0</v>
      </c>
      <c r="D1017" s="16" t="s">
        <v>890</v>
      </c>
      <c r="E1017" s="16"/>
      <c r="F1017" s="16" t="s">
        <v>6069</v>
      </c>
      <c r="G1017" s="16" t="s">
        <v>3833</v>
      </c>
      <c r="H1017" s="16">
        <v>1.0</v>
      </c>
      <c r="I1017" s="23">
        <v>2091.18</v>
      </c>
      <c r="J1017" s="23">
        <v>2091.18</v>
      </c>
      <c r="K1017" s="16"/>
      <c r="L1017" s="23"/>
      <c r="M1017" s="23"/>
      <c r="N1017" s="23"/>
      <c r="O1017" s="16"/>
      <c r="P1017" s="23"/>
      <c r="Q1017" s="23"/>
      <c r="R1017" s="23"/>
      <c r="S1017" s="16"/>
      <c r="T1017" s="23"/>
      <c r="U1017" s="23"/>
      <c r="V1017" s="23"/>
      <c r="W1017" s="16"/>
      <c r="X1017" s="23"/>
      <c r="Y1017" s="23"/>
      <c r="Z1017" s="23"/>
      <c r="AA1017" s="16"/>
      <c r="AB1017" s="23"/>
      <c r="AC1017" s="23"/>
      <c r="AD1017" s="23"/>
      <c r="AE1017" s="16"/>
      <c r="AF1017" s="23"/>
      <c r="AG1017" s="23"/>
      <c r="AH1017" s="23"/>
      <c r="AI1017" s="16"/>
      <c r="AJ1017" s="23"/>
      <c r="AK1017" s="23"/>
      <c r="AL1017" s="23"/>
      <c r="AM1017" s="16"/>
      <c r="AN1017" s="23"/>
      <c r="AO1017" s="23"/>
      <c r="AP1017" s="23"/>
      <c r="AT1017" s="23"/>
      <c r="AX1017" s="23"/>
      <c r="BF1017" s="23"/>
      <c r="BJ1017" s="23"/>
      <c r="BN1017" s="23"/>
      <c r="BO1017" s="23">
        <v>2091.18</v>
      </c>
      <c r="BP1017" s="16"/>
      <c r="BQ1017" s="16"/>
      <c r="BR1017" s="23">
        <v>2091.18</v>
      </c>
      <c r="BS1017" s="16"/>
      <c r="BT1017" s="16"/>
      <c r="BU1017" s="16" t="s">
        <v>539</v>
      </c>
      <c r="BV1017" s="16"/>
      <c r="BW1017" s="16"/>
      <c r="BX1017" s="16"/>
      <c r="BY1017" s="16"/>
    </row>
    <row r="1018">
      <c r="A1018" s="16" t="s">
        <v>6073</v>
      </c>
      <c r="B1018" s="16" t="s">
        <v>35</v>
      </c>
      <c r="C1018" s="22">
        <v>45701.0</v>
      </c>
      <c r="D1018" s="16" t="s">
        <v>112</v>
      </c>
      <c r="E1018" s="16" t="s">
        <v>6076</v>
      </c>
      <c r="F1018" s="16" t="s">
        <v>157</v>
      </c>
      <c r="G1018" s="16" t="s">
        <v>159</v>
      </c>
      <c r="H1018" s="16">
        <v>1.0</v>
      </c>
      <c r="I1018" s="23">
        <v>210.0</v>
      </c>
      <c r="J1018" s="23">
        <v>210.0</v>
      </c>
      <c r="K1018" s="16" t="s">
        <v>155</v>
      </c>
      <c r="L1018" s="23">
        <v>1.0</v>
      </c>
      <c r="M1018" s="23">
        <v>70.56</v>
      </c>
      <c r="N1018" s="23">
        <v>70.56</v>
      </c>
      <c r="O1018" s="16" t="s">
        <v>152</v>
      </c>
      <c r="P1018" s="23">
        <v>1.0</v>
      </c>
      <c r="Q1018" s="23">
        <v>10.06</v>
      </c>
      <c r="R1018" s="23">
        <v>10.06</v>
      </c>
      <c r="S1018" s="16" t="s">
        <v>226</v>
      </c>
      <c r="T1018" s="23">
        <v>1.0</v>
      </c>
      <c r="U1018" s="23">
        <v>60.0</v>
      </c>
      <c r="V1018" s="23">
        <v>60.0</v>
      </c>
      <c r="W1018" s="16"/>
      <c r="X1018" s="23"/>
      <c r="Y1018" s="23"/>
      <c r="Z1018" s="23">
        <v>0.0</v>
      </c>
      <c r="AA1018" s="16"/>
      <c r="AB1018" s="23"/>
      <c r="AC1018" s="23"/>
      <c r="AD1018" s="23">
        <v>0.0</v>
      </c>
      <c r="AE1018" s="16"/>
      <c r="AF1018" s="23"/>
      <c r="AG1018" s="23"/>
      <c r="AH1018" s="23">
        <v>0.0</v>
      </c>
      <c r="AI1018" s="16"/>
      <c r="AJ1018" s="23"/>
      <c r="AK1018" s="23"/>
      <c r="AL1018" s="23">
        <v>0.0</v>
      </c>
      <c r="AM1018" s="16"/>
      <c r="AN1018" s="23"/>
      <c r="AO1018" s="23"/>
      <c r="AP1018" s="23">
        <v>0.0</v>
      </c>
      <c r="AT1018" s="23">
        <v>0.0</v>
      </c>
      <c r="AX1018" s="23">
        <v>0.0</v>
      </c>
      <c r="BF1018" s="23">
        <v>0.0</v>
      </c>
      <c r="BJ1018" s="23">
        <v>0.0</v>
      </c>
      <c r="BN1018" s="23">
        <v>0.0</v>
      </c>
      <c r="BO1018" s="23">
        <v>350.62</v>
      </c>
      <c r="BP1018" s="16" t="s">
        <v>6077</v>
      </c>
      <c r="BQ1018" s="16" t="b">
        <v>1</v>
      </c>
      <c r="BR1018" s="23">
        <v>350.62</v>
      </c>
      <c r="BS1018" s="16"/>
      <c r="BT1018" s="16" t="b">
        <v>0</v>
      </c>
      <c r="BU1018" s="16" t="s">
        <v>546</v>
      </c>
      <c r="BV1018" s="16"/>
      <c r="BW1018" s="16"/>
      <c r="BX1018" s="16"/>
      <c r="BY1018" s="16"/>
    </row>
    <row r="1019">
      <c r="A1019" s="16" t="s">
        <v>6081</v>
      </c>
      <c r="B1019" s="16" t="s">
        <v>35</v>
      </c>
      <c r="C1019" s="22">
        <v>45702.0</v>
      </c>
      <c r="D1019" s="16" t="s">
        <v>543</v>
      </c>
      <c r="E1019" s="16" t="s">
        <v>6084</v>
      </c>
      <c r="F1019" s="16" t="s">
        <v>157</v>
      </c>
      <c r="G1019" s="16">
        <v>1.2539885E7</v>
      </c>
      <c r="H1019" s="16">
        <v>1.0</v>
      </c>
      <c r="I1019" s="23">
        <v>250.0</v>
      </c>
      <c r="J1019" s="23">
        <v>250.0</v>
      </c>
      <c r="K1019" s="16"/>
      <c r="L1019" s="23"/>
      <c r="M1019" s="23"/>
      <c r="N1019" s="23">
        <v>0.0</v>
      </c>
      <c r="O1019" s="16"/>
      <c r="P1019" s="23"/>
      <c r="Q1019" s="23"/>
      <c r="R1019" s="23">
        <v>0.0</v>
      </c>
      <c r="S1019" s="16"/>
      <c r="T1019" s="23"/>
      <c r="U1019" s="23"/>
      <c r="V1019" s="23">
        <v>0.0</v>
      </c>
      <c r="W1019" s="16"/>
      <c r="X1019" s="23"/>
      <c r="Y1019" s="23"/>
      <c r="Z1019" s="23">
        <v>0.0</v>
      </c>
      <c r="AA1019" s="16"/>
      <c r="AB1019" s="23"/>
      <c r="AC1019" s="23"/>
      <c r="AD1019" s="23">
        <v>0.0</v>
      </c>
      <c r="AE1019" s="16"/>
      <c r="AF1019" s="23"/>
      <c r="AG1019" s="23"/>
      <c r="AH1019" s="23">
        <v>0.0</v>
      </c>
      <c r="AI1019" s="16"/>
      <c r="AJ1019" s="23"/>
      <c r="AK1019" s="23"/>
      <c r="AL1019" s="23">
        <v>0.0</v>
      </c>
      <c r="AM1019" s="16"/>
      <c r="AN1019" s="23"/>
      <c r="AO1019" s="23"/>
      <c r="AP1019" s="23">
        <v>0.0</v>
      </c>
      <c r="AT1019" s="23">
        <v>0.0</v>
      </c>
      <c r="AX1019" s="23">
        <v>0.0</v>
      </c>
      <c r="BF1019" s="23">
        <v>0.0</v>
      </c>
      <c r="BJ1019" s="23">
        <v>0.0</v>
      </c>
      <c r="BN1019" s="23">
        <v>0.0</v>
      </c>
      <c r="BO1019" s="23">
        <v>250.0</v>
      </c>
      <c r="BP1019" s="16" t="s">
        <v>6085</v>
      </c>
      <c r="BQ1019" s="16" t="b">
        <v>1</v>
      </c>
      <c r="BR1019" s="23">
        <v>250.0</v>
      </c>
      <c r="BS1019" s="16"/>
      <c r="BT1019" s="16" t="b">
        <v>0</v>
      </c>
      <c r="BU1019" s="16" t="s">
        <v>546</v>
      </c>
      <c r="BV1019" s="16"/>
      <c r="BW1019" s="16"/>
      <c r="BX1019" s="16"/>
      <c r="BY1019" s="16"/>
    </row>
    <row r="1020">
      <c r="A1020" s="16" t="s">
        <v>6089</v>
      </c>
      <c r="B1020" s="16" t="s">
        <v>35</v>
      </c>
      <c r="C1020" s="22">
        <v>45703.0</v>
      </c>
      <c r="D1020" s="16" t="s">
        <v>112</v>
      </c>
      <c r="E1020" s="16" t="s">
        <v>6092</v>
      </c>
      <c r="F1020" s="16" t="s">
        <v>157</v>
      </c>
      <c r="G1020" s="16" t="s">
        <v>159</v>
      </c>
      <c r="H1020" s="16">
        <v>1.0</v>
      </c>
      <c r="I1020" s="23">
        <v>168.0</v>
      </c>
      <c r="J1020" s="23">
        <v>168.0</v>
      </c>
      <c r="K1020" s="16" t="s">
        <v>155</v>
      </c>
      <c r="L1020" s="23">
        <v>1.0</v>
      </c>
      <c r="M1020" s="23">
        <v>27.09</v>
      </c>
      <c r="N1020" s="23">
        <v>27.09</v>
      </c>
      <c r="O1020" s="16" t="s">
        <v>152</v>
      </c>
      <c r="P1020" s="23">
        <v>1.0</v>
      </c>
      <c r="Q1020" s="23">
        <v>6.6</v>
      </c>
      <c r="R1020" s="23">
        <v>6.6</v>
      </c>
      <c r="S1020" s="16"/>
      <c r="T1020" s="23"/>
      <c r="U1020" s="23"/>
      <c r="V1020" s="23">
        <v>0.0</v>
      </c>
      <c r="W1020" s="16"/>
      <c r="X1020" s="23"/>
      <c r="Y1020" s="23"/>
      <c r="Z1020" s="23">
        <v>0.0</v>
      </c>
      <c r="AA1020" s="16"/>
      <c r="AB1020" s="23"/>
      <c r="AC1020" s="23"/>
      <c r="AD1020" s="23">
        <v>0.0</v>
      </c>
      <c r="AE1020" s="16"/>
      <c r="AF1020" s="23"/>
      <c r="AG1020" s="23"/>
      <c r="AH1020" s="23">
        <v>0.0</v>
      </c>
      <c r="AI1020" s="16"/>
      <c r="AJ1020" s="23"/>
      <c r="AK1020" s="23"/>
      <c r="AL1020" s="23">
        <v>0.0</v>
      </c>
      <c r="AM1020" s="16"/>
      <c r="AN1020" s="23"/>
      <c r="AO1020" s="23"/>
      <c r="AP1020" s="23">
        <v>0.0</v>
      </c>
      <c r="AT1020" s="23">
        <v>0.0</v>
      </c>
      <c r="AX1020" s="23">
        <v>0.0</v>
      </c>
      <c r="BF1020" s="23">
        <v>0.0</v>
      </c>
      <c r="BJ1020" s="23">
        <v>0.0</v>
      </c>
      <c r="BN1020" s="23">
        <v>0.0</v>
      </c>
      <c r="BO1020" s="23">
        <v>201.69</v>
      </c>
      <c r="BP1020" s="16" t="s">
        <v>6093</v>
      </c>
      <c r="BQ1020" s="16" t="b">
        <v>1</v>
      </c>
      <c r="BR1020" s="23">
        <v>201.69</v>
      </c>
      <c r="BS1020" s="16"/>
      <c r="BT1020" s="16" t="b">
        <v>0</v>
      </c>
      <c r="BU1020" s="16" t="s">
        <v>546</v>
      </c>
      <c r="BV1020" s="16"/>
      <c r="BW1020" s="16"/>
      <c r="BX1020" s="16"/>
      <c r="BY1020" s="16"/>
    </row>
    <row r="1021">
      <c r="A1021" s="16" t="s">
        <v>6096</v>
      </c>
      <c r="B1021" s="16" t="s">
        <v>35</v>
      </c>
      <c r="C1021" s="22">
        <v>45691.0</v>
      </c>
      <c r="D1021" s="16" t="s">
        <v>1557</v>
      </c>
      <c r="E1021" s="16" t="s">
        <v>6098</v>
      </c>
      <c r="F1021" s="16" t="s">
        <v>3903</v>
      </c>
      <c r="G1021" s="16" t="s">
        <v>6423</v>
      </c>
      <c r="H1021" s="16">
        <v>1.0</v>
      </c>
      <c r="I1021" s="23">
        <v>110.0</v>
      </c>
      <c r="J1021" s="23">
        <v>110.0</v>
      </c>
      <c r="K1021" s="16"/>
      <c r="L1021" s="23"/>
      <c r="M1021" s="23"/>
      <c r="N1021" s="23">
        <v>0.0</v>
      </c>
      <c r="O1021" s="16"/>
      <c r="P1021" s="23"/>
      <c r="Q1021" s="23"/>
      <c r="R1021" s="23">
        <v>0.0</v>
      </c>
      <c r="S1021" s="16"/>
      <c r="T1021" s="23"/>
      <c r="U1021" s="23"/>
      <c r="V1021" s="23">
        <v>0.0</v>
      </c>
      <c r="W1021" s="16"/>
      <c r="X1021" s="23"/>
      <c r="Y1021" s="23"/>
      <c r="Z1021" s="23">
        <v>0.0</v>
      </c>
      <c r="AA1021" s="16"/>
      <c r="AB1021" s="23"/>
      <c r="AC1021" s="23"/>
      <c r="AD1021" s="23">
        <v>0.0</v>
      </c>
      <c r="AE1021" s="16"/>
      <c r="AF1021" s="23"/>
      <c r="AG1021" s="23"/>
      <c r="AH1021" s="23">
        <v>0.0</v>
      </c>
      <c r="AI1021" s="16"/>
      <c r="AJ1021" s="23"/>
      <c r="AK1021" s="23"/>
      <c r="AL1021" s="23">
        <v>0.0</v>
      </c>
      <c r="AM1021" s="16"/>
      <c r="AN1021" s="23"/>
      <c r="AO1021" s="23"/>
      <c r="AP1021" s="23">
        <v>0.0</v>
      </c>
      <c r="AT1021" s="23">
        <v>0.0</v>
      </c>
      <c r="AX1021" s="23">
        <v>0.0</v>
      </c>
      <c r="BF1021" s="23">
        <v>0.0</v>
      </c>
      <c r="BJ1021" s="23">
        <v>0.0</v>
      </c>
      <c r="BN1021" s="23">
        <v>0.0</v>
      </c>
      <c r="BO1021" s="23">
        <v>110.0</v>
      </c>
      <c r="BP1021" s="16" t="s">
        <v>6099</v>
      </c>
      <c r="BQ1021" s="16" t="b">
        <v>1</v>
      </c>
      <c r="BR1021" s="23">
        <v>110.0</v>
      </c>
      <c r="BS1021" s="16"/>
      <c r="BT1021" s="16" t="b">
        <v>0</v>
      </c>
      <c r="BU1021" s="16" t="s">
        <v>546</v>
      </c>
      <c r="BV1021" s="16"/>
      <c r="BW1021" s="16"/>
      <c r="BX1021" s="16"/>
      <c r="BY1021" s="16"/>
    </row>
    <row r="1022">
      <c r="A1022" s="16" t="s">
        <v>6102</v>
      </c>
      <c r="B1022" s="16" t="s">
        <v>35</v>
      </c>
      <c r="C1022" s="22">
        <v>45705.0</v>
      </c>
      <c r="D1022" s="16" t="s">
        <v>543</v>
      </c>
      <c r="E1022" s="16" t="s">
        <v>6103</v>
      </c>
      <c r="F1022" s="16" t="s">
        <v>171</v>
      </c>
      <c r="G1022" s="16">
        <v>1.2539885E7</v>
      </c>
      <c r="H1022" s="16">
        <v>1.0</v>
      </c>
      <c r="I1022" s="23">
        <v>375.0</v>
      </c>
      <c r="J1022" s="23">
        <v>375.0</v>
      </c>
      <c r="K1022" s="16"/>
      <c r="L1022" s="23"/>
      <c r="M1022" s="23"/>
      <c r="N1022" s="23">
        <v>0.0</v>
      </c>
      <c r="O1022" s="16"/>
      <c r="P1022" s="23"/>
      <c r="Q1022" s="23"/>
      <c r="R1022" s="23">
        <v>0.0</v>
      </c>
      <c r="S1022" s="16"/>
      <c r="T1022" s="23"/>
      <c r="U1022" s="23"/>
      <c r="V1022" s="23">
        <v>0.0</v>
      </c>
      <c r="W1022" s="16"/>
      <c r="X1022" s="23"/>
      <c r="Y1022" s="23"/>
      <c r="Z1022" s="23">
        <v>0.0</v>
      </c>
      <c r="AA1022" s="16"/>
      <c r="AB1022" s="23"/>
      <c r="AC1022" s="23"/>
      <c r="AD1022" s="23">
        <v>0.0</v>
      </c>
      <c r="AE1022" s="16"/>
      <c r="AF1022" s="23"/>
      <c r="AG1022" s="23"/>
      <c r="AH1022" s="23">
        <v>0.0</v>
      </c>
      <c r="AI1022" s="16"/>
      <c r="AJ1022" s="23"/>
      <c r="AK1022" s="23"/>
      <c r="AL1022" s="23">
        <v>0.0</v>
      </c>
      <c r="AM1022" s="16"/>
      <c r="AN1022" s="23"/>
      <c r="AO1022" s="23"/>
      <c r="AP1022" s="23">
        <v>0.0</v>
      </c>
      <c r="AT1022" s="23">
        <v>0.0</v>
      </c>
      <c r="AX1022" s="23">
        <v>0.0</v>
      </c>
      <c r="BF1022" s="23">
        <v>0.0</v>
      </c>
      <c r="BJ1022" s="23">
        <v>0.0</v>
      </c>
      <c r="BN1022" s="23">
        <v>0.0</v>
      </c>
      <c r="BO1022" s="23">
        <v>375.0</v>
      </c>
      <c r="BP1022" s="16" t="s">
        <v>6105</v>
      </c>
      <c r="BQ1022" s="16" t="b">
        <v>1</v>
      </c>
      <c r="BR1022" s="23">
        <v>375.0</v>
      </c>
      <c r="BS1022" s="16"/>
      <c r="BT1022" s="16" t="b">
        <v>0</v>
      </c>
      <c r="BU1022" s="16" t="s">
        <v>546</v>
      </c>
      <c r="BV1022" s="16"/>
      <c r="BW1022" s="16"/>
      <c r="BX1022" s="16"/>
      <c r="BY1022" s="16"/>
    </row>
    <row r="1023">
      <c r="A1023" s="16" t="s">
        <v>6108</v>
      </c>
      <c r="B1023" s="16" t="s">
        <v>35</v>
      </c>
      <c r="C1023" s="22">
        <v>45708.0</v>
      </c>
      <c r="D1023" s="16" t="s">
        <v>1160</v>
      </c>
      <c r="E1023" s="16"/>
      <c r="F1023" s="16" t="s">
        <v>2500</v>
      </c>
      <c r="G1023" s="16" t="s">
        <v>5636</v>
      </c>
      <c r="H1023" s="16">
        <v>1.0</v>
      </c>
      <c r="I1023" s="23">
        <v>3558.56</v>
      </c>
      <c r="J1023" s="23">
        <v>3558.56</v>
      </c>
      <c r="K1023" s="16"/>
      <c r="L1023" s="23"/>
      <c r="M1023" s="23"/>
      <c r="N1023" s="23"/>
      <c r="O1023" s="16"/>
      <c r="P1023" s="23"/>
      <c r="Q1023" s="23"/>
      <c r="R1023" s="23"/>
      <c r="S1023" s="16"/>
      <c r="T1023" s="23"/>
      <c r="U1023" s="23"/>
      <c r="V1023" s="23"/>
      <c r="W1023" s="16"/>
      <c r="X1023" s="23"/>
      <c r="Y1023" s="23"/>
      <c r="Z1023" s="23"/>
      <c r="AA1023" s="16"/>
      <c r="AB1023" s="23"/>
      <c r="AC1023" s="23"/>
      <c r="AD1023" s="23"/>
      <c r="AE1023" s="16"/>
      <c r="AF1023" s="23"/>
      <c r="AG1023" s="23"/>
      <c r="AH1023" s="23"/>
      <c r="AI1023" s="16"/>
      <c r="AJ1023" s="23"/>
      <c r="AK1023" s="23"/>
      <c r="AL1023" s="23"/>
      <c r="AM1023" s="16"/>
      <c r="AN1023" s="23"/>
      <c r="AO1023" s="23"/>
      <c r="AP1023" s="23"/>
      <c r="AT1023" s="23"/>
      <c r="AX1023" s="23"/>
      <c r="BF1023" s="23"/>
      <c r="BJ1023" s="23"/>
      <c r="BN1023" s="23"/>
      <c r="BO1023" s="23">
        <v>3558.56</v>
      </c>
      <c r="BP1023" s="16"/>
      <c r="BQ1023" s="16"/>
      <c r="BR1023" s="23">
        <v>3558.56</v>
      </c>
      <c r="BS1023" s="16"/>
      <c r="BT1023" s="16"/>
      <c r="BU1023" s="16" t="s">
        <v>539</v>
      </c>
      <c r="BV1023" s="16"/>
      <c r="BW1023" s="16"/>
      <c r="BX1023" s="16"/>
      <c r="BY1023" s="16"/>
    </row>
    <row r="1024">
      <c r="A1024" s="16" t="s">
        <v>6113</v>
      </c>
      <c r="B1024" s="16" t="s">
        <v>35</v>
      </c>
      <c r="C1024" s="22">
        <v>45706.0</v>
      </c>
      <c r="D1024" s="16" t="s">
        <v>193</v>
      </c>
      <c r="E1024" s="16" t="s">
        <v>6116</v>
      </c>
      <c r="F1024" s="16" t="s">
        <v>195</v>
      </c>
      <c r="G1024" s="16" t="s">
        <v>335</v>
      </c>
      <c r="H1024" s="16">
        <v>7.0</v>
      </c>
      <c r="I1024" s="23">
        <v>39.84</v>
      </c>
      <c r="J1024" s="23">
        <v>278.88</v>
      </c>
      <c r="K1024" s="16" t="s">
        <v>338</v>
      </c>
      <c r="L1024" s="23">
        <v>15.0</v>
      </c>
      <c r="M1024" s="23">
        <v>29.16</v>
      </c>
      <c r="N1024" s="23">
        <v>437.4</v>
      </c>
      <c r="O1024" s="16" t="s">
        <v>1777</v>
      </c>
      <c r="P1024" s="23">
        <v>4.0</v>
      </c>
      <c r="Q1024" s="23">
        <v>29.88</v>
      </c>
      <c r="R1024" s="23">
        <v>119.52</v>
      </c>
      <c r="S1024" s="16" t="s">
        <v>1384</v>
      </c>
      <c r="T1024" s="23">
        <v>1.0</v>
      </c>
      <c r="U1024" s="23">
        <v>34.98</v>
      </c>
      <c r="V1024" s="23">
        <v>34.98</v>
      </c>
      <c r="W1024" s="16" t="s">
        <v>338</v>
      </c>
      <c r="X1024" s="23">
        <v>3.0</v>
      </c>
      <c r="Y1024" s="23">
        <v>43.74</v>
      </c>
      <c r="Z1024" s="23">
        <v>131.22</v>
      </c>
      <c r="AA1024" s="16"/>
      <c r="AB1024" s="23"/>
      <c r="AC1024" s="23"/>
      <c r="AD1024" s="23">
        <v>0.0</v>
      </c>
      <c r="AE1024" s="16"/>
      <c r="AF1024" s="23"/>
      <c r="AG1024" s="23"/>
      <c r="AH1024" s="23">
        <v>0.0</v>
      </c>
      <c r="AI1024" s="16"/>
      <c r="AJ1024" s="23"/>
      <c r="AK1024" s="23"/>
      <c r="AL1024" s="23">
        <v>0.0</v>
      </c>
      <c r="AM1024" s="16"/>
      <c r="AN1024" s="23"/>
      <c r="AO1024" s="23"/>
      <c r="AP1024" s="23">
        <v>0.0</v>
      </c>
      <c r="AT1024" s="23">
        <v>0.0</v>
      </c>
      <c r="AX1024" s="23">
        <v>0.0</v>
      </c>
      <c r="BF1024" s="23">
        <v>0.0</v>
      </c>
      <c r="BJ1024" s="23">
        <v>0.0</v>
      </c>
      <c r="BN1024" s="23">
        <v>0.0</v>
      </c>
      <c r="BO1024" s="23">
        <v>1002.0</v>
      </c>
      <c r="BP1024" s="16" t="s">
        <v>6117</v>
      </c>
      <c r="BQ1024" s="16" t="b">
        <v>1</v>
      </c>
      <c r="BR1024" s="23">
        <v>811.02</v>
      </c>
      <c r="BS1024" s="16"/>
      <c r="BT1024" s="16" t="b">
        <v>0</v>
      </c>
      <c r="BU1024" s="16" t="s">
        <v>546</v>
      </c>
      <c r="BV1024" s="16"/>
      <c r="BW1024" s="16" t="s">
        <v>6120</v>
      </c>
      <c r="BX1024" s="16"/>
      <c r="BY1024" s="16"/>
    </row>
    <row r="1025">
      <c r="A1025" s="16" t="s">
        <v>6123</v>
      </c>
      <c r="B1025" s="16" t="s">
        <v>35</v>
      </c>
      <c r="C1025" s="22">
        <v>45707.0</v>
      </c>
      <c r="D1025" s="16" t="s">
        <v>112</v>
      </c>
      <c r="E1025" s="16" t="s">
        <v>6126</v>
      </c>
      <c r="F1025" s="16" t="s">
        <v>157</v>
      </c>
      <c r="G1025" s="16" t="s">
        <v>159</v>
      </c>
      <c r="H1025" s="16">
        <v>1.0</v>
      </c>
      <c r="I1025" s="23">
        <v>280.0</v>
      </c>
      <c r="J1025" s="23">
        <v>280.0</v>
      </c>
      <c r="K1025" s="16" t="s">
        <v>155</v>
      </c>
      <c r="L1025" s="23">
        <v>1.0</v>
      </c>
      <c r="M1025" s="23">
        <v>85.55</v>
      </c>
      <c r="N1025" s="23">
        <v>85.55</v>
      </c>
      <c r="O1025" s="16" t="s">
        <v>152</v>
      </c>
      <c r="P1025" s="23">
        <v>1.0</v>
      </c>
      <c r="Q1025" s="23">
        <v>9.42</v>
      </c>
      <c r="R1025" s="23">
        <v>9.42</v>
      </c>
      <c r="S1025" s="16" t="s">
        <v>226</v>
      </c>
      <c r="T1025" s="23">
        <v>1.0</v>
      </c>
      <c r="U1025" s="23">
        <v>100.0</v>
      </c>
      <c r="V1025" s="23">
        <v>100.0</v>
      </c>
      <c r="W1025" s="16"/>
      <c r="X1025" s="23"/>
      <c r="Y1025" s="23"/>
      <c r="Z1025" s="23">
        <v>0.0</v>
      </c>
      <c r="AA1025" s="16"/>
      <c r="AB1025" s="23"/>
      <c r="AC1025" s="23"/>
      <c r="AD1025" s="23">
        <v>0.0</v>
      </c>
      <c r="AE1025" s="16"/>
      <c r="AF1025" s="23"/>
      <c r="AG1025" s="23"/>
      <c r="AH1025" s="23">
        <v>0.0</v>
      </c>
      <c r="AI1025" s="16"/>
      <c r="AJ1025" s="23"/>
      <c r="AK1025" s="23"/>
      <c r="AL1025" s="23">
        <v>0.0</v>
      </c>
      <c r="AM1025" s="16"/>
      <c r="AN1025" s="23"/>
      <c r="AO1025" s="23"/>
      <c r="AP1025" s="23">
        <v>0.0</v>
      </c>
      <c r="AT1025" s="23">
        <v>0.0</v>
      </c>
      <c r="AX1025" s="23">
        <v>0.0</v>
      </c>
      <c r="BF1025" s="23">
        <v>0.0</v>
      </c>
      <c r="BJ1025" s="23">
        <v>0.0</v>
      </c>
      <c r="BN1025" s="23">
        <v>0.0</v>
      </c>
      <c r="BO1025" s="23">
        <v>474.97</v>
      </c>
      <c r="BP1025" s="16" t="s">
        <v>6127</v>
      </c>
      <c r="BQ1025" s="16" t="b">
        <v>1</v>
      </c>
      <c r="BR1025" s="23">
        <v>474.97</v>
      </c>
      <c r="BS1025" s="16"/>
      <c r="BT1025" s="16" t="b">
        <v>0</v>
      </c>
      <c r="BU1025" s="16" t="s">
        <v>546</v>
      </c>
      <c r="BV1025" s="16"/>
      <c r="BW1025" s="16"/>
      <c r="BX1025" s="16"/>
      <c r="BY1025" s="16"/>
    </row>
    <row r="1026">
      <c r="A1026" s="16" t="s">
        <v>6131</v>
      </c>
      <c r="B1026" s="16" t="s">
        <v>35</v>
      </c>
      <c r="C1026" s="22">
        <v>45708.0</v>
      </c>
      <c r="D1026" s="16" t="s">
        <v>764</v>
      </c>
      <c r="E1026" s="16" t="s">
        <v>6133</v>
      </c>
      <c r="F1026" s="16" t="s">
        <v>195</v>
      </c>
      <c r="G1026" s="16" t="s">
        <v>1073</v>
      </c>
      <c r="H1026" s="16">
        <v>1.0</v>
      </c>
      <c r="I1026" s="23">
        <v>20.1</v>
      </c>
      <c r="J1026" s="23">
        <v>20.1</v>
      </c>
      <c r="K1026" s="16">
        <v>7.5375964E7</v>
      </c>
      <c r="L1026" s="23">
        <v>1.0</v>
      </c>
      <c r="M1026" s="23">
        <v>19.8</v>
      </c>
      <c r="N1026" s="23">
        <v>19.8</v>
      </c>
      <c r="O1026" s="16" t="s">
        <v>1384</v>
      </c>
      <c r="P1026" s="23">
        <v>1.0</v>
      </c>
      <c r="Q1026" s="23">
        <v>18.0</v>
      </c>
      <c r="R1026" s="23">
        <v>18.0</v>
      </c>
      <c r="S1026" s="16" t="s">
        <v>1404</v>
      </c>
      <c r="T1026" s="23">
        <v>1.0</v>
      </c>
      <c r="U1026" s="23">
        <v>18.0</v>
      </c>
      <c r="V1026" s="23">
        <v>18.0</v>
      </c>
      <c r="W1026" s="16" t="s">
        <v>1074</v>
      </c>
      <c r="X1026" s="23">
        <v>4.0</v>
      </c>
      <c r="Y1026" s="23">
        <v>38.0</v>
      </c>
      <c r="Z1026" s="23">
        <v>152.0</v>
      </c>
      <c r="AA1026" s="16" t="s">
        <v>1077</v>
      </c>
      <c r="AB1026" s="23">
        <v>3.0</v>
      </c>
      <c r="AC1026" s="23">
        <v>24.0</v>
      </c>
      <c r="AD1026" s="23">
        <v>72.0</v>
      </c>
      <c r="AE1026" s="16" t="s">
        <v>1079</v>
      </c>
      <c r="AF1026" s="23">
        <v>15.0</v>
      </c>
      <c r="AG1026" s="23">
        <v>16.5</v>
      </c>
      <c r="AH1026" s="23">
        <v>247.5</v>
      </c>
      <c r="AI1026" s="16" t="s">
        <v>1080</v>
      </c>
      <c r="AJ1026" s="23">
        <v>5.0</v>
      </c>
      <c r="AK1026" s="23">
        <v>17.5</v>
      </c>
      <c r="AL1026" s="23">
        <v>87.5</v>
      </c>
      <c r="AM1026" s="16" t="s">
        <v>1081</v>
      </c>
      <c r="AN1026" s="23">
        <v>3.0</v>
      </c>
      <c r="AO1026" s="23">
        <v>48.0</v>
      </c>
      <c r="AP1026" s="23">
        <v>144.0</v>
      </c>
      <c r="AQ1026" s="16" t="s">
        <v>1083</v>
      </c>
      <c r="AR1026" s="23">
        <v>1.0</v>
      </c>
      <c r="AS1026" s="23">
        <v>18.0</v>
      </c>
      <c r="AT1026" s="23">
        <v>18.0</v>
      </c>
      <c r="AX1026" s="23">
        <v>0.0</v>
      </c>
      <c r="BF1026" s="23">
        <v>0.0</v>
      </c>
      <c r="BJ1026" s="23">
        <v>0.0</v>
      </c>
      <c r="BN1026" s="23">
        <v>0.0</v>
      </c>
      <c r="BO1026" s="23">
        <v>796.9</v>
      </c>
      <c r="BP1026" s="16" t="s">
        <v>6135</v>
      </c>
      <c r="BQ1026" s="16" t="b">
        <v>1</v>
      </c>
      <c r="BR1026" s="23">
        <v>796.9</v>
      </c>
      <c r="BS1026" s="16"/>
      <c r="BT1026" s="16" t="b">
        <v>0</v>
      </c>
      <c r="BU1026" s="16" t="s">
        <v>546</v>
      </c>
      <c r="BV1026" s="16"/>
      <c r="BW1026" s="16" t="s">
        <v>6137</v>
      </c>
      <c r="BX1026" s="16"/>
      <c r="BY1026" s="16"/>
    </row>
    <row r="1027">
      <c r="A1027" s="16" t="s">
        <v>6140</v>
      </c>
      <c r="B1027" s="16" t="s">
        <v>35</v>
      </c>
      <c r="C1027" s="22">
        <v>45711.0</v>
      </c>
      <c r="D1027" s="16" t="s">
        <v>1160</v>
      </c>
      <c r="E1027" s="16"/>
      <c r="F1027" s="16" t="s">
        <v>6142</v>
      </c>
      <c r="G1027" s="16" t="s">
        <v>1653</v>
      </c>
      <c r="H1027" s="16">
        <v>1.0</v>
      </c>
      <c r="I1027" s="23">
        <v>474.0</v>
      </c>
      <c r="J1027" s="23">
        <v>474.0</v>
      </c>
      <c r="K1027" s="16"/>
      <c r="L1027" s="23"/>
      <c r="M1027" s="23"/>
      <c r="N1027" s="23"/>
      <c r="O1027" s="16"/>
      <c r="P1027" s="23"/>
      <c r="Q1027" s="23"/>
      <c r="R1027" s="23"/>
      <c r="S1027" s="16"/>
      <c r="T1027" s="23"/>
      <c r="U1027" s="23"/>
      <c r="V1027" s="23"/>
      <c r="W1027" s="16"/>
      <c r="X1027" s="23"/>
      <c r="Y1027" s="23"/>
      <c r="Z1027" s="23"/>
      <c r="AA1027" s="16"/>
      <c r="AB1027" s="23"/>
      <c r="AC1027" s="23"/>
      <c r="AD1027" s="23"/>
      <c r="AE1027" s="16"/>
      <c r="AF1027" s="23"/>
      <c r="AG1027" s="23"/>
      <c r="AH1027" s="23"/>
      <c r="AI1027" s="16"/>
      <c r="AJ1027" s="23"/>
      <c r="AK1027" s="23"/>
      <c r="AL1027" s="23"/>
      <c r="AM1027" s="16"/>
      <c r="AN1027" s="23"/>
      <c r="AO1027" s="23"/>
      <c r="AP1027" s="23"/>
      <c r="AQ1027" s="16"/>
      <c r="AR1027" s="23"/>
      <c r="AS1027" s="23"/>
      <c r="AT1027" s="23"/>
      <c r="AX1027" s="23"/>
      <c r="BF1027" s="23"/>
      <c r="BJ1027" s="23"/>
      <c r="BN1027" s="23"/>
      <c r="BO1027" s="23">
        <v>474.0</v>
      </c>
      <c r="BP1027" s="16"/>
      <c r="BQ1027" s="16"/>
      <c r="BR1027" s="23">
        <v>474.0</v>
      </c>
      <c r="BS1027" s="16"/>
      <c r="BT1027" s="16"/>
      <c r="BU1027" s="16" t="s">
        <v>539</v>
      </c>
      <c r="BV1027" s="16"/>
      <c r="BW1027" s="16"/>
      <c r="BX1027" s="16"/>
      <c r="BY1027" s="16"/>
    </row>
    <row r="1028">
      <c r="A1028" s="16" t="s">
        <v>6152</v>
      </c>
      <c r="B1028" s="16" t="s">
        <v>35</v>
      </c>
      <c r="C1028" s="22">
        <v>45711.0</v>
      </c>
      <c r="D1028" s="16" t="s">
        <v>460</v>
      </c>
      <c r="E1028" s="16"/>
      <c r="F1028" s="16" t="s">
        <v>931</v>
      </c>
      <c r="G1028" s="16" t="s">
        <v>1126</v>
      </c>
      <c r="H1028" s="16">
        <v>1.0</v>
      </c>
      <c r="I1028" s="23">
        <v>30.0</v>
      </c>
      <c r="J1028" s="23">
        <v>30.0</v>
      </c>
      <c r="K1028" s="16"/>
      <c r="L1028" s="23"/>
      <c r="M1028" s="23"/>
      <c r="N1028" s="23"/>
      <c r="O1028" s="16"/>
      <c r="P1028" s="23"/>
      <c r="Q1028" s="23"/>
      <c r="R1028" s="23"/>
      <c r="S1028" s="16"/>
      <c r="T1028" s="23"/>
      <c r="U1028" s="23"/>
      <c r="V1028" s="23"/>
      <c r="W1028" s="16"/>
      <c r="X1028" s="23"/>
      <c r="Y1028" s="23"/>
      <c r="Z1028" s="23"/>
      <c r="AA1028" s="16"/>
      <c r="AB1028" s="23"/>
      <c r="AC1028" s="23"/>
      <c r="AD1028" s="23"/>
      <c r="AE1028" s="16"/>
      <c r="AF1028" s="23"/>
      <c r="AG1028" s="23"/>
      <c r="AH1028" s="23"/>
      <c r="AI1028" s="16"/>
      <c r="AJ1028" s="23"/>
      <c r="AK1028" s="23"/>
      <c r="AL1028" s="23"/>
      <c r="AM1028" s="16"/>
      <c r="AN1028" s="23"/>
      <c r="AO1028" s="23"/>
      <c r="AP1028" s="23"/>
      <c r="AQ1028" s="16"/>
      <c r="AR1028" s="23"/>
      <c r="AS1028" s="23"/>
      <c r="AT1028" s="23"/>
      <c r="AX1028" s="23"/>
      <c r="BF1028" s="23"/>
      <c r="BJ1028" s="23"/>
      <c r="BN1028" s="23"/>
      <c r="BO1028" s="23">
        <v>30.0</v>
      </c>
      <c r="BP1028" s="16"/>
      <c r="BQ1028" s="16"/>
      <c r="BR1028" s="23">
        <v>30.0</v>
      </c>
      <c r="BS1028" s="16"/>
      <c r="BT1028" s="16"/>
      <c r="BU1028" s="16" t="s">
        <v>539</v>
      </c>
      <c r="BV1028" s="16"/>
      <c r="BW1028" s="16"/>
      <c r="BX1028" s="16"/>
      <c r="BY1028" s="16"/>
    </row>
    <row r="1029">
      <c r="A1029" s="16" t="s">
        <v>6169</v>
      </c>
      <c r="B1029" s="16" t="s">
        <v>35</v>
      </c>
      <c r="C1029" s="22">
        <v>45711.0</v>
      </c>
      <c r="D1029" s="16" t="s">
        <v>460</v>
      </c>
      <c r="E1029" s="16"/>
      <c r="F1029" s="16" t="s">
        <v>6172</v>
      </c>
      <c r="G1029" s="16" t="s">
        <v>5636</v>
      </c>
      <c r="H1029" s="16">
        <v>1.0</v>
      </c>
      <c r="I1029" s="23">
        <v>200.0</v>
      </c>
      <c r="J1029" s="23">
        <v>200.0</v>
      </c>
      <c r="K1029" s="16"/>
      <c r="L1029" s="23"/>
      <c r="M1029" s="23"/>
      <c r="N1029" s="23"/>
      <c r="O1029" s="16"/>
      <c r="P1029" s="23"/>
      <c r="Q1029" s="23"/>
      <c r="R1029" s="23"/>
      <c r="S1029" s="16"/>
      <c r="T1029" s="23"/>
      <c r="U1029" s="23"/>
      <c r="V1029" s="23"/>
      <c r="W1029" s="16"/>
      <c r="X1029" s="23"/>
      <c r="Y1029" s="23"/>
      <c r="Z1029" s="23"/>
      <c r="AA1029" s="16"/>
      <c r="AB1029" s="23"/>
      <c r="AC1029" s="23"/>
      <c r="AD1029" s="23"/>
      <c r="AE1029" s="16"/>
      <c r="AF1029" s="23"/>
      <c r="AG1029" s="23"/>
      <c r="AH1029" s="23"/>
      <c r="AI1029" s="16"/>
      <c r="AJ1029" s="23"/>
      <c r="AK1029" s="23"/>
      <c r="AL1029" s="23"/>
      <c r="AM1029" s="16"/>
      <c r="AN1029" s="23"/>
      <c r="AO1029" s="23"/>
      <c r="AP1029" s="23"/>
      <c r="AQ1029" s="16"/>
      <c r="AR1029" s="23"/>
      <c r="AS1029" s="23"/>
      <c r="AT1029" s="23"/>
      <c r="AX1029" s="23"/>
      <c r="BF1029" s="23"/>
      <c r="BJ1029" s="23"/>
      <c r="BN1029" s="23"/>
      <c r="BO1029" s="23">
        <v>200.0</v>
      </c>
      <c r="BP1029" s="16"/>
      <c r="BQ1029" s="16"/>
      <c r="BR1029" s="23">
        <v>200.0</v>
      </c>
      <c r="BS1029" s="16"/>
      <c r="BT1029" s="16"/>
      <c r="BU1029" s="16" t="s">
        <v>539</v>
      </c>
      <c r="BV1029" s="16"/>
      <c r="BW1029" s="16"/>
      <c r="BX1029" s="16"/>
      <c r="BY1029" s="16"/>
    </row>
    <row r="1030">
      <c r="A1030" s="16" t="s">
        <v>6179</v>
      </c>
      <c r="B1030" s="16" t="s">
        <v>35</v>
      </c>
      <c r="C1030" s="22">
        <v>45711.0</v>
      </c>
      <c r="D1030" s="16" t="s">
        <v>460</v>
      </c>
      <c r="E1030" s="16"/>
      <c r="F1030" s="16" t="s">
        <v>4972</v>
      </c>
      <c r="G1030" s="16" t="s">
        <v>5640</v>
      </c>
      <c r="H1030" s="16">
        <v>1.0</v>
      </c>
      <c r="I1030" s="23">
        <v>22.0</v>
      </c>
      <c r="J1030" s="23">
        <v>22.0</v>
      </c>
      <c r="K1030" s="16"/>
      <c r="L1030" s="23"/>
      <c r="M1030" s="23"/>
      <c r="N1030" s="23"/>
      <c r="O1030" s="16"/>
      <c r="P1030" s="23"/>
      <c r="Q1030" s="23"/>
      <c r="R1030" s="23"/>
      <c r="S1030" s="16"/>
      <c r="T1030" s="23"/>
      <c r="U1030" s="23"/>
      <c r="V1030" s="23"/>
      <c r="W1030" s="16"/>
      <c r="X1030" s="23"/>
      <c r="Y1030" s="23"/>
      <c r="Z1030" s="23"/>
      <c r="AA1030" s="16"/>
      <c r="AB1030" s="23"/>
      <c r="AC1030" s="23"/>
      <c r="AD1030" s="23"/>
      <c r="AE1030" s="16"/>
      <c r="AF1030" s="23"/>
      <c r="AG1030" s="23"/>
      <c r="AH1030" s="23"/>
      <c r="AI1030" s="16"/>
      <c r="AJ1030" s="23"/>
      <c r="AK1030" s="23"/>
      <c r="AL1030" s="23"/>
      <c r="AM1030" s="16"/>
      <c r="AN1030" s="23"/>
      <c r="AO1030" s="23"/>
      <c r="AP1030" s="23"/>
      <c r="AQ1030" s="16"/>
      <c r="AR1030" s="23"/>
      <c r="AS1030" s="23"/>
      <c r="AT1030" s="23"/>
      <c r="AX1030" s="23"/>
      <c r="BF1030" s="23"/>
      <c r="BJ1030" s="23"/>
      <c r="BN1030" s="23"/>
      <c r="BO1030" s="23">
        <v>22.0</v>
      </c>
      <c r="BP1030" s="16"/>
      <c r="BQ1030" s="16"/>
      <c r="BR1030" s="23">
        <v>22.0</v>
      </c>
      <c r="BS1030" s="16"/>
      <c r="BT1030" s="16"/>
      <c r="BU1030" s="16" t="s">
        <v>539</v>
      </c>
      <c r="BV1030" s="16"/>
      <c r="BW1030" s="16"/>
      <c r="BX1030" s="16"/>
      <c r="BY1030" s="16"/>
    </row>
    <row r="1031">
      <c r="A1031" s="16" t="s">
        <v>6185</v>
      </c>
      <c r="B1031" s="16" t="s">
        <v>35</v>
      </c>
      <c r="C1031" s="22">
        <v>45711.0</v>
      </c>
      <c r="D1031" s="16" t="s">
        <v>460</v>
      </c>
      <c r="E1031" s="16"/>
      <c r="F1031" s="16" t="s">
        <v>4979</v>
      </c>
      <c r="G1031" s="16" t="s">
        <v>5973</v>
      </c>
      <c r="H1031" s="16">
        <v>1.0</v>
      </c>
      <c r="I1031" s="23">
        <v>10.0</v>
      </c>
      <c r="J1031" s="23">
        <v>10.0</v>
      </c>
      <c r="K1031" s="16"/>
      <c r="L1031" s="23"/>
      <c r="M1031" s="23"/>
      <c r="N1031" s="23"/>
      <c r="O1031" s="16"/>
      <c r="P1031" s="23"/>
      <c r="Q1031" s="23"/>
      <c r="R1031" s="23"/>
      <c r="S1031" s="16"/>
      <c r="T1031" s="23"/>
      <c r="U1031" s="23"/>
      <c r="V1031" s="23"/>
      <c r="W1031" s="16"/>
      <c r="X1031" s="23"/>
      <c r="Y1031" s="23"/>
      <c r="Z1031" s="23"/>
      <c r="AA1031" s="16"/>
      <c r="AB1031" s="23"/>
      <c r="AC1031" s="23"/>
      <c r="AD1031" s="23"/>
      <c r="AE1031" s="16"/>
      <c r="AF1031" s="23"/>
      <c r="AG1031" s="23"/>
      <c r="AH1031" s="23"/>
      <c r="AI1031" s="16"/>
      <c r="AJ1031" s="23"/>
      <c r="AK1031" s="23"/>
      <c r="AL1031" s="23"/>
      <c r="AM1031" s="16"/>
      <c r="AN1031" s="23"/>
      <c r="AO1031" s="23"/>
      <c r="AP1031" s="23"/>
      <c r="AQ1031" s="16"/>
      <c r="AR1031" s="23"/>
      <c r="AS1031" s="23"/>
      <c r="AT1031" s="23"/>
      <c r="AX1031" s="23"/>
      <c r="BF1031" s="23"/>
      <c r="BJ1031" s="23"/>
      <c r="BN1031" s="23"/>
      <c r="BO1031" s="23">
        <v>10.0</v>
      </c>
      <c r="BP1031" s="16"/>
      <c r="BQ1031" s="16"/>
      <c r="BR1031" s="23">
        <v>10.0</v>
      </c>
      <c r="BS1031" s="16"/>
      <c r="BT1031" s="16"/>
      <c r="BU1031" s="16" t="s">
        <v>539</v>
      </c>
      <c r="BV1031" s="16"/>
      <c r="BW1031" s="16"/>
      <c r="BX1031" s="16"/>
      <c r="BY1031" s="16"/>
    </row>
    <row r="1032">
      <c r="A1032" s="16" t="s">
        <v>6191</v>
      </c>
      <c r="B1032" s="16" t="s">
        <v>35</v>
      </c>
      <c r="C1032" s="22">
        <v>45705.0</v>
      </c>
      <c r="D1032" s="16" t="s">
        <v>890</v>
      </c>
      <c r="E1032" s="16" t="s">
        <v>6193</v>
      </c>
      <c r="F1032" s="16" t="s">
        <v>3813</v>
      </c>
      <c r="G1032" s="16" t="s">
        <v>1517</v>
      </c>
      <c r="H1032" s="16">
        <v>1.0</v>
      </c>
      <c r="I1032" s="23">
        <v>5639.52</v>
      </c>
      <c r="J1032" s="23">
        <v>5639.52</v>
      </c>
      <c r="K1032" s="16"/>
      <c r="L1032" s="23"/>
      <c r="M1032" s="23"/>
      <c r="N1032" s="23">
        <v>0.0</v>
      </c>
      <c r="O1032" s="16"/>
      <c r="P1032" s="23"/>
      <c r="Q1032" s="23"/>
      <c r="R1032" s="23">
        <v>0.0</v>
      </c>
      <c r="S1032" s="16"/>
      <c r="T1032" s="23"/>
      <c r="U1032" s="23"/>
      <c r="V1032" s="23">
        <v>0.0</v>
      </c>
      <c r="W1032" s="16"/>
      <c r="X1032" s="23"/>
      <c r="Y1032" s="23"/>
      <c r="Z1032" s="23">
        <v>0.0</v>
      </c>
      <c r="AA1032" s="16"/>
      <c r="AB1032" s="23"/>
      <c r="AC1032" s="23"/>
      <c r="AD1032" s="23">
        <v>0.0</v>
      </c>
      <c r="AE1032" s="16"/>
      <c r="AF1032" s="23"/>
      <c r="AG1032" s="23"/>
      <c r="AH1032" s="23">
        <v>0.0</v>
      </c>
      <c r="AI1032" s="16"/>
      <c r="AJ1032" s="23"/>
      <c r="AK1032" s="23"/>
      <c r="AL1032" s="23">
        <v>0.0</v>
      </c>
      <c r="AM1032" s="16"/>
      <c r="AN1032" s="23"/>
      <c r="AO1032" s="23"/>
      <c r="AP1032" s="23">
        <v>0.0</v>
      </c>
      <c r="AQ1032" s="16"/>
      <c r="AR1032" s="23"/>
      <c r="AS1032" s="23"/>
      <c r="AT1032" s="23">
        <v>0.0</v>
      </c>
      <c r="AX1032" s="23">
        <v>0.0</v>
      </c>
      <c r="BF1032" s="23">
        <v>0.0</v>
      </c>
      <c r="BJ1032" s="23">
        <v>0.0</v>
      </c>
      <c r="BN1032" s="23">
        <v>0.0</v>
      </c>
      <c r="BO1032" s="23">
        <v>5639.52</v>
      </c>
      <c r="BP1032" s="16" t="s">
        <v>6195</v>
      </c>
      <c r="BQ1032" s="16" t="b">
        <v>1</v>
      </c>
      <c r="BR1032" s="23">
        <v>5639.52</v>
      </c>
      <c r="BS1032" s="16"/>
      <c r="BT1032" s="16" t="b">
        <v>0</v>
      </c>
      <c r="BU1032" s="16" t="s">
        <v>546</v>
      </c>
      <c r="BV1032" s="16"/>
      <c r="BW1032" s="16" t="s">
        <v>6198</v>
      </c>
      <c r="BX1032" s="16"/>
      <c r="BY1032" s="16"/>
    </row>
    <row r="1033">
      <c r="A1033" s="16" t="s">
        <v>6202</v>
      </c>
      <c r="B1033" s="16" t="s">
        <v>35</v>
      </c>
      <c r="C1033" s="22">
        <v>45707.0</v>
      </c>
      <c r="D1033" s="16" t="s">
        <v>6204</v>
      </c>
      <c r="E1033" s="16" t="s">
        <v>6205</v>
      </c>
      <c r="F1033" s="16" t="s">
        <v>6208</v>
      </c>
      <c r="G1033" s="16" t="s">
        <v>6470</v>
      </c>
      <c r="H1033" s="16">
        <v>1.0</v>
      </c>
      <c r="I1033" s="23">
        <v>250.0</v>
      </c>
      <c r="J1033" s="23">
        <v>250.0</v>
      </c>
      <c r="K1033" s="16"/>
      <c r="L1033" s="23"/>
      <c r="M1033" s="23"/>
      <c r="N1033" s="23">
        <v>0.0</v>
      </c>
      <c r="O1033" s="16"/>
      <c r="P1033" s="23"/>
      <c r="Q1033" s="23"/>
      <c r="R1033" s="23">
        <v>0.0</v>
      </c>
      <c r="S1033" s="16"/>
      <c r="T1033" s="23"/>
      <c r="U1033" s="23"/>
      <c r="V1033" s="23">
        <v>0.0</v>
      </c>
      <c r="W1033" s="16"/>
      <c r="X1033" s="23"/>
      <c r="Y1033" s="23"/>
      <c r="Z1033" s="23">
        <v>0.0</v>
      </c>
      <c r="AA1033" s="16"/>
      <c r="AB1033" s="23"/>
      <c r="AC1033" s="23"/>
      <c r="AD1033" s="23">
        <v>0.0</v>
      </c>
      <c r="AE1033" s="16"/>
      <c r="AF1033" s="23"/>
      <c r="AG1033" s="23"/>
      <c r="AH1033" s="23">
        <v>0.0</v>
      </c>
      <c r="AI1033" s="16"/>
      <c r="AJ1033" s="23"/>
      <c r="AK1033" s="23"/>
      <c r="AL1033" s="23">
        <v>0.0</v>
      </c>
      <c r="AM1033" s="16"/>
      <c r="AN1033" s="23"/>
      <c r="AO1033" s="23"/>
      <c r="AP1033" s="23">
        <v>0.0</v>
      </c>
      <c r="AQ1033" s="16"/>
      <c r="AR1033" s="23"/>
      <c r="AS1033" s="23"/>
      <c r="AT1033" s="23">
        <v>0.0</v>
      </c>
      <c r="AX1033" s="23">
        <v>0.0</v>
      </c>
      <c r="BF1033" s="23">
        <v>0.0</v>
      </c>
      <c r="BJ1033" s="23">
        <v>0.0</v>
      </c>
      <c r="BN1033" s="23">
        <v>0.0</v>
      </c>
      <c r="BO1033" s="23">
        <v>250.0</v>
      </c>
      <c r="BP1033" s="16" t="s">
        <v>6207</v>
      </c>
      <c r="BQ1033" s="16" t="b">
        <v>1</v>
      </c>
      <c r="BR1033" s="23">
        <v>250.0</v>
      </c>
      <c r="BS1033" s="16">
        <v>1329053.0</v>
      </c>
      <c r="BT1033" s="16" t="b">
        <v>1</v>
      </c>
      <c r="BU1033" s="16" t="s">
        <v>546</v>
      </c>
      <c r="BV1033" s="16"/>
      <c r="BW1033" s="16"/>
      <c r="BX1033" s="16"/>
      <c r="BY1033" s="16"/>
    </row>
    <row r="1034">
      <c r="A1034" s="16" t="s">
        <v>6212</v>
      </c>
      <c r="B1034" s="16" t="s">
        <v>35</v>
      </c>
      <c r="C1034" s="22">
        <v>45708.0</v>
      </c>
      <c r="D1034" s="16" t="s">
        <v>2096</v>
      </c>
      <c r="E1034" s="16" t="s">
        <v>6215</v>
      </c>
      <c r="F1034" s="16" t="s">
        <v>4107</v>
      </c>
      <c r="G1034" s="16" t="s">
        <v>1536</v>
      </c>
      <c r="H1034" s="16">
        <v>1.0</v>
      </c>
      <c r="I1034" s="23">
        <v>190.0</v>
      </c>
      <c r="J1034" s="23">
        <v>190.0</v>
      </c>
      <c r="K1034" s="16"/>
      <c r="L1034" s="23"/>
      <c r="M1034" s="23"/>
      <c r="N1034" s="23">
        <v>0.0</v>
      </c>
      <c r="O1034" s="16"/>
      <c r="P1034" s="23"/>
      <c r="Q1034" s="23"/>
      <c r="R1034" s="23">
        <v>0.0</v>
      </c>
      <c r="S1034" s="16"/>
      <c r="T1034" s="23"/>
      <c r="U1034" s="23"/>
      <c r="V1034" s="23">
        <v>0.0</v>
      </c>
      <c r="W1034" s="16"/>
      <c r="X1034" s="23"/>
      <c r="Y1034" s="23"/>
      <c r="Z1034" s="23">
        <v>0.0</v>
      </c>
      <c r="AA1034" s="16"/>
      <c r="AB1034" s="23"/>
      <c r="AC1034" s="23"/>
      <c r="AD1034" s="23">
        <v>0.0</v>
      </c>
      <c r="AE1034" s="16"/>
      <c r="AF1034" s="23"/>
      <c r="AG1034" s="23"/>
      <c r="AH1034" s="23">
        <v>0.0</v>
      </c>
      <c r="AI1034" s="16"/>
      <c r="AJ1034" s="23"/>
      <c r="AK1034" s="23"/>
      <c r="AL1034" s="23">
        <v>0.0</v>
      </c>
      <c r="AM1034" s="16"/>
      <c r="AN1034" s="23"/>
      <c r="AO1034" s="23"/>
      <c r="AP1034" s="23">
        <v>0.0</v>
      </c>
      <c r="AQ1034" s="16"/>
      <c r="AR1034" s="23"/>
      <c r="AS1034" s="23"/>
      <c r="AT1034" s="23">
        <v>0.0</v>
      </c>
      <c r="AX1034" s="23">
        <v>0.0</v>
      </c>
      <c r="BF1034" s="23">
        <v>0.0</v>
      </c>
      <c r="BJ1034" s="23">
        <v>0.0</v>
      </c>
      <c r="BN1034" s="23">
        <v>0.0</v>
      </c>
      <c r="BO1034" s="23">
        <v>190.0</v>
      </c>
      <c r="BP1034" s="16" t="s">
        <v>6216</v>
      </c>
      <c r="BQ1034" s="16" t="b">
        <v>1</v>
      </c>
      <c r="BR1034" s="23">
        <v>190.0</v>
      </c>
      <c r="BS1034" s="16">
        <v>1330335.0</v>
      </c>
      <c r="BT1034" s="16" t="b">
        <v>1</v>
      </c>
      <c r="BU1034" s="16" t="s">
        <v>546</v>
      </c>
      <c r="BV1034" s="16"/>
      <c r="BW1034" s="16" t="s">
        <v>6219</v>
      </c>
      <c r="BX1034" s="16"/>
      <c r="BY1034" s="16"/>
    </row>
    <row r="1035">
      <c r="A1035" s="16" t="s">
        <v>6221</v>
      </c>
      <c r="B1035" s="16" t="s">
        <v>35</v>
      </c>
      <c r="C1035" s="22">
        <v>45712.0</v>
      </c>
      <c r="D1035" s="16" t="s">
        <v>890</v>
      </c>
      <c r="E1035" s="16"/>
      <c r="F1035" s="16" t="s">
        <v>6224</v>
      </c>
      <c r="G1035" s="16" t="s">
        <v>3833</v>
      </c>
      <c r="H1035" s="16">
        <v>1.0</v>
      </c>
      <c r="I1035" s="23">
        <v>1222.99</v>
      </c>
      <c r="J1035" s="23">
        <v>1222.99</v>
      </c>
      <c r="K1035" s="16"/>
      <c r="L1035" s="23"/>
      <c r="M1035" s="23"/>
      <c r="N1035" s="23"/>
      <c r="O1035" s="16"/>
      <c r="P1035" s="23"/>
      <c r="Q1035" s="23"/>
      <c r="R1035" s="23"/>
      <c r="S1035" s="16"/>
      <c r="T1035" s="23"/>
      <c r="U1035" s="23"/>
      <c r="V1035" s="23"/>
      <c r="W1035" s="16"/>
      <c r="X1035" s="23"/>
      <c r="Y1035" s="23"/>
      <c r="Z1035" s="23"/>
      <c r="AA1035" s="16"/>
      <c r="AB1035" s="23"/>
      <c r="AC1035" s="23"/>
      <c r="AD1035" s="23"/>
      <c r="AE1035" s="16"/>
      <c r="AF1035" s="23"/>
      <c r="AG1035" s="23"/>
      <c r="AH1035" s="23"/>
      <c r="AI1035" s="16"/>
      <c r="AJ1035" s="23"/>
      <c r="AK1035" s="23"/>
      <c r="AL1035" s="23"/>
      <c r="AM1035" s="16"/>
      <c r="AN1035" s="23"/>
      <c r="AO1035" s="23"/>
      <c r="AP1035" s="23"/>
      <c r="AQ1035" s="16"/>
      <c r="AR1035" s="23"/>
      <c r="AS1035" s="23"/>
      <c r="AT1035" s="23"/>
      <c r="AX1035" s="23"/>
      <c r="BF1035" s="23"/>
      <c r="BJ1035" s="23"/>
      <c r="BN1035" s="23"/>
      <c r="BO1035" s="23">
        <v>1222.99</v>
      </c>
      <c r="BP1035" s="16"/>
      <c r="BQ1035" s="16"/>
      <c r="BR1035" s="23">
        <v>1222.99</v>
      </c>
      <c r="BS1035" s="16"/>
      <c r="BT1035" s="16"/>
      <c r="BU1035" s="16" t="s">
        <v>539</v>
      </c>
      <c r="BV1035" s="16"/>
      <c r="BW1035" s="16"/>
      <c r="BX1035" s="16"/>
      <c r="BY1035" s="16"/>
    </row>
    <row r="1036">
      <c r="A1036" s="16" t="s">
        <v>6228</v>
      </c>
      <c r="B1036" s="16" t="s">
        <v>35</v>
      </c>
      <c r="C1036" s="22">
        <v>45698.0</v>
      </c>
      <c r="D1036" s="16" t="s">
        <v>1557</v>
      </c>
      <c r="E1036" s="16" t="s">
        <v>6230</v>
      </c>
      <c r="F1036" s="16" t="s">
        <v>3903</v>
      </c>
      <c r="G1036" s="16" t="s">
        <v>5325</v>
      </c>
      <c r="H1036" s="16">
        <v>1.0</v>
      </c>
      <c r="I1036" s="23">
        <v>110.0</v>
      </c>
      <c r="J1036" s="23">
        <v>110.0</v>
      </c>
      <c r="K1036" s="16"/>
      <c r="L1036" s="23"/>
      <c r="M1036" s="23"/>
      <c r="N1036" s="23">
        <v>0.0</v>
      </c>
      <c r="O1036" s="16"/>
      <c r="P1036" s="23"/>
      <c r="Q1036" s="23"/>
      <c r="R1036" s="23">
        <v>0.0</v>
      </c>
      <c r="S1036" s="16"/>
      <c r="T1036" s="23"/>
      <c r="U1036" s="23"/>
      <c r="V1036" s="23">
        <v>0.0</v>
      </c>
      <c r="W1036" s="16"/>
      <c r="X1036" s="23"/>
      <c r="Y1036" s="23"/>
      <c r="Z1036" s="23">
        <v>0.0</v>
      </c>
      <c r="AA1036" s="16"/>
      <c r="AB1036" s="23"/>
      <c r="AC1036" s="23"/>
      <c r="AD1036" s="23">
        <v>0.0</v>
      </c>
      <c r="AE1036" s="16"/>
      <c r="AF1036" s="23"/>
      <c r="AG1036" s="23"/>
      <c r="AH1036" s="23">
        <v>0.0</v>
      </c>
      <c r="AI1036" s="16"/>
      <c r="AJ1036" s="23"/>
      <c r="AK1036" s="23"/>
      <c r="AL1036" s="23">
        <v>0.0</v>
      </c>
      <c r="AM1036" s="16"/>
      <c r="AN1036" s="23"/>
      <c r="AO1036" s="23"/>
      <c r="AP1036" s="23">
        <v>0.0</v>
      </c>
      <c r="AQ1036" s="16"/>
      <c r="AR1036" s="23"/>
      <c r="AS1036" s="23"/>
      <c r="AT1036" s="23">
        <v>0.0</v>
      </c>
      <c r="AX1036" s="23">
        <v>0.0</v>
      </c>
      <c r="BF1036" s="23">
        <v>0.0</v>
      </c>
      <c r="BJ1036" s="23">
        <v>0.0</v>
      </c>
      <c r="BN1036" s="23">
        <v>0.0</v>
      </c>
      <c r="BO1036" s="23">
        <v>110.0</v>
      </c>
      <c r="BP1036" s="16" t="s">
        <v>6232</v>
      </c>
      <c r="BQ1036" s="16" t="b">
        <v>1</v>
      </c>
      <c r="BR1036" s="23">
        <v>110.0</v>
      </c>
      <c r="BS1036" s="16"/>
      <c r="BT1036" s="16" t="b">
        <v>0</v>
      </c>
      <c r="BU1036" s="16" t="s">
        <v>546</v>
      </c>
      <c r="BV1036" s="16"/>
      <c r="BW1036" s="16"/>
      <c r="BX1036" s="16"/>
      <c r="BY1036" s="16"/>
    </row>
    <row r="1037">
      <c r="A1037" s="16" t="s">
        <v>6236</v>
      </c>
      <c r="B1037" s="16" t="s">
        <v>35</v>
      </c>
      <c r="C1037" s="22">
        <v>45709.0</v>
      </c>
      <c r="D1037" s="16" t="s">
        <v>890</v>
      </c>
      <c r="E1037" s="16" t="s">
        <v>6238</v>
      </c>
      <c r="F1037" s="16" t="s">
        <v>2894</v>
      </c>
      <c r="G1037" s="16" t="s">
        <v>1510</v>
      </c>
      <c r="H1037" s="16">
        <v>1.0</v>
      </c>
      <c r="I1037" s="23">
        <v>20959.87</v>
      </c>
      <c r="J1037" s="23">
        <v>20959.87</v>
      </c>
      <c r="K1037" s="16"/>
      <c r="L1037" s="23"/>
      <c r="M1037" s="23"/>
      <c r="N1037" s="23">
        <v>0.0</v>
      </c>
      <c r="O1037" s="16"/>
      <c r="P1037" s="23"/>
      <c r="Q1037" s="23"/>
      <c r="R1037" s="23">
        <v>0.0</v>
      </c>
      <c r="S1037" s="16"/>
      <c r="T1037" s="23"/>
      <c r="U1037" s="23"/>
      <c r="V1037" s="23">
        <v>0.0</v>
      </c>
      <c r="W1037" s="16"/>
      <c r="X1037" s="23"/>
      <c r="Y1037" s="23"/>
      <c r="Z1037" s="23">
        <v>0.0</v>
      </c>
      <c r="AA1037" s="16"/>
      <c r="AB1037" s="23"/>
      <c r="AC1037" s="23"/>
      <c r="AD1037" s="23">
        <v>0.0</v>
      </c>
      <c r="AE1037" s="16"/>
      <c r="AF1037" s="23"/>
      <c r="AG1037" s="23"/>
      <c r="AH1037" s="23">
        <v>0.0</v>
      </c>
      <c r="AI1037" s="16"/>
      <c r="AJ1037" s="23"/>
      <c r="AK1037" s="23"/>
      <c r="AL1037" s="23">
        <v>0.0</v>
      </c>
      <c r="AM1037" s="16"/>
      <c r="AN1037" s="23"/>
      <c r="AO1037" s="23"/>
      <c r="AP1037" s="23">
        <v>0.0</v>
      </c>
      <c r="AQ1037" s="16"/>
      <c r="AR1037" s="23"/>
      <c r="AS1037" s="23"/>
      <c r="AT1037" s="23">
        <v>0.0</v>
      </c>
      <c r="AX1037" s="23">
        <v>0.0</v>
      </c>
      <c r="BF1037" s="23">
        <v>0.0</v>
      </c>
      <c r="BJ1037" s="23">
        <v>0.0</v>
      </c>
      <c r="BN1037" s="23">
        <v>0.0</v>
      </c>
      <c r="BO1037" s="23">
        <v>20959.87</v>
      </c>
      <c r="BP1037" s="16" t="s">
        <v>6240</v>
      </c>
      <c r="BQ1037" s="16" t="b">
        <v>1</v>
      </c>
      <c r="BR1037" s="23">
        <v>20959.87</v>
      </c>
      <c r="BS1037" s="16"/>
      <c r="BT1037" s="16" t="b">
        <v>0</v>
      </c>
      <c r="BU1037" s="16" t="s">
        <v>546</v>
      </c>
      <c r="BV1037" s="16"/>
      <c r="BW1037" s="16" t="s">
        <v>6243</v>
      </c>
      <c r="BX1037" s="16" t="s">
        <v>6244</v>
      </c>
      <c r="BY1037" s="16" t="s">
        <v>6246</v>
      </c>
    </row>
    <row r="1038">
      <c r="A1038" s="16" t="s">
        <v>6248</v>
      </c>
      <c r="B1038" s="16" t="s">
        <v>35</v>
      </c>
      <c r="C1038" s="22">
        <v>45710.0</v>
      </c>
      <c r="D1038" s="16" t="s">
        <v>112</v>
      </c>
      <c r="E1038" s="16" t="s">
        <v>6250</v>
      </c>
      <c r="F1038" s="16" t="s">
        <v>157</v>
      </c>
      <c r="G1038" s="16" t="s">
        <v>159</v>
      </c>
      <c r="H1038" s="16">
        <v>1.0</v>
      </c>
      <c r="I1038" s="23">
        <v>140.0</v>
      </c>
      <c r="J1038" s="23">
        <v>140.0</v>
      </c>
      <c r="K1038" s="16" t="s">
        <v>155</v>
      </c>
      <c r="L1038" s="23">
        <v>1.0</v>
      </c>
      <c r="M1038" s="23">
        <v>46.72</v>
      </c>
      <c r="N1038" s="23">
        <v>46.72</v>
      </c>
      <c r="O1038" s="16" t="s">
        <v>152</v>
      </c>
      <c r="P1038" s="23">
        <v>1.0</v>
      </c>
      <c r="Q1038" s="23">
        <v>13.2</v>
      </c>
      <c r="R1038" s="23">
        <v>13.2</v>
      </c>
      <c r="S1038" s="16"/>
      <c r="T1038" s="23"/>
      <c r="U1038" s="23"/>
      <c r="V1038" s="23">
        <v>0.0</v>
      </c>
      <c r="W1038" s="16"/>
      <c r="X1038" s="23"/>
      <c r="Y1038" s="23"/>
      <c r="Z1038" s="23">
        <v>0.0</v>
      </c>
      <c r="AA1038" s="16"/>
      <c r="AB1038" s="23"/>
      <c r="AC1038" s="23"/>
      <c r="AD1038" s="23">
        <v>0.0</v>
      </c>
      <c r="AE1038" s="16"/>
      <c r="AF1038" s="23"/>
      <c r="AG1038" s="23"/>
      <c r="AH1038" s="23">
        <v>0.0</v>
      </c>
      <c r="AI1038" s="16"/>
      <c r="AJ1038" s="23"/>
      <c r="AK1038" s="23"/>
      <c r="AL1038" s="23">
        <v>0.0</v>
      </c>
      <c r="AM1038" s="16"/>
      <c r="AN1038" s="23"/>
      <c r="AO1038" s="23"/>
      <c r="AP1038" s="23">
        <v>0.0</v>
      </c>
      <c r="AQ1038" s="16"/>
      <c r="AR1038" s="23"/>
      <c r="AS1038" s="23"/>
      <c r="AT1038" s="23">
        <v>0.0</v>
      </c>
      <c r="AX1038" s="23">
        <v>0.0</v>
      </c>
      <c r="BF1038" s="23">
        <v>0.0</v>
      </c>
      <c r="BJ1038" s="23">
        <v>0.0</v>
      </c>
      <c r="BN1038" s="23">
        <v>0.0</v>
      </c>
      <c r="BO1038" s="23">
        <v>199.92</v>
      </c>
      <c r="BP1038" s="16" t="s">
        <v>6251</v>
      </c>
      <c r="BQ1038" s="16" t="b">
        <v>1</v>
      </c>
      <c r="BR1038" s="23">
        <v>239.92</v>
      </c>
      <c r="BS1038" s="16"/>
      <c r="BT1038" s="16" t="b">
        <v>0</v>
      </c>
      <c r="BU1038" s="16" t="s">
        <v>546</v>
      </c>
      <c r="BV1038" s="16"/>
      <c r="BW1038" s="16"/>
      <c r="BX1038" s="16"/>
      <c r="BY1038" s="16"/>
    </row>
    <row r="1039">
      <c r="A1039" s="16" t="s">
        <v>6256</v>
      </c>
      <c r="B1039" s="16" t="s">
        <v>35</v>
      </c>
      <c r="C1039" s="22">
        <v>45710.0</v>
      </c>
      <c r="D1039" s="16" t="s">
        <v>3816</v>
      </c>
      <c r="E1039" s="16" t="s">
        <v>6258</v>
      </c>
      <c r="F1039" s="16" t="s">
        <v>4146</v>
      </c>
      <c r="G1039" s="16" t="s">
        <v>305</v>
      </c>
      <c r="H1039" s="16">
        <v>1.0</v>
      </c>
      <c r="I1039" s="23">
        <v>16.36</v>
      </c>
      <c r="J1039" s="23">
        <v>16.36</v>
      </c>
      <c r="K1039" s="16"/>
      <c r="L1039" s="23"/>
      <c r="M1039" s="23"/>
      <c r="N1039" s="23">
        <v>0.0</v>
      </c>
      <c r="O1039" s="16"/>
      <c r="P1039" s="23"/>
      <c r="Q1039" s="23"/>
      <c r="R1039" s="23">
        <v>0.0</v>
      </c>
      <c r="S1039" s="16"/>
      <c r="T1039" s="23"/>
      <c r="U1039" s="23"/>
      <c r="V1039" s="23">
        <v>0.0</v>
      </c>
      <c r="W1039" s="16"/>
      <c r="X1039" s="23"/>
      <c r="Y1039" s="23"/>
      <c r="Z1039" s="23">
        <v>0.0</v>
      </c>
      <c r="AA1039" s="16"/>
      <c r="AB1039" s="23"/>
      <c r="AC1039" s="23"/>
      <c r="AD1039" s="23">
        <v>0.0</v>
      </c>
      <c r="AE1039" s="16"/>
      <c r="AF1039" s="23"/>
      <c r="AG1039" s="23"/>
      <c r="AH1039" s="23">
        <v>0.0</v>
      </c>
      <c r="AI1039" s="16"/>
      <c r="AJ1039" s="23"/>
      <c r="AK1039" s="23"/>
      <c r="AL1039" s="23">
        <v>0.0</v>
      </c>
      <c r="AM1039" s="16"/>
      <c r="AN1039" s="23"/>
      <c r="AO1039" s="23"/>
      <c r="AP1039" s="23">
        <v>0.0</v>
      </c>
      <c r="AQ1039" s="16"/>
      <c r="AR1039" s="23"/>
      <c r="AS1039" s="23"/>
      <c r="AT1039" s="23">
        <v>0.0</v>
      </c>
      <c r="AX1039" s="23">
        <v>0.0</v>
      </c>
      <c r="BF1039" s="23">
        <v>0.0</v>
      </c>
      <c r="BJ1039" s="23">
        <v>0.0</v>
      </c>
      <c r="BN1039" s="23">
        <v>0.0</v>
      </c>
      <c r="BO1039" s="23">
        <v>16.36</v>
      </c>
      <c r="BP1039" s="16" t="s">
        <v>6260</v>
      </c>
      <c r="BQ1039" s="16" t="b">
        <v>1</v>
      </c>
      <c r="BR1039" s="23">
        <v>16.36</v>
      </c>
      <c r="BS1039" s="16">
        <v>1333798.0</v>
      </c>
      <c r="BT1039" s="16" t="b">
        <v>1</v>
      </c>
      <c r="BU1039" s="16" t="s">
        <v>546</v>
      </c>
      <c r="BV1039" s="16"/>
      <c r="BW1039" s="16"/>
      <c r="BX1039" s="16"/>
      <c r="BY1039" s="16"/>
    </row>
    <row r="1040">
      <c r="A1040" s="16" t="s">
        <v>6263</v>
      </c>
      <c r="B1040" s="16" t="s">
        <v>35</v>
      </c>
      <c r="C1040" s="22">
        <v>45711.0</v>
      </c>
      <c r="D1040" s="16" t="s">
        <v>233</v>
      </c>
      <c r="E1040" s="16" t="s">
        <v>6267</v>
      </c>
      <c r="F1040" s="16" t="s">
        <v>6271</v>
      </c>
      <c r="G1040" s="16" t="s">
        <v>305</v>
      </c>
      <c r="H1040" s="16">
        <v>1.0</v>
      </c>
      <c r="I1040" s="23">
        <v>103.91</v>
      </c>
      <c r="J1040" s="23">
        <v>103.91</v>
      </c>
      <c r="K1040" s="16"/>
      <c r="L1040" s="23"/>
      <c r="M1040" s="23"/>
      <c r="N1040" s="23">
        <v>0.0</v>
      </c>
      <c r="O1040" s="16"/>
      <c r="P1040" s="23"/>
      <c r="Q1040" s="23"/>
      <c r="R1040" s="23">
        <v>0.0</v>
      </c>
      <c r="S1040" s="16"/>
      <c r="T1040" s="23"/>
      <c r="U1040" s="23"/>
      <c r="V1040" s="23">
        <v>0.0</v>
      </c>
      <c r="W1040" s="16"/>
      <c r="X1040" s="23"/>
      <c r="Y1040" s="23"/>
      <c r="Z1040" s="23">
        <v>0.0</v>
      </c>
      <c r="AA1040" s="16"/>
      <c r="AB1040" s="23"/>
      <c r="AC1040" s="23"/>
      <c r="AD1040" s="23">
        <v>0.0</v>
      </c>
      <c r="AE1040" s="16"/>
      <c r="AF1040" s="23"/>
      <c r="AG1040" s="23"/>
      <c r="AH1040" s="23">
        <v>0.0</v>
      </c>
      <c r="AI1040" s="16"/>
      <c r="AJ1040" s="23"/>
      <c r="AK1040" s="23"/>
      <c r="AL1040" s="23">
        <v>0.0</v>
      </c>
      <c r="AM1040" s="16"/>
      <c r="AN1040" s="23"/>
      <c r="AO1040" s="23"/>
      <c r="AP1040" s="23">
        <v>0.0</v>
      </c>
      <c r="AQ1040" s="16"/>
      <c r="AR1040" s="23"/>
      <c r="AS1040" s="23"/>
      <c r="AT1040" s="23">
        <v>0.0</v>
      </c>
      <c r="AX1040" s="23">
        <v>0.0</v>
      </c>
      <c r="BF1040" s="23">
        <v>0.0</v>
      </c>
      <c r="BJ1040" s="23">
        <v>0.0</v>
      </c>
      <c r="BN1040" s="23">
        <v>0.0</v>
      </c>
      <c r="BO1040" s="23">
        <v>103.91</v>
      </c>
      <c r="BP1040" s="16" t="s">
        <v>6269</v>
      </c>
      <c r="BQ1040" s="16" t="b">
        <v>1</v>
      </c>
      <c r="BR1040" s="23">
        <v>103.91</v>
      </c>
      <c r="BS1040" s="16">
        <v>1336239.0</v>
      </c>
      <c r="BT1040" s="16" t="b">
        <v>1</v>
      </c>
      <c r="BU1040" s="16" t="s">
        <v>546</v>
      </c>
      <c r="BV1040" s="16"/>
      <c r="BW1040" s="16"/>
      <c r="BX1040" s="16"/>
      <c r="BY1040" s="16"/>
    </row>
    <row r="1041">
      <c r="A1041" s="16" t="s">
        <v>6277</v>
      </c>
      <c r="B1041" s="16" t="s">
        <v>35</v>
      </c>
      <c r="C1041" s="22">
        <v>45712.0</v>
      </c>
      <c r="D1041" s="16" t="s">
        <v>543</v>
      </c>
      <c r="E1041" s="16" t="s">
        <v>6280</v>
      </c>
      <c r="F1041" s="16" t="s">
        <v>171</v>
      </c>
      <c r="G1041" s="16">
        <v>1.2539885E7</v>
      </c>
      <c r="H1041" s="16">
        <v>1.0</v>
      </c>
      <c r="I1041" s="23">
        <v>600.0</v>
      </c>
      <c r="J1041" s="23">
        <v>600.0</v>
      </c>
      <c r="K1041" s="16"/>
      <c r="L1041" s="23"/>
      <c r="M1041" s="23"/>
      <c r="N1041" s="23">
        <v>0.0</v>
      </c>
      <c r="O1041" s="16"/>
      <c r="P1041" s="23"/>
      <c r="Q1041" s="23"/>
      <c r="R1041" s="23">
        <v>0.0</v>
      </c>
      <c r="S1041" s="16"/>
      <c r="T1041" s="23"/>
      <c r="U1041" s="23"/>
      <c r="V1041" s="23">
        <v>0.0</v>
      </c>
      <c r="W1041" s="16"/>
      <c r="X1041" s="23"/>
      <c r="Y1041" s="23"/>
      <c r="Z1041" s="23">
        <v>0.0</v>
      </c>
      <c r="AA1041" s="16"/>
      <c r="AB1041" s="23"/>
      <c r="AC1041" s="23"/>
      <c r="AD1041" s="23">
        <v>0.0</v>
      </c>
      <c r="AE1041" s="16"/>
      <c r="AF1041" s="23"/>
      <c r="AG1041" s="23"/>
      <c r="AH1041" s="23">
        <v>0.0</v>
      </c>
      <c r="AI1041" s="16"/>
      <c r="AJ1041" s="23"/>
      <c r="AK1041" s="23"/>
      <c r="AL1041" s="23">
        <v>0.0</v>
      </c>
      <c r="AM1041" s="16"/>
      <c r="AN1041" s="23"/>
      <c r="AO1041" s="23"/>
      <c r="AP1041" s="23">
        <v>0.0</v>
      </c>
      <c r="AQ1041" s="16"/>
      <c r="AR1041" s="23"/>
      <c r="AS1041" s="23"/>
      <c r="AT1041" s="23">
        <v>0.0</v>
      </c>
      <c r="AX1041" s="23">
        <v>0.0</v>
      </c>
      <c r="BF1041" s="23">
        <v>0.0</v>
      </c>
      <c r="BJ1041" s="23">
        <v>0.0</v>
      </c>
      <c r="BN1041" s="23">
        <v>0.0</v>
      </c>
      <c r="BO1041" s="23">
        <v>600.0</v>
      </c>
      <c r="BP1041" s="16" t="s">
        <v>6281</v>
      </c>
      <c r="BQ1041" s="16" t="b">
        <v>1</v>
      </c>
      <c r="BR1041" s="23">
        <v>600.0</v>
      </c>
      <c r="BS1041" s="16"/>
      <c r="BT1041" s="16" t="b">
        <v>0</v>
      </c>
      <c r="BU1041" s="16" t="s">
        <v>546</v>
      </c>
      <c r="BV1041" s="16"/>
      <c r="BW1041" s="16"/>
      <c r="BX1041" s="16"/>
      <c r="BY1041" s="16"/>
    </row>
    <row r="1042">
      <c r="A1042" s="16" t="s">
        <v>6284</v>
      </c>
      <c r="B1042" s="16" t="s">
        <v>35</v>
      </c>
      <c r="C1042" s="22">
        <v>45715.0</v>
      </c>
      <c r="D1042" s="16"/>
      <c r="E1042" s="16"/>
      <c r="F1042" s="16" t="s">
        <v>1329</v>
      </c>
      <c r="G1042" s="16" t="s">
        <v>1168</v>
      </c>
      <c r="H1042" s="16">
        <v>1.0</v>
      </c>
      <c r="I1042" s="23">
        <v>500.0</v>
      </c>
      <c r="J1042" s="23">
        <v>500.0</v>
      </c>
      <c r="K1042" s="16"/>
      <c r="L1042" s="23"/>
      <c r="M1042" s="23"/>
      <c r="N1042" s="23"/>
      <c r="O1042" s="16"/>
      <c r="P1042" s="23"/>
      <c r="Q1042" s="23"/>
      <c r="R1042" s="23"/>
      <c r="S1042" s="16"/>
      <c r="T1042" s="23"/>
      <c r="U1042" s="23"/>
      <c r="V1042" s="23"/>
      <c r="W1042" s="16"/>
      <c r="X1042" s="23"/>
      <c r="Y1042" s="23"/>
      <c r="Z1042" s="23"/>
      <c r="AA1042" s="16"/>
      <c r="AB1042" s="23"/>
      <c r="AC1042" s="23"/>
      <c r="AD1042" s="23"/>
      <c r="AE1042" s="16"/>
      <c r="AF1042" s="23"/>
      <c r="AG1042" s="23"/>
      <c r="AH1042" s="23"/>
      <c r="AI1042" s="16"/>
      <c r="AJ1042" s="23"/>
      <c r="AK1042" s="23"/>
      <c r="AL1042" s="23"/>
      <c r="AM1042" s="16"/>
      <c r="AN1042" s="23"/>
      <c r="AO1042" s="23"/>
      <c r="AP1042" s="23"/>
      <c r="AQ1042" s="16"/>
      <c r="AR1042" s="23"/>
      <c r="AS1042" s="23"/>
      <c r="AT1042" s="23"/>
      <c r="AX1042" s="23"/>
      <c r="BF1042" s="23"/>
      <c r="BJ1042" s="23"/>
      <c r="BN1042" s="23"/>
      <c r="BO1042" s="23">
        <v>500.0</v>
      </c>
      <c r="BP1042" s="16"/>
      <c r="BQ1042" s="16"/>
      <c r="BR1042" s="23">
        <v>500.0</v>
      </c>
      <c r="BS1042" s="16"/>
      <c r="BT1042" s="16"/>
      <c r="BU1042" s="16" t="s">
        <v>539</v>
      </c>
      <c r="BV1042" s="16" t="s">
        <v>6062</v>
      </c>
      <c r="BW1042" s="16"/>
      <c r="BX1042" s="16"/>
      <c r="BY1042" s="16"/>
    </row>
    <row r="1043">
      <c r="A1043" s="16" t="s">
        <v>6288</v>
      </c>
      <c r="B1043" s="16" t="s">
        <v>35</v>
      </c>
      <c r="C1043" s="22">
        <v>45715.0</v>
      </c>
      <c r="D1043" s="16"/>
      <c r="E1043" s="16"/>
      <c r="F1043" s="16" t="s">
        <v>1329</v>
      </c>
      <c r="G1043" s="16" t="s">
        <v>1168</v>
      </c>
      <c r="H1043" s="16">
        <v>1.0</v>
      </c>
      <c r="I1043" s="23">
        <v>100.0</v>
      </c>
      <c r="J1043" s="23">
        <v>100.0</v>
      </c>
      <c r="K1043" s="16"/>
      <c r="L1043" s="23"/>
      <c r="M1043" s="23"/>
      <c r="N1043" s="23"/>
      <c r="O1043" s="16"/>
      <c r="P1043" s="23"/>
      <c r="Q1043" s="23"/>
      <c r="R1043" s="23"/>
      <c r="S1043" s="16"/>
      <c r="T1043" s="23"/>
      <c r="U1043" s="23"/>
      <c r="V1043" s="23"/>
      <c r="W1043" s="16"/>
      <c r="X1043" s="23"/>
      <c r="Y1043" s="23"/>
      <c r="Z1043" s="23"/>
      <c r="AA1043" s="16"/>
      <c r="AB1043" s="23"/>
      <c r="AC1043" s="23"/>
      <c r="AD1043" s="23"/>
      <c r="AE1043" s="16"/>
      <c r="AF1043" s="23"/>
      <c r="AG1043" s="23"/>
      <c r="AH1043" s="23"/>
      <c r="AI1043" s="16"/>
      <c r="AJ1043" s="23"/>
      <c r="AK1043" s="23"/>
      <c r="AL1043" s="23"/>
      <c r="AM1043" s="16"/>
      <c r="AN1043" s="23"/>
      <c r="AO1043" s="23"/>
      <c r="AP1043" s="23"/>
      <c r="AQ1043" s="16"/>
      <c r="AR1043" s="23"/>
      <c r="AS1043" s="23"/>
      <c r="AT1043" s="23"/>
      <c r="AX1043" s="23"/>
      <c r="BF1043" s="23"/>
      <c r="BJ1043" s="23"/>
      <c r="BN1043" s="23"/>
      <c r="BO1043" s="23">
        <v>100.0</v>
      </c>
      <c r="BP1043" s="16"/>
      <c r="BQ1043" s="16"/>
      <c r="BR1043" s="23">
        <v>100.0</v>
      </c>
      <c r="BS1043" s="16"/>
      <c r="BT1043" s="16"/>
      <c r="BU1043" s="16" t="s">
        <v>539</v>
      </c>
      <c r="BV1043" s="16" t="s">
        <v>624</v>
      </c>
      <c r="BW1043" s="16"/>
      <c r="BX1043" s="16"/>
      <c r="BY1043" s="16"/>
    </row>
    <row r="1044">
      <c r="A1044" s="16" t="s">
        <v>6293</v>
      </c>
      <c r="B1044" s="16" t="s">
        <v>35</v>
      </c>
      <c r="C1044" s="22">
        <v>45706.0</v>
      </c>
      <c r="D1044" s="16" t="s">
        <v>1036</v>
      </c>
      <c r="E1044" s="16" t="s">
        <v>6296</v>
      </c>
      <c r="F1044" s="16" t="s">
        <v>5755</v>
      </c>
      <c r="G1044" s="16" t="s">
        <v>1668</v>
      </c>
      <c r="H1044" s="16">
        <v>1.0</v>
      </c>
      <c r="I1044" s="23">
        <v>114.46</v>
      </c>
      <c r="J1044" s="23">
        <v>114.46</v>
      </c>
      <c r="K1044" s="16"/>
      <c r="L1044" s="23"/>
      <c r="M1044" s="23"/>
      <c r="N1044" s="23">
        <v>0.0</v>
      </c>
      <c r="O1044" s="16"/>
      <c r="P1044" s="23"/>
      <c r="Q1044" s="23"/>
      <c r="R1044" s="23">
        <v>0.0</v>
      </c>
      <c r="S1044" s="16"/>
      <c r="T1044" s="23"/>
      <c r="U1044" s="23"/>
      <c r="V1044" s="23">
        <v>0.0</v>
      </c>
      <c r="W1044" s="16"/>
      <c r="X1044" s="23"/>
      <c r="Y1044" s="23"/>
      <c r="Z1044" s="23">
        <v>0.0</v>
      </c>
      <c r="AA1044" s="16"/>
      <c r="AB1044" s="23"/>
      <c r="AC1044" s="23"/>
      <c r="AD1044" s="23">
        <v>0.0</v>
      </c>
      <c r="AE1044" s="16"/>
      <c r="AF1044" s="23"/>
      <c r="AG1044" s="23"/>
      <c r="AH1044" s="23">
        <v>0.0</v>
      </c>
      <c r="AI1044" s="16"/>
      <c r="AJ1044" s="23"/>
      <c r="AK1044" s="23"/>
      <c r="AL1044" s="23">
        <v>0.0</v>
      </c>
      <c r="AM1044" s="16"/>
      <c r="AN1044" s="23"/>
      <c r="AO1044" s="23"/>
      <c r="AP1044" s="23">
        <v>0.0</v>
      </c>
      <c r="AQ1044" s="16"/>
      <c r="AR1044" s="23"/>
      <c r="AS1044" s="23"/>
      <c r="AT1044" s="23">
        <v>0.0</v>
      </c>
      <c r="AX1044" s="23">
        <v>0.0</v>
      </c>
      <c r="BF1044" s="23">
        <v>0.0</v>
      </c>
      <c r="BJ1044" s="23">
        <v>0.0</v>
      </c>
      <c r="BN1044" s="23">
        <v>0.0</v>
      </c>
      <c r="BO1044" s="23">
        <v>114.46</v>
      </c>
      <c r="BP1044" s="16" t="s">
        <v>6297</v>
      </c>
      <c r="BQ1044" s="16" t="b">
        <v>1</v>
      </c>
      <c r="BR1044" s="23">
        <v>114.46</v>
      </c>
      <c r="BS1044" s="16"/>
      <c r="BT1044" s="16" t="b">
        <v>0</v>
      </c>
      <c r="BU1044" s="16" t="s">
        <v>546</v>
      </c>
      <c r="BV1044" s="16"/>
      <c r="BW1044" s="16"/>
      <c r="BX1044" s="16"/>
      <c r="BY1044" s="16"/>
    </row>
    <row r="1045">
      <c r="A1045" s="16" t="s">
        <v>6301</v>
      </c>
      <c r="B1045" s="16" t="s">
        <v>35</v>
      </c>
      <c r="C1045" s="22">
        <v>45713.0</v>
      </c>
      <c r="D1045" s="16" t="s">
        <v>112</v>
      </c>
      <c r="E1045" s="16" t="s">
        <v>6303</v>
      </c>
      <c r="F1045" s="16" t="s">
        <v>157</v>
      </c>
      <c r="G1045" s="16" t="s">
        <v>159</v>
      </c>
      <c r="H1045" s="16">
        <v>1.0</v>
      </c>
      <c r="I1045" s="23">
        <v>210.0</v>
      </c>
      <c r="J1045" s="23">
        <v>210.0</v>
      </c>
      <c r="K1045" s="16" t="s">
        <v>155</v>
      </c>
      <c r="L1045" s="23">
        <v>1.0</v>
      </c>
      <c r="M1045" s="23">
        <v>44.96</v>
      </c>
      <c r="N1045" s="23">
        <v>44.96</v>
      </c>
      <c r="O1045" s="16" t="s">
        <v>152</v>
      </c>
      <c r="P1045" s="23">
        <v>1.0</v>
      </c>
      <c r="Q1045" s="23">
        <v>9.6</v>
      </c>
      <c r="R1045" s="23">
        <v>9.6</v>
      </c>
      <c r="S1045" s="16" t="s">
        <v>226</v>
      </c>
      <c r="T1045" s="23">
        <v>1.0</v>
      </c>
      <c r="U1045" s="23">
        <v>100.0</v>
      </c>
      <c r="V1045" s="23">
        <v>100.0</v>
      </c>
      <c r="W1045" s="16"/>
      <c r="X1045" s="23"/>
      <c r="Y1045" s="23"/>
      <c r="Z1045" s="23">
        <v>0.0</v>
      </c>
      <c r="AA1045" s="16"/>
      <c r="AB1045" s="23"/>
      <c r="AC1045" s="23"/>
      <c r="AD1045" s="23">
        <v>0.0</v>
      </c>
      <c r="AE1045" s="16"/>
      <c r="AF1045" s="23"/>
      <c r="AG1045" s="23"/>
      <c r="AH1045" s="23">
        <v>0.0</v>
      </c>
      <c r="AI1045" s="16"/>
      <c r="AJ1045" s="23"/>
      <c r="AK1045" s="23"/>
      <c r="AL1045" s="23">
        <v>0.0</v>
      </c>
      <c r="AM1045" s="16"/>
      <c r="AN1045" s="23"/>
      <c r="AO1045" s="23"/>
      <c r="AP1045" s="23">
        <v>0.0</v>
      </c>
      <c r="AQ1045" s="16"/>
      <c r="AR1045" s="23"/>
      <c r="AS1045" s="23"/>
      <c r="AT1045" s="23">
        <v>0.0</v>
      </c>
      <c r="AX1045" s="23">
        <v>0.0</v>
      </c>
      <c r="BF1045" s="23">
        <v>0.0</v>
      </c>
      <c r="BJ1045" s="23">
        <v>0.0</v>
      </c>
      <c r="BN1045" s="23">
        <v>0.0</v>
      </c>
      <c r="BO1045" s="23">
        <v>364.56</v>
      </c>
      <c r="BP1045" s="16" t="s">
        <v>6304</v>
      </c>
      <c r="BQ1045" s="16" t="b">
        <v>1</v>
      </c>
      <c r="BR1045" s="23">
        <v>364.66</v>
      </c>
      <c r="BS1045" s="16"/>
      <c r="BT1045" s="16" t="b">
        <v>0</v>
      </c>
      <c r="BU1045" s="16" t="s">
        <v>546</v>
      </c>
      <c r="BV1045" s="16"/>
      <c r="BW1045" s="16"/>
      <c r="BX1045" s="16"/>
      <c r="BY1045" s="16"/>
    </row>
    <row r="1046">
      <c r="A1046" s="16" t="s">
        <v>6308</v>
      </c>
      <c r="B1046" s="16" t="s">
        <v>35</v>
      </c>
      <c r="C1046" s="22">
        <v>45719.0</v>
      </c>
      <c r="D1046" s="16"/>
      <c r="E1046" s="16"/>
      <c r="F1046" s="16" t="s">
        <v>1329</v>
      </c>
      <c r="G1046" s="16" t="s">
        <v>1168</v>
      </c>
      <c r="H1046" s="16">
        <v>1.0</v>
      </c>
      <c r="I1046" s="23">
        <v>400.0</v>
      </c>
      <c r="J1046" s="23">
        <v>400.0</v>
      </c>
      <c r="K1046" s="16"/>
      <c r="L1046" s="23"/>
      <c r="M1046" s="23"/>
      <c r="N1046" s="23"/>
      <c r="O1046" s="16"/>
      <c r="P1046" s="23"/>
      <c r="Q1046" s="23"/>
      <c r="R1046" s="23"/>
      <c r="S1046" s="16"/>
      <c r="T1046" s="23"/>
      <c r="U1046" s="23"/>
      <c r="V1046" s="23"/>
      <c r="W1046" s="16"/>
      <c r="X1046" s="23"/>
      <c r="Y1046" s="23"/>
      <c r="Z1046" s="23"/>
      <c r="AA1046" s="16"/>
      <c r="AB1046" s="23"/>
      <c r="AC1046" s="23"/>
      <c r="AD1046" s="23"/>
      <c r="AE1046" s="16"/>
      <c r="AF1046" s="23"/>
      <c r="AG1046" s="23"/>
      <c r="AH1046" s="23"/>
      <c r="AI1046" s="16"/>
      <c r="AJ1046" s="23"/>
      <c r="AK1046" s="23"/>
      <c r="AL1046" s="23"/>
      <c r="AM1046" s="16"/>
      <c r="AN1046" s="23"/>
      <c r="AO1046" s="23"/>
      <c r="AP1046" s="23"/>
      <c r="AQ1046" s="16"/>
      <c r="AR1046" s="23"/>
      <c r="AS1046" s="23"/>
      <c r="AT1046" s="23"/>
      <c r="AX1046" s="23"/>
      <c r="BF1046" s="23"/>
      <c r="BJ1046" s="23"/>
      <c r="BN1046" s="23"/>
      <c r="BO1046" s="23">
        <v>400.0</v>
      </c>
      <c r="BP1046" s="16"/>
      <c r="BQ1046" s="16"/>
      <c r="BR1046" s="23">
        <v>400.0</v>
      </c>
      <c r="BS1046" s="16"/>
      <c r="BT1046" s="16"/>
      <c r="BU1046" s="16" t="s">
        <v>539</v>
      </c>
      <c r="BV1046" s="16" t="s">
        <v>624</v>
      </c>
      <c r="BW1046" s="16"/>
      <c r="BX1046" s="16"/>
      <c r="BY1046" s="16"/>
    </row>
    <row r="1047">
      <c r="A1047" s="16" t="s">
        <v>6312</v>
      </c>
      <c r="B1047" s="16" t="s">
        <v>35</v>
      </c>
      <c r="C1047" s="22">
        <v>45712.0</v>
      </c>
      <c r="D1047" s="16" t="s">
        <v>353</v>
      </c>
      <c r="E1047" s="16" t="s">
        <v>6314</v>
      </c>
      <c r="F1047" s="16" t="s">
        <v>6317</v>
      </c>
      <c r="G1047" s="16" t="s">
        <v>691</v>
      </c>
      <c r="H1047" s="16">
        <v>1.0</v>
      </c>
      <c r="I1047" s="23">
        <v>86.29</v>
      </c>
      <c r="J1047" s="23">
        <v>86.29</v>
      </c>
      <c r="K1047" s="16" t="s">
        <v>6501</v>
      </c>
      <c r="L1047" s="23">
        <v>1.0</v>
      </c>
      <c r="M1047" s="23">
        <v>52.99</v>
      </c>
      <c r="N1047" s="23">
        <v>52.99</v>
      </c>
      <c r="O1047" s="16"/>
      <c r="P1047" s="23"/>
      <c r="Q1047" s="23"/>
      <c r="R1047" s="23">
        <v>0.0</v>
      </c>
      <c r="S1047" s="16"/>
      <c r="T1047" s="23"/>
      <c r="U1047" s="23"/>
      <c r="V1047" s="23">
        <v>0.0</v>
      </c>
      <c r="W1047" s="16"/>
      <c r="X1047" s="23"/>
      <c r="Y1047" s="23"/>
      <c r="Z1047" s="23">
        <v>0.0</v>
      </c>
      <c r="AA1047" s="16"/>
      <c r="AB1047" s="23"/>
      <c r="AC1047" s="23"/>
      <c r="AD1047" s="23">
        <v>0.0</v>
      </c>
      <c r="AE1047" s="16"/>
      <c r="AF1047" s="23"/>
      <c r="AG1047" s="23"/>
      <c r="AH1047" s="23">
        <v>0.0</v>
      </c>
      <c r="AI1047" s="16"/>
      <c r="AJ1047" s="23"/>
      <c r="AK1047" s="23"/>
      <c r="AL1047" s="23">
        <v>0.0</v>
      </c>
      <c r="AM1047" s="16"/>
      <c r="AN1047" s="23"/>
      <c r="AO1047" s="23"/>
      <c r="AP1047" s="23">
        <v>0.0</v>
      </c>
      <c r="AQ1047" s="16"/>
      <c r="AR1047" s="23"/>
      <c r="AS1047" s="23"/>
      <c r="AT1047" s="23">
        <v>0.0</v>
      </c>
      <c r="AX1047" s="23">
        <v>0.0</v>
      </c>
      <c r="BF1047" s="23">
        <v>0.0</v>
      </c>
      <c r="BJ1047" s="23">
        <v>0.0</v>
      </c>
      <c r="BN1047" s="23">
        <v>0.0</v>
      </c>
      <c r="BO1047" s="23">
        <v>139.28</v>
      </c>
      <c r="BP1047" s="16" t="s">
        <v>6316</v>
      </c>
      <c r="BQ1047" s="16" t="b">
        <v>1</v>
      </c>
      <c r="BR1047" s="23">
        <v>139.28</v>
      </c>
      <c r="BS1047" s="16">
        <v>1339047.0</v>
      </c>
      <c r="BT1047" s="16" t="b">
        <v>1</v>
      </c>
      <c r="BU1047" s="16" t="s">
        <v>546</v>
      </c>
      <c r="BV1047" s="16"/>
      <c r="BW1047" s="16"/>
      <c r="BX1047" s="16"/>
      <c r="BY1047" s="16"/>
    </row>
    <row r="1048">
      <c r="A1048" s="16" t="s">
        <v>6321</v>
      </c>
      <c r="B1048" s="16" t="s">
        <v>35</v>
      </c>
      <c r="C1048" s="22">
        <v>45715.0</v>
      </c>
      <c r="D1048" s="16" t="s">
        <v>764</v>
      </c>
      <c r="E1048" s="16" t="s">
        <v>6324</v>
      </c>
      <c r="F1048" s="16" t="s">
        <v>195</v>
      </c>
      <c r="G1048" s="16" t="s">
        <v>1081</v>
      </c>
      <c r="H1048" s="16">
        <v>1.0</v>
      </c>
      <c r="I1048" s="23">
        <v>47.0</v>
      </c>
      <c r="J1048" s="23">
        <v>47.0</v>
      </c>
      <c r="K1048" s="16" t="s">
        <v>1081</v>
      </c>
      <c r="L1048" s="23">
        <v>5.0</v>
      </c>
      <c r="M1048" s="23">
        <v>48.0</v>
      </c>
      <c r="N1048" s="23">
        <v>240.0</v>
      </c>
      <c r="O1048" s="16" t="s">
        <v>1077</v>
      </c>
      <c r="P1048" s="23">
        <v>4.0</v>
      </c>
      <c r="Q1048" s="23">
        <v>25.8</v>
      </c>
      <c r="R1048" s="23">
        <v>103.2</v>
      </c>
      <c r="S1048" s="16" t="s">
        <v>1091</v>
      </c>
      <c r="T1048" s="23">
        <v>1.0</v>
      </c>
      <c r="U1048" s="23">
        <v>36.0</v>
      </c>
      <c r="V1048" s="23">
        <v>36.0</v>
      </c>
      <c r="W1048" s="16" t="s">
        <v>1075</v>
      </c>
      <c r="X1048" s="23">
        <v>3.0</v>
      </c>
      <c r="Y1048" s="23">
        <v>38.0</v>
      </c>
      <c r="Z1048" s="23">
        <v>114.0</v>
      </c>
      <c r="AA1048" s="16">
        <v>7.5375964E7</v>
      </c>
      <c r="AB1048" s="23">
        <v>3.0</v>
      </c>
      <c r="AC1048" s="23">
        <v>39.0</v>
      </c>
      <c r="AD1048" s="23">
        <v>117.0</v>
      </c>
      <c r="AE1048" s="16" t="s">
        <v>1073</v>
      </c>
      <c r="AF1048" s="23">
        <v>1.0</v>
      </c>
      <c r="AG1048" s="23">
        <v>20.1</v>
      </c>
      <c r="AH1048" s="23">
        <v>20.1</v>
      </c>
      <c r="AI1048" s="16" t="s">
        <v>1074</v>
      </c>
      <c r="AJ1048" s="23">
        <v>5.0</v>
      </c>
      <c r="AK1048" s="23">
        <v>38.0</v>
      </c>
      <c r="AL1048" s="23">
        <v>190.0</v>
      </c>
      <c r="AM1048" s="16" t="s">
        <v>1079</v>
      </c>
      <c r="AN1048" s="23">
        <v>30.0</v>
      </c>
      <c r="AO1048" s="23">
        <v>16.6</v>
      </c>
      <c r="AP1048" s="23">
        <v>498.0</v>
      </c>
      <c r="AQ1048" s="16" t="s">
        <v>1080</v>
      </c>
      <c r="AR1048" s="23">
        <v>15.0</v>
      </c>
      <c r="AS1048" s="23">
        <v>17.5</v>
      </c>
      <c r="AT1048" s="23">
        <v>262.5</v>
      </c>
      <c r="AX1048" s="23">
        <v>0.0</v>
      </c>
      <c r="BF1048" s="23">
        <v>0.0</v>
      </c>
      <c r="BJ1048" s="23">
        <v>0.0</v>
      </c>
      <c r="BN1048" s="23">
        <v>0.0</v>
      </c>
      <c r="BO1048" s="23">
        <v>1627.8</v>
      </c>
      <c r="BP1048" s="16" t="s">
        <v>6325</v>
      </c>
      <c r="BQ1048" s="16" t="b">
        <v>1</v>
      </c>
      <c r="BR1048" s="23">
        <v>1580.8</v>
      </c>
      <c r="BS1048" s="16"/>
      <c r="BT1048" s="16" t="b">
        <v>0</v>
      </c>
      <c r="BU1048" s="16" t="s">
        <v>546</v>
      </c>
      <c r="BV1048" s="16"/>
      <c r="BW1048" s="16" t="s">
        <v>6327</v>
      </c>
      <c r="BX1048" s="16" t="s">
        <v>6329</v>
      </c>
      <c r="BY1048" s="16"/>
    </row>
    <row r="1049">
      <c r="A1049" s="16" t="s">
        <v>6332</v>
      </c>
      <c r="B1049" s="16" t="s">
        <v>35</v>
      </c>
      <c r="C1049" s="22">
        <v>45716.0</v>
      </c>
      <c r="D1049" s="16" t="s">
        <v>2613</v>
      </c>
      <c r="E1049" s="16" t="s">
        <v>6334</v>
      </c>
      <c r="F1049" s="16" t="s">
        <v>319</v>
      </c>
      <c r="G1049" s="16" t="s">
        <v>242</v>
      </c>
      <c r="H1049" s="16">
        <v>6.0</v>
      </c>
      <c r="I1049" s="23">
        <v>5.4</v>
      </c>
      <c r="J1049" s="23">
        <v>32.4</v>
      </c>
      <c r="K1049" s="16" t="s">
        <v>238</v>
      </c>
      <c r="L1049" s="23">
        <v>6.0</v>
      </c>
      <c r="M1049" s="23">
        <v>3.58</v>
      </c>
      <c r="N1049" s="23">
        <v>21.48</v>
      </c>
      <c r="O1049" s="16" t="s">
        <v>927</v>
      </c>
      <c r="P1049" s="23">
        <v>6.0</v>
      </c>
      <c r="Q1049" s="23">
        <v>5.4</v>
      </c>
      <c r="R1049" s="23">
        <v>32.4</v>
      </c>
      <c r="S1049" s="16" t="s">
        <v>243</v>
      </c>
      <c r="T1049" s="23">
        <v>2.0</v>
      </c>
      <c r="U1049" s="23">
        <v>24.5</v>
      </c>
      <c r="V1049" s="23">
        <v>49.0</v>
      </c>
      <c r="W1049" s="16" t="s">
        <v>238</v>
      </c>
      <c r="X1049" s="23">
        <v>12.0</v>
      </c>
      <c r="Y1049" s="23">
        <v>5.9</v>
      </c>
      <c r="Z1049" s="23">
        <v>70.8</v>
      </c>
      <c r="AA1049" s="16" t="s">
        <v>981</v>
      </c>
      <c r="AB1049" s="23">
        <v>6.0</v>
      </c>
      <c r="AC1049" s="23">
        <v>4.98</v>
      </c>
      <c r="AD1049" s="23">
        <v>29.88</v>
      </c>
      <c r="AE1049" s="16"/>
      <c r="AF1049" s="23"/>
      <c r="AG1049" s="23"/>
      <c r="AH1049" s="23">
        <v>0.0</v>
      </c>
      <c r="AI1049" s="16"/>
      <c r="AJ1049" s="23"/>
      <c r="AK1049" s="23"/>
      <c r="AL1049" s="23">
        <v>0.0</v>
      </c>
      <c r="AM1049" s="16"/>
      <c r="AN1049" s="23"/>
      <c r="AO1049" s="23"/>
      <c r="AP1049" s="23">
        <v>0.0</v>
      </c>
      <c r="AQ1049" s="16"/>
      <c r="AR1049" s="23"/>
      <c r="AS1049" s="23"/>
      <c r="AT1049" s="23">
        <v>0.0</v>
      </c>
      <c r="AX1049" s="23">
        <v>0.0</v>
      </c>
      <c r="BF1049" s="23">
        <v>0.0</v>
      </c>
      <c r="BJ1049" s="23">
        <v>0.0</v>
      </c>
      <c r="BN1049" s="23">
        <v>0.0</v>
      </c>
      <c r="BO1049" s="23">
        <v>235.96</v>
      </c>
      <c r="BP1049" s="16" t="s">
        <v>6336</v>
      </c>
      <c r="BQ1049" s="16" t="b">
        <v>1</v>
      </c>
      <c r="BR1049" s="23">
        <v>235.96</v>
      </c>
      <c r="BS1049" s="16">
        <v>1345755.0</v>
      </c>
      <c r="BT1049" s="16" t="b">
        <v>1</v>
      </c>
      <c r="BU1049" s="16" t="s">
        <v>546</v>
      </c>
      <c r="BV1049" s="16"/>
      <c r="BW1049" s="16"/>
      <c r="BX1049" s="16"/>
      <c r="BY1049" s="16"/>
    </row>
    <row r="1050">
      <c r="A1050" s="16" t="s">
        <v>6341</v>
      </c>
      <c r="B1050" s="16" t="s">
        <v>35</v>
      </c>
      <c r="C1050" s="22">
        <v>45716.0</v>
      </c>
      <c r="D1050" s="16" t="s">
        <v>286</v>
      </c>
      <c r="E1050" s="16" t="s">
        <v>6342</v>
      </c>
      <c r="F1050" s="16" t="s">
        <v>6344</v>
      </c>
      <c r="G1050" s="16" t="s">
        <v>1904</v>
      </c>
      <c r="H1050" s="16">
        <v>1.0</v>
      </c>
      <c r="I1050" s="23">
        <v>4.0</v>
      </c>
      <c r="J1050" s="23">
        <v>4.0</v>
      </c>
      <c r="K1050" s="16"/>
      <c r="L1050" s="23"/>
      <c r="M1050" s="23"/>
      <c r="N1050" s="23">
        <v>0.0</v>
      </c>
      <c r="O1050" s="16"/>
      <c r="P1050" s="23"/>
      <c r="Q1050" s="23"/>
      <c r="R1050" s="23">
        <v>0.0</v>
      </c>
      <c r="S1050" s="16"/>
      <c r="T1050" s="23"/>
      <c r="U1050" s="23"/>
      <c r="V1050" s="23">
        <v>0.0</v>
      </c>
      <c r="W1050" s="16"/>
      <c r="X1050" s="23"/>
      <c r="Y1050" s="23"/>
      <c r="Z1050" s="23">
        <v>0.0</v>
      </c>
      <c r="AA1050" s="16"/>
      <c r="AB1050" s="23"/>
      <c r="AC1050" s="23"/>
      <c r="AD1050" s="23">
        <v>0.0</v>
      </c>
      <c r="AE1050" s="16"/>
      <c r="AF1050" s="23"/>
      <c r="AG1050" s="23"/>
      <c r="AH1050" s="23">
        <v>0.0</v>
      </c>
      <c r="AI1050" s="16"/>
      <c r="AJ1050" s="23"/>
      <c r="AK1050" s="23"/>
      <c r="AL1050" s="23">
        <v>0.0</v>
      </c>
      <c r="AM1050" s="16"/>
      <c r="AN1050" s="23"/>
      <c r="AO1050" s="23"/>
      <c r="AP1050" s="23">
        <v>0.0</v>
      </c>
      <c r="AQ1050" s="16"/>
      <c r="AR1050" s="23"/>
      <c r="AS1050" s="23"/>
      <c r="AT1050" s="23">
        <v>0.0</v>
      </c>
      <c r="AX1050" s="23">
        <v>0.0</v>
      </c>
      <c r="BF1050" s="23">
        <v>0.0</v>
      </c>
      <c r="BJ1050" s="23">
        <v>0.0</v>
      </c>
      <c r="BN1050" s="23">
        <v>0.0</v>
      </c>
      <c r="BO1050" s="23">
        <v>4.0</v>
      </c>
      <c r="BP1050" s="16" t="s">
        <v>6343</v>
      </c>
      <c r="BQ1050" s="16" t="b">
        <v>1</v>
      </c>
      <c r="BR1050" s="23">
        <v>4.0</v>
      </c>
      <c r="BS1050" s="16">
        <v>1346085.0</v>
      </c>
      <c r="BT1050" s="16" t="b">
        <v>1</v>
      </c>
      <c r="BU1050" s="16" t="s">
        <v>546</v>
      </c>
      <c r="BV1050" s="16"/>
      <c r="BW1050" s="16"/>
      <c r="BX1050" s="16"/>
      <c r="BY1050" s="16"/>
    </row>
    <row r="1051">
      <c r="A1051" s="16" t="s">
        <v>6348</v>
      </c>
      <c r="B1051" s="16" t="s">
        <v>35</v>
      </c>
      <c r="C1051" s="22">
        <v>45716.0</v>
      </c>
      <c r="D1051" s="16" t="s">
        <v>3716</v>
      </c>
      <c r="E1051" s="16" t="s">
        <v>6350</v>
      </c>
      <c r="F1051" s="16" t="s">
        <v>6352</v>
      </c>
      <c r="G1051" s="16">
        <v>1.6859108E7</v>
      </c>
      <c r="H1051" s="16">
        <v>1.0</v>
      </c>
      <c r="I1051" s="23">
        <v>204.77</v>
      </c>
      <c r="J1051" s="23">
        <v>204.77</v>
      </c>
      <c r="K1051" s="16"/>
      <c r="L1051" s="23"/>
      <c r="M1051" s="23"/>
      <c r="N1051" s="23">
        <v>0.0</v>
      </c>
      <c r="O1051" s="16"/>
      <c r="P1051" s="23"/>
      <c r="Q1051" s="23"/>
      <c r="R1051" s="23">
        <v>0.0</v>
      </c>
      <c r="S1051" s="16"/>
      <c r="T1051" s="23"/>
      <c r="U1051" s="23"/>
      <c r="V1051" s="23">
        <v>0.0</v>
      </c>
      <c r="W1051" s="16"/>
      <c r="X1051" s="23"/>
      <c r="Y1051" s="23"/>
      <c r="Z1051" s="23">
        <v>0.0</v>
      </c>
      <c r="AA1051" s="16"/>
      <c r="AB1051" s="23"/>
      <c r="AC1051" s="23"/>
      <c r="AD1051" s="23">
        <v>0.0</v>
      </c>
      <c r="AE1051" s="16"/>
      <c r="AF1051" s="23"/>
      <c r="AG1051" s="23"/>
      <c r="AH1051" s="23">
        <v>0.0</v>
      </c>
      <c r="AI1051" s="16"/>
      <c r="AJ1051" s="23"/>
      <c r="AK1051" s="23"/>
      <c r="AL1051" s="23">
        <v>0.0</v>
      </c>
      <c r="AM1051" s="16"/>
      <c r="AN1051" s="23"/>
      <c r="AO1051" s="23"/>
      <c r="AP1051" s="23">
        <v>0.0</v>
      </c>
      <c r="AQ1051" s="16"/>
      <c r="AR1051" s="23"/>
      <c r="AS1051" s="23"/>
      <c r="AT1051" s="23">
        <v>0.0</v>
      </c>
      <c r="AX1051" s="23">
        <v>0.0</v>
      </c>
      <c r="BF1051" s="23">
        <v>0.0</v>
      </c>
      <c r="BJ1051" s="23">
        <v>0.0</v>
      </c>
      <c r="BN1051" s="23">
        <v>0.0</v>
      </c>
      <c r="BO1051" s="23">
        <v>204.77</v>
      </c>
      <c r="BP1051" s="16" t="s">
        <v>6351</v>
      </c>
      <c r="BQ1051" s="16" t="b">
        <v>1</v>
      </c>
      <c r="BR1051" s="23">
        <v>204.77</v>
      </c>
      <c r="BS1051" s="16">
        <v>1345748.0</v>
      </c>
      <c r="BT1051" s="16" t="b">
        <v>1</v>
      </c>
      <c r="BU1051" s="16" t="s">
        <v>546</v>
      </c>
      <c r="BV1051" s="16"/>
      <c r="BW1051" s="16"/>
      <c r="BX1051" s="16"/>
      <c r="BY1051" s="16"/>
    </row>
    <row r="1052">
      <c r="A1052" s="16" t="s">
        <v>6356</v>
      </c>
      <c r="B1052" s="16" t="s">
        <v>35</v>
      </c>
      <c r="C1052" s="22">
        <v>45716.0</v>
      </c>
      <c r="D1052" s="16" t="s">
        <v>543</v>
      </c>
      <c r="E1052" s="16" t="s">
        <v>6359</v>
      </c>
      <c r="F1052" s="16" t="s">
        <v>171</v>
      </c>
      <c r="G1052" s="16">
        <v>1.2539885E7</v>
      </c>
      <c r="H1052" s="16">
        <v>1.0</v>
      </c>
      <c r="I1052" s="23">
        <v>400.0</v>
      </c>
      <c r="J1052" s="23">
        <v>400.0</v>
      </c>
      <c r="K1052" s="16"/>
      <c r="L1052" s="23"/>
      <c r="M1052" s="23"/>
      <c r="N1052" s="23">
        <v>0.0</v>
      </c>
      <c r="O1052" s="16"/>
      <c r="P1052" s="23"/>
      <c r="Q1052" s="23"/>
      <c r="R1052" s="23">
        <v>0.0</v>
      </c>
      <c r="S1052" s="16"/>
      <c r="T1052" s="23"/>
      <c r="U1052" s="23"/>
      <c r="V1052" s="23">
        <v>0.0</v>
      </c>
      <c r="W1052" s="16"/>
      <c r="X1052" s="23"/>
      <c r="Y1052" s="23"/>
      <c r="Z1052" s="23">
        <v>0.0</v>
      </c>
      <c r="AA1052" s="16"/>
      <c r="AB1052" s="23"/>
      <c r="AC1052" s="23"/>
      <c r="AD1052" s="23">
        <v>0.0</v>
      </c>
      <c r="AE1052" s="16"/>
      <c r="AF1052" s="23"/>
      <c r="AG1052" s="23"/>
      <c r="AH1052" s="23">
        <v>0.0</v>
      </c>
      <c r="AI1052" s="16"/>
      <c r="AJ1052" s="23"/>
      <c r="AK1052" s="23"/>
      <c r="AL1052" s="23">
        <v>0.0</v>
      </c>
      <c r="AM1052" s="16"/>
      <c r="AN1052" s="23"/>
      <c r="AO1052" s="23"/>
      <c r="AP1052" s="23">
        <v>0.0</v>
      </c>
      <c r="AQ1052" s="16"/>
      <c r="AR1052" s="23"/>
      <c r="AS1052" s="23"/>
      <c r="AT1052" s="23">
        <v>0.0</v>
      </c>
      <c r="AX1052" s="23">
        <v>0.0</v>
      </c>
      <c r="BF1052" s="23">
        <v>0.0</v>
      </c>
      <c r="BJ1052" s="23">
        <v>0.0</v>
      </c>
      <c r="BN1052" s="23">
        <v>0.0</v>
      </c>
      <c r="BO1052" s="23">
        <v>400.0</v>
      </c>
      <c r="BP1052" s="16" t="s">
        <v>6361</v>
      </c>
      <c r="BQ1052" s="16" t="b">
        <v>1</v>
      </c>
      <c r="BR1052" s="23">
        <v>400.0</v>
      </c>
      <c r="BS1052" s="16"/>
      <c r="BT1052" s="16" t="b">
        <v>0</v>
      </c>
      <c r="BU1052" s="16" t="s">
        <v>546</v>
      </c>
      <c r="BV1052" s="16"/>
      <c r="BW1052" s="16"/>
      <c r="BX1052" s="16"/>
      <c r="BY1052" s="16"/>
    </row>
    <row r="1053">
      <c r="A1053" s="16" t="s">
        <v>6365</v>
      </c>
      <c r="B1053" s="16" t="s">
        <v>35</v>
      </c>
      <c r="C1053" s="22">
        <v>45716.0</v>
      </c>
      <c r="D1053" s="16" t="s">
        <v>112</v>
      </c>
      <c r="E1053" s="16" t="s">
        <v>6368</v>
      </c>
      <c r="F1053" s="16" t="s">
        <v>157</v>
      </c>
      <c r="G1053" s="16" t="s">
        <v>159</v>
      </c>
      <c r="H1053" s="16">
        <v>15.0</v>
      </c>
      <c r="I1053" s="23">
        <v>14.0</v>
      </c>
      <c r="J1053" s="23">
        <v>210.0</v>
      </c>
      <c r="K1053" s="16" t="s">
        <v>155</v>
      </c>
      <c r="L1053" s="23">
        <v>1.0</v>
      </c>
      <c r="M1053" s="23">
        <v>46.9</v>
      </c>
      <c r="N1053" s="23">
        <v>46.9</v>
      </c>
      <c r="O1053" s="16" t="s">
        <v>152</v>
      </c>
      <c r="P1053" s="23">
        <v>1.0</v>
      </c>
      <c r="Q1053" s="23">
        <v>12.45</v>
      </c>
      <c r="R1053" s="23">
        <v>12.45</v>
      </c>
      <c r="S1053" s="16" t="s">
        <v>226</v>
      </c>
      <c r="T1053" s="23">
        <v>1.0</v>
      </c>
      <c r="U1053" s="23">
        <v>60.0</v>
      </c>
      <c r="V1053" s="23">
        <v>60.0</v>
      </c>
      <c r="W1053" s="16"/>
      <c r="X1053" s="23"/>
      <c r="Y1053" s="23"/>
      <c r="Z1053" s="23">
        <v>0.0</v>
      </c>
      <c r="AA1053" s="16"/>
      <c r="AB1053" s="23"/>
      <c r="AC1053" s="23"/>
      <c r="AD1053" s="23">
        <v>0.0</v>
      </c>
      <c r="AE1053" s="16"/>
      <c r="AF1053" s="23"/>
      <c r="AG1053" s="23"/>
      <c r="AH1053" s="23">
        <v>0.0</v>
      </c>
      <c r="AI1053" s="16"/>
      <c r="AJ1053" s="23"/>
      <c r="AK1053" s="23"/>
      <c r="AL1053" s="23">
        <v>0.0</v>
      </c>
      <c r="AM1053" s="16"/>
      <c r="AN1053" s="23"/>
      <c r="AO1053" s="23"/>
      <c r="AP1053" s="23">
        <v>0.0</v>
      </c>
      <c r="AQ1053" s="16"/>
      <c r="AR1053" s="23"/>
      <c r="AS1053" s="23"/>
      <c r="AT1053" s="23">
        <v>0.0</v>
      </c>
      <c r="AX1053" s="23">
        <v>0.0</v>
      </c>
      <c r="BF1053" s="23">
        <v>0.0</v>
      </c>
      <c r="BJ1053" s="23">
        <v>0.0</v>
      </c>
      <c r="BN1053" s="23">
        <v>0.0</v>
      </c>
      <c r="BO1053" s="23">
        <v>329.35</v>
      </c>
      <c r="BP1053" s="16" t="s">
        <v>6370</v>
      </c>
      <c r="BQ1053" s="16" t="b">
        <v>1</v>
      </c>
      <c r="BR1053" s="23">
        <v>329.36</v>
      </c>
      <c r="BS1053" s="16"/>
      <c r="BT1053" s="16" t="b">
        <v>0</v>
      </c>
      <c r="BU1053" s="16" t="s">
        <v>546</v>
      </c>
      <c r="BV1053" s="16"/>
      <c r="BW1053" s="16"/>
      <c r="BX1053" s="16"/>
      <c r="BY1053" s="16"/>
    </row>
    <row r="1054">
      <c r="A1054" s="16" t="s">
        <v>6375</v>
      </c>
      <c r="B1054" s="16" t="s">
        <v>35</v>
      </c>
      <c r="C1054" s="22">
        <v>45717.0</v>
      </c>
      <c r="D1054" s="16" t="s">
        <v>112</v>
      </c>
      <c r="E1054" s="16" t="s">
        <v>6377</v>
      </c>
      <c r="F1054" s="16" t="s">
        <v>157</v>
      </c>
      <c r="G1054" s="16" t="s">
        <v>159</v>
      </c>
      <c r="H1054" s="16">
        <v>1.0</v>
      </c>
      <c r="I1054" s="23">
        <v>140.0</v>
      </c>
      <c r="J1054" s="23">
        <v>140.0</v>
      </c>
      <c r="K1054" s="16" t="s">
        <v>155</v>
      </c>
      <c r="L1054" s="23">
        <v>1.0</v>
      </c>
      <c r="M1054" s="23">
        <v>30.0</v>
      </c>
      <c r="N1054" s="23">
        <v>30.0</v>
      </c>
      <c r="O1054" s="16" t="s">
        <v>152</v>
      </c>
      <c r="P1054" s="23">
        <v>1.0</v>
      </c>
      <c r="Q1054" s="23">
        <v>6.3</v>
      </c>
      <c r="R1054" s="23">
        <v>6.3</v>
      </c>
      <c r="S1054" s="16" t="s">
        <v>226</v>
      </c>
      <c r="T1054" s="23">
        <v>1.0</v>
      </c>
      <c r="U1054" s="23">
        <v>47.5</v>
      </c>
      <c r="V1054" s="23">
        <v>47.5</v>
      </c>
      <c r="W1054" s="16"/>
      <c r="X1054" s="23"/>
      <c r="Y1054" s="23"/>
      <c r="Z1054" s="23">
        <v>0.0</v>
      </c>
      <c r="AA1054" s="16"/>
      <c r="AB1054" s="23"/>
      <c r="AC1054" s="23"/>
      <c r="AD1054" s="23">
        <v>0.0</v>
      </c>
      <c r="AE1054" s="16"/>
      <c r="AF1054" s="23"/>
      <c r="AG1054" s="23"/>
      <c r="AH1054" s="23">
        <v>0.0</v>
      </c>
      <c r="AI1054" s="16"/>
      <c r="AJ1054" s="23"/>
      <c r="AK1054" s="23"/>
      <c r="AL1054" s="23">
        <v>0.0</v>
      </c>
      <c r="AM1054" s="16"/>
      <c r="AN1054" s="23"/>
      <c r="AO1054" s="23"/>
      <c r="AP1054" s="23">
        <v>0.0</v>
      </c>
      <c r="AQ1054" s="16"/>
      <c r="AR1054" s="23"/>
      <c r="AS1054" s="23"/>
      <c r="AT1054" s="23">
        <v>0.0</v>
      </c>
      <c r="AX1054" s="23">
        <v>0.0</v>
      </c>
      <c r="BF1054" s="23">
        <v>0.0</v>
      </c>
      <c r="BJ1054" s="23">
        <v>0.0</v>
      </c>
      <c r="BN1054" s="23">
        <v>0.0</v>
      </c>
      <c r="BO1054" s="23">
        <v>223.8</v>
      </c>
      <c r="BP1054" s="16" t="s">
        <v>6379</v>
      </c>
      <c r="BQ1054" s="16" t="b">
        <v>1</v>
      </c>
      <c r="BR1054" s="23">
        <v>223.8</v>
      </c>
      <c r="BS1054" s="16"/>
      <c r="BT1054" s="16" t="b">
        <v>0</v>
      </c>
      <c r="BU1054" s="16" t="s">
        <v>546</v>
      </c>
      <c r="BV1054" s="16"/>
      <c r="BW1054" s="16"/>
      <c r="BX1054" s="16"/>
      <c r="BY1054" s="16"/>
    </row>
    <row r="1055">
      <c r="A1055" s="16" t="s">
        <v>6384</v>
      </c>
      <c r="B1055" s="16" t="s">
        <v>35</v>
      </c>
      <c r="C1055" s="22">
        <v>45717.0</v>
      </c>
      <c r="D1055" s="16" t="s">
        <v>3816</v>
      </c>
      <c r="E1055" s="16" t="s">
        <v>6387</v>
      </c>
      <c r="F1055" s="16" t="s">
        <v>4146</v>
      </c>
      <c r="G1055" s="16" t="s">
        <v>305</v>
      </c>
      <c r="H1055" s="16">
        <v>1.0</v>
      </c>
      <c r="I1055" s="23">
        <v>21.48</v>
      </c>
      <c r="J1055" s="23">
        <v>21.48</v>
      </c>
      <c r="K1055" s="16"/>
      <c r="L1055" s="23"/>
      <c r="M1055" s="23"/>
      <c r="N1055" s="23">
        <v>0.0</v>
      </c>
      <c r="O1055" s="16"/>
      <c r="P1055" s="23"/>
      <c r="Q1055" s="23"/>
      <c r="R1055" s="23">
        <v>0.0</v>
      </c>
      <c r="S1055" s="16"/>
      <c r="T1055" s="23"/>
      <c r="U1055" s="23"/>
      <c r="V1055" s="23">
        <v>0.0</v>
      </c>
      <c r="W1055" s="16"/>
      <c r="X1055" s="23"/>
      <c r="Y1055" s="23"/>
      <c r="Z1055" s="23">
        <v>0.0</v>
      </c>
      <c r="AA1055" s="16"/>
      <c r="AB1055" s="23"/>
      <c r="AC1055" s="23"/>
      <c r="AD1055" s="23">
        <v>0.0</v>
      </c>
      <c r="AE1055" s="16"/>
      <c r="AF1055" s="23"/>
      <c r="AG1055" s="23"/>
      <c r="AH1055" s="23">
        <v>0.0</v>
      </c>
      <c r="AI1055" s="16"/>
      <c r="AJ1055" s="23"/>
      <c r="AK1055" s="23"/>
      <c r="AL1055" s="23">
        <v>0.0</v>
      </c>
      <c r="AM1055" s="16"/>
      <c r="AN1055" s="23"/>
      <c r="AO1055" s="23"/>
      <c r="AP1055" s="23">
        <v>0.0</v>
      </c>
      <c r="AQ1055" s="16"/>
      <c r="AR1055" s="23"/>
      <c r="AS1055" s="23"/>
      <c r="AT1055" s="23">
        <v>0.0</v>
      </c>
      <c r="AX1055" s="23">
        <v>0.0</v>
      </c>
      <c r="BF1055" s="23">
        <v>0.0</v>
      </c>
      <c r="BJ1055" s="23">
        <v>0.0</v>
      </c>
      <c r="BN1055" s="23">
        <v>0.0</v>
      </c>
      <c r="BO1055" s="23">
        <v>21.48</v>
      </c>
      <c r="BP1055" s="16" t="s">
        <v>6389</v>
      </c>
      <c r="BQ1055" s="16" t="b">
        <v>1</v>
      </c>
      <c r="BR1055" s="23">
        <v>21.48</v>
      </c>
      <c r="BS1055" s="16">
        <v>1347852.0</v>
      </c>
      <c r="BT1055" s="16" t="b">
        <v>1</v>
      </c>
      <c r="BU1055" s="16" t="s">
        <v>546</v>
      </c>
      <c r="BV1055" s="16"/>
      <c r="BW1055" s="16"/>
      <c r="BX1055" s="16"/>
      <c r="BY1055" s="16"/>
    </row>
    <row r="1056">
      <c r="A1056" s="16" t="s">
        <v>6393</v>
      </c>
      <c r="B1056" s="16" t="s">
        <v>35</v>
      </c>
      <c r="C1056" s="22">
        <v>45722.0</v>
      </c>
      <c r="D1056" s="16" t="s">
        <v>1864</v>
      </c>
      <c r="E1056" s="16"/>
      <c r="F1056" s="16" t="s">
        <v>6396</v>
      </c>
      <c r="G1056" s="16" t="s">
        <v>2448</v>
      </c>
      <c r="H1056" s="16">
        <v>1.0</v>
      </c>
      <c r="I1056" s="23">
        <v>1841.38</v>
      </c>
      <c r="J1056" s="23">
        <v>1841.38</v>
      </c>
      <c r="K1056" s="16"/>
      <c r="L1056" s="23"/>
      <c r="M1056" s="23"/>
      <c r="N1056" s="23"/>
      <c r="O1056" s="16"/>
      <c r="P1056" s="23"/>
      <c r="Q1056" s="23"/>
      <c r="R1056" s="23"/>
      <c r="S1056" s="16"/>
      <c r="T1056" s="23"/>
      <c r="U1056" s="23"/>
      <c r="V1056" s="23"/>
      <c r="W1056" s="16"/>
      <c r="X1056" s="23"/>
      <c r="Y1056" s="23"/>
      <c r="Z1056" s="23"/>
      <c r="AA1056" s="16"/>
      <c r="AB1056" s="23"/>
      <c r="AC1056" s="23"/>
      <c r="AD1056" s="23"/>
      <c r="AE1056" s="16"/>
      <c r="AF1056" s="23"/>
      <c r="AG1056" s="23"/>
      <c r="AH1056" s="23"/>
      <c r="AI1056" s="16"/>
      <c r="AJ1056" s="23"/>
      <c r="AK1056" s="23"/>
      <c r="AL1056" s="23"/>
      <c r="AM1056" s="16"/>
      <c r="AN1056" s="23"/>
      <c r="AO1056" s="23"/>
      <c r="AP1056" s="23"/>
      <c r="AQ1056" s="16"/>
      <c r="AR1056" s="23"/>
      <c r="AS1056" s="23"/>
      <c r="AT1056" s="23"/>
      <c r="AX1056" s="23"/>
      <c r="BF1056" s="23"/>
      <c r="BJ1056" s="23"/>
      <c r="BN1056" s="23"/>
      <c r="BO1056" s="23">
        <v>1841.38</v>
      </c>
      <c r="BP1056" s="16"/>
      <c r="BQ1056" s="16"/>
      <c r="BR1056" s="23">
        <v>1841.38</v>
      </c>
      <c r="BS1056" s="16"/>
      <c r="BT1056" s="16"/>
      <c r="BU1056" s="16" t="s">
        <v>539</v>
      </c>
      <c r="BV1056" s="16"/>
      <c r="BW1056" s="16"/>
      <c r="BX1056" s="16"/>
      <c r="BY1056" s="16"/>
    </row>
    <row r="1057">
      <c r="A1057" s="16" t="s">
        <v>6400</v>
      </c>
      <c r="B1057" s="16" t="s">
        <v>35</v>
      </c>
      <c r="C1057" s="22">
        <v>45722.0</v>
      </c>
      <c r="D1057" s="16"/>
      <c r="E1057" s="16"/>
      <c r="F1057" s="16" t="s">
        <v>3676</v>
      </c>
      <c r="G1057" s="16" t="s">
        <v>1168</v>
      </c>
      <c r="H1057" s="16">
        <v>1.0</v>
      </c>
      <c r="I1057" s="23">
        <v>500.0</v>
      </c>
      <c r="J1057" s="23">
        <v>500.0</v>
      </c>
      <c r="K1057" s="16"/>
      <c r="L1057" s="23"/>
      <c r="M1057" s="23"/>
      <c r="N1057" s="23"/>
      <c r="O1057" s="16"/>
      <c r="P1057" s="23"/>
      <c r="Q1057" s="23"/>
      <c r="R1057" s="23"/>
      <c r="S1057" s="16"/>
      <c r="T1057" s="23"/>
      <c r="U1057" s="23"/>
      <c r="V1057" s="23"/>
      <c r="W1057" s="16"/>
      <c r="X1057" s="23"/>
      <c r="Y1057" s="23"/>
      <c r="Z1057" s="23"/>
      <c r="AA1057" s="16"/>
      <c r="AB1057" s="23"/>
      <c r="AC1057" s="23"/>
      <c r="AD1057" s="23"/>
      <c r="AE1057" s="16"/>
      <c r="AF1057" s="23"/>
      <c r="AG1057" s="23"/>
      <c r="AH1057" s="23"/>
      <c r="AI1057" s="16"/>
      <c r="AJ1057" s="23"/>
      <c r="AK1057" s="23"/>
      <c r="AL1057" s="23"/>
      <c r="AM1057" s="16"/>
      <c r="AN1057" s="23"/>
      <c r="AO1057" s="23"/>
      <c r="AP1057" s="23"/>
      <c r="AQ1057" s="16"/>
      <c r="AR1057" s="23"/>
      <c r="AS1057" s="23"/>
      <c r="AT1057" s="23"/>
      <c r="AX1057" s="23"/>
      <c r="BF1057" s="23"/>
      <c r="BJ1057" s="23"/>
      <c r="BN1057" s="23"/>
      <c r="BO1057" s="23">
        <v>500.0</v>
      </c>
      <c r="BP1057" s="16"/>
      <c r="BQ1057" s="16"/>
      <c r="BR1057" s="23">
        <v>500.0</v>
      </c>
      <c r="BS1057" s="16"/>
      <c r="BT1057" s="16"/>
      <c r="BU1057" s="16" t="s">
        <v>539</v>
      </c>
      <c r="BV1057" s="16" t="s">
        <v>2052</v>
      </c>
      <c r="BW1057" s="16"/>
      <c r="BX1057" s="16"/>
      <c r="BY1057" s="16"/>
    </row>
    <row r="1058">
      <c r="A1058" s="16" t="s">
        <v>6406</v>
      </c>
      <c r="B1058" s="16" t="s">
        <v>35</v>
      </c>
      <c r="C1058" s="22">
        <v>45716.0</v>
      </c>
      <c r="D1058" s="16">
        <v>2.6065919E7</v>
      </c>
      <c r="E1058" s="16" t="s">
        <v>6409</v>
      </c>
      <c r="F1058" s="16" t="s">
        <v>5885</v>
      </c>
      <c r="G1058" s="16" t="s">
        <v>1022</v>
      </c>
      <c r="H1058" s="16">
        <v>1.0</v>
      </c>
      <c r="I1058" s="23">
        <v>135.0</v>
      </c>
      <c r="J1058" s="23">
        <v>135.0</v>
      </c>
      <c r="K1058" s="16"/>
      <c r="L1058" s="23"/>
      <c r="M1058" s="23"/>
      <c r="N1058" s="23">
        <v>0.0</v>
      </c>
      <c r="O1058" s="16"/>
      <c r="P1058" s="23"/>
      <c r="Q1058" s="23"/>
      <c r="R1058" s="23">
        <v>0.0</v>
      </c>
      <c r="S1058" s="16"/>
      <c r="T1058" s="23"/>
      <c r="U1058" s="23"/>
      <c r="V1058" s="23">
        <v>0.0</v>
      </c>
      <c r="W1058" s="16"/>
      <c r="X1058" s="23"/>
      <c r="Y1058" s="23"/>
      <c r="Z1058" s="23">
        <v>0.0</v>
      </c>
      <c r="AA1058" s="16"/>
      <c r="AB1058" s="23"/>
      <c r="AC1058" s="23"/>
      <c r="AD1058" s="23">
        <v>0.0</v>
      </c>
      <c r="AE1058" s="16"/>
      <c r="AF1058" s="23"/>
      <c r="AG1058" s="23"/>
      <c r="AH1058" s="23">
        <v>0.0</v>
      </c>
      <c r="AI1058" s="16"/>
      <c r="AJ1058" s="23"/>
      <c r="AK1058" s="23"/>
      <c r="AL1058" s="23">
        <v>0.0</v>
      </c>
      <c r="AM1058" s="16"/>
      <c r="AN1058" s="23"/>
      <c r="AO1058" s="23"/>
      <c r="AP1058" s="23">
        <v>0.0</v>
      </c>
      <c r="AQ1058" s="16"/>
      <c r="AR1058" s="23"/>
      <c r="AS1058" s="23"/>
      <c r="AT1058" s="23">
        <v>0.0</v>
      </c>
      <c r="AX1058" s="23">
        <v>0.0</v>
      </c>
      <c r="BF1058" s="23">
        <v>0.0</v>
      </c>
      <c r="BJ1058" s="23">
        <v>0.0</v>
      </c>
      <c r="BN1058" s="23">
        <v>0.0</v>
      </c>
      <c r="BO1058" s="23">
        <v>135.0</v>
      </c>
      <c r="BP1058" s="16" t="s">
        <v>6410</v>
      </c>
      <c r="BQ1058" s="16" t="b">
        <v>1</v>
      </c>
      <c r="BR1058" s="23">
        <v>135.0</v>
      </c>
      <c r="BS1058" s="16">
        <v>1346054.0</v>
      </c>
      <c r="BT1058" s="16" t="b">
        <v>1</v>
      </c>
      <c r="BU1058" s="16" t="s">
        <v>546</v>
      </c>
      <c r="BV1058" s="16"/>
      <c r="BW1058" s="16"/>
      <c r="BX1058" s="16"/>
      <c r="BY1058" s="16"/>
    </row>
    <row r="1059">
      <c r="A1059" s="16" t="s">
        <v>6415</v>
      </c>
      <c r="B1059" s="16" t="s">
        <v>35</v>
      </c>
      <c r="C1059" s="22">
        <v>45719.0</v>
      </c>
      <c r="D1059" s="16" t="s">
        <v>890</v>
      </c>
      <c r="E1059" s="16" t="s">
        <v>6418</v>
      </c>
      <c r="F1059" s="16" t="s">
        <v>3813</v>
      </c>
      <c r="G1059" s="16" t="s">
        <v>1517</v>
      </c>
      <c r="H1059" s="16">
        <v>1.0</v>
      </c>
      <c r="I1059" s="23">
        <v>9884.46</v>
      </c>
      <c r="J1059" s="23">
        <v>9884.46</v>
      </c>
      <c r="K1059" s="16"/>
      <c r="L1059" s="23"/>
      <c r="M1059" s="23"/>
      <c r="N1059" s="23">
        <v>0.0</v>
      </c>
      <c r="O1059" s="16"/>
      <c r="P1059" s="23"/>
      <c r="Q1059" s="23"/>
      <c r="R1059" s="23">
        <v>0.0</v>
      </c>
      <c r="S1059" s="16"/>
      <c r="T1059" s="23"/>
      <c r="U1059" s="23"/>
      <c r="V1059" s="23">
        <v>0.0</v>
      </c>
      <c r="W1059" s="16"/>
      <c r="X1059" s="23"/>
      <c r="Y1059" s="23"/>
      <c r="Z1059" s="23">
        <v>0.0</v>
      </c>
      <c r="AA1059" s="16"/>
      <c r="AB1059" s="23"/>
      <c r="AC1059" s="23"/>
      <c r="AD1059" s="23">
        <v>0.0</v>
      </c>
      <c r="AE1059" s="16"/>
      <c r="AF1059" s="23"/>
      <c r="AG1059" s="23"/>
      <c r="AH1059" s="23">
        <v>0.0</v>
      </c>
      <c r="AI1059" s="16"/>
      <c r="AJ1059" s="23"/>
      <c r="AK1059" s="23"/>
      <c r="AL1059" s="23">
        <v>0.0</v>
      </c>
      <c r="AM1059" s="16"/>
      <c r="AN1059" s="23"/>
      <c r="AO1059" s="23"/>
      <c r="AP1059" s="23">
        <v>0.0</v>
      </c>
      <c r="AQ1059" s="16"/>
      <c r="AR1059" s="23"/>
      <c r="AS1059" s="23"/>
      <c r="AT1059" s="23">
        <v>0.0</v>
      </c>
      <c r="AX1059" s="23">
        <v>0.0</v>
      </c>
      <c r="BF1059" s="23">
        <v>0.0</v>
      </c>
      <c r="BJ1059" s="23">
        <v>0.0</v>
      </c>
      <c r="BN1059" s="23">
        <v>0.0</v>
      </c>
      <c r="BO1059" s="23">
        <v>9884.46</v>
      </c>
      <c r="BP1059" s="16" t="s">
        <v>6420</v>
      </c>
      <c r="BQ1059" s="16" t="b">
        <v>1</v>
      </c>
      <c r="BR1059" s="23">
        <v>9884.46</v>
      </c>
      <c r="BS1059" s="16"/>
      <c r="BT1059" s="16" t="b">
        <v>0</v>
      </c>
      <c r="BU1059" s="16" t="s">
        <v>546</v>
      </c>
      <c r="BV1059" s="16"/>
      <c r="BW1059" s="16" t="s">
        <v>6422</v>
      </c>
      <c r="BX1059" s="16" t="s">
        <v>6424</v>
      </c>
      <c r="BY1059" s="16" t="s">
        <v>6425</v>
      </c>
    </row>
    <row r="1060">
      <c r="A1060" s="16" t="s">
        <v>6427</v>
      </c>
      <c r="B1060" s="16" t="s">
        <v>35</v>
      </c>
      <c r="C1060" s="22">
        <v>45721.0</v>
      </c>
      <c r="D1060" s="16" t="s">
        <v>145</v>
      </c>
      <c r="E1060" s="16" t="s">
        <v>6430</v>
      </c>
      <c r="F1060" s="16" t="s">
        <v>3627</v>
      </c>
      <c r="G1060" s="16" t="s">
        <v>1195</v>
      </c>
      <c r="H1060" s="16">
        <v>1.0</v>
      </c>
      <c r="I1060" s="23">
        <v>120.0</v>
      </c>
      <c r="J1060" s="23">
        <v>120.0</v>
      </c>
      <c r="K1060" s="16" t="s">
        <v>1046</v>
      </c>
      <c r="L1060" s="23">
        <v>1.0</v>
      </c>
      <c r="M1060" s="23">
        <v>154.0</v>
      </c>
      <c r="N1060" s="23">
        <v>154.0</v>
      </c>
      <c r="O1060" s="16" t="s">
        <v>266</v>
      </c>
      <c r="P1060" s="23">
        <v>1.0</v>
      </c>
      <c r="Q1060" s="23">
        <v>54.0</v>
      </c>
      <c r="R1060" s="23">
        <v>54.0</v>
      </c>
      <c r="S1060" s="16" t="s">
        <v>2305</v>
      </c>
      <c r="T1060" s="23">
        <v>1.0</v>
      </c>
      <c r="U1060" s="23">
        <v>96.0</v>
      </c>
      <c r="V1060" s="23">
        <v>96.0</v>
      </c>
      <c r="W1060" s="16" t="s">
        <v>6563</v>
      </c>
      <c r="X1060" s="23">
        <v>1.0</v>
      </c>
      <c r="Y1060" s="23">
        <v>24.0</v>
      </c>
      <c r="Z1060" s="23">
        <v>24.0</v>
      </c>
      <c r="AA1060" s="16" t="s">
        <v>1197</v>
      </c>
      <c r="AB1060" s="23">
        <v>1.0</v>
      </c>
      <c r="AC1060" s="23">
        <v>48.0</v>
      </c>
      <c r="AD1060" s="23">
        <v>48.0</v>
      </c>
      <c r="AE1060" s="16"/>
      <c r="AF1060" s="23"/>
      <c r="AG1060" s="23"/>
      <c r="AH1060" s="23">
        <v>0.0</v>
      </c>
      <c r="AI1060" s="16"/>
      <c r="AJ1060" s="23"/>
      <c r="AK1060" s="23"/>
      <c r="AL1060" s="23">
        <v>0.0</v>
      </c>
      <c r="AM1060" s="16"/>
      <c r="AN1060" s="23"/>
      <c r="AO1060" s="23"/>
      <c r="AP1060" s="23">
        <v>0.0</v>
      </c>
      <c r="AQ1060" s="16"/>
      <c r="AR1060" s="23"/>
      <c r="AS1060" s="23"/>
      <c r="AT1060" s="23">
        <v>0.0</v>
      </c>
      <c r="AX1060" s="23">
        <v>0.0</v>
      </c>
      <c r="BF1060" s="23">
        <v>0.0</v>
      </c>
      <c r="BJ1060" s="23">
        <v>0.0</v>
      </c>
      <c r="BN1060" s="23">
        <v>0.0</v>
      </c>
      <c r="BO1060" s="23">
        <v>496.0</v>
      </c>
      <c r="BP1060" s="16" t="s">
        <v>6432</v>
      </c>
      <c r="BQ1060" s="16" t="b">
        <v>1</v>
      </c>
      <c r="BR1060" s="23">
        <v>496.0</v>
      </c>
      <c r="BS1060" s="16"/>
      <c r="BT1060" s="16" t="b">
        <v>0</v>
      </c>
      <c r="BU1060" s="16" t="s">
        <v>546</v>
      </c>
      <c r="BV1060" s="16"/>
      <c r="BW1060" s="16"/>
      <c r="BX1060" s="16"/>
      <c r="BY1060" s="16"/>
    </row>
    <row r="1061">
      <c r="A1061" s="16" t="s">
        <v>6436</v>
      </c>
      <c r="B1061" s="16" t="s">
        <v>35</v>
      </c>
      <c r="C1061" s="22">
        <v>45721.0</v>
      </c>
      <c r="D1061" s="16" t="s">
        <v>543</v>
      </c>
      <c r="E1061" s="16" t="s">
        <v>6438</v>
      </c>
      <c r="F1061" s="16" t="s">
        <v>171</v>
      </c>
      <c r="G1061" s="16">
        <v>1.2539885E7</v>
      </c>
      <c r="H1061" s="16">
        <v>1.0</v>
      </c>
      <c r="I1061" s="23">
        <v>300.0</v>
      </c>
      <c r="J1061" s="23">
        <v>300.0</v>
      </c>
      <c r="K1061" s="16"/>
      <c r="L1061" s="23"/>
      <c r="M1061" s="23"/>
      <c r="N1061" s="23">
        <v>0.0</v>
      </c>
      <c r="O1061" s="16"/>
      <c r="P1061" s="23"/>
      <c r="Q1061" s="23"/>
      <c r="R1061" s="23">
        <v>0.0</v>
      </c>
      <c r="S1061" s="16"/>
      <c r="T1061" s="23"/>
      <c r="U1061" s="23"/>
      <c r="V1061" s="23">
        <v>0.0</v>
      </c>
      <c r="W1061" s="16"/>
      <c r="X1061" s="23"/>
      <c r="Y1061" s="23"/>
      <c r="Z1061" s="23">
        <v>0.0</v>
      </c>
      <c r="AA1061" s="16"/>
      <c r="AB1061" s="23"/>
      <c r="AC1061" s="23"/>
      <c r="AD1061" s="23">
        <v>0.0</v>
      </c>
      <c r="AE1061" s="16"/>
      <c r="AF1061" s="23"/>
      <c r="AG1061" s="23"/>
      <c r="AH1061" s="23">
        <v>0.0</v>
      </c>
      <c r="AI1061" s="16"/>
      <c r="AJ1061" s="23"/>
      <c r="AK1061" s="23"/>
      <c r="AL1061" s="23">
        <v>0.0</v>
      </c>
      <c r="AM1061" s="16"/>
      <c r="AN1061" s="23"/>
      <c r="AO1061" s="23"/>
      <c r="AP1061" s="23">
        <v>0.0</v>
      </c>
      <c r="AQ1061" s="16"/>
      <c r="AR1061" s="23"/>
      <c r="AS1061" s="23"/>
      <c r="AT1061" s="23">
        <v>0.0</v>
      </c>
      <c r="AX1061" s="23">
        <v>0.0</v>
      </c>
      <c r="BF1061" s="23">
        <v>0.0</v>
      </c>
      <c r="BJ1061" s="23">
        <v>0.0</v>
      </c>
      <c r="BN1061" s="23">
        <v>0.0</v>
      </c>
      <c r="BO1061" s="23">
        <v>300.0</v>
      </c>
      <c r="BP1061" s="16" t="s">
        <v>6440</v>
      </c>
      <c r="BQ1061" s="16" t="b">
        <v>1</v>
      </c>
      <c r="BR1061" s="23">
        <v>300.0</v>
      </c>
      <c r="BS1061" s="16"/>
      <c r="BT1061" s="16" t="b">
        <v>0</v>
      </c>
      <c r="BU1061" s="16" t="s">
        <v>546</v>
      </c>
      <c r="BV1061" s="16"/>
      <c r="BW1061" s="16"/>
      <c r="BX1061" s="16"/>
      <c r="BY1061" s="16"/>
    </row>
    <row r="1062">
      <c r="A1062" s="16" t="s">
        <v>6444</v>
      </c>
      <c r="B1062" s="16" t="s">
        <v>35</v>
      </c>
      <c r="C1062" s="22">
        <v>45721.0</v>
      </c>
      <c r="D1062" s="16" t="s">
        <v>112</v>
      </c>
      <c r="E1062" s="16" t="s">
        <v>6447</v>
      </c>
      <c r="F1062" s="16" t="s">
        <v>157</v>
      </c>
      <c r="G1062" s="16" t="s">
        <v>159</v>
      </c>
      <c r="H1062" s="16">
        <v>1.0</v>
      </c>
      <c r="I1062" s="23">
        <v>168.0</v>
      </c>
      <c r="J1062" s="23">
        <v>168.0</v>
      </c>
      <c r="K1062" s="16" t="s">
        <v>155</v>
      </c>
      <c r="L1062" s="23">
        <v>1.0</v>
      </c>
      <c r="M1062" s="23">
        <v>40.66</v>
      </c>
      <c r="N1062" s="23">
        <v>40.66</v>
      </c>
      <c r="O1062" s="16" t="s">
        <v>152</v>
      </c>
      <c r="P1062" s="23">
        <v>1.0</v>
      </c>
      <c r="Q1062" s="23">
        <v>8.62</v>
      </c>
      <c r="R1062" s="23">
        <v>8.62</v>
      </c>
      <c r="S1062" s="16" t="s">
        <v>226</v>
      </c>
      <c r="T1062" s="23">
        <v>1.0</v>
      </c>
      <c r="U1062" s="23">
        <v>60.0</v>
      </c>
      <c r="V1062" s="23">
        <v>60.0</v>
      </c>
      <c r="W1062" s="16"/>
      <c r="X1062" s="23"/>
      <c r="Y1062" s="23"/>
      <c r="Z1062" s="23">
        <v>0.0</v>
      </c>
      <c r="AA1062" s="16"/>
      <c r="AB1062" s="23"/>
      <c r="AC1062" s="23"/>
      <c r="AD1062" s="23">
        <v>0.0</v>
      </c>
      <c r="AE1062" s="16"/>
      <c r="AF1062" s="23"/>
      <c r="AG1062" s="23"/>
      <c r="AH1062" s="23">
        <v>0.0</v>
      </c>
      <c r="AI1062" s="16"/>
      <c r="AJ1062" s="23"/>
      <c r="AK1062" s="23"/>
      <c r="AL1062" s="23">
        <v>0.0</v>
      </c>
      <c r="AM1062" s="16"/>
      <c r="AN1062" s="23"/>
      <c r="AO1062" s="23"/>
      <c r="AP1062" s="23">
        <v>0.0</v>
      </c>
      <c r="AQ1062" s="16"/>
      <c r="AR1062" s="23"/>
      <c r="AS1062" s="23"/>
      <c r="AT1062" s="23">
        <v>0.0</v>
      </c>
      <c r="AX1062" s="23">
        <v>0.0</v>
      </c>
      <c r="BF1062" s="23">
        <v>0.0</v>
      </c>
      <c r="BJ1062" s="23">
        <v>0.0</v>
      </c>
      <c r="BN1062" s="23">
        <v>0.0</v>
      </c>
      <c r="BO1062" s="23">
        <v>277.28</v>
      </c>
      <c r="BP1062" s="16" t="s">
        <v>6449</v>
      </c>
      <c r="BQ1062" s="16" t="b">
        <v>1</v>
      </c>
      <c r="BR1062" s="23">
        <v>277.28</v>
      </c>
      <c r="BS1062" s="16"/>
      <c r="BT1062" s="16" t="b">
        <v>0</v>
      </c>
      <c r="BU1062" s="16" t="s">
        <v>546</v>
      </c>
      <c r="BV1062" s="16"/>
      <c r="BW1062" s="16"/>
      <c r="BX1062" s="16"/>
      <c r="BY1062" s="16"/>
    </row>
    <row r="1063">
      <c r="A1063" s="16" t="s">
        <v>6453</v>
      </c>
      <c r="B1063" s="16" t="s">
        <v>35</v>
      </c>
      <c r="C1063" s="22">
        <v>45722.0</v>
      </c>
      <c r="D1063" s="16" t="s">
        <v>112</v>
      </c>
      <c r="E1063" s="16" t="s">
        <v>6455</v>
      </c>
      <c r="F1063" s="16" t="s">
        <v>5545</v>
      </c>
      <c r="G1063" s="16" t="s">
        <v>159</v>
      </c>
      <c r="H1063" s="16">
        <v>1.0</v>
      </c>
      <c r="I1063" s="23">
        <v>280.0</v>
      </c>
      <c r="J1063" s="23">
        <v>280.0</v>
      </c>
      <c r="K1063" s="16" t="s">
        <v>155</v>
      </c>
      <c r="L1063" s="23">
        <v>1.0</v>
      </c>
      <c r="M1063" s="23">
        <v>51.97</v>
      </c>
      <c r="N1063" s="23">
        <v>51.97</v>
      </c>
      <c r="O1063" s="16" t="s">
        <v>152</v>
      </c>
      <c r="P1063" s="23">
        <v>1.0</v>
      </c>
      <c r="Q1063" s="23">
        <v>6.51</v>
      </c>
      <c r="R1063" s="23">
        <v>6.51</v>
      </c>
      <c r="S1063" s="16" t="s">
        <v>226</v>
      </c>
      <c r="T1063" s="23">
        <v>1.0</v>
      </c>
      <c r="U1063" s="23">
        <v>40.0</v>
      </c>
      <c r="V1063" s="23">
        <v>40.0</v>
      </c>
      <c r="W1063" s="16"/>
      <c r="X1063" s="23"/>
      <c r="Y1063" s="23"/>
      <c r="Z1063" s="23">
        <v>0.0</v>
      </c>
      <c r="AA1063" s="16"/>
      <c r="AB1063" s="23"/>
      <c r="AC1063" s="23"/>
      <c r="AD1063" s="23">
        <v>0.0</v>
      </c>
      <c r="AE1063" s="16"/>
      <c r="AF1063" s="23"/>
      <c r="AG1063" s="23"/>
      <c r="AH1063" s="23">
        <v>0.0</v>
      </c>
      <c r="AI1063" s="16"/>
      <c r="AJ1063" s="23"/>
      <c r="AK1063" s="23"/>
      <c r="AL1063" s="23">
        <v>0.0</v>
      </c>
      <c r="AM1063" s="16"/>
      <c r="AN1063" s="23"/>
      <c r="AO1063" s="23"/>
      <c r="AP1063" s="23">
        <v>0.0</v>
      </c>
      <c r="AQ1063" s="16"/>
      <c r="AR1063" s="23"/>
      <c r="AS1063" s="23"/>
      <c r="AT1063" s="23">
        <v>0.0</v>
      </c>
      <c r="AX1063" s="23">
        <v>0.0</v>
      </c>
      <c r="BF1063" s="23">
        <v>0.0</v>
      </c>
      <c r="BJ1063" s="23">
        <v>0.0</v>
      </c>
      <c r="BN1063" s="23">
        <v>0.0</v>
      </c>
      <c r="BO1063" s="23">
        <v>378.48</v>
      </c>
      <c r="BP1063" s="16" t="s">
        <v>6457</v>
      </c>
      <c r="BQ1063" s="16" t="b">
        <v>1</v>
      </c>
      <c r="BR1063" s="23">
        <v>378.48</v>
      </c>
      <c r="BS1063" s="16"/>
      <c r="BT1063" s="16" t="b">
        <v>0</v>
      </c>
      <c r="BU1063" s="16" t="s">
        <v>546</v>
      </c>
      <c r="BV1063" s="16"/>
      <c r="BW1063" s="16"/>
      <c r="BX1063" s="16"/>
      <c r="BY1063" s="16"/>
    </row>
    <row r="1064">
      <c r="A1064" s="16" t="s">
        <v>6461</v>
      </c>
      <c r="B1064" s="16" t="s">
        <v>35</v>
      </c>
      <c r="C1064" s="22">
        <v>45722.0</v>
      </c>
      <c r="D1064" s="16" t="s">
        <v>764</v>
      </c>
      <c r="E1064" s="16" t="s">
        <v>6464</v>
      </c>
      <c r="F1064" s="16" t="s">
        <v>195</v>
      </c>
      <c r="G1064" s="16" t="s">
        <v>1073</v>
      </c>
      <c r="H1064" s="16">
        <v>1.0</v>
      </c>
      <c r="I1064" s="23">
        <v>20.1</v>
      </c>
      <c r="J1064" s="23">
        <v>20.1</v>
      </c>
      <c r="K1064" s="16">
        <v>7.5375964E7</v>
      </c>
      <c r="L1064" s="23">
        <v>1.0</v>
      </c>
      <c r="M1064" s="23">
        <v>18.0</v>
      </c>
      <c r="N1064" s="23">
        <v>18.0</v>
      </c>
      <c r="O1064" s="16" t="s">
        <v>1384</v>
      </c>
      <c r="P1064" s="23">
        <v>1.0</v>
      </c>
      <c r="Q1064" s="23">
        <v>18.0</v>
      </c>
      <c r="R1064" s="23">
        <v>18.0</v>
      </c>
      <c r="S1064" s="16" t="s">
        <v>1404</v>
      </c>
      <c r="T1064" s="23">
        <v>1.0</v>
      </c>
      <c r="U1064" s="23">
        <v>18.0</v>
      </c>
      <c r="V1064" s="23">
        <v>18.0</v>
      </c>
      <c r="W1064" s="16" t="s">
        <v>1074</v>
      </c>
      <c r="X1064" s="23">
        <v>4.0</v>
      </c>
      <c r="Y1064" s="23">
        <v>38.0</v>
      </c>
      <c r="Z1064" s="23">
        <v>152.0</v>
      </c>
      <c r="AA1064" s="16" t="s">
        <v>1077</v>
      </c>
      <c r="AB1064" s="23">
        <v>3.0</v>
      </c>
      <c r="AC1064" s="23">
        <v>24.0</v>
      </c>
      <c r="AD1064" s="23">
        <v>72.0</v>
      </c>
      <c r="AE1064" s="16" t="s">
        <v>1081</v>
      </c>
      <c r="AF1064" s="23">
        <v>7.0</v>
      </c>
      <c r="AG1064" s="23">
        <v>48.0</v>
      </c>
      <c r="AH1064" s="23">
        <v>336.0</v>
      </c>
      <c r="AI1064" s="16" t="s">
        <v>1083</v>
      </c>
      <c r="AJ1064" s="23">
        <v>1.0</v>
      </c>
      <c r="AK1064" s="23">
        <v>18.0</v>
      </c>
      <c r="AL1064" s="23">
        <v>18.0</v>
      </c>
      <c r="AM1064" s="16" t="s">
        <v>1075</v>
      </c>
      <c r="AN1064" s="23">
        <v>3.0</v>
      </c>
      <c r="AO1064" s="23">
        <v>38.0</v>
      </c>
      <c r="AP1064" s="23">
        <v>114.0</v>
      </c>
      <c r="AQ1064" s="16" t="s">
        <v>1091</v>
      </c>
      <c r="AR1064" s="23">
        <v>2.0</v>
      </c>
      <c r="AS1064" s="23">
        <v>36.0</v>
      </c>
      <c r="AT1064" s="23">
        <v>72.0</v>
      </c>
      <c r="AX1064" s="23">
        <v>0.0</v>
      </c>
      <c r="BF1064" s="23">
        <v>0.0</v>
      </c>
      <c r="BJ1064" s="23">
        <v>0.0</v>
      </c>
      <c r="BN1064" s="23">
        <v>0.0</v>
      </c>
      <c r="BO1064" s="23">
        <v>838.1</v>
      </c>
      <c r="BP1064" s="16" t="s">
        <v>6465</v>
      </c>
      <c r="BQ1064" s="16" t="b">
        <v>1</v>
      </c>
      <c r="BR1064" s="23">
        <v>838.1</v>
      </c>
      <c r="BS1064" s="16"/>
      <c r="BT1064" s="16" t="b">
        <v>0</v>
      </c>
      <c r="BU1064" s="16" t="s">
        <v>546</v>
      </c>
      <c r="BV1064" s="16"/>
      <c r="BW1064" s="16" t="s">
        <v>6468</v>
      </c>
      <c r="BX1064" s="16"/>
      <c r="BY1064" s="16"/>
    </row>
    <row r="1065">
      <c r="A1065" s="16" t="s">
        <v>6473</v>
      </c>
      <c r="B1065" s="16" t="s">
        <v>35</v>
      </c>
      <c r="C1065" s="22">
        <v>45722.0</v>
      </c>
      <c r="D1065" s="16" t="s">
        <v>890</v>
      </c>
      <c r="E1065" s="16" t="s">
        <v>6475</v>
      </c>
      <c r="F1065" s="16" t="s">
        <v>2894</v>
      </c>
      <c r="G1065" s="16" t="s">
        <v>1510</v>
      </c>
      <c r="H1065" s="16">
        <v>1.0</v>
      </c>
      <c r="I1065" s="23">
        <v>20650.67</v>
      </c>
      <c r="J1065" s="23">
        <v>20650.67</v>
      </c>
      <c r="K1065" s="16"/>
      <c r="L1065" s="23"/>
      <c r="M1065" s="23"/>
      <c r="N1065" s="23">
        <v>0.0</v>
      </c>
      <c r="O1065" s="16"/>
      <c r="P1065" s="23"/>
      <c r="Q1065" s="23"/>
      <c r="R1065" s="23">
        <v>0.0</v>
      </c>
      <c r="S1065" s="16"/>
      <c r="T1065" s="23"/>
      <c r="U1065" s="23"/>
      <c r="V1065" s="23">
        <v>0.0</v>
      </c>
      <c r="W1065" s="16"/>
      <c r="X1065" s="23"/>
      <c r="Y1065" s="23"/>
      <c r="Z1065" s="23">
        <v>0.0</v>
      </c>
      <c r="AA1065" s="16"/>
      <c r="AB1065" s="23"/>
      <c r="AC1065" s="23"/>
      <c r="AD1065" s="23">
        <v>0.0</v>
      </c>
      <c r="AE1065" s="16"/>
      <c r="AF1065" s="23"/>
      <c r="AG1065" s="23"/>
      <c r="AH1065" s="23">
        <v>0.0</v>
      </c>
      <c r="AI1065" s="16"/>
      <c r="AJ1065" s="23"/>
      <c r="AK1065" s="23"/>
      <c r="AL1065" s="23">
        <v>0.0</v>
      </c>
      <c r="AM1065" s="16"/>
      <c r="AN1065" s="23"/>
      <c r="AO1065" s="23"/>
      <c r="AP1065" s="23">
        <v>0.0</v>
      </c>
      <c r="AQ1065" s="16"/>
      <c r="AR1065" s="23"/>
      <c r="AS1065" s="23"/>
      <c r="AT1065" s="23">
        <v>0.0</v>
      </c>
      <c r="AX1065" s="23">
        <v>0.0</v>
      </c>
      <c r="BF1065" s="23">
        <v>0.0</v>
      </c>
      <c r="BJ1065" s="23">
        <v>0.0</v>
      </c>
      <c r="BN1065" s="23">
        <v>0.0</v>
      </c>
      <c r="BO1065" s="23">
        <v>20650.67</v>
      </c>
      <c r="BP1065" s="16" t="s">
        <v>6477</v>
      </c>
      <c r="BQ1065" s="16" t="b">
        <v>1</v>
      </c>
      <c r="BR1065" s="23">
        <v>20650.67</v>
      </c>
      <c r="BS1065" s="16"/>
      <c r="BT1065" s="16" t="b">
        <v>0</v>
      </c>
      <c r="BU1065" s="16" t="s">
        <v>546</v>
      </c>
      <c r="BV1065" s="16"/>
      <c r="BW1065" s="16" t="s">
        <v>6480</v>
      </c>
      <c r="BX1065" s="16" t="s">
        <v>6481</v>
      </c>
      <c r="BY1065" s="16" t="s">
        <v>6483</v>
      </c>
    </row>
    <row r="1066">
      <c r="A1066" s="16" t="s">
        <v>6485</v>
      </c>
      <c r="B1066" s="16" t="s">
        <v>35</v>
      </c>
      <c r="C1066" s="22">
        <v>45723.0</v>
      </c>
      <c r="D1066" s="16" t="s">
        <v>5866</v>
      </c>
      <c r="E1066" s="16" t="s">
        <v>6488</v>
      </c>
      <c r="F1066" s="16" t="s">
        <v>5136</v>
      </c>
      <c r="G1066" s="16" t="s">
        <v>6322</v>
      </c>
      <c r="H1066" s="16">
        <v>1.0</v>
      </c>
      <c r="I1066" s="23">
        <v>53.74</v>
      </c>
      <c r="J1066" s="23">
        <v>53.74</v>
      </c>
      <c r="K1066" s="16"/>
      <c r="L1066" s="23"/>
      <c r="M1066" s="23"/>
      <c r="N1066" s="23">
        <v>0.0</v>
      </c>
      <c r="O1066" s="16"/>
      <c r="P1066" s="23"/>
      <c r="Q1066" s="23"/>
      <c r="R1066" s="23">
        <v>0.0</v>
      </c>
      <c r="S1066" s="16"/>
      <c r="T1066" s="23"/>
      <c r="U1066" s="23"/>
      <c r="V1066" s="23">
        <v>0.0</v>
      </c>
      <c r="W1066" s="16"/>
      <c r="X1066" s="23"/>
      <c r="Y1066" s="23"/>
      <c r="Z1066" s="23">
        <v>0.0</v>
      </c>
      <c r="AA1066" s="16"/>
      <c r="AB1066" s="23"/>
      <c r="AC1066" s="23"/>
      <c r="AD1066" s="23">
        <v>0.0</v>
      </c>
      <c r="AE1066" s="16"/>
      <c r="AF1066" s="23"/>
      <c r="AG1066" s="23"/>
      <c r="AH1066" s="23">
        <v>0.0</v>
      </c>
      <c r="AI1066" s="16"/>
      <c r="AJ1066" s="23"/>
      <c r="AK1066" s="23"/>
      <c r="AL1066" s="23">
        <v>0.0</v>
      </c>
      <c r="AM1066" s="16"/>
      <c r="AN1066" s="23"/>
      <c r="AO1066" s="23"/>
      <c r="AP1066" s="23">
        <v>0.0</v>
      </c>
      <c r="AQ1066" s="16"/>
      <c r="AR1066" s="23"/>
      <c r="AS1066" s="23"/>
      <c r="AT1066" s="23">
        <v>0.0</v>
      </c>
      <c r="AX1066" s="23">
        <v>0.0</v>
      </c>
      <c r="BF1066" s="23">
        <v>0.0</v>
      </c>
      <c r="BJ1066" s="23">
        <v>0.0</v>
      </c>
      <c r="BN1066" s="23">
        <v>0.0</v>
      </c>
      <c r="BO1066" s="23">
        <v>53.74</v>
      </c>
      <c r="BP1066" s="16" t="s">
        <v>6490</v>
      </c>
      <c r="BQ1066" s="16" t="b">
        <v>1</v>
      </c>
      <c r="BR1066" s="23">
        <v>53.74</v>
      </c>
      <c r="BS1066" s="16"/>
      <c r="BT1066" s="16" t="b">
        <v>0</v>
      </c>
      <c r="BU1066" s="16" t="s">
        <v>546</v>
      </c>
      <c r="BV1066" s="16"/>
      <c r="BW1066" s="16"/>
      <c r="BX1066" s="16"/>
      <c r="BY1066" s="16"/>
    </row>
    <row r="1067">
      <c r="A1067" s="16" t="s">
        <v>6495</v>
      </c>
      <c r="B1067" s="16" t="s">
        <v>35</v>
      </c>
      <c r="C1067" s="22">
        <v>45723.0</v>
      </c>
      <c r="D1067" s="16" t="s">
        <v>543</v>
      </c>
      <c r="E1067" s="16" t="s">
        <v>6506</v>
      </c>
      <c r="F1067" s="16" t="s">
        <v>171</v>
      </c>
      <c r="G1067" s="16">
        <v>1.2539885E7</v>
      </c>
      <c r="H1067" s="16">
        <v>1.0</v>
      </c>
      <c r="I1067" s="23">
        <v>225.0</v>
      </c>
      <c r="J1067" s="23">
        <v>225.0</v>
      </c>
      <c r="K1067" s="16"/>
      <c r="L1067" s="23"/>
      <c r="M1067" s="23"/>
      <c r="N1067" s="23">
        <v>0.0</v>
      </c>
      <c r="O1067" s="16"/>
      <c r="P1067" s="23"/>
      <c r="Q1067" s="23"/>
      <c r="R1067" s="23">
        <v>0.0</v>
      </c>
      <c r="S1067" s="16"/>
      <c r="T1067" s="23"/>
      <c r="U1067" s="23"/>
      <c r="V1067" s="23">
        <v>0.0</v>
      </c>
      <c r="W1067" s="16"/>
      <c r="X1067" s="23"/>
      <c r="Y1067" s="23"/>
      <c r="Z1067" s="23">
        <v>0.0</v>
      </c>
      <c r="AA1067" s="16"/>
      <c r="AB1067" s="23"/>
      <c r="AC1067" s="23"/>
      <c r="AD1067" s="23">
        <v>0.0</v>
      </c>
      <c r="AE1067" s="16"/>
      <c r="AF1067" s="23"/>
      <c r="AG1067" s="23"/>
      <c r="AH1067" s="23">
        <v>0.0</v>
      </c>
      <c r="AI1067" s="16"/>
      <c r="AJ1067" s="23"/>
      <c r="AK1067" s="23"/>
      <c r="AL1067" s="23">
        <v>0.0</v>
      </c>
      <c r="AM1067" s="16"/>
      <c r="AN1067" s="23"/>
      <c r="AO1067" s="23"/>
      <c r="AP1067" s="23">
        <v>0.0</v>
      </c>
      <c r="AQ1067" s="16"/>
      <c r="AR1067" s="23"/>
      <c r="AS1067" s="23"/>
      <c r="AT1067" s="23">
        <v>0.0</v>
      </c>
      <c r="AX1067" s="23">
        <v>0.0</v>
      </c>
      <c r="BF1067" s="23">
        <v>0.0</v>
      </c>
      <c r="BJ1067" s="23">
        <v>0.0</v>
      </c>
      <c r="BN1067" s="23">
        <v>0.0</v>
      </c>
      <c r="BO1067" s="23">
        <v>225.0</v>
      </c>
      <c r="BP1067" s="16" t="s">
        <v>6507</v>
      </c>
      <c r="BQ1067" s="16" t="b">
        <v>1</v>
      </c>
      <c r="BR1067" s="23">
        <v>225.0</v>
      </c>
      <c r="BS1067" s="16"/>
      <c r="BT1067" s="16" t="b">
        <v>0</v>
      </c>
      <c r="BU1067" s="16" t="s">
        <v>546</v>
      </c>
      <c r="BV1067" s="16"/>
      <c r="BW1067" s="16"/>
      <c r="BX1067" s="16"/>
      <c r="BY1067" s="16"/>
    </row>
    <row r="1068">
      <c r="A1068" s="16" t="s">
        <v>6510</v>
      </c>
      <c r="B1068" s="16" t="s">
        <v>35</v>
      </c>
      <c r="C1068" s="22">
        <v>45723.0</v>
      </c>
      <c r="D1068" s="16" t="s">
        <v>286</v>
      </c>
      <c r="E1068" s="16" t="s">
        <v>6512</v>
      </c>
      <c r="F1068" s="16" t="s">
        <v>6515</v>
      </c>
      <c r="G1068" s="16" t="s">
        <v>1904</v>
      </c>
      <c r="H1068" s="16">
        <v>1.0</v>
      </c>
      <c r="I1068" s="23">
        <v>3.0</v>
      </c>
      <c r="J1068" s="23">
        <v>3.0</v>
      </c>
      <c r="K1068" s="16"/>
      <c r="L1068" s="23"/>
      <c r="M1068" s="23"/>
      <c r="N1068" s="23">
        <v>0.0</v>
      </c>
      <c r="O1068" s="16"/>
      <c r="P1068" s="23"/>
      <c r="Q1068" s="23"/>
      <c r="R1068" s="23">
        <v>0.0</v>
      </c>
      <c r="S1068" s="16"/>
      <c r="T1068" s="23"/>
      <c r="U1068" s="23"/>
      <c r="V1068" s="23">
        <v>0.0</v>
      </c>
      <c r="W1068" s="16"/>
      <c r="X1068" s="23"/>
      <c r="Y1068" s="23"/>
      <c r="Z1068" s="23">
        <v>0.0</v>
      </c>
      <c r="AA1068" s="16"/>
      <c r="AB1068" s="23"/>
      <c r="AC1068" s="23"/>
      <c r="AD1068" s="23">
        <v>0.0</v>
      </c>
      <c r="AE1068" s="16"/>
      <c r="AF1068" s="23"/>
      <c r="AG1068" s="23"/>
      <c r="AH1068" s="23">
        <v>0.0</v>
      </c>
      <c r="AI1068" s="16"/>
      <c r="AJ1068" s="23"/>
      <c r="AK1068" s="23"/>
      <c r="AL1068" s="23">
        <v>0.0</v>
      </c>
      <c r="AM1068" s="16"/>
      <c r="AN1068" s="23"/>
      <c r="AO1068" s="23"/>
      <c r="AP1068" s="23">
        <v>0.0</v>
      </c>
      <c r="AQ1068" s="16"/>
      <c r="AR1068" s="23"/>
      <c r="AS1068" s="23"/>
      <c r="AT1068" s="23">
        <v>0.0</v>
      </c>
      <c r="AX1068" s="23">
        <v>0.0</v>
      </c>
      <c r="BF1068" s="23">
        <v>0.0</v>
      </c>
      <c r="BJ1068" s="23">
        <v>0.0</v>
      </c>
      <c r="BN1068" s="23">
        <v>0.0</v>
      </c>
      <c r="BO1068" s="23">
        <v>3.0</v>
      </c>
      <c r="BP1068" s="16" t="s">
        <v>6514</v>
      </c>
      <c r="BQ1068" s="16" t="b">
        <v>1</v>
      </c>
      <c r="BR1068" s="23">
        <v>3.0</v>
      </c>
      <c r="BS1068" s="16">
        <v>1361863.0</v>
      </c>
      <c r="BT1068" s="16" t="b">
        <v>1</v>
      </c>
      <c r="BU1068" s="16" t="s">
        <v>546</v>
      </c>
      <c r="BV1068" s="16"/>
      <c r="BW1068" s="16"/>
      <c r="BX1068" s="16"/>
      <c r="BY1068" s="16"/>
    </row>
    <row r="1069">
      <c r="A1069" s="16" t="s">
        <v>6520</v>
      </c>
      <c r="B1069" s="16" t="s">
        <v>35</v>
      </c>
      <c r="C1069" s="22">
        <v>45723.0</v>
      </c>
      <c r="D1069" s="16" t="s">
        <v>2613</v>
      </c>
      <c r="E1069" s="16" t="s">
        <v>6523</v>
      </c>
      <c r="F1069" s="16" t="s">
        <v>1469</v>
      </c>
      <c r="G1069" s="16" t="s">
        <v>981</v>
      </c>
      <c r="H1069" s="16">
        <v>6.0</v>
      </c>
      <c r="I1069" s="23">
        <v>4.98</v>
      </c>
      <c r="J1069" s="23">
        <v>29.88</v>
      </c>
      <c r="K1069" s="16" t="s">
        <v>238</v>
      </c>
      <c r="L1069" s="23">
        <v>12.0</v>
      </c>
      <c r="M1069" s="23">
        <v>5.9</v>
      </c>
      <c r="N1069" s="23">
        <v>70.8</v>
      </c>
      <c r="O1069" s="16" t="s">
        <v>6604</v>
      </c>
      <c r="P1069" s="23">
        <v>6.0</v>
      </c>
      <c r="Q1069" s="23">
        <v>3.58</v>
      </c>
      <c r="R1069" s="23">
        <v>21.48</v>
      </c>
      <c r="S1069" s="16"/>
      <c r="T1069" s="23"/>
      <c r="U1069" s="23"/>
      <c r="V1069" s="23">
        <v>0.0</v>
      </c>
      <c r="W1069" s="16"/>
      <c r="X1069" s="23"/>
      <c r="Y1069" s="23"/>
      <c r="Z1069" s="23">
        <v>0.0</v>
      </c>
      <c r="AA1069" s="16"/>
      <c r="AB1069" s="23"/>
      <c r="AC1069" s="23"/>
      <c r="AD1069" s="23">
        <v>0.0</v>
      </c>
      <c r="AE1069" s="16"/>
      <c r="AF1069" s="23"/>
      <c r="AG1069" s="23"/>
      <c r="AH1069" s="23">
        <v>0.0</v>
      </c>
      <c r="AI1069" s="16"/>
      <c r="AJ1069" s="23"/>
      <c r="AK1069" s="23"/>
      <c r="AL1069" s="23">
        <v>0.0</v>
      </c>
      <c r="AM1069" s="16"/>
      <c r="AN1069" s="23"/>
      <c r="AO1069" s="23"/>
      <c r="AP1069" s="23">
        <v>0.0</v>
      </c>
      <c r="AQ1069" s="16"/>
      <c r="AR1069" s="23"/>
      <c r="AS1069" s="23"/>
      <c r="AT1069" s="23">
        <v>0.0</v>
      </c>
      <c r="AX1069" s="23">
        <v>0.0</v>
      </c>
      <c r="BF1069" s="23">
        <v>0.0</v>
      </c>
      <c r="BJ1069" s="23">
        <v>0.0</v>
      </c>
      <c r="BN1069" s="23">
        <v>0.0</v>
      </c>
      <c r="BO1069" s="23">
        <v>122.16</v>
      </c>
      <c r="BP1069" s="16" t="s">
        <v>6525</v>
      </c>
      <c r="BQ1069" s="16" t="b">
        <v>1</v>
      </c>
      <c r="BR1069" s="23">
        <v>122.16</v>
      </c>
      <c r="BS1069" s="16">
        <v>1362020.0</v>
      </c>
      <c r="BT1069" s="16" t="b">
        <v>1</v>
      </c>
      <c r="BU1069" s="16" t="s">
        <v>546</v>
      </c>
      <c r="BV1069" s="16"/>
      <c r="BW1069" s="16"/>
      <c r="BX1069" s="16"/>
      <c r="BY1069" s="16"/>
    </row>
    <row r="1070">
      <c r="A1070" s="16" t="s">
        <v>6528</v>
      </c>
      <c r="B1070" s="16" t="s">
        <v>35</v>
      </c>
      <c r="C1070" s="22">
        <v>45723.0</v>
      </c>
      <c r="D1070" s="16" t="s">
        <v>3716</v>
      </c>
      <c r="E1070" s="16" t="s">
        <v>6531</v>
      </c>
      <c r="F1070" s="16" t="s">
        <v>6533</v>
      </c>
      <c r="G1070" s="16" t="s">
        <v>1080</v>
      </c>
      <c r="H1070" s="16">
        <v>15.0</v>
      </c>
      <c r="I1070" s="23">
        <v>13.9</v>
      </c>
      <c r="J1070" s="23">
        <v>208.5</v>
      </c>
      <c r="K1070" s="16" t="s">
        <v>1079</v>
      </c>
      <c r="L1070" s="23">
        <v>10.0</v>
      </c>
      <c r="M1070" s="23">
        <v>12.9</v>
      </c>
      <c r="N1070" s="23">
        <v>129.0</v>
      </c>
      <c r="O1070" s="16"/>
      <c r="P1070" s="23"/>
      <c r="Q1070" s="23"/>
      <c r="R1070" s="23">
        <v>0.0</v>
      </c>
      <c r="S1070" s="16"/>
      <c r="T1070" s="23"/>
      <c r="U1070" s="23"/>
      <c r="V1070" s="23">
        <v>0.0</v>
      </c>
      <c r="W1070" s="16"/>
      <c r="X1070" s="23"/>
      <c r="Y1070" s="23"/>
      <c r="Z1070" s="23">
        <v>0.0</v>
      </c>
      <c r="AA1070" s="16"/>
      <c r="AB1070" s="23"/>
      <c r="AC1070" s="23"/>
      <c r="AD1070" s="23">
        <v>0.0</v>
      </c>
      <c r="AE1070" s="16"/>
      <c r="AF1070" s="23"/>
      <c r="AG1070" s="23"/>
      <c r="AH1070" s="23">
        <v>0.0</v>
      </c>
      <c r="AI1070" s="16"/>
      <c r="AJ1070" s="23"/>
      <c r="AK1070" s="23"/>
      <c r="AL1070" s="23">
        <v>0.0</v>
      </c>
      <c r="AM1070" s="16"/>
      <c r="AN1070" s="23"/>
      <c r="AO1070" s="23"/>
      <c r="AP1070" s="23">
        <v>0.0</v>
      </c>
      <c r="AQ1070" s="16"/>
      <c r="AR1070" s="23"/>
      <c r="AS1070" s="23"/>
      <c r="AT1070" s="23">
        <v>0.0</v>
      </c>
      <c r="AX1070" s="23">
        <v>0.0</v>
      </c>
      <c r="BF1070" s="23">
        <v>0.0</v>
      </c>
      <c r="BJ1070" s="23">
        <v>0.0</v>
      </c>
      <c r="BN1070" s="23">
        <v>0.0</v>
      </c>
      <c r="BO1070" s="23">
        <v>337.5</v>
      </c>
      <c r="BP1070" s="16" t="s">
        <v>6532</v>
      </c>
      <c r="BQ1070" s="16" t="b">
        <v>1</v>
      </c>
      <c r="BR1070" s="23">
        <v>337.5</v>
      </c>
      <c r="BS1070" s="16">
        <v>1361995.0</v>
      </c>
      <c r="BT1070" s="16" t="b">
        <v>1</v>
      </c>
      <c r="BU1070" s="16" t="s">
        <v>546</v>
      </c>
      <c r="BV1070" s="16"/>
      <c r="BW1070" s="16"/>
      <c r="BX1070" s="16"/>
      <c r="BY1070" s="16"/>
    </row>
    <row r="1071">
      <c r="A1071" s="16" t="s">
        <v>6537</v>
      </c>
      <c r="B1071" s="16" t="s">
        <v>35</v>
      </c>
      <c r="C1071" s="22">
        <v>45724.0</v>
      </c>
      <c r="D1071" s="16" t="s">
        <v>6538</v>
      </c>
      <c r="E1071" s="16" t="s">
        <v>6540</v>
      </c>
      <c r="F1071" s="16" t="s">
        <v>6542</v>
      </c>
      <c r="G1071" s="16" t="s">
        <v>1164</v>
      </c>
      <c r="H1071" s="16">
        <v>1.0</v>
      </c>
      <c r="I1071" s="23">
        <v>170.0</v>
      </c>
      <c r="J1071" s="23">
        <v>170.0</v>
      </c>
      <c r="K1071" s="16"/>
      <c r="L1071" s="23"/>
      <c r="M1071" s="23"/>
      <c r="N1071" s="23">
        <v>0.0</v>
      </c>
      <c r="O1071" s="16"/>
      <c r="P1071" s="23"/>
      <c r="Q1071" s="23"/>
      <c r="R1071" s="23">
        <v>0.0</v>
      </c>
      <c r="S1071" s="16"/>
      <c r="T1071" s="23"/>
      <c r="U1071" s="23"/>
      <c r="V1071" s="23">
        <v>0.0</v>
      </c>
      <c r="W1071" s="16"/>
      <c r="X1071" s="23"/>
      <c r="Y1071" s="23"/>
      <c r="Z1071" s="23">
        <v>0.0</v>
      </c>
      <c r="AA1071" s="16"/>
      <c r="AB1071" s="23"/>
      <c r="AC1071" s="23"/>
      <c r="AD1071" s="23">
        <v>0.0</v>
      </c>
      <c r="AE1071" s="16"/>
      <c r="AF1071" s="23"/>
      <c r="AG1071" s="23"/>
      <c r="AH1071" s="23">
        <v>0.0</v>
      </c>
      <c r="AI1071" s="16"/>
      <c r="AJ1071" s="23"/>
      <c r="AK1071" s="23"/>
      <c r="AL1071" s="23">
        <v>0.0</v>
      </c>
      <c r="AM1071" s="16"/>
      <c r="AN1071" s="23"/>
      <c r="AO1071" s="23"/>
      <c r="AP1071" s="23">
        <v>0.0</v>
      </c>
      <c r="AQ1071" s="16"/>
      <c r="AR1071" s="23"/>
      <c r="AS1071" s="23"/>
      <c r="AT1071" s="23">
        <v>0.0</v>
      </c>
      <c r="AX1071" s="23">
        <v>0.0</v>
      </c>
      <c r="BF1071" s="23">
        <v>0.0</v>
      </c>
      <c r="BJ1071" s="23">
        <v>0.0</v>
      </c>
      <c r="BN1071" s="23">
        <v>0.0</v>
      </c>
      <c r="BO1071" s="23">
        <v>170.0</v>
      </c>
      <c r="BP1071" s="16" t="s">
        <v>6541</v>
      </c>
      <c r="BQ1071" s="16" t="b">
        <v>1</v>
      </c>
      <c r="BR1071" s="23">
        <v>170.0</v>
      </c>
      <c r="BS1071" s="16">
        <v>1363483.0</v>
      </c>
      <c r="BT1071" s="16" t="b">
        <v>1</v>
      </c>
      <c r="BU1071" s="16" t="s">
        <v>546</v>
      </c>
      <c r="BV1071" s="16"/>
      <c r="BW1071" s="16"/>
      <c r="BX1071" s="16"/>
      <c r="BY1071" s="16"/>
    </row>
    <row r="1072">
      <c r="A1072" s="16" t="s">
        <v>6546</v>
      </c>
      <c r="B1072" s="16" t="s">
        <v>35</v>
      </c>
      <c r="C1072" s="22">
        <v>45724.0</v>
      </c>
      <c r="D1072" s="16" t="s">
        <v>112</v>
      </c>
      <c r="E1072" s="16" t="s">
        <v>6549</v>
      </c>
      <c r="F1072" s="16" t="s">
        <v>157</v>
      </c>
      <c r="G1072" s="16" t="s">
        <v>159</v>
      </c>
      <c r="H1072" s="16">
        <v>15.0</v>
      </c>
      <c r="I1072" s="23">
        <v>13.0</v>
      </c>
      <c r="J1072" s="23">
        <v>195.0</v>
      </c>
      <c r="K1072" s="16" t="s">
        <v>155</v>
      </c>
      <c r="L1072" s="23">
        <v>1.0</v>
      </c>
      <c r="M1072" s="23">
        <v>60.45</v>
      </c>
      <c r="N1072" s="23">
        <v>60.45</v>
      </c>
      <c r="O1072" s="16" t="s">
        <v>152</v>
      </c>
      <c r="P1072" s="23">
        <v>1.0</v>
      </c>
      <c r="Q1072" s="23">
        <v>12.0</v>
      </c>
      <c r="R1072" s="23">
        <v>12.0</v>
      </c>
      <c r="S1072" s="16" t="s">
        <v>226</v>
      </c>
      <c r="T1072" s="23">
        <v>1.0</v>
      </c>
      <c r="U1072" s="23">
        <v>50.0</v>
      </c>
      <c r="V1072" s="23">
        <v>50.0</v>
      </c>
      <c r="W1072" s="16"/>
      <c r="X1072" s="23"/>
      <c r="Y1072" s="23"/>
      <c r="Z1072" s="23">
        <v>0.0</v>
      </c>
      <c r="AA1072" s="16"/>
      <c r="AB1072" s="23"/>
      <c r="AC1072" s="23"/>
      <c r="AD1072" s="23">
        <v>0.0</v>
      </c>
      <c r="AE1072" s="16"/>
      <c r="AF1072" s="23"/>
      <c r="AG1072" s="23"/>
      <c r="AH1072" s="23">
        <v>0.0</v>
      </c>
      <c r="AI1072" s="16"/>
      <c r="AJ1072" s="23"/>
      <c r="AK1072" s="23"/>
      <c r="AL1072" s="23">
        <v>0.0</v>
      </c>
      <c r="AM1072" s="16"/>
      <c r="AN1072" s="23"/>
      <c r="AO1072" s="23"/>
      <c r="AP1072" s="23">
        <v>0.0</v>
      </c>
      <c r="AQ1072" s="16"/>
      <c r="AR1072" s="23"/>
      <c r="AS1072" s="23"/>
      <c r="AT1072" s="23">
        <v>0.0</v>
      </c>
      <c r="AX1072" s="23">
        <v>0.0</v>
      </c>
      <c r="BF1072" s="23">
        <v>0.0</v>
      </c>
      <c r="BJ1072" s="23">
        <v>0.0</v>
      </c>
      <c r="BN1072" s="23">
        <v>0.0</v>
      </c>
      <c r="BO1072" s="23">
        <v>317.45</v>
      </c>
      <c r="BP1072" s="16" t="s">
        <v>6550</v>
      </c>
      <c r="BQ1072" s="16" t="b">
        <v>1</v>
      </c>
      <c r="BR1072" s="23">
        <v>317.45</v>
      </c>
      <c r="BS1072" s="16"/>
      <c r="BT1072" s="16" t="b">
        <v>0</v>
      </c>
      <c r="BU1072" s="16" t="s">
        <v>546</v>
      </c>
      <c r="BV1072" s="16"/>
      <c r="BW1072" s="16"/>
      <c r="BX1072" s="16"/>
      <c r="BY1072" s="16"/>
    </row>
    <row r="1073">
      <c r="A1073" s="16" t="s">
        <v>6555</v>
      </c>
      <c r="B1073" s="16" t="s">
        <v>35</v>
      </c>
      <c r="C1073" s="22">
        <v>45725.0</v>
      </c>
      <c r="D1073" s="16">
        <v>8.627274E7</v>
      </c>
      <c r="E1073" s="16" t="s">
        <v>6558</v>
      </c>
      <c r="F1073" s="16" t="s">
        <v>4248</v>
      </c>
      <c r="G1073" s="16" t="s">
        <v>305</v>
      </c>
      <c r="H1073" s="16">
        <v>1.0</v>
      </c>
      <c r="I1073" s="23">
        <v>97.91</v>
      </c>
      <c r="J1073" s="23">
        <v>97.91</v>
      </c>
      <c r="K1073" s="16"/>
      <c r="L1073" s="23"/>
      <c r="M1073" s="23"/>
      <c r="N1073" s="23">
        <v>0.0</v>
      </c>
      <c r="O1073" s="16"/>
      <c r="P1073" s="23"/>
      <c r="Q1073" s="23"/>
      <c r="R1073" s="23">
        <v>0.0</v>
      </c>
      <c r="S1073" s="16"/>
      <c r="T1073" s="23"/>
      <c r="U1073" s="23"/>
      <c r="V1073" s="23">
        <v>0.0</v>
      </c>
      <c r="W1073" s="16"/>
      <c r="X1073" s="23"/>
      <c r="Y1073" s="23"/>
      <c r="Z1073" s="23">
        <v>0.0</v>
      </c>
      <c r="AA1073" s="16"/>
      <c r="AB1073" s="23"/>
      <c r="AC1073" s="23"/>
      <c r="AD1073" s="23">
        <v>0.0</v>
      </c>
      <c r="AE1073" s="16"/>
      <c r="AF1073" s="23"/>
      <c r="AG1073" s="23"/>
      <c r="AH1073" s="23">
        <v>0.0</v>
      </c>
      <c r="AI1073" s="16"/>
      <c r="AJ1073" s="23"/>
      <c r="AK1073" s="23"/>
      <c r="AL1073" s="23">
        <v>0.0</v>
      </c>
      <c r="AM1073" s="16"/>
      <c r="AN1073" s="23"/>
      <c r="AO1073" s="23"/>
      <c r="AP1073" s="23">
        <v>0.0</v>
      </c>
      <c r="AQ1073" s="16"/>
      <c r="AR1073" s="23"/>
      <c r="AS1073" s="23"/>
      <c r="AT1073" s="23">
        <v>0.0</v>
      </c>
      <c r="AX1073" s="23">
        <v>0.0</v>
      </c>
      <c r="BF1073" s="23">
        <v>0.0</v>
      </c>
      <c r="BJ1073" s="23">
        <v>0.0</v>
      </c>
      <c r="BN1073" s="23">
        <v>0.0</v>
      </c>
      <c r="BO1073" s="23">
        <v>97.91</v>
      </c>
      <c r="BP1073" s="16" t="s">
        <v>6560</v>
      </c>
      <c r="BQ1073" s="16" t="b">
        <v>1</v>
      </c>
      <c r="BR1073" s="23">
        <v>97.91</v>
      </c>
      <c r="BS1073" s="16" t="s">
        <v>5497</v>
      </c>
      <c r="BT1073" s="16" t="b">
        <v>1</v>
      </c>
      <c r="BU1073" s="16" t="s">
        <v>546</v>
      </c>
      <c r="BV1073" s="16"/>
      <c r="BW1073" s="16"/>
      <c r="BX1073" s="16"/>
      <c r="BY1073" s="16"/>
    </row>
    <row r="1074">
      <c r="A1074" s="16" t="s">
        <v>6567</v>
      </c>
      <c r="B1074" s="16" t="s">
        <v>35</v>
      </c>
      <c r="C1074" s="22">
        <v>45724.0</v>
      </c>
      <c r="D1074" s="16" t="s">
        <v>3816</v>
      </c>
      <c r="E1074" s="16" t="s">
        <v>6570</v>
      </c>
      <c r="F1074" s="16" t="s">
        <v>4614</v>
      </c>
      <c r="G1074" s="16" t="s">
        <v>305</v>
      </c>
      <c r="H1074" s="16">
        <v>1.0</v>
      </c>
      <c r="I1074" s="23">
        <v>36.22</v>
      </c>
      <c r="J1074" s="23">
        <v>36.22</v>
      </c>
      <c r="K1074" s="16"/>
      <c r="L1074" s="23"/>
      <c r="M1074" s="23"/>
      <c r="N1074" s="23">
        <v>0.0</v>
      </c>
      <c r="O1074" s="16"/>
      <c r="P1074" s="23"/>
      <c r="Q1074" s="23"/>
      <c r="R1074" s="23">
        <v>0.0</v>
      </c>
      <c r="S1074" s="16"/>
      <c r="T1074" s="23"/>
      <c r="U1074" s="23"/>
      <c r="V1074" s="23">
        <v>0.0</v>
      </c>
      <c r="W1074" s="16"/>
      <c r="X1074" s="23"/>
      <c r="Y1074" s="23"/>
      <c r="Z1074" s="23">
        <v>0.0</v>
      </c>
      <c r="AA1074" s="16"/>
      <c r="AB1074" s="23"/>
      <c r="AC1074" s="23"/>
      <c r="AD1074" s="23">
        <v>0.0</v>
      </c>
      <c r="AE1074" s="16"/>
      <c r="AF1074" s="23"/>
      <c r="AG1074" s="23"/>
      <c r="AH1074" s="23">
        <v>0.0</v>
      </c>
      <c r="AI1074" s="16"/>
      <c r="AJ1074" s="23"/>
      <c r="AK1074" s="23"/>
      <c r="AL1074" s="23">
        <v>0.0</v>
      </c>
      <c r="AM1074" s="16"/>
      <c r="AN1074" s="23"/>
      <c r="AO1074" s="23"/>
      <c r="AP1074" s="23">
        <v>0.0</v>
      </c>
      <c r="AQ1074" s="16"/>
      <c r="AR1074" s="23"/>
      <c r="AS1074" s="23"/>
      <c r="AT1074" s="23">
        <v>0.0</v>
      </c>
      <c r="AX1074" s="23">
        <v>0.0</v>
      </c>
      <c r="BF1074" s="23">
        <v>0.0</v>
      </c>
      <c r="BJ1074" s="23">
        <v>0.0</v>
      </c>
      <c r="BN1074" s="23">
        <v>0.0</v>
      </c>
      <c r="BO1074" s="23">
        <v>36.22</v>
      </c>
      <c r="BP1074" s="16" t="s">
        <v>6572</v>
      </c>
      <c r="BQ1074" s="16" t="b">
        <v>1</v>
      </c>
      <c r="BR1074" s="23">
        <v>36.22</v>
      </c>
      <c r="BS1074" s="16">
        <v>1363779.0</v>
      </c>
      <c r="BT1074" s="16" t="b">
        <v>1</v>
      </c>
      <c r="BU1074" s="16" t="s">
        <v>546</v>
      </c>
      <c r="BV1074" s="16"/>
      <c r="BW1074" s="16"/>
      <c r="BX1074" s="16"/>
      <c r="BY1074" s="16"/>
    </row>
    <row r="1075">
      <c r="A1075" s="16" t="s">
        <v>6577</v>
      </c>
      <c r="B1075" s="16" t="s">
        <v>35</v>
      </c>
      <c r="C1075" s="22">
        <v>45726.0</v>
      </c>
      <c r="D1075" s="16" t="s">
        <v>543</v>
      </c>
      <c r="E1075" s="16" t="s">
        <v>6580</v>
      </c>
      <c r="F1075" s="16" t="s">
        <v>171</v>
      </c>
      <c r="G1075" s="16">
        <v>1.2539885E7</v>
      </c>
      <c r="H1075" s="16">
        <v>1.0</v>
      </c>
      <c r="I1075" s="23">
        <v>275.0</v>
      </c>
      <c r="J1075" s="23">
        <v>275.0</v>
      </c>
      <c r="K1075" s="16"/>
      <c r="L1075" s="23"/>
      <c r="M1075" s="23"/>
      <c r="N1075" s="23">
        <v>0.0</v>
      </c>
      <c r="O1075" s="16"/>
      <c r="P1075" s="23"/>
      <c r="Q1075" s="23"/>
      <c r="R1075" s="23">
        <v>0.0</v>
      </c>
      <c r="S1075" s="16"/>
      <c r="T1075" s="23"/>
      <c r="U1075" s="23"/>
      <c r="V1075" s="23">
        <v>0.0</v>
      </c>
      <c r="W1075" s="16"/>
      <c r="X1075" s="23"/>
      <c r="Y1075" s="23"/>
      <c r="Z1075" s="23">
        <v>0.0</v>
      </c>
      <c r="AA1075" s="16"/>
      <c r="AB1075" s="23"/>
      <c r="AC1075" s="23"/>
      <c r="AD1075" s="23">
        <v>0.0</v>
      </c>
      <c r="AE1075" s="16"/>
      <c r="AF1075" s="23"/>
      <c r="AG1075" s="23"/>
      <c r="AH1075" s="23">
        <v>0.0</v>
      </c>
      <c r="AI1075" s="16"/>
      <c r="AJ1075" s="23"/>
      <c r="AK1075" s="23"/>
      <c r="AL1075" s="23">
        <v>0.0</v>
      </c>
      <c r="AM1075" s="16"/>
      <c r="AN1075" s="23"/>
      <c r="AO1075" s="23"/>
      <c r="AP1075" s="23">
        <v>0.0</v>
      </c>
      <c r="AQ1075" s="16"/>
      <c r="AR1075" s="23"/>
      <c r="AS1075" s="23"/>
      <c r="AT1075" s="23">
        <v>0.0</v>
      </c>
      <c r="AX1075" s="23">
        <v>0.0</v>
      </c>
      <c r="BF1075" s="23">
        <v>0.0</v>
      </c>
      <c r="BJ1075" s="23">
        <v>0.0</v>
      </c>
      <c r="BN1075" s="23">
        <v>0.0</v>
      </c>
      <c r="BO1075" s="23">
        <v>275.0</v>
      </c>
      <c r="BP1075" s="16" t="s">
        <v>6582</v>
      </c>
      <c r="BQ1075" s="16" t="b">
        <v>1</v>
      </c>
      <c r="BR1075" s="23">
        <v>275.0</v>
      </c>
      <c r="BS1075" s="16"/>
      <c r="BT1075" s="16" t="b">
        <v>0</v>
      </c>
      <c r="BU1075" s="16" t="s">
        <v>546</v>
      </c>
      <c r="BV1075" s="16"/>
      <c r="BW1075" s="16"/>
      <c r="BX1075" s="16"/>
      <c r="BY1075" s="16"/>
    </row>
    <row r="1076">
      <c r="A1076" s="16" t="s">
        <v>6587</v>
      </c>
      <c r="B1076" s="16" t="s">
        <v>35</v>
      </c>
      <c r="C1076" s="22">
        <v>45727.0</v>
      </c>
      <c r="D1076" s="16" t="s">
        <v>2584</v>
      </c>
      <c r="E1076" s="16" t="s">
        <v>6590</v>
      </c>
      <c r="F1076" s="16" t="s">
        <v>6594</v>
      </c>
      <c r="G1076" s="16" t="s">
        <v>1854</v>
      </c>
      <c r="H1076" s="16">
        <v>1.0</v>
      </c>
      <c r="I1076" s="23">
        <v>550.0</v>
      </c>
      <c r="J1076" s="23">
        <v>550.0</v>
      </c>
      <c r="K1076" s="16"/>
      <c r="L1076" s="23"/>
      <c r="M1076" s="23"/>
      <c r="N1076" s="23">
        <v>0.0</v>
      </c>
      <c r="O1076" s="16"/>
      <c r="P1076" s="23"/>
      <c r="Q1076" s="23"/>
      <c r="R1076" s="23">
        <v>0.0</v>
      </c>
      <c r="S1076" s="16"/>
      <c r="T1076" s="23"/>
      <c r="U1076" s="23"/>
      <c r="V1076" s="23">
        <v>0.0</v>
      </c>
      <c r="W1076" s="16"/>
      <c r="X1076" s="23"/>
      <c r="Y1076" s="23"/>
      <c r="Z1076" s="23">
        <v>0.0</v>
      </c>
      <c r="AA1076" s="16"/>
      <c r="AB1076" s="23"/>
      <c r="AC1076" s="23"/>
      <c r="AD1076" s="23">
        <v>0.0</v>
      </c>
      <c r="AE1076" s="16"/>
      <c r="AF1076" s="23"/>
      <c r="AG1076" s="23"/>
      <c r="AH1076" s="23">
        <v>0.0</v>
      </c>
      <c r="AI1076" s="16"/>
      <c r="AJ1076" s="23"/>
      <c r="AK1076" s="23"/>
      <c r="AL1076" s="23">
        <v>0.0</v>
      </c>
      <c r="AM1076" s="16"/>
      <c r="AN1076" s="23"/>
      <c r="AO1076" s="23"/>
      <c r="AP1076" s="23">
        <v>0.0</v>
      </c>
      <c r="AQ1076" s="16"/>
      <c r="AR1076" s="23"/>
      <c r="AS1076" s="23"/>
      <c r="AT1076" s="23">
        <v>0.0</v>
      </c>
      <c r="AX1076" s="23">
        <v>0.0</v>
      </c>
      <c r="BF1076" s="23">
        <v>0.0</v>
      </c>
      <c r="BJ1076" s="23">
        <v>0.0</v>
      </c>
      <c r="BN1076" s="23">
        <v>0.0</v>
      </c>
      <c r="BO1076" s="23">
        <v>550.0</v>
      </c>
      <c r="BP1076" s="16" t="s">
        <v>6592</v>
      </c>
      <c r="BQ1076" s="16" t="b">
        <v>1</v>
      </c>
      <c r="BR1076" s="23">
        <v>550.0</v>
      </c>
      <c r="BS1076" s="16"/>
      <c r="BT1076" s="16" t="b">
        <v>0</v>
      </c>
      <c r="BU1076" s="16" t="s">
        <v>546</v>
      </c>
      <c r="BV1076" s="16"/>
      <c r="BW1076" s="16"/>
      <c r="BX1076" s="16"/>
      <c r="BY1076" s="16"/>
    </row>
    <row r="1077">
      <c r="A1077" s="16" t="s">
        <v>6598</v>
      </c>
      <c r="B1077" s="16" t="s">
        <v>35</v>
      </c>
      <c r="C1077" s="22">
        <v>45727.0</v>
      </c>
      <c r="D1077" s="16" t="s">
        <v>233</v>
      </c>
      <c r="E1077" s="16" t="s">
        <v>6600</v>
      </c>
      <c r="F1077" s="16" t="s">
        <v>3627</v>
      </c>
      <c r="G1077" s="16" t="s">
        <v>247</v>
      </c>
      <c r="H1077" s="16">
        <v>19.0</v>
      </c>
      <c r="I1077" s="23">
        <v>0.89</v>
      </c>
      <c r="J1077" s="23">
        <v>16.91</v>
      </c>
      <c r="K1077" s="16" t="s">
        <v>5563</v>
      </c>
      <c r="L1077" s="23">
        <v>3.0</v>
      </c>
      <c r="M1077" s="23">
        <v>19.98</v>
      </c>
      <c r="N1077" s="23">
        <v>59.94</v>
      </c>
      <c r="O1077" s="16" t="s">
        <v>1197</v>
      </c>
      <c r="P1077" s="23">
        <v>2.0</v>
      </c>
      <c r="Q1077" s="23">
        <v>5.79</v>
      </c>
      <c r="R1077" s="23">
        <v>11.58</v>
      </c>
      <c r="S1077" s="16" t="s">
        <v>305</v>
      </c>
      <c r="T1077" s="23">
        <v>1.0</v>
      </c>
      <c r="U1077" s="23">
        <v>101.78</v>
      </c>
      <c r="V1077" s="23">
        <v>101.78</v>
      </c>
      <c r="W1077" s="16"/>
      <c r="X1077" s="23"/>
      <c r="Y1077" s="23"/>
      <c r="Z1077" s="23">
        <v>0.0</v>
      </c>
      <c r="AA1077" s="16"/>
      <c r="AB1077" s="23"/>
      <c r="AC1077" s="23"/>
      <c r="AD1077" s="23">
        <v>0.0</v>
      </c>
      <c r="AE1077" s="16"/>
      <c r="AF1077" s="23"/>
      <c r="AG1077" s="23"/>
      <c r="AH1077" s="23">
        <v>0.0</v>
      </c>
      <c r="AI1077" s="16"/>
      <c r="AJ1077" s="23"/>
      <c r="AK1077" s="23"/>
      <c r="AL1077" s="23">
        <v>0.0</v>
      </c>
      <c r="AM1077" s="16"/>
      <c r="AN1077" s="23"/>
      <c r="AO1077" s="23"/>
      <c r="AP1077" s="23">
        <v>0.0</v>
      </c>
      <c r="AQ1077" s="16"/>
      <c r="AR1077" s="23"/>
      <c r="AS1077" s="23"/>
      <c r="AT1077" s="23">
        <v>0.0</v>
      </c>
      <c r="AX1077" s="23">
        <v>0.0</v>
      </c>
      <c r="BF1077" s="23">
        <v>0.0</v>
      </c>
      <c r="BJ1077" s="23">
        <v>0.0</v>
      </c>
      <c r="BN1077" s="23">
        <v>0.0</v>
      </c>
      <c r="BO1077" s="23">
        <v>190.21</v>
      </c>
      <c r="BP1077" s="16" t="s">
        <v>6601</v>
      </c>
      <c r="BQ1077" s="16" t="b">
        <v>1</v>
      </c>
      <c r="BR1077" s="23">
        <v>190.21</v>
      </c>
      <c r="BS1077" s="16" t="s">
        <v>4049</v>
      </c>
      <c r="BT1077" s="16" t="b">
        <v>1</v>
      </c>
      <c r="BU1077" s="16" t="s">
        <v>546</v>
      </c>
      <c r="BV1077" s="16"/>
      <c r="BW1077" s="16"/>
      <c r="BX1077" s="16"/>
      <c r="BY1077" s="16"/>
    </row>
    <row r="1078">
      <c r="A1078" s="16" t="s">
        <v>6606</v>
      </c>
      <c r="B1078" s="16" t="s">
        <v>35</v>
      </c>
      <c r="C1078" s="22">
        <v>45727.0</v>
      </c>
      <c r="D1078" s="16" t="s">
        <v>420</v>
      </c>
      <c r="E1078" s="16" t="s">
        <v>6609</v>
      </c>
      <c r="F1078" s="16" t="s">
        <v>6612</v>
      </c>
      <c r="G1078" s="16" t="s">
        <v>794</v>
      </c>
      <c r="H1078" s="16">
        <v>2.0</v>
      </c>
      <c r="I1078" s="23">
        <v>213.2</v>
      </c>
      <c r="J1078" s="23">
        <v>426.4</v>
      </c>
      <c r="K1078" s="16" t="s">
        <v>794</v>
      </c>
      <c r="L1078" s="23">
        <v>1.0</v>
      </c>
      <c r="M1078" s="23">
        <v>79.95</v>
      </c>
      <c r="N1078" s="23">
        <v>79.95</v>
      </c>
      <c r="O1078" s="16" t="s">
        <v>249</v>
      </c>
      <c r="P1078" s="23">
        <v>1.0</v>
      </c>
      <c r="Q1078" s="23">
        <v>193.92</v>
      </c>
      <c r="R1078" s="23">
        <v>193.92</v>
      </c>
      <c r="S1078" s="16" t="s">
        <v>1346</v>
      </c>
      <c r="T1078" s="23">
        <v>1.0</v>
      </c>
      <c r="U1078" s="23">
        <v>97.3</v>
      </c>
      <c r="V1078" s="23">
        <v>97.3</v>
      </c>
      <c r="W1078" s="16" t="s">
        <v>1350</v>
      </c>
      <c r="X1078" s="23">
        <v>1.0</v>
      </c>
      <c r="Y1078" s="23">
        <v>165.6</v>
      </c>
      <c r="Z1078" s="23">
        <v>165.6</v>
      </c>
      <c r="AA1078" s="16" t="s">
        <v>1350</v>
      </c>
      <c r="AB1078" s="23">
        <v>1.0</v>
      </c>
      <c r="AC1078" s="23">
        <v>196.4</v>
      </c>
      <c r="AD1078" s="23">
        <v>196.4</v>
      </c>
      <c r="AE1078" s="16"/>
      <c r="AF1078" s="23"/>
      <c r="AG1078" s="23"/>
      <c r="AH1078" s="23">
        <v>0.0</v>
      </c>
      <c r="AI1078" s="16"/>
      <c r="AJ1078" s="23"/>
      <c r="AK1078" s="23"/>
      <c r="AL1078" s="23">
        <v>0.0</v>
      </c>
      <c r="AM1078" s="16"/>
      <c r="AN1078" s="23"/>
      <c r="AO1078" s="23"/>
      <c r="AP1078" s="23">
        <v>0.0</v>
      </c>
      <c r="AQ1078" s="16"/>
      <c r="AR1078" s="23"/>
      <c r="AS1078" s="23"/>
      <c r="AT1078" s="23">
        <v>0.0</v>
      </c>
      <c r="AX1078" s="23">
        <v>0.0</v>
      </c>
      <c r="BF1078" s="23">
        <v>0.0</v>
      </c>
      <c r="BJ1078" s="23">
        <v>0.0</v>
      </c>
      <c r="BN1078" s="23">
        <v>0.0</v>
      </c>
      <c r="BO1078" s="23">
        <v>1159.57</v>
      </c>
      <c r="BP1078" s="16" t="s">
        <v>6611</v>
      </c>
      <c r="BQ1078" s="16" t="b">
        <v>1</v>
      </c>
      <c r="BR1078" s="23">
        <v>1164.19</v>
      </c>
      <c r="BS1078" s="16">
        <v>1370497.0</v>
      </c>
      <c r="BT1078" s="16" t="b">
        <v>1</v>
      </c>
      <c r="BU1078" s="16" t="s">
        <v>546</v>
      </c>
      <c r="BV1078" s="16"/>
      <c r="BW1078" s="16"/>
      <c r="BX1078" s="16"/>
      <c r="BY1078" s="16"/>
    </row>
    <row r="1079">
      <c r="A1079" s="16" t="s">
        <v>6617</v>
      </c>
      <c r="B1079" s="16" t="s">
        <v>35</v>
      </c>
      <c r="C1079" s="22">
        <v>45715.0</v>
      </c>
      <c r="D1079" s="16"/>
      <c r="E1079" s="16"/>
      <c r="F1079" s="16" t="s">
        <v>6621</v>
      </c>
      <c r="G1079" s="16" t="s">
        <v>1239</v>
      </c>
      <c r="H1079" s="16">
        <v>1.0</v>
      </c>
      <c r="I1079" s="23">
        <v>457.12</v>
      </c>
      <c r="J1079" s="23">
        <v>457.12</v>
      </c>
      <c r="K1079" s="16"/>
      <c r="L1079" s="23"/>
      <c r="M1079" s="23"/>
      <c r="N1079" s="23"/>
      <c r="O1079" s="16"/>
      <c r="P1079" s="23"/>
      <c r="Q1079" s="23"/>
      <c r="R1079" s="23"/>
      <c r="S1079" s="16"/>
      <c r="T1079" s="23"/>
      <c r="U1079" s="23"/>
      <c r="V1079" s="23"/>
      <c r="W1079" s="16"/>
      <c r="X1079" s="23"/>
      <c r="Y1079" s="23"/>
      <c r="Z1079" s="23"/>
      <c r="AA1079" s="16"/>
      <c r="AB1079" s="23"/>
      <c r="AC1079" s="23"/>
      <c r="AD1079" s="23"/>
      <c r="AE1079" s="16"/>
      <c r="AF1079" s="23"/>
      <c r="AG1079" s="23"/>
      <c r="AH1079" s="23"/>
      <c r="AI1079" s="16"/>
      <c r="AJ1079" s="23"/>
      <c r="AK1079" s="23"/>
      <c r="AL1079" s="23"/>
      <c r="AM1079" s="16"/>
      <c r="AN1079" s="23"/>
      <c r="AO1079" s="23"/>
      <c r="AP1079" s="23"/>
      <c r="AQ1079" s="16"/>
      <c r="AR1079" s="23"/>
      <c r="AS1079" s="23"/>
      <c r="AT1079" s="23"/>
      <c r="AX1079" s="23"/>
      <c r="BF1079" s="23"/>
      <c r="BJ1079" s="23"/>
      <c r="BN1079" s="23"/>
      <c r="BO1079" s="23">
        <v>457.12</v>
      </c>
      <c r="BP1079" s="16"/>
      <c r="BQ1079" s="16"/>
      <c r="BR1079" s="23">
        <v>457.12</v>
      </c>
      <c r="BS1079" s="16"/>
      <c r="BT1079" s="16"/>
      <c r="BU1079" s="16" t="s">
        <v>539</v>
      </c>
      <c r="BV1079" s="16" t="s">
        <v>6062</v>
      </c>
      <c r="BW1079" s="16"/>
      <c r="BX1079" s="16"/>
      <c r="BY1079" s="16"/>
    </row>
    <row r="1080">
      <c r="A1080" s="16" t="s">
        <v>6625</v>
      </c>
      <c r="B1080" s="16" t="s">
        <v>35</v>
      </c>
      <c r="C1080" s="22">
        <v>45715.0</v>
      </c>
      <c r="D1080" s="16"/>
      <c r="E1080" s="16"/>
      <c r="F1080" s="16" t="s">
        <v>6621</v>
      </c>
      <c r="G1080" s="16" t="s">
        <v>1239</v>
      </c>
      <c r="H1080" s="16">
        <v>1.0</v>
      </c>
      <c r="I1080" s="23">
        <v>1643.81</v>
      </c>
      <c r="J1080" s="23">
        <v>1643.81</v>
      </c>
      <c r="K1080" s="16"/>
      <c r="L1080" s="23"/>
      <c r="M1080" s="23"/>
      <c r="N1080" s="23"/>
      <c r="O1080" s="16"/>
      <c r="P1080" s="23"/>
      <c r="Q1080" s="23"/>
      <c r="R1080" s="23"/>
      <c r="S1080" s="16"/>
      <c r="T1080" s="23"/>
      <c r="U1080" s="23"/>
      <c r="V1080" s="23"/>
      <c r="W1080" s="16"/>
      <c r="X1080" s="23"/>
      <c r="Y1080" s="23"/>
      <c r="Z1080" s="23"/>
      <c r="AA1080" s="16"/>
      <c r="AB1080" s="23"/>
      <c r="AC1080" s="23"/>
      <c r="AD1080" s="23"/>
      <c r="AE1080" s="16"/>
      <c r="AF1080" s="23"/>
      <c r="AG1080" s="23"/>
      <c r="AH1080" s="23"/>
      <c r="AI1080" s="16"/>
      <c r="AJ1080" s="23"/>
      <c r="AK1080" s="23"/>
      <c r="AL1080" s="23"/>
      <c r="AM1080" s="16"/>
      <c r="AN1080" s="23"/>
      <c r="AO1080" s="23"/>
      <c r="AP1080" s="23"/>
      <c r="AQ1080" s="16"/>
      <c r="AR1080" s="23"/>
      <c r="AS1080" s="23"/>
      <c r="AT1080" s="23"/>
      <c r="AX1080" s="23"/>
      <c r="BF1080" s="23"/>
      <c r="BJ1080" s="23"/>
      <c r="BN1080" s="23"/>
      <c r="BO1080" s="23">
        <v>1643.81</v>
      </c>
      <c r="BP1080" s="16"/>
      <c r="BQ1080" s="16"/>
      <c r="BR1080" s="23">
        <v>1643.81</v>
      </c>
      <c r="BS1080" s="16"/>
      <c r="BT1080" s="16"/>
      <c r="BU1080" s="16" t="s">
        <v>539</v>
      </c>
      <c r="BV1080" s="16" t="s">
        <v>2052</v>
      </c>
      <c r="BW1080" s="16"/>
      <c r="BX1080" s="16"/>
      <c r="BY1080" s="16"/>
    </row>
    <row r="1081">
      <c r="A1081" s="16" t="s">
        <v>6632</v>
      </c>
      <c r="B1081" s="16" t="s">
        <v>35</v>
      </c>
      <c r="C1081" s="22">
        <v>45715.0</v>
      </c>
      <c r="D1081" s="16"/>
      <c r="E1081" s="16"/>
      <c r="F1081" s="16" t="s">
        <v>6621</v>
      </c>
      <c r="G1081" s="16" t="s">
        <v>1239</v>
      </c>
      <c r="H1081" s="16">
        <v>1.0</v>
      </c>
      <c r="I1081" s="23">
        <v>2042.34</v>
      </c>
      <c r="J1081" s="23">
        <v>2042.34</v>
      </c>
      <c r="K1081" s="16"/>
      <c r="L1081" s="23"/>
      <c r="M1081" s="23"/>
      <c r="N1081" s="23"/>
      <c r="O1081" s="16"/>
      <c r="P1081" s="23"/>
      <c r="Q1081" s="23"/>
      <c r="R1081" s="23"/>
      <c r="S1081" s="16"/>
      <c r="T1081" s="23"/>
      <c r="U1081" s="23"/>
      <c r="V1081" s="23"/>
      <c r="W1081" s="16"/>
      <c r="X1081" s="23"/>
      <c r="Y1081" s="23"/>
      <c r="Z1081" s="23"/>
      <c r="AA1081" s="16"/>
      <c r="AB1081" s="23"/>
      <c r="AC1081" s="23"/>
      <c r="AD1081" s="23"/>
      <c r="AE1081" s="16"/>
      <c r="AF1081" s="23"/>
      <c r="AG1081" s="23"/>
      <c r="AH1081" s="23"/>
      <c r="AI1081" s="16"/>
      <c r="AJ1081" s="23"/>
      <c r="AK1081" s="23"/>
      <c r="AL1081" s="23"/>
      <c r="AM1081" s="16"/>
      <c r="AN1081" s="23"/>
      <c r="AO1081" s="23"/>
      <c r="AP1081" s="23"/>
      <c r="AQ1081" s="16"/>
      <c r="AR1081" s="23"/>
      <c r="AS1081" s="23"/>
      <c r="AT1081" s="23"/>
      <c r="AX1081" s="23"/>
      <c r="BF1081" s="23"/>
      <c r="BJ1081" s="23"/>
      <c r="BN1081" s="23"/>
      <c r="BO1081" s="23">
        <v>2042.34</v>
      </c>
      <c r="BP1081" s="16"/>
      <c r="BQ1081" s="16"/>
      <c r="BR1081" s="23">
        <v>2042.34</v>
      </c>
      <c r="BS1081" s="16"/>
      <c r="BT1081" s="16"/>
      <c r="BU1081" s="16" t="s">
        <v>539</v>
      </c>
      <c r="BV1081" s="16" t="s">
        <v>624</v>
      </c>
      <c r="BW1081" s="16"/>
      <c r="BX1081" s="16"/>
      <c r="BY1081" s="16"/>
    </row>
    <row r="1082">
      <c r="A1082" s="16" t="s">
        <v>6638</v>
      </c>
      <c r="B1082" s="16" t="s">
        <v>35</v>
      </c>
      <c r="C1082" s="22">
        <v>45715.0</v>
      </c>
      <c r="D1082" s="16"/>
      <c r="E1082" s="16"/>
      <c r="F1082" s="16" t="s">
        <v>6621</v>
      </c>
      <c r="G1082" s="16" t="s">
        <v>1239</v>
      </c>
      <c r="H1082" s="16">
        <v>1.0</v>
      </c>
      <c r="I1082" s="23">
        <v>2096.94</v>
      </c>
      <c r="J1082" s="23">
        <v>2096.94</v>
      </c>
      <c r="K1082" s="16"/>
      <c r="L1082" s="23"/>
      <c r="M1082" s="23"/>
      <c r="N1082" s="23"/>
      <c r="O1082" s="16"/>
      <c r="P1082" s="23"/>
      <c r="Q1082" s="23"/>
      <c r="R1082" s="23"/>
      <c r="S1082" s="16"/>
      <c r="T1082" s="23"/>
      <c r="U1082" s="23"/>
      <c r="V1082" s="23"/>
      <c r="W1082" s="16"/>
      <c r="X1082" s="23"/>
      <c r="Y1082" s="23"/>
      <c r="Z1082" s="23"/>
      <c r="AA1082" s="16"/>
      <c r="AB1082" s="23"/>
      <c r="AC1082" s="23"/>
      <c r="AD1082" s="23"/>
      <c r="AE1082" s="16"/>
      <c r="AF1082" s="23"/>
      <c r="AG1082" s="23"/>
      <c r="AH1082" s="23"/>
      <c r="AI1082" s="16"/>
      <c r="AJ1082" s="23"/>
      <c r="AK1082" s="23"/>
      <c r="AL1082" s="23"/>
      <c r="AM1082" s="16"/>
      <c r="AN1082" s="23"/>
      <c r="AO1082" s="23"/>
      <c r="AP1082" s="23"/>
      <c r="AQ1082" s="16"/>
      <c r="AR1082" s="23"/>
      <c r="AS1082" s="23"/>
      <c r="AT1082" s="23"/>
      <c r="AX1082" s="23"/>
      <c r="BF1082" s="23"/>
      <c r="BJ1082" s="23"/>
      <c r="BN1082" s="23"/>
      <c r="BO1082" s="23">
        <v>2096.94</v>
      </c>
      <c r="BP1082" s="16"/>
      <c r="BQ1082" s="16"/>
      <c r="BR1082" s="23">
        <v>2096.94</v>
      </c>
      <c r="BS1082" s="16"/>
      <c r="BT1082" s="16"/>
      <c r="BU1082" s="16" t="s">
        <v>539</v>
      </c>
      <c r="BV1082" s="16" t="s">
        <v>227</v>
      </c>
      <c r="BW1082" s="16"/>
      <c r="BX1082" s="16"/>
      <c r="BY1082" s="16"/>
    </row>
    <row r="1083">
      <c r="A1083" s="16" t="s">
        <v>6640</v>
      </c>
      <c r="B1083" s="16" t="s">
        <v>35</v>
      </c>
      <c r="C1083" s="22">
        <v>45716.0</v>
      </c>
      <c r="D1083" s="16"/>
      <c r="E1083" s="16"/>
      <c r="F1083" s="16" t="s">
        <v>6658</v>
      </c>
      <c r="G1083" s="16" t="s">
        <v>1054</v>
      </c>
      <c r="H1083" s="16">
        <v>1.0</v>
      </c>
      <c r="I1083" s="23">
        <v>1345.58</v>
      </c>
      <c r="J1083" s="23">
        <v>1345.58</v>
      </c>
      <c r="K1083" s="16"/>
      <c r="L1083" s="23"/>
      <c r="M1083" s="23"/>
      <c r="N1083" s="23"/>
      <c r="O1083" s="16"/>
      <c r="P1083" s="23"/>
      <c r="Q1083" s="23"/>
      <c r="R1083" s="23"/>
      <c r="S1083" s="16"/>
      <c r="T1083" s="23"/>
      <c r="U1083" s="23"/>
      <c r="V1083" s="23"/>
      <c r="W1083" s="16"/>
      <c r="X1083" s="23"/>
      <c r="Y1083" s="23"/>
      <c r="Z1083" s="23"/>
      <c r="AA1083" s="16"/>
      <c r="AB1083" s="23"/>
      <c r="AC1083" s="23"/>
      <c r="AD1083" s="23"/>
      <c r="AE1083" s="16"/>
      <c r="AF1083" s="23"/>
      <c r="AG1083" s="23"/>
      <c r="AH1083" s="23"/>
      <c r="AI1083" s="16"/>
      <c r="AJ1083" s="23"/>
      <c r="AK1083" s="23"/>
      <c r="AL1083" s="23"/>
      <c r="AM1083" s="16"/>
      <c r="AN1083" s="23"/>
      <c r="AO1083" s="23"/>
      <c r="AP1083" s="23"/>
      <c r="AQ1083" s="16"/>
      <c r="AR1083" s="23"/>
      <c r="AS1083" s="23"/>
      <c r="AT1083" s="23"/>
      <c r="AX1083" s="23"/>
      <c r="BF1083" s="23"/>
      <c r="BJ1083" s="23"/>
      <c r="BN1083" s="23"/>
      <c r="BO1083" s="23">
        <v>1345.58</v>
      </c>
      <c r="BP1083" s="16"/>
      <c r="BQ1083" s="16"/>
      <c r="BR1083" s="23">
        <v>1345.58</v>
      </c>
      <c r="BS1083" s="16"/>
      <c r="BT1083" s="16"/>
      <c r="BU1083" s="16" t="s">
        <v>539</v>
      </c>
      <c r="BV1083" s="16" t="s">
        <v>6062</v>
      </c>
      <c r="BW1083" s="16"/>
      <c r="BX1083" s="16"/>
      <c r="BY1083" s="16"/>
    </row>
    <row r="1084">
      <c r="A1084" s="16" t="s">
        <v>6642</v>
      </c>
      <c r="B1084" s="16" t="s">
        <v>35</v>
      </c>
      <c r="C1084" s="22">
        <v>45722.0</v>
      </c>
      <c r="D1084" s="16"/>
      <c r="E1084" s="16"/>
      <c r="F1084" s="16" t="s">
        <v>6621</v>
      </c>
      <c r="G1084" s="16" t="s">
        <v>1239</v>
      </c>
      <c r="H1084" s="16">
        <v>1.0</v>
      </c>
      <c r="I1084" s="23">
        <v>521.31</v>
      </c>
      <c r="J1084" s="23">
        <v>521.31</v>
      </c>
      <c r="K1084" s="16"/>
      <c r="L1084" s="23"/>
      <c r="M1084" s="23"/>
      <c r="N1084" s="23"/>
      <c r="O1084" s="16"/>
      <c r="P1084" s="23"/>
      <c r="Q1084" s="23"/>
      <c r="R1084" s="23"/>
      <c r="S1084" s="16"/>
      <c r="T1084" s="23"/>
      <c r="U1084" s="23"/>
      <c r="V1084" s="23"/>
      <c r="W1084" s="16"/>
      <c r="X1084" s="23"/>
      <c r="Y1084" s="23"/>
      <c r="Z1084" s="23"/>
      <c r="AA1084" s="16"/>
      <c r="AB1084" s="23"/>
      <c r="AC1084" s="23"/>
      <c r="AD1084" s="23"/>
      <c r="AE1084" s="16"/>
      <c r="AF1084" s="23"/>
      <c r="AG1084" s="23"/>
      <c r="AH1084" s="23"/>
      <c r="AI1084" s="16"/>
      <c r="AJ1084" s="23"/>
      <c r="AK1084" s="23"/>
      <c r="AL1084" s="23"/>
      <c r="AM1084" s="16"/>
      <c r="AN1084" s="23"/>
      <c r="AO1084" s="23"/>
      <c r="AP1084" s="23"/>
      <c r="AQ1084" s="16"/>
      <c r="AR1084" s="23"/>
      <c r="AS1084" s="23"/>
      <c r="AT1084" s="23"/>
      <c r="AX1084" s="23"/>
      <c r="BF1084" s="23"/>
      <c r="BJ1084" s="23"/>
      <c r="BN1084" s="23"/>
      <c r="BO1084" s="23">
        <v>521.31</v>
      </c>
      <c r="BP1084" s="16"/>
      <c r="BQ1084" s="16"/>
      <c r="BR1084" s="23">
        <v>521.31</v>
      </c>
      <c r="BS1084" s="16"/>
      <c r="BT1084" s="16"/>
      <c r="BU1084" s="16" t="s">
        <v>539</v>
      </c>
      <c r="BV1084" s="16" t="s">
        <v>3795</v>
      </c>
      <c r="BW1084" s="16"/>
      <c r="BX1084" s="16"/>
      <c r="BY1084" s="16"/>
    </row>
    <row r="1085">
      <c r="A1085" s="16" t="s">
        <v>6644</v>
      </c>
      <c r="B1085" s="16" t="s">
        <v>35</v>
      </c>
      <c r="C1085" s="22">
        <v>45727.0</v>
      </c>
      <c r="D1085" s="16" t="s">
        <v>2248</v>
      </c>
      <c r="E1085" s="16"/>
      <c r="F1085" s="16" t="s">
        <v>2549</v>
      </c>
      <c r="G1085" s="16" t="s">
        <v>3218</v>
      </c>
      <c r="H1085" s="16">
        <v>1.0</v>
      </c>
      <c r="I1085" s="23">
        <v>350.79</v>
      </c>
      <c r="J1085" s="23">
        <v>350.79</v>
      </c>
      <c r="K1085" s="16"/>
      <c r="L1085" s="23"/>
      <c r="M1085" s="23"/>
      <c r="N1085" s="23"/>
      <c r="O1085" s="16"/>
      <c r="P1085" s="23"/>
      <c r="Q1085" s="23"/>
      <c r="R1085" s="23"/>
      <c r="S1085" s="16"/>
      <c r="T1085" s="23"/>
      <c r="U1085" s="23"/>
      <c r="V1085" s="23"/>
      <c r="W1085" s="16"/>
      <c r="X1085" s="23"/>
      <c r="Y1085" s="23"/>
      <c r="Z1085" s="23"/>
      <c r="AA1085" s="16"/>
      <c r="AB1085" s="23"/>
      <c r="AC1085" s="23"/>
      <c r="AD1085" s="23"/>
      <c r="AE1085" s="16"/>
      <c r="AF1085" s="23"/>
      <c r="AG1085" s="23"/>
      <c r="AH1085" s="23"/>
      <c r="AI1085" s="16"/>
      <c r="AJ1085" s="23"/>
      <c r="AK1085" s="23"/>
      <c r="AL1085" s="23"/>
      <c r="AM1085" s="16"/>
      <c r="AN1085" s="23"/>
      <c r="AO1085" s="23"/>
      <c r="AP1085" s="23"/>
      <c r="AQ1085" s="16"/>
      <c r="AR1085" s="23"/>
      <c r="AS1085" s="23"/>
      <c r="AT1085" s="23"/>
      <c r="AX1085" s="23"/>
      <c r="BF1085" s="23"/>
      <c r="BJ1085" s="23"/>
      <c r="BN1085" s="23"/>
      <c r="BO1085" s="23">
        <v>350.79</v>
      </c>
      <c r="BP1085" s="16"/>
      <c r="BQ1085" s="16"/>
      <c r="BR1085" s="23">
        <v>350.79</v>
      </c>
      <c r="BS1085" s="16"/>
      <c r="BT1085" s="16"/>
      <c r="BU1085" s="16" t="s">
        <v>539</v>
      </c>
      <c r="BV1085" s="16"/>
      <c r="BW1085" s="16"/>
      <c r="BX1085" s="16"/>
      <c r="BY1085" s="16"/>
    </row>
    <row r="1086">
      <c r="A1086" s="16" t="s">
        <v>6646</v>
      </c>
      <c r="B1086" s="16" t="s">
        <v>35</v>
      </c>
      <c r="C1086" s="22">
        <v>45722.0</v>
      </c>
      <c r="D1086" s="16">
        <v>6.8893939E7</v>
      </c>
      <c r="E1086" s="16" t="s">
        <v>6682</v>
      </c>
      <c r="F1086" s="16" t="s">
        <v>6685</v>
      </c>
      <c r="G1086" s="16" t="s">
        <v>1792</v>
      </c>
      <c r="H1086" s="16">
        <v>1.0</v>
      </c>
      <c r="I1086" s="23">
        <v>340.26</v>
      </c>
      <c r="J1086" s="23">
        <v>340.26</v>
      </c>
      <c r="K1086" s="16"/>
      <c r="L1086" s="23"/>
      <c r="M1086" s="23"/>
      <c r="N1086" s="23">
        <v>0.0</v>
      </c>
      <c r="O1086" s="16"/>
      <c r="P1086" s="23"/>
      <c r="Q1086" s="23"/>
      <c r="R1086" s="23">
        <v>0.0</v>
      </c>
      <c r="S1086" s="16"/>
      <c r="T1086" s="23"/>
      <c r="U1086" s="23"/>
      <c r="V1086" s="23">
        <v>0.0</v>
      </c>
      <c r="W1086" s="16"/>
      <c r="X1086" s="23"/>
      <c r="Y1086" s="23"/>
      <c r="Z1086" s="23">
        <v>0.0</v>
      </c>
      <c r="AA1086" s="16"/>
      <c r="AB1086" s="23"/>
      <c r="AC1086" s="23"/>
      <c r="AD1086" s="23">
        <v>0.0</v>
      </c>
      <c r="AE1086" s="16"/>
      <c r="AF1086" s="23"/>
      <c r="AG1086" s="23"/>
      <c r="AH1086" s="23">
        <v>0.0</v>
      </c>
      <c r="AI1086" s="16"/>
      <c r="AJ1086" s="23"/>
      <c r="AK1086" s="23"/>
      <c r="AL1086" s="23">
        <v>0.0</v>
      </c>
      <c r="AM1086" s="16"/>
      <c r="AN1086" s="23"/>
      <c r="AO1086" s="23"/>
      <c r="AP1086" s="23">
        <v>0.0</v>
      </c>
      <c r="AQ1086" s="16"/>
      <c r="AR1086" s="23"/>
      <c r="AS1086" s="23"/>
      <c r="AT1086" s="23">
        <v>0.0</v>
      </c>
      <c r="AX1086" s="23">
        <v>0.0</v>
      </c>
      <c r="BF1086" s="23">
        <v>0.0</v>
      </c>
      <c r="BJ1086" s="23">
        <v>0.0</v>
      </c>
      <c r="BN1086" s="23">
        <v>0.0</v>
      </c>
      <c r="BO1086" s="23">
        <v>340.26</v>
      </c>
      <c r="BP1086" s="16" t="s">
        <v>6683</v>
      </c>
      <c r="BQ1086" s="16" t="b">
        <v>1</v>
      </c>
      <c r="BR1086" s="23">
        <v>340.26</v>
      </c>
      <c r="BS1086" s="16"/>
      <c r="BT1086" s="16" t="b">
        <v>0</v>
      </c>
      <c r="BU1086" s="16" t="s">
        <v>546</v>
      </c>
      <c r="BV1086" s="16"/>
      <c r="BW1086" s="16"/>
      <c r="BX1086" s="16"/>
      <c r="BY1086" s="16"/>
    </row>
    <row r="1087">
      <c r="A1087" s="16" t="s">
        <v>6648</v>
      </c>
      <c r="B1087" s="16" t="s">
        <v>35</v>
      </c>
      <c r="C1087" s="22">
        <v>45728.0</v>
      </c>
      <c r="D1087" s="16" t="s">
        <v>353</v>
      </c>
      <c r="E1087" s="16" t="s">
        <v>6695</v>
      </c>
      <c r="F1087" s="16" t="s">
        <v>6699</v>
      </c>
      <c r="G1087" s="16" t="s">
        <v>6649</v>
      </c>
      <c r="H1087" s="16">
        <v>1.0</v>
      </c>
      <c r="I1087" s="23">
        <v>341.82</v>
      </c>
      <c r="J1087" s="23">
        <v>341.82</v>
      </c>
      <c r="K1087" s="16"/>
      <c r="L1087" s="23"/>
      <c r="M1087" s="23"/>
      <c r="N1087" s="23">
        <v>0.0</v>
      </c>
      <c r="O1087" s="16"/>
      <c r="P1087" s="23"/>
      <c r="Q1087" s="23"/>
      <c r="R1087" s="23">
        <v>0.0</v>
      </c>
      <c r="S1087" s="16"/>
      <c r="T1087" s="23"/>
      <c r="U1087" s="23"/>
      <c r="V1087" s="23">
        <v>0.0</v>
      </c>
      <c r="W1087" s="16"/>
      <c r="X1087" s="23"/>
      <c r="Y1087" s="23"/>
      <c r="Z1087" s="23">
        <v>0.0</v>
      </c>
      <c r="AA1087" s="16"/>
      <c r="AB1087" s="23"/>
      <c r="AC1087" s="23"/>
      <c r="AD1087" s="23">
        <v>0.0</v>
      </c>
      <c r="AE1087" s="16"/>
      <c r="AF1087" s="23"/>
      <c r="AG1087" s="23"/>
      <c r="AH1087" s="23">
        <v>0.0</v>
      </c>
      <c r="AI1087" s="16"/>
      <c r="AJ1087" s="23"/>
      <c r="AK1087" s="23"/>
      <c r="AL1087" s="23">
        <v>0.0</v>
      </c>
      <c r="AM1087" s="16"/>
      <c r="AN1087" s="23"/>
      <c r="AO1087" s="23"/>
      <c r="AP1087" s="23">
        <v>0.0</v>
      </c>
      <c r="AQ1087" s="16"/>
      <c r="AR1087" s="23"/>
      <c r="AS1087" s="23"/>
      <c r="AT1087" s="23">
        <v>0.0</v>
      </c>
      <c r="AX1087" s="23">
        <v>0.0</v>
      </c>
      <c r="BF1087" s="23">
        <v>0.0</v>
      </c>
      <c r="BJ1087" s="23">
        <v>0.0</v>
      </c>
      <c r="BN1087" s="23">
        <v>0.0</v>
      </c>
      <c r="BO1087" s="23">
        <v>341.82</v>
      </c>
      <c r="BP1087" s="16" t="s">
        <v>6697</v>
      </c>
      <c r="BQ1087" s="16" t="b">
        <v>1</v>
      </c>
      <c r="BR1087" s="23">
        <v>341.82</v>
      </c>
      <c r="BS1087" s="16" t="s">
        <v>4049</v>
      </c>
      <c r="BT1087" s="16" t="b">
        <v>1</v>
      </c>
      <c r="BU1087" s="16" t="s">
        <v>546</v>
      </c>
      <c r="BV1087" s="16"/>
      <c r="BW1087" s="16"/>
      <c r="BX1087" s="16"/>
      <c r="BY1087" s="16"/>
    </row>
    <row r="1088">
      <c r="A1088" s="16" t="s">
        <v>6651</v>
      </c>
      <c r="B1088" s="16" t="s">
        <v>35</v>
      </c>
      <c r="C1088" s="22">
        <v>45729.0</v>
      </c>
      <c r="D1088" s="16" t="s">
        <v>890</v>
      </c>
      <c r="E1088" s="16"/>
      <c r="F1088" s="16" t="s">
        <v>4010</v>
      </c>
      <c r="G1088" s="16" t="s">
        <v>4831</v>
      </c>
      <c r="H1088" s="16">
        <v>1.0</v>
      </c>
      <c r="I1088" s="23">
        <v>375.0</v>
      </c>
      <c r="J1088" s="23">
        <v>375.0</v>
      </c>
      <c r="K1088" s="16"/>
      <c r="L1088" s="23"/>
      <c r="M1088" s="23"/>
      <c r="N1088" s="23"/>
      <c r="O1088" s="16"/>
      <c r="P1088" s="23"/>
      <c r="Q1088" s="23"/>
      <c r="R1088" s="23"/>
      <c r="S1088" s="16"/>
      <c r="T1088" s="23"/>
      <c r="U1088" s="23"/>
      <c r="V1088" s="23"/>
      <c r="W1088" s="16"/>
      <c r="X1088" s="23"/>
      <c r="Y1088" s="23"/>
      <c r="Z1088" s="23"/>
      <c r="AA1088" s="16"/>
      <c r="AB1088" s="23"/>
      <c r="AC1088" s="23"/>
      <c r="AD1088" s="23"/>
      <c r="AE1088" s="16"/>
      <c r="AF1088" s="23"/>
      <c r="AG1088" s="23"/>
      <c r="AH1088" s="23"/>
      <c r="AI1088" s="16"/>
      <c r="AJ1088" s="23"/>
      <c r="AK1088" s="23"/>
      <c r="AL1088" s="23"/>
      <c r="AM1088" s="16"/>
      <c r="AN1088" s="23"/>
      <c r="AO1088" s="23"/>
      <c r="AP1088" s="23"/>
      <c r="AQ1088" s="16"/>
      <c r="AR1088" s="23"/>
      <c r="AS1088" s="23"/>
      <c r="AT1088" s="23"/>
      <c r="AX1088" s="23"/>
      <c r="BF1088" s="23"/>
      <c r="BJ1088" s="23"/>
      <c r="BN1088" s="23"/>
      <c r="BO1088" s="23">
        <v>375.0</v>
      </c>
      <c r="BP1088" s="16"/>
      <c r="BQ1088" s="16"/>
      <c r="BR1088" s="23">
        <v>375.0</v>
      </c>
      <c r="BS1088" s="16"/>
      <c r="BT1088" s="16"/>
      <c r="BU1088" s="16" t="s">
        <v>539</v>
      </c>
      <c r="BV1088" s="16"/>
      <c r="BW1088" s="16"/>
      <c r="BX1088" s="16"/>
      <c r="BY1088" s="16"/>
    </row>
    <row r="1089">
      <c r="A1089" s="16" t="s">
        <v>6653</v>
      </c>
      <c r="B1089" s="16" t="s">
        <v>35</v>
      </c>
      <c r="C1089" s="22">
        <v>45723.0</v>
      </c>
      <c r="D1089" s="16"/>
      <c r="E1089" s="16"/>
      <c r="F1089" s="16" t="s">
        <v>6721</v>
      </c>
      <c r="G1089" s="16" t="s">
        <v>1270</v>
      </c>
      <c r="H1089" s="16">
        <v>1.0</v>
      </c>
      <c r="I1089" s="23">
        <v>11000.0</v>
      </c>
      <c r="J1089" s="23">
        <v>11000.0</v>
      </c>
      <c r="K1089" s="16"/>
      <c r="L1089" s="23"/>
      <c r="M1089" s="23"/>
      <c r="N1089" s="23"/>
      <c r="O1089" s="16"/>
      <c r="P1089" s="23"/>
      <c r="Q1089" s="23"/>
      <c r="R1089" s="23"/>
      <c r="S1089" s="16"/>
      <c r="T1089" s="23"/>
      <c r="U1089" s="23"/>
      <c r="V1089" s="23"/>
      <c r="W1089" s="16"/>
      <c r="X1089" s="23"/>
      <c r="Y1089" s="23"/>
      <c r="Z1089" s="23"/>
      <c r="AA1089" s="16"/>
      <c r="AB1089" s="23"/>
      <c r="AC1089" s="23"/>
      <c r="AD1089" s="23"/>
      <c r="AE1089" s="16"/>
      <c r="AF1089" s="23"/>
      <c r="AG1089" s="23"/>
      <c r="AH1089" s="23"/>
      <c r="AI1089" s="16"/>
      <c r="AJ1089" s="23"/>
      <c r="AK1089" s="23"/>
      <c r="AL1089" s="23"/>
      <c r="AM1089" s="16"/>
      <c r="AN1089" s="23"/>
      <c r="AO1089" s="23"/>
      <c r="AP1089" s="23"/>
      <c r="AQ1089" s="16"/>
      <c r="AR1089" s="23"/>
      <c r="AS1089" s="23"/>
      <c r="AT1089" s="23"/>
      <c r="AX1089" s="23"/>
      <c r="BF1089" s="23"/>
      <c r="BJ1089" s="23"/>
      <c r="BN1089" s="23"/>
      <c r="BO1089" s="23">
        <v>11000.0</v>
      </c>
      <c r="BP1089" s="16"/>
      <c r="BQ1089" s="16"/>
      <c r="BR1089" s="23">
        <v>11000.0</v>
      </c>
      <c r="BS1089" s="16"/>
      <c r="BT1089" s="16"/>
      <c r="BU1089" s="16" t="s">
        <v>539</v>
      </c>
      <c r="BV1089" s="16" t="s">
        <v>671</v>
      </c>
      <c r="BW1089" s="16"/>
      <c r="BX1089" s="16"/>
      <c r="BY1089" s="16"/>
    </row>
    <row r="1090">
      <c r="A1090" s="16" t="s">
        <v>6655</v>
      </c>
      <c r="B1090" s="16" t="s">
        <v>35</v>
      </c>
      <c r="C1090" s="22">
        <v>45723.0</v>
      </c>
      <c r="D1090" s="16"/>
      <c r="E1090" s="16"/>
      <c r="F1090" s="16" t="s">
        <v>6721</v>
      </c>
      <c r="G1090" s="16" t="s">
        <v>1270</v>
      </c>
      <c r="H1090" s="16">
        <v>1.0</v>
      </c>
      <c r="I1090" s="23">
        <v>11000.0</v>
      </c>
      <c r="J1090" s="23">
        <v>11000.0</v>
      </c>
      <c r="K1090" s="16"/>
      <c r="L1090" s="23"/>
      <c r="M1090" s="23"/>
      <c r="N1090" s="23"/>
      <c r="O1090" s="16"/>
      <c r="P1090" s="23"/>
      <c r="Q1090" s="23"/>
      <c r="R1090" s="23"/>
      <c r="S1090" s="16"/>
      <c r="T1090" s="23"/>
      <c r="U1090" s="23"/>
      <c r="V1090" s="23"/>
      <c r="W1090" s="16"/>
      <c r="X1090" s="23"/>
      <c r="Y1090" s="23"/>
      <c r="Z1090" s="23"/>
      <c r="AA1090" s="16"/>
      <c r="AB1090" s="23"/>
      <c r="AC1090" s="23"/>
      <c r="AD1090" s="23"/>
      <c r="AE1090" s="16"/>
      <c r="AF1090" s="23"/>
      <c r="AG1090" s="23"/>
      <c r="AH1090" s="23"/>
      <c r="AI1090" s="16"/>
      <c r="AJ1090" s="23"/>
      <c r="AK1090" s="23"/>
      <c r="AL1090" s="23"/>
      <c r="AM1090" s="16"/>
      <c r="AN1090" s="23"/>
      <c r="AO1090" s="23"/>
      <c r="AP1090" s="23"/>
      <c r="AQ1090" s="16"/>
      <c r="AR1090" s="23"/>
      <c r="AS1090" s="23"/>
      <c r="AT1090" s="23"/>
      <c r="AX1090" s="23"/>
      <c r="BF1090" s="23"/>
      <c r="BJ1090" s="23"/>
      <c r="BN1090" s="23"/>
      <c r="BO1090" s="23">
        <v>11000.0</v>
      </c>
      <c r="BP1090" s="16"/>
      <c r="BQ1090" s="16"/>
      <c r="BR1090" s="23">
        <v>11000.0</v>
      </c>
      <c r="BS1090" s="16"/>
      <c r="BT1090" s="16"/>
      <c r="BU1090" s="16" t="s">
        <v>539</v>
      </c>
      <c r="BV1090" s="16" t="s">
        <v>682</v>
      </c>
      <c r="BW1090" s="16"/>
      <c r="BX1090" s="16"/>
      <c r="BY1090" s="16"/>
    </row>
    <row r="1091">
      <c r="A1091" s="16" t="s">
        <v>6657</v>
      </c>
      <c r="B1091" s="16" t="s">
        <v>35</v>
      </c>
      <c r="C1091" s="22">
        <v>45723.0</v>
      </c>
      <c r="D1091" s="16"/>
      <c r="E1091" s="16"/>
      <c r="F1091" s="16" t="s">
        <v>6721</v>
      </c>
      <c r="G1091" s="16" t="s">
        <v>1270</v>
      </c>
      <c r="H1091" s="16">
        <v>1.0</v>
      </c>
      <c r="I1091" s="23">
        <v>11000.0</v>
      </c>
      <c r="J1091" s="23">
        <v>11000.0</v>
      </c>
      <c r="K1091" s="16"/>
      <c r="L1091" s="23"/>
      <c r="M1091" s="23"/>
      <c r="N1091" s="23"/>
      <c r="O1091" s="16"/>
      <c r="P1091" s="23"/>
      <c r="Q1091" s="23"/>
      <c r="R1091" s="23"/>
      <c r="S1091" s="16"/>
      <c r="T1091" s="23"/>
      <c r="U1091" s="23"/>
      <c r="V1091" s="23"/>
      <c r="W1091" s="16"/>
      <c r="X1091" s="23"/>
      <c r="Y1091" s="23"/>
      <c r="Z1091" s="23"/>
      <c r="AA1091" s="16"/>
      <c r="AB1091" s="23"/>
      <c r="AC1091" s="23"/>
      <c r="AD1091" s="23"/>
      <c r="AE1091" s="16"/>
      <c r="AF1091" s="23"/>
      <c r="AG1091" s="23"/>
      <c r="AH1091" s="23"/>
      <c r="AI1091" s="16"/>
      <c r="AJ1091" s="23"/>
      <c r="AK1091" s="23"/>
      <c r="AL1091" s="23"/>
      <c r="AM1091" s="16"/>
      <c r="AN1091" s="23"/>
      <c r="AO1091" s="23"/>
      <c r="AP1091" s="23"/>
      <c r="AQ1091" s="16"/>
      <c r="AR1091" s="23"/>
      <c r="AS1091" s="23"/>
      <c r="AT1091" s="23"/>
      <c r="AX1091" s="23"/>
      <c r="BF1091" s="23"/>
      <c r="BJ1091" s="23"/>
      <c r="BN1091" s="23"/>
      <c r="BO1091" s="23">
        <v>11000.0</v>
      </c>
      <c r="BP1091" s="16"/>
      <c r="BQ1091" s="16"/>
      <c r="BR1091" s="23">
        <v>11000.0</v>
      </c>
      <c r="BS1091" s="16"/>
      <c r="BT1091" s="16"/>
      <c r="BU1091" s="16" t="s">
        <v>539</v>
      </c>
      <c r="BV1091" s="16" t="s">
        <v>668</v>
      </c>
      <c r="BW1091" s="16"/>
      <c r="BX1091" s="16"/>
      <c r="BY1091" s="16"/>
    </row>
    <row r="1092">
      <c r="A1092" s="16" t="s">
        <v>6660</v>
      </c>
      <c r="B1092" s="16" t="s">
        <v>35</v>
      </c>
      <c r="C1092" s="22">
        <v>45722.0</v>
      </c>
      <c r="D1092" s="16" t="s">
        <v>941</v>
      </c>
      <c r="E1092" s="16" t="s">
        <v>6752</v>
      </c>
      <c r="F1092" s="16" t="s">
        <v>6755</v>
      </c>
      <c r="G1092" s="16" t="s">
        <v>1552</v>
      </c>
      <c r="H1092" s="16">
        <v>1.0</v>
      </c>
      <c r="I1092" s="23">
        <v>553.0</v>
      </c>
      <c r="J1092" s="23">
        <v>553.0</v>
      </c>
      <c r="K1092" s="16"/>
      <c r="L1092" s="23"/>
      <c r="M1092" s="23"/>
      <c r="N1092" s="23">
        <v>0.0</v>
      </c>
      <c r="O1092" s="16"/>
      <c r="P1092" s="23"/>
      <c r="Q1092" s="23"/>
      <c r="R1092" s="23">
        <v>0.0</v>
      </c>
      <c r="S1092" s="16"/>
      <c r="T1092" s="23"/>
      <c r="U1092" s="23"/>
      <c r="V1092" s="23">
        <v>0.0</v>
      </c>
      <c r="W1092" s="16"/>
      <c r="X1092" s="23"/>
      <c r="Y1092" s="23"/>
      <c r="Z1092" s="23">
        <v>0.0</v>
      </c>
      <c r="AA1092" s="16"/>
      <c r="AB1092" s="23"/>
      <c r="AC1092" s="23"/>
      <c r="AD1092" s="23">
        <v>0.0</v>
      </c>
      <c r="AE1092" s="16"/>
      <c r="AF1092" s="23"/>
      <c r="AG1092" s="23"/>
      <c r="AH1092" s="23">
        <v>0.0</v>
      </c>
      <c r="AI1092" s="16"/>
      <c r="AJ1092" s="23"/>
      <c r="AK1092" s="23"/>
      <c r="AL1092" s="23">
        <v>0.0</v>
      </c>
      <c r="AM1092" s="16"/>
      <c r="AN1092" s="23"/>
      <c r="AO1092" s="23"/>
      <c r="AP1092" s="23">
        <v>0.0</v>
      </c>
      <c r="AQ1092" s="16"/>
      <c r="AR1092" s="23"/>
      <c r="AS1092" s="23"/>
      <c r="AT1092" s="23">
        <v>0.0</v>
      </c>
      <c r="AX1092" s="23">
        <v>0.0</v>
      </c>
      <c r="BF1092" s="23">
        <v>0.0</v>
      </c>
      <c r="BJ1092" s="23">
        <v>0.0</v>
      </c>
      <c r="BN1092" s="23">
        <v>0.0</v>
      </c>
      <c r="BO1092" s="23">
        <v>553.0</v>
      </c>
      <c r="BP1092" s="16" t="s">
        <v>6753</v>
      </c>
      <c r="BQ1092" s="16" t="b">
        <v>1</v>
      </c>
      <c r="BR1092" s="23">
        <v>553.0</v>
      </c>
      <c r="BS1092" s="16" t="s">
        <v>6757</v>
      </c>
      <c r="BT1092" s="16" t="b">
        <v>1</v>
      </c>
      <c r="BU1092" s="16" t="s">
        <v>546</v>
      </c>
      <c r="BV1092" s="16"/>
      <c r="BW1092" s="16"/>
      <c r="BX1092" s="16"/>
      <c r="BY1092" s="16"/>
    </row>
    <row r="1093">
      <c r="A1093" s="16" t="s">
        <v>6662</v>
      </c>
      <c r="B1093" s="16" t="s">
        <v>35</v>
      </c>
      <c r="C1093" s="22">
        <v>45723.0</v>
      </c>
      <c r="D1093" s="16" t="s">
        <v>4343</v>
      </c>
      <c r="E1093" s="16" t="s">
        <v>6762</v>
      </c>
      <c r="F1093" s="16" t="s">
        <v>6764</v>
      </c>
      <c r="G1093" s="16" t="s">
        <v>6663</v>
      </c>
      <c r="H1093" s="16">
        <v>1.0</v>
      </c>
      <c r="I1093" s="23">
        <v>1080.0</v>
      </c>
      <c r="J1093" s="23">
        <v>1080.0</v>
      </c>
      <c r="K1093" s="16"/>
      <c r="L1093" s="23"/>
      <c r="M1093" s="23"/>
      <c r="N1093" s="23">
        <v>0.0</v>
      </c>
      <c r="O1093" s="16"/>
      <c r="P1093" s="23"/>
      <c r="Q1093" s="23"/>
      <c r="R1093" s="23">
        <v>0.0</v>
      </c>
      <c r="S1093" s="16"/>
      <c r="T1093" s="23"/>
      <c r="U1093" s="23"/>
      <c r="V1093" s="23">
        <v>0.0</v>
      </c>
      <c r="W1093" s="16"/>
      <c r="X1093" s="23"/>
      <c r="Y1093" s="23"/>
      <c r="Z1093" s="23">
        <v>0.0</v>
      </c>
      <c r="AA1093" s="16"/>
      <c r="AB1093" s="23"/>
      <c r="AC1093" s="23"/>
      <c r="AD1093" s="23">
        <v>0.0</v>
      </c>
      <c r="AE1093" s="16"/>
      <c r="AF1093" s="23"/>
      <c r="AG1093" s="23"/>
      <c r="AH1093" s="23">
        <v>0.0</v>
      </c>
      <c r="AI1093" s="16"/>
      <c r="AJ1093" s="23"/>
      <c r="AK1093" s="23"/>
      <c r="AL1093" s="23">
        <v>0.0</v>
      </c>
      <c r="AM1093" s="16"/>
      <c r="AN1093" s="23"/>
      <c r="AO1093" s="23"/>
      <c r="AP1093" s="23">
        <v>0.0</v>
      </c>
      <c r="AQ1093" s="16"/>
      <c r="AR1093" s="23"/>
      <c r="AS1093" s="23"/>
      <c r="AT1093" s="23">
        <v>0.0</v>
      </c>
      <c r="AX1093" s="23">
        <v>0.0</v>
      </c>
      <c r="BF1093" s="23">
        <v>0.0</v>
      </c>
      <c r="BJ1093" s="23">
        <v>0.0</v>
      </c>
      <c r="BN1093" s="23">
        <v>0.0</v>
      </c>
      <c r="BO1093" s="23">
        <v>1080.0</v>
      </c>
      <c r="BP1093" s="16" t="s">
        <v>6763</v>
      </c>
      <c r="BQ1093" s="16" t="b">
        <v>1</v>
      </c>
      <c r="BR1093" s="23">
        <v>1080.0</v>
      </c>
      <c r="BS1093" s="16"/>
      <c r="BT1093" s="16" t="b">
        <v>0</v>
      </c>
      <c r="BU1093" s="16" t="s">
        <v>546</v>
      </c>
      <c r="BV1093" s="16"/>
      <c r="BW1093" s="16"/>
      <c r="BX1093" s="16"/>
      <c r="BY1093" s="16"/>
    </row>
    <row r="1094">
      <c r="A1094" s="16" t="s">
        <v>6665</v>
      </c>
      <c r="B1094" s="16" t="s">
        <v>35</v>
      </c>
      <c r="C1094" s="22">
        <v>45729.0</v>
      </c>
      <c r="D1094" s="16" t="s">
        <v>764</v>
      </c>
      <c r="E1094" s="16" t="s">
        <v>6770</v>
      </c>
      <c r="F1094" s="16" t="s">
        <v>195</v>
      </c>
      <c r="G1094" s="16" t="s">
        <v>1073</v>
      </c>
      <c r="H1094" s="16">
        <v>1.0</v>
      </c>
      <c r="I1094" s="23">
        <v>20.1</v>
      </c>
      <c r="J1094" s="23">
        <v>20.1</v>
      </c>
      <c r="K1094" s="16" t="s">
        <v>1074</v>
      </c>
      <c r="L1094" s="23">
        <v>4.0</v>
      </c>
      <c r="M1094" s="23">
        <v>38.0</v>
      </c>
      <c r="N1094" s="23">
        <v>152.0</v>
      </c>
      <c r="O1094" s="16" t="s">
        <v>1077</v>
      </c>
      <c r="P1094" s="23">
        <v>3.0</v>
      </c>
      <c r="Q1094" s="23">
        <v>25.8</v>
      </c>
      <c r="R1094" s="23">
        <v>77.4</v>
      </c>
      <c r="S1094" s="16" t="s">
        <v>1081</v>
      </c>
      <c r="T1094" s="23">
        <v>3.0</v>
      </c>
      <c r="U1094" s="23">
        <v>48.0</v>
      </c>
      <c r="V1094" s="23">
        <v>144.0</v>
      </c>
      <c r="W1094" s="16" t="s">
        <v>1075</v>
      </c>
      <c r="X1094" s="23">
        <v>2.0</v>
      </c>
      <c r="Y1094" s="23">
        <v>38.0</v>
      </c>
      <c r="Z1094" s="23">
        <v>76.0</v>
      </c>
      <c r="AA1094" s="16">
        <v>7.5375964E7</v>
      </c>
      <c r="AB1094" s="23">
        <v>2.0</v>
      </c>
      <c r="AC1094" s="23">
        <v>38.0</v>
      </c>
      <c r="AD1094" s="23">
        <v>76.0</v>
      </c>
      <c r="AE1094" s="16"/>
      <c r="AF1094" s="23"/>
      <c r="AG1094" s="23"/>
      <c r="AH1094" s="23">
        <v>0.0</v>
      </c>
      <c r="AI1094" s="16"/>
      <c r="AJ1094" s="23"/>
      <c r="AK1094" s="23"/>
      <c r="AL1094" s="23">
        <v>0.0</v>
      </c>
      <c r="AM1094" s="16"/>
      <c r="AN1094" s="23"/>
      <c r="AO1094" s="23"/>
      <c r="AP1094" s="23">
        <v>0.0</v>
      </c>
      <c r="AQ1094" s="16"/>
      <c r="AR1094" s="23"/>
      <c r="AS1094" s="23"/>
      <c r="AT1094" s="23">
        <v>0.0</v>
      </c>
      <c r="AX1094" s="23">
        <v>0.0</v>
      </c>
      <c r="BF1094" s="23">
        <v>0.0</v>
      </c>
      <c r="BJ1094" s="23">
        <v>0.0</v>
      </c>
      <c r="BN1094" s="23">
        <v>0.0</v>
      </c>
      <c r="BO1094" s="23">
        <v>545.5</v>
      </c>
      <c r="BP1094" s="16" t="s">
        <v>6771</v>
      </c>
      <c r="BQ1094" s="16" t="b">
        <v>1</v>
      </c>
      <c r="BR1094" s="23">
        <v>545.5</v>
      </c>
      <c r="BS1094" s="16"/>
      <c r="BT1094" s="16" t="b">
        <v>0</v>
      </c>
      <c r="BU1094" s="16" t="s">
        <v>546</v>
      </c>
      <c r="BV1094" s="16"/>
      <c r="BW1094" s="16"/>
      <c r="BX1094" s="16"/>
      <c r="BY1094" s="16"/>
    </row>
    <row r="1095">
      <c r="A1095" s="16">
        <v>2.4830701E7</v>
      </c>
      <c r="B1095" s="16" t="s">
        <v>35</v>
      </c>
      <c r="C1095" s="22">
        <v>45730.0</v>
      </c>
      <c r="D1095" s="16" t="s">
        <v>3816</v>
      </c>
      <c r="E1095" s="16" t="s">
        <v>6781</v>
      </c>
      <c r="F1095" s="16" t="s">
        <v>6785</v>
      </c>
      <c r="G1095" s="16" t="s">
        <v>305</v>
      </c>
      <c r="H1095" s="16">
        <v>1.0</v>
      </c>
      <c r="I1095" s="23">
        <v>38.93</v>
      </c>
      <c r="J1095" s="23">
        <v>38.93</v>
      </c>
      <c r="K1095" s="16"/>
      <c r="L1095" s="23"/>
      <c r="M1095" s="23"/>
      <c r="N1095" s="23">
        <v>0.0</v>
      </c>
      <c r="O1095" s="16"/>
      <c r="P1095" s="23"/>
      <c r="Q1095" s="23"/>
      <c r="R1095" s="23">
        <v>0.0</v>
      </c>
      <c r="S1095" s="16"/>
      <c r="T1095" s="23"/>
      <c r="U1095" s="23"/>
      <c r="V1095" s="23">
        <v>0.0</v>
      </c>
      <c r="W1095" s="16"/>
      <c r="X1095" s="23"/>
      <c r="Y1095" s="23"/>
      <c r="Z1095" s="23">
        <v>0.0</v>
      </c>
      <c r="AA1095" s="16"/>
      <c r="AB1095" s="23"/>
      <c r="AC1095" s="23"/>
      <c r="AD1095" s="23">
        <v>0.0</v>
      </c>
      <c r="AE1095" s="16"/>
      <c r="AF1095" s="23"/>
      <c r="AG1095" s="23"/>
      <c r="AH1095" s="23">
        <v>0.0</v>
      </c>
      <c r="AI1095" s="16"/>
      <c r="AJ1095" s="23"/>
      <c r="AK1095" s="23"/>
      <c r="AL1095" s="23">
        <v>0.0</v>
      </c>
      <c r="AM1095" s="16"/>
      <c r="AN1095" s="23"/>
      <c r="AO1095" s="23"/>
      <c r="AP1095" s="23">
        <v>0.0</v>
      </c>
      <c r="AQ1095" s="16"/>
      <c r="AR1095" s="23"/>
      <c r="AS1095" s="23"/>
      <c r="AT1095" s="23">
        <v>0.0</v>
      </c>
      <c r="AX1095" s="23">
        <v>0.0</v>
      </c>
      <c r="BF1095" s="23">
        <v>0.0</v>
      </c>
      <c r="BJ1095" s="23">
        <v>0.0</v>
      </c>
      <c r="BN1095" s="23">
        <v>0.0</v>
      </c>
      <c r="BO1095" s="23">
        <v>38.93</v>
      </c>
      <c r="BP1095" s="16" t="s">
        <v>6784</v>
      </c>
      <c r="BQ1095" s="16" t="b">
        <v>1</v>
      </c>
      <c r="BR1095" s="23">
        <v>38.93</v>
      </c>
      <c r="BS1095" s="16">
        <v>1374931.0</v>
      </c>
      <c r="BT1095" s="16" t="b">
        <v>1</v>
      </c>
      <c r="BU1095" s="16" t="s">
        <v>546</v>
      </c>
      <c r="BV1095" s="16"/>
      <c r="BW1095" s="16"/>
      <c r="BX1095" s="16"/>
      <c r="BY1095" s="16"/>
    </row>
    <row r="1096">
      <c r="A1096" s="16" t="s">
        <v>6673</v>
      </c>
      <c r="B1096" s="16" t="s">
        <v>35</v>
      </c>
      <c r="C1096" s="22">
        <v>45730.0</v>
      </c>
      <c r="D1096" s="16" t="s">
        <v>112</v>
      </c>
      <c r="E1096" s="16" t="s">
        <v>6793</v>
      </c>
      <c r="F1096" s="16" t="s">
        <v>157</v>
      </c>
      <c r="G1096" s="16" t="s">
        <v>159</v>
      </c>
      <c r="H1096" s="16">
        <v>1.0</v>
      </c>
      <c r="I1096" s="23">
        <v>260.0</v>
      </c>
      <c r="J1096" s="23">
        <v>260.0</v>
      </c>
      <c r="K1096" s="16" t="s">
        <v>155</v>
      </c>
      <c r="L1096" s="23">
        <v>1.0</v>
      </c>
      <c r="M1096" s="23">
        <v>97.46</v>
      </c>
      <c r="N1096" s="23">
        <v>97.46</v>
      </c>
      <c r="O1096" s="16" t="s">
        <v>152</v>
      </c>
      <c r="P1096" s="23">
        <v>1.0</v>
      </c>
      <c r="Q1096" s="23">
        <v>9.83</v>
      </c>
      <c r="R1096" s="23">
        <v>9.83</v>
      </c>
      <c r="S1096" s="16" t="s">
        <v>226</v>
      </c>
      <c r="T1096" s="23">
        <v>1.0</v>
      </c>
      <c r="U1096" s="23">
        <v>80.0</v>
      </c>
      <c r="V1096" s="23">
        <v>80.0</v>
      </c>
      <c r="W1096" s="16"/>
      <c r="X1096" s="23"/>
      <c r="Y1096" s="23"/>
      <c r="Z1096" s="23">
        <v>0.0</v>
      </c>
      <c r="AA1096" s="16"/>
      <c r="AB1096" s="23"/>
      <c r="AC1096" s="23"/>
      <c r="AD1096" s="23">
        <v>0.0</v>
      </c>
      <c r="AE1096" s="16"/>
      <c r="AF1096" s="23"/>
      <c r="AG1096" s="23"/>
      <c r="AH1096" s="23">
        <v>0.0</v>
      </c>
      <c r="AI1096" s="16"/>
      <c r="AJ1096" s="23"/>
      <c r="AK1096" s="23"/>
      <c r="AL1096" s="23">
        <v>0.0</v>
      </c>
      <c r="AM1096" s="16"/>
      <c r="AN1096" s="23"/>
      <c r="AO1096" s="23"/>
      <c r="AP1096" s="23">
        <v>0.0</v>
      </c>
      <c r="AQ1096" s="16"/>
      <c r="AR1096" s="23"/>
      <c r="AS1096" s="23"/>
      <c r="AT1096" s="23">
        <v>0.0</v>
      </c>
      <c r="AX1096" s="23">
        <v>0.0</v>
      </c>
      <c r="BF1096" s="23">
        <v>0.0</v>
      </c>
      <c r="BJ1096" s="23">
        <v>0.0</v>
      </c>
      <c r="BN1096" s="23">
        <v>0.0</v>
      </c>
      <c r="BO1096" s="23">
        <v>447.29</v>
      </c>
      <c r="BP1096" s="16" t="s">
        <v>6794</v>
      </c>
      <c r="BQ1096" s="16" t="b">
        <v>1</v>
      </c>
      <c r="BR1096" s="23">
        <v>417.29</v>
      </c>
      <c r="BS1096" s="16"/>
      <c r="BT1096" s="16" t="b">
        <v>0</v>
      </c>
      <c r="BU1096" s="16" t="s">
        <v>546</v>
      </c>
      <c r="BV1096" s="16"/>
      <c r="BW1096" s="16"/>
      <c r="BX1096" s="16"/>
      <c r="BY1096" s="16"/>
    </row>
    <row r="1097">
      <c r="A1097" s="16" t="s">
        <v>6678</v>
      </c>
      <c r="B1097" s="16" t="s">
        <v>35</v>
      </c>
      <c r="C1097" s="22">
        <v>45731.0</v>
      </c>
      <c r="D1097" s="16" t="s">
        <v>543</v>
      </c>
      <c r="E1097" s="16" t="s">
        <v>6800</v>
      </c>
      <c r="F1097" s="16" t="s">
        <v>171</v>
      </c>
      <c r="G1097" s="16">
        <v>1.2539885E7</v>
      </c>
      <c r="H1097" s="16">
        <v>1.0</v>
      </c>
      <c r="I1097" s="23">
        <v>250.0</v>
      </c>
      <c r="J1097" s="23">
        <v>250.0</v>
      </c>
      <c r="K1097" s="16"/>
      <c r="L1097" s="23"/>
      <c r="M1097" s="23"/>
      <c r="N1097" s="23">
        <v>0.0</v>
      </c>
      <c r="O1097" s="16"/>
      <c r="P1097" s="23"/>
      <c r="Q1097" s="23"/>
      <c r="R1097" s="23">
        <v>0.0</v>
      </c>
      <c r="S1097" s="16"/>
      <c r="T1097" s="23"/>
      <c r="U1097" s="23"/>
      <c r="V1097" s="23">
        <v>0.0</v>
      </c>
      <c r="W1097" s="16"/>
      <c r="X1097" s="23"/>
      <c r="Y1097" s="23"/>
      <c r="Z1097" s="23">
        <v>0.0</v>
      </c>
      <c r="AA1097" s="16"/>
      <c r="AB1097" s="23"/>
      <c r="AC1097" s="23"/>
      <c r="AD1097" s="23">
        <v>0.0</v>
      </c>
      <c r="AE1097" s="16"/>
      <c r="AF1097" s="23"/>
      <c r="AG1097" s="23"/>
      <c r="AH1097" s="23">
        <v>0.0</v>
      </c>
      <c r="AI1097" s="16"/>
      <c r="AJ1097" s="23"/>
      <c r="AK1097" s="23"/>
      <c r="AL1097" s="23">
        <v>0.0</v>
      </c>
      <c r="AM1097" s="16"/>
      <c r="AN1097" s="23"/>
      <c r="AO1097" s="23"/>
      <c r="AP1097" s="23">
        <v>0.0</v>
      </c>
      <c r="AQ1097" s="16"/>
      <c r="AR1097" s="23"/>
      <c r="AS1097" s="23"/>
      <c r="AT1097" s="23">
        <v>0.0</v>
      </c>
      <c r="AX1097" s="23">
        <v>0.0</v>
      </c>
      <c r="BF1097" s="23">
        <v>0.0</v>
      </c>
      <c r="BJ1097" s="23">
        <v>0.0</v>
      </c>
      <c r="BN1097" s="23">
        <v>0.0</v>
      </c>
      <c r="BO1097" s="23">
        <v>250.0</v>
      </c>
      <c r="BP1097" s="16" t="s">
        <v>6802</v>
      </c>
      <c r="BQ1097" s="16" t="b">
        <v>1</v>
      </c>
      <c r="BR1097" s="23">
        <v>250.0</v>
      </c>
      <c r="BS1097" s="16"/>
      <c r="BT1097" s="16" t="b">
        <v>0</v>
      </c>
      <c r="BU1097" s="16" t="s">
        <v>546</v>
      </c>
      <c r="BV1097" s="16"/>
      <c r="BW1097" s="16"/>
      <c r="BX1097" s="16"/>
      <c r="BY1097" s="16"/>
    </row>
    <row r="1098">
      <c r="A1098" s="16" t="s">
        <v>6680</v>
      </c>
      <c r="B1098" s="16" t="s">
        <v>35</v>
      </c>
      <c r="C1098" s="22">
        <v>45731.0</v>
      </c>
      <c r="D1098" s="16" t="s">
        <v>112</v>
      </c>
      <c r="E1098" s="16" t="s">
        <v>6810</v>
      </c>
      <c r="F1098" s="16" t="s">
        <v>157</v>
      </c>
      <c r="G1098" s="16" t="s">
        <v>159</v>
      </c>
      <c r="H1098" s="16">
        <v>1.0</v>
      </c>
      <c r="I1098" s="23">
        <v>130.0</v>
      </c>
      <c r="J1098" s="23">
        <v>130.0</v>
      </c>
      <c r="K1098" s="16" t="s">
        <v>155</v>
      </c>
      <c r="L1098" s="23">
        <v>1.0</v>
      </c>
      <c r="M1098" s="23">
        <v>47.9</v>
      </c>
      <c r="N1098" s="23">
        <v>47.9</v>
      </c>
      <c r="O1098" s="16" t="s">
        <v>226</v>
      </c>
      <c r="P1098" s="23">
        <v>1.0</v>
      </c>
      <c r="Q1098" s="23">
        <v>38.0</v>
      </c>
      <c r="R1098" s="23">
        <v>38.0</v>
      </c>
      <c r="S1098" s="16" t="s">
        <v>152</v>
      </c>
      <c r="T1098" s="23">
        <v>1.0</v>
      </c>
      <c r="U1098" s="23">
        <v>10.2</v>
      </c>
      <c r="V1098" s="23">
        <v>10.2</v>
      </c>
      <c r="W1098" s="16"/>
      <c r="X1098" s="23"/>
      <c r="Y1098" s="23"/>
      <c r="Z1098" s="23">
        <v>0.0</v>
      </c>
      <c r="AA1098" s="16"/>
      <c r="AB1098" s="23"/>
      <c r="AC1098" s="23"/>
      <c r="AD1098" s="23">
        <v>0.0</v>
      </c>
      <c r="AE1098" s="16"/>
      <c r="AF1098" s="23"/>
      <c r="AG1098" s="23"/>
      <c r="AH1098" s="23">
        <v>0.0</v>
      </c>
      <c r="AI1098" s="16"/>
      <c r="AJ1098" s="23"/>
      <c r="AK1098" s="23"/>
      <c r="AL1098" s="23">
        <v>0.0</v>
      </c>
      <c r="AM1098" s="16"/>
      <c r="AN1098" s="23"/>
      <c r="AO1098" s="23"/>
      <c r="AP1098" s="23">
        <v>0.0</v>
      </c>
      <c r="AQ1098" s="16"/>
      <c r="AR1098" s="23"/>
      <c r="AS1098" s="23"/>
      <c r="AT1098" s="23">
        <v>0.0</v>
      </c>
      <c r="AX1098" s="23">
        <v>0.0</v>
      </c>
      <c r="BF1098" s="23">
        <v>0.0</v>
      </c>
      <c r="BJ1098" s="23">
        <v>0.0</v>
      </c>
      <c r="BN1098" s="23">
        <v>0.0</v>
      </c>
      <c r="BO1098" s="23">
        <v>226.1</v>
      </c>
      <c r="BP1098" s="16" t="s">
        <v>6811</v>
      </c>
      <c r="BQ1098" s="16" t="b">
        <v>1</v>
      </c>
      <c r="BR1098" s="23">
        <v>226.1</v>
      </c>
      <c r="BS1098" s="16"/>
      <c r="BT1098" s="16" t="b">
        <v>0</v>
      </c>
      <c r="BU1098" s="16" t="s">
        <v>546</v>
      </c>
      <c r="BV1098" s="16"/>
      <c r="BW1098" s="16"/>
      <c r="BX1098" s="16"/>
      <c r="BY1098" s="16"/>
    </row>
    <row r="1099">
      <c r="A1099" s="16" t="s">
        <v>6688</v>
      </c>
      <c r="B1099" s="16" t="s">
        <v>35</v>
      </c>
      <c r="C1099" s="22">
        <v>45731.0</v>
      </c>
      <c r="D1099" s="16" t="s">
        <v>3816</v>
      </c>
      <c r="E1099" s="16" t="s">
        <v>6820</v>
      </c>
      <c r="F1099" s="16" t="s">
        <v>6824</v>
      </c>
      <c r="G1099" s="16" t="s">
        <v>305</v>
      </c>
      <c r="H1099" s="16">
        <v>1.0</v>
      </c>
      <c r="I1099" s="23">
        <v>18.3</v>
      </c>
      <c r="J1099" s="23">
        <v>18.3</v>
      </c>
      <c r="K1099" s="16"/>
      <c r="L1099" s="23"/>
      <c r="M1099" s="23"/>
      <c r="N1099" s="23">
        <v>0.0</v>
      </c>
      <c r="O1099" s="16"/>
      <c r="P1099" s="23"/>
      <c r="Q1099" s="23"/>
      <c r="R1099" s="23">
        <v>0.0</v>
      </c>
      <c r="S1099" s="16"/>
      <c r="T1099" s="23"/>
      <c r="U1099" s="23"/>
      <c r="V1099" s="23">
        <v>0.0</v>
      </c>
      <c r="W1099" s="16"/>
      <c r="X1099" s="23"/>
      <c r="Y1099" s="23"/>
      <c r="Z1099" s="23">
        <v>0.0</v>
      </c>
      <c r="AA1099" s="16"/>
      <c r="AB1099" s="23"/>
      <c r="AC1099" s="23"/>
      <c r="AD1099" s="23">
        <v>0.0</v>
      </c>
      <c r="AE1099" s="16"/>
      <c r="AF1099" s="23"/>
      <c r="AG1099" s="23"/>
      <c r="AH1099" s="23">
        <v>0.0</v>
      </c>
      <c r="AI1099" s="16"/>
      <c r="AJ1099" s="23"/>
      <c r="AK1099" s="23"/>
      <c r="AL1099" s="23">
        <v>0.0</v>
      </c>
      <c r="AM1099" s="16"/>
      <c r="AN1099" s="23"/>
      <c r="AO1099" s="23"/>
      <c r="AP1099" s="23">
        <v>0.0</v>
      </c>
      <c r="AQ1099" s="16"/>
      <c r="AR1099" s="23"/>
      <c r="AS1099" s="23"/>
      <c r="AT1099" s="23">
        <v>0.0</v>
      </c>
      <c r="AX1099" s="23">
        <v>0.0</v>
      </c>
      <c r="BF1099" s="23">
        <v>0.0</v>
      </c>
      <c r="BJ1099" s="23">
        <v>0.0</v>
      </c>
      <c r="BN1099" s="23">
        <v>0.0</v>
      </c>
      <c r="BO1099" s="23">
        <v>18.3</v>
      </c>
      <c r="BP1099" s="16" t="s">
        <v>6823</v>
      </c>
      <c r="BQ1099" s="16" t="b">
        <v>1</v>
      </c>
      <c r="BR1099" s="23">
        <v>18.3</v>
      </c>
      <c r="BS1099" s="16" t="s">
        <v>4049</v>
      </c>
      <c r="BT1099" s="16" t="b">
        <v>1</v>
      </c>
      <c r="BU1099" s="16" t="s">
        <v>546</v>
      </c>
      <c r="BV1099" s="16"/>
      <c r="BW1099" s="16"/>
      <c r="BX1099" s="16"/>
      <c r="BY1099" s="16"/>
    </row>
    <row r="1100">
      <c r="A1100" s="16" t="s">
        <v>6690</v>
      </c>
      <c r="B1100" s="16" t="s">
        <v>35</v>
      </c>
      <c r="C1100" s="22">
        <v>45732.0</v>
      </c>
      <c r="D1100" s="16" t="s">
        <v>3493</v>
      </c>
      <c r="E1100" s="16" t="s">
        <v>6833</v>
      </c>
      <c r="F1100" s="16" t="s">
        <v>6836</v>
      </c>
      <c r="G1100" s="16" t="s">
        <v>305</v>
      </c>
      <c r="H1100" s="16">
        <v>1.0</v>
      </c>
      <c r="I1100" s="23">
        <v>32.7</v>
      </c>
      <c r="J1100" s="23">
        <v>32.7</v>
      </c>
      <c r="K1100" s="16"/>
      <c r="L1100" s="23"/>
      <c r="M1100" s="23"/>
      <c r="N1100" s="23">
        <v>0.0</v>
      </c>
      <c r="O1100" s="16"/>
      <c r="P1100" s="23"/>
      <c r="Q1100" s="23"/>
      <c r="R1100" s="23">
        <v>0.0</v>
      </c>
      <c r="S1100" s="16"/>
      <c r="T1100" s="23"/>
      <c r="U1100" s="23"/>
      <c r="V1100" s="23">
        <v>0.0</v>
      </c>
      <c r="W1100" s="16"/>
      <c r="X1100" s="23"/>
      <c r="Y1100" s="23"/>
      <c r="Z1100" s="23">
        <v>0.0</v>
      </c>
      <c r="AA1100" s="16"/>
      <c r="AB1100" s="23"/>
      <c r="AC1100" s="23"/>
      <c r="AD1100" s="23">
        <v>0.0</v>
      </c>
      <c r="AE1100" s="16"/>
      <c r="AF1100" s="23"/>
      <c r="AG1100" s="23"/>
      <c r="AH1100" s="23">
        <v>0.0</v>
      </c>
      <c r="AI1100" s="16"/>
      <c r="AJ1100" s="23"/>
      <c r="AK1100" s="23"/>
      <c r="AL1100" s="23">
        <v>0.0</v>
      </c>
      <c r="AM1100" s="16"/>
      <c r="AN1100" s="23"/>
      <c r="AO1100" s="23"/>
      <c r="AP1100" s="23">
        <v>0.0</v>
      </c>
      <c r="AQ1100" s="16"/>
      <c r="AR1100" s="23"/>
      <c r="AS1100" s="23"/>
      <c r="AT1100" s="23">
        <v>0.0</v>
      </c>
      <c r="AX1100" s="23">
        <v>0.0</v>
      </c>
      <c r="BF1100" s="23">
        <v>0.0</v>
      </c>
      <c r="BJ1100" s="23">
        <v>0.0</v>
      </c>
      <c r="BN1100" s="23">
        <v>0.0</v>
      </c>
      <c r="BO1100" s="23">
        <v>32.7</v>
      </c>
      <c r="BP1100" s="16" t="s">
        <v>6835</v>
      </c>
      <c r="BQ1100" s="16" t="b">
        <v>1</v>
      </c>
      <c r="BR1100" s="23">
        <v>32.7</v>
      </c>
      <c r="BS1100" s="16">
        <v>1378861.0</v>
      </c>
      <c r="BT1100" s="16" t="b">
        <v>1</v>
      </c>
      <c r="BU1100" s="16" t="s">
        <v>546</v>
      </c>
      <c r="BV1100" s="16"/>
      <c r="BW1100" s="16"/>
      <c r="BX1100" s="16"/>
      <c r="BY1100" s="16"/>
    </row>
    <row r="1101">
      <c r="A1101" s="16" t="s">
        <v>6692</v>
      </c>
      <c r="B1101" s="16" t="s">
        <v>35</v>
      </c>
      <c r="C1101" s="22">
        <v>45733.0</v>
      </c>
      <c r="D1101" s="16" t="s">
        <v>353</v>
      </c>
      <c r="E1101" s="16" t="s">
        <v>6841</v>
      </c>
      <c r="F1101" s="16" t="s">
        <v>6844</v>
      </c>
      <c r="G1101" s="16" t="s">
        <v>2003</v>
      </c>
      <c r="H1101" s="16">
        <v>1.0</v>
      </c>
      <c r="I1101" s="23">
        <v>735.94</v>
      </c>
      <c r="J1101" s="23">
        <v>735.94</v>
      </c>
      <c r="K1101" s="16"/>
      <c r="L1101" s="23"/>
      <c r="M1101" s="23"/>
      <c r="N1101" s="23">
        <v>0.0</v>
      </c>
      <c r="O1101" s="16"/>
      <c r="P1101" s="23"/>
      <c r="Q1101" s="23"/>
      <c r="R1101" s="23">
        <v>0.0</v>
      </c>
      <c r="S1101" s="16"/>
      <c r="T1101" s="23"/>
      <c r="U1101" s="23"/>
      <c r="V1101" s="23">
        <v>0.0</v>
      </c>
      <c r="W1101" s="16"/>
      <c r="X1101" s="23"/>
      <c r="Y1101" s="23"/>
      <c r="Z1101" s="23">
        <v>0.0</v>
      </c>
      <c r="AA1101" s="16"/>
      <c r="AB1101" s="23"/>
      <c r="AC1101" s="23"/>
      <c r="AD1101" s="23">
        <v>0.0</v>
      </c>
      <c r="AE1101" s="16"/>
      <c r="AF1101" s="23"/>
      <c r="AG1101" s="23"/>
      <c r="AH1101" s="23">
        <v>0.0</v>
      </c>
      <c r="AI1101" s="16"/>
      <c r="AJ1101" s="23"/>
      <c r="AK1101" s="23"/>
      <c r="AL1101" s="23">
        <v>0.0</v>
      </c>
      <c r="AM1101" s="16"/>
      <c r="AN1101" s="23"/>
      <c r="AO1101" s="23"/>
      <c r="AP1101" s="23">
        <v>0.0</v>
      </c>
      <c r="AQ1101" s="16"/>
      <c r="AR1101" s="23"/>
      <c r="AS1101" s="23"/>
      <c r="AT1101" s="23">
        <v>0.0</v>
      </c>
      <c r="AX1101" s="23">
        <v>0.0</v>
      </c>
      <c r="BF1101" s="23">
        <v>0.0</v>
      </c>
      <c r="BJ1101" s="23">
        <v>0.0</v>
      </c>
      <c r="BN1101" s="23">
        <v>0.0</v>
      </c>
      <c r="BO1101" s="23">
        <v>735.94</v>
      </c>
      <c r="BP1101" s="16" t="s">
        <v>6843</v>
      </c>
      <c r="BQ1101" s="16" t="b">
        <v>1</v>
      </c>
      <c r="BR1101" s="23">
        <v>735.94</v>
      </c>
      <c r="BS1101" s="16">
        <v>1381913.0</v>
      </c>
      <c r="BT1101" s="16" t="b">
        <v>1</v>
      </c>
      <c r="BU1101" s="16" t="s">
        <v>546</v>
      </c>
      <c r="BV1101" s="16"/>
      <c r="BW1101" s="16"/>
      <c r="BX1101" s="16"/>
      <c r="BY1101" s="16"/>
    </row>
    <row r="1102">
      <c r="A1102" s="16" t="s">
        <v>6694</v>
      </c>
      <c r="B1102" s="16" t="s">
        <v>35</v>
      </c>
      <c r="C1102" s="22">
        <v>45733.0</v>
      </c>
      <c r="D1102" s="16" t="s">
        <v>543</v>
      </c>
      <c r="E1102" s="16" t="s">
        <v>6849</v>
      </c>
      <c r="F1102" s="16" t="s">
        <v>171</v>
      </c>
      <c r="G1102" s="16">
        <v>1.2539885E7</v>
      </c>
      <c r="H1102" s="16">
        <v>1.0</v>
      </c>
      <c r="I1102" s="23">
        <v>200.0</v>
      </c>
      <c r="J1102" s="23">
        <v>200.0</v>
      </c>
      <c r="K1102" s="16"/>
      <c r="L1102" s="23"/>
      <c r="M1102" s="23"/>
      <c r="N1102" s="23">
        <v>0.0</v>
      </c>
      <c r="O1102" s="16"/>
      <c r="P1102" s="23"/>
      <c r="Q1102" s="23"/>
      <c r="R1102" s="23">
        <v>0.0</v>
      </c>
      <c r="S1102" s="16"/>
      <c r="T1102" s="23"/>
      <c r="U1102" s="23"/>
      <c r="V1102" s="23">
        <v>0.0</v>
      </c>
      <c r="W1102" s="16"/>
      <c r="X1102" s="23"/>
      <c r="Y1102" s="23"/>
      <c r="Z1102" s="23">
        <v>0.0</v>
      </c>
      <c r="AA1102" s="16"/>
      <c r="AB1102" s="23"/>
      <c r="AC1102" s="23"/>
      <c r="AD1102" s="23">
        <v>0.0</v>
      </c>
      <c r="AE1102" s="16"/>
      <c r="AF1102" s="23"/>
      <c r="AG1102" s="23"/>
      <c r="AH1102" s="23">
        <v>0.0</v>
      </c>
      <c r="AI1102" s="16"/>
      <c r="AJ1102" s="23"/>
      <c r="AK1102" s="23"/>
      <c r="AL1102" s="23">
        <v>0.0</v>
      </c>
      <c r="AM1102" s="16"/>
      <c r="AN1102" s="23"/>
      <c r="AO1102" s="23"/>
      <c r="AP1102" s="23">
        <v>0.0</v>
      </c>
      <c r="AQ1102" s="16"/>
      <c r="AR1102" s="23"/>
      <c r="AS1102" s="23"/>
      <c r="AT1102" s="23">
        <v>0.0</v>
      </c>
      <c r="AX1102" s="23">
        <v>0.0</v>
      </c>
      <c r="BF1102" s="23">
        <v>0.0</v>
      </c>
      <c r="BJ1102" s="23">
        <v>0.0</v>
      </c>
      <c r="BN1102" s="23">
        <v>0.0</v>
      </c>
      <c r="BO1102" s="23">
        <v>200.0</v>
      </c>
      <c r="BP1102" s="16" t="s">
        <v>6851</v>
      </c>
      <c r="BQ1102" s="16" t="b">
        <v>1</v>
      </c>
      <c r="BR1102" s="23">
        <v>200.0</v>
      </c>
      <c r="BS1102" s="16"/>
      <c r="BT1102" s="16" t="b">
        <v>0</v>
      </c>
      <c r="BU1102" s="16" t="s">
        <v>546</v>
      </c>
      <c r="BV1102" s="16"/>
      <c r="BW1102" s="16"/>
      <c r="BX1102" s="16"/>
      <c r="BY1102" s="16"/>
    </row>
    <row r="1103">
      <c r="A1103" s="16" t="s">
        <v>6698</v>
      </c>
      <c r="B1103" s="16" t="s">
        <v>35</v>
      </c>
      <c r="C1103" s="22">
        <v>45734.0</v>
      </c>
      <c r="D1103" s="16" t="s">
        <v>890</v>
      </c>
      <c r="E1103" s="16" t="s">
        <v>6853</v>
      </c>
      <c r="F1103" s="16" t="s">
        <v>2894</v>
      </c>
      <c r="G1103" s="16" t="s">
        <v>1510</v>
      </c>
      <c r="H1103" s="16">
        <v>1.0</v>
      </c>
      <c r="I1103" s="23">
        <v>266.62</v>
      </c>
      <c r="J1103" s="23">
        <v>266.62</v>
      </c>
      <c r="K1103" s="16"/>
      <c r="L1103" s="23"/>
      <c r="M1103" s="23"/>
      <c r="N1103" s="23">
        <v>0.0</v>
      </c>
      <c r="O1103" s="16"/>
      <c r="P1103" s="23"/>
      <c r="Q1103" s="23"/>
      <c r="R1103" s="23">
        <v>0.0</v>
      </c>
      <c r="S1103" s="16"/>
      <c r="T1103" s="23"/>
      <c r="U1103" s="23"/>
      <c r="V1103" s="23">
        <v>0.0</v>
      </c>
      <c r="W1103" s="16"/>
      <c r="X1103" s="23"/>
      <c r="Y1103" s="23"/>
      <c r="Z1103" s="23">
        <v>0.0</v>
      </c>
      <c r="AA1103" s="16"/>
      <c r="AB1103" s="23"/>
      <c r="AC1103" s="23"/>
      <c r="AD1103" s="23">
        <v>0.0</v>
      </c>
      <c r="AE1103" s="16"/>
      <c r="AF1103" s="23"/>
      <c r="AG1103" s="23"/>
      <c r="AH1103" s="23">
        <v>0.0</v>
      </c>
      <c r="AI1103" s="16"/>
      <c r="AJ1103" s="23"/>
      <c r="AK1103" s="23"/>
      <c r="AL1103" s="23">
        <v>0.0</v>
      </c>
      <c r="AM1103" s="16"/>
      <c r="AN1103" s="23"/>
      <c r="AO1103" s="23"/>
      <c r="AP1103" s="23">
        <v>0.0</v>
      </c>
      <c r="AQ1103" s="16"/>
      <c r="AR1103" s="23"/>
      <c r="AS1103" s="23"/>
      <c r="AT1103" s="23">
        <v>0.0</v>
      </c>
      <c r="AX1103" s="23">
        <v>0.0</v>
      </c>
      <c r="BF1103" s="23">
        <v>0.0</v>
      </c>
      <c r="BJ1103" s="23">
        <v>0.0</v>
      </c>
      <c r="BN1103" s="23">
        <v>0.0</v>
      </c>
      <c r="BO1103" s="23">
        <v>266.62</v>
      </c>
      <c r="BP1103" s="16" t="s">
        <v>6855</v>
      </c>
      <c r="BQ1103" s="16" t="b">
        <v>1</v>
      </c>
      <c r="BR1103" s="23">
        <v>266.62</v>
      </c>
      <c r="BS1103" s="16"/>
      <c r="BT1103" s="16" t="b">
        <v>0</v>
      </c>
      <c r="BU1103" s="16" t="s">
        <v>546</v>
      </c>
      <c r="BV1103" s="16"/>
      <c r="BW1103" s="16" t="s">
        <v>6857</v>
      </c>
      <c r="BX1103" s="16"/>
      <c r="BY1103" s="16"/>
    </row>
    <row r="1104">
      <c r="A1104" s="16" t="s">
        <v>6701</v>
      </c>
      <c r="B1104" s="16" t="s">
        <v>35</v>
      </c>
      <c r="C1104" s="22">
        <v>45734.0</v>
      </c>
      <c r="D1104" s="16" t="s">
        <v>890</v>
      </c>
      <c r="E1104" s="16" t="s">
        <v>6853</v>
      </c>
      <c r="F1104" s="16" t="s">
        <v>2894</v>
      </c>
      <c r="G1104" s="16" t="s">
        <v>1510</v>
      </c>
      <c r="H1104" s="16">
        <v>1.0</v>
      </c>
      <c r="I1104" s="23">
        <v>21101.51</v>
      </c>
      <c r="J1104" s="23">
        <v>21101.51</v>
      </c>
      <c r="K1104" s="16"/>
      <c r="L1104" s="23"/>
      <c r="M1104" s="23"/>
      <c r="N1104" s="23">
        <v>0.0</v>
      </c>
      <c r="O1104" s="16"/>
      <c r="P1104" s="23"/>
      <c r="Q1104" s="23"/>
      <c r="R1104" s="23">
        <v>0.0</v>
      </c>
      <c r="S1104" s="16"/>
      <c r="T1104" s="23"/>
      <c r="U1104" s="23"/>
      <c r="V1104" s="23">
        <v>0.0</v>
      </c>
      <c r="W1104" s="16"/>
      <c r="X1104" s="23"/>
      <c r="Y1104" s="23"/>
      <c r="Z1104" s="23">
        <v>0.0</v>
      </c>
      <c r="AA1104" s="16"/>
      <c r="AB1104" s="23"/>
      <c r="AC1104" s="23"/>
      <c r="AD1104" s="23">
        <v>0.0</v>
      </c>
      <c r="AE1104" s="16"/>
      <c r="AF1104" s="23"/>
      <c r="AG1104" s="23"/>
      <c r="AH1104" s="23">
        <v>0.0</v>
      </c>
      <c r="AI1104" s="16"/>
      <c r="AJ1104" s="23"/>
      <c r="AK1104" s="23"/>
      <c r="AL1104" s="23">
        <v>0.0</v>
      </c>
      <c r="AM1104" s="16"/>
      <c r="AN1104" s="23"/>
      <c r="AO1104" s="23"/>
      <c r="AP1104" s="23">
        <v>0.0</v>
      </c>
      <c r="AQ1104" s="16"/>
      <c r="AR1104" s="23"/>
      <c r="AS1104" s="23"/>
      <c r="AT1104" s="23">
        <v>0.0</v>
      </c>
      <c r="AX1104" s="23">
        <v>0.0</v>
      </c>
      <c r="BF1104" s="23">
        <v>0.0</v>
      </c>
      <c r="BJ1104" s="23">
        <v>0.0</v>
      </c>
      <c r="BN1104" s="23">
        <v>0.0</v>
      </c>
      <c r="BO1104" s="23">
        <v>21101.51</v>
      </c>
      <c r="BP1104" s="16" t="s">
        <v>6861</v>
      </c>
      <c r="BQ1104" s="16" t="b">
        <v>1</v>
      </c>
      <c r="BR1104" s="23">
        <v>21101.51</v>
      </c>
      <c r="BS1104" s="16"/>
      <c r="BT1104" s="16" t="b">
        <v>0</v>
      </c>
      <c r="BU1104" s="16" t="s">
        <v>546</v>
      </c>
      <c r="BV1104" s="16"/>
      <c r="BW1104" s="16" t="s">
        <v>6862</v>
      </c>
      <c r="BX1104" s="16" t="s">
        <v>6863</v>
      </c>
      <c r="BY1104" s="16" t="s">
        <v>6865</v>
      </c>
    </row>
    <row r="1105">
      <c r="A1105" s="16" t="s">
        <v>6703</v>
      </c>
      <c r="B1105" s="16" t="s">
        <v>35</v>
      </c>
      <c r="C1105" s="22">
        <v>45735.0</v>
      </c>
      <c r="D1105" s="16" t="s">
        <v>890</v>
      </c>
      <c r="E1105" s="16" t="s">
        <v>6867</v>
      </c>
      <c r="F1105" s="16" t="s">
        <v>3813</v>
      </c>
      <c r="G1105" s="16" t="s">
        <v>1517</v>
      </c>
      <c r="H1105" s="16">
        <v>1.0</v>
      </c>
      <c r="I1105" s="23">
        <v>8223.17</v>
      </c>
      <c r="J1105" s="23">
        <v>8223.17</v>
      </c>
      <c r="K1105" s="16"/>
      <c r="L1105" s="23"/>
      <c r="M1105" s="23"/>
      <c r="N1105" s="23">
        <v>0.0</v>
      </c>
      <c r="O1105" s="16"/>
      <c r="P1105" s="23"/>
      <c r="Q1105" s="23"/>
      <c r="R1105" s="23">
        <v>0.0</v>
      </c>
      <c r="S1105" s="16"/>
      <c r="T1105" s="23"/>
      <c r="U1105" s="23"/>
      <c r="V1105" s="23">
        <v>0.0</v>
      </c>
      <c r="W1105" s="16"/>
      <c r="X1105" s="23"/>
      <c r="Y1105" s="23"/>
      <c r="Z1105" s="23">
        <v>0.0</v>
      </c>
      <c r="AA1105" s="16"/>
      <c r="AB1105" s="23"/>
      <c r="AC1105" s="23"/>
      <c r="AD1105" s="23">
        <v>0.0</v>
      </c>
      <c r="AE1105" s="16"/>
      <c r="AF1105" s="23"/>
      <c r="AG1105" s="23"/>
      <c r="AH1105" s="23">
        <v>0.0</v>
      </c>
      <c r="AI1105" s="16"/>
      <c r="AJ1105" s="23"/>
      <c r="AK1105" s="23"/>
      <c r="AL1105" s="23">
        <v>0.0</v>
      </c>
      <c r="AM1105" s="16"/>
      <c r="AN1105" s="23"/>
      <c r="AO1105" s="23"/>
      <c r="AP1105" s="23">
        <v>0.0</v>
      </c>
      <c r="AQ1105" s="16"/>
      <c r="AR1105" s="23"/>
      <c r="AS1105" s="23"/>
      <c r="AT1105" s="23">
        <v>0.0</v>
      </c>
      <c r="AX1105" s="23">
        <v>0.0</v>
      </c>
      <c r="BF1105" s="23">
        <v>0.0</v>
      </c>
      <c r="BJ1105" s="23">
        <v>0.0</v>
      </c>
      <c r="BN1105" s="23">
        <v>0.0</v>
      </c>
      <c r="BO1105" s="23">
        <v>8223.17</v>
      </c>
      <c r="BP1105" s="16" t="s">
        <v>6868</v>
      </c>
      <c r="BQ1105" s="16" t="b">
        <v>1</v>
      </c>
      <c r="BR1105" s="23">
        <v>8223.17</v>
      </c>
      <c r="BS1105" s="16"/>
      <c r="BT1105" s="16" t="b">
        <v>0</v>
      </c>
      <c r="BU1105" s="16" t="s">
        <v>546</v>
      </c>
      <c r="BV1105" s="16"/>
      <c r="BW1105" s="16" t="s">
        <v>6871</v>
      </c>
      <c r="BX1105" s="16" t="s">
        <v>6872</v>
      </c>
      <c r="BY1105" s="16"/>
    </row>
    <row r="1106">
      <c r="A1106" s="16" t="s">
        <v>6705</v>
      </c>
      <c r="B1106" s="16" t="s">
        <v>35</v>
      </c>
      <c r="C1106" s="22">
        <v>45737.0</v>
      </c>
      <c r="D1106" s="16">
        <v>8.627274E7</v>
      </c>
      <c r="E1106" s="16" t="s">
        <v>6877</v>
      </c>
      <c r="F1106" s="16" t="s">
        <v>6880</v>
      </c>
      <c r="G1106" s="16" t="s">
        <v>305</v>
      </c>
      <c r="H1106" s="16">
        <v>1.0</v>
      </c>
      <c r="I1106" s="23">
        <v>193.5</v>
      </c>
      <c r="J1106" s="23">
        <v>193.5</v>
      </c>
      <c r="K1106" s="16"/>
      <c r="L1106" s="23"/>
      <c r="M1106" s="23"/>
      <c r="N1106" s="23">
        <v>0.0</v>
      </c>
      <c r="O1106" s="16"/>
      <c r="P1106" s="23"/>
      <c r="Q1106" s="23"/>
      <c r="R1106" s="23">
        <v>0.0</v>
      </c>
      <c r="S1106" s="16"/>
      <c r="T1106" s="23"/>
      <c r="U1106" s="23"/>
      <c r="V1106" s="23">
        <v>0.0</v>
      </c>
      <c r="W1106" s="16"/>
      <c r="X1106" s="23"/>
      <c r="Y1106" s="23"/>
      <c r="Z1106" s="23">
        <v>0.0</v>
      </c>
      <c r="AA1106" s="16"/>
      <c r="AB1106" s="23"/>
      <c r="AC1106" s="23"/>
      <c r="AD1106" s="23">
        <v>0.0</v>
      </c>
      <c r="AE1106" s="16"/>
      <c r="AF1106" s="23"/>
      <c r="AG1106" s="23"/>
      <c r="AH1106" s="23">
        <v>0.0</v>
      </c>
      <c r="AI1106" s="16"/>
      <c r="AJ1106" s="23"/>
      <c r="AK1106" s="23"/>
      <c r="AL1106" s="23">
        <v>0.0</v>
      </c>
      <c r="AM1106" s="16"/>
      <c r="AN1106" s="23"/>
      <c r="AO1106" s="23"/>
      <c r="AP1106" s="23">
        <v>0.0</v>
      </c>
      <c r="AQ1106" s="16"/>
      <c r="AR1106" s="23"/>
      <c r="AS1106" s="23"/>
      <c r="AT1106" s="23">
        <v>0.0</v>
      </c>
      <c r="AX1106" s="23">
        <v>0.0</v>
      </c>
      <c r="BF1106" s="23">
        <v>0.0</v>
      </c>
      <c r="BJ1106" s="23">
        <v>0.0</v>
      </c>
      <c r="BN1106" s="23">
        <v>0.0</v>
      </c>
      <c r="BO1106" s="23">
        <v>193.5</v>
      </c>
      <c r="BP1106" s="16" t="s">
        <v>6878</v>
      </c>
      <c r="BQ1106" s="16" t="b">
        <v>1</v>
      </c>
      <c r="BR1106" s="23">
        <v>193.5</v>
      </c>
      <c r="BS1106" s="16" t="s">
        <v>4049</v>
      </c>
      <c r="BT1106" s="16" t="b">
        <v>1</v>
      </c>
      <c r="BU1106" s="16" t="s">
        <v>546</v>
      </c>
      <c r="BV1106" s="16"/>
      <c r="BW1106" s="16"/>
      <c r="BX1106" s="16"/>
      <c r="BY1106" s="16"/>
    </row>
    <row r="1107">
      <c r="A1107" s="16" t="s">
        <v>6707</v>
      </c>
      <c r="B1107" s="16" t="s">
        <v>35</v>
      </c>
      <c r="C1107" s="22">
        <v>45737.0</v>
      </c>
      <c r="D1107" s="16" t="s">
        <v>112</v>
      </c>
      <c r="E1107" s="16" t="s">
        <v>6884</v>
      </c>
      <c r="F1107" s="16" t="s">
        <v>157</v>
      </c>
      <c r="G1107" s="16" t="s">
        <v>159</v>
      </c>
      <c r="H1107" s="16">
        <v>10.0</v>
      </c>
      <c r="I1107" s="23">
        <v>12.5</v>
      </c>
      <c r="J1107" s="23">
        <v>125.0</v>
      </c>
      <c r="K1107" s="16" t="s">
        <v>155</v>
      </c>
      <c r="L1107" s="23">
        <v>1.0</v>
      </c>
      <c r="M1107" s="23">
        <v>65.29</v>
      </c>
      <c r="N1107" s="23">
        <v>65.29</v>
      </c>
      <c r="O1107" s="16" t="s">
        <v>152</v>
      </c>
      <c r="P1107" s="23">
        <v>3.0</v>
      </c>
      <c r="Q1107" s="23">
        <v>3.0</v>
      </c>
      <c r="R1107" s="23">
        <v>9.0</v>
      </c>
      <c r="S1107" s="16" t="s">
        <v>226</v>
      </c>
      <c r="T1107" s="23">
        <v>5.0</v>
      </c>
      <c r="U1107" s="23">
        <v>9.0</v>
      </c>
      <c r="V1107" s="23">
        <v>45.0</v>
      </c>
      <c r="W1107" s="16"/>
      <c r="X1107" s="23"/>
      <c r="Y1107" s="23"/>
      <c r="Z1107" s="23">
        <v>0.0</v>
      </c>
      <c r="AA1107" s="16"/>
      <c r="AB1107" s="23"/>
      <c r="AC1107" s="23"/>
      <c r="AD1107" s="23">
        <v>0.0</v>
      </c>
      <c r="AE1107" s="16"/>
      <c r="AF1107" s="23"/>
      <c r="AG1107" s="23"/>
      <c r="AH1107" s="23">
        <v>0.0</v>
      </c>
      <c r="AI1107" s="16"/>
      <c r="AJ1107" s="23"/>
      <c r="AK1107" s="23"/>
      <c r="AL1107" s="23">
        <v>0.0</v>
      </c>
      <c r="AM1107" s="16"/>
      <c r="AN1107" s="23"/>
      <c r="AO1107" s="23"/>
      <c r="AP1107" s="23">
        <v>0.0</v>
      </c>
      <c r="AQ1107" s="16"/>
      <c r="AR1107" s="23"/>
      <c r="AS1107" s="23"/>
      <c r="AT1107" s="23">
        <v>0.0</v>
      </c>
      <c r="AX1107" s="23">
        <v>0.0</v>
      </c>
      <c r="BF1107" s="23">
        <v>0.0</v>
      </c>
      <c r="BJ1107" s="23">
        <v>0.0</v>
      </c>
      <c r="BN1107" s="23">
        <v>0.0</v>
      </c>
      <c r="BO1107" s="23">
        <v>244.29</v>
      </c>
      <c r="BP1107" s="16" t="s">
        <v>6886</v>
      </c>
      <c r="BQ1107" s="16" t="b">
        <v>1</v>
      </c>
      <c r="BR1107" s="23">
        <v>244.29</v>
      </c>
      <c r="BS1107" s="16"/>
      <c r="BT1107" s="16" t="b">
        <v>0</v>
      </c>
      <c r="BU1107" s="16" t="s">
        <v>546</v>
      </c>
      <c r="BV1107" s="16"/>
      <c r="BW1107" s="16"/>
      <c r="BX1107" s="16"/>
      <c r="BY1107" s="16"/>
    </row>
    <row r="1108">
      <c r="A1108" s="16" t="s">
        <v>6712</v>
      </c>
      <c r="B1108" s="16" t="s">
        <v>35</v>
      </c>
      <c r="C1108" s="22">
        <v>45738.0</v>
      </c>
      <c r="D1108" s="16" t="s">
        <v>112</v>
      </c>
      <c r="E1108" s="16" t="s">
        <v>6889</v>
      </c>
      <c r="F1108" s="16" t="s">
        <v>157</v>
      </c>
      <c r="G1108" s="16" t="s">
        <v>159</v>
      </c>
      <c r="H1108" s="16">
        <v>1.0</v>
      </c>
      <c r="I1108" s="23">
        <v>130.0</v>
      </c>
      <c r="J1108" s="23">
        <v>130.0</v>
      </c>
      <c r="K1108" s="16" t="s">
        <v>155</v>
      </c>
      <c r="L1108" s="23">
        <v>1.0</v>
      </c>
      <c r="M1108" s="23">
        <v>41.94</v>
      </c>
      <c r="N1108" s="23">
        <v>41.94</v>
      </c>
      <c r="O1108" s="16" t="s">
        <v>152</v>
      </c>
      <c r="P1108" s="23">
        <v>1.0</v>
      </c>
      <c r="Q1108" s="23">
        <v>6.12</v>
      </c>
      <c r="R1108" s="23">
        <v>6.12</v>
      </c>
      <c r="S1108" s="16" t="s">
        <v>226</v>
      </c>
      <c r="T1108" s="23">
        <v>5.0</v>
      </c>
      <c r="U1108" s="23">
        <v>9.0</v>
      </c>
      <c r="V1108" s="23">
        <v>45.0</v>
      </c>
      <c r="W1108" s="16"/>
      <c r="X1108" s="23"/>
      <c r="Y1108" s="23"/>
      <c r="Z1108" s="23">
        <v>0.0</v>
      </c>
      <c r="AA1108" s="16"/>
      <c r="AB1108" s="23"/>
      <c r="AC1108" s="23"/>
      <c r="AD1108" s="23">
        <v>0.0</v>
      </c>
      <c r="AE1108" s="16"/>
      <c r="AF1108" s="23"/>
      <c r="AG1108" s="23"/>
      <c r="AH1108" s="23">
        <v>0.0</v>
      </c>
      <c r="AI1108" s="16"/>
      <c r="AJ1108" s="23"/>
      <c r="AK1108" s="23"/>
      <c r="AL1108" s="23">
        <v>0.0</v>
      </c>
      <c r="AM1108" s="16"/>
      <c r="AN1108" s="23"/>
      <c r="AO1108" s="23"/>
      <c r="AP1108" s="23">
        <v>0.0</v>
      </c>
      <c r="AQ1108" s="16"/>
      <c r="AR1108" s="23"/>
      <c r="AS1108" s="23"/>
      <c r="AT1108" s="23">
        <v>0.0</v>
      </c>
      <c r="AX1108" s="23">
        <v>0.0</v>
      </c>
      <c r="BF1108" s="23">
        <v>0.0</v>
      </c>
      <c r="BJ1108" s="23">
        <v>0.0</v>
      </c>
      <c r="BN1108" s="23">
        <v>0.0</v>
      </c>
      <c r="BO1108" s="23">
        <v>223.06</v>
      </c>
      <c r="BP1108" s="16" t="s">
        <v>6892</v>
      </c>
      <c r="BQ1108" s="16" t="b">
        <v>1</v>
      </c>
      <c r="BR1108" s="23">
        <v>223.06</v>
      </c>
      <c r="BS1108" s="16"/>
      <c r="BT1108" s="16" t="b">
        <v>0</v>
      </c>
      <c r="BU1108" s="16" t="s">
        <v>546</v>
      </c>
      <c r="BV1108" s="16"/>
      <c r="BW1108" s="16"/>
      <c r="BX1108" s="16"/>
      <c r="BY1108" s="16"/>
    </row>
    <row r="1109">
      <c r="A1109" s="16" t="s">
        <v>6717</v>
      </c>
      <c r="B1109" s="16" t="s">
        <v>35</v>
      </c>
      <c r="C1109" s="22">
        <v>45739.0</v>
      </c>
      <c r="D1109" s="16" t="s">
        <v>543</v>
      </c>
      <c r="E1109" s="16" t="s">
        <v>6898</v>
      </c>
      <c r="F1109" s="16" t="s">
        <v>171</v>
      </c>
      <c r="G1109" s="16">
        <v>1.2539885E7</v>
      </c>
      <c r="H1109" s="16">
        <v>1.0</v>
      </c>
      <c r="I1109" s="23">
        <v>525.0</v>
      </c>
      <c r="J1109" s="23">
        <v>525.0</v>
      </c>
      <c r="K1109" s="16"/>
      <c r="L1109" s="23"/>
      <c r="M1109" s="23"/>
      <c r="N1109" s="23">
        <v>0.0</v>
      </c>
      <c r="O1109" s="16"/>
      <c r="P1109" s="23"/>
      <c r="Q1109" s="23"/>
      <c r="R1109" s="23">
        <v>0.0</v>
      </c>
      <c r="S1109" s="16"/>
      <c r="T1109" s="23"/>
      <c r="U1109" s="23"/>
      <c r="V1109" s="23">
        <v>0.0</v>
      </c>
      <c r="W1109" s="16"/>
      <c r="X1109" s="23"/>
      <c r="Y1109" s="23"/>
      <c r="Z1109" s="23">
        <v>0.0</v>
      </c>
      <c r="AA1109" s="16"/>
      <c r="AB1109" s="23"/>
      <c r="AC1109" s="23"/>
      <c r="AD1109" s="23">
        <v>0.0</v>
      </c>
      <c r="AE1109" s="16"/>
      <c r="AF1109" s="23"/>
      <c r="AG1109" s="23"/>
      <c r="AH1109" s="23">
        <v>0.0</v>
      </c>
      <c r="AI1109" s="16"/>
      <c r="AJ1109" s="23"/>
      <c r="AK1109" s="23"/>
      <c r="AL1109" s="23">
        <v>0.0</v>
      </c>
      <c r="AM1109" s="16"/>
      <c r="AN1109" s="23"/>
      <c r="AO1109" s="23"/>
      <c r="AP1109" s="23">
        <v>0.0</v>
      </c>
      <c r="AQ1109" s="16"/>
      <c r="AR1109" s="23"/>
      <c r="AS1109" s="23"/>
      <c r="AT1109" s="23">
        <v>0.0</v>
      </c>
      <c r="AX1109" s="23">
        <v>0.0</v>
      </c>
      <c r="BF1109" s="23">
        <v>0.0</v>
      </c>
      <c r="BJ1109" s="23">
        <v>0.0</v>
      </c>
      <c r="BN1109" s="23">
        <v>0.0</v>
      </c>
      <c r="BO1109" s="23">
        <v>525.0</v>
      </c>
      <c r="BP1109" s="16" t="s">
        <v>6899</v>
      </c>
      <c r="BQ1109" s="16" t="b">
        <v>1</v>
      </c>
      <c r="BR1109" s="23">
        <v>525.0</v>
      </c>
      <c r="BS1109" s="16"/>
      <c r="BT1109" s="16" t="b">
        <v>0</v>
      </c>
      <c r="BU1109" s="16" t="s">
        <v>546</v>
      </c>
      <c r="BV1109" s="16"/>
      <c r="BW1109" s="16"/>
      <c r="BX1109" s="16"/>
      <c r="BY1109" s="16"/>
    </row>
    <row r="1110">
      <c r="A1110" s="16" t="s">
        <v>6719</v>
      </c>
      <c r="B1110" s="16" t="s">
        <v>35</v>
      </c>
      <c r="C1110" s="22">
        <v>45739.0</v>
      </c>
      <c r="D1110" s="16" t="s">
        <v>6909</v>
      </c>
      <c r="E1110" s="16" t="s">
        <v>6911</v>
      </c>
      <c r="F1110" s="16" t="s">
        <v>6914</v>
      </c>
      <c r="G1110" s="16" t="s">
        <v>6720</v>
      </c>
      <c r="H1110" s="16">
        <v>1.0</v>
      </c>
      <c r="I1110" s="23">
        <v>210.0</v>
      </c>
      <c r="J1110" s="23">
        <v>210.0</v>
      </c>
      <c r="K1110" s="16"/>
      <c r="L1110" s="23"/>
      <c r="M1110" s="23"/>
      <c r="N1110" s="23">
        <v>0.0</v>
      </c>
      <c r="O1110" s="16"/>
      <c r="P1110" s="23"/>
      <c r="Q1110" s="23"/>
      <c r="R1110" s="23">
        <v>0.0</v>
      </c>
      <c r="S1110" s="16"/>
      <c r="T1110" s="23"/>
      <c r="U1110" s="23"/>
      <c r="V1110" s="23">
        <v>0.0</v>
      </c>
      <c r="W1110" s="16"/>
      <c r="X1110" s="23"/>
      <c r="Y1110" s="23"/>
      <c r="Z1110" s="23">
        <v>0.0</v>
      </c>
      <c r="AA1110" s="16"/>
      <c r="AB1110" s="23"/>
      <c r="AC1110" s="23"/>
      <c r="AD1110" s="23">
        <v>0.0</v>
      </c>
      <c r="AE1110" s="16"/>
      <c r="AF1110" s="23"/>
      <c r="AG1110" s="23"/>
      <c r="AH1110" s="23">
        <v>0.0</v>
      </c>
      <c r="AI1110" s="16"/>
      <c r="AJ1110" s="23"/>
      <c r="AK1110" s="23"/>
      <c r="AL1110" s="23">
        <v>0.0</v>
      </c>
      <c r="AM1110" s="16"/>
      <c r="AN1110" s="23"/>
      <c r="AO1110" s="23"/>
      <c r="AP1110" s="23">
        <v>0.0</v>
      </c>
      <c r="AQ1110" s="16"/>
      <c r="AR1110" s="23"/>
      <c r="AS1110" s="23"/>
      <c r="AT1110" s="23">
        <v>0.0</v>
      </c>
      <c r="AX1110" s="23">
        <v>0.0</v>
      </c>
      <c r="BF1110" s="23">
        <v>0.0</v>
      </c>
      <c r="BJ1110" s="23">
        <v>0.0</v>
      </c>
      <c r="BN1110" s="23">
        <v>0.0</v>
      </c>
      <c r="BO1110" s="23">
        <v>210.0</v>
      </c>
      <c r="BP1110" s="16" t="s">
        <v>6913</v>
      </c>
      <c r="BQ1110" s="16" t="b">
        <v>1</v>
      </c>
      <c r="BR1110" s="23">
        <v>210.0</v>
      </c>
      <c r="BS1110" s="16"/>
      <c r="BT1110" s="16" t="b">
        <v>0</v>
      </c>
      <c r="BU1110" s="16" t="s">
        <v>546</v>
      </c>
      <c r="BV1110" s="16"/>
      <c r="BW1110" s="16"/>
      <c r="BX1110" s="16"/>
      <c r="BY1110" s="16"/>
    </row>
    <row r="1111">
      <c r="A1111" s="16" t="s">
        <v>6723</v>
      </c>
      <c r="B1111" s="16" t="s">
        <v>35</v>
      </c>
      <c r="C1111" s="22">
        <v>45717.0</v>
      </c>
      <c r="D1111" s="16" t="s">
        <v>2439</v>
      </c>
      <c r="E1111" s="16" t="s">
        <v>6922</v>
      </c>
      <c r="F1111" s="16" t="s">
        <v>5136</v>
      </c>
      <c r="G1111" s="16" t="s">
        <v>3496</v>
      </c>
      <c r="H1111" s="16">
        <v>1.0</v>
      </c>
      <c r="I1111" s="23">
        <v>232.67</v>
      </c>
      <c r="J1111" s="23">
        <v>232.67</v>
      </c>
      <c r="K1111" s="16"/>
      <c r="L1111" s="23"/>
      <c r="M1111" s="23"/>
      <c r="N1111" s="23">
        <v>0.0</v>
      </c>
      <c r="O1111" s="16"/>
      <c r="P1111" s="23"/>
      <c r="Q1111" s="23"/>
      <c r="R1111" s="23">
        <v>0.0</v>
      </c>
      <c r="S1111" s="16"/>
      <c r="T1111" s="23"/>
      <c r="U1111" s="23"/>
      <c r="V1111" s="23">
        <v>0.0</v>
      </c>
      <c r="W1111" s="16"/>
      <c r="X1111" s="23"/>
      <c r="Y1111" s="23"/>
      <c r="Z1111" s="23">
        <v>0.0</v>
      </c>
      <c r="AA1111" s="16"/>
      <c r="AB1111" s="23"/>
      <c r="AC1111" s="23"/>
      <c r="AD1111" s="23">
        <v>0.0</v>
      </c>
      <c r="AE1111" s="16"/>
      <c r="AF1111" s="23"/>
      <c r="AG1111" s="23"/>
      <c r="AH1111" s="23">
        <v>0.0</v>
      </c>
      <c r="AI1111" s="16"/>
      <c r="AJ1111" s="23"/>
      <c r="AK1111" s="23"/>
      <c r="AL1111" s="23">
        <v>0.0</v>
      </c>
      <c r="AM1111" s="16"/>
      <c r="AN1111" s="23"/>
      <c r="AO1111" s="23"/>
      <c r="AP1111" s="23">
        <v>0.0</v>
      </c>
      <c r="AQ1111" s="16"/>
      <c r="AR1111" s="23"/>
      <c r="AS1111" s="23"/>
      <c r="AT1111" s="23">
        <v>0.0</v>
      </c>
      <c r="AX1111" s="23">
        <v>0.0</v>
      </c>
      <c r="BF1111" s="23">
        <v>0.0</v>
      </c>
      <c r="BJ1111" s="23">
        <v>0.0</v>
      </c>
      <c r="BN1111" s="23">
        <v>0.0</v>
      </c>
      <c r="BO1111" s="23">
        <v>232.67</v>
      </c>
      <c r="BP1111" s="16" t="s">
        <v>6924</v>
      </c>
      <c r="BQ1111" s="16" t="b">
        <v>1</v>
      </c>
      <c r="BR1111" s="23">
        <v>232.67</v>
      </c>
      <c r="BS1111" s="16"/>
      <c r="BT1111" s="16" t="b">
        <v>0</v>
      </c>
      <c r="BU1111" s="16" t="s">
        <v>546</v>
      </c>
      <c r="BV1111" s="16"/>
      <c r="BW1111" s="16"/>
      <c r="BX1111" s="16"/>
      <c r="BY1111" s="16"/>
    </row>
    <row r="1112">
      <c r="A1112" s="16" t="s">
        <v>6725</v>
      </c>
      <c r="B1112" s="16" t="s">
        <v>35</v>
      </c>
      <c r="C1112" s="22">
        <v>45742.0</v>
      </c>
      <c r="D1112" s="16"/>
      <c r="E1112" s="16"/>
      <c r="F1112" s="16" t="s">
        <v>6930</v>
      </c>
      <c r="G1112" s="16" t="s">
        <v>1168</v>
      </c>
      <c r="H1112" s="16">
        <v>1.0</v>
      </c>
      <c r="I1112" s="23">
        <v>500.0</v>
      </c>
      <c r="J1112" s="23">
        <v>500.0</v>
      </c>
      <c r="K1112" s="16"/>
      <c r="L1112" s="23"/>
      <c r="M1112" s="23"/>
      <c r="N1112" s="23"/>
      <c r="O1112" s="16"/>
      <c r="P1112" s="23"/>
      <c r="Q1112" s="23"/>
      <c r="R1112" s="23"/>
      <c r="S1112" s="16"/>
      <c r="T1112" s="23"/>
      <c r="U1112" s="23"/>
      <c r="V1112" s="23"/>
      <c r="W1112" s="16"/>
      <c r="X1112" s="23"/>
      <c r="Y1112" s="23"/>
      <c r="Z1112" s="23"/>
      <c r="AA1112" s="16"/>
      <c r="AB1112" s="23"/>
      <c r="AC1112" s="23"/>
      <c r="AD1112" s="23"/>
      <c r="AE1112" s="16"/>
      <c r="AF1112" s="23"/>
      <c r="AG1112" s="23"/>
      <c r="AH1112" s="23"/>
      <c r="AI1112" s="16"/>
      <c r="AJ1112" s="23"/>
      <c r="AK1112" s="23"/>
      <c r="AL1112" s="23"/>
      <c r="AM1112" s="16"/>
      <c r="AN1112" s="23"/>
      <c r="AO1112" s="23"/>
      <c r="AP1112" s="23"/>
      <c r="AQ1112" s="16"/>
      <c r="AR1112" s="23"/>
      <c r="AS1112" s="23"/>
      <c r="AT1112" s="23"/>
      <c r="AX1112" s="23"/>
      <c r="BF1112" s="23"/>
      <c r="BJ1112" s="23"/>
      <c r="BN1112" s="23"/>
      <c r="BO1112" s="23">
        <v>500.0</v>
      </c>
      <c r="BP1112" s="16"/>
      <c r="BQ1112" s="16"/>
      <c r="BR1112" s="23">
        <v>500.0</v>
      </c>
      <c r="BS1112" s="16"/>
      <c r="BT1112" s="16"/>
      <c r="BU1112" s="16" t="s">
        <v>539</v>
      </c>
      <c r="BV1112" s="16" t="s">
        <v>6062</v>
      </c>
      <c r="BW1112" s="16"/>
      <c r="BX1112" s="16"/>
      <c r="BY1112" s="16"/>
    </row>
    <row r="1113">
      <c r="A1113" s="16" t="s">
        <v>6727</v>
      </c>
      <c r="B1113" s="16" t="s">
        <v>35</v>
      </c>
      <c r="C1113" s="22">
        <v>45743.0</v>
      </c>
      <c r="D1113" s="16"/>
      <c r="E1113" s="16"/>
      <c r="F1113" s="16" t="s">
        <v>1329</v>
      </c>
      <c r="G1113" s="16" t="s">
        <v>1168</v>
      </c>
      <c r="H1113" s="16">
        <v>1.0</v>
      </c>
      <c r="I1113" s="23">
        <v>500.0</v>
      </c>
      <c r="J1113" s="23">
        <v>500.0</v>
      </c>
      <c r="K1113" s="16"/>
      <c r="L1113" s="23"/>
      <c r="M1113" s="23"/>
      <c r="N1113" s="23"/>
      <c r="O1113" s="16"/>
      <c r="P1113" s="23"/>
      <c r="Q1113" s="23"/>
      <c r="R1113" s="23"/>
      <c r="S1113" s="16"/>
      <c r="T1113" s="23"/>
      <c r="U1113" s="23"/>
      <c r="V1113" s="23"/>
      <c r="W1113" s="16"/>
      <c r="X1113" s="23"/>
      <c r="Y1113" s="23"/>
      <c r="Z1113" s="23"/>
      <c r="AA1113" s="16"/>
      <c r="AB1113" s="23"/>
      <c r="AC1113" s="23"/>
      <c r="AD1113" s="23"/>
      <c r="AE1113" s="16"/>
      <c r="AF1113" s="23"/>
      <c r="AG1113" s="23"/>
      <c r="AH1113" s="23"/>
      <c r="AI1113" s="16"/>
      <c r="AJ1113" s="23"/>
      <c r="AK1113" s="23"/>
      <c r="AL1113" s="23"/>
      <c r="AM1113" s="16"/>
      <c r="AN1113" s="23"/>
      <c r="AO1113" s="23"/>
      <c r="AP1113" s="23"/>
      <c r="AQ1113" s="16"/>
      <c r="AR1113" s="23"/>
      <c r="AS1113" s="23"/>
      <c r="AT1113" s="23"/>
      <c r="AX1113" s="23"/>
      <c r="BF1113" s="23"/>
      <c r="BJ1113" s="23"/>
      <c r="BN1113" s="23"/>
      <c r="BO1113" s="23">
        <v>500.0</v>
      </c>
      <c r="BP1113" s="16"/>
      <c r="BQ1113" s="16"/>
      <c r="BR1113" s="23">
        <v>500.0</v>
      </c>
      <c r="BS1113" s="16"/>
      <c r="BT1113" s="16"/>
      <c r="BU1113" s="16" t="s">
        <v>539</v>
      </c>
      <c r="BV1113" s="16" t="s">
        <v>2052</v>
      </c>
      <c r="BW1113" s="16"/>
      <c r="BX1113" s="16"/>
      <c r="BY1113" s="16"/>
    </row>
    <row r="1114">
      <c r="A1114" s="16" t="s">
        <v>6729</v>
      </c>
      <c r="B1114" s="16" t="s">
        <v>35</v>
      </c>
      <c r="C1114" s="22">
        <v>45743.0</v>
      </c>
      <c r="D1114" s="16"/>
      <c r="E1114" s="16"/>
      <c r="F1114" s="16" t="s">
        <v>1329</v>
      </c>
      <c r="G1114" s="16" t="s">
        <v>1168</v>
      </c>
      <c r="H1114" s="16">
        <v>1.0</v>
      </c>
      <c r="I1114" s="23">
        <v>500.0</v>
      </c>
      <c r="J1114" s="23">
        <v>500.0</v>
      </c>
      <c r="K1114" s="16"/>
      <c r="L1114" s="23"/>
      <c r="M1114" s="23"/>
      <c r="N1114" s="23"/>
      <c r="O1114" s="16"/>
      <c r="P1114" s="23"/>
      <c r="Q1114" s="23"/>
      <c r="R1114" s="23"/>
      <c r="S1114" s="16"/>
      <c r="T1114" s="23"/>
      <c r="U1114" s="23"/>
      <c r="V1114" s="23"/>
      <c r="W1114" s="16"/>
      <c r="X1114" s="23"/>
      <c r="Y1114" s="23"/>
      <c r="Z1114" s="23"/>
      <c r="AA1114" s="16"/>
      <c r="AB1114" s="23"/>
      <c r="AC1114" s="23"/>
      <c r="AD1114" s="23"/>
      <c r="AE1114" s="16"/>
      <c r="AF1114" s="23"/>
      <c r="AG1114" s="23"/>
      <c r="AH1114" s="23"/>
      <c r="AI1114" s="16"/>
      <c r="AJ1114" s="23"/>
      <c r="AK1114" s="23"/>
      <c r="AL1114" s="23"/>
      <c r="AM1114" s="16"/>
      <c r="AN1114" s="23"/>
      <c r="AO1114" s="23"/>
      <c r="AP1114" s="23"/>
      <c r="AQ1114" s="16"/>
      <c r="AR1114" s="23"/>
      <c r="AS1114" s="23"/>
      <c r="AT1114" s="23"/>
      <c r="AX1114" s="23"/>
      <c r="BF1114" s="23"/>
      <c r="BJ1114" s="23"/>
      <c r="BN1114" s="23"/>
      <c r="BO1114" s="23">
        <v>500.0</v>
      </c>
      <c r="BP1114" s="16"/>
      <c r="BQ1114" s="16"/>
      <c r="BR1114" s="23">
        <v>500.0</v>
      </c>
      <c r="BS1114" s="16"/>
      <c r="BT1114" s="16"/>
      <c r="BU1114" s="16" t="s">
        <v>539</v>
      </c>
      <c r="BV1114" s="16" t="s">
        <v>624</v>
      </c>
      <c r="BW1114" s="16"/>
      <c r="BX1114" s="16"/>
      <c r="BY1114" s="16"/>
    </row>
    <row r="1115">
      <c r="A1115" s="16" t="s">
        <v>6731</v>
      </c>
      <c r="B1115" s="16" t="s">
        <v>35</v>
      </c>
      <c r="C1115" s="22">
        <v>45734.0</v>
      </c>
      <c r="D1115" s="16" t="s">
        <v>1036</v>
      </c>
      <c r="E1115" s="16" t="s">
        <v>6957</v>
      </c>
      <c r="F1115" s="16" t="s">
        <v>5755</v>
      </c>
      <c r="G1115" s="16" t="s">
        <v>1668</v>
      </c>
      <c r="H1115" s="16">
        <v>1.0</v>
      </c>
      <c r="I1115" s="23">
        <v>124.16</v>
      </c>
      <c r="J1115" s="23">
        <v>124.16</v>
      </c>
      <c r="K1115" s="16"/>
      <c r="L1115" s="23"/>
      <c r="M1115" s="23"/>
      <c r="N1115" s="23">
        <v>0.0</v>
      </c>
      <c r="O1115" s="16"/>
      <c r="P1115" s="23"/>
      <c r="Q1115" s="23"/>
      <c r="R1115" s="23">
        <v>0.0</v>
      </c>
      <c r="S1115" s="16"/>
      <c r="T1115" s="23"/>
      <c r="U1115" s="23"/>
      <c r="V1115" s="23">
        <v>0.0</v>
      </c>
      <c r="W1115" s="16"/>
      <c r="X1115" s="23"/>
      <c r="Y1115" s="23"/>
      <c r="Z1115" s="23">
        <v>0.0</v>
      </c>
      <c r="AA1115" s="16"/>
      <c r="AB1115" s="23"/>
      <c r="AC1115" s="23"/>
      <c r="AD1115" s="23">
        <v>0.0</v>
      </c>
      <c r="AE1115" s="16"/>
      <c r="AF1115" s="23"/>
      <c r="AG1115" s="23"/>
      <c r="AH1115" s="23">
        <v>0.0</v>
      </c>
      <c r="AI1115" s="16"/>
      <c r="AJ1115" s="23"/>
      <c r="AK1115" s="23"/>
      <c r="AL1115" s="23">
        <v>0.0</v>
      </c>
      <c r="AM1115" s="16"/>
      <c r="AN1115" s="23"/>
      <c r="AO1115" s="23"/>
      <c r="AP1115" s="23">
        <v>0.0</v>
      </c>
      <c r="AQ1115" s="16"/>
      <c r="AR1115" s="23"/>
      <c r="AS1115" s="23"/>
      <c r="AT1115" s="23">
        <v>0.0</v>
      </c>
      <c r="AX1115" s="23">
        <v>0.0</v>
      </c>
      <c r="BF1115" s="23">
        <v>0.0</v>
      </c>
      <c r="BJ1115" s="23">
        <v>0.0</v>
      </c>
      <c r="BN1115" s="23">
        <v>0.0</v>
      </c>
      <c r="BO1115" s="23">
        <v>124.16</v>
      </c>
      <c r="BP1115" s="16" t="s">
        <v>6959</v>
      </c>
      <c r="BQ1115" s="16" t="b">
        <v>1</v>
      </c>
      <c r="BR1115" s="23">
        <v>124.16</v>
      </c>
      <c r="BS1115" s="16"/>
      <c r="BT1115" s="16" t="b">
        <v>0</v>
      </c>
      <c r="BU1115" s="16" t="s">
        <v>546</v>
      </c>
      <c r="BV1115" s="16"/>
      <c r="BW1115" s="16"/>
      <c r="BX1115" s="16"/>
      <c r="BY1115" s="16"/>
    </row>
    <row r="1116">
      <c r="A1116" s="16" t="s">
        <v>6733</v>
      </c>
      <c r="B1116" s="16" t="s">
        <v>35</v>
      </c>
      <c r="C1116" s="22">
        <v>45734.0</v>
      </c>
      <c r="D1116" s="16" t="s">
        <v>890</v>
      </c>
      <c r="E1116" s="16" t="s">
        <v>6967</v>
      </c>
      <c r="F1116" s="16" t="s">
        <v>6970</v>
      </c>
      <c r="G1116" s="16" t="s">
        <v>1164</v>
      </c>
      <c r="H1116" s="16">
        <v>1.0</v>
      </c>
      <c r="I1116" s="23">
        <v>1027.1</v>
      </c>
      <c r="J1116" s="23">
        <v>1027.1</v>
      </c>
      <c r="K1116" s="16"/>
      <c r="L1116" s="23"/>
      <c r="M1116" s="23"/>
      <c r="N1116" s="23">
        <v>0.0</v>
      </c>
      <c r="O1116" s="16"/>
      <c r="P1116" s="23"/>
      <c r="Q1116" s="23"/>
      <c r="R1116" s="23">
        <v>0.0</v>
      </c>
      <c r="S1116" s="16"/>
      <c r="T1116" s="23"/>
      <c r="U1116" s="23"/>
      <c r="V1116" s="23">
        <v>0.0</v>
      </c>
      <c r="W1116" s="16"/>
      <c r="X1116" s="23"/>
      <c r="Y1116" s="23"/>
      <c r="Z1116" s="23">
        <v>0.0</v>
      </c>
      <c r="AA1116" s="16"/>
      <c r="AB1116" s="23"/>
      <c r="AC1116" s="23"/>
      <c r="AD1116" s="23">
        <v>0.0</v>
      </c>
      <c r="AE1116" s="16"/>
      <c r="AF1116" s="23"/>
      <c r="AG1116" s="23"/>
      <c r="AH1116" s="23">
        <v>0.0</v>
      </c>
      <c r="AI1116" s="16"/>
      <c r="AJ1116" s="23"/>
      <c r="AK1116" s="23"/>
      <c r="AL1116" s="23">
        <v>0.0</v>
      </c>
      <c r="AM1116" s="16"/>
      <c r="AN1116" s="23"/>
      <c r="AO1116" s="23"/>
      <c r="AP1116" s="23">
        <v>0.0</v>
      </c>
      <c r="AQ1116" s="16"/>
      <c r="AR1116" s="23"/>
      <c r="AS1116" s="23"/>
      <c r="AT1116" s="23">
        <v>0.0</v>
      </c>
      <c r="AX1116" s="23">
        <v>0.0</v>
      </c>
      <c r="BF1116" s="23">
        <v>0.0</v>
      </c>
      <c r="BJ1116" s="23">
        <v>0.0</v>
      </c>
      <c r="BN1116" s="23">
        <v>0.0</v>
      </c>
      <c r="BO1116" s="23">
        <v>1027.1</v>
      </c>
      <c r="BP1116" s="16" t="s">
        <v>6969</v>
      </c>
      <c r="BQ1116" s="16" t="b">
        <v>1</v>
      </c>
      <c r="BR1116" s="23">
        <v>1027.1</v>
      </c>
      <c r="BS1116" s="16"/>
      <c r="BT1116" s="16" t="b">
        <v>0</v>
      </c>
      <c r="BU1116" s="16" t="s">
        <v>546</v>
      </c>
      <c r="BV1116" s="16"/>
      <c r="BW1116" s="16" t="s">
        <v>6973</v>
      </c>
      <c r="BX1116" s="16"/>
      <c r="BY1116" s="16"/>
    </row>
    <row r="1117">
      <c r="A1117" s="16" t="s">
        <v>6735</v>
      </c>
      <c r="B1117" s="16" t="s">
        <v>35</v>
      </c>
      <c r="C1117" s="22">
        <v>45741.0</v>
      </c>
      <c r="D1117" s="16" t="s">
        <v>112</v>
      </c>
      <c r="E1117" s="16" t="s">
        <v>6981</v>
      </c>
      <c r="F1117" s="16" t="s">
        <v>157</v>
      </c>
      <c r="G1117" s="16" t="s">
        <v>159</v>
      </c>
      <c r="H1117" s="16">
        <v>1.0</v>
      </c>
      <c r="I1117" s="23">
        <v>130.0</v>
      </c>
      <c r="J1117" s="23">
        <v>130.0</v>
      </c>
      <c r="K1117" s="16" t="s">
        <v>155</v>
      </c>
      <c r="L1117" s="23">
        <v>1.0</v>
      </c>
      <c r="M1117" s="23">
        <v>47.7</v>
      </c>
      <c r="N1117" s="23">
        <v>47.7</v>
      </c>
      <c r="O1117" s="16" t="s">
        <v>226</v>
      </c>
      <c r="P1117" s="23">
        <v>1.0</v>
      </c>
      <c r="Q1117" s="23">
        <v>27.0</v>
      </c>
      <c r="R1117" s="23">
        <v>27.0</v>
      </c>
      <c r="S1117" s="16"/>
      <c r="T1117" s="23"/>
      <c r="U1117" s="23"/>
      <c r="V1117" s="23">
        <v>0.0</v>
      </c>
      <c r="W1117" s="16"/>
      <c r="X1117" s="23"/>
      <c r="Y1117" s="23"/>
      <c r="Z1117" s="23">
        <v>0.0</v>
      </c>
      <c r="AA1117" s="16"/>
      <c r="AB1117" s="23"/>
      <c r="AC1117" s="23"/>
      <c r="AD1117" s="23">
        <v>0.0</v>
      </c>
      <c r="AE1117" s="16"/>
      <c r="AF1117" s="23"/>
      <c r="AG1117" s="23"/>
      <c r="AH1117" s="23">
        <v>0.0</v>
      </c>
      <c r="AI1117" s="16"/>
      <c r="AJ1117" s="23"/>
      <c r="AK1117" s="23"/>
      <c r="AL1117" s="23">
        <v>0.0</v>
      </c>
      <c r="AM1117" s="16"/>
      <c r="AN1117" s="23"/>
      <c r="AO1117" s="23"/>
      <c r="AP1117" s="23">
        <v>0.0</v>
      </c>
      <c r="AQ1117" s="16"/>
      <c r="AR1117" s="23"/>
      <c r="AS1117" s="23"/>
      <c r="AT1117" s="23">
        <v>0.0</v>
      </c>
      <c r="AX1117" s="23">
        <v>0.0</v>
      </c>
      <c r="BF1117" s="23">
        <v>0.0</v>
      </c>
      <c r="BJ1117" s="23">
        <v>0.0</v>
      </c>
      <c r="BN1117" s="23">
        <v>0.0</v>
      </c>
      <c r="BO1117" s="23">
        <v>204.7</v>
      </c>
      <c r="BP1117" s="16" t="s">
        <v>6983</v>
      </c>
      <c r="BQ1117" s="16" t="b">
        <v>1</v>
      </c>
      <c r="BR1117" s="23">
        <v>204.7</v>
      </c>
      <c r="BS1117" s="16"/>
      <c r="BT1117" s="16" t="b">
        <v>0</v>
      </c>
      <c r="BU1117" s="16" t="s">
        <v>546</v>
      </c>
      <c r="BV1117" s="16"/>
      <c r="BW1117" s="16"/>
      <c r="BX1117" s="16"/>
      <c r="BY1117" s="16"/>
    </row>
    <row r="1118">
      <c r="A1118" s="16" t="s">
        <v>6739</v>
      </c>
      <c r="B1118" s="16" t="s">
        <v>35</v>
      </c>
      <c r="C1118" s="22">
        <v>45741.0</v>
      </c>
      <c r="D1118" s="16" t="s">
        <v>112</v>
      </c>
      <c r="E1118" s="16" t="s">
        <v>6991</v>
      </c>
      <c r="F1118" s="16" t="s">
        <v>6995</v>
      </c>
      <c r="G1118" s="16" t="s">
        <v>230</v>
      </c>
      <c r="H1118" s="16">
        <v>1.0</v>
      </c>
      <c r="I1118" s="23">
        <v>40.59</v>
      </c>
      <c r="J1118" s="23">
        <v>40.59</v>
      </c>
      <c r="K1118" s="16"/>
      <c r="L1118" s="23"/>
      <c r="M1118" s="23"/>
      <c r="N1118" s="23">
        <v>0.0</v>
      </c>
      <c r="O1118" s="16"/>
      <c r="P1118" s="23"/>
      <c r="Q1118" s="23"/>
      <c r="R1118" s="23">
        <v>0.0</v>
      </c>
      <c r="S1118" s="16"/>
      <c r="T1118" s="23"/>
      <c r="U1118" s="23"/>
      <c r="V1118" s="23">
        <v>0.0</v>
      </c>
      <c r="W1118" s="16"/>
      <c r="X1118" s="23"/>
      <c r="Y1118" s="23"/>
      <c r="Z1118" s="23">
        <v>0.0</v>
      </c>
      <c r="AA1118" s="16"/>
      <c r="AB1118" s="23"/>
      <c r="AC1118" s="23"/>
      <c r="AD1118" s="23">
        <v>0.0</v>
      </c>
      <c r="AE1118" s="16"/>
      <c r="AF1118" s="23"/>
      <c r="AG1118" s="23"/>
      <c r="AH1118" s="23">
        <v>0.0</v>
      </c>
      <c r="AI1118" s="16"/>
      <c r="AJ1118" s="23"/>
      <c r="AK1118" s="23"/>
      <c r="AL1118" s="23">
        <v>0.0</v>
      </c>
      <c r="AM1118" s="16"/>
      <c r="AN1118" s="23"/>
      <c r="AO1118" s="23"/>
      <c r="AP1118" s="23">
        <v>0.0</v>
      </c>
      <c r="AQ1118" s="16"/>
      <c r="AR1118" s="23"/>
      <c r="AS1118" s="23"/>
      <c r="AT1118" s="23">
        <v>0.0</v>
      </c>
      <c r="AX1118" s="23">
        <v>0.0</v>
      </c>
      <c r="BF1118" s="23">
        <v>0.0</v>
      </c>
      <c r="BJ1118" s="23">
        <v>0.0</v>
      </c>
      <c r="BN1118" s="23">
        <v>0.0</v>
      </c>
      <c r="BO1118" s="23">
        <v>40.59</v>
      </c>
      <c r="BP1118" s="16" t="s">
        <v>6994</v>
      </c>
      <c r="BQ1118" s="16" t="b">
        <v>1</v>
      </c>
      <c r="BR1118" s="23">
        <v>40.59</v>
      </c>
      <c r="BS1118" s="16"/>
      <c r="BT1118" s="16" t="b">
        <v>0</v>
      </c>
      <c r="BU1118" s="16" t="s">
        <v>546</v>
      </c>
      <c r="BV1118" s="16"/>
      <c r="BW1118" s="16"/>
      <c r="BX1118" s="16"/>
      <c r="BY1118" s="16"/>
    </row>
    <row r="1119">
      <c r="A1119" s="16" t="s">
        <v>6741</v>
      </c>
      <c r="B1119" s="16" t="s">
        <v>35</v>
      </c>
      <c r="C1119" s="22">
        <v>45742.0</v>
      </c>
      <c r="D1119" s="16" t="s">
        <v>2096</v>
      </c>
      <c r="E1119" s="16" t="s">
        <v>7006</v>
      </c>
      <c r="F1119" s="16" t="s">
        <v>4107</v>
      </c>
      <c r="G1119" s="16" t="s">
        <v>1536</v>
      </c>
      <c r="H1119" s="16">
        <v>1.0</v>
      </c>
      <c r="I1119" s="23">
        <v>20.0</v>
      </c>
      <c r="J1119" s="23">
        <v>20.0</v>
      </c>
      <c r="K1119" s="16"/>
      <c r="L1119" s="23"/>
      <c r="M1119" s="23"/>
      <c r="N1119" s="23">
        <v>0.0</v>
      </c>
      <c r="O1119" s="16"/>
      <c r="P1119" s="23"/>
      <c r="Q1119" s="23"/>
      <c r="R1119" s="23">
        <v>0.0</v>
      </c>
      <c r="S1119" s="16"/>
      <c r="T1119" s="23"/>
      <c r="U1119" s="23"/>
      <c r="V1119" s="23">
        <v>0.0</v>
      </c>
      <c r="W1119" s="16"/>
      <c r="X1119" s="23"/>
      <c r="Y1119" s="23"/>
      <c r="Z1119" s="23">
        <v>0.0</v>
      </c>
      <c r="AA1119" s="16"/>
      <c r="AB1119" s="23"/>
      <c r="AC1119" s="23"/>
      <c r="AD1119" s="23">
        <v>0.0</v>
      </c>
      <c r="AE1119" s="16"/>
      <c r="AF1119" s="23"/>
      <c r="AG1119" s="23"/>
      <c r="AH1119" s="23">
        <v>0.0</v>
      </c>
      <c r="AI1119" s="16"/>
      <c r="AJ1119" s="23"/>
      <c r="AK1119" s="23"/>
      <c r="AL1119" s="23">
        <v>0.0</v>
      </c>
      <c r="AM1119" s="16"/>
      <c r="AN1119" s="23"/>
      <c r="AO1119" s="23"/>
      <c r="AP1119" s="23">
        <v>0.0</v>
      </c>
      <c r="AQ1119" s="16"/>
      <c r="AR1119" s="23"/>
      <c r="AS1119" s="23"/>
      <c r="AT1119" s="23">
        <v>0.0</v>
      </c>
      <c r="AX1119" s="23">
        <v>0.0</v>
      </c>
      <c r="BF1119" s="23">
        <v>0.0</v>
      </c>
      <c r="BJ1119" s="23">
        <v>0.0</v>
      </c>
      <c r="BN1119" s="23">
        <v>0.0</v>
      </c>
      <c r="BO1119" s="23">
        <v>20.0</v>
      </c>
      <c r="BP1119" s="16" t="s">
        <v>7008</v>
      </c>
      <c r="BQ1119" s="16" t="b">
        <v>1</v>
      </c>
      <c r="BR1119" s="23">
        <v>20.0</v>
      </c>
      <c r="BS1119" s="16">
        <v>1398407.0</v>
      </c>
      <c r="BT1119" s="16" t="b">
        <v>1</v>
      </c>
      <c r="BU1119" s="16" t="s">
        <v>546</v>
      </c>
      <c r="BV1119" s="16"/>
      <c r="BW1119" s="16" t="s">
        <v>7012</v>
      </c>
      <c r="BX1119" s="16"/>
      <c r="BY1119" s="16"/>
    </row>
    <row r="1120">
      <c r="A1120" s="16" t="s">
        <v>6743</v>
      </c>
      <c r="B1120" s="16" t="s">
        <v>35</v>
      </c>
      <c r="C1120" s="22">
        <v>45744.0</v>
      </c>
      <c r="D1120" s="16">
        <v>2.6065919E7</v>
      </c>
      <c r="E1120" s="16" t="s">
        <v>7021</v>
      </c>
      <c r="F1120" s="16" t="s">
        <v>5885</v>
      </c>
      <c r="G1120" s="16" t="s">
        <v>1022</v>
      </c>
      <c r="H1120" s="16">
        <v>1.0</v>
      </c>
      <c r="I1120" s="23">
        <v>174.4</v>
      </c>
      <c r="J1120" s="23">
        <v>174.4</v>
      </c>
      <c r="K1120" s="16"/>
      <c r="L1120" s="23"/>
      <c r="M1120" s="23"/>
      <c r="N1120" s="23">
        <v>0.0</v>
      </c>
      <c r="O1120" s="16"/>
      <c r="P1120" s="23"/>
      <c r="Q1120" s="23"/>
      <c r="R1120" s="23">
        <v>0.0</v>
      </c>
      <c r="S1120" s="16"/>
      <c r="T1120" s="23"/>
      <c r="U1120" s="23"/>
      <c r="V1120" s="23">
        <v>0.0</v>
      </c>
      <c r="W1120" s="16"/>
      <c r="X1120" s="23"/>
      <c r="Y1120" s="23"/>
      <c r="Z1120" s="23">
        <v>0.0</v>
      </c>
      <c r="AA1120" s="16"/>
      <c r="AB1120" s="23"/>
      <c r="AC1120" s="23"/>
      <c r="AD1120" s="23">
        <v>0.0</v>
      </c>
      <c r="AE1120" s="16"/>
      <c r="AF1120" s="23"/>
      <c r="AG1120" s="23"/>
      <c r="AH1120" s="23">
        <v>0.0</v>
      </c>
      <c r="AI1120" s="16"/>
      <c r="AJ1120" s="23"/>
      <c r="AK1120" s="23"/>
      <c r="AL1120" s="23">
        <v>0.0</v>
      </c>
      <c r="AM1120" s="16"/>
      <c r="AN1120" s="23"/>
      <c r="AO1120" s="23"/>
      <c r="AP1120" s="23">
        <v>0.0</v>
      </c>
      <c r="AQ1120" s="16"/>
      <c r="AR1120" s="23"/>
      <c r="AS1120" s="23"/>
      <c r="AT1120" s="23">
        <v>0.0</v>
      </c>
      <c r="AX1120" s="23">
        <v>0.0</v>
      </c>
      <c r="BF1120" s="23">
        <v>0.0</v>
      </c>
      <c r="BJ1120" s="23">
        <v>0.0</v>
      </c>
      <c r="BN1120" s="23">
        <v>0.0</v>
      </c>
      <c r="BO1120" s="23">
        <v>174.4</v>
      </c>
      <c r="BP1120" s="16" t="s">
        <v>7022</v>
      </c>
      <c r="BQ1120" s="16" t="b">
        <v>1</v>
      </c>
      <c r="BR1120" s="23">
        <v>174.4</v>
      </c>
      <c r="BS1120" s="16">
        <v>1401439.0</v>
      </c>
      <c r="BT1120" s="16" t="b">
        <v>1</v>
      </c>
      <c r="BU1120" s="16" t="s">
        <v>546</v>
      </c>
      <c r="BV1120" s="16"/>
      <c r="BW1120" s="16"/>
      <c r="BX1120" s="16"/>
      <c r="BY1120" s="16"/>
    </row>
    <row r="1121">
      <c r="A1121" s="16" t="s">
        <v>6745</v>
      </c>
      <c r="B1121" s="16" t="s">
        <v>35</v>
      </c>
      <c r="C1121" s="22">
        <v>45744.0</v>
      </c>
      <c r="D1121" s="16" t="s">
        <v>3493</v>
      </c>
      <c r="E1121" s="16" t="s">
        <v>7029</v>
      </c>
      <c r="F1121" s="16" t="s">
        <v>4248</v>
      </c>
      <c r="G1121" s="16" t="s">
        <v>305</v>
      </c>
      <c r="H1121" s="16">
        <v>1.0</v>
      </c>
      <c r="I1121" s="23">
        <v>35.56</v>
      </c>
      <c r="J1121" s="23">
        <v>35.56</v>
      </c>
      <c r="K1121" s="16"/>
      <c r="L1121" s="23"/>
      <c r="M1121" s="23"/>
      <c r="N1121" s="23">
        <v>0.0</v>
      </c>
      <c r="O1121" s="16"/>
      <c r="P1121" s="23"/>
      <c r="Q1121" s="23"/>
      <c r="R1121" s="23">
        <v>0.0</v>
      </c>
      <c r="S1121" s="16"/>
      <c r="T1121" s="23"/>
      <c r="U1121" s="23"/>
      <c r="V1121" s="23">
        <v>0.0</v>
      </c>
      <c r="W1121" s="16"/>
      <c r="X1121" s="23"/>
      <c r="Y1121" s="23"/>
      <c r="Z1121" s="23">
        <v>0.0</v>
      </c>
      <c r="AA1121" s="16"/>
      <c r="AB1121" s="23"/>
      <c r="AC1121" s="23"/>
      <c r="AD1121" s="23">
        <v>0.0</v>
      </c>
      <c r="AE1121" s="16"/>
      <c r="AF1121" s="23"/>
      <c r="AG1121" s="23"/>
      <c r="AH1121" s="23">
        <v>0.0</v>
      </c>
      <c r="AI1121" s="16"/>
      <c r="AJ1121" s="23"/>
      <c r="AK1121" s="23"/>
      <c r="AL1121" s="23">
        <v>0.0</v>
      </c>
      <c r="AM1121" s="16"/>
      <c r="AN1121" s="23"/>
      <c r="AO1121" s="23"/>
      <c r="AP1121" s="23">
        <v>0.0</v>
      </c>
      <c r="AQ1121" s="16"/>
      <c r="AR1121" s="23"/>
      <c r="AS1121" s="23"/>
      <c r="AT1121" s="23">
        <v>0.0</v>
      </c>
      <c r="AX1121" s="23">
        <v>0.0</v>
      </c>
      <c r="BF1121" s="23">
        <v>0.0</v>
      </c>
      <c r="BJ1121" s="23">
        <v>0.0</v>
      </c>
      <c r="BN1121" s="23">
        <v>0.0</v>
      </c>
      <c r="BO1121" s="23">
        <v>35.56</v>
      </c>
      <c r="BP1121" s="16" t="s">
        <v>7030</v>
      </c>
      <c r="BQ1121" s="16" t="b">
        <v>1</v>
      </c>
      <c r="BR1121" s="23">
        <v>35.56</v>
      </c>
      <c r="BS1121" s="16" t="s">
        <v>4049</v>
      </c>
      <c r="BT1121" s="16" t="b">
        <v>1</v>
      </c>
      <c r="BU1121" s="16" t="s">
        <v>546</v>
      </c>
      <c r="BV1121" s="16"/>
      <c r="BW1121" s="16"/>
      <c r="BX1121" s="16"/>
      <c r="BY1121" s="16"/>
    </row>
    <row r="1122">
      <c r="A1122" s="16" t="s">
        <v>6747</v>
      </c>
      <c r="B1122" s="16" t="s">
        <v>35</v>
      </c>
      <c r="C1122" s="22">
        <v>45744.0</v>
      </c>
      <c r="D1122" s="16" t="s">
        <v>3816</v>
      </c>
      <c r="E1122" s="16" t="s">
        <v>7034</v>
      </c>
      <c r="F1122" s="16" t="s">
        <v>4146</v>
      </c>
      <c r="G1122" s="16" t="s">
        <v>305</v>
      </c>
      <c r="H1122" s="16">
        <v>1.0</v>
      </c>
      <c r="I1122" s="23">
        <v>12.01</v>
      </c>
      <c r="J1122" s="23">
        <v>12.01</v>
      </c>
      <c r="K1122" s="16"/>
      <c r="L1122" s="23"/>
      <c r="M1122" s="23"/>
      <c r="N1122" s="23">
        <v>0.0</v>
      </c>
      <c r="O1122" s="16"/>
      <c r="P1122" s="23"/>
      <c r="Q1122" s="23"/>
      <c r="R1122" s="23">
        <v>0.0</v>
      </c>
      <c r="S1122" s="16"/>
      <c r="T1122" s="23"/>
      <c r="U1122" s="23"/>
      <c r="V1122" s="23">
        <v>0.0</v>
      </c>
      <c r="W1122" s="16"/>
      <c r="X1122" s="23"/>
      <c r="Y1122" s="23"/>
      <c r="Z1122" s="23">
        <v>0.0</v>
      </c>
      <c r="AA1122" s="16"/>
      <c r="AB1122" s="23"/>
      <c r="AC1122" s="23"/>
      <c r="AD1122" s="23">
        <v>0.0</v>
      </c>
      <c r="AE1122" s="16"/>
      <c r="AF1122" s="23"/>
      <c r="AG1122" s="23"/>
      <c r="AH1122" s="23">
        <v>0.0</v>
      </c>
      <c r="AI1122" s="16"/>
      <c r="AJ1122" s="23"/>
      <c r="AK1122" s="23"/>
      <c r="AL1122" s="23">
        <v>0.0</v>
      </c>
      <c r="AM1122" s="16"/>
      <c r="AN1122" s="23"/>
      <c r="AO1122" s="23"/>
      <c r="AP1122" s="23">
        <v>0.0</v>
      </c>
      <c r="AQ1122" s="16"/>
      <c r="AR1122" s="23"/>
      <c r="AS1122" s="23"/>
      <c r="AT1122" s="23">
        <v>0.0</v>
      </c>
      <c r="AX1122" s="23">
        <v>0.0</v>
      </c>
      <c r="BF1122" s="23">
        <v>0.0</v>
      </c>
      <c r="BJ1122" s="23">
        <v>0.0</v>
      </c>
      <c r="BN1122" s="23">
        <v>0.0</v>
      </c>
      <c r="BO1122" s="23">
        <v>12.01</v>
      </c>
      <c r="BP1122" s="16" t="s">
        <v>7035</v>
      </c>
      <c r="BQ1122" s="16" t="b">
        <v>1</v>
      </c>
      <c r="BR1122" s="23">
        <v>12.01</v>
      </c>
      <c r="BS1122" s="16" t="s">
        <v>4049</v>
      </c>
      <c r="BT1122" s="16" t="b">
        <v>1</v>
      </c>
      <c r="BU1122" s="16" t="s">
        <v>546</v>
      </c>
      <c r="BV1122" s="16"/>
      <c r="BW1122" s="16"/>
      <c r="BX1122" s="16"/>
      <c r="BY1122" s="16"/>
    </row>
    <row r="1123">
      <c r="A1123" s="16" t="s">
        <v>6749</v>
      </c>
      <c r="B1123" s="16" t="s">
        <v>35</v>
      </c>
      <c r="C1123" s="22">
        <v>45744.0</v>
      </c>
      <c r="D1123" s="16" t="s">
        <v>543</v>
      </c>
      <c r="E1123" s="16" t="s">
        <v>7044</v>
      </c>
      <c r="F1123" s="16" t="s">
        <v>171</v>
      </c>
      <c r="G1123" s="16">
        <v>1.2539885E7</v>
      </c>
      <c r="H1123" s="16">
        <v>1.0</v>
      </c>
      <c r="I1123" s="23">
        <v>325.0</v>
      </c>
      <c r="J1123" s="23">
        <v>325.0</v>
      </c>
      <c r="K1123" s="16"/>
      <c r="L1123" s="23"/>
      <c r="M1123" s="23"/>
      <c r="N1123" s="23">
        <v>0.0</v>
      </c>
      <c r="O1123" s="16"/>
      <c r="P1123" s="23"/>
      <c r="Q1123" s="23"/>
      <c r="R1123" s="23">
        <v>0.0</v>
      </c>
      <c r="S1123" s="16"/>
      <c r="T1123" s="23"/>
      <c r="U1123" s="23"/>
      <c r="V1123" s="23">
        <v>0.0</v>
      </c>
      <c r="W1123" s="16"/>
      <c r="X1123" s="23"/>
      <c r="Y1123" s="23"/>
      <c r="Z1123" s="23">
        <v>0.0</v>
      </c>
      <c r="AA1123" s="16"/>
      <c r="AB1123" s="23"/>
      <c r="AC1123" s="23"/>
      <c r="AD1123" s="23">
        <v>0.0</v>
      </c>
      <c r="AE1123" s="16"/>
      <c r="AF1123" s="23"/>
      <c r="AG1123" s="23"/>
      <c r="AH1123" s="23">
        <v>0.0</v>
      </c>
      <c r="AI1123" s="16"/>
      <c r="AJ1123" s="23"/>
      <c r="AK1123" s="23"/>
      <c r="AL1123" s="23">
        <v>0.0</v>
      </c>
      <c r="AM1123" s="16"/>
      <c r="AN1123" s="23"/>
      <c r="AO1123" s="23"/>
      <c r="AP1123" s="23">
        <v>0.0</v>
      </c>
      <c r="AQ1123" s="16"/>
      <c r="AR1123" s="23"/>
      <c r="AS1123" s="23"/>
      <c r="AT1123" s="23">
        <v>0.0</v>
      </c>
      <c r="AX1123" s="23">
        <v>0.0</v>
      </c>
      <c r="BF1123" s="23">
        <v>0.0</v>
      </c>
      <c r="BJ1123" s="23">
        <v>0.0</v>
      </c>
      <c r="BN1123" s="23">
        <v>0.0</v>
      </c>
      <c r="BO1123" s="23">
        <v>325.0</v>
      </c>
      <c r="BP1123" s="16" t="s">
        <v>7045</v>
      </c>
      <c r="BQ1123" s="16" t="b">
        <v>1</v>
      </c>
      <c r="BR1123" s="23">
        <v>325.0</v>
      </c>
      <c r="BS1123" s="16"/>
      <c r="BT1123" s="16" t="b">
        <v>0</v>
      </c>
      <c r="BU1123" s="16" t="s">
        <v>546</v>
      </c>
      <c r="BV1123" s="16"/>
      <c r="BW1123" s="16"/>
      <c r="BX1123" s="16"/>
      <c r="BY1123" s="16"/>
    </row>
    <row r="1124">
      <c r="A1124" s="16">
        <v>8.771972E7</v>
      </c>
      <c r="B1124" s="16" t="s">
        <v>35</v>
      </c>
      <c r="C1124" s="22">
        <v>45744.0</v>
      </c>
      <c r="D1124" s="16" t="s">
        <v>112</v>
      </c>
      <c r="E1124" s="16" t="s">
        <v>7052</v>
      </c>
      <c r="F1124" s="16" t="s">
        <v>6995</v>
      </c>
      <c r="G1124" s="16" t="s">
        <v>159</v>
      </c>
      <c r="H1124" s="16">
        <v>1.0</v>
      </c>
      <c r="I1124" s="23">
        <v>260.0</v>
      </c>
      <c r="J1124" s="23">
        <v>260.0</v>
      </c>
      <c r="K1124" s="16" t="s">
        <v>155</v>
      </c>
      <c r="L1124" s="23">
        <v>1.0</v>
      </c>
      <c r="M1124" s="23">
        <v>71.85</v>
      </c>
      <c r="N1124" s="23">
        <v>71.85</v>
      </c>
      <c r="O1124" s="16" t="s">
        <v>152</v>
      </c>
      <c r="P1124" s="23">
        <v>1.0</v>
      </c>
      <c r="Q1124" s="23">
        <v>13.9</v>
      </c>
      <c r="R1124" s="23">
        <v>13.9</v>
      </c>
      <c r="S1124" s="16" t="s">
        <v>226</v>
      </c>
      <c r="T1124" s="23">
        <v>1.0</v>
      </c>
      <c r="U1124" s="23">
        <v>76.0</v>
      </c>
      <c r="V1124" s="23">
        <v>76.0</v>
      </c>
      <c r="W1124" s="16"/>
      <c r="X1124" s="23"/>
      <c r="Y1124" s="23"/>
      <c r="Z1124" s="23">
        <v>0.0</v>
      </c>
      <c r="AA1124" s="16"/>
      <c r="AB1124" s="23"/>
      <c r="AC1124" s="23"/>
      <c r="AD1124" s="23">
        <v>0.0</v>
      </c>
      <c r="AE1124" s="16"/>
      <c r="AF1124" s="23"/>
      <c r="AG1124" s="23"/>
      <c r="AH1124" s="23">
        <v>0.0</v>
      </c>
      <c r="AI1124" s="16"/>
      <c r="AJ1124" s="23"/>
      <c r="AK1124" s="23"/>
      <c r="AL1124" s="23">
        <v>0.0</v>
      </c>
      <c r="AM1124" s="16"/>
      <c r="AN1124" s="23"/>
      <c r="AO1124" s="23"/>
      <c r="AP1124" s="23">
        <v>0.0</v>
      </c>
      <c r="AQ1124" s="16"/>
      <c r="AR1124" s="23"/>
      <c r="AS1124" s="23"/>
      <c r="AT1124" s="23">
        <v>0.0</v>
      </c>
      <c r="AX1124" s="23">
        <v>0.0</v>
      </c>
      <c r="BF1124" s="23">
        <v>0.0</v>
      </c>
      <c r="BJ1124" s="23">
        <v>0.0</v>
      </c>
      <c r="BN1124" s="23">
        <v>0.0</v>
      </c>
      <c r="BO1124" s="23">
        <v>421.75</v>
      </c>
      <c r="BP1124" s="16" t="s">
        <v>7053</v>
      </c>
      <c r="BQ1124" s="16" t="b">
        <v>1</v>
      </c>
      <c r="BR1124" s="23">
        <v>421.75</v>
      </c>
      <c r="BS1124" s="16"/>
      <c r="BT1124" s="16" t="b">
        <v>0</v>
      </c>
      <c r="BU1124" s="16" t="s">
        <v>546</v>
      </c>
      <c r="BV1124" s="16"/>
      <c r="BW1124" s="16"/>
      <c r="BX1124" s="16"/>
      <c r="BY1124" s="16"/>
    </row>
    <row r="1125">
      <c r="A1125" s="16" t="s">
        <v>6759</v>
      </c>
      <c r="B1125" s="16" t="s">
        <v>35</v>
      </c>
      <c r="C1125" s="22">
        <v>45744.0</v>
      </c>
      <c r="D1125" s="16" t="s">
        <v>1557</v>
      </c>
      <c r="E1125" s="16" t="s">
        <v>7058</v>
      </c>
      <c r="F1125" s="16" t="s">
        <v>3903</v>
      </c>
      <c r="G1125" s="16" t="s">
        <v>6423</v>
      </c>
      <c r="H1125" s="16">
        <v>1.0</v>
      </c>
      <c r="I1125" s="23">
        <v>110.0</v>
      </c>
      <c r="J1125" s="23">
        <v>110.0</v>
      </c>
      <c r="K1125" s="16"/>
      <c r="L1125" s="23"/>
      <c r="M1125" s="23"/>
      <c r="N1125" s="23">
        <v>0.0</v>
      </c>
      <c r="O1125" s="16"/>
      <c r="P1125" s="23"/>
      <c r="Q1125" s="23"/>
      <c r="R1125" s="23">
        <v>0.0</v>
      </c>
      <c r="S1125" s="16"/>
      <c r="T1125" s="23"/>
      <c r="U1125" s="23"/>
      <c r="V1125" s="23">
        <v>0.0</v>
      </c>
      <c r="W1125" s="16"/>
      <c r="X1125" s="23"/>
      <c r="Y1125" s="23"/>
      <c r="Z1125" s="23">
        <v>0.0</v>
      </c>
      <c r="AA1125" s="16"/>
      <c r="AB1125" s="23"/>
      <c r="AC1125" s="23"/>
      <c r="AD1125" s="23">
        <v>0.0</v>
      </c>
      <c r="AE1125" s="16"/>
      <c r="AF1125" s="23"/>
      <c r="AG1125" s="23"/>
      <c r="AH1125" s="23">
        <v>0.0</v>
      </c>
      <c r="AI1125" s="16"/>
      <c r="AJ1125" s="23"/>
      <c r="AK1125" s="23"/>
      <c r="AL1125" s="23">
        <v>0.0</v>
      </c>
      <c r="AM1125" s="16"/>
      <c r="AN1125" s="23"/>
      <c r="AO1125" s="23"/>
      <c r="AP1125" s="23">
        <v>0.0</v>
      </c>
      <c r="AQ1125" s="16"/>
      <c r="AR1125" s="23"/>
      <c r="AS1125" s="23"/>
      <c r="AT1125" s="23">
        <v>0.0</v>
      </c>
      <c r="AX1125" s="23">
        <v>0.0</v>
      </c>
      <c r="BF1125" s="23">
        <v>0.0</v>
      </c>
      <c r="BJ1125" s="23">
        <v>0.0</v>
      </c>
      <c r="BN1125" s="23">
        <v>0.0</v>
      </c>
      <c r="BO1125" s="23">
        <v>110.0</v>
      </c>
      <c r="BP1125" s="16" t="s">
        <v>7059</v>
      </c>
      <c r="BQ1125" s="16" t="b">
        <v>1</v>
      </c>
      <c r="BR1125" s="23">
        <v>110.0</v>
      </c>
      <c r="BS1125" s="16"/>
      <c r="BT1125" s="16" t="b">
        <v>0</v>
      </c>
      <c r="BU1125" s="16" t="s">
        <v>546</v>
      </c>
      <c r="BV1125" s="16"/>
      <c r="BW1125" s="16"/>
      <c r="BX1125" s="16"/>
      <c r="BY1125" s="16"/>
    </row>
    <row r="1126">
      <c r="A1126" s="16" t="s">
        <v>6761</v>
      </c>
      <c r="B1126" s="16" t="s">
        <v>35</v>
      </c>
      <c r="C1126" s="22">
        <v>45744.0</v>
      </c>
      <c r="D1126" s="16" t="s">
        <v>3716</v>
      </c>
      <c r="E1126" s="16" t="s">
        <v>7064</v>
      </c>
      <c r="F1126" s="16" t="s">
        <v>6533</v>
      </c>
      <c r="G1126" s="16" t="s">
        <v>1427</v>
      </c>
      <c r="H1126" s="16">
        <v>1.0</v>
      </c>
      <c r="I1126" s="23">
        <v>55.0</v>
      </c>
      <c r="J1126" s="23">
        <v>55.0</v>
      </c>
      <c r="K1126" s="16" t="s">
        <v>1079</v>
      </c>
      <c r="L1126" s="23">
        <v>20.0</v>
      </c>
      <c r="M1126" s="23">
        <v>12.9</v>
      </c>
      <c r="N1126" s="23">
        <v>258.0</v>
      </c>
      <c r="O1126" s="16" t="s">
        <v>1080</v>
      </c>
      <c r="P1126" s="23">
        <v>10.0</v>
      </c>
      <c r="Q1126" s="23">
        <v>13.9</v>
      </c>
      <c r="R1126" s="23">
        <v>139.0</v>
      </c>
      <c r="S1126" s="16" t="s">
        <v>238</v>
      </c>
      <c r="T1126" s="23">
        <v>1.0</v>
      </c>
      <c r="U1126" s="23">
        <v>33.0</v>
      </c>
      <c r="V1126" s="23">
        <v>33.0</v>
      </c>
      <c r="W1126" s="16"/>
      <c r="X1126" s="23"/>
      <c r="Y1126" s="23"/>
      <c r="Z1126" s="23">
        <v>0.0</v>
      </c>
      <c r="AA1126" s="16"/>
      <c r="AB1126" s="23"/>
      <c r="AC1126" s="23"/>
      <c r="AD1126" s="23">
        <v>0.0</v>
      </c>
      <c r="AE1126" s="16"/>
      <c r="AF1126" s="23"/>
      <c r="AG1126" s="23"/>
      <c r="AH1126" s="23">
        <v>0.0</v>
      </c>
      <c r="AI1126" s="16"/>
      <c r="AJ1126" s="23"/>
      <c r="AK1126" s="23"/>
      <c r="AL1126" s="23">
        <v>0.0</v>
      </c>
      <c r="AM1126" s="16"/>
      <c r="AN1126" s="23"/>
      <c r="AO1126" s="23"/>
      <c r="AP1126" s="23">
        <v>0.0</v>
      </c>
      <c r="AQ1126" s="16"/>
      <c r="AR1126" s="23"/>
      <c r="AS1126" s="23"/>
      <c r="AT1126" s="23">
        <v>0.0</v>
      </c>
      <c r="AX1126" s="23">
        <v>0.0</v>
      </c>
      <c r="BF1126" s="23">
        <v>0.0</v>
      </c>
      <c r="BJ1126" s="23">
        <v>0.0</v>
      </c>
      <c r="BN1126" s="23">
        <v>0.0</v>
      </c>
      <c r="BO1126" s="23">
        <v>485.0</v>
      </c>
      <c r="BP1126" s="16" t="s">
        <v>7066</v>
      </c>
      <c r="BQ1126" s="16" t="b">
        <v>1</v>
      </c>
      <c r="BR1126" s="23">
        <v>485.0</v>
      </c>
      <c r="BS1126" s="16">
        <v>1401690.0</v>
      </c>
      <c r="BT1126" s="16" t="b">
        <v>1</v>
      </c>
      <c r="BU1126" s="16" t="s">
        <v>546</v>
      </c>
      <c r="BV1126" s="16"/>
      <c r="BW1126" s="16"/>
      <c r="BX1126" s="16"/>
      <c r="BY1126" s="16"/>
    </row>
    <row r="1127">
      <c r="A1127" s="16" t="s">
        <v>6769</v>
      </c>
      <c r="B1127" s="16" t="s">
        <v>35</v>
      </c>
      <c r="C1127" s="22">
        <v>45745.0</v>
      </c>
      <c r="D1127" s="16" t="s">
        <v>112</v>
      </c>
      <c r="E1127" s="16" t="s">
        <v>7072</v>
      </c>
      <c r="F1127" s="16" t="s">
        <v>157</v>
      </c>
      <c r="G1127" s="16" t="s">
        <v>159</v>
      </c>
      <c r="H1127" s="16">
        <v>1.0</v>
      </c>
      <c r="I1127" s="23">
        <v>52.0</v>
      </c>
      <c r="J1127" s="23">
        <v>52.0</v>
      </c>
      <c r="K1127" s="16" t="s">
        <v>155</v>
      </c>
      <c r="L1127" s="23">
        <v>1.0</v>
      </c>
      <c r="M1127" s="23">
        <v>20.44</v>
      </c>
      <c r="N1127" s="23">
        <v>20.44</v>
      </c>
      <c r="O1127" s="16" t="s">
        <v>226</v>
      </c>
      <c r="P1127" s="23">
        <v>1.0</v>
      </c>
      <c r="Q1127" s="23">
        <v>47.5</v>
      </c>
      <c r="R1127" s="23">
        <v>47.5</v>
      </c>
      <c r="S1127" s="16"/>
      <c r="T1127" s="23"/>
      <c r="U1127" s="23"/>
      <c r="V1127" s="23">
        <v>0.0</v>
      </c>
      <c r="W1127" s="16"/>
      <c r="X1127" s="23"/>
      <c r="Y1127" s="23"/>
      <c r="Z1127" s="23">
        <v>0.0</v>
      </c>
      <c r="AA1127" s="16"/>
      <c r="AB1127" s="23"/>
      <c r="AC1127" s="23"/>
      <c r="AD1127" s="23">
        <v>0.0</v>
      </c>
      <c r="AE1127" s="16"/>
      <c r="AF1127" s="23"/>
      <c r="AG1127" s="23"/>
      <c r="AH1127" s="23">
        <v>0.0</v>
      </c>
      <c r="AI1127" s="16"/>
      <c r="AJ1127" s="23"/>
      <c r="AK1127" s="23"/>
      <c r="AL1127" s="23">
        <v>0.0</v>
      </c>
      <c r="AM1127" s="16"/>
      <c r="AN1127" s="23"/>
      <c r="AO1127" s="23"/>
      <c r="AP1127" s="23">
        <v>0.0</v>
      </c>
      <c r="AQ1127" s="16"/>
      <c r="AR1127" s="23"/>
      <c r="AS1127" s="23"/>
      <c r="AT1127" s="23">
        <v>0.0</v>
      </c>
      <c r="AX1127" s="23">
        <v>0.0</v>
      </c>
      <c r="BF1127" s="23">
        <v>0.0</v>
      </c>
      <c r="BJ1127" s="23">
        <v>0.0</v>
      </c>
      <c r="BN1127" s="23">
        <v>0.0</v>
      </c>
      <c r="BO1127" s="23">
        <v>119.94</v>
      </c>
      <c r="BP1127" s="16" t="s">
        <v>7074</v>
      </c>
      <c r="BQ1127" s="16" t="b">
        <v>1</v>
      </c>
      <c r="BR1127" s="23">
        <v>119.94</v>
      </c>
      <c r="BS1127" s="16"/>
      <c r="BT1127" s="16" t="b">
        <v>0</v>
      </c>
      <c r="BU1127" s="16" t="s">
        <v>546</v>
      </c>
      <c r="BV1127" s="16"/>
      <c r="BW1127" s="16"/>
      <c r="BX1127" s="16"/>
      <c r="BY1127" s="16"/>
    </row>
    <row r="1128">
      <c r="A1128" s="16" t="s">
        <v>6775</v>
      </c>
      <c r="B1128" s="16" t="s">
        <v>35</v>
      </c>
      <c r="C1128" s="22">
        <v>45745.0</v>
      </c>
      <c r="D1128" s="16" t="s">
        <v>543</v>
      </c>
      <c r="E1128" s="16" t="s">
        <v>7079</v>
      </c>
      <c r="F1128" s="16" t="s">
        <v>171</v>
      </c>
      <c r="G1128" s="16">
        <v>1.2539885E7</v>
      </c>
      <c r="H1128" s="16">
        <v>1.0</v>
      </c>
      <c r="I1128" s="23">
        <v>500.0</v>
      </c>
      <c r="J1128" s="23">
        <v>500.0</v>
      </c>
      <c r="K1128" s="16"/>
      <c r="L1128" s="23"/>
      <c r="M1128" s="23"/>
      <c r="N1128" s="23">
        <v>0.0</v>
      </c>
      <c r="O1128" s="16"/>
      <c r="P1128" s="23"/>
      <c r="Q1128" s="23"/>
      <c r="R1128" s="23">
        <v>0.0</v>
      </c>
      <c r="S1128" s="16"/>
      <c r="T1128" s="23"/>
      <c r="U1128" s="23"/>
      <c r="V1128" s="23">
        <v>0.0</v>
      </c>
      <c r="W1128" s="16"/>
      <c r="X1128" s="23"/>
      <c r="Y1128" s="23"/>
      <c r="Z1128" s="23">
        <v>0.0</v>
      </c>
      <c r="AA1128" s="16"/>
      <c r="AB1128" s="23"/>
      <c r="AC1128" s="23"/>
      <c r="AD1128" s="23">
        <v>0.0</v>
      </c>
      <c r="AE1128" s="16"/>
      <c r="AF1128" s="23"/>
      <c r="AG1128" s="23"/>
      <c r="AH1128" s="23">
        <v>0.0</v>
      </c>
      <c r="AI1128" s="16"/>
      <c r="AJ1128" s="23"/>
      <c r="AK1128" s="23"/>
      <c r="AL1128" s="23">
        <v>0.0</v>
      </c>
      <c r="AM1128" s="16"/>
      <c r="AN1128" s="23"/>
      <c r="AO1128" s="23"/>
      <c r="AP1128" s="23">
        <v>0.0</v>
      </c>
      <c r="AQ1128" s="16"/>
      <c r="AR1128" s="23"/>
      <c r="AS1128" s="23"/>
      <c r="AT1128" s="23">
        <v>0.0</v>
      </c>
      <c r="AX1128" s="23">
        <v>0.0</v>
      </c>
      <c r="BF1128" s="23">
        <v>0.0</v>
      </c>
      <c r="BJ1128" s="23">
        <v>0.0</v>
      </c>
      <c r="BN1128" s="23">
        <v>0.0</v>
      </c>
      <c r="BO1128" s="23">
        <v>500.0</v>
      </c>
      <c r="BP1128" s="16" t="s">
        <v>7080</v>
      </c>
      <c r="BQ1128" s="16" t="b">
        <v>1</v>
      </c>
      <c r="BR1128" s="23">
        <v>500.0</v>
      </c>
      <c r="BS1128" s="16"/>
      <c r="BT1128" s="16" t="b">
        <v>0</v>
      </c>
      <c r="BU1128" s="16" t="s">
        <v>546</v>
      </c>
      <c r="BV1128" s="16"/>
      <c r="BW1128" s="16"/>
      <c r="BX1128" s="16"/>
      <c r="BY1128" s="16"/>
    </row>
    <row r="1129">
      <c r="A1129" s="16" t="s">
        <v>6777</v>
      </c>
      <c r="B1129" s="16" t="s">
        <v>35</v>
      </c>
      <c r="C1129" s="22">
        <v>45745.0</v>
      </c>
      <c r="D1129" s="16" t="s">
        <v>3816</v>
      </c>
      <c r="E1129" s="16" t="s">
        <v>7087</v>
      </c>
      <c r="F1129" s="16" t="s">
        <v>4146</v>
      </c>
      <c r="G1129" s="16" t="s">
        <v>305</v>
      </c>
      <c r="H1129" s="16">
        <v>1.0</v>
      </c>
      <c r="I1129" s="23">
        <v>8.3</v>
      </c>
      <c r="J1129" s="23">
        <v>8.3</v>
      </c>
      <c r="K1129" s="16"/>
      <c r="L1129" s="23"/>
      <c r="M1129" s="23"/>
      <c r="N1129" s="23">
        <v>0.0</v>
      </c>
      <c r="O1129" s="16"/>
      <c r="P1129" s="23"/>
      <c r="Q1129" s="23"/>
      <c r="R1129" s="23">
        <v>0.0</v>
      </c>
      <c r="S1129" s="16"/>
      <c r="T1129" s="23"/>
      <c r="U1129" s="23"/>
      <c r="V1129" s="23">
        <v>0.0</v>
      </c>
      <c r="W1129" s="16"/>
      <c r="X1129" s="23"/>
      <c r="Y1129" s="23"/>
      <c r="Z1129" s="23">
        <v>0.0</v>
      </c>
      <c r="AA1129" s="16"/>
      <c r="AB1129" s="23"/>
      <c r="AC1129" s="23"/>
      <c r="AD1129" s="23">
        <v>0.0</v>
      </c>
      <c r="AE1129" s="16"/>
      <c r="AF1129" s="23"/>
      <c r="AG1129" s="23"/>
      <c r="AH1129" s="23">
        <v>0.0</v>
      </c>
      <c r="AI1129" s="16"/>
      <c r="AJ1129" s="23"/>
      <c r="AK1129" s="23"/>
      <c r="AL1129" s="23">
        <v>0.0</v>
      </c>
      <c r="AM1129" s="16"/>
      <c r="AN1129" s="23"/>
      <c r="AO1129" s="23"/>
      <c r="AP1129" s="23">
        <v>0.0</v>
      </c>
      <c r="AQ1129" s="16"/>
      <c r="AR1129" s="23"/>
      <c r="AS1129" s="23"/>
      <c r="AT1129" s="23">
        <v>0.0</v>
      </c>
      <c r="AX1129" s="23">
        <v>0.0</v>
      </c>
      <c r="BF1129" s="23">
        <v>0.0</v>
      </c>
      <c r="BJ1129" s="23">
        <v>0.0</v>
      </c>
      <c r="BN1129" s="23">
        <v>0.0</v>
      </c>
      <c r="BO1129" s="23">
        <v>8.3</v>
      </c>
      <c r="BP1129" s="16" t="s">
        <v>7088</v>
      </c>
      <c r="BQ1129" s="16" t="b">
        <v>1</v>
      </c>
      <c r="BR1129" s="23">
        <v>8.3</v>
      </c>
      <c r="BS1129" s="16">
        <v>1403333.0</v>
      </c>
      <c r="BT1129" s="16" t="b">
        <v>1</v>
      </c>
      <c r="BU1129" s="16" t="s">
        <v>546</v>
      </c>
      <c r="BV1129" s="16"/>
      <c r="BW1129" s="16"/>
      <c r="BX1129" s="16"/>
      <c r="BY1129" s="16"/>
    </row>
    <row r="1130">
      <c r="A1130" s="16" t="s">
        <v>6779</v>
      </c>
      <c r="B1130" s="16" t="s">
        <v>35</v>
      </c>
      <c r="C1130" s="22">
        <v>45745.0</v>
      </c>
      <c r="D1130" s="16" t="s">
        <v>7095</v>
      </c>
      <c r="E1130" s="16" t="s">
        <v>7096</v>
      </c>
      <c r="F1130" s="16" t="s">
        <v>195</v>
      </c>
      <c r="G1130" s="16" t="s">
        <v>335</v>
      </c>
      <c r="H1130" s="16">
        <v>1.0</v>
      </c>
      <c r="I1130" s="23">
        <v>79.68</v>
      </c>
      <c r="J1130" s="23">
        <v>79.68</v>
      </c>
      <c r="K1130" s="16" t="s">
        <v>338</v>
      </c>
      <c r="L1130" s="23">
        <v>2.0</v>
      </c>
      <c r="M1130" s="23">
        <v>60.8</v>
      </c>
      <c r="N1130" s="23">
        <v>121.6</v>
      </c>
      <c r="O1130" s="16"/>
      <c r="P1130" s="23"/>
      <c r="Q1130" s="23"/>
      <c r="R1130" s="23">
        <v>0.0</v>
      </c>
      <c r="S1130" s="16"/>
      <c r="T1130" s="23"/>
      <c r="U1130" s="23"/>
      <c r="V1130" s="23">
        <v>0.0</v>
      </c>
      <c r="W1130" s="16"/>
      <c r="X1130" s="23"/>
      <c r="Y1130" s="23"/>
      <c r="Z1130" s="23">
        <v>0.0</v>
      </c>
      <c r="AA1130" s="16"/>
      <c r="AB1130" s="23"/>
      <c r="AC1130" s="23"/>
      <c r="AD1130" s="23">
        <v>0.0</v>
      </c>
      <c r="AE1130" s="16"/>
      <c r="AF1130" s="23"/>
      <c r="AG1130" s="23"/>
      <c r="AH1130" s="23">
        <v>0.0</v>
      </c>
      <c r="AI1130" s="16"/>
      <c r="AJ1130" s="23"/>
      <c r="AK1130" s="23"/>
      <c r="AL1130" s="23">
        <v>0.0</v>
      </c>
      <c r="AM1130" s="16"/>
      <c r="AN1130" s="23"/>
      <c r="AO1130" s="23"/>
      <c r="AP1130" s="23">
        <v>0.0</v>
      </c>
      <c r="AQ1130" s="16"/>
      <c r="AR1130" s="23"/>
      <c r="AS1130" s="23"/>
      <c r="AT1130" s="23">
        <v>0.0</v>
      </c>
      <c r="AX1130" s="23">
        <v>0.0</v>
      </c>
      <c r="BF1130" s="23">
        <v>0.0</v>
      </c>
      <c r="BJ1130" s="23">
        <v>0.0</v>
      </c>
      <c r="BN1130" s="23">
        <v>0.0</v>
      </c>
      <c r="BO1130" s="23">
        <v>201.28</v>
      </c>
      <c r="BP1130" s="16" t="s">
        <v>7098</v>
      </c>
      <c r="BQ1130" s="16" t="b">
        <v>1</v>
      </c>
      <c r="BR1130" s="23">
        <v>201.28</v>
      </c>
      <c r="BS1130" s="16"/>
      <c r="BT1130" s="16" t="b">
        <v>0</v>
      </c>
      <c r="BU1130" s="16" t="s">
        <v>546</v>
      </c>
      <c r="BV1130" s="16"/>
      <c r="BW1130" s="16" t="s">
        <v>7100</v>
      </c>
      <c r="BX1130" s="16"/>
      <c r="BY1130" s="16"/>
    </row>
    <row r="1131">
      <c r="A1131" s="16" t="s">
        <v>6783</v>
      </c>
      <c r="B1131" s="16" t="s">
        <v>35</v>
      </c>
      <c r="C1131" s="22">
        <v>45746.0</v>
      </c>
      <c r="D1131" s="16" t="s">
        <v>3493</v>
      </c>
      <c r="E1131" s="16" t="s">
        <v>7105</v>
      </c>
      <c r="F1131" s="16" t="s">
        <v>7107</v>
      </c>
      <c r="G1131" s="16" t="s">
        <v>305</v>
      </c>
      <c r="H1131" s="16">
        <v>1.0</v>
      </c>
      <c r="I1131" s="23">
        <v>16.59</v>
      </c>
      <c r="J1131" s="23">
        <v>16.59</v>
      </c>
      <c r="K1131" s="16"/>
      <c r="L1131" s="23"/>
      <c r="M1131" s="23"/>
      <c r="N1131" s="23">
        <v>0.0</v>
      </c>
      <c r="O1131" s="16"/>
      <c r="P1131" s="23"/>
      <c r="Q1131" s="23"/>
      <c r="R1131" s="23">
        <v>0.0</v>
      </c>
      <c r="S1131" s="16"/>
      <c r="T1131" s="23"/>
      <c r="U1131" s="23"/>
      <c r="V1131" s="23">
        <v>0.0</v>
      </c>
      <c r="W1131" s="16"/>
      <c r="X1131" s="23"/>
      <c r="Y1131" s="23"/>
      <c r="Z1131" s="23">
        <v>0.0</v>
      </c>
      <c r="AA1131" s="16"/>
      <c r="AB1131" s="23"/>
      <c r="AC1131" s="23"/>
      <c r="AD1131" s="23">
        <v>0.0</v>
      </c>
      <c r="AE1131" s="16"/>
      <c r="AF1131" s="23"/>
      <c r="AG1131" s="23"/>
      <c r="AH1131" s="23">
        <v>0.0</v>
      </c>
      <c r="AI1131" s="16"/>
      <c r="AJ1131" s="23"/>
      <c r="AK1131" s="23"/>
      <c r="AL1131" s="23">
        <v>0.0</v>
      </c>
      <c r="AM1131" s="16"/>
      <c r="AN1131" s="23"/>
      <c r="AO1131" s="23"/>
      <c r="AP1131" s="23">
        <v>0.0</v>
      </c>
      <c r="AQ1131" s="16"/>
      <c r="AR1131" s="23"/>
      <c r="AS1131" s="23"/>
      <c r="AT1131" s="23">
        <v>0.0</v>
      </c>
      <c r="AX1131" s="23">
        <v>0.0</v>
      </c>
      <c r="BF1131" s="23">
        <v>0.0</v>
      </c>
      <c r="BJ1131" s="23">
        <v>0.0</v>
      </c>
      <c r="BN1131" s="23">
        <v>0.0</v>
      </c>
      <c r="BO1131" s="23">
        <v>16.59</v>
      </c>
      <c r="BP1131" s="16" t="s">
        <v>7106</v>
      </c>
      <c r="BQ1131" s="16" t="b">
        <v>1</v>
      </c>
      <c r="BR1131" s="23">
        <v>16.59</v>
      </c>
      <c r="BS1131" s="16">
        <v>1407139.0</v>
      </c>
      <c r="BT1131" s="16" t="b">
        <v>1</v>
      </c>
      <c r="BU1131" s="16" t="s">
        <v>546</v>
      </c>
      <c r="BV1131" s="16"/>
      <c r="BW1131" s="16"/>
      <c r="BX1131" s="16"/>
      <c r="BY1131" s="16"/>
    </row>
    <row r="1132">
      <c r="A1132" s="16" t="s">
        <v>6787</v>
      </c>
      <c r="B1132" s="16" t="s">
        <v>35</v>
      </c>
      <c r="C1132" s="22">
        <v>45743.0</v>
      </c>
      <c r="D1132" s="16" t="s">
        <v>764</v>
      </c>
      <c r="E1132" s="16" t="s">
        <v>7111</v>
      </c>
      <c r="F1132" s="16" t="s">
        <v>195</v>
      </c>
      <c r="G1132" s="16">
        <v>7.5375964E7</v>
      </c>
      <c r="H1132" s="16">
        <v>1.0</v>
      </c>
      <c r="I1132" s="23">
        <v>19.0</v>
      </c>
      <c r="J1132" s="23">
        <v>19.0</v>
      </c>
      <c r="K1132" s="16" t="s">
        <v>1384</v>
      </c>
      <c r="L1132" s="23">
        <v>1.0</v>
      </c>
      <c r="M1132" s="23">
        <v>19.0</v>
      </c>
      <c r="N1132" s="23">
        <v>19.0</v>
      </c>
      <c r="O1132" s="16" t="s">
        <v>1404</v>
      </c>
      <c r="P1132" s="23">
        <v>1.0</v>
      </c>
      <c r="Q1132" s="23">
        <v>19.0</v>
      </c>
      <c r="R1132" s="23">
        <v>19.0</v>
      </c>
      <c r="S1132" s="16" t="s">
        <v>1074</v>
      </c>
      <c r="T1132" s="23">
        <v>5.0</v>
      </c>
      <c r="U1132" s="23">
        <v>38.0</v>
      </c>
      <c r="V1132" s="23">
        <v>190.0</v>
      </c>
      <c r="W1132" s="16" t="s">
        <v>1387</v>
      </c>
      <c r="X1132" s="23">
        <v>1.0</v>
      </c>
      <c r="Y1132" s="23">
        <v>45.0</v>
      </c>
      <c r="Z1132" s="23">
        <v>45.0</v>
      </c>
      <c r="AA1132" s="16" t="s">
        <v>1075</v>
      </c>
      <c r="AB1132" s="23">
        <v>2.0</v>
      </c>
      <c r="AC1132" s="23">
        <v>19.0</v>
      </c>
      <c r="AD1132" s="23">
        <v>38.0</v>
      </c>
      <c r="AE1132" s="16" t="s">
        <v>1077</v>
      </c>
      <c r="AF1132" s="23">
        <v>3.0</v>
      </c>
      <c r="AG1132" s="23">
        <v>25.8</v>
      </c>
      <c r="AH1132" s="23">
        <v>77.4</v>
      </c>
      <c r="AI1132" s="16" t="s">
        <v>1081</v>
      </c>
      <c r="AJ1132" s="23">
        <v>3.0</v>
      </c>
      <c r="AK1132" s="23">
        <v>48.0</v>
      </c>
      <c r="AL1132" s="23">
        <v>144.0</v>
      </c>
      <c r="AM1132" s="16" t="s">
        <v>1083</v>
      </c>
      <c r="AN1132" s="23">
        <v>1.0</v>
      </c>
      <c r="AO1132" s="23">
        <v>18.0</v>
      </c>
      <c r="AP1132" s="23">
        <v>18.0</v>
      </c>
      <c r="AQ1132" s="16">
        <v>7.5375964E7</v>
      </c>
      <c r="AR1132" s="23">
        <v>3.0</v>
      </c>
      <c r="AS1132" s="23">
        <v>40.2</v>
      </c>
      <c r="AT1132" s="23">
        <v>120.6</v>
      </c>
      <c r="AU1132" s="16" t="s">
        <v>1074</v>
      </c>
      <c r="AV1132" s="23">
        <v>1.0</v>
      </c>
      <c r="AW1132" s="23">
        <v>75.0</v>
      </c>
      <c r="AX1132" s="23">
        <v>75.0</v>
      </c>
      <c r="AY1132" s="16" t="s">
        <v>1081</v>
      </c>
      <c r="AZ1132" s="23">
        <v>1.0</v>
      </c>
      <c r="BA1132" s="23">
        <v>96.0</v>
      </c>
      <c r="BB1132" s="23">
        <v>96.0</v>
      </c>
      <c r="BC1132" s="16" t="s">
        <v>1077</v>
      </c>
      <c r="BD1132" s="23">
        <v>1.0</v>
      </c>
      <c r="BE1132" s="23">
        <v>25.8</v>
      </c>
      <c r="BF1132" s="23">
        <v>25.8</v>
      </c>
      <c r="BJ1132" s="23">
        <v>0.0</v>
      </c>
      <c r="BN1132" s="23">
        <v>0.0</v>
      </c>
      <c r="BO1132" s="23">
        <v>886.8</v>
      </c>
      <c r="BP1132" s="16" t="s">
        <v>7113</v>
      </c>
      <c r="BQ1132" s="16" t="b">
        <v>1</v>
      </c>
      <c r="BR1132" s="23">
        <v>886.8</v>
      </c>
      <c r="BS1132" s="16"/>
      <c r="BT1132" s="16" t="b">
        <v>0</v>
      </c>
      <c r="BU1132" s="16" t="s">
        <v>546</v>
      </c>
      <c r="BV1132" s="16"/>
      <c r="BW1132" s="16" t="s">
        <v>7117</v>
      </c>
      <c r="BX1132" s="16"/>
      <c r="BY1132" s="16"/>
    </row>
    <row r="1133">
      <c r="A1133" s="16" t="s">
        <v>6805</v>
      </c>
      <c r="B1133" s="16" t="s">
        <v>35</v>
      </c>
      <c r="C1133" s="22">
        <v>45748.0</v>
      </c>
      <c r="D1133" s="16"/>
      <c r="E1133" s="16"/>
      <c r="F1133" s="16" t="s">
        <v>7124</v>
      </c>
      <c r="G1133" s="16" t="s">
        <v>1239</v>
      </c>
      <c r="H1133" s="16">
        <v>1.0</v>
      </c>
      <c r="I1133" s="23">
        <v>2291.15</v>
      </c>
      <c r="J1133" s="23">
        <v>2291.15</v>
      </c>
      <c r="K1133" s="16"/>
      <c r="L1133" s="23"/>
      <c r="M1133" s="23"/>
      <c r="N1133" s="23"/>
      <c r="O1133" s="16"/>
      <c r="P1133" s="23"/>
      <c r="Q1133" s="23"/>
      <c r="R1133" s="23"/>
      <c r="S1133" s="16"/>
      <c r="T1133" s="23"/>
      <c r="U1133" s="23"/>
      <c r="V1133" s="23"/>
      <c r="W1133" s="16"/>
      <c r="X1133" s="23"/>
      <c r="Y1133" s="23"/>
      <c r="Z1133" s="23"/>
      <c r="AA1133" s="16"/>
      <c r="AB1133" s="23"/>
      <c r="AC1133" s="23"/>
      <c r="AD1133" s="23"/>
      <c r="AE1133" s="16"/>
      <c r="AF1133" s="23"/>
      <c r="AG1133" s="23"/>
      <c r="AH1133" s="23"/>
      <c r="AI1133" s="16"/>
      <c r="AJ1133" s="23"/>
      <c r="AK1133" s="23"/>
      <c r="AL1133" s="23"/>
      <c r="AM1133" s="16"/>
      <c r="AN1133" s="23"/>
      <c r="AO1133" s="23"/>
      <c r="AP1133" s="23"/>
      <c r="AQ1133" s="16"/>
      <c r="AR1133" s="23"/>
      <c r="AS1133" s="23"/>
      <c r="AT1133" s="23"/>
      <c r="AU1133" s="16"/>
      <c r="AV1133" s="23"/>
      <c r="AW1133" s="23"/>
      <c r="AX1133" s="23"/>
      <c r="AY1133" s="16"/>
      <c r="AZ1133" s="23"/>
      <c r="BA1133" s="23"/>
      <c r="BB1133" s="23"/>
      <c r="BC1133" s="16"/>
      <c r="BD1133" s="23"/>
      <c r="BE1133" s="23"/>
      <c r="BF1133" s="23"/>
      <c r="BJ1133" s="23"/>
      <c r="BN1133" s="23"/>
      <c r="BO1133" s="23">
        <v>2291.15</v>
      </c>
      <c r="BP1133" s="16"/>
      <c r="BQ1133" s="16"/>
      <c r="BR1133" s="23">
        <v>2291.15</v>
      </c>
      <c r="BS1133" s="16"/>
      <c r="BT1133" s="16"/>
      <c r="BU1133" s="16" t="s">
        <v>539</v>
      </c>
      <c r="BV1133" s="16" t="s">
        <v>624</v>
      </c>
      <c r="BW1133" s="16"/>
      <c r="BX1133" s="16"/>
      <c r="BY1133" s="16"/>
    </row>
    <row r="1134">
      <c r="A1134" s="16" t="s">
        <v>6807</v>
      </c>
      <c r="B1134" s="16" t="s">
        <v>35</v>
      </c>
      <c r="C1134" s="22">
        <v>45748.0</v>
      </c>
      <c r="D1134" s="16"/>
      <c r="E1134" s="16"/>
      <c r="F1134" s="16" t="s">
        <v>6721</v>
      </c>
      <c r="G1134" s="16" t="s">
        <v>1239</v>
      </c>
      <c r="H1134" s="16">
        <v>1.0</v>
      </c>
      <c r="I1134" s="23">
        <v>1778.15</v>
      </c>
      <c r="J1134" s="23">
        <v>1778.15</v>
      </c>
      <c r="K1134" s="16"/>
      <c r="L1134" s="23"/>
      <c r="M1134" s="23"/>
      <c r="N1134" s="23"/>
      <c r="O1134" s="16"/>
      <c r="P1134" s="23"/>
      <c r="Q1134" s="23"/>
      <c r="R1134" s="23"/>
      <c r="S1134" s="16"/>
      <c r="T1134" s="23"/>
      <c r="U1134" s="23"/>
      <c r="V1134" s="23"/>
      <c r="W1134" s="16"/>
      <c r="X1134" s="23"/>
      <c r="Y1134" s="23"/>
      <c r="Z1134" s="23"/>
      <c r="AA1134" s="16"/>
      <c r="AB1134" s="23"/>
      <c r="AC1134" s="23"/>
      <c r="AD1134" s="23"/>
      <c r="AE1134" s="16"/>
      <c r="AF1134" s="23"/>
      <c r="AG1134" s="23"/>
      <c r="AH1134" s="23"/>
      <c r="AI1134" s="16"/>
      <c r="AJ1134" s="23"/>
      <c r="AK1134" s="23"/>
      <c r="AL1134" s="23"/>
      <c r="AM1134" s="16"/>
      <c r="AN1134" s="23"/>
      <c r="AO1134" s="23"/>
      <c r="AP1134" s="23"/>
      <c r="AQ1134" s="16"/>
      <c r="AR1134" s="23"/>
      <c r="AS1134" s="23"/>
      <c r="AT1134" s="23"/>
      <c r="AU1134" s="16"/>
      <c r="AV1134" s="23"/>
      <c r="AW1134" s="23"/>
      <c r="AX1134" s="23"/>
      <c r="AY1134" s="16"/>
      <c r="AZ1134" s="23"/>
      <c r="BA1134" s="23"/>
      <c r="BB1134" s="23"/>
      <c r="BC1134" s="16"/>
      <c r="BD1134" s="23"/>
      <c r="BE1134" s="23"/>
      <c r="BF1134" s="23"/>
      <c r="BJ1134" s="23"/>
      <c r="BN1134" s="23"/>
      <c r="BO1134" s="23">
        <v>1778.15</v>
      </c>
      <c r="BP1134" s="16"/>
      <c r="BQ1134" s="16"/>
      <c r="BR1134" s="23">
        <v>1778.15</v>
      </c>
      <c r="BS1134" s="16"/>
      <c r="BT1134" s="16"/>
      <c r="BU1134" s="16" t="s">
        <v>539</v>
      </c>
      <c r="BV1134" s="16" t="s">
        <v>2052</v>
      </c>
      <c r="BW1134" s="16"/>
      <c r="BX1134" s="16"/>
      <c r="BY1134" s="16"/>
    </row>
    <row r="1135">
      <c r="A1135" s="16" t="s">
        <v>6809</v>
      </c>
      <c r="B1135" s="16" t="s">
        <v>35</v>
      </c>
      <c r="C1135" s="22">
        <v>45748.0</v>
      </c>
      <c r="D1135" s="16"/>
      <c r="E1135" s="16"/>
      <c r="F1135" s="16" t="s">
        <v>6721</v>
      </c>
      <c r="G1135" s="16" t="s">
        <v>1239</v>
      </c>
      <c r="H1135" s="16">
        <v>1.0</v>
      </c>
      <c r="I1135" s="23">
        <v>2110.69</v>
      </c>
      <c r="J1135" s="23">
        <v>2110.69</v>
      </c>
      <c r="K1135" s="16"/>
      <c r="L1135" s="23"/>
      <c r="M1135" s="23"/>
      <c r="N1135" s="23"/>
      <c r="O1135" s="16"/>
      <c r="P1135" s="23"/>
      <c r="Q1135" s="23"/>
      <c r="R1135" s="23"/>
      <c r="S1135" s="16"/>
      <c r="T1135" s="23"/>
      <c r="U1135" s="23"/>
      <c r="V1135" s="23"/>
      <c r="W1135" s="16"/>
      <c r="X1135" s="23"/>
      <c r="Y1135" s="23"/>
      <c r="Z1135" s="23"/>
      <c r="AA1135" s="16"/>
      <c r="AB1135" s="23"/>
      <c r="AC1135" s="23"/>
      <c r="AD1135" s="23"/>
      <c r="AE1135" s="16"/>
      <c r="AF1135" s="23"/>
      <c r="AG1135" s="23"/>
      <c r="AH1135" s="23"/>
      <c r="AI1135" s="16"/>
      <c r="AJ1135" s="23"/>
      <c r="AK1135" s="23"/>
      <c r="AL1135" s="23"/>
      <c r="AM1135" s="16"/>
      <c r="AN1135" s="23"/>
      <c r="AO1135" s="23"/>
      <c r="AP1135" s="23"/>
      <c r="AQ1135" s="16"/>
      <c r="AR1135" s="23"/>
      <c r="AS1135" s="23"/>
      <c r="AT1135" s="23"/>
      <c r="AU1135" s="16"/>
      <c r="AV1135" s="23"/>
      <c r="AW1135" s="23"/>
      <c r="AX1135" s="23"/>
      <c r="AY1135" s="16"/>
      <c r="AZ1135" s="23"/>
      <c r="BA1135" s="23"/>
      <c r="BB1135" s="23"/>
      <c r="BC1135" s="16"/>
      <c r="BD1135" s="23"/>
      <c r="BE1135" s="23"/>
      <c r="BF1135" s="23"/>
      <c r="BJ1135" s="23"/>
      <c r="BN1135" s="23"/>
      <c r="BO1135" s="23">
        <v>2110.69</v>
      </c>
      <c r="BP1135" s="16"/>
      <c r="BQ1135" s="16"/>
      <c r="BR1135" s="23">
        <v>2110.69</v>
      </c>
      <c r="BS1135" s="16"/>
      <c r="BT1135" s="16"/>
      <c r="BU1135" s="16" t="s">
        <v>539</v>
      </c>
      <c r="BV1135" s="16" t="s">
        <v>227</v>
      </c>
      <c r="BW1135" s="16"/>
      <c r="BX1135" s="16"/>
      <c r="BY1135" s="16"/>
    </row>
    <row r="1136">
      <c r="A1136" s="16" t="s">
        <v>6813</v>
      </c>
      <c r="B1136" s="16" t="s">
        <v>35</v>
      </c>
      <c r="C1136" s="22">
        <v>45748.0</v>
      </c>
      <c r="D1136" s="16"/>
      <c r="E1136" s="16"/>
      <c r="F1136" s="16" t="s">
        <v>6721</v>
      </c>
      <c r="G1136" s="16" t="s">
        <v>1239</v>
      </c>
      <c r="H1136" s="16">
        <v>1.0</v>
      </c>
      <c r="I1136" s="23">
        <v>872.3</v>
      </c>
      <c r="J1136" s="23">
        <v>872.3</v>
      </c>
      <c r="K1136" s="16"/>
      <c r="L1136" s="23"/>
      <c r="M1136" s="23"/>
      <c r="N1136" s="23"/>
      <c r="O1136" s="16"/>
      <c r="P1136" s="23"/>
      <c r="Q1136" s="23"/>
      <c r="R1136" s="23"/>
      <c r="S1136" s="16"/>
      <c r="T1136" s="23"/>
      <c r="U1136" s="23"/>
      <c r="V1136" s="23"/>
      <c r="W1136" s="16"/>
      <c r="X1136" s="23"/>
      <c r="Y1136" s="23"/>
      <c r="Z1136" s="23"/>
      <c r="AA1136" s="16"/>
      <c r="AB1136" s="23"/>
      <c r="AC1136" s="23"/>
      <c r="AD1136" s="23"/>
      <c r="AE1136" s="16"/>
      <c r="AF1136" s="23"/>
      <c r="AG1136" s="23"/>
      <c r="AH1136" s="23"/>
      <c r="AI1136" s="16"/>
      <c r="AJ1136" s="23"/>
      <c r="AK1136" s="23"/>
      <c r="AL1136" s="23"/>
      <c r="AM1136" s="16"/>
      <c r="AN1136" s="23"/>
      <c r="AO1136" s="23"/>
      <c r="AP1136" s="23"/>
      <c r="AQ1136" s="16"/>
      <c r="AR1136" s="23"/>
      <c r="AS1136" s="23"/>
      <c r="AT1136" s="23"/>
      <c r="AU1136" s="16"/>
      <c r="AV1136" s="23"/>
      <c r="AW1136" s="23"/>
      <c r="AX1136" s="23"/>
      <c r="AY1136" s="16"/>
      <c r="AZ1136" s="23"/>
      <c r="BA1136" s="23"/>
      <c r="BB1136" s="23"/>
      <c r="BC1136" s="16"/>
      <c r="BD1136" s="23"/>
      <c r="BE1136" s="23"/>
      <c r="BF1136" s="23"/>
      <c r="BJ1136" s="23"/>
      <c r="BN1136" s="23"/>
      <c r="BO1136" s="23">
        <v>872.3</v>
      </c>
      <c r="BP1136" s="16"/>
      <c r="BQ1136" s="16"/>
      <c r="BR1136" s="23">
        <v>872.3</v>
      </c>
      <c r="BS1136" s="16"/>
      <c r="BT1136" s="16"/>
      <c r="BU1136" s="16" t="s">
        <v>539</v>
      </c>
      <c r="BV1136" s="16" t="s">
        <v>6062</v>
      </c>
      <c r="BW1136" s="16"/>
      <c r="BX1136" s="16"/>
      <c r="BY1136" s="16"/>
    </row>
    <row r="1137">
      <c r="A1137" s="16" t="s">
        <v>6815</v>
      </c>
      <c r="B1137" s="16" t="s">
        <v>35</v>
      </c>
      <c r="C1137" s="22">
        <v>45748.0</v>
      </c>
      <c r="D1137" s="16"/>
      <c r="E1137" s="16"/>
      <c r="F1137" s="16" t="s">
        <v>6721</v>
      </c>
      <c r="G1137" s="16" t="s">
        <v>1239</v>
      </c>
      <c r="H1137" s="16">
        <v>1.0</v>
      </c>
      <c r="I1137" s="23">
        <v>1115.47</v>
      </c>
      <c r="J1137" s="23">
        <v>1115.47</v>
      </c>
      <c r="K1137" s="16"/>
      <c r="L1137" s="23"/>
      <c r="M1137" s="23"/>
      <c r="N1137" s="23"/>
      <c r="O1137" s="16"/>
      <c r="P1137" s="23"/>
      <c r="Q1137" s="23"/>
      <c r="R1137" s="23"/>
      <c r="S1137" s="16"/>
      <c r="T1137" s="23"/>
      <c r="U1137" s="23"/>
      <c r="V1137" s="23"/>
      <c r="W1137" s="16"/>
      <c r="X1137" s="23"/>
      <c r="Y1137" s="23"/>
      <c r="Z1137" s="23"/>
      <c r="AA1137" s="16"/>
      <c r="AB1137" s="23"/>
      <c r="AC1137" s="23"/>
      <c r="AD1137" s="23"/>
      <c r="AE1137" s="16"/>
      <c r="AF1137" s="23"/>
      <c r="AG1137" s="23"/>
      <c r="AH1137" s="23"/>
      <c r="AI1137" s="16"/>
      <c r="AJ1137" s="23"/>
      <c r="AK1137" s="23"/>
      <c r="AL1137" s="23"/>
      <c r="AM1137" s="16"/>
      <c r="AN1137" s="23"/>
      <c r="AO1137" s="23"/>
      <c r="AP1137" s="23"/>
      <c r="AQ1137" s="16"/>
      <c r="AR1137" s="23"/>
      <c r="AS1137" s="23"/>
      <c r="AT1137" s="23"/>
      <c r="AU1137" s="16"/>
      <c r="AV1137" s="23"/>
      <c r="AW1137" s="23"/>
      <c r="AX1137" s="23"/>
      <c r="AY1137" s="16"/>
      <c r="AZ1137" s="23"/>
      <c r="BA1137" s="23"/>
      <c r="BB1137" s="23"/>
      <c r="BC1137" s="16"/>
      <c r="BD1137" s="23"/>
      <c r="BE1137" s="23"/>
      <c r="BF1137" s="23"/>
      <c r="BJ1137" s="23"/>
      <c r="BN1137" s="23"/>
      <c r="BO1137" s="23">
        <v>1115.47</v>
      </c>
      <c r="BP1137" s="16"/>
      <c r="BQ1137" s="16"/>
      <c r="BR1137" s="23">
        <v>1115.47</v>
      </c>
      <c r="BS1137" s="16"/>
      <c r="BT1137" s="16"/>
      <c r="BU1137" s="16" t="s">
        <v>539</v>
      </c>
      <c r="BV1137" s="16" t="s">
        <v>3795</v>
      </c>
      <c r="BW1137" s="16"/>
      <c r="BX1137" s="16"/>
      <c r="BY1137" s="16"/>
    </row>
    <row r="1138">
      <c r="A1138" s="16" t="s">
        <v>6817</v>
      </c>
      <c r="B1138" s="16" t="s">
        <v>35</v>
      </c>
      <c r="C1138" s="22">
        <v>45748.0</v>
      </c>
      <c r="D1138" s="16" t="s">
        <v>460</v>
      </c>
      <c r="E1138" s="16"/>
      <c r="F1138" s="16" t="s">
        <v>931</v>
      </c>
      <c r="G1138" s="16" t="s">
        <v>1126</v>
      </c>
      <c r="H1138" s="16">
        <v>1.0</v>
      </c>
      <c r="I1138" s="23">
        <v>30.0</v>
      </c>
      <c r="J1138" s="23">
        <v>30.0</v>
      </c>
      <c r="K1138" s="16"/>
      <c r="L1138" s="23"/>
      <c r="M1138" s="23"/>
      <c r="N1138" s="23"/>
      <c r="O1138" s="16"/>
      <c r="P1138" s="23"/>
      <c r="Q1138" s="23"/>
      <c r="R1138" s="23"/>
      <c r="S1138" s="16"/>
      <c r="T1138" s="23"/>
      <c r="U1138" s="23"/>
      <c r="V1138" s="23"/>
      <c r="W1138" s="16"/>
      <c r="X1138" s="23"/>
      <c r="Y1138" s="23"/>
      <c r="Z1138" s="23"/>
      <c r="AA1138" s="16"/>
      <c r="AB1138" s="23"/>
      <c r="AC1138" s="23"/>
      <c r="AD1138" s="23"/>
      <c r="AE1138" s="16"/>
      <c r="AF1138" s="23"/>
      <c r="AG1138" s="23"/>
      <c r="AH1138" s="23"/>
      <c r="AI1138" s="16"/>
      <c r="AJ1138" s="23"/>
      <c r="AK1138" s="23"/>
      <c r="AL1138" s="23"/>
      <c r="AM1138" s="16"/>
      <c r="AN1138" s="23"/>
      <c r="AO1138" s="23"/>
      <c r="AP1138" s="23"/>
      <c r="AQ1138" s="16"/>
      <c r="AR1138" s="23"/>
      <c r="AS1138" s="23"/>
      <c r="AT1138" s="23"/>
      <c r="AU1138" s="16"/>
      <c r="AV1138" s="23"/>
      <c r="AW1138" s="23"/>
      <c r="AX1138" s="23"/>
      <c r="AY1138" s="16"/>
      <c r="AZ1138" s="23"/>
      <c r="BA1138" s="23"/>
      <c r="BB1138" s="23"/>
      <c r="BC1138" s="16"/>
      <c r="BD1138" s="23"/>
      <c r="BE1138" s="23"/>
      <c r="BF1138" s="23"/>
      <c r="BJ1138" s="23"/>
      <c r="BN1138" s="23"/>
      <c r="BO1138" s="23">
        <v>30.0</v>
      </c>
      <c r="BP1138" s="16"/>
      <c r="BQ1138" s="16"/>
      <c r="BR1138" s="23">
        <v>30.0</v>
      </c>
      <c r="BS1138" s="16"/>
      <c r="BT1138" s="16"/>
      <c r="BU1138" s="16" t="s">
        <v>539</v>
      </c>
      <c r="BV1138" s="16"/>
      <c r="BW1138" s="16"/>
      <c r="BX1138" s="16"/>
      <c r="BY1138" s="16"/>
    </row>
    <row r="1139">
      <c r="A1139" s="16" t="s">
        <v>6819</v>
      </c>
      <c r="B1139" s="16" t="s">
        <v>35</v>
      </c>
      <c r="C1139" s="22">
        <v>45748.0</v>
      </c>
      <c r="D1139" s="16" t="s">
        <v>460</v>
      </c>
      <c r="E1139" s="16"/>
      <c r="F1139" s="16" t="s">
        <v>6172</v>
      </c>
      <c r="G1139" s="16" t="s">
        <v>5636</v>
      </c>
      <c r="H1139" s="16">
        <v>1.0</v>
      </c>
      <c r="I1139" s="23">
        <v>200.0</v>
      </c>
      <c r="J1139" s="23">
        <v>200.0</v>
      </c>
      <c r="K1139" s="16"/>
      <c r="L1139" s="23"/>
      <c r="M1139" s="23"/>
      <c r="N1139" s="23"/>
      <c r="O1139" s="16"/>
      <c r="P1139" s="23"/>
      <c r="Q1139" s="23"/>
      <c r="R1139" s="23"/>
      <c r="S1139" s="16"/>
      <c r="T1139" s="23"/>
      <c r="U1139" s="23"/>
      <c r="V1139" s="23"/>
      <c r="W1139" s="16"/>
      <c r="X1139" s="23"/>
      <c r="Y1139" s="23"/>
      <c r="Z1139" s="23"/>
      <c r="AA1139" s="16"/>
      <c r="AB1139" s="23"/>
      <c r="AC1139" s="23"/>
      <c r="AD1139" s="23"/>
      <c r="AE1139" s="16"/>
      <c r="AF1139" s="23"/>
      <c r="AG1139" s="23"/>
      <c r="AH1139" s="23"/>
      <c r="AI1139" s="16"/>
      <c r="AJ1139" s="23"/>
      <c r="AK1139" s="23"/>
      <c r="AL1139" s="23"/>
      <c r="AM1139" s="16"/>
      <c r="AN1139" s="23"/>
      <c r="AO1139" s="23"/>
      <c r="AP1139" s="23"/>
      <c r="AQ1139" s="16"/>
      <c r="AR1139" s="23"/>
      <c r="AS1139" s="23"/>
      <c r="AT1139" s="23"/>
      <c r="AU1139" s="16"/>
      <c r="AV1139" s="23"/>
      <c r="AW1139" s="23"/>
      <c r="AX1139" s="23"/>
      <c r="AY1139" s="16"/>
      <c r="AZ1139" s="23"/>
      <c r="BA1139" s="23"/>
      <c r="BB1139" s="23"/>
      <c r="BC1139" s="16"/>
      <c r="BD1139" s="23"/>
      <c r="BE1139" s="23"/>
      <c r="BF1139" s="23"/>
      <c r="BJ1139" s="23"/>
      <c r="BN1139" s="23"/>
      <c r="BO1139" s="23">
        <v>200.0</v>
      </c>
      <c r="BP1139" s="16"/>
      <c r="BQ1139" s="16"/>
      <c r="BR1139" s="23">
        <v>200.0</v>
      </c>
      <c r="BS1139" s="16"/>
      <c r="BT1139" s="16"/>
      <c r="BU1139" s="16" t="s">
        <v>539</v>
      </c>
      <c r="BV1139" s="16"/>
      <c r="BW1139" s="16"/>
      <c r="BX1139" s="16"/>
      <c r="BY1139" s="16"/>
    </row>
    <row r="1140">
      <c r="A1140" s="16" t="s">
        <v>6822</v>
      </c>
      <c r="B1140" s="16" t="s">
        <v>35</v>
      </c>
      <c r="C1140" s="22">
        <v>45748.0</v>
      </c>
      <c r="D1140" s="16" t="s">
        <v>460</v>
      </c>
      <c r="E1140" s="16"/>
      <c r="F1140" s="16" t="s">
        <v>4972</v>
      </c>
      <c r="G1140" s="16" t="s">
        <v>5640</v>
      </c>
      <c r="H1140" s="16">
        <v>1.0</v>
      </c>
      <c r="I1140" s="23">
        <v>22.0</v>
      </c>
      <c r="J1140" s="23">
        <v>22.0</v>
      </c>
      <c r="K1140" s="16"/>
      <c r="L1140" s="23"/>
      <c r="M1140" s="23"/>
      <c r="N1140" s="23"/>
      <c r="O1140" s="16"/>
      <c r="P1140" s="23"/>
      <c r="Q1140" s="23"/>
      <c r="R1140" s="23"/>
      <c r="S1140" s="16"/>
      <c r="T1140" s="23"/>
      <c r="U1140" s="23"/>
      <c r="V1140" s="23"/>
      <c r="W1140" s="16"/>
      <c r="X1140" s="23"/>
      <c r="Y1140" s="23"/>
      <c r="Z1140" s="23"/>
      <c r="AA1140" s="16"/>
      <c r="AB1140" s="23"/>
      <c r="AC1140" s="23"/>
      <c r="AD1140" s="23"/>
      <c r="AE1140" s="16"/>
      <c r="AF1140" s="23"/>
      <c r="AG1140" s="23"/>
      <c r="AH1140" s="23"/>
      <c r="AI1140" s="16"/>
      <c r="AJ1140" s="23"/>
      <c r="AK1140" s="23"/>
      <c r="AL1140" s="23"/>
      <c r="AM1140" s="16"/>
      <c r="AN1140" s="23"/>
      <c r="AO1140" s="23"/>
      <c r="AP1140" s="23"/>
      <c r="AQ1140" s="16"/>
      <c r="AR1140" s="23"/>
      <c r="AS1140" s="23"/>
      <c r="AT1140" s="23"/>
      <c r="AU1140" s="16"/>
      <c r="AV1140" s="23"/>
      <c r="AW1140" s="23"/>
      <c r="AX1140" s="23"/>
      <c r="AY1140" s="16"/>
      <c r="AZ1140" s="23"/>
      <c r="BA1140" s="23"/>
      <c r="BB1140" s="23"/>
      <c r="BC1140" s="16"/>
      <c r="BD1140" s="23"/>
      <c r="BE1140" s="23"/>
      <c r="BF1140" s="23"/>
      <c r="BJ1140" s="23"/>
      <c r="BN1140" s="23"/>
      <c r="BO1140" s="23">
        <v>22.0</v>
      </c>
      <c r="BP1140" s="16"/>
      <c r="BQ1140" s="16"/>
      <c r="BR1140" s="23">
        <v>22.0</v>
      </c>
      <c r="BS1140" s="16"/>
      <c r="BT1140" s="16"/>
      <c r="BU1140" s="16" t="s">
        <v>539</v>
      </c>
      <c r="BV1140" s="16"/>
      <c r="BW1140" s="16"/>
      <c r="BX1140" s="16"/>
      <c r="BY1140" s="16"/>
    </row>
    <row r="1141">
      <c r="A1141" s="16" t="s">
        <v>6826</v>
      </c>
      <c r="B1141" s="16" t="s">
        <v>35</v>
      </c>
      <c r="C1141" s="22">
        <v>45748.0</v>
      </c>
      <c r="D1141" s="16" t="s">
        <v>460</v>
      </c>
      <c r="E1141" s="16"/>
      <c r="F1141" s="16" t="s">
        <v>4979</v>
      </c>
      <c r="G1141" s="16" t="s">
        <v>5973</v>
      </c>
      <c r="H1141" s="16">
        <v>1.0</v>
      </c>
      <c r="I1141" s="23">
        <v>10.0</v>
      </c>
      <c r="J1141" s="23">
        <v>10.0</v>
      </c>
      <c r="K1141" s="16"/>
      <c r="L1141" s="23"/>
      <c r="M1141" s="23"/>
      <c r="N1141" s="23"/>
      <c r="O1141" s="16"/>
      <c r="P1141" s="23"/>
      <c r="Q1141" s="23"/>
      <c r="R1141" s="23"/>
      <c r="S1141" s="16"/>
      <c r="T1141" s="23"/>
      <c r="U1141" s="23"/>
      <c r="V1141" s="23"/>
      <c r="W1141" s="16"/>
      <c r="X1141" s="23"/>
      <c r="Y1141" s="23"/>
      <c r="Z1141" s="23"/>
      <c r="AA1141" s="16"/>
      <c r="AB1141" s="23"/>
      <c r="AC1141" s="23"/>
      <c r="AD1141" s="23"/>
      <c r="AE1141" s="16"/>
      <c r="AF1141" s="23"/>
      <c r="AG1141" s="23"/>
      <c r="AH1141" s="23"/>
      <c r="AI1141" s="16"/>
      <c r="AJ1141" s="23"/>
      <c r="AK1141" s="23"/>
      <c r="AL1141" s="23"/>
      <c r="AM1141" s="16"/>
      <c r="AN1141" s="23"/>
      <c r="AO1141" s="23"/>
      <c r="AP1141" s="23"/>
      <c r="AQ1141" s="16"/>
      <c r="AR1141" s="23"/>
      <c r="AS1141" s="23"/>
      <c r="AT1141" s="23"/>
      <c r="AU1141" s="16"/>
      <c r="AV1141" s="23"/>
      <c r="AW1141" s="23"/>
      <c r="AX1141" s="23"/>
      <c r="AY1141" s="16"/>
      <c r="AZ1141" s="23"/>
      <c r="BA1141" s="23"/>
      <c r="BB1141" s="23"/>
      <c r="BC1141" s="16"/>
      <c r="BD1141" s="23"/>
      <c r="BE1141" s="23"/>
      <c r="BF1141" s="23"/>
      <c r="BJ1141" s="23"/>
      <c r="BN1141" s="23"/>
      <c r="BO1141" s="23">
        <v>10.0</v>
      </c>
      <c r="BP1141" s="16"/>
      <c r="BQ1141" s="16"/>
      <c r="BR1141" s="23">
        <v>10.0</v>
      </c>
      <c r="BS1141" s="16"/>
      <c r="BT1141" s="16"/>
      <c r="BU1141" s="16" t="s">
        <v>539</v>
      </c>
      <c r="BV1141" s="16"/>
      <c r="BW1141" s="16"/>
      <c r="BX1141" s="16"/>
      <c r="BY1141" s="16"/>
    </row>
    <row r="1142">
      <c r="A1142" s="16" t="s">
        <v>6828</v>
      </c>
      <c r="B1142" s="16" t="s">
        <v>35</v>
      </c>
      <c r="C1142" s="22">
        <v>45748.0</v>
      </c>
      <c r="D1142" s="16" t="s">
        <v>460</v>
      </c>
      <c r="E1142" s="16"/>
      <c r="F1142" s="16" t="s">
        <v>7192</v>
      </c>
      <c r="G1142" s="16" t="s">
        <v>6829</v>
      </c>
      <c r="H1142" s="16">
        <v>1.0</v>
      </c>
      <c r="I1142" s="23">
        <v>792.0</v>
      </c>
      <c r="J1142" s="23">
        <v>792.0</v>
      </c>
      <c r="K1142" s="16"/>
      <c r="L1142" s="23"/>
      <c r="M1142" s="23"/>
      <c r="N1142" s="23"/>
      <c r="O1142" s="16"/>
      <c r="P1142" s="23"/>
      <c r="Q1142" s="23"/>
      <c r="R1142" s="23"/>
      <c r="S1142" s="16"/>
      <c r="T1142" s="23"/>
      <c r="U1142" s="23"/>
      <c r="V1142" s="23"/>
      <c r="W1142" s="16"/>
      <c r="X1142" s="23"/>
      <c r="Y1142" s="23"/>
      <c r="Z1142" s="23"/>
      <c r="AA1142" s="16"/>
      <c r="AB1142" s="23"/>
      <c r="AC1142" s="23"/>
      <c r="AD1142" s="23"/>
      <c r="AE1142" s="16"/>
      <c r="AF1142" s="23"/>
      <c r="AG1142" s="23"/>
      <c r="AH1142" s="23"/>
      <c r="AI1142" s="16"/>
      <c r="AJ1142" s="23"/>
      <c r="AK1142" s="23"/>
      <c r="AL1142" s="23"/>
      <c r="AM1142" s="16"/>
      <c r="AN1142" s="23"/>
      <c r="AO1142" s="23"/>
      <c r="AP1142" s="23"/>
      <c r="AQ1142" s="16"/>
      <c r="AR1142" s="23"/>
      <c r="AS1142" s="23"/>
      <c r="AT1142" s="23"/>
      <c r="AU1142" s="16"/>
      <c r="AV1142" s="23"/>
      <c r="AW1142" s="23"/>
      <c r="AX1142" s="23"/>
      <c r="AY1142" s="16"/>
      <c r="AZ1142" s="23"/>
      <c r="BA1142" s="23"/>
      <c r="BB1142" s="23"/>
      <c r="BC1142" s="16"/>
      <c r="BD1142" s="23"/>
      <c r="BE1142" s="23"/>
      <c r="BF1142" s="23"/>
      <c r="BJ1142" s="23"/>
      <c r="BN1142" s="23"/>
      <c r="BO1142" s="23">
        <v>792.0</v>
      </c>
      <c r="BP1142" s="16"/>
      <c r="BQ1142" s="16"/>
      <c r="BR1142" s="23">
        <v>792.0</v>
      </c>
      <c r="BS1142" s="16"/>
      <c r="BT1142" s="16"/>
      <c r="BU1142" s="16" t="s">
        <v>539</v>
      </c>
      <c r="BV1142" s="16"/>
      <c r="BW1142" s="16"/>
      <c r="BX1142" s="16"/>
      <c r="BY1142" s="16"/>
    </row>
    <row r="1143">
      <c r="A1143" s="16" t="s">
        <v>6831</v>
      </c>
      <c r="B1143" s="16" t="s">
        <v>35</v>
      </c>
      <c r="C1143" s="22">
        <v>45749.0</v>
      </c>
      <c r="D1143" s="16" t="s">
        <v>353</v>
      </c>
      <c r="E1143" s="16" t="s">
        <v>7201</v>
      </c>
      <c r="F1143" s="16" t="s">
        <v>605</v>
      </c>
      <c r="G1143" s="16" t="s">
        <v>2003</v>
      </c>
      <c r="H1143" s="16">
        <v>1.0</v>
      </c>
      <c r="I1143" s="23">
        <v>1023.92</v>
      </c>
      <c r="J1143" s="23">
        <v>1023.92</v>
      </c>
      <c r="K1143" s="16" t="s">
        <v>6355</v>
      </c>
      <c r="L1143" s="23">
        <v>1.0</v>
      </c>
      <c r="M1143" s="23">
        <v>724.5</v>
      </c>
      <c r="N1143" s="23">
        <v>724.5</v>
      </c>
      <c r="O1143" s="16" t="s">
        <v>2208</v>
      </c>
      <c r="P1143" s="23">
        <v>1.0</v>
      </c>
      <c r="Q1143" s="23">
        <v>45.98</v>
      </c>
      <c r="R1143" s="23">
        <v>45.98</v>
      </c>
      <c r="S1143" s="16" t="s">
        <v>6838</v>
      </c>
      <c r="T1143" s="23">
        <v>1.0</v>
      </c>
      <c r="U1143" s="23">
        <v>17.98</v>
      </c>
      <c r="V1143" s="23">
        <v>17.98</v>
      </c>
      <c r="W1143" s="16" t="s">
        <v>6840</v>
      </c>
      <c r="X1143" s="23">
        <v>1.0</v>
      </c>
      <c r="Y1143" s="23">
        <v>240.0</v>
      </c>
      <c r="Z1143" s="23">
        <v>240.0</v>
      </c>
      <c r="AA1143" s="16" t="s">
        <v>4176</v>
      </c>
      <c r="AB1143" s="23">
        <v>1.0</v>
      </c>
      <c r="AC1143" s="23">
        <v>175.0</v>
      </c>
      <c r="AD1143" s="23">
        <v>175.0</v>
      </c>
      <c r="AE1143" s="16" t="s">
        <v>6846</v>
      </c>
      <c r="AF1143" s="23">
        <v>1.0</v>
      </c>
      <c r="AG1143" s="23">
        <v>20.5</v>
      </c>
      <c r="AH1143" s="23">
        <v>20.5</v>
      </c>
      <c r="AI1143" s="16"/>
      <c r="AJ1143" s="23"/>
      <c r="AK1143" s="23"/>
      <c r="AL1143" s="23">
        <v>0.0</v>
      </c>
      <c r="AM1143" s="16"/>
      <c r="AN1143" s="23"/>
      <c r="AO1143" s="23"/>
      <c r="AP1143" s="23">
        <v>0.0</v>
      </c>
      <c r="AQ1143" s="16"/>
      <c r="AR1143" s="23"/>
      <c r="AS1143" s="23"/>
      <c r="AT1143" s="23">
        <v>0.0</v>
      </c>
      <c r="AU1143" s="16"/>
      <c r="AV1143" s="23"/>
      <c r="AW1143" s="23"/>
      <c r="AX1143" s="23">
        <v>0.0</v>
      </c>
      <c r="AY1143" s="16"/>
      <c r="AZ1143" s="23"/>
      <c r="BA1143" s="23"/>
      <c r="BB1143" s="23"/>
      <c r="BC1143" s="16"/>
      <c r="BD1143" s="23"/>
      <c r="BE1143" s="23"/>
      <c r="BF1143" s="23">
        <v>0.0</v>
      </c>
      <c r="BJ1143" s="23">
        <v>0.0</v>
      </c>
      <c r="BN1143" s="23">
        <v>0.0</v>
      </c>
      <c r="BO1143" s="23">
        <v>2247.88</v>
      </c>
      <c r="BP1143" s="16" t="s">
        <v>7202</v>
      </c>
      <c r="BQ1143" s="16" t="b">
        <v>1</v>
      </c>
      <c r="BR1143" s="23">
        <v>2247.88</v>
      </c>
      <c r="BS1143" s="16" t="s">
        <v>4049</v>
      </c>
      <c r="BT1143" s="16" t="b">
        <v>1</v>
      </c>
      <c r="BU1143" s="16" t="s">
        <v>546</v>
      </c>
      <c r="BV1143" s="16"/>
      <c r="BW1143" s="16"/>
      <c r="BX1143" s="16"/>
      <c r="BY1143" s="16"/>
    </row>
    <row r="1144">
      <c r="A1144" s="16" t="s">
        <v>6848</v>
      </c>
      <c r="B1144" s="16" t="s">
        <v>35</v>
      </c>
      <c r="C1144" s="22">
        <v>45749.0</v>
      </c>
      <c r="D1144" s="16" t="s">
        <v>7209</v>
      </c>
      <c r="E1144" s="16" t="s">
        <v>7210</v>
      </c>
      <c r="F1144" s="16" t="s">
        <v>369</v>
      </c>
      <c r="G1144" s="16" t="s">
        <v>1195</v>
      </c>
      <c r="H1144" s="16">
        <v>2.0</v>
      </c>
      <c r="I1144" s="23">
        <v>10.9</v>
      </c>
      <c r="J1144" s="23">
        <v>21.8</v>
      </c>
      <c r="K1144" s="16" t="s">
        <v>693</v>
      </c>
      <c r="L1144" s="23">
        <v>2.0</v>
      </c>
      <c r="M1144" s="23">
        <v>9.9</v>
      </c>
      <c r="N1144" s="23">
        <v>19.8</v>
      </c>
      <c r="O1144" s="16" t="s">
        <v>797</v>
      </c>
      <c r="P1144" s="23">
        <v>1.0</v>
      </c>
      <c r="Q1144" s="23">
        <v>88.8</v>
      </c>
      <c r="R1144" s="23">
        <v>88.8</v>
      </c>
      <c r="S1144" s="16" t="s">
        <v>1683</v>
      </c>
      <c r="T1144" s="23">
        <v>1.0</v>
      </c>
      <c r="U1144" s="23">
        <v>111.89</v>
      </c>
      <c r="V1144" s="23">
        <v>111.89</v>
      </c>
      <c r="W1144" s="16" t="s">
        <v>1197</v>
      </c>
      <c r="X1144" s="23">
        <v>1.0</v>
      </c>
      <c r="Y1144" s="23">
        <v>93.3</v>
      </c>
      <c r="Z1144" s="23">
        <v>93.3</v>
      </c>
      <c r="AA1144" s="16"/>
      <c r="AB1144" s="23"/>
      <c r="AC1144" s="23"/>
      <c r="AD1144" s="23">
        <v>0.0</v>
      </c>
      <c r="AE1144" s="16"/>
      <c r="AF1144" s="23"/>
      <c r="AG1144" s="23"/>
      <c r="AH1144" s="23">
        <v>0.0</v>
      </c>
      <c r="AI1144" s="16"/>
      <c r="AJ1144" s="23"/>
      <c r="AK1144" s="23"/>
      <c r="AL1144" s="23">
        <v>0.0</v>
      </c>
      <c r="AM1144" s="16"/>
      <c r="AN1144" s="23"/>
      <c r="AO1144" s="23"/>
      <c r="AP1144" s="23">
        <v>0.0</v>
      </c>
      <c r="AQ1144" s="16"/>
      <c r="AR1144" s="23"/>
      <c r="AS1144" s="23"/>
      <c r="AT1144" s="23">
        <v>0.0</v>
      </c>
      <c r="AU1144" s="16"/>
      <c r="AV1144" s="23"/>
      <c r="AW1144" s="23"/>
      <c r="AX1144" s="23">
        <v>0.0</v>
      </c>
      <c r="AY1144" s="16"/>
      <c r="AZ1144" s="23"/>
      <c r="BA1144" s="23"/>
      <c r="BB1144" s="23"/>
      <c r="BC1144" s="16"/>
      <c r="BD1144" s="23"/>
      <c r="BE1144" s="23"/>
      <c r="BF1144" s="23">
        <v>0.0</v>
      </c>
      <c r="BJ1144" s="23">
        <v>0.0</v>
      </c>
      <c r="BN1144" s="23">
        <v>0.0</v>
      </c>
      <c r="BO1144" s="23">
        <v>335.59</v>
      </c>
      <c r="BP1144" s="16" t="s">
        <v>7213</v>
      </c>
      <c r="BQ1144" s="16" t="b">
        <v>1</v>
      </c>
      <c r="BR1144" s="23">
        <v>335.59</v>
      </c>
      <c r="BS1144" s="16" t="s">
        <v>5497</v>
      </c>
      <c r="BT1144" s="16" t="b">
        <v>1</v>
      </c>
      <c r="BU1144" s="16" t="s">
        <v>546</v>
      </c>
      <c r="BV1144" s="16"/>
      <c r="BW1144" s="16"/>
      <c r="BX1144" s="16"/>
      <c r="BY1144" s="16"/>
    </row>
    <row r="1145">
      <c r="A1145" s="16" t="s">
        <v>6859</v>
      </c>
      <c r="B1145" s="16" t="s">
        <v>35</v>
      </c>
      <c r="C1145" s="22">
        <v>45749.0</v>
      </c>
      <c r="D1145" s="16" t="s">
        <v>112</v>
      </c>
      <c r="E1145" s="16" t="s">
        <v>7223</v>
      </c>
      <c r="F1145" s="16" t="s">
        <v>157</v>
      </c>
      <c r="G1145" s="16" t="s">
        <v>159</v>
      </c>
      <c r="H1145" s="16">
        <v>1.0</v>
      </c>
      <c r="I1145" s="23">
        <v>156.0</v>
      </c>
      <c r="J1145" s="23">
        <v>156.0</v>
      </c>
      <c r="K1145" s="16" t="s">
        <v>155</v>
      </c>
      <c r="L1145" s="23">
        <v>1.0</v>
      </c>
      <c r="M1145" s="23">
        <v>39.67</v>
      </c>
      <c r="N1145" s="23">
        <v>39.67</v>
      </c>
      <c r="O1145" s="16" t="s">
        <v>152</v>
      </c>
      <c r="P1145" s="23">
        <v>1.0</v>
      </c>
      <c r="Q1145" s="23">
        <v>6.9</v>
      </c>
      <c r="R1145" s="23">
        <v>6.9</v>
      </c>
      <c r="S1145" s="16" t="s">
        <v>226</v>
      </c>
      <c r="T1145" s="23">
        <v>1.0</v>
      </c>
      <c r="U1145" s="23">
        <v>47.5</v>
      </c>
      <c r="V1145" s="23">
        <v>47.5</v>
      </c>
      <c r="W1145" s="16"/>
      <c r="X1145" s="23"/>
      <c r="Y1145" s="23"/>
      <c r="Z1145" s="23">
        <v>0.0</v>
      </c>
      <c r="AA1145" s="16"/>
      <c r="AB1145" s="23"/>
      <c r="AC1145" s="23"/>
      <c r="AD1145" s="23">
        <v>0.0</v>
      </c>
      <c r="AE1145" s="16"/>
      <c r="AF1145" s="23"/>
      <c r="AG1145" s="23"/>
      <c r="AH1145" s="23">
        <v>0.0</v>
      </c>
      <c r="AI1145" s="16"/>
      <c r="AJ1145" s="23"/>
      <c r="AK1145" s="23"/>
      <c r="AL1145" s="23">
        <v>0.0</v>
      </c>
      <c r="AM1145" s="16"/>
      <c r="AN1145" s="23"/>
      <c r="AO1145" s="23"/>
      <c r="AP1145" s="23">
        <v>0.0</v>
      </c>
      <c r="AQ1145" s="16"/>
      <c r="AR1145" s="23"/>
      <c r="AS1145" s="23"/>
      <c r="AT1145" s="23">
        <v>0.0</v>
      </c>
      <c r="AU1145" s="16"/>
      <c r="AV1145" s="23"/>
      <c r="AW1145" s="23"/>
      <c r="AX1145" s="23">
        <v>0.0</v>
      </c>
      <c r="AY1145" s="16"/>
      <c r="AZ1145" s="23"/>
      <c r="BA1145" s="23"/>
      <c r="BB1145" s="23"/>
      <c r="BC1145" s="16"/>
      <c r="BD1145" s="23"/>
      <c r="BE1145" s="23"/>
      <c r="BF1145" s="23">
        <v>0.0</v>
      </c>
      <c r="BJ1145" s="23">
        <v>0.0</v>
      </c>
      <c r="BN1145" s="23">
        <v>0.0</v>
      </c>
      <c r="BO1145" s="23">
        <v>250.07</v>
      </c>
      <c r="BP1145" s="16" t="s">
        <v>7224</v>
      </c>
      <c r="BQ1145" s="16" t="b">
        <v>1</v>
      </c>
      <c r="BR1145" s="23">
        <v>250.07</v>
      </c>
      <c r="BS1145" s="16"/>
      <c r="BT1145" s="16" t="b">
        <v>0</v>
      </c>
      <c r="BU1145" s="16" t="s">
        <v>546</v>
      </c>
      <c r="BV1145" s="16"/>
      <c r="BW1145" s="16"/>
      <c r="BX1145" s="16"/>
      <c r="BY1145" s="16"/>
    </row>
    <row r="1146">
      <c r="A1146" s="16" t="s">
        <v>6870</v>
      </c>
      <c r="B1146" s="16" t="s">
        <v>35</v>
      </c>
      <c r="C1146" s="22">
        <v>45753.0</v>
      </c>
      <c r="D1146" s="16"/>
      <c r="E1146" s="16"/>
      <c r="F1146" s="16" t="s">
        <v>7232</v>
      </c>
      <c r="G1146" s="16" t="s">
        <v>1270</v>
      </c>
      <c r="H1146" s="16">
        <v>1.0</v>
      </c>
      <c r="I1146" s="23">
        <v>6000.0</v>
      </c>
      <c r="J1146" s="23">
        <v>6000.0</v>
      </c>
      <c r="K1146" s="16"/>
      <c r="L1146" s="23"/>
      <c r="M1146" s="23"/>
      <c r="N1146" s="23"/>
      <c r="O1146" s="16"/>
      <c r="P1146" s="23"/>
      <c r="Q1146" s="23"/>
      <c r="R1146" s="23"/>
      <c r="S1146" s="16"/>
      <c r="T1146" s="23"/>
      <c r="U1146" s="23"/>
      <c r="V1146" s="23"/>
      <c r="W1146" s="16"/>
      <c r="X1146" s="23"/>
      <c r="Y1146" s="23"/>
      <c r="Z1146" s="23"/>
      <c r="AA1146" s="16"/>
      <c r="AB1146" s="23"/>
      <c r="AC1146" s="23"/>
      <c r="AD1146" s="23"/>
      <c r="AE1146" s="16"/>
      <c r="AF1146" s="23"/>
      <c r="AG1146" s="23"/>
      <c r="AH1146" s="23"/>
      <c r="AI1146" s="16"/>
      <c r="AJ1146" s="23"/>
      <c r="AK1146" s="23"/>
      <c r="AL1146" s="23"/>
      <c r="AM1146" s="16"/>
      <c r="AN1146" s="23"/>
      <c r="AO1146" s="23"/>
      <c r="AP1146" s="23"/>
      <c r="AQ1146" s="16"/>
      <c r="AR1146" s="23"/>
      <c r="AS1146" s="23"/>
      <c r="AT1146" s="23"/>
      <c r="AU1146" s="16"/>
      <c r="AV1146" s="23"/>
      <c r="AW1146" s="23"/>
      <c r="AX1146" s="23"/>
      <c r="AY1146" s="16"/>
      <c r="AZ1146" s="23"/>
      <c r="BA1146" s="23"/>
      <c r="BB1146" s="23"/>
      <c r="BC1146" s="16"/>
      <c r="BD1146" s="23"/>
      <c r="BE1146" s="23"/>
      <c r="BF1146" s="23"/>
      <c r="BJ1146" s="23"/>
      <c r="BN1146" s="23"/>
      <c r="BO1146" s="23">
        <v>6000.0</v>
      </c>
      <c r="BP1146" s="16"/>
      <c r="BQ1146" s="16"/>
      <c r="BR1146" s="23">
        <v>6000.0</v>
      </c>
      <c r="BS1146" s="16"/>
      <c r="BT1146" s="16"/>
      <c r="BU1146" s="16" t="s">
        <v>539</v>
      </c>
      <c r="BV1146" s="16" t="s">
        <v>682</v>
      </c>
      <c r="BW1146" s="16"/>
      <c r="BX1146" s="16"/>
      <c r="BY1146" s="16"/>
    </row>
    <row r="1147">
      <c r="A1147" s="16" t="s">
        <v>6874</v>
      </c>
      <c r="B1147" s="16" t="s">
        <v>35</v>
      </c>
      <c r="C1147" s="22">
        <v>45753.0</v>
      </c>
      <c r="D1147" s="16"/>
      <c r="E1147" s="16"/>
      <c r="F1147" s="16" t="s">
        <v>7232</v>
      </c>
      <c r="G1147" s="16" t="s">
        <v>1270</v>
      </c>
      <c r="H1147" s="16">
        <v>1.0</v>
      </c>
      <c r="I1147" s="23">
        <v>6000.0</v>
      </c>
      <c r="J1147" s="23">
        <v>6000.0</v>
      </c>
      <c r="K1147" s="16"/>
      <c r="L1147" s="23"/>
      <c r="M1147" s="23"/>
      <c r="N1147" s="23"/>
      <c r="O1147" s="16"/>
      <c r="P1147" s="23"/>
      <c r="Q1147" s="23"/>
      <c r="R1147" s="23"/>
      <c r="S1147" s="16"/>
      <c r="T1147" s="23"/>
      <c r="U1147" s="23"/>
      <c r="V1147" s="23"/>
      <c r="W1147" s="16"/>
      <c r="X1147" s="23"/>
      <c r="Y1147" s="23"/>
      <c r="Z1147" s="23"/>
      <c r="AA1147" s="16"/>
      <c r="AB1147" s="23"/>
      <c r="AC1147" s="23"/>
      <c r="AD1147" s="23"/>
      <c r="AE1147" s="16"/>
      <c r="AF1147" s="23"/>
      <c r="AG1147" s="23"/>
      <c r="AH1147" s="23"/>
      <c r="AI1147" s="16"/>
      <c r="AJ1147" s="23"/>
      <c r="AK1147" s="23"/>
      <c r="AL1147" s="23"/>
      <c r="AM1147" s="16"/>
      <c r="AN1147" s="23"/>
      <c r="AO1147" s="23"/>
      <c r="AP1147" s="23"/>
      <c r="AQ1147" s="16"/>
      <c r="AR1147" s="23"/>
      <c r="AS1147" s="23"/>
      <c r="AT1147" s="23"/>
      <c r="AU1147" s="16"/>
      <c r="AV1147" s="23"/>
      <c r="AW1147" s="23"/>
      <c r="AX1147" s="23"/>
      <c r="AY1147" s="16"/>
      <c r="AZ1147" s="23"/>
      <c r="BA1147" s="23"/>
      <c r="BB1147" s="23"/>
      <c r="BC1147" s="16"/>
      <c r="BD1147" s="23"/>
      <c r="BE1147" s="23"/>
      <c r="BF1147" s="23"/>
      <c r="BJ1147" s="23"/>
      <c r="BN1147" s="23"/>
      <c r="BO1147" s="23">
        <v>6000.0</v>
      </c>
      <c r="BP1147" s="16"/>
      <c r="BQ1147" s="16"/>
      <c r="BR1147" s="23">
        <v>6000.0</v>
      </c>
      <c r="BS1147" s="16"/>
      <c r="BT1147" s="16"/>
      <c r="BU1147" s="16" t="s">
        <v>539</v>
      </c>
      <c r="BV1147" s="16" t="s">
        <v>668</v>
      </c>
      <c r="BW1147" s="16"/>
      <c r="BX1147" s="16"/>
      <c r="BY1147" s="16"/>
    </row>
    <row r="1148">
      <c r="A1148" s="16" t="s">
        <v>6876</v>
      </c>
      <c r="B1148" s="16" t="s">
        <v>35</v>
      </c>
      <c r="C1148" s="22">
        <v>45753.0</v>
      </c>
      <c r="D1148" s="16"/>
      <c r="E1148" s="16"/>
      <c r="F1148" s="16" t="s">
        <v>7232</v>
      </c>
      <c r="G1148" s="16" t="s">
        <v>1270</v>
      </c>
      <c r="H1148" s="16">
        <v>1.0</v>
      </c>
      <c r="I1148" s="23">
        <v>6000.0</v>
      </c>
      <c r="J1148" s="23">
        <v>6000.0</v>
      </c>
      <c r="K1148" s="16"/>
      <c r="L1148" s="23"/>
      <c r="M1148" s="23"/>
      <c r="N1148" s="23"/>
      <c r="O1148" s="16"/>
      <c r="P1148" s="23"/>
      <c r="Q1148" s="23"/>
      <c r="R1148" s="23"/>
      <c r="S1148" s="16"/>
      <c r="T1148" s="23"/>
      <c r="U1148" s="23"/>
      <c r="V1148" s="23"/>
      <c r="W1148" s="16"/>
      <c r="X1148" s="23"/>
      <c r="Y1148" s="23"/>
      <c r="Z1148" s="23"/>
      <c r="AA1148" s="16"/>
      <c r="AB1148" s="23"/>
      <c r="AC1148" s="23"/>
      <c r="AD1148" s="23"/>
      <c r="AE1148" s="16"/>
      <c r="AF1148" s="23"/>
      <c r="AG1148" s="23"/>
      <c r="AH1148" s="23"/>
      <c r="AI1148" s="16"/>
      <c r="AJ1148" s="23"/>
      <c r="AK1148" s="23"/>
      <c r="AL1148" s="23"/>
      <c r="AM1148" s="16"/>
      <c r="AN1148" s="23"/>
      <c r="AO1148" s="23"/>
      <c r="AP1148" s="23"/>
      <c r="AQ1148" s="16"/>
      <c r="AR1148" s="23"/>
      <c r="AS1148" s="23"/>
      <c r="AT1148" s="23"/>
      <c r="AU1148" s="16"/>
      <c r="AV1148" s="23"/>
      <c r="AW1148" s="23"/>
      <c r="AX1148" s="23"/>
      <c r="AY1148" s="16"/>
      <c r="AZ1148" s="23"/>
      <c r="BA1148" s="23"/>
      <c r="BB1148" s="23"/>
      <c r="BC1148" s="16"/>
      <c r="BD1148" s="23"/>
      <c r="BE1148" s="23"/>
      <c r="BF1148" s="23"/>
      <c r="BJ1148" s="23"/>
      <c r="BN1148" s="23"/>
      <c r="BO1148" s="23">
        <v>6000.0</v>
      </c>
      <c r="BP1148" s="16"/>
      <c r="BQ1148" s="16"/>
      <c r="BR1148" s="23">
        <v>6000.0</v>
      </c>
      <c r="BS1148" s="16"/>
      <c r="BT1148" s="16"/>
      <c r="BU1148" s="16" t="s">
        <v>539</v>
      </c>
      <c r="BV1148" s="16" t="s">
        <v>671</v>
      </c>
      <c r="BW1148" s="16"/>
      <c r="BX1148" s="16"/>
      <c r="BY1148" s="16"/>
    </row>
    <row r="1149">
      <c r="A1149" s="16" t="s">
        <v>6881</v>
      </c>
      <c r="B1149" s="16" t="s">
        <v>35</v>
      </c>
      <c r="C1149" s="22">
        <v>45747.0</v>
      </c>
      <c r="D1149" s="16" t="s">
        <v>890</v>
      </c>
      <c r="E1149" s="16" t="s">
        <v>7244</v>
      </c>
      <c r="F1149" s="16" t="s">
        <v>3813</v>
      </c>
      <c r="G1149" s="16" t="s">
        <v>1517</v>
      </c>
      <c r="H1149" s="16">
        <v>1.0</v>
      </c>
      <c r="I1149" s="23">
        <v>11237.81</v>
      </c>
      <c r="J1149" s="23">
        <v>11237.81</v>
      </c>
      <c r="K1149" s="16"/>
      <c r="L1149" s="23"/>
      <c r="M1149" s="23"/>
      <c r="N1149" s="23">
        <v>0.0</v>
      </c>
      <c r="O1149" s="16"/>
      <c r="P1149" s="23"/>
      <c r="Q1149" s="23"/>
      <c r="R1149" s="23">
        <v>0.0</v>
      </c>
      <c r="S1149" s="16"/>
      <c r="T1149" s="23"/>
      <c r="U1149" s="23"/>
      <c r="V1149" s="23">
        <v>0.0</v>
      </c>
      <c r="W1149" s="16"/>
      <c r="X1149" s="23"/>
      <c r="Y1149" s="23"/>
      <c r="Z1149" s="23">
        <v>0.0</v>
      </c>
      <c r="AA1149" s="16"/>
      <c r="AB1149" s="23"/>
      <c r="AC1149" s="23"/>
      <c r="AD1149" s="23">
        <v>0.0</v>
      </c>
      <c r="AE1149" s="16"/>
      <c r="AF1149" s="23"/>
      <c r="AG1149" s="23"/>
      <c r="AH1149" s="23">
        <v>0.0</v>
      </c>
      <c r="AI1149" s="16"/>
      <c r="AJ1149" s="23"/>
      <c r="AK1149" s="23"/>
      <c r="AL1149" s="23">
        <v>0.0</v>
      </c>
      <c r="AM1149" s="16"/>
      <c r="AN1149" s="23"/>
      <c r="AO1149" s="23"/>
      <c r="AP1149" s="23">
        <v>0.0</v>
      </c>
      <c r="AQ1149" s="16"/>
      <c r="AR1149" s="23"/>
      <c r="AS1149" s="23"/>
      <c r="AT1149" s="23">
        <v>0.0</v>
      </c>
      <c r="AU1149" s="16"/>
      <c r="AV1149" s="23"/>
      <c r="AW1149" s="23"/>
      <c r="AX1149" s="23">
        <v>0.0</v>
      </c>
      <c r="AY1149" s="16"/>
      <c r="AZ1149" s="23"/>
      <c r="BA1149" s="23"/>
      <c r="BB1149" s="23"/>
      <c r="BC1149" s="16"/>
      <c r="BD1149" s="23"/>
      <c r="BE1149" s="23"/>
      <c r="BF1149" s="23">
        <v>0.0</v>
      </c>
      <c r="BJ1149" s="23">
        <v>0.0</v>
      </c>
      <c r="BN1149" s="23">
        <v>0.0</v>
      </c>
      <c r="BO1149" s="23">
        <v>11237.81</v>
      </c>
      <c r="BP1149" s="16" t="s">
        <v>7246</v>
      </c>
      <c r="BQ1149" s="16" t="b">
        <v>1</v>
      </c>
      <c r="BR1149" s="23">
        <v>11237.81</v>
      </c>
      <c r="BS1149" s="16"/>
      <c r="BT1149" s="16" t="b">
        <v>0</v>
      </c>
      <c r="BU1149" s="16" t="s">
        <v>546</v>
      </c>
      <c r="BV1149" s="16"/>
      <c r="BW1149" s="16" t="s">
        <v>7249</v>
      </c>
      <c r="BX1149" s="16" t="s">
        <v>7252</v>
      </c>
      <c r="BY1149" s="16"/>
    </row>
    <row r="1150">
      <c r="A1150" s="16" t="s">
        <v>6883</v>
      </c>
      <c r="B1150" s="16" t="s">
        <v>35</v>
      </c>
      <c r="C1150" s="22">
        <v>45750.0</v>
      </c>
      <c r="D1150" s="16" t="s">
        <v>2613</v>
      </c>
      <c r="E1150" s="16" t="s">
        <v>7255</v>
      </c>
      <c r="F1150" s="16" t="s">
        <v>319</v>
      </c>
      <c r="G1150" s="16" t="s">
        <v>981</v>
      </c>
      <c r="H1150" s="16">
        <v>6.0</v>
      </c>
      <c r="I1150" s="23">
        <v>4.98</v>
      </c>
      <c r="J1150" s="23">
        <v>29.88</v>
      </c>
      <c r="K1150" s="16" t="s">
        <v>238</v>
      </c>
      <c r="L1150" s="23">
        <v>12.0</v>
      </c>
      <c r="M1150" s="23">
        <v>5.9</v>
      </c>
      <c r="N1150" s="23">
        <v>70.8</v>
      </c>
      <c r="O1150" s="16" t="s">
        <v>240</v>
      </c>
      <c r="P1150" s="23">
        <v>6.0</v>
      </c>
      <c r="Q1150" s="23">
        <v>5.4</v>
      </c>
      <c r="R1150" s="23">
        <v>32.4</v>
      </c>
      <c r="S1150" s="16" t="s">
        <v>242</v>
      </c>
      <c r="T1150" s="23">
        <v>6.0</v>
      </c>
      <c r="U1150" s="23">
        <v>5.4</v>
      </c>
      <c r="V1150" s="23">
        <v>32.4</v>
      </c>
      <c r="W1150" s="16"/>
      <c r="X1150" s="23"/>
      <c r="Y1150" s="23"/>
      <c r="Z1150" s="23">
        <v>0.0</v>
      </c>
      <c r="AA1150" s="16"/>
      <c r="AB1150" s="23"/>
      <c r="AC1150" s="23"/>
      <c r="AD1150" s="23">
        <v>0.0</v>
      </c>
      <c r="AE1150" s="16"/>
      <c r="AF1150" s="23"/>
      <c r="AG1150" s="23"/>
      <c r="AH1150" s="23">
        <v>0.0</v>
      </c>
      <c r="AI1150" s="16"/>
      <c r="AJ1150" s="23"/>
      <c r="AK1150" s="23"/>
      <c r="AL1150" s="23">
        <v>0.0</v>
      </c>
      <c r="AM1150" s="16"/>
      <c r="AN1150" s="23"/>
      <c r="AO1150" s="23"/>
      <c r="AP1150" s="23">
        <v>0.0</v>
      </c>
      <c r="AQ1150" s="16"/>
      <c r="AR1150" s="23"/>
      <c r="AS1150" s="23"/>
      <c r="AT1150" s="23">
        <v>0.0</v>
      </c>
      <c r="AU1150" s="16"/>
      <c r="AV1150" s="23"/>
      <c r="AW1150" s="23"/>
      <c r="AX1150" s="23">
        <v>0.0</v>
      </c>
      <c r="AY1150" s="16"/>
      <c r="AZ1150" s="23"/>
      <c r="BA1150" s="23"/>
      <c r="BB1150" s="23"/>
      <c r="BC1150" s="16"/>
      <c r="BD1150" s="23"/>
      <c r="BE1150" s="23"/>
      <c r="BF1150" s="23">
        <v>0.0</v>
      </c>
      <c r="BJ1150" s="23">
        <v>0.0</v>
      </c>
      <c r="BN1150" s="23">
        <v>0.0</v>
      </c>
      <c r="BO1150" s="23">
        <v>165.48</v>
      </c>
      <c r="BP1150" s="16" t="s">
        <v>7257</v>
      </c>
      <c r="BQ1150" s="16" t="b">
        <v>1</v>
      </c>
      <c r="BR1150" s="23">
        <v>165.48</v>
      </c>
      <c r="BS1150" s="16">
        <v>1413637.0</v>
      </c>
      <c r="BT1150" s="16" t="b">
        <v>1</v>
      </c>
      <c r="BU1150" s="16" t="s">
        <v>546</v>
      </c>
      <c r="BV1150" s="16"/>
      <c r="BW1150" s="16"/>
      <c r="BX1150" s="16"/>
      <c r="BY1150" s="16"/>
    </row>
    <row r="1151">
      <c r="A1151" s="16" t="s">
        <v>6891</v>
      </c>
      <c r="B1151" s="16" t="s">
        <v>35</v>
      </c>
      <c r="C1151" s="22">
        <v>45750.0</v>
      </c>
      <c r="D1151" s="16" t="s">
        <v>764</v>
      </c>
      <c r="E1151" s="16" t="s">
        <v>7262</v>
      </c>
      <c r="F1151" s="16" t="s">
        <v>195</v>
      </c>
      <c r="G1151" s="16" t="s">
        <v>1073</v>
      </c>
      <c r="H1151" s="16">
        <v>1.0</v>
      </c>
      <c r="I1151" s="23">
        <v>20.1</v>
      </c>
      <c r="J1151" s="23">
        <v>20.1</v>
      </c>
      <c r="K1151" s="16">
        <v>7.5375964E7</v>
      </c>
      <c r="L1151" s="23">
        <v>1.0</v>
      </c>
      <c r="M1151" s="23">
        <v>18.0</v>
      </c>
      <c r="N1151" s="23">
        <v>18.0</v>
      </c>
      <c r="O1151" s="16" t="s">
        <v>1384</v>
      </c>
      <c r="P1151" s="23">
        <v>1.0</v>
      </c>
      <c r="Q1151" s="23">
        <v>18.0</v>
      </c>
      <c r="R1151" s="23">
        <v>18.0</v>
      </c>
      <c r="S1151" s="16" t="s">
        <v>1404</v>
      </c>
      <c r="T1151" s="23">
        <v>1.0</v>
      </c>
      <c r="U1151" s="23">
        <v>18.0</v>
      </c>
      <c r="V1151" s="23">
        <v>18.0</v>
      </c>
      <c r="W1151" s="16" t="s">
        <v>1074</v>
      </c>
      <c r="X1151" s="23">
        <v>4.0</v>
      </c>
      <c r="Y1151" s="23">
        <v>40.8</v>
      </c>
      <c r="Z1151" s="23">
        <v>163.2</v>
      </c>
      <c r="AA1151" s="16" t="s">
        <v>1075</v>
      </c>
      <c r="AB1151" s="23">
        <v>4.0</v>
      </c>
      <c r="AC1151" s="23">
        <v>20.4</v>
      </c>
      <c r="AD1151" s="23">
        <v>81.6</v>
      </c>
      <c r="AE1151" s="16" t="s">
        <v>1077</v>
      </c>
      <c r="AF1151" s="23">
        <v>4.0</v>
      </c>
      <c r="AG1151" s="23">
        <v>24.0</v>
      </c>
      <c r="AH1151" s="23">
        <v>96.0</v>
      </c>
      <c r="AI1151" s="16" t="s">
        <v>1079</v>
      </c>
      <c r="AJ1151" s="23">
        <v>15.0</v>
      </c>
      <c r="AK1151" s="23">
        <v>16.6</v>
      </c>
      <c r="AL1151" s="23">
        <v>249.0</v>
      </c>
      <c r="AM1151" s="16" t="s">
        <v>1081</v>
      </c>
      <c r="AN1151" s="23">
        <v>4.0</v>
      </c>
      <c r="AO1151" s="23">
        <v>48.0</v>
      </c>
      <c r="AP1151" s="23">
        <v>192.0</v>
      </c>
      <c r="AQ1151" s="16" t="s">
        <v>1085</v>
      </c>
      <c r="AR1151" s="23">
        <v>3.0</v>
      </c>
      <c r="AS1151" s="23">
        <v>40.2</v>
      </c>
      <c r="AT1151" s="23">
        <v>120.6</v>
      </c>
      <c r="AU1151" s="16"/>
      <c r="AV1151" s="23"/>
      <c r="AW1151" s="23"/>
      <c r="AX1151" s="23">
        <v>0.0</v>
      </c>
      <c r="AY1151" s="16"/>
      <c r="AZ1151" s="23"/>
      <c r="BA1151" s="23"/>
      <c r="BB1151" s="23"/>
      <c r="BC1151" s="16"/>
      <c r="BD1151" s="23"/>
      <c r="BE1151" s="23"/>
      <c r="BF1151" s="23">
        <v>0.0</v>
      </c>
      <c r="BJ1151" s="23">
        <v>0.0</v>
      </c>
      <c r="BN1151" s="23">
        <v>0.0</v>
      </c>
      <c r="BO1151" s="23">
        <v>976.5</v>
      </c>
      <c r="BP1151" s="16" t="s">
        <v>7264</v>
      </c>
      <c r="BQ1151" s="16" t="b">
        <v>1</v>
      </c>
      <c r="BR1151" s="23">
        <v>976.5</v>
      </c>
      <c r="BS1151" s="16"/>
      <c r="BT1151" s="16" t="b">
        <v>0</v>
      </c>
      <c r="BU1151" s="16" t="s">
        <v>546</v>
      </c>
      <c r="BV1151" s="16"/>
      <c r="BW1151" s="16" t="s">
        <v>7265</v>
      </c>
      <c r="BX1151" s="16"/>
      <c r="BY1151" s="16"/>
    </row>
    <row r="1152">
      <c r="A1152" s="16" t="s">
        <v>6905</v>
      </c>
      <c r="B1152" s="16" t="s">
        <v>35</v>
      </c>
      <c r="C1152" s="22">
        <v>45751.0</v>
      </c>
      <c r="D1152" s="16">
        <v>8.627274E7</v>
      </c>
      <c r="E1152" s="16" t="s">
        <v>7271</v>
      </c>
      <c r="F1152" s="16" t="s">
        <v>7274</v>
      </c>
      <c r="G1152" s="16" t="s">
        <v>305</v>
      </c>
      <c r="H1152" s="16">
        <v>1.0</v>
      </c>
      <c r="I1152" s="23">
        <v>68.15</v>
      </c>
      <c r="J1152" s="23">
        <v>68.15</v>
      </c>
      <c r="K1152" s="16"/>
      <c r="L1152" s="23"/>
      <c r="M1152" s="23"/>
      <c r="N1152" s="23">
        <v>0.0</v>
      </c>
      <c r="O1152" s="16"/>
      <c r="P1152" s="23"/>
      <c r="Q1152" s="23"/>
      <c r="R1152" s="23">
        <v>0.0</v>
      </c>
      <c r="S1152" s="16"/>
      <c r="T1152" s="23"/>
      <c r="U1152" s="23"/>
      <c r="V1152" s="23">
        <v>0.0</v>
      </c>
      <c r="W1152" s="16"/>
      <c r="X1152" s="23"/>
      <c r="Y1152" s="23"/>
      <c r="Z1152" s="23">
        <v>0.0</v>
      </c>
      <c r="AA1152" s="16"/>
      <c r="AB1152" s="23"/>
      <c r="AC1152" s="23"/>
      <c r="AD1152" s="23">
        <v>0.0</v>
      </c>
      <c r="AE1152" s="16"/>
      <c r="AF1152" s="23"/>
      <c r="AG1152" s="23"/>
      <c r="AH1152" s="23">
        <v>0.0</v>
      </c>
      <c r="AI1152" s="16"/>
      <c r="AJ1152" s="23"/>
      <c r="AK1152" s="23"/>
      <c r="AL1152" s="23">
        <v>0.0</v>
      </c>
      <c r="AM1152" s="16"/>
      <c r="AN1152" s="23"/>
      <c r="AO1152" s="23"/>
      <c r="AP1152" s="23">
        <v>0.0</v>
      </c>
      <c r="AQ1152" s="16"/>
      <c r="AR1152" s="23"/>
      <c r="AS1152" s="23"/>
      <c r="AT1152" s="23">
        <v>0.0</v>
      </c>
      <c r="AU1152" s="16"/>
      <c r="AV1152" s="23"/>
      <c r="AW1152" s="23"/>
      <c r="AX1152" s="23">
        <v>0.0</v>
      </c>
      <c r="AY1152" s="16"/>
      <c r="AZ1152" s="23"/>
      <c r="BA1152" s="23"/>
      <c r="BB1152" s="23"/>
      <c r="BC1152" s="16"/>
      <c r="BD1152" s="23"/>
      <c r="BE1152" s="23"/>
      <c r="BF1152" s="23">
        <v>0.0</v>
      </c>
      <c r="BJ1152" s="23">
        <v>0.0</v>
      </c>
      <c r="BN1152" s="23">
        <v>0.0</v>
      </c>
      <c r="BO1152" s="23">
        <v>68.15</v>
      </c>
      <c r="BP1152" s="16" t="s">
        <v>7272</v>
      </c>
      <c r="BQ1152" s="16" t="b">
        <v>1</v>
      </c>
      <c r="BR1152" s="23">
        <v>68.15</v>
      </c>
      <c r="BS1152" s="16">
        <v>1415011.0</v>
      </c>
      <c r="BT1152" s="16" t="b">
        <v>1</v>
      </c>
      <c r="BU1152" s="16" t="s">
        <v>546</v>
      </c>
      <c r="BV1152" s="16"/>
      <c r="BW1152" s="16"/>
      <c r="BX1152" s="16"/>
      <c r="BY1152" s="16"/>
    </row>
    <row r="1153">
      <c r="A1153" s="16" t="s">
        <v>6907</v>
      </c>
      <c r="B1153" s="16" t="s">
        <v>35</v>
      </c>
      <c r="C1153" s="22">
        <v>45751.0</v>
      </c>
      <c r="D1153" s="16" t="s">
        <v>112</v>
      </c>
      <c r="E1153" s="16" t="s">
        <v>7277</v>
      </c>
      <c r="F1153" s="16" t="s">
        <v>157</v>
      </c>
      <c r="G1153" s="16" t="s">
        <v>159</v>
      </c>
      <c r="H1153" s="16">
        <v>15.0</v>
      </c>
      <c r="I1153" s="23">
        <v>13.0</v>
      </c>
      <c r="J1153" s="23">
        <v>195.0</v>
      </c>
      <c r="K1153" s="16" t="s">
        <v>155</v>
      </c>
      <c r="L1153" s="23">
        <v>1.0</v>
      </c>
      <c r="M1153" s="23">
        <v>54.2</v>
      </c>
      <c r="N1153" s="23">
        <v>54.2</v>
      </c>
      <c r="O1153" s="16" t="s">
        <v>152</v>
      </c>
      <c r="P1153" s="23">
        <v>1.0</v>
      </c>
      <c r="Q1153" s="23">
        <v>12.45</v>
      </c>
      <c r="R1153" s="23">
        <v>12.45</v>
      </c>
      <c r="S1153" s="16" t="s">
        <v>226</v>
      </c>
      <c r="T1153" s="23">
        <v>9.0</v>
      </c>
      <c r="U1153" s="23">
        <v>9.5</v>
      </c>
      <c r="V1153" s="23">
        <v>85.5</v>
      </c>
      <c r="W1153" s="16"/>
      <c r="X1153" s="23"/>
      <c r="Y1153" s="23"/>
      <c r="Z1153" s="23">
        <v>0.0</v>
      </c>
      <c r="AA1153" s="16"/>
      <c r="AB1153" s="23"/>
      <c r="AC1153" s="23"/>
      <c r="AD1153" s="23">
        <v>0.0</v>
      </c>
      <c r="AE1153" s="16"/>
      <c r="AF1153" s="23"/>
      <c r="AG1153" s="23"/>
      <c r="AH1153" s="23">
        <v>0.0</v>
      </c>
      <c r="AI1153" s="16"/>
      <c r="AJ1153" s="23"/>
      <c r="AK1153" s="23"/>
      <c r="AL1153" s="23">
        <v>0.0</v>
      </c>
      <c r="AM1153" s="16"/>
      <c r="AN1153" s="23"/>
      <c r="AO1153" s="23"/>
      <c r="AP1153" s="23">
        <v>0.0</v>
      </c>
      <c r="AQ1153" s="16"/>
      <c r="AR1153" s="23"/>
      <c r="AS1153" s="23"/>
      <c r="AT1153" s="23">
        <v>0.0</v>
      </c>
      <c r="AU1153" s="16"/>
      <c r="AV1153" s="23"/>
      <c r="AW1153" s="23"/>
      <c r="AX1153" s="23">
        <v>0.0</v>
      </c>
      <c r="AY1153" s="16"/>
      <c r="AZ1153" s="23"/>
      <c r="BA1153" s="23"/>
      <c r="BB1153" s="23"/>
      <c r="BC1153" s="16"/>
      <c r="BD1153" s="23"/>
      <c r="BE1153" s="23"/>
      <c r="BF1153" s="23">
        <v>0.0</v>
      </c>
      <c r="BJ1153" s="23">
        <v>0.0</v>
      </c>
      <c r="BN1153" s="23">
        <v>0.0</v>
      </c>
      <c r="BO1153" s="23">
        <v>347.15</v>
      </c>
      <c r="BP1153" s="16" t="s">
        <v>7279</v>
      </c>
      <c r="BQ1153" s="16" t="b">
        <v>1</v>
      </c>
      <c r="BR1153" s="23">
        <v>347.15</v>
      </c>
      <c r="BS1153" s="16"/>
      <c r="BT1153" s="16" t="b">
        <v>0</v>
      </c>
      <c r="BU1153" s="16" t="s">
        <v>546</v>
      </c>
      <c r="BV1153" s="16"/>
      <c r="BW1153" s="16"/>
      <c r="BX1153" s="16"/>
      <c r="BY1153" s="16"/>
    </row>
    <row r="1154">
      <c r="A1154" s="16" t="s">
        <v>6916</v>
      </c>
      <c r="B1154" s="16" t="s">
        <v>35</v>
      </c>
      <c r="C1154" s="22">
        <v>45748.0</v>
      </c>
      <c r="D1154" s="16">
        <v>6.8893939E7</v>
      </c>
      <c r="E1154" s="16" t="s">
        <v>7286</v>
      </c>
      <c r="F1154" s="16" t="s">
        <v>605</v>
      </c>
      <c r="G1154" s="16" t="s">
        <v>1145</v>
      </c>
      <c r="H1154" s="16">
        <v>1.0</v>
      </c>
      <c r="I1154" s="23">
        <v>4047.04</v>
      </c>
      <c r="J1154" s="23">
        <v>4047.04</v>
      </c>
      <c r="K1154" s="16"/>
      <c r="L1154" s="23"/>
      <c r="M1154" s="23"/>
      <c r="N1154" s="23">
        <v>0.0</v>
      </c>
      <c r="O1154" s="16"/>
      <c r="P1154" s="23"/>
      <c r="Q1154" s="23"/>
      <c r="R1154" s="23">
        <v>0.0</v>
      </c>
      <c r="S1154" s="16"/>
      <c r="T1154" s="23"/>
      <c r="U1154" s="23"/>
      <c r="V1154" s="23">
        <v>0.0</v>
      </c>
      <c r="W1154" s="16"/>
      <c r="X1154" s="23"/>
      <c r="Y1154" s="23"/>
      <c r="Z1154" s="23">
        <v>0.0</v>
      </c>
      <c r="AA1154" s="16"/>
      <c r="AB1154" s="23"/>
      <c r="AC1154" s="23"/>
      <c r="AD1154" s="23">
        <v>0.0</v>
      </c>
      <c r="AE1154" s="16"/>
      <c r="AF1154" s="23"/>
      <c r="AG1154" s="23"/>
      <c r="AH1154" s="23">
        <v>0.0</v>
      </c>
      <c r="AI1154" s="16"/>
      <c r="AJ1154" s="23"/>
      <c r="AK1154" s="23"/>
      <c r="AL1154" s="23">
        <v>0.0</v>
      </c>
      <c r="AM1154" s="16"/>
      <c r="AN1154" s="23"/>
      <c r="AO1154" s="23"/>
      <c r="AP1154" s="23">
        <v>0.0</v>
      </c>
      <c r="AQ1154" s="16"/>
      <c r="AR1154" s="23"/>
      <c r="AS1154" s="23"/>
      <c r="AT1154" s="23">
        <v>0.0</v>
      </c>
      <c r="AU1154" s="16"/>
      <c r="AV1154" s="23"/>
      <c r="AW1154" s="23"/>
      <c r="AX1154" s="23">
        <v>0.0</v>
      </c>
      <c r="AY1154" s="16"/>
      <c r="AZ1154" s="23"/>
      <c r="BA1154" s="23"/>
      <c r="BB1154" s="23"/>
      <c r="BC1154" s="16"/>
      <c r="BD1154" s="23"/>
      <c r="BE1154" s="23"/>
      <c r="BF1154" s="23">
        <v>0.0</v>
      </c>
      <c r="BJ1154" s="23">
        <v>0.0</v>
      </c>
      <c r="BN1154" s="23">
        <v>0.0</v>
      </c>
      <c r="BO1154" s="23">
        <v>4047.04</v>
      </c>
      <c r="BP1154" s="16" t="s">
        <v>7287</v>
      </c>
      <c r="BQ1154" s="16" t="b">
        <v>1</v>
      </c>
      <c r="BR1154" s="23">
        <v>4047.04</v>
      </c>
      <c r="BS1154" s="16"/>
      <c r="BT1154" s="16" t="b">
        <v>0</v>
      </c>
      <c r="BU1154" s="16" t="s">
        <v>546</v>
      </c>
      <c r="BV1154" s="16"/>
      <c r="BW1154" s="16"/>
      <c r="BX1154" s="16"/>
      <c r="BY1154" s="16"/>
    </row>
    <row r="1155">
      <c r="A1155" s="16" t="s">
        <v>6918</v>
      </c>
      <c r="B1155" s="16" t="s">
        <v>35</v>
      </c>
      <c r="C1155" s="22">
        <v>45754.0</v>
      </c>
      <c r="D1155" s="16" t="s">
        <v>543</v>
      </c>
      <c r="E1155" s="16" t="s">
        <v>7295</v>
      </c>
      <c r="F1155" s="16" t="s">
        <v>171</v>
      </c>
      <c r="G1155" s="16">
        <v>1.2539885E7</v>
      </c>
      <c r="H1155" s="16">
        <v>1.0</v>
      </c>
      <c r="I1155" s="23">
        <v>250.0</v>
      </c>
      <c r="J1155" s="23">
        <v>250.0</v>
      </c>
      <c r="K1155" s="16"/>
      <c r="L1155" s="23"/>
      <c r="M1155" s="23"/>
      <c r="N1155" s="23">
        <v>0.0</v>
      </c>
      <c r="O1155" s="16"/>
      <c r="P1155" s="23"/>
      <c r="Q1155" s="23"/>
      <c r="R1155" s="23">
        <v>0.0</v>
      </c>
      <c r="S1155" s="16"/>
      <c r="T1155" s="23"/>
      <c r="U1155" s="23"/>
      <c r="V1155" s="23">
        <v>0.0</v>
      </c>
      <c r="W1155" s="16"/>
      <c r="X1155" s="23"/>
      <c r="Y1155" s="23"/>
      <c r="Z1155" s="23">
        <v>0.0</v>
      </c>
      <c r="AA1155" s="16"/>
      <c r="AB1155" s="23"/>
      <c r="AC1155" s="23"/>
      <c r="AD1155" s="23">
        <v>0.0</v>
      </c>
      <c r="AE1155" s="16"/>
      <c r="AF1155" s="23"/>
      <c r="AG1155" s="23"/>
      <c r="AH1155" s="23">
        <v>0.0</v>
      </c>
      <c r="AI1155" s="16"/>
      <c r="AJ1155" s="23"/>
      <c r="AK1155" s="23"/>
      <c r="AL1155" s="23">
        <v>0.0</v>
      </c>
      <c r="AM1155" s="16"/>
      <c r="AN1155" s="23"/>
      <c r="AO1155" s="23"/>
      <c r="AP1155" s="23">
        <v>0.0</v>
      </c>
      <c r="AQ1155" s="16"/>
      <c r="AR1155" s="23"/>
      <c r="AS1155" s="23"/>
      <c r="AT1155" s="23">
        <v>0.0</v>
      </c>
      <c r="AU1155" s="16"/>
      <c r="AV1155" s="23"/>
      <c r="AW1155" s="23"/>
      <c r="AX1155" s="23">
        <v>0.0</v>
      </c>
      <c r="AY1155" s="16"/>
      <c r="AZ1155" s="23"/>
      <c r="BA1155" s="23"/>
      <c r="BB1155" s="23"/>
      <c r="BC1155" s="16"/>
      <c r="BD1155" s="23"/>
      <c r="BE1155" s="23"/>
      <c r="BF1155" s="23">
        <v>0.0</v>
      </c>
      <c r="BJ1155" s="23">
        <v>0.0</v>
      </c>
      <c r="BN1155" s="23">
        <v>0.0</v>
      </c>
      <c r="BO1155" s="23">
        <v>250.0</v>
      </c>
      <c r="BP1155" s="16" t="s">
        <v>7296</v>
      </c>
      <c r="BQ1155" s="16" t="b">
        <v>1</v>
      </c>
      <c r="BR1155" s="23">
        <v>250.0</v>
      </c>
      <c r="BS1155" s="16"/>
      <c r="BT1155" s="16" t="b">
        <v>0</v>
      </c>
      <c r="BU1155" s="16" t="s">
        <v>546</v>
      </c>
      <c r="BV1155" s="16"/>
      <c r="BW1155" s="16"/>
      <c r="BX1155" s="16"/>
      <c r="BY1155" s="16"/>
    </row>
    <row r="1156">
      <c r="A1156" s="16" t="s">
        <v>6920</v>
      </c>
      <c r="B1156" s="16" t="s">
        <v>35</v>
      </c>
      <c r="C1156" s="22">
        <v>45757.0</v>
      </c>
      <c r="D1156" s="16" t="s">
        <v>112</v>
      </c>
      <c r="E1156" s="16" t="s">
        <v>7305</v>
      </c>
      <c r="F1156" s="16" t="s">
        <v>157</v>
      </c>
      <c r="G1156" s="16" t="s">
        <v>159</v>
      </c>
      <c r="H1156" s="16">
        <v>20.0</v>
      </c>
      <c r="I1156" s="23">
        <v>13.0</v>
      </c>
      <c r="J1156" s="23">
        <v>260.0</v>
      </c>
      <c r="K1156" s="16" t="s">
        <v>155</v>
      </c>
      <c r="L1156" s="23">
        <v>1.0</v>
      </c>
      <c r="M1156" s="23">
        <v>68.62</v>
      </c>
      <c r="N1156" s="23">
        <v>68.62</v>
      </c>
      <c r="O1156" s="16" t="s">
        <v>152</v>
      </c>
      <c r="P1156" s="23">
        <v>1.0</v>
      </c>
      <c r="Q1156" s="23">
        <v>13.46</v>
      </c>
      <c r="R1156" s="23">
        <v>13.46</v>
      </c>
      <c r="S1156" s="16" t="s">
        <v>226</v>
      </c>
      <c r="T1156" s="23">
        <v>1.0</v>
      </c>
      <c r="U1156" s="23">
        <v>95.0</v>
      </c>
      <c r="V1156" s="23">
        <v>95.0</v>
      </c>
      <c r="W1156" s="16"/>
      <c r="X1156" s="23"/>
      <c r="Y1156" s="23"/>
      <c r="Z1156" s="23">
        <v>0.0</v>
      </c>
      <c r="AA1156" s="16"/>
      <c r="AB1156" s="23"/>
      <c r="AC1156" s="23"/>
      <c r="AD1156" s="23">
        <v>0.0</v>
      </c>
      <c r="AE1156" s="16"/>
      <c r="AF1156" s="23"/>
      <c r="AG1156" s="23"/>
      <c r="AH1156" s="23">
        <v>0.0</v>
      </c>
      <c r="AI1156" s="16"/>
      <c r="AJ1156" s="23"/>
      <c r="AK1156" s="23"/>
      <c r="AL1156" s="23">
        <v>0.0</v>
      </c>
      <c r="AM1156" s="16"/>
      <c r="AN1156" s="23"/>
      <c r="AO1156" s="23"/>
      <c r="AP1156" s="23">
        <v>0.0</v>
      </c>
      <c r="AQ1156" s="16"/>
      <c r="AR1156" s="23"/>
      <c r="AS1156" s="23"/>
      <c r="AT1156" s="23">
        <v>0.0</v>
      </c>
      <c r="AU1156" s="16"/>
      <c r="AV1156" s="23"/>
      <c r="AW1156" s="23"/>
      <c r="AX1156" s="23">
        <v>0.0</v>
      </c>
      <c r="AY1156" s="16"/>
      <c r="AZ1156" s="23"/>
      <c r="BA1156" s="23"/>
      <c r="BB1156" s="23"/>
      <c r="BC1156" s="16"/>
      <c r="BD1156" s="23"/>
      <c r="BE1156" s="23"/>
      <c r="BF1156" s="23">
        <v>0.0</v>
      </c>
      <c r="BJ1156" s="23">
        <v>0.0</v>
      </c>
      <c r="BN1156" s="23">
        <v>0.0</v>
      </c>
      <c r="BO1156" s="23">
        <v>437.08</v>
      </c>
      <c r="BP1156" s="16" t="s">
        <v>7307</v>
      </c>
      <c r="BQ1156" s="16" t="b">
        <v>1</v>
      </c>
      <c r="BR1156" s="23">
        <v>437.08</v>
      </c>
      <c r="BS1156" s="16"/>
      <c r="BT1156" s="16" t="b">
        <v>0</v>
      </c>
      <c r="BU1156" s="16" t="s">
        <v>546</v>
      </c>
      <c r="BV1156" s="16"/>
      <c r="BW1156" s="16"/>
      <c r="BX1156" s="16"/>
      <c r="BY1156" s="16"/>
    </row>
    <row r="1157">
      <c r="A1157" s="16" t="s">
        <v>6927</v>
      </c>
      <c r="B1157" s="16" t="s">
        <v>35</v>
      </c>
      <c r="C1157" s="22">
        <v>45750.0</v>
      </c>
      <c r="D1157" s="16" t="s">
        <v>890</v>
      </c>
      <c r="E1157" s="16" t="s">
        <v>7318</v>
      </c>
      <c r="F1157" s="16" t="s">
        <v>5067</v>
      </c>
      <c r="G1157" s="16" t="s">
        <v>1510</v>
      </c>
      <c r="H1157" s="16">
        <v>1.0</v>
      </c>
      <c r="I1157" s="23">
        <v>13643.74</v>
      </c>
      <c r="J1157" s="23">
        <v>13643.74</v>
      </c>
      <c r="K1157" s="16"/>
      <c r="L1157" s="23"/>
      <c r="M1157" s="23"/>
      <c r="N1157" s="23">
        <v>0.0</v>
      </c>
      <c r="O1157" s="16"/>
      <c r="P1157" s="23"/>
      <c r="Q1157" s="23"/>
      <c r="R1157" s="23">
        <v>0.0</v>
      </c>
      <c r="S1157" s="16"/>
      <c r="T1157" s="23"/>
      <c r="U1157" s="23"/>
      <c r="V1157" s="23">
        <v>0.0</v>
      </c>
      <c r="W1157" s="16"/>
      <c r="X1157" s="23"/>
      <c r="Y1157" s="23"/>
      <c r="Z1157" s="23">
        <v>0.0</v>
      </c>
      <c r="AA1157" s="16"/>
      <c r="AB1157" s="23"/>
      <c r="AC1157" s="23"/>
      <c r="AD1157" s="23">
        <v>0.0</v>
      </c>
      <c r="AE1157" s="16"/>
      <c r="AF1157" s="23"/>
      <c r="AG1157" s="23"/>
      <c r="AH1157" s="23">
        <v>0.0</v>
      </c>
      <c r="AI1157" s="16"/>
      <c r="AJ1157" s="23"/>
      <c r="AK1157" s="23"/>
      <c r="AL1157" s="23">
        <v>0.0</v>
      </c>
      <c r="AM1157" s="16"/>
      <c r="AN1157" s="23"/>
      <c r="AO1157" s="23"/>
      <c r="AP1157" s="23">
        <v>0.0</v>
      </c>
      <c r="AQ1157" s="16"/>
      <c r="AR1157" s="23"/>
      <c r="AS1157" s="23"/>
      <c r="AT1157" s="23">
        <v>0.0</v>
      </c>
      <c r="AU1157" s="16"/>
      <c r="AV1157" s="23"/>
      <c r="AW1157" s="23"/>
      <c r="AX1157" s="23">
        <v>0.0</v>
      </c>
      <c r="AY1157" s="16"/>
      <c r="AZ1157" s="23"/>
      <c r="BA1157" s="23"/>
      <c r="BB1157" s="23"/>
      <c r="BC1157" s="16"/>
      <c r="BD1157" s="23"/>
      <c r="BE1157" s="23"/>
      <c r="BF1157" s="23">
        <v>0.0</v>
      </c>
      <c r="BJ1157" s="23">
        <v>0.0</v>
      </c>
      <c r="BN1157" s="23">
        <v>0.0</v>
      </c>
      <c r="BO1157" s="23">
        <v>13643.74</v>
      </c>
      <c r="BP1157" s="16" t="s">
        <v>7320</v>
      </c>
      <c r="BQ1157" s="16" t="b">
        <v>1</v>
      </c>
      <c r="BR1157" s="23">
        <v>13643.74</v>
      </c>
      <c r="BS1157" s="16"/>
      <c r="BT1157" s="16" t="b">
        <v>0</v>
      </c>
      <c r="BU1157" s="16" t="s">
        <v>546</v>
      </c>
      <c r="BV1157" s="16"/>
      <c r="BW1157" s="16" t="s">
        <v>7325</v>
      </c>
      <c r="BX1157" s="16" t="s">
        <v>7327</v>
      </c>
      <c r="BY1157" s="16" t="s">
        <v>7329</v>
      </c>
    </row>
    <row r="1158">
      <c r="A1158" s="16" t="s">
        <v>6929</v>
      </c>
      <c r="B1158" s="16" t="s">
        <v>35</v>
      </c>
      <c r="C1158" s="22">
        <v>45755.0</v>
      </c>
      <c r="D1158" s="16" t="s">
        <v>3427</v>
      </c>
      <c r="E1158" s="16" t="s">
        <v>7336</v>
      </c>
      <c r="F1158" s="16" t="s">
        <v>7340</v>
      </c>
      <c r="G1158" s="16" t="s">
        <v>6931</v>
      </c>
      <c r="H1158" s="16">
        <v>1.0</v>
      </c>
      <c r="I1158" s="23">
        <v>2016.98</v>
      </c>
      <c r="J1158" s="23">
        <v>2016.98</v>
      </c>
      <c r="K1158" s="16"/>
      <c r="L1158" s="23"/>
      <c r="M1158" s="23"/>
      <c r="N1158" s="23">
        <v>0.0</v>
      </c>
      <c r="O1158" s="16"/>
      <c r="P1158" s="23"/>
      <c r="Q1158" s="23"/>
      <c r="R1158" s="23">
        <v>0.0</v>
      </c>
      <c r="S1158" s="16"/>
      <c r="T1158" s="23"/>
      <c r="U1158" s="23"/>
      <c r="V1158" s="23">
        <v>0.0</v>
      </c>
      <c r="W1158" s="16"/>
      <c r="X1158" s="23"/>
      <c r="Y1158" s="23"/>
      <c r="Z1158" s="23">
        <v>0.0</v>
      </c>
      <c r="AA1158" s="16"/>
      <c r="AB1158" s="23"/>
      <c r="AC1158" s="23"/>
      <c r="AD1158" s="23">
        <v>0.0</v>
      </c>
      <c r="AE1158" s="16"/>
      <c r="AF1158" s="23"/>
      <c r="AG1158" s="23"/>
      <c r="AH1158" s="23">
        <v>0.0</v>
      </c>
      <c r="AI1158" s="16"/>
      <c r="AJ1158" s="23"/>
      <c r="AK1158" s="23"/>
      <c r="AL1158" s="23">
        <v>0.0</v>
      </c>
      <c r="AM1158" s="16"/>
      <c r="AN1158" s="23"/>
      <c r="AO1158" s="23"/>
      <c r="AP1158" s="23">
        <v>0.0</v>
      </c>
      <c r="AQ1158" s="16"/>
      <c r="AR1158" s="23"/>
      <c r="AS1158" s="23"/>
      <c r="AT1158" s="23">
        <v>0.0</v>
      </c>
      <c r="AU1158" s="16"/>
      <c r="AV1158" s="23"/>
      <c r="AW1158" s="23"/>
      <c r="AX1158" s="23">
        <v>0.0</v>
      </c>
      <c r="AY1158" s="16"/>
      <c r="AZ1158" s="23"/>
      <c r="BA1158" s="23"/>
      <c r="BB1158" s="23"/>
      <c r="BC1158" s="16"/>
      <c r="BD1158" s="23"/>
      <c r="BE1158" s="23"/>
      <c r="BF1158" s="23">
        <v>0.0</v>
      </c>
      <c r="BJ1158" s="23">
        <v>0.0</v>
      </c>
      <c r="BN1158" s="23">
        <v>0.0</v>
      </c>
      <c r="BO1158" s="23">
        <v>2016.98</v>
      </c>
      <c r="BP1158" s="16" t="s">
        <v>7338</v>
      </c>
      <c r="BQ1158" s="16" t="b">
        <v>1</v>
      </c>
      <c r="BR1158" s="23">
        <v>2016.98</v>
      </c>
      <c r="BS1158" s="16"/>
      <c r="BT1158" s="16" t="b">
        <v>0</v>
      </c>
      <c r="BU1158" s="16" t="s">
        <v>546</v>
      </c>
      <c r="BV1158" s="16"/>
      <c r="BW1158" s="16"/>
      <c r="BX1158" s="16"/>
      <c r="BY1158" s="16"/>
    </row>
    <row r="1159">
      <c r="A1159" s="16" t="s">
        <v>6933</v>
      </c>
      <c r="B1159" s="16" t="s">
        <v>35</v>
      </c>
      <c r="C1159" s="22">
        <v>45758.0</v>
      </c>
      <c r="D1159" s="16" t="s">
        <v>543</v>
      </c>
      <c r="E1159" s="16" t="s">
        <v>7349</v>
      </c>
      <c r="F1159" s="16" t="s">
        <v>171</v>
      </c>
      <c r="G1159" s="16">
        <v>1.2539885E7</v>
      </c>
      <c r="H1159" s="16">
        <v>1.0</v>
      </c>
      <c r="I1159" s="23">
        <v>250.0</v>
      </c>
      <c r="J1159" s="23">
        <v>250.0</v>
      </c>
      <c r="K1159" s="16"/>
      <c r="L1159" s="23"/>
      <c r="M1159" s="23"/>
      <c r="N1159" s="23">
        <v>0.0</v>
      </c>
      <c r="O1159" s="16"/>
      <c r="P1159" s="23"/>
      <c r="Q1159" s="23"/>
      <c r="R1159" s="23">
        <v>0.0</v>
      </c>
      <c r="S1159" s="16"/>
      <c r="T1159" s="23"/>
      <c r="U1159" s="23"/>
      <c r="V1159" s="23">
        <v>0.0</v>
      </c>
      <c r="W1159" s="16"/>
      <c r="X1159" s="23"/>
      <c r="Y1159" s="23"/>
      <c r="Z1159" s="23">
        <v>0.0</v>
      </c>
      <c r="AA1159" s="16"/>
      <c r="AB1159" s="23"/>
      <c r="AC1159" s="23"/>
      <c r="AD1159" s="23">
        <v>0.0</v>
      </c>
      <c r="AE1159" s="16"/>
      <c r="AF1159" s="23"/>
      <c r="AG1159" s="23"/>
      <c r="AH1159" s="23">
        <v>0.0</v>
      </c>
      <c r="AI1159" s="16"/>
      <c r="AJ1159" s="23"/>
      <c r="AK1159" s="23"/>
      <c r="AL1159" s="23">
        <v>0.0</v>
      </c>
      <c r="AM1159" s="16"/>
      <c r="AN1159" s="23"/>
      <c r="AO1159" s="23"/>
      <c r="AP1159" s="23">
        <v>0.0</v>
      </c>
      <c r="AQ1159" s="16"/>
      <c r="AR1159" s="23"/>
      <c r="AS1159" s="23"/>
      <c r="AT1159" s="23">
        <v>0.0</v>
      </c>
      <c r="AU1159" s="16"/>
      <c r="AV1159" s="23"/>
      <c r="AW1159" s="23"/>
      <c r="AX1159" s="23">
        <v>0.0</v>
      </c>
      <c r="AY1159" s="16"/>
      <c r="AZ1159" s="23"/>
      <c r="BA1159" s="23"/>
      <c r="BB1159" s="23"/>
      <c r="BC1159" s="16"/>
      <c r="BD1159" s="23"/>
      <c r="BE1159" s="23"/>
      <c r="BF1159" s="23">
        <v>0.0</v>
      </c>
      <c r="BJ1159" s="23">
        <v>0.0</v>
      </c>
      <c r="BN1159" s="23">
        <v>0.0</v>
      </c>
      <c r="BO1159" s="23">
        <v>250.0</v>
      </c>
      <c r="BP1159" s="16" t="s">
        <v>7352</v>
      </c>
      <c r="BQ1159" s="16" t="b">
        <v>1</v>
      </c>
      <c r="BR1159" s="23">
        <v>250.0</v>
      </c>
      <c r="BS1159" s="16"/>
      <c r="BT1159" s="16" t="b">
        <v>0</v>
      </c>
      <c r="BU1159" s="16" t="s">
        <v>546</v>
      </c>
      <c r="BV1159" s="16"/>
      <c r="BW1159" s="16"/>
      <c r="BX1159" s="16"/>
      <c r="BY1159" s="16"/>
    </row>
    <row r="1160">
      <c r="A1160" s="16" t="s">
        <v>6935</v>
      </c>
      <c r="B1160" s="16" t="s">
        <v>35</v>
      </c>
      <c r="C1160" s="22">
        <v>45759.0</v>
      </c>
      <c r="D1160" s="16" t="s">
        <v>112</v>
      </c>
      <c r="E1160" s="16" t="s">
        <v>7358</v>
      </c>
      <c r="F1160" s="16" t="s">
        <v>157</v>
      </c>
      <c r="G1160" s="16" t="s">
        <v>159</v>
      </c>
      <c r="H1160" s="16">
        <v>10.0</v>
      </c>
      <c r="I1160" s="23">
        <v>13.0</v>
      </c>
      <c r="J1160" s="23">
        <v>130.0</v>
      </c>
      <c r="K1160" s="16" t="s">
        <v>155</v>
      </c>
      <c r="L1160" s="23">
        <v>5.0</v>
      </c>
      <c r="M1160" s="23">
        <v>7.3</v>
      </c>
      <c r="N1160" s="23">
        <v>36.5</v>
      </c>
      <c r="O1160" s="16" t="s">
        <v>152</v>
      </c>
      <c r="P1160" s="23">
        <v>1.0</v>
      </c>
      <c r="Q1160" s="23">
        <v>9.92</v>
      </c>
      <c r="R1160" s="23">
        <v>9.92</v>
      </c>
      <c r="S1160" s="16" t="s">
        <v>226</v>
      </c>
      <c r="T1160" s="23">
        <v>4.0</v>
      </c>
      <c r="U1160" s="23">
        <v>9.5</v>
      </c>
      <c r="V1160" s="23">
        <v>38.0</v>
      </c>
      <c r="W1160" s="16"/>
      <c r="X1160" s="23"/>
      <c r="Y1160" s="23"/>
      <c r="Z1160" s="23">
        <v>0.0</v>
      </c>
      <c r="AA1160" s="16"/>
      <c r="AB1160" s="23"/>
      <c r="AC1160" s="23"/>
      <c r="AD1160" s="23">
        <v>0.0</v>
      </c>
      <c r="AE1160" s="16"/>
      <c r="AF1160" s="23"/>
      <c r="AG1160" s="23"/>
      <c r="AH1160" s="23">
        <v>0.0</v>
      </c>
      <c r="AI1160" s="16"/>
      <c r="AJ1160" s="23"/>
      <c r="AK1160" s="23"/>
      <c r="AL1160" s="23">
        <v>0.0</v>
      </c>
      <c r="AM1160" s="16"/>
      <c r="AN1160" s="23"/>
      <c r="AO1160" s="23"/>
      <c r="AP1160" s="23">
        <v>0.0</v>
      </c>
      <c r="AQ1160" s="16"/>
      <c r="AR1160" s="23"/>
      <c r="AS1160" s="23"/>
      <c r="AT1160" s="23">
        <v>0.0</v>
      </c>
      <c r="AU1160" s="16"/>
      <c r="AV1160" s="23"/>
      <c r="AW1160" s="23"/>
      <c r="AX1160" s="23">
        <v>0.0</v>
      </c>
      <c r="AY1160" s="16"/>
      <c r="AZ1160" s="23"/>
      <c r="BA1160" s="23"/>
      <c r="BB1160" s="23"/>
      <c r="BC1160" s="16"/>
      <c r="BD1160" s="23"/>
      <c r="BE1160" s="23"/>
      <c r="BF1160" s="23">
        <v>0.0</v>
      </c>
      <c r="BJ1160" s="23">
        <v>0.0</v>
      </c>
      <c r="BN1160" s="23">
        <v>0.0</v>
      </c>
      <c r="BO1160" s="23">
        <v>214.42</v>
      </c>
      <c r="BP1160" s="16" t="s">
        <v>7359</v>
      </c>
      <c r="BQ1160" s="16" t="b">
        <v>1</v>
      </c>
      <c r="BR1160" s="23">
        <v>214.42</v>
      </c>
      <c r="BS1160" s="16"/>
      <c r="BT1160" s="16" t="b">
        <v>0</v>
      </c>
      <c r="BU1160" s="16" t="s">
        <v>546</v>
      </c>
      <c r="BV1160" s="16"/>
      <c r="BW1160" s="16"/>
      <c r="BX1160" s="16"/>
      <c r="BY1160" s="16"/>
    </row>
    <row r="1161">
      <c r="A1161" s="16" t="s">
        <v>6940</v>
      </c>
      <c r="B1161" s="16" t="s">
        <v>35</v>
      </c>
      <c r="C1161" s="22">
        <v>45759.0</v>
      </c>
      <c r="D1161" s="16" t="s">
        <v>3493</v>
      </c>
      <c r="E1161" s="16" t="s">
        <v>7365</v>
      </c>
      <c r="F1161" s="16" t="s">
        <v>236</v>
      </c>
      <c r="G1161" s="16" t="s">
        <v>305</v>
      </c>
      <c r="H1161" s="16">
        <v>1.0</v>
      </c>
      <c r="I1161" s="23">
        <v>54.37</v>
      </c>
      <c r="J1161" s="23">
        <v>54.37</v>
      </c>
      <c r="K1161" s="16"/>
      <c r="L1161" s="23"/>
      <c r="M1161" s="23"/>
      <c r="N1161" s="23">
        <v>0.0</v>
      </c>
      <c r="O1161" s="16"/>
      <c r="P1161" s="23"/>
      <c r="Q1161" s="23"/>
      <c r="R1161" s="23">
        <v>0.0</v>
      </c>
      <c r="S1161" s="16"/>
      <c r="T1161" s="23"/>
      <c r="U1161" s="23"/>
      <c r="V1161" s="23">
        <v>0.0</v>
      </c>
      <c r="W1161" s="16"/>
      <c r="X1161" s="23"/>
      <c r="Y1161" s="23"/>
      <c r="Z1161" s="23">
        <v>0.0</v>
      </c>
      <c r="AA1161" s="16"/>
      <c r="AB1161" s="23"/>
      <c r="AC1161" s="23"/>
      <c r="AD1161" s="23">
        <v>0.0</v>
      </c>
      <c r="AE1161" s="16"/>
      <c r="AF1161" s="23"/>
      <c r="AG1161" s="23"/>
      <c r="AH1161" s="23">
        <v>0.0</v>
      </c>
      <c r="AI1161" s="16"/>
      <c r="AJ1161" s="23"/>
      <c r="AK1161" s="23"/>
      <c r="AL1161" s="23">
        <v>0.0</v>
      </c>
      <c r="AM1161" s="16"/>
      <c r="AN1161" s="23"/>
      <c r="AO1161" s="23"/>
      <c r="AP1161" s="23">
        <v>0.0</v>
      </c>
      <c r="AQ1161" s="16"/>
      <c r="AR1161" s="23"/>
      <c r="AS1161" s="23"/>
      <c r="AT1161" s="23">
        <v>0.0</v>
      </c>
      <c r="AU1161" s="16"/>
      <c r="AV1161" s="23"/>
      <c r="AW1161" s="23"/>
      <c r="AX1161" s="23">
        <v>0.0</v>
      </c>
      <c r="AY1161" s="16"/>
      <c r="AZ1161" s="23"/>
      <c r="BA1161" s="23"/>
      <c r="BB1161" s="23"/>
      <c r="BC1161" s="16"/>
      <c r="BD1161" s="23"/>
      <c r="BE1161" s="23"/>
      <c r="BF1161" s="23">
        <v>0.0</v>
      </c>
      <c r="BJ1161" s="23">
        <v>0.0</v>
      </c>
      <c r="BN1161" s="23">
        <v>0.0</v>
      </c>
      <c r="BO1161" s="23">
        <v>54.37</v>
      </c>
      <c r="BP1161" s="16" t="s">
        <v>7367</v>
      </c>
      <c r="BQ1161" s="16" t="b">
        <v>1</v>
      </c>
      <c r="BR1161" s="23">
        <v>54.37</v>
      </c>
      <c r="BS1161" s="16">
        <v>1428609.0</v>
      </c>
      <c r="BT1161" s="16" t="b">
        <v>1</v>
      </c>
      <c r="BU1161" s="16" t="s">
        <v>546</v>
      </c>
      <c r="BV1161" s="16"/>
      <c r="BW1161" s="16"/>
      <c r="BX1161" s="16"/>
      <c r="BY1161" s="16"/>
    </row>
    <row r="1162">
      <c r="A1162" s="16" t="s">
        <v>6942</v>
      </c>
      <c r="B1162" s="16" t="s">
        <v>35</v>
      </c>
      <c r="C1162" s="22">
        <v>45761.0</v>
      </c>
      <c r="D1162" s="16" t="s">
        <v>890</v>
      </c>
      <c r="E1162" s="16"/>
      <c r="F1162" s="16" t="s">
        <v>4010</v>
      </c>
      <c r="G1162" s="16" t="s">
        <v>4831</v>
      </c>
      <c r="H1162" s="16">
        <v>1.0</v>
      </c>
      <c r="I1162" s="23">
        <v>375.0</v>
      </c>
      <c r="J1162" s="23">
        <v>375.0</v>
      </c>
      <c r="K1162" s="16"/>
      <c r="L1162" s="23"/>
      <c r="M1162" s="23"/>
      <c r="N1162" s="23"/>
      <c r="O1162" s="16"/>
      <c r="P1162" s="23"/>
      <c r="Q1162" s="23"/>
      <c r="R1162" s="23"/>
      <c r="S1162" s="16"/>
      <c r="T1162" s="23"/>
      <c r="U1162" s="23"/>
      <c r="V1162" s="23"/>
      <c r="W1162" s="16"/>
      <c r="X1162" s="23"/>
      <c r="Y1162" s="23"/>
      <c r="Z1162" s="23"/>
      <c r="AA1162" s="16"/>
      <c r="AB1162" s="23"/>
      <c r="AC1162" s="23"/>
      <c r="AD1162" s="23"/>
      <c r="AE1162" s="16"/>
      <c r="AF1162" s="23"/>
      <c r="AG1162" s="23"/>
      <c r="AH1162" s="23"/>
      <c r="AI1162" s="16"/>
      <c r="AJ1162" s="23"/>
      <c r="AK1162" s="23"/>
      <c r="AL1162" s="23"/>
      <c r="AM1162" s="16"/>
      <c r="AN1162" s="23"/>
      <c r="AO1162" s="23"/>
      <c r="AP1162" s="23"/>
      <c r="AQ1162" s="16"/>
      <c r="AR1162" s="23"/>
      <c r="AS1162" s="23"/>
      <c r="AT1162" s="23"/>
      <c r="AU1162" s="16"/>
      <c r="AV1162" s="23"/>
      <c r="AW1162" s="23"/>
      <c r="AX1162" s="23"/>
      <c r="AY1162" s="16"/>
      <c r="AZ1162" s="23"/>
      <c r="BA1162" s="23"/>
      <c r="BB1162" s="23"/>
      <c r="BC1162" s="16"/>
      <c r="BD1162" s="23"/>
      <c r="BE1162" s="23"/>
      <c r="BF1162" s="23"/>
      <c r="BJ1162" s="23"/>
      <c r="BN1162" s="23"/>
      <c r="BO1162" s="23">
        <v>375.0</v>
      </c>
      <c r="BP1162" s="16"/>
      <c r="BQ1162" s="16"/>
      <c r="BR1162" s="23">
        <v>375.0</v>
      </c>
      <c r="BS1162" s="16"/>
      <c r="BT1162" s="16"/>
      <c r="BU1162" s="16" t="s">
        <v>539</v>
      </c>
      <c r="BV1162" s="16"/>
      <c r="BW1162" s="16"/>
      <c r="BX1162" s="16"/>
      <c r="BY1162" s="16"/>
    </row>
    <row r="1163">
      <c r="A1163" s="16" t="s">
        <v>6944</v>
      </c>
      <c r="B1163" s="16" t="s">
        <v>35</v>
      </c>
      <c r="C1163" s="22">
        <v>45761.0</v>
      </c>
      <c r="D1163" s="16" t="s">
        <v>2248</v>
      </c>
      <c r="E1163" s="16"/>
      <c r="F1163" s="16" t="s">
        <v>2549</v>
      </c>
      <c r="G1163" s="16" t="s">
        <v>3218</v>
      </c>
      <c r="H1163" s="16">
        <v>1.0</v>
      </c>
      <c r="I1163" s="23">
        <v>364.35</v>
      </c>
      <c r="J1163" s="23">
        <v>364.35</v>
      </c>
      <c r="K1163" s="16"/>
      <c r="L1163" s="23"/>
      <c r="M1163" s="23"/>
      <c r="N1163" s="23"/>
      <c r="O1163" s="16"/>
      <c r="P1163" s="23"/>
      <c r="Q1163" s="23"/>
      <c r="R1163" s="23"/>
      <c r="S1163" s="16"/>
      <c r="T1163" s="23"/>
      <c r="U1163" s="23"/>
      <c r="V1163" s="23"/>
      <c r="W1163" s="16"/>
      <c r="X1163" s="23"/>
      <c r="Y1163" s="23"/>
      <c r="Z1163" s="23"/>
      <c r="AA1163" s="16"/>
      <c r="AB1163" s="23"/>
      <c r="AC1163" s="23"/>
      <c r="AD1163" s="23"/>
      <c r="AE1163" s="16"/>
      <c r="AF1163" s="23"/>
      <c r="AG1163" s="23"/>
      <c r="AH1163" s="23"/>
      <c r="AI1163" s="16"/>
      <c r="AJ1163" s="23"/>
      <c r="AK1163" s="23"/>
      <c r="AL1163" s="23"/>
      <c r="AM1163" s="16"/>
      <c r="AN1163" s="23"/>
      <c r="AO1163" s="23"/>
      <c r="AP1163" s="23"/>
      <c r="AQ1163" s="16"/>
      <c r="AR1163" s="23"/>
      <c r="AS1163" s="23"/>
      <c r="AT1163" s="23"/>
      <c r="AU1163" s="16"/>
      <c r="AV1163" s="23"/>
      <c r="AW1163" s="23"/>
      <c r="AX1163" s="23"/>
      <c r="AY1163" s="16"/>
      <c r="AZ1163" s="23"/>
      <c r="BA1163" s="23"/>
      <c r="BB1163" s="23"/>
      <c r="BC1163" s="16"/>
      <c r="BD1163" s="23"/>
      <c r="BE1163" s="23"/>
      <c r="BF1163" s="23"/>
      <c r="BJ1163" s="23"/>
      <c r="BN1163" s="23"/>
      <c r="BO1163" s="23">
        <v>364.35</v>
      </c>
      <c r="BP1163" s="16"/>
      <c r="BQ1163" s="16"/>
      <c r="BR1163" s="23">
        <v>364.35</v>
      </c>
      <c r="BS1163" s="16"/>
      <c r="BT1163" s="16"/>
      <c r="BU1163" s="16" t="s">
        <v>539</v>
      </c>
      <c r="BV1163" s="16"/>
      <c r="BW1163" s="16"/>
      <c r="BX1163" s="16"/>
      <c r="BY1163" s="16"/>
    </row>
    <row r="1164">
      <c r="A1164" s="16" t="s">
        <v>6946</v>
      </c>
      <c r="B1164" s="16" t="s">
        <v>35</v>
      </c>
      <c r="C1164" s="22">
        <v>45762.0</v>
      </c>
      <c r="D1164" s="16"/>
      <c r="E1164" s="16"/>
      <c r="F1164" s="16" t="s">
        <v>1329</v>
      </c>
      <c r="G1164" s="16" t="s">
        <v>1168</v>
      </c>
      <c r="H1164" s="16">
        <v>1.0</v>
      </c>
      <c r="I1164" s="23">
        <v>500.0</v>
      </c>
      <c r="J1164" s="23">
        <v>500.0</v>
      </c>
      <c r="K1164" s="16"/>
      <c r="L1164" s="23"/>
      <c r="M1164" s="23"/>
      <c r="N1164" s="23"/>
      <c r="O1164" s="16"/>
      <c r="P1164" s="23"/>
      <c r="Q1164" s="23"/>
      <c r="R1164" s="23"/>
      <c r="S1164" s="16"/>
      <c r="T1164" s="23"/>
      <c r="U1164" s="23"/>
      <c r="V1164" s="23"/>
      <c r="W1164" s="16"/>
      <c r="X1164" s="23"/>
      <c r="Y1164" s="23"/>
      <c r="Z1164" s="23"/>
      <c r="AA1164" s="16"/>
      <c r="AB1164" s="23"/>
      <c r="AC1164" s="23"/>
      <c r="AD1164" s="23"/>
      <c r="AE1164" s="16"/>
      <c r="AF1164" s="23"/>
      <c r="AG1164" s="23"/>
      <c r="AH1164" s="23"/>
      <c r="AI1164" s="16"/>
      <c r="AJ1164" s="23"/>
      <c r="AK1164" s="23"/>
      <c r="AL1164" s="23"/>
      <c r="AM1164" s="16"/>
      <c r="AN1164" s="23"/>
      <c r="AO1164" s="23"/>
      <c r="AP1164" s="23"/>
      <c r="AQ1164" s="16"/>
      <c r="AR1164" s="23"/>
      <c r="AS1164" s="23"/>
      <c r="AT1164" s="23"/>
      <c r="AU1164" s="16"/>
      <c r="AV1164" s="23"/>
      <c r="AW1164" s="23"/>
      <c r="AX1164" s="23"/>
      <c r="AY1164" s="16"/>
      <c r="AZ1164" s="23"/>
      <c r="BA1164" s="23"/>
      <c r="BB1164" s="23"/>
      <c r="BC1164" s="16"/>
      <c r="BD1164" s="23"/>
      <c r="BE1164" s="23"/>
      <c r="BF1164" s="23"/>
      <c r="BJ1164" s="23"/>
      <c r="BN1164" s="23"/>
      <c r="BO1164" s="23">
        <v>500.0</v>
      </c>
      <c r="BP1164" s="16"/>
      <c r="BQ1164" s="16"/>
      <c r="BR1164" s="23">
        <v>500.0</v>
      </c>
      <c r="BS1164" s="16"/>
      <c r="BT1164" s="16"/>
      <c r="BU1164" s="16" t="s">
        <v>539</v>
      </c>
      <c r="BV1164" s="16" t="s">
        <v>3795</v>
      </c>
      <c r="BW1164" s="16"/>
      <c r="BX1164" s="16"/>
      <c r="BY1164" s="16"/>
    </row>
    <row r="1165">
      <c r="A1165" s="16" t="s">
        <v>6948</v>
      </c>
      <c r="B1165" s="16" t="s">
        <v>35</v>
      </c>
      <c r="C1165" s="22">
        <v>45757.0</v>
      </c>
      <c r="D1165" s="16">
        <v>6.8893939E7</v>
      </c>
      <c r="E1165" s="16" t="s">
        <v>7381</v>
      </c>
      <c r="F1165" s="16" t="s">
        <v>605</v>
      </c>
      <c r="G1165" s="16" t="s">
        <v>1145</v>
      </c>
      <c r="H1165" s="16">
        <v>1.0</v>
      </c>
      <c r="I1165" s="23">
        <v>4661.94</v>
      </c>
      <c r="J1165" s="23">
        <v>4661.94</v>
      </c>
      <c r="K1165" s="16"/>
      <c r="L1165" s="23"/>
      <c r="M1165" s="23"/>
      <c r="N1165" s="23">
        <v>0.0</v>
      </c>
      <c r="O1165" s="16"/>
      <c r="P1165" s="23"/>
      <c r="Q1165" s="23"/>
      <c r="R1165" s="23">
        <v>0.0</v>
      </c>
      <c r="S1165" s="16"/>
      <c r="T1165" s="23"/>
      <c r="U1165" s="23"/>
      <c r="V1165" s="23">
        <v>0.0</v>
      </c>
      <c r="W1165" s="16"/>
      <c r="X1165" s="23"/>
      <c r="Y1165" s="23"/>
      <c r="Z1165" s="23">
        <v>0.0</v>
      </c>
      <c r="AA1165" s="16"/>
      <c r="AB1165" s="23"/>
      <c r="AC1165" s="23"/>
      <c r="AD1165" s="23">
        <v>0.0</v>
      </c>
      <c r="AE1165" s="16"/>
      <c r="AF1165" s="23"/>
      <c r="AG1165" s="23"/>
      <c r="AH1165" s="23">
        <v>0.0</v>
      </c>
      <c r="AI1165" s="16"/>
      <c r="AJ1165" s="23"/>
      <c r="AK1165" s="23"/>
      <c r="AL1165" s="23">
        <v>0.0</v>
      </c>
      <c r="AM1165" s="16"/>
      <c r="AN1165" s="23"/>
      <c r="AO1165" s="23"/>
      <c r="AP1165" s="23">
        <v>0.0</v>
      </c>
      <c r="AQ1165" s="16"/>
      <c r="AR1165" s="23"/>
      <c r="AS1165" s="23"/>
      <c r="AT1165" s="23">
        <v>0.0</v>
      </c>
      <c r="AU1165" s="16"/>
      <c r="AV1165" s="23"/>
      <c r="AW1165" s="23"/>
      <c r="AX1165" s="23">
        <v>0.0</v>
      </c>
      <c r="AY1165" s="16"/>
      <c r="AZ1165" s="23"/>
      <c r="BA1165" s="23"/>
      <c r="BB1165" s="23"/>
      <c r="BC1165" s="16"/>
      <c r="BD1165" s="23"/>
      <c r="BE1165" s="23"/>
      <c r="BF1165" s="23">
        <v>0.0</v>
      </c>
      <c r="BJ1165" s="23">
        <v>0.0</v>
      </c>
      <c r="BN1165" s="23">
        <v>0.0</v>
      </c>
      <c r="BO1165" s="23">
        <v>4661.94</v>
      </c>
      <c r="BP1165" s="16" t="s">
        <v>7383</v>
      </c>
      <c r="BQ1165" s="16" t="b">
        <v>1</v>
      </c>
      <c r="BR1165" s="23">
        <v>4661.94</v>
      </c>
      <c r="BS1165" s="16"/>
      <c r="BT1165" s="16" t="b">
        <v>0</v>
      </c>
      <c r="BU1165" s="16" t="s">
        <v>546</v>
      </c>
      <c r="BV1165" s="16"/>
      <c r="BW1165" s="16"/>
      <c r="BX1165" s="16"/>
      <c r="BY1165" s="16"/>
    </row>
    <row r="1166">
      <c r="A1166" s="16" t="s">
        <v>6950</v>
      </c>
      <c r="B1166" s="16" t="s">
        <v>35</v>
      </c>
      <c r="C1166" s="22">
        <v>45757.0</v>
      </c>
      <c r="D1166" s="16">
        <v>6.8893939E7</v>
      </c>
      <c r="E1166" s="16" t="s">
        <v>7381</v>
      </c>
      <c r="F1166" s="16" t="s">
        <v>605</v>
      </c>
      <c r="G1166" s="16" t="s">
        <v>1145</v>
      </c>
      <c r="H1166" s="16">
        <v>1.0</v>
      </c>
      <c r="I1166" s="23">
        <v>4661.94</v>
      </c>
      <c r="J1166" s="23">
        <v>4661.94</v>
      </c>
      <c r="K1166" s="16"/>
      <c r="L1166" s="23"/>
      <c r="M1166" s="23"/>
      <c r="N1166" s="23">
        <v>0.0</v>
      </c>
      <c r="O1166" s="16"/>
      <c r="P1166" s="23"/>
      <c r="Q1166" s="23"/>
      <c r="R1166" s="23">
        <v>0.0</v>
      </c>
      <c r="S1166" s="16"/>
      <c r="T1166" s="23"/>
      <c r="U1166" s="23"/>
      <c r="V1166" s="23">
        <v>0.0</v>
      </c>
      <c r="W1166" s="16"/>
      <c r="X1166" s="23"/>
      <c r="Y1166" s="23"/>
      <c r="Z1166" s="23">
        <v>0.0</v>
      </c>
      <c r="AA1166" s="16"/>
      <c r="AB1166" s="23"/>
      <c r="AC1166" s="23"/>
      <c r="AD1166" s="23">
        <v>0.0</v>
      </c>
      <c r="AE1166" s="16"/>
      <c r="AF1166" s="23"/>
      <c r="AG1166" s="23"/>
      <c r="AH1166" s="23">
        <v>0.0</v>
      </c>
      <c r="AI1166" s="16"/>
      <c r="AJ1166" s="23"/>
      <c r="AK1166" s="23"/>
      <c r="AL1166" s="23">
        <v>0.0</v>
      </c>
      <c r="AM1166" s="16"/>
      <c r="AN1166" s="23"/>
      <c r="AO1166" s="23"/>
      <c r="AP1166" s="23">
        <v>0.0</v>
      </c>
      <c r="AQ1166" s="16"/>
      <c r="AR1166" s="23"/>
      <c r="AS1166" s="23"/>
      <c r="AT1166" s="23">
        <v>0.0</v>
      </c>
      <c r="AU1166" s="16"/>
      <c r="AV1166" s="23"/>
      <c r="AW1166" s="23"/>
      <c r="AX1166" s="23">
        <v>0.0</v>
      </c>
      <c r="AY1166" s="16"/>
      <c r="AZ1166" s="23"/>
      <c r="BA1166" s="23"/>
      <c r="BB1166" s="23"/>
      <c r="BC1166" s="16"/>
      <c r="BD1166" s="23"/>
      <c r="BE1166" s="23"/>
      <c r="BF1166" s="23">
        <v>0.0</v>
      </c>
      <c r="BJ1166" s="23">
        <v>0.0</v>
      </c>
      <c r="BN1166" s="23">
        <v>0.0</v>
      </c>
      <c r="BO1166" s="23">
        <v>4661.94</v>
      </c>
      <c r="BP1166" s="16" t="s">
        <v>7386</v>
      </c>
      <c r="BQ1166" s="16" t="b">
        <v>1</v>
      </c>
      <c r="BR1166" s="23">
        <v>4661.94</v>
      </c>
      <c r="BS1166" s="16"/>
      <c r="BT1166" s="16" t="b">
        <v>0</v>
      </c>
      <c r="BU1166" s="16" t="s">
        <v>546</v>
      </c>
      <c r="BV1166" s="16"/>
      <c r="BW1166" s="16"/>
      <c r="BX1166" s="16"/>
      <c r="BY1166" s="16"/>
    </row>
    <row r="1167">
      <c r="A1167" s="16" t="s">
        <v>6952</v>
      </c>
      <c r="B1167" s="16" t="s">
        <v>35</v>
      </c>
      <c r="C1167" s="22">
        <v>45766.0</v>
      </c>
      <c r="D1167" s="16"/>
      <c r="E1167" s="16"/>
      <c r="F1167" s="16" t="s">
        <v>1329</v>
      </c>
      <c r="G1167" s="16" t="s">
        <v>1168</v>
      </c>
      <c r="H1167" s="16">
        <v>1.0</v>
      </c>
      <c r="I1167" s="23">
        <v>200.0</v>
      </c>
      <c r="J1167" s="23">
        <v>200.0</v>
      </c>
      <c r="K1167" s="16"/>
      <c r="L1167" s="23"/>
      <c r="M1167" s="23"/>
      <c r="N1167" s="23"/>
      <c r="O1167" s="16"/>
      <c r="P1167" s="23"/>
      <c r="Q1167" s="23"/>
      <c r="R1167" s="23"/>
      <c r="S1167" s="16"/>
      <c r="T1167" s="23"/>
      <c r="U1167" s="23"/>
      <c r="V1167" s="23"/>
      <c r="W1167" s="16"/>
      <c r="X1167" s="23"/>
      <c r="Y1167" s="23"/>
      <c r="Z1167" s="23"/>
      <c r="AA1167" s="16"/>
      <c r="AB1167" s="23"/>
      <c r="AC1167" s="23"/>
      <c r="AD1167" s="23"/>
      <c r="AE1167" s="16"/>
      <c r="AF1167" s="23"/>
      <c r="AG1167" s="23"/>
      <c r="AH1167" s="23"/>
      <c r="AI1167" s="16"/>
      <c r="AJ1167" s="23"/>
      <c r="AK1167" s="23"/>
      <c r="AL1167" s="23"/>
      <c r="AM1167" s="16"/>
      <c r="AN1167" s="23"/>
      <c r="AO1167" s="23"/>
      <c r="AP1167" s="23"/>
      <c r="AQ1167" s="16"/>
      <c r="AR1167" s="23"/>
      <c r="AS1167" s="23"/>
      <c r="AT1167" s="23"/>
      <c r="AU1167" s="16"/>
      <c r="AV1167" s="23"/>
      <c r="AW1167" s="23"/>
      <c r="AX1167" s="23"/>
      <c r="AY1167" s="16"/>
      <c r="AZ1167" s="23"/>
      <c r="BA1167" s="23"/>
      <c r="BB1167" s="23"/>
      <c r="BC1167" s="16"/>
      <c r="BD1167" s="23"/>
      <c r="BE1167" s="23"/>
      <c r="BF1167" s="23"/>
      <c r="BJ1167" s="23"/>
      <c r="BN1167" s="23"/>
      <c r="BO1167" s="23">
        <v>200.0</v>
      </c>
      <c r="BP1167" s="16"/>
      <c r="BQ1167" s="16"/>
      <c r="BR1167" s="23">
        <v>200.0</v>
      </c>
      <c r="BS1167" s="16"/>
      <c r="BT1167" s="16"/>
      <c r="BU1167" s="16" t="s">
        <v>539</v>
      </c>
      <c r="BV1167" s="16" t="s">
        <v>227</v>
      </c>
      <c r="BW1167" s="16"/>
      <c r="BX1167" s="16"/>
      <c r="BY1167" s="16"/>
    </row>
    <row r="1168">
      <c r="A1168" s="16" t="s">
        <v>6954</v>
      </c>
      <c r="B1168" s="16" t="s">
        <v>35</v>
      </c>
      <c r="C1168" s="22">
        <v>45761.0</v>
      </c>
      <c r="D1168" s="16" t="s">
        <v>890</v>
      </c>
      <c r="E1168" s="16" t="s">
        <v>7401</v>
      </c>
      <c r="F1168" s="16" t="s">
        <v>3813</v>
      </c>
      <c r="G1168" s="16" t="s">
        <v>1517</v>
      </c>
      <c r="H1168" s="16">
        <v>1.0</v>
      </c>
      <c r="I1168" s="23">
        <v>6285.01</v>
      </c>
      <c r="J1168" s="23">
        <v>6285.01</v>
      </c>
      <c r="K1168" s="16" t="s">
        <v>6956</v>
      </c>
      <c r="L1168" s="23">
        <v>1.0</v>
      </c>
      <c r="M1168" s="23">
        <v>1362.97</v>
      </c>
      <c r="N1168" s="23">
        <v>1362.97</v>
      </c>
      <c r="O1168" s="16"/>
      <c r="P1168" s="23"/>
      <c r="Q1168" s="23"/>
      <c r="R1168" s="23">
        <v>0.0</v>
      </c>
      <c r="S1168" s="16"/>
      <c r="T1168" s="23"/>
      <c r="U1168" s="23"/>
      <c r="V1168" s="23">
        <v>0.0</v>
      </c>
      <c r="W1168" s="16"/>
      <c r="X1168" s="23"/>
      <c r="Y1168" s="23"/>
      <c r="Z1168" s="23">
        <v>0.0</v>
      </c>
      <c r="AA1168" s="16"/>
      <c r="AB1168" s="23"/>
      <c r="AC1168" s="23"/>
      <c r="AD1168" s="23">
        <v>0.0</v>
      </c>
      <c r="AE1168" s="16"/>
      <c r="AF1168" s="23"/>
      <c r="AG1168" s="23"/>
      <c r="AH1168" s="23">
        <v>0.0</v>
      </c>
      <c r="AI1168" s="16"/>
      <c r="AJ1168" s="23"/>
      <c r="AK1168" s="23"/>
      <c r="AL1168" s="23">
        <v>0.0</v>
      </c>
      <c r="AM1168" s="16"/>
      <c r="AN1168" s="23"/>
      <c r="AO1168" s="23"/>
      <c r="AP1168" s="23">
        <v>0.0</v>
      </c>
      <c r="AQ1168" s="16"/>
      <c r="AR1168" s="23"/>
      <c r="AS1168" s="23"/>
      <c r="AT1168" s="23">
        <v>0.0</v>
      </c>
      <c r="AU1168" s="16"/>
      <c r="AV1168" s="23"/>
      <c r="AW1168" s="23"/>
      <c r="AX1168" s="23">
        <v>0.0</v>
      </c>
      <c r="AY1168" s="16"/>
      <c r="AZ1168" s="23"/>
      <c r="BA1168" s="23"/>
      <c r="BB1168" s="23"/>
      <c r="BC1168" s="16"/>
      <c r="BD1168" s="23"/>
      <c r="BE1168" s="23"/>
      <c r="BF1168" s="23">
        <v>0.0</v>
      </c>
      <c r="BJ1168" s="23">
        <v>0.0</v>
      </c>
      <c r="BN1168" s="23">
        <v>0.0</v>
      </c>
      <c r="BO1168" s="23">
        <v>7647.98</v>
      </c>
      <c r="BP1168" s="16" t="s">
        <v>7403</v>
      </c>
      <c r="BQ1168" s="16" t="b">
        <v>1</v>
      </c>
      <c r="BR1168" s="23">
        <v>7647.98</v>
      </c>
      <c r="BS1168" s="16"/>
      <c r="BT1168" s="16" t="b">
        <v>0</v>
      </c>
      <c r="BU1168" s="16" t="s">
        <v>546</v>
      </c>
      <c r="BV1168" s="16"/>
      <c r="BW1168" s="16" t="s">
        <v>7406</v>
      </c>
      <c r="BX1168" s="16" t="s">
        <v>7408</v>
      </c>
      <c r="BY1168" s="16"/>
    </row>
    <row r="1169">
      <c r="A1169" s="16" t="s">
        <v>6960</v>
      </c>
      <c r="B1169" s="16" t="s">
        <v>35</v>
      </c>
      <c r="C1169" s="22">
        <v>45764.0</v>
      </c>
      <c r="D1169" s="16" t="s">
        <v>543</v>
      </c>
      <c r="E1169" s="16" t="s">
        <v>7411</v>
      </c>
      <c r="F1169" s="16" t="s">
        <v>171</v>
      </c>
      <c r="G1169" s="16">
        <v>1.2539885E7</v>
      </c>
      <c r="H1169" s="16">
        <v>1.0</v>
      </c>
      <c r="I1169" s="23">
        <v>250.0</v>
      </c>
      <c r="J1169" s="23">
        <v>250.0</v>
      </c>
      <c r="K1169" s="16"/>
      <c r="L1169" s="23"/>
      <c r="M1169" s="23"/>
      <c r="N1169" s="23">
        <v>0.0</v>
      </c>
      <c r="O1169" s="16"/>
      <c r="P1169" s="23"/>
      <c r="Q1169" s="23"/>
      <c r="R1169" s="23">
        <v>0.0</v>
      </c>
      <c r="S1169" s="16"/>
      <c r="T1169" s="23"/>
      <c r="U1169" s="23"/>
      <c r="V1169" s="23">
        <v>0.0</v>
      </c>
      <c r="W1169" s="16"/>
      <c r="X1169" s="23"/>
      <c r="Y1169" s="23"/>
      <c r="Z1169" s="23">
        <v>0.0</v>
      </c>
      <c r="AA1169" s="16"/>
      <c r="AB1169" s="23"/>
      <c r="AC1169" s="23"/>
      <c r="AD1169" s="23">
        <v>0.0</v>
      </c>
      <c r="AE1169" s="16"/>
      <c r="AF1169" s="23"/>
      <c r="AG1169" s="23"/>
      <c r="AH1169" s="23">
        <v>0.0</v>
      </c>
      <c r="AI1169" s="16"/>
      <c r="AJ1169" s="23"/>
      <c r="AK1169" s="23"/>
      <c r="AL1169" s="23">
        <v>0.0</v>
      </c>
      <c r="AM1169" s="16"/>
      <c r="AN1169" s="23"/>
      <c r="AO1169" s="23"/>
      <c r="AP1169" s="23">
        <v>0.0</v>
      </c>
      <c r="AQ1169" s="16"/>
      <c r="AR1169" s="23"/>
      <c r="AS1169" s="23"/>
      <c r="AT1169" s="23">
        <v>0.0</v>
      </c>
      <c r="AU1169" s="16"/>
      <c r="AV1169" s="23"/>
      <c r="AW1169" s="23"/>
      <c r="AX1169" s="23">
        <v>0.0</v>
      </c>
      <c r="AY1169" s="16"/>
      <c r="AZ1169" s="23"/>
      <c r="BA1169" s="23"/>
      <c r="BB1169" s="23"/>
      <c r="BC1169" s="16"/>
      <c r="BD1169" s="23"/>
      <c r="BE1169" s="23"/>
      <c r="BF1169" s="23">
        <v>0.0</v>
      </c>
      <c r="BJ1169" s="23">
        <v>0.0</v>
      </c>
      <c r="BN1169" s="23">
        <v>0.0</v>
      </c>
      <c r="BO1169" s="23">
        <v>250.0</v>
      </c>
      <c r="BP1169" s="16" t="s">
        <v>7413</v>
      </c>
      <c r="BQ1169" s="16" t="b">
        <v>1</v>
      </c>
      <c r="BR1169" s="23">
        <v>250.0</v>
      </c>
      <c r="BS1169" s="16"/>
      <c r="BT1169" s="16" t="b">
        <v>0</v>
      </c>
      <c r="BU1169" s="16" t="s">
        <v>546</v>
      </c>
      <c r="BV1169" s="16"/>
      <c r="BW1169" s="16"/>
      <c r="BX1169" s="16"/>
      <c r="BY1169" s="16"/>
    </row>
    <row r="1170">
      <c r="A1170" s="16" t="s">
        <v>6962</v>
      </c>
      <c r="B1170" s="16" t="s">
        <v>35</v>
      </c>
      <c r="C1170" s="22">
        <v>45764.0</v>
      </c>
      <c r="D1170" s="16" t="s">
        <v>112</v>
      </c>
      <c r="E1170" s="16" t="s">
        <v>7420</v>
      </c>
      <c r="F1170" s="16" t="s">
        <v>157</v>
      </c>
      <c r="G1170" s="16" t="s">
        <v>159</v>
      </c>
      <c r="H1170" s="16">
        <v>15.0</v>
      </c>
      <c r="I1170" s="23">
        <v>13.0</v>
      </c>
      <c r="J1170" s="23">
        <v>195.0</v>
      </c>
      <c r="K1170" s="16" t="s">
        <v>155</v>
      </c>
      <c r="L1170" s="23">
        <v>1.0</v>
      </c>
      <c r="M1170" s="23">
        <v>61.32</v>
      </c>
      <c r="N1170" s="23">
        <v>61.32</v>
      </c>
      <c r="O1170" s="16" t="s">
        <v>152</v>
      </c>
      <c r="P1170" s="23">
        <v>1.0</v>
      </c>
      <c r="Q1170" s="23">
        <v>12.09</v>
      </c>
      <c r="R1170" s="23">
        <v>12.09</v>
      </c>
      <c r="S1170" s="16" t="s">
        <v>226</v>
      </c>
      <c r="T1170" s="23">
        <v>1.0</v>
      </c>
      <c r="U1170" s="23">
        <v>57.0</v>
      </c>
      <c r="V1170" s="23">
        <v>57.0</v>
      </c>
      <c r="W1170" s="16"/>
      <c r="X1170" s="23"/>
      <c r="Y1170" s="23"/>
      <c r="Z1170" s="23">
        <v>0.0</v>
      </c>
      <c r="AA1170" s="16"/>
      <c r="AB1170" s="23"/>
      <c r="AC1170" s="23"/>
      <c r="AD1170" s="23">
        <v>0.0</v>
      </c>
      <c r="AE1170" s="16"/>
      <c r="AF1170" s="23"/>
      <c r="AG1170" s="23"/>
      <c r="AH1170" s="23">
        <v>0.0</v>
      </c>
      <c r="AI1170" s="16"/>
      <c r="AJ1170" s="23"/>
      <c r="AK1170" s="23"/>
      <c r="AL1170" s="23">
        <v>0.0</v>
      </c>
      <c r="AM1170" s="16"/>
      <c r="AN1170" s="23"/>
      <c r="AO1170" s="23"/>
      <c r="AP1170" s="23">
        <v>0.0</v>
      </c>
      <c r="AQ1170" s="16"/>
      <c r="AR1170" s="23"/>
      <c r="AS1170" s="23"/>
      <c r="AT1170" s="23">
        <v>0.0</v>
      </c>
      <c r="AU1170" s="16"/>
      <c r="AV1170" s="23"/>
      <c r="AW1170" s="23"/>
      <c r="AX1170" s="23">
        <v>0.0</v>
      </c>
      <c r="AY1170" s="16"/>
      <c r="AZ1170" s="23"/>
      <c r="BA1170" s="23"/>
      <c r="BB1170" s="23"/>
      <c r="BC1170" s="16"/>
      <c r="BD1170" s="23"/>
      <c r="BE1170" s="23"/>
      <c r="BF1170" s="23">
        <v>0.0</v>
      </c>
      <c r="BJ1170" s="23">
        <v>0.0</v>
      </c>
      <c r="BN1170" s="23">
        <v>0.0</v>
      </c>
      <c r="BO1170" s="23">
        <v>325.41</v>
      </c>
      <c r="BP1170" s="16" t="s">
        <v>7422</v>
      </c>
      <c r="BQ1170" s="16" t="b">
        <v>1</v>
      </c>
      <c r="BR1170" s="23">
        <v>325.41</v>
      </c>
      <c r="BS1170" s="16"/>
      <c r="BT1170" s="16" t="b">
        <v>0</v>
      </c>
      <c r="BU1170" s="16" t="s">
        <v>546</v>
      </c>
      <c r="BV1170" s="16"/>
      <c r="BW1170" s="16"/>
      <c r="BX1170" s="16"/>
      <c r="BY1170" s="16"/>
    </row>
    <row r="1171">
      <c r="A1171" s="16" t="s">
        <v>6968</v>
      </c>
      <c r="B1171" s="16" t="s">
        <v>35</v>
      </c>
      <c r="C1171" s="22">
        <v>45764.0</v>
      </c>
      <c r="D1171" s="16" t="s">
        <v>764</v>
      </c>
      <c r="E1171" s="16" t="s">
        <v>7428</v>
      </c>
      <c r="F1171" s="16" t="s">
        <v>195</v>
      </c>
      <c r="G1171" s="16" t="s">
        <v>1074</v>
      </c>
      <c r="H1171" s="16">
        <v>3.0</v>
      </c>
      <c r="I1171" s="23">
        <v>38.0</v>
      </c>
      <c r="J1171" s="23">
        <v>114.0</v>
      </c>
      <c r="K1171" s="16" t="s">
        <v>1080</v>
      </c>
      <c r="L1171" s="23">
        <v>10.0</v>
      </c>
      <c r="M1171" s="23">
        <v>17.5</v>
      </c>
      <c r="N1171" s="23">
        <v>175.0</v>
      </c>
      <c r="O1171" s="16" t="s">
        <v>1075</v>
      </c>
      <c r="P1171" s="23">
        <v>4.0</v>
      </c>
      <c r="Q1171" s="23">
        <v>38.0</v>
      </c>
      <c r="R1171" s="23">
        <v>152.0</v>
      </c>
      <c r="S1171" s="16"/>
      <c r="T1171" s="23"/>
      <c r="U1171" s="23"/>
      <c r="V1171" s="23">
        <v>0.0</v>
      </c>
      <c r="W1171" s="16"/>
      <c r="X1171" s="23"/>
      <c r="Y1171" s="23"/>
      <c r="Z1171" s="23">
        <v>0.0</v>
      </c>
      <c r="AA1171" s="16"/>
      <c r="AB1171" s="23"/>
      <c r="AC1171" s="23"/>
      <c r="AD1171" s="23">
        <v>0.0</v>
      </c>
      <c r="AE1171" s="16"/>
      <c r="AF1171" s="23"/>
      <c r="AG1171" s="23"/>
      <c r="AH1171" s="23">
        <v>0.0</v>
      </c>
      <c r="AI1171" s="16"/>
      <c r="AJ1171" s="23"/>
      <c r="AK1171" s="23"/>
      <c r="AL1171" s="23">
        <v>0.0</v>
      </c>
      <c r="AM1171" s="16"/>
      <c r="AN1171" s="23"/>
      <c r="AO1171" s="23"/>
      <c r="AP1171" s="23">
        <v>0.0</v>
      </c>
      <c r="AQ1171" s="16"/>
      <c r="AR1171" s="23"/>
      <c r="AS1171" s="23"/>
      <c r="AT1171" s="23">
        <v>0.0</v>
      </c>
      <c r="AU1171" s="16"/>
      <c r="AV1171" s="23"/>
      <c r="AW1171" s="23"/>
      <c r="AX1171" s="23">
        <v>0.0</v>
      </c>
      <c r="AY1171" s="16"/>
      <c r="AZ1171" s="23"/>
      <c r="BA1171" s="23"/>
      <c r="BB1171" s="23"/>
      <c r="BC1171" s="16"/>
      <c r="BD1171" s="23"/>
      <c r="BE1171" s="23"/>
      <c r="BF1171" s="23">
        <v>0.0</v>
      </c>
      <c r="BJ1171" s="23">
        <v>0.0</v>
      </c>
      <c r="BN1171" s="23">
        <v>0.0</v>
      </c>
      <c r="BO1171" s="23">
        <v>441.0</v>
      </c>
      <c r="BP1171" s="16" t="s">
        <v>7429</v>
      </c>
      <c r="BQ1171" s="16" t="b">
        <v>1</v>
      </c>
      <c r="BR1171" s="23">
        <v>441.0</v>
      </c>
      <c r="BS1171" s="16"/>
      <c r="BT1171" s="16" t="b">
        <v>0</v>
      </c>
      <c r="BU1171" s="16" t="s">
        <v>546</v>
      </c>
      <c r="BV1171" s="16"/>
      <c r="BW1171" s="16"/>
      <c r="BX1171" s="16"/>
      <c r="BY1171" s="16"/>
    </row>
    <row r="1172">
      <c r="A1172" s="16" t="s">
        <v>6975</v>
      </c>
      <c r="B1172" s="16" t="s">
        <v>35</v>
      </c>
      <c r="C1172" s="22">
        <v>45764.0</v>
      </c>
      <c r="D1172" s="16" t="s">
        <v>890</v>
      </c>
      <c r="E1172" s="16" t="s">
        <v>7435</v>
      </c>
      <c r="F1172" s="16" t="s">
        <v>2894</v>
      </c>
      <c r="G1172" s="16" t="s">
        <v>1510</v>
      </c>
      <c r="H1172" s="16">
        <v>1.0</v>
      </c>
      <c r="I1172" s="23">
        <v>12785.27</v>
      </c>
      <c r="J1172" s="23">
        <v>12785.27</v>
      </c>
      <c r="K1172" s="16" t="s">
        <v>6956</v>
      </c>
      <c r="L1172" s="23">
        <v>1.0</v>
      </c>
      <c r="M1172" s="23">
        <v>2732.68</v>
      </c>
      <c r="N1172" s="23">
        <v>2732.68</v>
      </c>
      <c r="O1172" s="16"/>
      <c r="P1172" s="23"/>
      <c r="Q1172" s="23"/>
      <c r="R1172" s="23">
        <v>0.0</v>
      </c>
      <c r="S1172" s="16"/>
      <c r="T1172" s="23"/>
      <c r="U1172" s="23"/>
      <c r="V1172" s="23">
        <v>0.0</v>
      </c>
      <c r="W1172" s="16"/>
      <c r="X1172" s="23"/>
      <c r="Y1172" s="23"/>
      <c r="Z1172" s="23">
        <v>0.0</v>
      </c>
      <c r="AA1172" s="16"/>
      <c r="AB1172" s="23"/>
      <c r="AC1172" s="23"/>
      <c r="AD1172" s="23">
        <v>0.0</v>
      </c>
      <c r="AE1172" s="16"/>
      <c r="AF1172" s="23"/>
      <c r="AG1172" s="23"/>
      <c r="AH1172" s="23">
        <v>0.0</v>
      </c>
      <c r="AI1172" s="16"/>
      <c r="AJ1172" s="23"/>
      <c r="AK1172" s="23"/>
      <c r="AL1172" s="23">
        <v>0.0</v>
      </c>
      <c r="AM1172" s="16"/>
      <c r="AN1172" s="23"/>
      <c r="AO1172" s="23"/>
      <c r="AP1172" s="23">
        <v>0.0</v>
      </c>
      <c r="AQ1172" s="16"/>
      <c r="AR1172" s="23"/>
      <c r="AS1172" s="23"/>
      <c r="AT1172" s="23">
        <v>0.0</v>
      </c>
      <c r="AU1172" s="16"/>
      <c r="AV1172" s="23"/>
      <c r="AW1172" s="23"/>
      <c r="AX1172" s="23">
        <v>0.0</v>
      </c>
      <c r="AY1172" s="16"/>
      <c r="AZ1172" s="23"/>
      <c r="BA1172" s="23"/>
      <c r="BB1172" s="23"/>
      <c r="BC1172" s="16"/>
      <c r="BD1172" s="23"/>
      <c r="BE1172" s="23"/>
      <c r="BF1172" s="23">
        <v>0.0</v>
      </c>
      <c r="BJ1172" s="23">
        <v>0.0</v>
      </c>
      <c r="BN1172" s="23">
        <v>0.0</v>
      </c>
      <c r="BO1172" s="23">
        <v>15517.95</v>
      </c>
      <c r="BP1172" s="16" t="s">
        <v>7437</v>
      </c>
      <c r="BQ1172" s="16" t="b">
        <v>1</v>
      </c>
      <c r="BR1172" s="23">
        <v>15517.95</v>
      </c>
      <c r="BS1172" s="16"/>
      <c r="BT1172" s="16" t="b">
        <v>0</v>
      </c>
      <c r="BU1172" s="16" t="s">
        <v>546</v>
      </c>
      <c r="BV1172" s="16"/>
      <c r="BW1172" s="16" t="s">
        <v>7439</v>
      </c>
      <c r="BX1172" s="16" t="s">
        <v>7441</v>
      </c>
      <c r="BY1172" s="16" t="s">
        <v>7443</v>
      </c>
    </row>
    <row r="1173">
      <c r="A1173" s="16" t="s">
        <v>6978</v>
      </c>
      <c r="B1173" s="16" t="s">
        <v>35</v>
      </c>
      <c r="C1173" s="22">
        <v>45766.0</v>
      </c>
      <c r="D1173" s="16" t="s">
        <v>3493</v>
      </c>
      <c r="E1173" s="16" t="s">
        <v>7449</v>
      </c>
      <c r="F1173" s="16" t="s">
        <v>7454</v>
      </c>
      <c r="G1173" s="16" t="s">
        <v>305</v>
      </c>
      <c r="H1173" s="16">
        <v>1.0</v>
      </c>
      <c r="I1173" s="23">
        <v>47.39</v>
      </c>
      <c r="J1173" s="23">
        <v>47.39</v>
      </c>
      <c r="K1173" s="16"/>
      <c r="L1173" s="23"/>
      <c r="M1173" s="23"/>
      <c r="N1173" s="23">
        <v>0.0</v>
      </c>
      <c r="O1173" s="16"/>
      <c r="P1173" s="23"/>
      <c r="Q1173" s="23"/>
      <c r="R1173" s="23">
        <v>0.0</v>
      </c>
      <c r="S1173" s="16"/>
      <c r="T1173" s="23"/>
      <c r="U1173" s="23"/>
      <c r="V1173" s="23">
        <v>0.0</v>
      </c>
      <c r="W1173" s="16"/>
      <c r="X1173" s="23"/>
      <c r="Y1173" s="23"/>
      <c r="Z1173" s="23">
        <v>0.0</v>
      </c>
      <c r="AA1173" s="16"/>
      <c r="AB1173" s="23"/>
      <c r="AC1173" s="23"/>
      <c r="AD1173" s="23">
        <v>0.0</v>
      </c>
      <c r="AE1173" s="16"/>
      <c r="AF1173" s="23"/>
      <c r="AG1173" s="23"/>
      <c r="AH1173" s="23">
        <v>0.0</v>
      </c>
      <c r="AI1173" s="16"/>
      <c r="AJ1173" s="23"/>
      <c r="AK1173" s="23"/>
      <c r="AL1173" s="23">
        <v>0.0</v>
      </c>
      <c r="AM1173" s="16"/>
      <c r="AN1173" s="23"/>
      <c r="AO1173" s="23"/>
      <c r="AP1173" s="23">
        <v>0.0</v>
      </c>
      <c r="AQ1173" s="16"/>
      <c r="AR1173" s="23"/>
      <c r="AS1173" s="23"/>
      <c r="AT1173" s="23">
        <v>0.0</v>
      </c>
      <c r="AU1173" s="16"/>
      <c r="AV1173" s="23"/>
      <c r="AW1173" s="23"/>
      <c r="AX1173" s="23">
        <v>0.0</v>
      </c>
      <c r="AY1173" s="16"/>
      <c r="AZ1173" s="23"/>
      <c r="BA1173" s="23"/>
      <c r="BB1173" s="23"/>
      <c r="BC1173" s="16"/>
      <c r="BD1173" s="23"/>
      <c r="BE1173" s="23"/>
      <c r="BF1173" s="23">
        <v>0.0</v>
      </c>
      <c r="BJ1173" s="23">
        <v>0.0</v>
      </c>
      <c r="BN1173" s="23">
        <v>0.0</v>
      </c>
      <c r="BO1173" s="23">
        <v>47.39</v>
      </c>
      <c r="BP1173" s="16" t="s">
        <v>7451</v>
      </c>
      <c r="BQ1173" s="16" t="b">
        <v>1</v>
      </c>
      <c r="BR1173" s="23">
        <v>47.39</v>
      </c>
      <c r="BS1173" s="16">
        <v>1440651.0</v>
      </c>
      <c r="BT1173" s="16" t="b">
        <v>1</v>
      </c>
      <c r="BU1173" s="16" t="s">
        <v>546</v>
      </c>
      <c r="BV1173" s="16"/>
      <c r="BW1173" s="16"/>
      <c r="BX1173" s="16"/>
      <c r="BY1173" s="16"/>
    </row>
    <row r="1174">
      <c r="A1174" s="16" t="s">
        <v>6980</v>
      </c>
      <c r="B1174" s="16" t="s">
        <v>35</v>
      </c>
      <c r="C1174" s="22">
        <v>45766.0</v>
      </c>
      <c r="D1174" s="16" t="s">
        <v>112</v>
      </c>
      <c r="E1174" s="16" t="s">
        <v>7461</v>
      </c>
      <c r="F1174" s="16" t="s">
        <v>157</v>
      </c>
      <c r="G1174" s="16" t="s">
        <v>159</v>
      </c>
      <c r="H1174" s="16">
        <v>1.0</v>
      </c>
      <c r="I1174" s="23">
        <v>195.0</v>
      </c>
      <c r="J1174" s="23">
        <v>195.0</v>
      </c>
      <c r="K1174" s="16" t="s">
        <v>155</v>
      </c>
      <c r="L1174" s="23">
        <v>1.0</v>
      </c>
      <c r="M1174" s="23">
        <v>31.39</v>
      </c>
      <c r="N1174" s="23">
        <v>31.39</v>
      </c>
      <c r="O1174" s="16" t="s">
        <v>226</v>
      </c>
      <c r="P1174" s="23">
        <v>1.0</v>
      </c>
      <c r="Q1174" s="23">
        <v>57.0</v>
      </c>
      <c r="R1174" s="23">
        <v>57.0</v>
      </c>
      <c r="S1174" s="16"/>
      <c r="T1174" s="23"/>
      <c r="U1174" s="23"/>
      <c r="V1174" s="23">
        <v>0.0</v>
      </c>
      <c r="W1174" s="16"/>
      <c r="X1174" s="23"/>
      <c r="Y1174" s="23"/>
      <c r="Z1174" s="23">
        <v>0.0</v>
      </c>
      <c r="AA1174" s="16"/>
      <c r="AB1174" s="23"/>
      <c r="AC1174" s="23"/>
      <c r="AD1174" s="23">
        <v>0.0</v>
      </c>
      <c r="AE1174" s="16"/>
      <c r="AF1174" s="23"/>
      <c r="AG1174" s="23"/>
      <c r="AH1174" s="23">
        <v>0.0</v>
      </c>
      <c r="AI1174" s="16"/>
      <c r="AJ1174" s="23"/>
      <c r="AK1174" s="23"/>
      <c r="AL1174" s="23">
        <v>0.0</v>
      </c>
      <c r="AM1174" s="16"/>
      <c r="AN1174" s="23"/>
      <c r="AO1174" s="23"/>
      <c r="AP1174" s="23">
        <v>0.0</v>
      </c>
      <c r="AQ1174" s="16"/>
      <c r="AR1174" s="23"/>
      <c r="AS1174" s="23"/>
      <c r="AT1174" s="23">
        <v>0.0</v>
      </c>
      <c r="AU1174" s="16"/>
      <c r="AV1174" s="23"/>
      <c r="AW1174" s="23"/>
      <c r="AX1174" s="23">
        <v>0.0</v>
      </c>
      <c r="AY1174" s="16"/>
      <c r="AZ1174" s="23"/>
      <c r="BA1174" s="23"/>
      <c r="BB1174" s="23"/>
      <c r="BC1174" s="16"/>
      <c r="BD1174" s="23"/>
      <c r="BE1174" s="23"/>
      <c r="BF1174" s="23">
        <v>0.0</v>
      </c>
      <c r="BJ1174" s="23">
        <v>0.0</v>
      </c>
      <c r="BN1174" s="23">
        <v>0.0</v>
      </c>
      <c r="BO1174" s="23">
        <v>283.39</v>
      </c>
      <c r="BP1174" s="16" t="s">
        <v>7462</v>
      </c>
      <c r="BQ1174" s="16" t="b">
        <v>1</v>
      </c>
      <c r="BR1174" s="23">
        <v>283.39</v>
      </c>
      <c r="BS1174" s="16"/>
      <c r="BT1174" s="16" t="b">
        <v>0</v>
      </c>
      <c r="BU1174" s="16" t="s">
        <v>546</v>
      </c>
      <c r="BV1174" s="16"/>
      <c r="BW1174" s="16"/>
      <c r="BX1174" s="16"/>
      <c r="BY1174" s="16"/>
    </row>
    <row r="1175">
      <c r="A1175" s="16" t="s">
        <v>6986</v>
      </c>
      <c r="B1175" s="16" t="s">
        <v>35</v>
      </c>
      <c r="C1175" s="22">
        <v>45769.0</v>
      </c>
      <c r="D1175" s="16">
        <v>6.8893939E7</v>
      </c>
      <c r="E1175" s="16"/>
      <c r="F1175" s="16" t="s">
        <v>7467</v>
      </c>
      <c r="G1175" s="16" t="s">
        <v>1653</v>
      </c>
      <c r="H1175" s="16">
        <v>1.0</v>
      </c>
      <c r="I1175" s="23">
        <v>978.12</v>
      </c>
      <c r="J1175" s="23">
        <v>978.12</v>
      </c>
      <c r="K1175" s="16"/>
      <c r="L1175" s="23"/>
      <c r="M1175" s="23"/>
      <c r="N1175" s="23"/>
      <c r="O1175" s="16"/>
      <c r="P1175" s="23"/>
      <c r="Q1175" s="23"/>
      <c r="R1175" s="23"/>
      <c r="S1175" s="16"/>
      <c r="T1175" s="23"/>
      <c r="U1175" s="23"/>
      <c r="V1175" s="23"/>
      <c r="W1175" s="16"/>
      <c r="X1175" s="23"/>
      <c r="Y1175" s="23"/>
      <c r="Z1175" s="23"/>
      <c r="AA1175" s="16"/>
      <c r="AB1175" s="23"/>
      <c r="AC1175" s="23"/>
      <c r="AD1175" s="23"/>
      <c r="AE1175" s="16"/>
      <c r="AF1175" s="23"/>
      <c r="AG1175" s="23"/>
      <c r="AH1175" s="23"/>
      <c r="AI1175" s="16"/>
      <c r="AJ1175" s="23"/>
      <c r="AK1175" s="23"/>
      <c r="AL1175" s="23"/>
      <c r="AM1175" s="16"/>
      <c r="AN1175" s="23"/>
      <c r="AO1175" s="23"/>
      <c r="AP1175" s="23"/>
      <c r="AQ1175" s="16"/>
      <c r="AR1175" s="23"/>
      <c r="AS1175" s="23"/>
      <c r="AT1175" s="23"/>
      <c r="AU1175" s="16"/>
      <c r="AV1175" s="23"/>
      <c r="AW1175" s="23"/>
      <c r="AX1175" s="23"/>
      <c r="AY1175" s="16"/>
      <c r="AZ1175" s="23"/>
      <c r="BA1175" s="23"/>
      <c r="BB1175" s="23"/>
      <c r="BC1175" s="16"/>
      <c r="BD1175" s="23"/>
      <c r="BE1175" s="23"/>
      <c r="BF1175" s="23"/>
      <c r="BJ1175" s="23"/>
      <c r="BN1175" s="23"/>
      <c r="BO1175" s="23">
        <v>978.12</v>
      </c>
      <c r="BP1175" s="16"/>
      <c r="BQ1175" s="16"/>
      <c r="BR1175" s="23">
        <v>978.12</v>
      </c>
      <c r="BS1175" s="16"/>
      <c r="BT1175" s="16"/>
      <c r="BU1175" s="16" t="s">
        <v>539</v>
      </c>
      <c r="BV1175" s="16"/>
      <c r="BW1175" s="16"/>
      <c r="BX1175" s="16"/>
      <c r="BY1175" s="16"/>
    </row>
    <row r="1176">
      <c r="A1176" s="16" t="s">
        <v>6988</v>
      </c>
      <c r="B1176" s="16" t="s">
        <v>35</v>
      </c>
      <c r="C1176" s="22">
        <v>45769.0</v>
      </c>
      <c r="D1176" s="16" t="s">
        <v>673</v>
      </c>
      <c r="E1176" s="16"/>
      <c r="F1176" s="16" t="s">
        <v>7474</v>
      </c>
      <c r="G1176" s="16" t="s">
        <v>2715</v>
      </c>
      <c r="H1176" s="16">
        <v>1.0</v>
      </c>
      <c r="I1176" s="23">
        <v>1357.36</v>
      </c>
      <c r="J1176" s="23">
        <v>1357.36</v>
      </c>
      <c r="K1176" s="16"/>
      <c r="L1176" s="23"/>
      <c r="M1176" s="23"/>
      <c r="N1176" s="23"/>
      <c r="O1176" s="16"/>
      <c r="P1176" s="23"/>
      <c r="Q1176" s="23"/>
      <c r="R1176" s="23"/>
      <c r="S1176" s="16"/>
      <c r="T1176" s="23"/>
      <c r="U1176" s="23"/>
      <c r="V1176" s="23"/>
      <c r="W1176" s="16"/>
      <c r="X1176" s="23"/>
      <c r="Y1176" s="23"/>
      <c r="Z1176" s="23"/>
      <c r="AA1176" s="16"/>
      <c r="AB1176" s="23"/>
      <c r="AC1176" s="23"/>
      <c r="AD1176" s="23"/>
      <c r="AE1176" s="16"/>
      <c r="AF1176" s="23"/>
      <c r="AG1176" s="23"/>
      <c r="AH1176" s="23"/>
      <c r="AI1176" s="16"/>
      <c r="AJ1176" s="23"/>
      <c r="AK1176" s="23"/>
      <c r="AL1176" s="23"/>
      <c r="AM1176" s="16"/>
      <c r="AN1176" s="23"/>
      <c r="AO1176" s="23"/>
      <c r="AP1176" s="23"/>
      <c r="AQ1176" s="16"/>
      <c r="AR1176" s="23"/>
      <c r="AS1176" s="23"/>
      <c r="AT1176" s="23"/>
      <c r="AU1176" s="16"/>
      <c r="AV1176" s="23"/>
      <c r="AW1176" s="23"/>
      <c r="AX1176" s="23"/>
      <c r="AY1176" s="16"/>
      <c r="AZ1176" s="23"/>
      <c r="BA1176" s="23"/>
      <c r="BB1176" s="23"/>
      <c r="BC1176" s="16"/>
      <c r="BD1176" s="23"/>
      <c r="BE1176" s="23"/>
      <c r="BF1176" s="23"/>
      <c r="BJ1176" s="23"/>
      <c r="BN1176" s="23"/>
      <c r="BO1176" s="23">
        <v>1357.36</v>
      </c>
      <c r="BP1176" s="16"/>
      <c r="BQ1176" s="16"/>
      <c r="BR1176" s="23">
        <v>1357.36</v>
      </c>
      <c r="BS1176" s="16"/>
      <c r="BT1176" s="16"/>
      <c r="BU1176" s="16" t="s">
        <v>539</v>
      </c>
      <c r="BV1176" s="16"/>
      <c r="BW1176" s="16"/>
      <c r="BX1176" s="16"/>
      <c r="BY1176" s="16"/>
    </row>
    <row r="1177">
      <c r="A1177" s="16" t="s">
        <v>6990</v>
      </c>
      <c r="B1177" s="16" t="s">
        <v>35</v>
      </c>
      <c r="C1177" s="22">
        <v>45769.0</v>
      </c>
      <c r="D1177" s="16" t="s">
        <v>673</v>
      </c>
      <c r="E1177" s="16"/>
      <c r="F1177" s="16" t="s">
        <v>7484</v>
      </c>
      <c r="G1177" s="16" t="s">
        <v>2715</v>
      </c>
      <c r="H1177" s="16">
        <v>1.0</v>
      </c>
      <c r="I1177" s="23">
        <v>1357.36</v>
      </c>
      <c r="J1177" s="23">
        <v>1357.36</v>
      </c>
      <c r="K1177" s="16"/>
      <c r="L1177" s="23"/>
      <c r="M1177" s="23"/>
      <c r="N1177" s="23"/>
      <c r="O1177" s="16"/>
      <c r="P1177" s="23"/>
      <c r="Q1177" s="23"/>
      <c r="R1177" s="23"/>
      <c r="S1177" s="16"/>
      <c r="T1177" s="23"/>
      <c r="U1177" s="23"/>
      <c r="V1177" s="23"/>
      <c r="W1177" s="16"/>
      <c r="X1177" s="23"/>
      <c r="Y1177" s="23"/>
      <c r="Z1177" s="23"/>
      <c r="AA1177" s="16"/>
      <c r="AB1177" s="23"/>
      <c r="AC1177" s="23"/>
      <c r="AD1177" s="23"/>
      <c r="AE1177" s="16"/>
      <c r="AF1177" s="23"/>
      <c r="AG1177" s="23"/>
      <c r="AH1177" s="23"/>
      <c r="AI1177" s="16"/>
      <c r="AJ1177" s="23"/>
      <c r="AK1177" s="23"/>
      <c r="AL1177" s="23"/>
      <c r="AM1177" s="16"/>
      <c r="AN1177" s="23"/>
      <c r="AO1177" s="23"/>
      <c r="AP1177" s="23"/>
      <c r="AQ1177" s="16"/>
      <c r="AR1177" s="23"/>
      <c r="AS1177" s="23"/>
      <c r="AT1177" s="23"/>
      <c r="AU1177" s="16"/>
      <c r="AV1177" s="23"/>
      <c r="AW1177" s="23"/>
      <c r="AX1177" s="23"/>
      <c r="AY1177" s="16"/>
      <c r="AZ1177" s="23"/>
      <c r="BA1177" s="23"/>
      <c r="BB1177" s="23"/>
      <c r="BC1177" s="16"/>
      <c r="BD1177" s="23"/>
      <c r="BE1177" s="23"/>
      <c r="BF1177" s="23"/>
      <c r="BJ1177" s="23"/>
      <c r="BN1177" s="23"/>
      <c r="BO1177" s="23">
        <v>1357.36</v>
      </c>
      <c r="BP1177" s="16"/>
      <c r="BQ1177" s="16"/>
      <c r="BR1177" s="23">
        <v>1357.36</v>
      </c>
      <c r="BS1177" s="16"/>
      <c r="BT1177" s="16"/>
      <c r="BU1177" s="16" t="s">
        <v>539</v>
      </c>
      <c r="BV1177" s="16"/>
      <c r="BW1177" s="16"/>
      <c r="BX1177" s="16"/>
      <c r="BY1177" s="16"/>
    </row>
    <row r="1178">
      <c r="A1178" s="16" t="s">
        <v>6993</v>
      </c>
      <c r="B1178" s="16" t="s">
        <v>35</v>
      </c>
      <c r="C1178" s="22">
        <v>45769.0</v>
      </c>
      <c r="D1178" s="16" t="s">
        <v>543</v>
      </c>
      <c r="E1178" s="16" t="s">
        <v>7492</v>
      </c>
      <c r="F1178" s="16" t="s">
        <v>171</v>
      </c>
      <c r="G1178" s="16">
        <v>1.2539885E7</v>
      </c>
      <c r="H1178" s="16">
        <v>1.0</v>
      </c>
      <c r="I1178" s="23">
        <v>350.0</v>
      </c>
      <c r="J1178" s="23">
        <v>350.0</v>
      </c>
      <c r="K1178" s="16"/>
      <c r="L1178" s="23"/>
      <c r="M1178" s="23"/>
      <c r="N1178" s="23">
        <v>0.0</v>
      </c>
      <c r="O1178" s="16"/>
      <c r="P1178" s="23"/>
      <c r="Q1178" s="23"/>
      <c r="R1178" s="23">
        <v>0.0</v>
      </c>
      <c r="S1178" s="16"/>
      <c r="T1178" s="23"/>
      <c r="U1178" s="23"/>
      <c r="V1178" s="23">
        <v>0.0</v>
      </c>
      <c r="W1178" s="16"/>
      <c r="X1178" s="23"/>
      <c r="Y1178" s="23"/>
      <c r="Z1178" s="23">
        <v>0.0</v>
      </c>
      <c r="AA1178" s="16"/>
      <c r="AB1178" s="23"/>
      <c r="AC1178" s="23"/>
      <c r="AD1178" s="23">
        <v>0.0</v>
      </c>
      <c r="AE1178" s="16"/>
      <c r="AF1178" s="23"/>
      <c r="AG1178" s="23"/>
      <c r="AH1178" s="23">
        <v>0.0</v>
      </c>
      <c r="AI1178" s="16"/>
      <c r="AJ1178" s="23"/>
      <c r="AK1178" s="23"/>
      <c r="AL1178" s="23">
        <v>0.0</v>
      </c>
      <c r="AM1178" s="16"/>
      <c r="AN1178" s="23"/>
      <c r="AO1178" s="23"/>
      <c r="AP1178" s="23">
        <v>0.0</v>
      </c>
      <c r="AQ1178" s="16"/>
      <c r="AR1178" s="23"/>
      <c r="AS1178" s="23"/>
      <c r="AT1178" s="23">
        <v>0.0</v>
      </c>
      <c r="AU1178" s="16"/>
      <c r="AV1178" s="23"/>
      <c r="AW1178" s="23"/>
      <c r="AX1178" s="23">
        <v>0.0</v>
      </c>
      <c r="AY1178" s="16"/>
      <c r="AZ1178" s="23"/>
      <c r="BA1178" s="23"/>
      <c r="BB1178" s="23"/>
      <c r="BC1178" s="16"/>
      <c r="BD1178" s="23"/>
      <c r="BE1178" s="23"/>
      <c r="BF1178" s="23">
        <v>0.0</v>
      </c>
      <c r="BJ1178" s="23">
        <v>0.0</v>
      </c>
      <c r="BN1178" s="23">
        <v>0.0</v>
      </c>
      <c r="BO1178" s="23">
        <v>350.0</v>
      </c>
      <c r="BP1178" s="16" t="s">
        <v>7495</v>
      </c>
      <c r="BQ1178" s="16" t="b">
        <v>1</v>
      </c>
      <c r="BR1178" s="23">
        <v>350.0</v>
      </c>
      <c r="BS1178" s="16"/>
      <c r="BT1178" s="16" t="b">
        <v>0</v>
      </c>
      <c r="BU1178" s="16" t="s">
        <v>546</v>
      </c>
      <c r="BV1178" s="16"/>
      <c r="BW1178" s="16"/>
      <c r="BX1178" s="16"/>
      <c r="BY1178" s="16"/>
    </row>
    <row r="1179">
      <c r="A1179" s="16" t="s">
        <v>6997</v>
      </c>
      <c r="B1179" s="16" t="s">
        <v>35</v>
      </c>
      <c r="C1179" s="22">
        <v>45771.0</v>
      </c>
      <c r="D1179" s="16" t="s">
        <v>890</v>
      </c>
      <c r="E1179" s="16"/>
      <c r="F1179" s="16" t="s">
        <v>7504</v>
      </c>
      <c r="G1179" s="16" t="s">
        <v>3833</v>
      </c>
      <c r="H1179" s="16">
        <v>1.0</v>
      </c>
      <c r="I1179" s="23">
        <v>23392.38</v>
      </c>
      <c r="J1179" s="23">
        <v>23392.38</v>
      </c>
      <c r="K1179" s="16"/>
      <c r="L1179" s="23"/>
      <c r="M1179" s="23"/>
      <c r="N1179" s="23"/>
      <c r="O1179" s="16"/>
      <c r="P1179" s="23"/>
      <c r="Q1179" s="23"/>
      <c r="R1179" s="23"/>
      <c r="S1179" s="16"/>
      <c r="T1179" s="23"/>
      <c r="U1179" s="23"/>
      <c r="V1179" s="23"/>
      <c r="W1179" s="16"/>
      <c r="X1179" s="23"/>
      <c r="Y1179" s="23"/>
      <c r="Z1179" s="23"/>
      <c r="AA1179" s="16"/>
      <c r="AB1179" s="23"/>
      <c r="AC1179" s="23"/>
      <c r="AD1179" s="23"/>
      <c r="AE1179" s="16"/>
      <c r="AF1179" s="23"/>
      <c r="AG1179" s="23"/>
      <c r="AH1179" s="23"/>
      <c r="AI1179" s="16"/>
      <c r="AJ1179" s="23"/>
      <c r="AK1179" s="23"/>
      <c r="AL1179" s="23"/>
      <c r="AM1179" s="16"/>
      <c r="AN1179" s="23"/>
      <c r="AO1179" s="23"/>
      <c r="AP1179" s="23"/>
      <c r="AQ1179" s="16"/>
      <c r="AR1179" s="23"/>
      <c r="AS1179" s="23"/>
      <c r="AT1179" s="23"/>
      <c r="AU1179" s="16"/>
      <c r="AV1179" s="23"/>
      <c r="AW1179" s="23"/>
      <c r="AX1179" s="23"/>
      <c r="AY1179" s="16"/>
      <c r="AZ1179" s="23"/>
      <c r="BA1179" s="23"/>
      <c r="BB1179" s="23"/>
      <c r="BC1179" s="16"/>
      <c r="BD1179" s="23"/>
      <c r="BE1179" s="23"/>
      <c r="BF1179" s="23"/>
      <c r="BJ1179" s="23"/>
      <c r="BN1179" s="23"/>
      <c r="BO1179" s="23">
        <v>23392.38</v>
      </c>
      <c r="BP1179" s="16"/>
      <c r="BQ1179" s="16"/>
      <c r="BR1179" s="23">
        <v>23392.38</v>
      </c>
      <c r="BS1179" s="16"/>
      <c r="BT1179" s="16"/>
      <c r="BU1179" s="16" t="s">
        <v>539</v>
      </c>
      <c r="BV1179" s="16"/>
      <c r="BW1179" s="16"/>
      <c r="BX1179" s="16"/>
      <c r="BY1179" s="16"/>
    </row>
    <row r="1180">
      <c r="A1180" s="16" t="s">
        <v>6999</v>
      </c>
      <c r="B1180" s="16" t="s">
        <v>35</v>
      </c>
      <c r="C1180" s="22">
        <v>45771.0</v>
      </c>
      <c r="D1180" s="16" t="s">
        <v>890</v>
      </c>
      <c r="E1180" s="16"/>
      <c r="F1180" s="16" t="s">
        <v>7513</v>
      </c>
      <c r="G1180" s="16" t="s">
        <v>3833</v>
      </c>
      <c r="H1180" s="16">
        <v>1.0</v>
      </c>
      <c r="I1180" s="23">
        <v>5005.68</v>
      </c>
      <c r="J1180" s="23">
        <v>5005.68</v>
      </c>
      <c r="K1180" s="16"/>
      <c r="L1180" s="23"/>
      <c r="M1180" s="23"/>
      <c r="N1180" s="23"/>
      <c r="O1180" s="16"/>
      <c r="P1180" s="23"/>
      <c r="Q1180" s="23"/>
      <c r="R1180" s="23"/>
      <c r="S1180" s="16"/>
      <c r="T1180" s="23"/>
      <c r="U1180" s="23"/>
      <c r="V1180" s="23"/>
      <c r="W1180" s="16"/>
      <c r="X1180" s="23"/>
      <c r="Y1180" s="23"/>
      <c r="Z1180" s="23"/>
      <c r="AA1180" s="16"/>
      <c r="AB1180" s="23"/>
      <c r="AC1180" s="23"/>
      <c r="AD1180" s="23"/>
      <c r="AE1180" s="16"/>
      <c r="AF1180" s="23"/>
      <c r="AG1180" s="23"/>
      <c r="AH1180" s="23"/>
      <c r="AI1180" s="16"/>
      <c r="AJ1180" s="23"/>
      <c r="AK1180" s="23"/>
      <c r="AL1180" s="23"/>
      <c r="AM1180" s="16"/>
      <c r="AN1180" s="23"/>
      <c r="AO1180" s="23"/>
      <c r="AP1180" s="23"/>
      <c r="AQ1180" s="16"/>
      <c r="AR1180" s="23"/>
      <c r="AS1180" s="23"/>
      <c r="AT1180" s="23"/>
      <c r="AU1180" s="16"/>
      <c r="AV1180" s="23"/>
      <c r="AW1180" s="23"/>
      <c r="AX1180" s="23"/>
      <c r="AY1180" s="16"/>
      <c r="AZ1180" s="23"/>
      <c r="BA1180" s="23"/>
      <c r="BB1180" s="23"/>
      <c r="BC1180" s="16"/>
      <c r="BD1180" s="23"/>
      <c r="BE1180" s="23"/>
      <c r="BF1180" s="23"/>
      <c r="BJ1180" s="23"/>
      <c r="BN1180" s="23"/>
      <c r="BO1180" s="23">
        <v>5005.68</v>
      </c>
      <c r="BP1180" s="16"/>
      <c r="BQ1180" s="16"/>
      <c r="BR1180" s="23">
        <v>5005.68</v>
      </c>
      <c r="BS1180" s="16"/>
      <c r="BT1180" s="16"/>
      <c r="BU1180" s="16" t="s">
        <v>539</v>
      </c>
      <c r="BV1180" s="16"/>
      <c r="BW1180" s="16"/>
      <c r="BX1180" s="16"/>
      <c r="BY1180" s="16"/>
    </row>
    <row r="1181">
      <c r="A1181" s="16" t="s">
        <v>7001</v>
      </c>
      <c r="B1181" s="16" t="s">
        <v>35</v>
      </c>
      <c r="C1181" s="22">
        <v>45773.0</v>
      </c>
      <c r="D1181" s="16"/>
      <c r="E1181" s="16"/>
      <c r="F1181" s="16" t="s">
        <v>1329</v>
      </c>
      <c r="G1181" s="16" t="s">
        <v>1168</v>
      </c>
      <c r="H1181" s="16">
        <v>1.0</v>
      </c>
      <c r="I1181" s="23">
        <v>500.0</v>
      </c>
      <c r="J1181" s="23">
        <v>500.0</v>
      </c>
      <c r="K1181" s="16"/>
      <c r="L1181" s="23"/>
      <c r="M1181" s="23"/>
      <c r="N1181" s="23"/>
      <c r="O1181" s="16"/>
      <c r="P1181" s="23"/>
      <c r="Q1181" s="23"/>
      <c r="R1181" s="23"/>
      <c r="S1181" s="16"/>
      <c r="T1181" s="23"/>
      <c r="U1181" s="23"/>
      <c r="V1181" s="23"/>
      <c r="W1181" s="16"/>
      <c r="X1181" s="23"/>
      <c r="Y1181" s="23"/>
      <c r="Z1181" s="23"/>
      <c r="AA1181" s="16"/>
      <c r="AB1181" s="23"/>
      <c r="AC1181" s="23"/>
      <c r="AD1181" s="23"/>
      <c r="AE1181" s="16"/>
      <c r="AF1181" s="23"/>
      <c r="AG1181" s="23"/>
      <c r="AH1181" s="23"/>
      <c r="AI1181" s="16"/>
      <c r="AJ1181" s="23"/>
      <c r="AK1181" s="23"/>
      <c r="AL1181" s="23"/>
      <c r="AM1181" s="16"/>
      <c r="AN1181" s="23"/>
      <c r="AO1181" s="23"/>
      <c r="AP1181" s="23"/>
      <c r="AQ1181" s="16"/>
      <c r="AR1181" s="23"/>
      <c r="AS1181" s="23"/>
      <c r="AT1181" s="23"/>
      <c r="AU1181" s="16"/>
      <c r="AV1181" s="23"/>
      <c r="AW1181" s="23"/>
      <c r="AX1181" s="23"/>
      <c r="AY1181" s="16"/>
      <c r="AZ1181" s="23"/>
      <c r="BA1181" s="23"/>
      <c r="BB1181" s="23"/>
      <c r="BC1181" s="16"/>
      <c r="BD1181" s="23"/>
      <c r="BE1181" s="23"/>
      <c r="BF1181" s="23"/>
      <c r="BJ1181" s="23"/>
      <c r="BN1181" s="23"/>
      <c r="BO1181" s="23">
        <v>500.0</v>
      </c>
      <c r="BP1181" s="16"/>
      <c r="BQ1181" s="16"/>
      <c r="BR1181" s="23">
        <v>500.0</v>
      </c>
      <c r="BS1181" s="16"/>
      <c r="BT1181" s="16"/>
      <c r="BU1181" s="16" t="s">
        <v>539</v>
      </c>
      <c r="BV1181" s="16" t="s">
        <v>2052</v>
      </c>
      <c r="BW1181" s="16"/>
      <c r="BX1181" s="16"/>
      <c r="BY1181" s="16"/>
    </row>
    <row r="1182">
      <c r="A1182" s="16" t="s">
        <v>7003</v>
      </c>
      <c r="B1182" s="16" t="s">
        <v>35</v>
      </c>
      <c r="C1182" s="22">
        <v>45773.0</v>
      </c>
      <c r="D1182" s="16"/>
      <c r="E1182" s="16"/>
      <c r="F1182" s="16" t="s">
        <v>1329</v>
      </c>
      <c r="G1182" s="16" t="s">
        <v>1168</v>
      </c>
      <c r="H1182" s="16">
        <v>1.0</v>
      </c>
      <c r="I1182" s="23">
        <v>500.0</v>
      </c>
      <c r="J1182" s="23">
        <v>500.0</v>
      </c>
      <c r="K1182" s="16"/>
      <c r="L1182" s="23"/>
      <c r="M1182" s="23"/>
      <c r="N1182" s="23"/>
      <c r="O1182" s="16"/>
      <c r="P1182" s="23"/>
      <c r="Q1182" s="23"/>
      <c r="R1182" s="23"/>
      <c r="S1182" s="16"/>
      <c r="T1182" s="23"/>
      <c r="U1182" s="23"/>
      <c r="V1182" s="23"/>
      <c r="W1182" s="16"/>
      <c r="X1182" s="23"/>
      <c r="Y1182" s="23"/>
      <c r="Z1182" s="23"/>
      <c r="AA1182" s="16"/>
      <c r="AB1182" s="23"/>
      <c r="AC1182" s="23"/>
      <c r="AD1182" s="23"/>
      <c r="AE1182" s="16"/>
      <c r="AF1182" s="23"/>
      <c r="AG1182" s="23"/>
      <c r="AH1182" s="23"/>
      <c r="AI1182" s="16"/>
      <c r="AJ1182" s="23"/>
      <c r="AK1182" s="23"/>
      <c r="AL1182" s="23"/>
      <c r="AM1182" s="16"/>
      <c r="AN1182" s="23"/>
      <c r="AO1182" s="23"/>
      <c r="AP1182" s="23"/>
      <c r="AQ1182" s="16"/>
      <c r="AR1182" s="23"/>
      <c r="AS1182" s="23"/>
      <c r="AT1182" s="23"/>
      <c r="AU1182" s="16"/>
      <c r="AV1182" s="23"/>
      <c r="AW1182" s="23"/>
      <c r="AX1182" s="23"/>
      <c r="AY1182" s="16"/>
      <c r="AZ1182" s="23"/>
      <c r="BA1182" s="23"/>
      <c r="BB1182" s="23"/>
      <c r="BC1182" s="16"/>
      <c r="BD1182" s="23"/>
      <c r="BE1182" s="23"/>
      <c r="BF1182" s="23"/>
      <c r="BJ1182" s="23"/>
      <c r="BN1182" s="23"/>
      <c r="BO1182" s="23">
        <v>500.0</v>
      </c>
      <c r="BP1182" s="16"/>
      <c r="BQ1182" s="16"/>
      <c r="BR1182" s="23">
        <v>500.0</v>
      </c>
      <c r="BS1182" s="16"/>
      <c r="BT1182" s="16"/>
      <c r="BU1182" s="16" t="s">
        <v>539</v>
      </c>
      <c r="BV1182" s="16" t="s">
        <v>624</v>
      </c>
      <c r="BW1182" s="16"/>
      <c r="BX1182" s="16"/>
      <c r="BY1182" s="16"/>
    </row>
    <row r="1183">
      <c r="A1183" s="16" t="s">
        <v>7005</v>
      </c>
      <c r="B1183" s="16" t="s">
        <v>35</v>
      </c>
      <c r="C1183" s="22">
        <v>45773.0</v>
      </c>
      <c r="D1183" s="16"/>
      <c r="E1183" s="16"/>
      <c r="F1183" s="16" t="s">
        <v>1329</v>
      </c>
      <c r="G1183" s="16" t="s">
        <v>1168</v>
      </c>
      <c r="H1183" s="16">
        <v>1.0</v>
      </c>
      <c r="I1183" s="23">
        <v>500.0</v>
      </c>
      <c r="J1183" s="23">
        <v>500.0</v>
      </c>
      <c r="K1183" s="16"/>
      <c r="L1183" s="23"/>
      <c r="M1183" s="23"/>
      <c r="N1183" s="23"/>
      <c r="O1183" s="16"/>
      <c r="P1183" s="23"/>
      <c r="Q1183" s="23"/>
      <c r="R1183" s="23"/>
      <c r="S1183" s="16"/>
      <c r="T1183" s="23"/>
      <c r="U1183" s="23"/>
      <c r="V1183" s="23"/>
      <c r="W1183" s="16"/>
      <c r="X1183" s="23"/>
      <c r="Y1183" s="23"/>
      <c r="Z1183" s="23"/>
      <c r="AA1183" s="16"/>
      <c r="AB1183" s="23"/>
      <c r="AC1183" s="23"/>
      <c r="AD1183" s="23"/>
      <c r="AE1183" s="16"/>
      <c r="AF1183" s="23"/>
      <c r="AG1183" s="23"/>
      <c r="AH1183" s="23"/>
      <c r="AI1183" s="16"/>
      <c r="AJ1183" s="23"/>
      <c r="AK1183" s="23"/>
      <c r="AL1183" s="23"/>
      <c r="AM1183" s="16"/>
      <c r="AN1183" s="23"/>
      <c r="AO1183" s="23"/>
      <c r="AP1183" s="23"/>
      <c r="AQ1183" s="16"/>
      <c r="AR1183" s="23"/>
      <c r="AS1183" s="23"/>
      <c r="AT1183" s="23"/>
      <c r="AU1183" s="16"/>
      <c r="AV1183" s="23"/>
      <c r="AW1183" s="23"/>
      <c r="AX1183" s="23"/>
      <c r="AY1183" s="16"/>
      <c r="AZ1183" s="23"/>
      <c r="BA1183" s="23"/>
      <c r="BB1183" s="23"/>
      <c r="BC1183" s="16"/>
      <c r="BD1183" s="23"/>
      <c r="BE1183" s="23"/>
      <c r="BF1183" s="23"/>
      <c r="BJ1183" s="23"/>
      <c r="BN1183" s="23"/>
      <c r="BO1183" s="23">
        <v>500.0</v>
      </c>
      <c r="BP1183" s="16"/>
      <c r="BQ1183" s="16"/>
      <c r="BR1183" s="23">
        <v>500.0</v>
      </c>
      <c r="BS1183" s="16"/>
      <c r="BT1183" s="16"/>
      <c r="BU1183" s="16" t="s">
        <v>539</v>
      </c>
      <c r="BV1183" s="16" t="s">
        <v>6062</v>
      </c>
      <c r="BW1183" s="16"/>
      <c r="BX1183" s="16"/>
      <c r="BY1183" s="16"/>
    </row>
    <row r="1184">
      <c r="A1184" s="16" t="s">
        <v>7009</v>
      </c>
      <c r="B1184" s="16" t="s">
        <v>35</v>
      </c>
      <c r="C1184" s="22">
        <v>45774.0</v>
      </c>
      <c r="D1184" s="16"/>
      <c r="E1184" s="16"/>
      <c r="F1184" s="16" t="s">
        <v>1329</v>
      </c>
      <c r="G1184" s="16" t="s">
        <v>1168</v>
      </c>
      <c r="H1184" s="16">
        <v>1.0</v>
      </c>
      <c r="I1184" s="23">
        <v>300.0</v>
      </c>
      <c r="J1184" s="23">
        <v>300.0</v>
      </c>
      <c r="K1184" s="16"/>
      <c r="L1184" s="23"/>
      <c r="M1184" s="23"/>
      <c r="N1184" s="23"/>
      <c r="O1184" s="16"/>
      <c r="P1184" s="23"/>
      <c r="Q1184" s="23"/>
      <c r="R1184" s="23"/>
      <c r="S1184" s="16"/>
      <c r="T1184" s="23"/>
      <c r="U1184" s="23"/>
      <c r="V1184" s="23"/>
      <c r="W1184" s="16"/>
      <c r="X1184" s="23"/>
      <c r="Y1184" s="23"/>
      <c r="Z1184" s="23"/>
      <c r="AA1184" s="16"/>
      <c r="AB1184" s="23"/>
      <c r="AC1184" s="23"/>
      <c r="AD1184" s="23"/>
      <c r="AE1184" s="16"/>
      <c r="AF1184" s="23"/>
      <c r="AG1184" s="23"/>
      <c r="AH1184" s="23"/>
      <c r="AI1184" s="16"/>
      <c r="AJ1184" s="23"/>
      <c r="AK1184" s="23"/>
      <c r="AL1184" s="23"/>
      <c r="AM1184" s="16"/>
      <c r="AN1184" s="23"/>
      <c r="AO1184" s="23"/>
      <c r="AP1184" s="23"/>
      <c r="AQ1184" s="16"/>
      <c r="AR1184" s="23"/>
      <c r="AS1184" s="23"/>
      <c r="AT1184" s="23"/>
      <c r="AU1184" s="16"/>
      <c r="AV1184" s="23"/>
      <c r="AW1184" s="23"/>
      <c r="AX1184" s="23"/>
      <c r="AY1184" s="16"/>
      <c r="AZ1184" s="23"/>
      <c r="BA1184" s="23"/>
      <c r="BB1184" s="23"/>
      <c r="BC1184" s="16"/>
      <c r="BD1184" s="23"/>
      <c r="BE1184" s="23"/>
      <c r="BF1184" s="23"/>
      <c r="BJ1184" s="23"/>
      <c r="BN1184" s="23"/>
      <c r="BO1184" s="23">
        <v>300.0</v>
      </c>
      <c r="BP1184" s="16"/>
      <c r="BQ1184" s="16"/>
      <c r="BR1184" s="23">
        <v>300.0</v>
      </c>
      <c r="BS1184" s="16"/>
      <c r="BT1184" s="16"/>
      <c r="BU1184" s="16" t="s">
        <v>539</v>
      </c>
      <c r="BV1184" s="16" t="s">
        <v>227</v>
      </c>
      <c r="BW1184" s="16"/>
      <c r="BX1184" s="16"/>
      <c r="BY1184" s="16"/>
    </row>
    <row r="1185">
      <c r="A1185" s="16" t="s">
        <v>7011</v>
      </c>
      <c r="B1185" s="16" t="s">
        <v>35</v>
      </c>
      <c r="C1185" s="22">
        <v>45775.0</v>
      </c>
      <c r="D1185" s="16" t="s">
        <v>460</v>
      </c>
      <c r="E1185" s="16"/>
      <c r="F1185" s="16" t="s">
        <v>931</v>
      </c>
      <c r="G1185" s="16" t="s">
        <v>1126</v>
      </c>
      <c r="H1185" s="16">
        <v>1.0</v>
      </c>
      <c r="I1185" s="23">
        <v>30.0</v>
      </c>
      <c r="J1185" s="23">
        <v>30.0</v>
      </c>
      <c r="K1185" s="16"/>
      <c r="L1185" s="23"/>
      <c r="M1185" s="23"/>
      <c r="N1185" s="23"/>
      <c r="O1185" s="16"/>
      <c r="P1185" s="23"/>
      <c r="Q1185" s="23"/>
      <c r="R1185" s="23"/>
      <c r="S1185" s="16"/>
      <c r="T1185" s="23"/>
      <c r="U1185" s="23"/>
      <c r="V1185" s="23"/>
      <c r="W1185" s="16"/>
      <c r="X1185" s="23"/>
      <c r="Y1185" s="23"/>
      <c r="Z1185" s="23"/>
      <c r="AA1185" s="16"/>
      <c r="AB1185" s="23"/>
      <c r="AC1185" s="23"/>
      <c r="AD1185" s="23"/>
      <c r="AE1185" s="16"/>
      <c r="AF1185" s="23"/>
      <c r="AG1185" s="23"/>
      <c r="AH1185" s="23"/>
      <c r="AI1185" s="16"/>
      <c r="AJ1185" s="23"/>
      <c r="AK1185" s="23"/>
      <c r="AL1185" s="23"/>
      <c r="AM1185" s="16"/>
      <c r="AN1185" s="23"/>
      <c r="AO1185" s="23"/>
      <c r="AP1185" s="23"/>
      <c r="AQ1185" s="16"/>
      <c r="AR1185" s="23"/>
      <c r="AS1185" s="23"/>
      <c r="AT1185" s="23"/>
      <c r="AU1185" s="16"/>
      <c r="AV1185" s="23"/>
      <c r="AW1185" s="23"/>
      <c r="AX1185" s="23"/>
      <c r="AY1185" s="16"/>
      <c r="AZ1185" s="23"/>
      <c r="BA1185" s="23"/>
      <c r="BB1185" s="23"/>
      <c r="BC1185" s="16"/>
      <c r="BD1185" s="23"/>
      <c r="BE1185" s="23"/>
      <c r="BF1185" s="23"/>
      <c r="BJ1185" s="23"/>
      <c r="BN1185" s="23"/>
      <c r="BO1185" s="23">
        <v>30.0</v>
      </c>
      <c r="BP1185" s="16"/>
      <c r="BQ1185" s="16"/>
      <c r="BR1185" s="23">
        <v>30.0</v>
      </c>
      <c r="BS1185" s="16"/>
      <c r="BT1185" s="16"/>
      <c r="BU1185" s="16" t="s">
        <v>539</v>
      </c>
      <c r="BV1185" s="16"/>
      <c r="BW1185" s="16"/>
      <c r="BX1185" s="16"/>
      <c r="BY1185" s="16"/>
    </row>
    <row r="1186">
      <c r="A1186" s="16" t="s">
        <v>7014</v>
      </c>
      <c r="B1186" s="16" t="s">
        <v>35</v>
      </c>
      <c r="C1186" s="22">
        <v>45775.0</v>
      </c>
      <c r="D1186" s="16" t="s">
        <v>460</v>
      </c>
      <c r="E1186" s="16"/>
      <c r="F1186" s="16" t="s">
        <v>7544</v>
      </c>
      <c r="G1186" s="16" t="s">
        <v>5636</v>
      </c>
      <c r="H1186" s="16">
        <v>1.0</v>
      </c>
      <c r="I1186" s="23">
        <v>200.0</v>
      </c>
      <c r="J1186" s="23">
        <v>200.0</v>
      </c>
      <c r="K1186" s="16"/>
      <c r="L1186" s="23"/>
      <c r="M1186" s="23"/>
      <c r="N1186" s="23"/>
      <c r="O1186" s="16"/>
      <c r="P1186" s="23"/>
      <c r="Q1186" s="23"/>
      <c r="R1186" s="23"/>
      <c r="S1186" s="16"/>
      <c r="T1186" s="23"/>
      <c r="U1186" s="23"/>
      <c r="V1186" s="23"/>
      <c r="W1186" s="16"/>
      <c r="X1186" s="23"/>
      <c r="Y1186" s="23"/>
      <c r="Z1186" s="23"/>
      <c r="AA1186" s="16"/>
      <c r="AB1186" s="23"/>
      <c r="AC1186" s="23"/>
      <c r="AD1186" s="23"/>
      <c r="AE1186" s="16"/>
      <c r="AF1186" s="23"/>
      <c r="AG1186" s="23"/>
      <c r="AH1186" s="23"/>
      <c r="AI1186" s="16"/>
      <c r="AJ1186" s="23"/>
      <c r="AK1186" s="23"/>
      <c r="AL1186" s="23"/>
      <c r="AM1186" s="16"/>
      <c r="AN1186" s="23"/>
      <c r="AO1186" s="23"/>
      <c r="AP1186" s="23"/>
      <c r="AQ1186" s="16"/>
      <c r="AR1186" s="23"/>
      <c r="AS1186" s="23"/>
      <c r="AT1186" s="23"/>
      <c r="AU1186" s="16"/>
      <c r="AV1186" s="23"/>
      <c r="AW1186" s="23"/>
      <c r="AX1186" s="23"/>
      <c r="AY1186" s="16"/>
      <c r="AZ1186" s="23"/>
      <c r="BA1186" s="23"/>
      <c r="BB1186" s="23"/>
      <c r="BC1186" s="16"/>
      <c r="BD1186" s="23"/>
      <c r="BE1186" s="23"/>
      <c r="BF1186" s="23"/>
      <c r="BJ1186" s="23"/>
      <c r="BN1186" s="23"/>
      <c r="BO1186" s="23">
        <v>200.0</v>
      </c>
      <c r="BP1186" s="16"/>
      <c r="BQ1186" s="16"/>
      <c r="BR1186" s="23">
        <v>200.0</v>
      </c>
      <c r="BS1186" s="16"/>
      <c r="BT1186" s="16"/>
      <c r="BU1186" s="16" t="s">
        <v>539</v>
      </c>
      <c r="BV1186" s="16"/>
      <c r="BW1186" s="16"/>
      <c r="BX1186" s="16"/>
      <c r="BY1186" s="16"/>
    </row>
    <row r="1187">
      <c r="A1187" s="16" t="s">
        <v>7016</v>
      </c>
      <c r="B1187" s="16" t="s">
        <v>35</v>
      </c>
      <c r="C1187" s="22">
        <v>45775.0</v>
      </c>
      <c r="D1187" s="16" t="s">
        <v>460</v>
      </c>
      <c r="E1187" s="16"/>
      <c r="F1187" s="16" t="s">
        <v>4972</v>
      </c>
      <c r="G1187" s="16" t="s">
        <v>5640</v>
      </c>
      <c r="H1187" s="16">
        <v>1.0</v>
      </c>
      <c r="I1187" s="23">
        <v>22.0</v>
      </c>
      <c r="J1187" s="23">
        <v>22.0</v>
      </c>
      <c r="K1187" s="16"/>
      <c r="L1187" s="23"/>
      <c r="M1187" s="23"/>
      <c r="N1187" s="23"/>
      <c r="O1187" s="16"/>
      <c r="P1187" s="23"/>
      <c r="Q1187" s="23"/>
      <c r="R1187" s="23"/>
      <c r="S1187" s="16"/>
      <c r="T1187" s="23"/>
      <c r="U1187" s="23"/>
      <c r="V1187" s="23"/>
      <c r="W1187" s="16"/>
      <c r="X1187" s="23"/>
      <c r="Y1187" s="23"/>
      <c r="Z1187" s="23"/>
      <c r="AA1187" s="16"/>
      <c r="AB1187" s="23"/>
      <c r="AC1187" s="23"/>
      <c r="AD1187" s="23"/>
      <c r="AE1187" s="16"/>
      <c r="AF1187" s="23"/>
      <c r="AG1187" s="23"/>
      <c r="AH1187" s="23"/>
      <c r="AI1187" s="16"/>
      <c r="AJ1187" s="23"/>
      <c r="AK1187" s="23"/>
      <c r="AL1187" s="23"/>
      <c r="AM1187" s="16"/>
      <c r="AN1187" s="23"/>
      <c r="AO1187" s="23"/>
      <c r="AP1187" s="23"/>
      <c r="AQ1187" s="16"/>
      <c r="AR1187" s="23"/>
      <c r="AS1187" s="23"/>
      <c r="AT1187" s="23"/>
      <c r="AU1187" s="16"/>
      <c r="AV1187" s="23"/>
      <c r="AW1187" s="23"/>
      <c r="AX1187" s="23"/>
      <c r="AY1187" s="16"/>
      <c r="AZ1187" s="23"/>
      <c r="BA1187" s="23"/>
      <c r="BB1187" s="23"/>
      <c r="BC1187" s="16"/>
      <c r="BD1187" s="23"/>
      <c r="BE1187" s="23"/>
      <c r="BF1187" s="23"/>
      <c r="BJ1187" s="23"/>
      <c r="BN1187" s="23"/>
      <c r="BO1187" s="23">
        <v>22.0</v>
      </c>
      <c r="BP1187" s="16"/>
      <c r="BQ1187" s="16"/>
      <c r="BR1187" s="23">
        <v>22.0</v>
      </c>
      <c r="BS1187" s="16"/>
      <c r="BT1187" s="16"/>
      <c r="BU1187" s="16" t="s">
        <v>539</v>
      </c>
      <c r="BV1187" s="16"/>
      <c r="BW1187" s="16"/>
      <c r="BX1187" s="16"/>
      <c r="BY1187" s="16"/>
    </row>
    <row r="1188">
      <c r="A1188" s="16" t="s">
        <v>7018</v>
      </c>
      <c r="B1188" s="16" t="s">
        <v>35</v>
      </c>
      <c r="C1188" s="22">
        <v>45775.0</v>
      </c>
      <c r="D1188" s="16" t="s">
        <v>460</v>
      </c>
      <c r="E1188" s="16"/>
      <c r="F1188" s="16" t="s">
        <v>4979</v>
      </c>
      <c r="G1188" s="16" t="s">
        <v>5973</v>
      </c>
      <c r="H1188" s="16">
        <v>1.0</v>
      </c>
      <c r="I1188" s="23">
        <v>10.0</v>
      </c>
      <c r="J1188" s="23">
        <v>10.0</v>
      </c>
      <c r="K1188" s="16"/>
      <c r="L1188" s="23"/>
      <c r="M1188" s="23"/>
      <c r="N1188" s="23"/>
      <c r="O1188" s="16"/>
      <c r="P1188" s="23"/>
      <c r="Q1188" s="23"/>
      <c r="R1188" s="23"/>
      <c r="S1188" s="16"/>
      <c r="T1188" s="23"/>
      <c r="U1188" s="23"/>
      <c r="V1188" s="23"/>
      <c r="W1188" s="16"/>
      <c r="X1188" s="23"/>
      <c r="Y1188" s="23"/>
      <c r="Z1188" s="23"/>
      <c r="AA1188" s="16"/>
      <c r="AB1188" s="23"/>
      <c r="AC1188" s="23"/>
      <c r="AD1188" s="23"/>
      <c r="AE1188" s="16"/>
      <c r="AF1188" s="23"/>
      <c r="AG1188" s="23"/>
      <c r="AH1188" s="23"/>
      <c r="AI1188" s="16"/>
      <c r="AJ1188" s="23"/>
      <c r="AK1188" s="23"/>
      <c r="AL1188" s="23"/>
      <c r="AM1188" s="16"/>
      <c r="AN1188" s="23"/>
      <c r="AO1188" s="23"/>
      <c r="AP1188" s="23"/>
      <c r="AQ1188" s="16"/>
      <c r="AR1188" s="23"/>
      <c r="AS1188" s="23"/>
      <c r="AT1188" s="23"/>
      <c r="AU1188" s="16"/>
      <c r="AV1188" s="23"/>
      <c r="AW1188" s="23"/>
      <c r="AX1188" s="23"/>
      <c r="AY1188" s="16"/>
      <c r="AZ1188" s="23"/>
      <c r="BA1188" s="23"/>
      <c r="BB1188" s="23"/>
      <c r="BC1188" s="16"/>
      <c r="BD1188" s="23"/>
      <c r="BE1188" s="23"/>
      <c r="BF1188" s="23"/>
      <c r="BJ1188" s="23"/>
      <c r="BN1188" s="23"/>
      <c r="BO1188" s="23">
        <v>10.0</v>
      </c>
      <c r="BP1188" s="16"/>
      <c r="BQ1188" s="16"/>
      <c r="BR1188" s="23">
        <v>10.0</v>
      </c>
      <c r="BS1188" s="16"/>
      <c r="BT1188" s="16"/>
      <c r="BU1188" s="16" t="s">
        <v>539</v>
      </c>
      <c r="BV1188" s="16"/>
      <c r="BW1188" s="16"/>
      <c r="BX1188" s="16"/>
      <c r="BY1188" s="16"/>
    </row>
    <row r="1189">
      <c r="A1189" s="16" t="s">
        <v>7020</v>
      </c>
      <c r="B1189" s="16" t="s">
        <v>35</v>
      </c>
      <c r="C1189" s="22">
        <v>45762.0</v>
      </c>
      <c r="D1189" s="16" t="s">
        <v>1036</v>
      </c>
      <c r="E1189" s="16" t="s">
        <v>7564</v>
      </c>
      <c r="F1189" s="16" t="s">
        <v>7568</v>
      </c>
      <c r="G1189" s="16" t="s">
        <v>1668</v>
      </c>
      <c r="H1189" s="16">
        <v>1.0</v>
      </c>
      <c r="I1189" s="23">
        <v>124.16</v>
      </c>
      <c r="J1189" s="23">
        <v>124.16</v>
      </c>
      <c r="K1189" s="16"/>
      <c r="L1189" s="23"/>
      <c r="M1189" s="23"/>
      <c r="N1189" s="23">
        <v>0.0</v>
      </c>
      <c r="O1189" s="16"/>
      <c r="P1189" s="23"/>
      <c r="Q1189" s="23"/>
      <c r="R1189" s="23">
        <v>0.0</v>
      </c>
      <c r="S1189" s="16"/>
      <c r="T1189" s="23"/>
      <c r="U1189" s="23"/>
      <c r="V1189" s="23">
        <v>0.0</v>
      </c>
      <c r="W1189" s="16"/>
      <c r="X1189" s="23"/>
      <c r="Y1189" s="23"/>
      <c r="Z1189" s="23">
        <v>0.0</v>
      </c>
      <c r="AA1189" s="16"/>
      <c r="AB1189" s="23"/>
      <c r="AC1189" s="23"/>
      <c r="AD1189" s="23">
        <v>0.0</v>
      </c>
      <c r="AE1189" s="16"/>
      <c r="AF1189" s="23"/>
      <c r="AG1189" s="23"/>
      <c r="AH1189" s="23">
        <v>0.0</v>
      </c>
      <c r="AI1189" s="16"/>
      <c r="AJ1189" s="23"/>
      <c r="AK1189" s="23"/>
      <c r="AL1189" s="23">
        <v>0.0</v>
      </c>
      <c r="AM1189" s="16"/>
      <c r="AN1189" s="23"/>
      <c r="AO1189" s="23"/>
      <c r="AP1189" s="23">
        <v>0.0</v>
      </c>
      <c r="AQ1189" s="16"/>
      <c r="AR1189" s="23"/>
      <c r="AS1189" s="23"/>
      <c r="AT1189" s="23">
        <v>0.0</v>
      </c>
      <c r="AU1189" s="16"/>
      <c r="AV1189" s="23"/>
      <c r="AW1189" s="23"/>
      <c r="AX1189" s="23">
        <v>0.0</v>
      </c>
      <c r="AY1189" s="16"/>
      <c r="AZ1189" s="23"/>
      <c r="BA1189" s="23"/>
      <c r="BB1189" s="23"/>
      <c r="BC1189" s="16"/>
      <c r="BD1189" s="23"/>
      <c r="BE1189" s="23"/>
      <c r="BF1189" s="23">
        <v>0.0</v>
      </c>
      <c r="BJ1189" s="23">
        <v>0.0</v>
      </c>
      <c r="BN1189" s="23">
        <v>0.0</v>
      </c>
      <c r="BO1189" s="23">
        <v>124.16</v>
      </c>
      <c r="BP1189" s="16" t="s">
        <v>7567</v>
      </c>
      <c r="BQ1189" s="16" t="b">
        <v>1</v>
      </c>
      <c r="BR1189" s="23">
        <v>124.16</v>
      </c>
      <c r="BS1189" s="16"/>
      <c r="BT1189" s="16" t="b">
        <v>0</v>
      </c>
      <c r="BU1189" s="16" t="s">
        <v>546</v>
      </c>
      <c r="BV1189" s="16"/>
      <c r="BW1189" s="16"/>
      <c r="BX1189" s="16"/>
      <c r="BY1189" s="16"/>
    </row>
    <row r="1190">
      <c r="A1190" s="16" t="s">
        <v>7024</v>
      </c>
      <c r="B1190" s="16" t="s">
        <v>35</v>
      </c>
      <c r="C1190" s="22">
        <v>45764.0</v>
      </c>
      <c r="D1190" s="16" t="s">
        <v>7578</v>
      </c>
      <c r="E1190" s="16" t="s">
        <v>7579</v>
      </c>
      <c r="F1190" s="16" t="s">
        <v>147</v>
      </c>
      <c r="G1190" s="16" t="s">
        <v>1683</v>
      </c>
      <c r="H1190" s="16">
        <v>1.0</v>
      </c>
      <c r="I1190" s="23">
        <v>19.9</v>
      </c>
      <c r="J1190" s="23">
        <v>19.9</v>
      </c>
      <c r="K1190" s="16" t="s">
        <v>685</v>
      </c>
      <c r="L1190" s="23">
        <v>2.0</v>
      </c>
      <c r="M1190" s="23">
        <v>21.99</v>
      </c>
      <c r="N1190" s="23">
        <v>43.98</v>
      </c>
      <c r="O1190" s="16">
        <v>1.6367609E7</v>
      </c>
      <c r="P1190" s="23">
        <v>2.0</v>
      </c>
      <c r="Q1190" s="23">
        <v>16.9</v>
      </c>
      <c r="R1190" s="23">
        <v>33.8</v>
      </c>
      <c r="S1190" s="16" t="s">
        <v>6563</v>
      </c>
      <c r="T1190" s="23">
        <v>1.0</v>
      </c>
      <c r="U1190" s="23">
        <v>21.9</v>
      </c>
      <c r="V1190" s="23">
        <v>21.9</v>
      </c>
      <c r="W1190" s="16" t="s">
        <v>789</v>
      </c>
      <c r="X1190" s="23">
        <v>1.0</v>
      </c>
      <c r="Y1190" s="23">
        <v>200.0</v>
      </c>
      <c r="Z1190" s="23">
        <v>200.0</v>
      </c>
      <c r="AA1190" s="16" t="s">
        <v>7032</v>
      </c>
      <c r="AB1190" s="23">
        <v>1.0</v>
      </c>
      <c r="AC1190" s="23">
        <v>77.6</v>
      </c>
      <c r="AD1190" s="23">
        <v>77.6</v>
      </c>
      <c r="AE1190" s="16" t="s">
        <v>1197</v>
      </c>
      <c r="AF1190" s="23">
        <v>1.0</v>
      </c>
      <c r="AG1190" s="23">
        <v>100.0</v>
      </c>
      <c r="AH1190" s="23">
        <v>100.0</v>
      </c>
      <c r="AI1190" s="16"/>
      <c r="AJ1190" s="23"/>
      <c r="AK1190" s="23"/>
      <c r="AL1190" s="23">
        <v>0.0</v>
      </c>
      <c r="AM1190" s="16"/>
      <c r="AN1190" s="23"/>
      <c r="AO1190" s="23"/>
      <c r="AP1190" s="23">
        <v>0.0</v>
      </c>
      <c r="AQ1190" s="16"/>
      <c r="AR1190" s="23"/>
      <c r="AS1190" s="23"/>
      <c r="AT1190" s="23">
        <v>0.0</v>
      </c>
      <c r="AU1190" s="16"/>
      <c r="AV1190" s="23"/>
      <c r="AW1190" s="23"/>
      <c r="AX1190" s="23">
        <v>0.0</v>
      </c>
      <c r="AY1190" s="16"/>
      <c r="AZ1190" s="23"/>
      <c r="BA1190" s="23"/>
      <c r="BB1190" s="23"/>
      <c r="BC1190" s="16"/>
      <c r="BD1190" s="23"/>
      <c r="BE1190" s="23"/>
      <c r="BF1190" s="23">
        <v>0.0</v>
      </c>
      <c r="BJ1190" s="23">
        <v>0.0</v>
      </c>
      <c r="BN1190" s="23">
        <v>0.0</v>
      </c>
      <c r="BO1190" s="23">
        <v>497.18</v>
      </c>
      <c r="BP1190" s="16" t="s">
        <v>7580</v>
      </c>
      <c r="BQ1190" s="16" t="b">
        <v>1</v>
      </c>
      <c r="BR1190" s="23">
        <v>497.18</v>
      </c>
      <c r="BS1190" s="16" t="s">
        <v>4049</v>
      </c>
      <c r="BT1190" s="16" t="b">
        <v>1</v>
      </c>
      <c r="BU1190" s="16" t="s">
        <v>546</v>
      </c>
      <c r="BV1190" s="16"/>
      <c r="BW1190" s="16"/>
      <c r="BX1190" s="16"/>
      <c r="BY1190" s="16"/>
    </row>
    <row r="1191">
      <c r="A1191" s="16">
        <v>4.9263576E7</v>
      </c>
      <c r="B1191" s="16" t="s">
        <v>35</v>
      </c>
      <c r="C1191" s="22">
        <v>45767.0</v>
      </c>
      <c r="D1191" s="16" t="s">
        <v>233</v>
      </c>
      <c r="E1191" s="16" t="s">
        <v>7585</v>
      </c>
      <c r="F1191" s="16" t="s">
        <v>6836</v>
      </c>
      <c r="G1191" s="16" t="s">
        <v>305</v>
      </c>
      <c r="H1191" s="16">
        <v>1.0</v>
      </c>
      <c r="I1191" s="23">
        <v>59.9</v>
      </c>
      <c r="J1191" s="23">
        <v>59.9</v>
      </c>
      <c r="K1191" s="16"/>
      <c r="L1191" s="23"/>
      <c r="M1191" s="23"/>
      <c r="N1191" s="23">
        <v>0.0</v>
      </c>
      <c r="O1191" s="16"/>
      <c r="P1191" s="23"/>
      <c r="Q1191" s="23"/>
      <c r="R1191" s="23">
        <v>0.0</v>
      </c>
      <c r="S1191" s="16"/>
      <c r="T1191" s="23"/>
      <c r="U1191" s="23"/>
      <c r="V1191" s="23">
        <v>0.0</v>
      </c>
      <c r="W1191" s="16"/>
      <c r="X1191" s="23"/>
      <c r="Y1191" s="23"/>
      <c r="Z1191" s="23">
        <v>0.0</v>
      </c>
      <c r="AA1191" s="16"/>
      <c r="AB1191" s="23"/>
      <c r="AC1191" s="23"/>
      <c r="AD1191" s="23">
        <v>0.0</v>
      </c>
      <c r="AE1191" s="16"/>
      <c r="AF1191" s="23"/>
      <c r="AG1191" s="23"/>
      <c r="AH1191" s="23">
        <v>0.0</v>
      </c>
      <c r="AI1191" s="16"/>
      <c r="AJ1191" s="23"/>
      <c r="AK1191" s="23"/>
      <c r="AL1191" s="23">
        <v>0.0</v>
      </c>
      <c r="AM1191" s="16"/>
      <c r="AN1191" s="23"/>
      <c r="AO1191" s="23"/>
      <c r="AP1191" s="23">
        <v>0.0</v>
      </c>
      <c r="AQ1191" s="16"/>
      <c r="AR1191" s="23"/>
      <c r="AS1191" s="23"/>
      <c r="AT1191" s="23">
        <v>0.0</v>
      </c>
      <c r="AU1191" s="16"/>
      <c r="AV1191" s="23"/>
      <c r="AW1191" s="23"/>
      <c r="AX1191" s="23">
        <v>0.0</v>
      </c>
      <c r="AY1191" s="16"/>
      <c r="AZ1191" s="23"/>
      <c r="BA1191" s="23"/>
      <c r="BB1191" s="23"/>
      <c r="BC1191" s="16"/>
      <c r="BD1191" s="23"/>
      <c r="BE1191" s="23"/>
      <c r="BF1191" s="23">
        <v>0.0</v>
      </c>
      <c r="BJ1191" s="23">
        <v>0.0</v>
      </c>
      <c r="BN1191" s="23">
        <v>0.0</v>
      </c>
      <c r="BO1191" s="23">
        <v>59.9</v>
      </c>
      <c r="BP1191" s="16" t="s">
        <v>7587</v>
      </c>
      <c r="BQ1191" s="16" t="b">
        <v>1</v>
      </c>
      <c r="BR1191" s="23">
        <v>59.9</v>
      </c>
      <c r="BS1191" s="16">
        <v>1442848.0</v>
      </c>
      <c r="BT1191" s="16" t="b">
        <v>1</v>
      </c>
      <c r="BU1191" s="16" t="s">
        <v>546</v>
      </c>
      <c r="BV1191" s="16"/>
      <c r="BW1191" s="16"/>
      <c r="BX1191" s="16"/>
      <c r="BY1191" s="16"/>
    </row>
    <row r="1192">
      <c r="A1192" s="16" t="s">
        <v>7038</v>
      </c>
      <c r="B1192" s="16" t="s">
        <v>35</v>
      </c>
      <c r="C1192" s="22">
        <v>45772.0</v>
      </c>
      <c r="D1192" s="16" t="s">
        <v>233</v>
      </c>
      <c r="E1192" s="16" t="s">
        <v>7593</v>
      </c>
      <c r="F1192" s="16" t="s">
        <v>5495</v>
      </c>
      <c r="G1192" s="16" t="s">
        <v>305</v>
      </c>
      <c r="H1192" s="16">
        <v>1.0</v>
      </c>
      <c r="I1192" s="23">
        <v>96.08</v>
      </c>
      <c r="J1192" s="23">
        <v>96.08</v>
      </c>
      <c r="K1192" s="16"/>
      <c r="L1192" s="23"/>
      <c r="M1192" s="23"/>
      <c r="N1192" s="23">
        <v>0.0</v>
      </c>
      <c r="O1192" s="16"/>
      <c r="P1192" s="23"/>
      <c r="Q1192" s="23"/>
      <c r="R1192" s="23">
        <v>0.0</v>
      </c>
      <c r="S1192" s="16"/>
      <c r="T1192" s="23"/>
      <c r="U1192" s="23"/>
      <c r="V1192" s="23">
        <v>0.0</v>
      </c>
      <c r="W1192" s="16"/>
      <c r="X1192" s="23"/>
      <c r="Y1192" s="23"/>
      <c r="Z1192" s="23">
        <v>0.0</v>
      </c>
      <c r="AA1192" s="16"/>
      <c r="AB1192" s="23"/>
      <c r="AC1192" s="23"/>
      <c r="AD1192" s="23">
        <v>0.0</v>
      </c>
      <c r="AE1192" s="16"/>
      <c r="AF1192" s="23"/>
      <c r="AG1192" s="23"/>
      <c r="AH1192" s="23">
        <v>0.0</v>
      </c>
      <c r="AI1192" s="16"/>
      <c r="AJ1192" s="23"/>
      <c r="AK1192" s="23"/>
      <c r="AL1192" s="23">
        <v>0.0</v>
      </c>
      <c r="AM1192" s="16"/>
      <c r="AN1192" s="23"/>
      <c r="AO1192" s="23"/>
      <c r="AP1192" s="23">
        <v>0.0</v>
      </c>
      <c r="AQ1192" s="16"/>
      <c r="AR1192" s="23"/>
      <c r="AS1192" s="23"/>
      <c r="AT1192" s="23">
        <v>0.0</v>
      </c>
      <c r="AU1192" s="16"/>
      <c r="AV1192" s="23"/>
      <c r="AW1192" s="23"/>
      <c r="AX1192" s="23">
        <v>0.0</v>
      </c>
      <c r="AY1192" s="16"/>
      <c r="AZ1192" s="23"/>
      <c r="BA1192" s="23"/>
      <c r="BB1192" s="23"/>
      <c r="BC1192" s="16"/>
      <c r="BD1192" s="23"/>
      <c r="BE1192" s="23"/>
      <c r="BF1192" s="23">
        <v>0.0</v>
      </c>
      <c r="BJ1192" s="23">
        <v>0.0</v>
      </c>
      <c r="BN1192" s="23">
        <v>0.0</v>
      </c>
      <c r="BO1192" s="23">
        <v>96.08</v>
      </c>
      <c r="BP1192" s="16" t="s">
        <v>7595</v>
      </c>
      <c r="BQ1192" s="16" t="b">
        <v>1</v>
      </c>
      <c r="BR1192" s="23">
        <v>96.08</v>
      </c>
      <c r="BS1192" s="16" t="s">
        <v>5497</v>
      </c>
      <c r="BT1192" s="16" t="b">
        <v>1</v>
      </c>
      <c r="BU1192" s="16" t="s">
        <v>546</v>
      </c>
      <c r="BV1192" s="16"/>
      <c r="BW1192" s="16"/>
      <c r="BX1192" s="16"/>
      <c r="BY1192" s="16"/>
    </row>
    <row r="1193">
      <c r="A1193" s="16" t="s">
        <v>7040</v>
      </c>
      <c r="B1193" s="16" t="s">
        <v>35</v>
      </c>
      <c r="C1193" s="22">
        <v>45772.0</v>
      </c>
      <c r="D1193" s="16" t="s">
        <v>1557</v>
      </c>
      <c r="E1193" s="16" t="s">
        <v>7600</v>
      </c>
      <c r="F1193" s="16" t="s">
        <v>7603</v>
      </c>
      <c r="G1193" s="16" t="s">
        <v>5325</v>
      </c>
      <c r="H1193" s="16">
        <v>1.0</v>
      </c>
      <c r="I1193" s="23">
        <v>110.0</v>
      </c>
      <c r="J1193" s="23">
        <v>110.0</v>
      </c>
      <c r="K1193" s="16"/>
      <c r="L1193" s="23"/>
      <c r="M1193" s="23"/>
      <c r="N1193" s="23">
        <v>0.0</v>
      </c>
      <c r="O1193" s="16"/>
      <c r="P1193" s="23"/>
      <c r="Q1193" s="23"/>
      <c r="R1193" s="23">
        <v>0.0</v>
      </c>
      <c r="S1193" s="16"/>
      <c r="T1193" s="23"/>
      <c r="U1193" s="23"/>
      <c r="V1193" s="23">
        <v>0.0</v>
      </c>
      <c r="W1193" s="16"/>
      <c r="X1193" s="23"/>
      <c r="Y1193" s="23"/>
      <c r="Z1193" s="23">
        <v>0.0</v>
      </c>
      <c r="AA1193" s="16"/>
      <c r="AB1193" s="23"/>
      <c r="AC1193" s="23"/>
      <c r="AD1193" s="23">
        <v>0.0</v>
      </c>
      <c r="AE1193" s="16"/>
      <c r="AF1193" s="23"/>
      <c r="AG1193" s="23"/>
      <c r="AH1193" s="23">
        <v>0.0</v>
      </c>
      <c r="AI1193" s="16"/>
      <c r="AJ1193" s="23"/>
      <c r="AK1193" s="23"/>
      <c r="AL1193" s="23">
        <v>0.0</v>
      </c>
      <c r="AM1193" s="16"/>
      <c r="AN1193" s="23"/>
      <c r="AO1193" s="23"/>
      <c r="AP1193" s="23">
        <v>0.0</v>
      </c>
      <c r="AQ1193" s="16"/>
      <c r="AR1193" s="23"/>
      <c r="AS1193" s="23"/>
      <c r="AT1193" s="23">
        <v>0.0</v>
      </c>
      <c r="AU1193" s="16"/>
      <c r="AV1193" s="23"/>
      <c r="AW1193" s="23"/>
      <c r="AX1193" s="23">
        <v>0.0</v>
      </c>
      <c r="AY1193" s="16"/>
      <c r="AZ1193" s="23"/>
      <c r="BA1193" s="23"/>
      <c r="BB1193" s="23"/>
      <c r="BC1193" s="16"/>
      <c r="BD1193" s="23"/>
      <c r="BE1193" s="23"/>
      <c r="BF1193" s="23">
        <v>0.0</v>
      </c>
      <c r="BJ1193" s="23">
        <v>0.0</v>
      </c>
      <c r="BN1193" s="23">
        <v>0.0</v>
      </c>
      <c r="BO1193" s="23">
        <v>110.0</v>
      </c>
      <c r="BP1193" s="16" t="s">
        <v>7602</v>
      </c>
      <c r="BQ1193" s="16" t="b">
        <v>1</v>
      </c>
      <c r="BR1193" s="23">
        <v>110.0</v>
      </c>
      <c r="BS1193" s="16"/>
      <c r="BT1193" s="16" t="b">
        <v>0</v>
      </c>
      <c r="BU1193" s="16" t="s">
        <v>546</v>
      </c>
      <c r="BV1193" s="16"/>
      <c r="BW1193" s="16"/>
      <c r="BX1193" s="16"/>
      <c r="BY1193" s="16"/>
    </row>
    <row r="1194">
      <c r="A1194" s="16" t="s">
        <v>7042</v>
      </c>
      <c r="B1194" s="16" t="s">
        <v>35</v>
      </c>
      <c r="C1194" s="22">
        <v>45772.0</v>
      </c>
      <c r="D1194" s="16" t="s">
        <v>3716</v>
      </c>
      <c r="E1194" s="16" t="s">
        <v>7610</v>
      </c>
      <c r="F1194" s="16" t="s">
        <v>195</v>
      </c>
      <c r="G1194" s="16" t="s">
        <v>1080</v>
      </c>
      <c r="H1194" s="16">
        <v>10.0</v>
      </c>
      <c r="I1194" s="23">
        <v>13.9</v>
      </c>
      <c r="J1194" s="23">
        <v>139.0</v>
      </c>
      <c r="K1194" s="16" t="s">
        <v>1427</v>
      </c>
      <c r="L1194" s="23">
        <v>2.0</v>
      </c>
      <c r="M1194" s="23">
        <v>29.99</v>
      </c>
      <c r="N1194" s="23">
        <v>59.98</v>
      </c>
      <c r="O1194" s="16"/>
      <c r="P1194" s="23"/>
      <c r="Q1194" s="23"/>
      <c r="R1194" s="23">
        <v>0.0</v>
      </c>
      <c r="S1194" s="16"/>
      <c r="T1194" s="23"/>
      <c r="U1194" s="23"/>
      <c r="V1194" s="23">
        <v>0.0</v>
      </c>
      <c r="W1194" s="16"/>
      <c r="X1194" s="23"/>
      <c r="Y1194" s="23"/>
      <c r="Z1194" s="23">
        <v>0.0</v>
      </c>
      <c r="AA1194" s="16"/>
      <c r="AB1194" s="23"/>
      <c r="AC1194" s="23"/>
      <c r="AD1194" s="23">
        <v>0.0</v>
      </c>
      <c r="AE1194" s="16"/>
      <c r="AF1194" s="23"/>
      <c r="AG1194" s="23"/>
      <c r="AH1194" s="23">
        <v>0.0</v>
      </c>
      <c r="AI1194" s="16"/>
      <c r="AJ1194" s="23"/>
      <c r="AK1194" s="23"/>
      <c r="AL1194" s="23">
        <v>0.0</v>
      </c>
      <c r="AM1194" s="16"/>
      <c r="AN1194" s="23"/>
      <c r="AO1194" s="23"/>
      <c r="AP1194" s="23">
        <v>0.0</v>
      </c>
      <c r="AQ1194" s="16"/>
      <c r="AR1194" s="23"/>
      <c r="AS1194" s="23"/>
      <c r="AT1194" s="23">
        <v>0.0</v>
      </c>
      <c r="AU1194" s="16"/>
      <c r="AV1194" s="23"/>
      <c r="AW1194" s="23"/>
      <c r="AX1194" s="23">
        <v>0.0</v>
      </c>
      <c r="AY1194" s="16"/>
      <c r="AZ1194" s="23"/>
      <c r="BA1194" s="23"/>
      <c r="BB1194" s="23"/>
      <c r="BC1194" s="16"/>
      <c r="BD1194" s="23"/>
      <c r="BE1194" s="23"/>
      <c r="BF1194" s="23">
        <v>0.0</v>
      </c>
      <c r="BJ1194" s="23">
        <v>0.0</v>
      </c>
      <c r="BN1194" s="23">
        <v>0.0</v>
      </c>
      <c r="BO1194" s="23">
        <v>198.98</v>
      </c>
      <c r="BP1194" s="16" t="s">
        <v>7612</v>
      </c>
      <c r="BQ1194" s="16" t="b">
        <v>1</v>
      </c>
      <c r="BR1194" s="23">
        <v>198.98</v>
      </c>
      <c r="BS1194" s="16">
        <v>1450028.0</v>
      </c>
      <c r="BT1194" s="16" t="b">
        <v>1</v>
      </c>
      <c r="BU1194" s="16" t="s">
        <v>546</v>
      </c>
      <c r="BV1194" s="16"/>
      <c r="BW1194" s="16"/>
      <c r="BX1194" s="16"/>
      <c r="BY1194" s="16"/>
    </row>
    <row r="1195">
      <c r="A1195" s="16" t="s">
        <v>7047</v>
      </c>
      <c r="B1195" s="16" t="s">
        <v>35</v>
      </c>
      <c r="C1195" s="22">
        <v>45772.0</v>
      </c>
      <c r="D1195" s="16" t="s">
        <v>543</v>
      </c>
      <c r="E1195" s="16" t="s">
        <v>7616</v>
      </c>
      <c r="F1195" s="16" t="s">
        <v>171</v>
      </c>
      <c r="G1195" s="16">
        <v>1.2539885E7</v>
      </c>
      <c r="H1195" s="16">
        <v>1.0</v>
      </c>
      <c r="I1195" s="23">
        <v>175.0</v>
      </c>
      <c r="J1195" s="23">
        <v>175.0</v>
      </c>
      <c r="K1195" s="16"/>
      <c r="L1195" s="23"/>
      <c r="M1195" s="23"/>
      <c r="N1195" s="23">
        <v>0.0</v>
      </c>
      <c r="O1195" s="16"/>
      <c r="P1195" s="23"/>
      <c r="Q1195" s="23"/>
      <c r="R1195" s="23">
        <v>0.0</v>
      </c>
      <c r="S1195" s="16"/>
      <c r="T1195" s="23"/>
      <c r="U1195" s="23"/>
      <c r="V1195" s="23">
        <v>0.0</v>
      </c>
      <c r="W1195" s="16"/>
      <c r="X1195" s="23"/>
      <c r="Y1195" s="23"/>
      <c r="Z1195" s="23">
        <v>0.0</v>
      </c>
      <c r="AA1195" s="16"/>
      <c r="AB1195" s="23"/>
      <c r="AC1195" s="23"/>
      <c r="AD1195" s="23">
        <v>0.0</v>
      </c>
      <c r="AE1195" s="16"/>
      <c r="AF1195" s="23"/>
      <c r="AG1195" s="23"/>
      <c r="AH1195" s="23">
        <v>0.0</v>
      </c>
      <c r="AI1195" s="16"/>
      <c r="AJ1195" s="23"/>
      <c r="AK1195" s="23"/>
      <c r="AL1195" s="23">
        <v>0.0</v>
      </c>
      <c r="AM1195" s="16"/>
      <c r="AN1195" s="23"/>
      <c r="AO1195" s="23"/>
      <c r="AP1195" s="23">
        <v>0.0</v>
      </c>
      <c r="AQ1195" s="16"/>
      <c r="AR1195" s="23"/>
      <c r="AS1195" s="23"/>
      <c r="AT1195" s="23">
        <v>0.0</v>
      </c>
      <c r="AU1195" s="16"/>
      <c r="AV1195" s="23"/>
      <c r="AW1195" s="23"/>
      <c r="AX1195" s="23">
        <v>0.0</v>
      </c>
      <c r="AY1195" s="16"/>
      <c r="AZ1195" s="23"/>
      <c r="BA1195" s="23"/>
      <c r="BB1195" s="23"/>
      <c r="BC1195" s="16"/>
      <c r="BD1195" s="23"/>
      <c r="BE1195" s="23"/>
      <c r="BF1195" s="23">
        <v>0.0</v>
      </c>
      <c r="BJ1195" s="23">
        <v>0.0</v>
      </c>
      <c r="BN1195" s="23">
        <v>0.0</v>
      </c>
      <c r="BO1195" s="23">
        <v>175.0</v>
      </c>
      <c r="BP1195" s="16" t="s">
        <v>7618</v>
      </c>
      <c r="BQ1195" s="16" t="b">
        <v>1</v>
      </c>
      <c r="BR1195" s="23">
        <v>175.0</v>
      </c>
      <c r="BS1195" s="16"/>
      <c r="BT1195" s="16" t="b">
        <v>0</v>
      </c>
      <c r="BU1195" s="16" t="s">
        <v>546</v>
      </c>
      <c r="BV1195" s="16"/>
      <c r="BW1195" s="16"/>
      <c r="BX1195" s="16"/>
      <c r="BY1195" s="16"/>
    </row>
    <row r="1196">
      <c r="A1196" s="16" t="s">
        <v>7049</v>
      </c>
      <c r="B1196" s="16" t="s">
        <v>35</v>
      </c>
      <c r="C1196" s="22">
        <v>45773.0</v>
      </c>
      <c r="D1196" s="16" t="s">
        <v>112</v>
      </c>
      <c r="E1196" s="16" t="s">
        <v>7625</v>
      </c>
      <c r="F1196" s="16" t="s">
        <v>157</v>
      </c>
      <c r="G1196" s="16" t="s">
        <v>159</v>
      </c>
      <c r="H1196" s="16">
        <v>1.0</v>
      </c>
      <c r="I1196" s="23">
        <v>260.0</v>
      </c>
      <c r="J1196" s="23">
        <v>260.0</v>
      </c>
      <c r="K1196" s="16" t="s">
        <v>155</v>
      </c>
      <c r="L1196" s="23">
        <v>1.0</v>
      </c>
      <c r="M1196" s="23">
        <v>52.5</v>
      </c>
      <c r="N1196" s="23">
        <v>52.5</v>
      </c>
      <c r="O1196" s="16" t="s">
        <v>152</v>
      </c>
      <c r="P1196" s="23">
        <v>1.0</v>
      </c>
      <c r="Q1196" s="23">
        <v>13.44</v>
      </c>
      <c r="R1196" s="23">
        <v>13.44</v>
      </c>
      <c r="S1196" s="16" t="s">
        <v>226</v>
      </c>
      <c r="T1196" s="23">
        <v>1.0</v>
      </c>
      <c r="U1196" s="23">
        <v>59.5</v>
      </c>
      <c r="V1196" s="23">
        <v>59.5</v>
      </c>
      <c r="W1196" s="16"/>
      <c r="X1196" s="23"/>
      <c r="Y1196" s="23"/>
      <c r="Z1196" s="23">
        <v>0.0</v>
      </c>
      <c r="AA1196" s="16"/>
      <c r="AB1196" s="23"/>
      <c r="AC1196" s="23"/>
      <c r="AD1196" s="23">
        <v>0.0</v>
      </c>
      <c r="AE1196" s="16"/>
      <c r="AF1196" s="23"/>
      <c r="AG1196" s="23"/>
      <c r="AH1196" s="23">
        <v>0.0</v>
      </c>
      <c r="AI1196" s="16"/>
      <c r="AJ1196" s="23"/>
      <c r="AK1196" s="23"/>
      <c r="AL1196" s="23">
        <v>0.0</v>
      </c>
      <c r="AM1196" s="16"/>
      <c r="AN1196" s="23"/>
      <c r="AO1196" s="23"/>
      <c r="AP1196" s="23">
        <v>0.0</v>
      </c>
      <c r="AQ1196" s="16"/>
      <c r="AR1196" s="23"/>
      <c r="AS1196" s="23"/>
      <c r="AT1196" s="23">
        <v>0.0</v>
      </c>
      <c r="AU1196" s="16"/>
      <c r="AV1196" s="23"/>
      <c r="AW1196" s="23"/>
      <c r="AX1196" s="23">
        <v>0.0</v>
      </c>
      <c r="AY1196" s="16"/>
      <c r="AZ1196" s="23"/>
      <c r="BA1196" s="23"/>
      <c r="BB1196" s="23"/>
      <c r="BC1196" s="16"/>
      <c r="BD1196" s="23"/>
      <c r="BE1196" s="23"/>
      <c r="BF1196" s="23">
        <v>0.0</v>
      </c>
      <c r="BJ1196" s="23">
        <v>0.0</v>
      </c>
      <c r="BN1196" s="23">
        <v>0.0</v>
      </c>
      <c r="BO1196" s="23">
        <v>385.44</v>
      </c>
      <c r="BP1196" s="16" t="s">
        <v>7626</v>
      </c>
      <c r="BQ1196" s="16" t="b">
        <v>1</v>
      </c>
      <c r="BR1196" s="23">
        <v>385.44</v>
      </c>
      <c r="BS1196" s="16"/>
      <c r="BT1196" s="16" t="b">
        <v>0</v>
      </c>
      <c r="BU1196" s="16" t="s">
        <v>546</v>
      </c>
      <c r="BV1196" s="16"/>
      <c r="BW1196" s="16"/>
      <c r="BX1196" s="16"/>
      <c r="BY1196" s="16"/>
    </row>
    <row r="1197">
      <c r="A1197" s="16" t="s">
        <v>7056</v>
      </c>
      <c r="B1197" s="16" t="s">
        <v>35</v>
      </c>
      <c r="C1197" s="22">
        <v>45770.0</v>
      </c>
      <c r="D1197" s="16" t="s">
        <v>2165</v>
      </c>
      <c r="E1197" s="16" t="s">
        <v>7633</v>
      </c>
      <c r="F1197" s="16" t="s">
        <v>7637</v>
      </c>
      <c r="G1197" s="16" t="s">
        <v>794</v>
      </c>
      <c r="H1197" s="16">
        <v>12.0</v>
      </c>
      <c r="I1197" s="23">
        <v>22.57</v>
      </c>
      <c r="J1197" s="23">
        <v>270.84</v>
      </c>
      <c r="K1197" s="16" t="s">
        <v>3131</v>
      </c>
      <c r="L1197" s="23">
        <v>2.0</v>
      </c>
      <c r="M1197" s="23">
        <v>81.4</v>
      </c>
      <c r="N1197" s="23">
        <v>162.8</v>
      </c>
      <c r="O1197" s="16" t="s">
        <v>249</v>
      </c>
      <c r="P1197" s="23">
        <v>1.0</v>
      </c>
      <c r="Q1197" s="23">
        <v>313.84</v>
      </c>
      <c r="R1197" s="23">
        <v>313.84</v>
      </c>
      <c r="S1197" s="16" t="s">
        <v>249</v>
      </c>
      <c r="T1197" s="23">
        <v>1.0</v>
      </c>
      <c r="U1197" s="23">
        <v>484.8</v>
      </c>
      <c r="V1197" s="23">
        <v>484.8</v>
      </c>
      <c r="W1197" s="16" t="s">
        <v>249</v>
      </c>
      <c r="X1197" s="23">
        <v>1.0</v>
      </c>
      <c r="Y1197" s="23">
        <v>405.72</v>
      </c>
      <c r="Z1197" s="23">
        <v>405.72</v>
      </c>
      <c r="AA1197" s="16" t="s">
        <v>887</v>
      </c>
      <c r="AB1197" s="23">
        <v>1.0</v>
      </c>
      <c r="AC1197" s="23">
        <v>91.87</v>
      </c>
      <c r="AD1197" s="23">
        <v>91.87</v>
      </c>
      <c r="AE1197" s="16" t="s">
        <v>1350</v>
      </c>
      <c r="AF1197" s="23">
        <v>1.0</v>
      </c>
      <c r="AG1197" s="23">
        <v>196.4</v>
      </c>
      <c r="AH1197" s="23">
        <v>196.4</v>
      </c>
      <c r="AI1197" s="16" t="s">
        <v>5138</v>
      </c>
      <c r="AJ1197" s="23">
        <v>1.0</v>
      </c>
      <c r="AK1197" s="23">
        <v>353.92</v>
      </c>
      <c r="AL1197" s="23">
        <v>353.92</v>
      </c>
      <c r="AM1197" s="16"/>
      <c r="AN1197" s="23"/>
      <c r="AO1197" s="23"/>
      <c r="AP1197" s="23">
        <v>0.0</v>
      </c>
      <c r="AQ1197" s="16"/>
      <c r="AR1197" s="23"/>
      <c r="AS1197" s="23"/>
      <c r="AT1197" s="23">
        <v>0.0</v>
      </c>
      <c r="AU1197" s="16"/>
      <c r="AV1197" s="23"/>
      <c r="AW1197" s="23"/>
      <c r="AX1197" s="23">
        <v>0.0</v>
      </c>
      <c r="AY1197" s="16"/>
      <c r="AZ1197" s="23"/>
      <c r="BA1197" s="23"/>
      <c r="BB1197" s="23"/>
      <c r="BC1197" s="16"/>
      <c r="BD1197" s="23"/>
      <c r="BE1197" s="23"/>
      <c r="BF1197" s="23">
        <v>0.0</v>
      </c>
      <c r="BJ1197" s="23">
        <v>0.0</v>
      </c>
      <c r="BN1197" s="23">
        <v>0.0</v>
      </c>
      <c r="BO1197" s="23">
        <v>2280.19</v>
      </c>
      <c r="BP1197" s="16" t="s">
        <v>7636</v>
      </c>
      <c r="BQ1197" s="16" t="b">
        <v>1</v>
      </c>
      <c r="BR1197" s="23">
        <v>2284.81</v>
      </c>
      <c r="BS1197" s="16"/>
      <c r="BT1197" s="16" t="b">
        <v>0</v>
      </c>
      <c r="BU1197" s="16" t="s">
        <v>546</v>
      </c>
      <c r="BV1197" s="16"/>
      <c r="BW1197" s="16" t="s">
        <v>7640</v>
      </c>
      <c r="BX1197" s="16"/>
      <c r="BY1197" s="16"/>
    </row>
    <row r="1198">
      <c r="A1198" s="16" t="s">
        <v>7069</v>
      </c>
      <c r="B1198" s="16" t="s">
        <v>35</v>
      </c>
      <c r="C1198" s="22">
        <v>45771.0</v>
      </c>
      <c r="D1198" s="16" t="s">
        <v>764</v>
      </c>
      <c r="E1198" s="16" t="s">
        <v>7643</v>
      </c>
      <c r="F1198" s="16" t="s">
        <v>195</v>
      </c>
      <c r="G1198" s="16" t="s">
        <v>1073</v>
      </c>
      <c r="H1198" s="16">
        <v>1.0</v>
      </c>
      <c r="I1198" s="23">
        <v>20.1</v>
      </c>
      <c r="J1198" s="23">
        <v>20.1</v>
      </c>
      <c r="K1198" s="16">
        <v>7.5375964E7</v>
      </c>
      <c r="L1198" s="23">
        <v>1.0</v>
      </c>
      <c r="M1198" s="23">
        <v>19.0</v>
      </c>
      <c r="N1198" s="23">
        <v>19.0</v>
      </c>
      <c r="O1198" s="16" t="s">
        <v>1384</v>
      </c>
      <c r="P1198" s="23">
        <v>1.0</v>
      </c>
      <c r="Q1198" s="23">
        <v>19.0</v>
      </c>
      <c r="R1198" s="23">
        <v>19.0</v>
      </c>
      <c r="S1198" s="16" t="s">
        <v>1074</v>
      </c>
      <c r="T1198" s="23">
        <v>2.0</v>
      </c>
      <c r="U1198" s="23">
        <v>38.0</v>
      </c>
      <c r="V1198" s="23">
        <v>76.0</v>
      </c>
      <c r="W1198" s="16" t="s">
        <v>1077</v>
      </c>
      <c r="X1198" s="23">
        <v>2.0</v>
      </c>
      <c r="Y1198" s="23">
        <v>24.0</v>
      </c>
      <c r="Z1198" s="23">
        <v>48.0</v>
      </c>
      <c r="AA1198" s="16" t="s">
        <v>1079</v>
      </c>
      <c r="AB1198" s="23">
        <v>20.0</v>
      </c>
      <c r="AC1198" s="23">
        <v>16.6</v>
      </c>
      <c r="AD1198" s="23">
        <v>332.0</v>
      </c>
      <c r="AE1198" s="16" t="s">
        <v>1081</v>
      </c>
      <c r="AF1198" s="23">
        <v>4.0</v>
      </c>
      <c r="AG1198" s="23">
        <v>48.0</v>
      </c>
      <c r="AH1198" s="23">
        <v>192.0</v>
      </c>
      <c r="AI1198" s="16" t="s">
        <v>1091</v>
      </c>
      <c r="AJ1198" s="23">
        <v>1.0</v>
      </c>
      <c r="AK1198" s="23">
        <v>19.8</v>
      </c>
      <c r="AL1198" s="23">
        <v>19.8</v>
      </c>
      <c r="AM1198" s="16"/>
      <c r="AN1198" s="23"/>
      <c r="AO1198" s="23"/>
      <c r="AP1198" s="23">
        <v>0.0</v>
      </c>
      <c r="AQ1198" s="16"/>
      <c r="AR1198" s="23"/>
      <c r="AS1198" s="23"/>
      <c r="AT1198" s="23">
        <v>0.0</v>
      </c>
      <c r="AU1198" s="16"/>
      <c r="AV1198" s="23"/>
      <c r="AW1198" s="23"/>
      <c r="AX1198" s="23">
        <v>0.0</v>
      </c>
      <c r="AY1198" s="16"/>
      <c r="AZ1198" s="23"/>
      <c r="BA1198" s="23"/>
      <c r="BB1198" s="23"/>
      <c r="BC1198" s="16"/>
      <c r="BD1198" s="23"/>
      <c r="BE1198" s="23"/>
      <c r="BF1198" s="23">
        <v>0.0</v>
      </c>
      <c r="BJ1198" s="23">
        <v>0.0</v>
      </c>
      <c r="BN1198" s="23">
        <v>0.0</v>
      </c>
      <c r="BO1198" s="23">
        <v>725.9</v>
      </c>
      <c r="BP1198" s="16" t="s">
        <v>7644</v>
      </c>
      <c r="BQ1198" s="16" t="b">
        <v>1</v>
      </c>
      <c r="BR1198" s="23">
        <v>725.9</v>
      </c>
      <c r="BS1198" s="16"/>
      <c r="BT1198" s="16" t="b">
        <v>0</v>
      </c>
      <c r="BU1198" s="16" t="s">
        <v>546</v>
      </c>
      <c r="BV1198" s="16"/>
      <c r="BW1198" s="16" t="s">
        <v>7646</v>
      </c>
      <c r="BX1198" s="16"/>
      <c r="BY1198" s="16"/>
    </row>
    <row r="1199">
      <c r="A1199" s="16" t="s">
        <v>7082</v>
      </c>
      <c r="B1199" s="16" t="s">
        <v>35</v>
      </c>
      <c r="C1199" s="22">
        <v>45773.0</v>
      </c>
      <c r="D1199" s="16" t="s">
        <v>7095</v>
      </c>
      <c r="E1199" s="16" t="s">
        <v>7650</v>
      </c>
      <c r="F1199" s="16" t="s">
        <v>7654</v>
      </c>
      <c r="G1199" s="16" t="s">
        <v>335</v>
      </c>
      <c r="H1199" s="16">
        <v>6.0</v>
      </c>
      <c r="I1199" s="23">
        <v>41.88</v>
      </c>
      <c r="J1199" s="23">
        <v>251.28</v>
      </c>
      <c r="K1199" s="16" t="s">
        <v>338</v>
      </c>
      <c r="L1199" s="23">
        <v>9.0</v>
      </c>
      <c r="M1199" s="23">
        <v>30.76</v>
      </c>
      <c r="N1199" s="23">
        <v>276.84</v>
      </c>
      <c r="O1199" s="16" t="s">
        <v>1777</v>
      </c>
      <c r="P1199" s="23">
        <v>1.0</v>
      </c>
      <c r="Q1199" s="23">
        <v>24.52</v>
      </c>
      <c r="R1199" s="23">
        <v>24.52</v>
      </c>
      <c r="S1199" s="16" t="s">
        <v>7086</v>
      </c>
      <c r="T1199" s="23">
        <v>1.0</v>
      </c>
      <c r="U1199" s="23">
        <v>53.78</v>
      </c>
      <c r="V1199" s="23">
        <v>53.78</v>
      </c>
      <c r="W1199" s="16" t="s">
        <v>1387</v>
      </c>
      <c r="X1199" s="23">
        <v>1.0</v>
      </c>
      <c r="Y1199" s="23">
        <v>27.97</v>
      </c>
      <c r="Z1199" s="23">
        <v>27.97</v>
      </c>
      <c r="AA1199" s="16"/>
      <c r="AB1199" s="23"/>
      <c r="AC1199" s="23"/>
      <c r="AD1199" s="23">
        <v>0.0</v>
      </c>
      <c r="AE1199" s="16"/>
      <c r="AF1199" s="23"/>
      <c r="AG1199" s="23"/>
      <c r="AH1199" s="23">
        <v>0.0</v>
      </c>
      <c r="AI1199" s="16"/>
      <c r="AJ1199" s="23"/>
      <c r="AK1199" s="23"/>
      <c r="AL1199" s="23">
        <v>0.0</v>
      </c>
      <c r="AM1199" s="16"/>
      <c r="AN1199" s="23"/>
      <c r="AO1199" s="23"/>
      <c r="AP1199" s="23">
        <v>0.0</v>
      </c>
      <c r="AQ1199" s="16"/>
      <c r="AR1199" s="23"/>
      <c r="AS1199" s="23"/>
      <c r="AT1199" s="23">
        <v>0.0</v>
      </c>
      <c r="AU1199" s="16"/>
      <c r="AV1199" s="23"/>
      <c r="AW1199" s="23"/>
      <c r="AX1199" s="23">
        <v>0.0</v>
      </c>
      <c r="AY1199" s="16"/>
      <c r="AZ1199" s="23"/>
      <c r="BA1199" s="23"/>
      <c r="BB1199" s="23"/>
      <c r="BC1199" s="16"/>
      <c r="BD1199" s="23"/>
      <c r="BE1199" s="23"/>
      <c r="BF1199" s="23">
        <v>0.0</v>
      </c>
      <c r="BJ1199" s="23">
        <v>0.0</v>
      </c>
      <c r="BN1199" s="23">
        <v>0.0</v>
      </c>
      <c r="BO1199" s="23">
        <v>634.39</v>
      </c>
      <c r="BP1199" s="16" t="s">
        <v>7653</v>
      </c>
      <c r="BQ1199" s="16" t="b">
        <v>1</v>
      </c>
      <c r="BR1199" s="23">
        <v>665.15</v>
      </c>
      <c r="BS1199" s="16"/>
      <c r="BT1199" s="16" t="b">
        <v>0</v>
      </c>
      <c r="BU1199" s="16" t="s">
        <v>546</v>
      </c>
      <c r="BV1199" s="16"/>
      <c r="BW1199" s="16" t="s">
        <v>7657</v>
      </c>
      <c r="BX1199" s="16"/>
      <c r="BY1199" s="16"/>
    </row>
    <row r="1200">
      <c r="A1200" s="16" t="s">
        <v>7091</v>
      </c>
      <c r="B1200" s="16" t="s">
        <v>35</v>
      </c>
      <c r="C1200" s="22">
        <v>45777.0</v>
      </c>
      <c r="D1200" s="16">
        <v>2.6065919E7</v>
      </c>
      <c r="E1200" s="16" t="s">
        <v>7660</v>
      </c>
      <c r="F1200" s="16" t="s">
        <v>5885</v>
      </c>
      <c r="G1200" s="16" t="s">
        <v>1022</v>
      </c>
      <c r="H1200" s="16">
        <v>1.0</v>
      </c>
      <c r="I1200" s="23">
        <v>135.0</v>
      </c>
      <c r="J1200" s="23">
        <v>135.0</v>
      </c>
      <c r="K1200" s="16"/>
      <c r="L1200" s="23"/>
      <c r="M1200" s="23"/>
      <c r="N1200" s="23">
        <v>0.0</v>
      </c>
      <c r="O1200" s="16"/>
      <c r="P1200" s="23"/>
      <c r="Q1200" s="23"/>
      <c r="R1200" s="23">
        <v>0.0</v>
      </c>
      <c r="S1200" s="16"/>
      <c r="T1200" s="23"/>
      <c r="U1200" s="23"/>
      <c r="V1200" s="23">
        <v>0.0</v>
      </c>
      <c r="W1200" s="16"/>
      <c r="X1200" s="23"/>
      <c r="Y1200" s="23"/>
      <c r="Z1200" s="23">
        <v>0.0</v>
      </c>
      <c r="AA1200" s="16"/>
      <c r="AB1200" s="23"/>
      <c r="AC1200" s="23"/>
      <c r="AD1200" s="23">
        <v>0.0</v>
      </c>
      <c r="AE1200" s="16"/>
      <c r="AF1200" s="23"/>
      <c r="AG1200" s="23"/>
      <c r="AH1200" s="23">
        <v>0.0</v>
      </c>
      <c r="AI1200" s="16"/>
      <c r="AJ1200" s="23"/>
      <c r="AK1200" s="23"/>
      <c r="AL1200" s="23">
        <v>0.0</v>
      </c>
      <c r="AM1200" s="16"/>
      <c r="AN1200" s="23"/>
      <c r="AO1200" s="23"/>
      <c r="AP1200" s="23">
        <v>0.0</v>
      </c>
      <c r="AQ1200" s="16"/>
      <c r="AR1200" s="23"/>
      <c r="AS1200" s="23"/>
      <c r="AT1200" s="23">
        <v>0.0</v>
      </c>
      <c r="AU1200" s="16"/>
      <c r="AV1200" s="23"/>
      <c r="AW1200" s="23"/>
      <c r="AX1200" s="23">
        <v>0.0</v>
      </c>
      <c r="AY1200" s="16"/>
      <c r="AZ1200" s="23"/>
      <c r="BA1200" s="23"/>
      <c r="BB1200" s="23"/>
      <c r="BC1200" s="16"/>
      <c r="BD1200" s="23"/>
      <c r="BE1200" s="23"/>
      <c r="BF1200" s="23">
        <v>0.0</v>
      </c>
      <c r="BJ1200" s="23">
        <v>0.0</v>
      </c>
      <c r="BN1200" s="23">
        <v>0.0</v>
      </c>
      <c r="BO1200" s="23">
        <v>135.0</v>
      </c>
      <c r="BP1200" s="16" t="s">
        <v>7661</v>
      </c>
      <c r="BQ1200" s="16" t="b">
        <v>1</v>
      </c>
      <c r="BR1200" s="23">
        <v>135.0</v>
      </c>
      <c r="BS1200" s="16">
        <v>1358010.0</v>
      </c>
      <c r="BT1200" s="16" t="b">
        <v>1</v>
      </c>
      <c r="BU1200" s="16" t="s">
        <v>546</v>
      </c>
      <c r="BV1200" s="16"/>
      <c r="BW1200" s="16"/>
      <c r="BX1200" s="16"/>
      <c r="BY1200" s="16"/>
    </row>
    <row r="1201">
      <c r="A1201" s="16" t="s">
        <v>7093</v>
      </c>
      <c r="B1201" s="16" t="s">
        <v>35</v>
      </c>
      <c r="C1201" s="22">
        <v>45777.0</v>
      </c>
      <c r="D1201" s="16" t="s">
        <v>112</v>
      </c>
      <c r="E1201" s="16" t="s">
        <v>7668</v>
      </c>
      <c r="F1201" s="16" t="s">
        <v>157</v>
      </c>
      <c r="G1201" s="16" t="s">
        <v>159</v>
      </c>
      <c r="H1201" s="16">
        <v>15.0</v>
      </c>
      <c r="I1201" s="23">
        <v>13.0</v>
      </c>
      <c r="J1201" s="23">
        <v>195.0</v>
      </c>
      <c r="K1201" s="16" t="s">
        <v>155</v>
      </c>
      <c r="L1201" s="23">
        <v>1.0</v>
      </c>
      <c r="M1201" s="23">
        <v>52.81</v>
      </c>
      <c r="N1201" s="23">
        <v>52.81</v>
      </c>
      <c r="O1201" s="16" t="s">
        <v>152</v>
      </c>
      <c r="P1201" s="23">
        <v>1.0</v>
      </c>
      <c r="Q1201" s="23">
        <v>10.49</v>
      </c>
      <c r="R1201" s="23">
        <v>10.49</v>
      </c>
      <c r="S1201" s="16" t="s">
        <v>226</v>
      </c>
      <c r="T1201" s="23">
        <v>1.0</v>
      </c>
      <c r="U1201" s="23">
        <v>68.0</v>
      </c>
      <c r="V1201" s="23">
        <v>68.0</v>
      </c>
      <c r="W1201" s="16"/>
      <c r="X1201" s="23"/>
      <c r="Y1201" s="23"/>
      <c r="Z1201" s="23">
        <v>0.0</v>
      </c>
      <c r="AA1201" s="16"/>
      <c r="AB1201" s="23"/>
      <c r="AC1201" s="23"/>
      <c r="AD1201" s="23">
        <v>0.0</v>
      </c>
      <c r="AE1201" s="16"/>
      <c r="AF1201" s="23"/>
      <c r="AG1201" s="23"/>
      <c r="AH1201" s="23">
        <v>0.0</v>
      </c>
      <c r="AI1201" s="16"/>
      <c r="AJ1201" s="23"/>
      <c r="AK1201" s="23"/>
      <c r="AL1201" s="23">
        <v>0.0</v>
      </c>
      <c r="AM1201" s="16"/>
      <c r="AN1201" s="23"/>
      <c r="AO1201" s="23"/>
      <c r="AP1201" s="23">
        <v>0.0</v>
      </c>
      <c r="AQ1201" s="16"/>
      <c r="AR1201" s="23"/>
      <c r="AS1201" s="23"/>
      <c r="AT1201" s="23">
        <v>0.0</v>
      </c>
      <c r="AU1201" s="16"/>
      <c r="AV1201" s="23"/>
      <c r="AW1201" s="23"/>
      <c r="AX1201" s="23">
        <v>0.0</v>
      </c>
      <c r="AY1201" s="16"/>
      <c r="AZ1201" s="23"/>
      <c r="BA1201" s="23"/>
      <c r="BB1201" s="23"/>
      <c r="BC1201" s="16"/>
      <c r="BD1201" s="23"/>
      <c r="BE1201" s="23"/>
      <c r="BF1201" s="23">
        <v>0.0</v>
      </c>
      <c r="BJ1201" s="23">
        <v>0.0</v>
      </c>
      <c r="BN1201" s="23">
        <v>0.0</v>
      </c>
      <c r="BO1201" s="23">
        <v>326.3</v>
      </c>
      <c r="BP1201" s="16" t="s">
        <v>7671</v>
      </c>
      <c r="BQ1201" s="16" t="b">
        <v>1</v>
      </c>
      <c r="BR1201" s="23">
        <v>326.3</v>
      </c>
      <c r="BS1201" s="16"/>
      <c r="BT1201" s="16" t="b">
        <v>0</v>
      </c>
      <c r="BU1201" s="16" t="s">
        <v>546</v>
      </c>
      <c r="BV1201" s="16"/>
      <c r="BW1201" s="16"/>
      <c r="BX1201" s="16"/>
      <c r="BY1201" s="16"/>
    </row>
    <row r="1202">
      <c r="A1202" s="16" t="s">
        <v>7102</v>
      </c>
      <c r="B1202" s="16" t="s">
        <v>35</v>
      </c>
      <c r="C1202" s="22">
        <v>45779.0</v>
      </c>
      <c r="D1202" s="16" t="s">
        <v>112</v>
      </c>
      <c r="E1202" s="16" t="s">
        <v>7677</v>
      </c>
      <c r="F1202" s="16" t="s">
        <v>157</v>
      </c>
      <c r="G1202" s="16" t="s">
        <v>159</v>
      </c>
      <c r="H1202" s="16">
        <v>10.0</v>
      </c>
      <c r="I1202" s="23">
        <v>13.0</v>
      </c>
      <c r="J1202" s="23">
        <v>130.0</v>
      </c>
      <c r="K1202" s="16" t="s">
        <v>155</v>
      </c>
      <c r="L1202" s="23">
        <v>1.0</v>
      </c>
      <c r="M1202" s="23">
        <v>31.75</v>
      </c>
      <c r="N1202" s="23">
        <v>31.75</v>
      </c>
      <c r="O1202" s="16" t="s">
        <v>152</v>
      </c>
      <c r="P1202" s="23">
        <v>1.0</v>
      </c>
      <c r="Q1202" s="23">
        <v>7.04</v>
      </c>
      <c r="R1202" s="23">
        <v>7.04</v>
      </c>
      <c r="S1202" s="16" t="s">
        <v>226</v>
      </c>
      <c r="T1202" s="23">
        <v>1.0</v>
      </c>
      <c r="U1202" s="23">
        <v>51.0</v>
      </c>
      <c r="V1202" s="23">
        <v>51.0</v>
      </c>
      <c r="W1202" s="16"/>
      <c r="X1202" s="23"/>
      <c r="Y1202" s="23"/>
      <c r="Z1202" s="23">
        <v>0.0</v>
      </c>
      <c r="AA1202" s="16"/>
      <c r="AB1202" s="23"/>
      <c r="AC1202" s="23"/>
      <c r="AD1202" s="23">
        <v>0.0</v>
      </c>
      <c r="AE1202" s="16"/>
      <c r="AF1202" s="23"/>
      <c r="AG1202" s="23"/>
      <c r="AH1202" s="23">
        <v>0.0</v>
      </c>
      <c r="AI1202" s="16"/>
      <c r="AJ1202" s="23"/>
      <c r="AK1202" s="23"/>
      <c r="AL1202" s="23">
        <v>0.0</v>
      </c>
      <c r="AM1202" s="16"/>
      <c r="AN1202" s="23"/>
      <c r="AO1202" s="23"/>
      <c r="AP1202" s="23">
        <v>0.0</v>
      </c>
      <c r="AQ1202" s="16"/>
      <c r="AR1202" s="23"/>
      <c r="AS1202" s="23"/>
      <c r="AT1202" s="23">
        <v>0.0</v>
      </c>
      <c r="AU1202" s="16"/>
      <c r="AV1202" s="23"/>
      <c r="AW1202" s="23"/>
      <c r="AX1202" s="23">
        <v>0.0</v>
      </c>
      <c r="AY1202" s="16"/>
      <c r="AZ1202" s="23"/>
      <c r="BA1202" s="23"/>
      <c r="BB1202" s="23"/>
      <c r="BC1202" s="16"/>
      <c r="BD1202" s="23"/>
      <c r="BE1202" s="23"/>
      <c r="BF1202" s="23">
        <v>0.0</v>
      </c>
      <c r="BJ1202" s="23">
        <v>0.0</v>
      </c>
      <c r="BN1202" s="23">
        <v>0.0</v>
      </c>
      <c r="BO1202" s="23">
        <v>219.79</v>
      </c>
      <c r="BP1202" s="16" t="s">
        <v>7679</v>
      </c>
      <c r="BQ1202" s="16" t="b">
        <v>1</v>
      </c>
      <c r="BR1202" s="23">
        <v>219.79</v>
      </c>
      <c r="BS1202" s="16"/>
      <c r="BT1202" s="16" t="b">
        <v>0</v>
      </c>
      <c r="BU1202" s="16" t="s">
        <v>546</v>
      </c>
      <c r="BV1202" s="16"/>
      <c r="BW1202" s="16"/>
      <c r="BX1202" s="16"/>
      <c r="BY1202" s="16"/>
    </row>
    <row r="1203">
      <c r="A1203" s="16" t="s">
        <v>7110</v>
      </c>
      <c r="B1203" s="16" t="s">
        <v>35</v>
      </c>
      <c r="C1203" s="22">
        <v>45781.0</v>
      </c>
      <c r="D1203" s="16" t="s">
        <v>543</v>
      </c>
      <c r="E1203" s="16" t="s">
        <v>7683</v>
      </c>
      <c r="F1203" s="16" t="s">
        <v>171</v>
      </c>
      <c r="G1203" s="16">
        <v>1.2539885E7</v>
      </c>
      <c r="H1203" s="16">
        <v>1.0</v>
      </c>
      <c r="I1203" s="23">
        <v>250.0</v>
      </c>
      <c r="J1203" s="23">
        <v>250.0</v>
      </c>
      <c r="K1203" s="16"/>
      <c r="L1203" s="23"/>
      <c r="M1203" s="23"/>
      <c r="N1203" s="23">
        <v>0.0</v>
      </c>
      <c r="O1203" s="16"/>
      <c r="P1203" s="23"/>
      <c r="Q1203" s="23"/>
      <c r="R1203" s="23">
        <v>0.0</v>
      </c>
      <c r="S1203" s="16"/>
      <c r="T1203" s="23"/>
      <c r="U1203" s="23"/>
      <c r="V1203" s="23">
        <v>0.0</v>
      </c>
      <c r="W1203" s="16"/>
      <c r="X1203" s="23"/>
      <c r="Y1203" s="23"/>
      <c r="Z1203" s="23">
        <v>0.0</v>
      </c>
      <c r="AA1203" s="16"/>
      <c r="AB1203" s="23"/>
      <c r="AC1203" s="23"/>
      <c r="AD1203" s="23">
        <v>0.0</v>
      </c>
      <c r="AE1203" s="16"/>
      <c r="AF1203" s="23"/>
      <c r="AG1203" s="23"/>
      <c r="AH1203" s="23">
        <v>0.0</v>
      </c>
      <c r="AI1203" s="16"/>
      <c r="AJ1203" s="23"/>
      <c r="AK1203" s="23"/>
      <c r="AL1203" s="23">
        <v>0.0</v>
      </c>
      <c r="AM1203" s="16"/>
      <c r="AN1203" s="23"/>
      <c r="AO1203" s="23"/>
      <c r="AP1203" s="23">
        <v>0.0</v>
      </c>
      <c r="AQ1203" s="16"/>
      <c r="AR1203" s="23"/>
      <c r="AS1203" s="23"/>
      <c r="AT1203" s="23">
        <v>0.0</v>
      </c>
      <c r="AU1203" s="16"/>
      <c r="AV1203" s="23"/>
      <c r="AW1203" s="23"/>
      <c r="AX1203" s="23">
        <v>0.0</v>
      </c>
      <c r="AY1203" s="16"/>
      <c r="AZ1203" s="23"/>
      <c r="BA1203" s="23"/>
      <c r="BB1203" s="23"/>
      <c r="BC1203" s="16"/>
      <c r="BD1203" s="23"/>
      <c r="BE1203" s="23"/>
      <c r="BF1203" s="23">
        <v>0.0</v>
      </c>
      <c r="BJ1203" s="23">
        <v>0.0</v>
      </c>
      <c r="BN1203" s="23">
        <v>0.0</v>
      </c>
      <c r="BO1203" s="23">
        <v>250.0</v>
      </c>
      <c r="BP1203" s="16" t="s">
        <v>7684</v>
      </c>
      <c r="BQ1203" s="16" t="b">
        <v>1</v>
      </c>
      <c r="BR1203" s="23">
        <v>250.0</v>
      </c>
      <c r="BS1203" s="16"/>
      <c r="BT1203" s="16" t="b">
        <v>0</v>
      </c>
      <c r="BU1203" s="16" t="s">
        <v>546</v>
      </c>
      <c r="BV1203" s="16"/>
      <c r="BW1203" s="16"/>
      <c r="BX1203" s="16"/>
      <c r="BY1203" s="16"/>
    </row>
    <row r="1204">
      <c r="A1204" s="16" t="s">
        <v>7114</v>
      </c>
      <c r="B1204" s="16" t="s">
        <v>35</v>
      </c>
      <c r="C1204" s="22">
        <v>45782.0</v>
      </c>
      <c r="D1204" s="16"/>
      <c r="E1204" s="16"/>
      <c r="F1204" s="16" t="s">
        <v>7232</v>
      </c>
      <c r="G1204" s="16" t="s">
        <v>1239</v>
      </c>
      <c r="H1204" s="16">
        <v>1.0</v>
      </c>
      <c r="I1204" s="23">
        <v>642.39</v>
      </c>
      <c r="J1204" s="23">
        <v>642.39</v>
      </c>
      <c r="K1204" s="16"/>
      <c r="L1204" s="23"/>
      <c r="M1204" s="23"/>
      <c r="N1204" s="23"/>
      <c r="O1204" s="16"/>
      <c r="P1204" s="23"/>
      <c r="Q1204" s="23"/>
      <c r="R1204" s="23"/>
      <c r="S1204" s="16"/>
      <c r="T1204" s="23"/>
      <c r="U1204" s="23"/>
      <c r="V1204" s="23"/>
      <c r="W1204" s="16"/>
      <c r="X1204" s="23"/>
      <c r="Y1204" s="23"/>
      <c r="Z1204" s="23"/>
      <c r="AA1204" s="16"/>
      <c r="AB1204" s="23"/>
      <c r="AC1204" s="23"/>
      <c r="AD1204" s="23"/>
      <c r="AE1204" s="16"/>
      <c r="AF1204" s="23"/>
      <c r="AG1204" s="23"/>
      <c r="AH1204" s="23"/>
      <c r="AI1204" s="16"/>
      <c r="AJ1204" s="23"/>
      <c r="AK1204" s="23"/>
      <c r="AL1204" s="23"/>
      <c r="AM1204" s="16"/>
      <c r="AN1204" s="23"/>
      <c r="AO1204" s="23"/>
      <c r="AP1204" s="23"/>
      <c r="AQ1204" s="16"/>
      <c r="AR1204" s="23"/>
      <c r="AS1204" s="23"/>
      <c r="AT1204" s="23"/>
      <c r="AU1204" s="16"/>
      <c r="AV1204" s="23"/>
      <c r="AW1204" s="23"/>
      <c r="AX1204" s="23"/>
      <c r="AY1204" s="16"/>
      <c r="AZ1204" s="23"/>
      <c r="BA1204" s="23"/>
      <c r="BB1204" s="23"/>
      <c r="BC1204" s="16"/>
      <c r="BD1204" s="23"/>
      <c r="BE1204" s="23"/>
      <c r="BF1204" s="23"/>
      <c r="BJ1204" s="23"/>
      <c r="BN1204" s="23"/>
      <c r="BO1204" s="23">
        <v>642.39</v>
      </c>
      <c r="BP1204" s="16"/>
      <c r="BQ1204" s="16"/>
      <c r="BR1204" s="23">
        <v>642.39</v>
      </c>
      <c r="BS1204" s="16"/>
      <c r="BT1204" s="16"/>
      <c r="BU1204" s="16" t="s">
        <v>539</v>
      </c>
      <c r="BV1204" s="16" t="s">
        <v>3795</v>
      </c>
      <c r="BW1204" s="16"/>
      <c r="BX1204" s="16"/>
      <c r="BY1204" s="16"/>
    </row>
    <row r="1205">
      <c r="A1205" s="16" t="s">
        <v>7116</v>
      </c>
      <c r="B1205" s="16" t="s">
        <v>35</v>
      </c>
      <c r="C1205" s="22">
        <v>45782.0</v>
      </c>
      <c r="D1205" s="16"/>
      <c r="E1205" s="16"/>
      <c r="F1205" s="16" t="s">
        <v>7232</v>
      </c>
      <c r="G1205" s="16" t="s">
        <v>1239</v>
      </c>
      <c r="H1205" s="16">
        <v>1.0</v>
      </c>
      <c r="I1205" s="23">
        <v>2836.59</v>
      </c>
      <c r="J1205" s="23">
        <v>2836.59</v>
      </c>
      <c r="K1205" s="16"/>
      <c r="L1205" s="23"/>
      <c r="M1205" s="23"/>
      <c r="N1205" s="23"/>
      <c r="O1205" s="16"/>
      <c r="P1205" s="23"/>
      <c r="Q1205" s="23"/>
      <c r="R1205" s="23"/>
      <c r="S1205" s="16"/>
      <c r="T1205" s="23"/>
      <c r="U1205" s="23"/>
      <c r="V1205" s="23"/>
      <c r="W1205" s="16"/>
      <c r="X1205" s="23"/>
      <c r="Y1205" s="23"/>
      <c r="Z1205" s="23"/>
      <c r="AA1205" s="16"/>
      <c r="AB1205" s="23"/>
      <c r="AC1205" s="23"/>
      <c r="AD1205" s="23"/>
      <c r="AE1205" s="16"/>
      <c r="AF1205" s="23"/>
      <c r="AG1205" s="23"/>
      <c r="AH1205" s="23"/>
      <c r="AI1205" s="16"/>
      <c r="AJ1205" s="23"/>
      <c r="AK1205" s="23"/>
      <c r="AL1205" s="23"/>
      <c r="AM1205" s="16"/>
      <c r="AN1205" s="23"/>
      <c r="AO1205" s="23"/>
      <c r="AP1205" s="23"/>
      <c r="AQ1205" s="16"/>
      <c r="AR1205" s="23"/>
      <c r="AS1205" s="23"/>
      <c r="AT1205" s="23"/>
      <c r="AU1205" s="16"/>
      <c r="AV1205" s="23"/>
      <c r="AW1205" s="23"/>
      <c r="AX1205" s="23"/>
      <c r="AY1205" s="16"/>
      <c r="AZ1205" s="23"/>
      <c r="BA1205" s="23"/>
      <c r="BB1205" s="23"/>
      <c r="BC1205" s="16"/>
      <c r="BD1205" s="23"/>
      <c r="BE1205" s="23"/>
      <c r="BF1205" s="23"/>
      <c r="BJ1205" s="23"/>
      <c r="BN1205" s="23"/>
      <c r="BO1205" s="23">
        <v>2836.59</v>
      </c>
      <c r="BP1205" s="16"/>
      <c r="BQ1205" s="16"/>
      <c r="BR1205" s="23">
        <v>2836.59</v>
      </c>
      <c r="BS1205" s="16"/>
      <c r="BT1205" s="16"/>
      <c r="BU1205" s="16" t="s">
        <v>539</v>
      </c>
      <c r="BV1205" s="16" t="s">
        <v>624</v>
      </c>
      <c r="BW1205" s="16"/>
      <c r="BX1205" s="16"/>
      <c r="BY1205" s="16"/>
    </row>
    <row r="1206">
      <c r="A1206" s="16" t="s">
        <v>7119</v>
      </c>
      <c r="B1206" s="16" t="s">
        <v>35</v>
      </c>
      <c r="C1206" s="22">
        <v>45782.0</v>
      </c>
      <c r="D1206" s="16"/>
      <c r="E1206" s="16"/>
      <c r="F1206" s="16" t="s">
        <v>7232</v>
      </c>
      <c r="G1206" s="16" t="s">
        <v>1239</v>
      </c>
      <c r="H1206" s="16">
        <v>1.0</v>
      </c>
      <c r="I1206" s="23">
        <v>1909.57</v>
      </c>
      <c r="J1206" s="23">
        <v>1909.57</v>
      </c>
      <c r="K1206" s="16"/>
      <c r="L1206" s="23"/>
      <c r="M1206" s="23"/>
      <c r="N1206" s="23"/>
      <c r="O1206" s="16"/>
      <c r="P1206" s="23"/>
      <c r="Q1206" s="23"/>
      <c r="R1206" s="23"/>
      <c r="S1206" s="16"/>
      <c r="T1206" s="23"/>
      <c r="U1206" s="23"/>
      <c r="V1206" s="23"/>
      <c r="W1206" s="16"/>
      <c r="X1206" s="23"/>
      <c r="Y1206" s="23"/>
      <c r="Z1206" s="23"/>
      <c r="AA1206" s="16"/>
      <c r="AB1206" s="23"/>
      <c r="AC1206" s="23"/>
      <c r="AD1206" s="23"/>
      <c r="AE1206" s="16"/>
      <c r="AF1206" s="23"/>
      <c r="AG1206" s="23"/>
      <c r="AH1206" s="23"/>
      <c r="AI1206" s="16"/>
      <c r="AJ1206" s="23"/>
      <c r="AK1206" s="23"/>
      <c r="AL1206" s="23"/>
      <c r="AM1206" s="16"/>
      <c r="AN1206" s="23"/>
      <c r="AO1206" s="23"/>
      <c r="AP1206" s="23"/>
      <c r="AQ1206" s="16"/>
      <c r="AR1206" s="23"/>
      <c r="AS1206" s="23"/>
      <c r="AT1206" s="23"/>
      <c r="AU1206" s="16"/>
      <c r="AV1206" s="23"/>
      <c r="AW1206" s="23"/>
      <c r="AX1206" s="23"/>
      <c r="AY1206" s="16"/>
      <c r="AZ1206" s="23"/>
      <c r="BA1206" s="23"/>
      <c r="BB1206" s="23"/>
      <c r="BC1206" s="16"/>
      <c r="BD1206" s="23"/>
      <c r="BE1206" s="23"/>
      <c r="BF1206" s="23"/>
      <c r="BJ1206" s="23"/>
      <c r="BN1206" s="23"/>
      <c r="BO1206" s="23">
        <v>1909.57</v>
      </c>
      <c r="BP1206" s="16"/>
      <c r="BQ1206" s="16"/>
      <c r="BR1206" s="23">
        <v>1909.57</v>
      </c>
      <c r="BS1206" s="16"/>
      <c r="BT1206" s="16"/>
      <c r="BU1206" s="16" t="s">
        <v>539</v>
      </c>
      <c r="BV1206" s="16" t="s">
        <v>2052</v>
      </c>
      <c r="BW1206" s="16"/>
      <c r="BX1206" s="16"/>
      <c r="BY1206" s="16"/>
    </row>
    <row r="1207">
      <c r="A1207" s="16" t="s">
        <v>7121</v>
      </c>
      <c r="B1207" s="16" t="s">
        <v>35</v>
      </c>
      <c r="C1207" s="22">
        <v>45782.0</v>
      </c>
      <c r="D1207" s="16"/>
      <c r="E1207" s="16"/>
      <c r="F1207" s="16" t="s">
        <v>7232</v>
      </c>
      <c r="G1207" s="16" t="s">
        <v>1239</v>
      </c>
      <c r="H1207" s="16">
        <v>1.0</v>
      </c>
      <c r="I1207" s="23">
        <v>2080.59</v>
      </c>
      <c r="J1207" s="23">
        <v>2080.59</v>
      </c>
      <c r="K1207" s="16"/>
      <c r="L1207" s="23"/>
      <c r="M1207" s="23"/>
      <c r="N1207" s="23"/>
      <c r="O1207" s="16"/>
      <c r="P1207" s="23"/>
      <c r="Q1207" s="23"/>
      <c r="R1207" s="23"/>
      <c r="S1207" s="16"/>
      <c r="T1207" s="23"/>
      <c r="U1207" s="23"/>
      <c r="V1207" s="23"/>
      <c r="W1207" s="16"/>
      <c r="X1207" s="23"/>
      <c r="Y1207" s="23"/>
      <c r="Z1207" s="23"/>
      <c r="AA1207" s="16"/>
      <c r="AB1207" s="23"/>
      <c r="AC1207" s="23"/>
      <c r="AD1207" s="23"/>
      <c r="AE1207" s="16"/>
      <c r="AF1207" s="23"/>
      <c r="AG1207" s="23"/>
      <c r="AH1207" s="23"/>
      <c r="AI1207" s="16"/>
      <c r="AJ1207" s="23"/>
      <c r="AK1207" s="23"/>
      <c r="AL1207" s="23"/>
      <c r="AM1207" s="16"/>
      <c r="AN1207" s="23"/>
      <c r="AO1207" s="23"/>
      <c r="AP1207" s="23"/>
      <c r="AQ1207" s="16"/>
      <c r="AR1207" s="23"/>
      <c r="AS1207" s="23"/>
      <c r="AT1207" s="23"/>
      <c r="AU1207" s="16"/>
      <c r="AV1207" s="23"/>
      <c r="AW1207" s="23"/>
      <c r="AX1207" s="23"/>
      <c r="AY1207" s="16"/>
      <c r="AZ1207" s="23"/>
      <c r="BA1207" s="23"/>
      <c r="BB1207" s="23"/>
      <c r="BC1207" s="16"/>
      <c r="BD1207" s="23"/>
      <c r="BE1207" s="23"/>
      <c r="BF1207" s="23"/>
      <c r="BJ1207" s="23"/>
      <c r="BN1207" s="23"/>
      <c r="BO1207" s="23">
        <v>2080.59</v>
      </c>
      <c r="BP1207" s="16"/>
      <c r="BQ1207" s="16"/>
      <c r="BR1207" s="23">
        <v>2080.59</v>
      </c>
      <c r="BS1207" s="16"/>
      <c r="BT1207" s="16"/>
      <c r="BU1207" s="16" t="s">
        <v>539</v>
      </c>
      <c r="BV1207" s="16" t="s">
        <v>227</v>
      </c>
      <c r="BW1207" s="16"/>
      <c r="BX1207" s="16"/>
      <c r="BY1207" s="16"/>
    </row>
    <row r="1208">
      <c r="A1208" s="16" t="s">
        <v>7123</v>
      </c>
      <c r="B1208" s="16" t="s">
        <v>35</v>
      </c>
      <c r="C1208" s="22">
        <v>45782.0</v>
      </c>
      <c r="D1208" s="16"/>
      <c r="E1208" s="16"/>
      <c r="F1208" s="16" t="s">
        <v>7232</v>
      </c>
      <c r="G1208" s="16" t="s">
        <v>1239</v>
      </c>
      <c r="H1208" s="16">
        <v>1.0</v>
      </c>
      <c r="I1208" s="23">
        <v>1145.93</v>
      </c>
      <c r="J1208" s="23">
        <v>1145.93</v>
      </c>
      <c r="K1208" s="16"/>
      <c r="L1208" s="23"/>
      <c r="M1208" s="23"/>
      <c r="N1208" s="23"/>
      <c r="O1208" s="16"/>
      <c r="P1208" s="23"/>
      <c r="Q1208" s="23"/>
      <c r="R1208" s="23"/>
      <c r="S1208" s="16"/>
      <c r="T1208" s="23"/>
      <c r="U1208" s="23"/>
      <c r="V1208" s="23"/>
      <c r="W1208" s="16"/>
      <c r="X1208" s="23"/>
      <c r="Y1208" s="23"/>
      <c r="Z1208" s="23"/>
      <c r="AA1208" s="16"/>
      <c r="AB1208" s="23"/>
      <c r="AC1208" s="23"/>
      <c r="AD1208" s="23"/>
      <c r="AE1208" s="16"/>
      <c r="AF1208" s="23"/>
      <c r="AG1208" s="23"/>
      <c r="AH1208" s="23"/>
      <c r="AI1208" s="16"/>
      <c r="AJ1208" s="23"/>
      <c r="AK1208" s="23"/>
      <c r="AL1208" s="23"/>
      <c r="AM1208" s="16"/>
      <c r="AN1208" s="23"/>
      <c r="AO1208" s="23"/>
      <c r="AP1208" s="23"/>
      <c r="AQ1208" s="16"/>
      <c r="AR1208" s="23"/>
      <c r="AS1208" s="23"/>
      <c r="AT1208" s="23"/>
      <c r="AU1208" s="16"/>
      <c r="AV1208" s="23"/>
      <c r="AW1208" s="23"/>
      <c r="AX1208" s="23"/>
      <c r="AY1208" s="16"/>
      <c r="AZ1208" s="23"/>
      <c r="BA1208" s="23"/>
      <c r="BB1208" s="23"/>
      <c r="BC1208" s="16"/>
      <c r="BD1208" s="23"/>
      <c r="BE1208" s="23"/>
      <c r="BF1208" s="23"/>
      <c r="BJ1208" s="23"/>
      <c r="BN1208" s="23"/>
      <c r="BO1208" s="23">
        <v>1145.93</v>
      </c>
      <c r="BP1208" s="16"/>
      <c r="BQ1208" s="16"/>
      <c r="BR1208" s="23">
        <v>1145.93</v>
      </c>
      <c r="BS1208" s="16"/>
      <c r="BT1208" s="16"/>
      <c r="BU1208" s="16" t="s">
        <v>539</v>
      </c>
      <c r="BV1208" s="16" t="s">
        <v>6062</v>
      </c>
      <c r="BW1208" s="16"/>
      <c r="BX1208" s="16"/>
      <c r="BY1208" s="16"/>
    </row>
    <row r="1209">
      <c r="A1209" s="16" t="s">
        <v>7126</v>
      </c>
      <c r="B1209" s="16" t="s">
        <v>35</v>
      </c>
      <c r="C1209" s="22">
        <v>45782.0</v>
      </c>
      <c r="D1209" s="16"/>
      <c r="E1209" s="16"/>
      <c r="F1209" s="16" t="s">
        <v>7232</v>
      </c>
      <c r="G1209" s="16" t="s">
        <v>1239</v>
      </c>
      <c r="H1209" s="16">
        <v>1.0</v>
      </c>
      <c r="I1209" s="23">
        <v>642.39</v>
      </c>
      <c r="J1209" s="23">
        <v>642.39</v>
      </c>
      <c r="K1209" s="16"/>
      <c r="L1209" s="23"/>
      <c r="M1209" s="23"/>
      <c r="N1209" s="23"/>
      <c r="O1209" s="16"/>
      <c r="P1209" s="23"/>
      <c r="Q1209" s="23"/>
      <c r="R1209" s="23"/>
      <c r="S1209" s="16"/>
      <c r="T1209" s="23"/>
      <c r="U1209" s="23"/>
      <c r="V1209" s="23"/>
      <c r="W1209" s="16"/>
      <c r="X1209" s="23"/>
      <c r="Y1209" s="23"/>
      <c r="Z1209" s="23"/>
      <c r="AA1209" s="16"/>
      <c r="AB1209" s="23"/>
      <c r="AC1209" s="23"/>
      <c r="AD1209" s="23"/>
      <c r="AE1209" s="16"/>
      <c r="AF1209" s="23"/>
      <c r="AG1209" s="23"/>
      <c r="AH1209" s="23"/>
      <c r="AI1209" s="16"/>
      <c r="AJ1209" s="23"/>
      <c r="AK1209" s="23"/>
      <c r="AL1209" s="23"/>
      <c r="AM1209" s="16"/>
      <c r="AN1209" s="23"/>
      <c r="AO1209" s="23"/>
      <c r="AP1209" s="23"/>
      <c r="AQ1209" s="16"/>
      <c r="AR1209" s="23"/>
      <c r="AS1209" s="23"/>
      <c r="AT1209" s="23"/>
      <c r="AU1209" s="16"/>
      <c r="AV1209" s="23"/>
      <c r="AW1209" s="23"/>
      <c r="AX1209" s="23"/>
      <c r="AY1209" s="16"/>
      <c r="AZ1209" s="23"/>
      <c r="BA1209" s="23"/>
      <c r="BB1209" s="23"/>
      <c r="BC1209" s="16"/>
      <c r="BD1209" s="23"/>
      <c r="BE1209" s="23"/>
      <c r="BF1209" s="23"/>
      <c r="BJ1209" s="23"/>
      <c r="BN1209" s="23"/>
      <c r="BO1209" s="23">
        <v>642.39</v>
      </c>
      <c r="BP1209" s="16"/>
      <c r="BQ1209" s="16"/>
      <c r="BR1209" s="23">
        <v>642.39</v>
      </c>
      <c r="BS1209" s="16"/>
      <c r="BT1209" s="16"/>
      <c r="BU1209" s="16" t="s">
        <v>539</v>
      </c>
      <c r="BV1209" s="16" t="s">
        <v>3795</v>
      </c>
      <c r="BW1209" s="16"/>
      <c r="BX1209" s="16"/>
      <c r="BY1209" s="16"/>
    </row>
    <row r="1210">
      <c r="A1210" s="16" t="s">
        <v>7128</v>
      </c>
      <c r="B1210" s="16" t="s">
        <v>35</v>
      </c>
      <c r="C1210" s="22">
        <v>45759.0</v>
      </c>
      <c r="D1210" s="16" t="s">
        <v>112</v>
      </c>
      <c r="E1210" s="16" t="s">
        <v>7358</v>
      </c>
      <c r="F1210" s="16" t="s">
        <v>157</v>
      </c>
      <c r="G1210" s="16" t="s">
        <v>159</v>
      </c>
      <c r="H1210" s="16">
        <v>10.0</v>
      </c>
      <c r="I1210" s="23">
        <v>13.0</v>
      </c>
      <c r="J1210" s="23">
        <v>130.0</v>
      </c>
      <c r="K1210" s="16" t="s">
        <v>155</v>
      </c>
      <c r="L1210" s="23">
        <v>1.0</v>
      </c>
      <c r="M1210" s="23">
        <v>36.5</v>
      </c>
      <c r="N1210" s="23">
        <v>36.5</v>
      </c>
      <c r="O1210" s="16" t="s">
        <v>152</v>
      </c>
      <c r="P1210" s="23">
        <v>1.0</v>
      </c>
      <c r="Q1210" s="23">
        <v>9.92</v>
      </c>
      <c r="R1210" s="23">
        <v>9.92</v>
      </c>
      <c r="S1210" s="16" t="s">
        <v>226</v>
      </c>
      <c r="T1210" s="23">
        <v>1.0</v>
      </c>
      <c r="U1210" s="23">
        <v>38.0</v>
      </c>
      <c r="V1210" s="23">
        <v>38.0</v>
      </c>
      <c r="W1210" s="16"/>
      <c r="X1210" s="23"/>
      <c r="Y1210" s="23"/>
      <c r="Z1210" s="23">
        <v>0.0</v>
      </c>
      <c r="AA1210" s="16"/>
      <c r="AB1210" s="23"/>
      <c r="AC1210" s="23"/>
      <c r="AD1210" s="23">
        <v>0.0</v>
      </c>
      <c r="AE1210" s="16"/>
      <c r="AF1210" s="23"/>
      <c r="AG1210" s="23"/>
      <c r="AH1210" s="23">
        <v>0.0</v>
      </c>
      <c r="AI1210" s="16"/>
      <c r="AJ1210" s="23"/>
      <c r="AK1210" s="23"/>
      <c r="AL1210" s="23">
        <v>0.0</v>
      </c>
      <c r="AM1210" s="16"/>
      <c r="AN1210" s="23"/>
      <c r="AO1210" s="23"/>
      <c r="AP1210" s="23">
        <v>0.0</v>
      </c>
      <c r="AQ1210" s="16"/>
      <c r="AR1210" s="23"/>
      <c r="AS1210" s="23"/>
      <c r="AT1210" s="23">
        <v>0.0</v>
      </c>
      <c r="AU1210" s="16"/>
      <c r="AV1210" s="23"/>
      <c r="AW1210" s="23"/>
      <c r="AX1210" s="23">
        <v>0.0</v>
      </c>
      <c r="AY1210" s="16"/>
      <c r="AZ1210" s="23"/>
      <c r="BA1210" s="23"/>
      <c r="BB1210" s="23"/>
      <c r="BC1210" s="16"/>
      <c r="BD1210" s="23"/>
      <c r="BE1210" s="23"/>
      <c r="BF1210" s="23">
        <v>0.0</v>
      </c>
      <c r="BJ1210" s="23">
        <v>0.0</v>
      </c>
      <c r="BN1210" s="23">
        <v>0.0</v>
      </c>
      <c r="BO1210" s="23">
        <v>214.42</v>
      </c>
      <c r="BP1210" s="16" t="s">
        <v>7720</v>
      </c>
      <c r="BQ1210" s="16" t="b">
        <v>1</v>
      </c>
      <c r="BR1210" s="23">
        <v>214.42</v>
      </c>
      <c r="BS1210" s="16"/>
      <c r="BT1210" s="16" t="b">
        <v>0</v>
      </c>
      <c r="BU1210" s="16" t="s">
        <v>546</v>
      </c>
      <c r="BV1210" s="16"/>
      <c r="BW1210" s="16"/>
      <c r="BX1210" s="16"/>
      <c r="BY1210" s="16"/>
    </row>
    <row r="1211">
      <c r="A1211" s="16" t="s">
        <v>7133</v>
      </c>
      <c r="B1211" s="16" t="s">
        <v>35</v>
      </c>
      <c r="C1211" s="22">
        <v>45782.0</v>
      </c>
      <c r="D1211" s="16" t="s">
        <v>353</v>
      </c>
      <c r="E1211" s="16" t="s">
        <v>7727</v>
      </c>
      <c r="F1211" s="16" t="s">
        <v>7730</v>
      </c>
      <c r="G1211" s="16" t="s">
        <v>691</v>
      </c>
      <c r="H1211" s="16">
        <v>1.0</v>
      </c>
      <c r="I1211" s="23">
        <v>86.29</v>
      </c>
      <c r="J1211" s="23">
        <v>86.29</v>
      </c>
      <c r="K1211" s="16" t="s">
        <v>854</v>
      </c>
      <c r="L1211" s="23">
        <v>1.0</v>
      </c>
      <c r="M1211" s="23">
        <v>11.0</v>
      </c>
      <c r="N1211" s="23">
        <v>11.0</v>
      </c>
      <c r="O1211" s="16" t="s">
        <v>7136</v>
      </c>
      <c r="P1211" s="23">
        <v>1.0</v>
      </c>
      <c r="Q1211" s="23">
        <v>119.8</v>
      </c>
      <c r="R1211" s="23">
        <v>119.8</v>
      </c>
      <c r="S1211" s="16" t="s">
        <v>2348</v>
      </c>
      <c r="T1211" s="23">
        <v>1.0</v>
      </c>
      <c r="U1211" s="23">
        <v>64.95</v>
      </c>
      <c r="V1211" s="23">
        <v>64.95</v>
      </c>
      <c r="W1211" s="16"/>
      <c r="X1211" s="23"/>
      <c r="Y1211" s="23"/>
      <c r="Z1211" s="23">
        <v>0.0</v>
      </c>
      <c r="AA1211" s="16"/>
      <c r="AB1211" s="23"/>
      <c r="AC1211" s="23"/>
      <c r="AD1211" s="23">
        <v>0.0</v>
      </c>
      <c r="AE1211" s="16"/>
      <c r="AF1211" s="23"/>
      <c r="AG1211" s="23"/>
      <c r="AH1211" s="23">
        <v>0.0</v>
      </c>
      <c r="AI1211" s="16"/>
      <c r="AJ1211" s="23"/>
      <c r="AK1211" s="23"/>
      <c r="AL1211" s="23">
        <v>0.0</v>
      </c>
      <c r="AM1211" s="16"/>
      <c r="AN1211" s="23"/>
      <c r="AO1211" s="23"/>
      <c r="AP1211" s="23">
        <v>0.0</v>
      </c>
      <c r="AQ1211" s="16"/>
      <c r="AR1211" s="23"/>
      <c r="AS1211" s="23"/>
      <c r="AT1211" s="23">
        <v>0.0</v>
      </c>
      <c r="AU1211" s="16"/>
      <c r="AV1211" s="23"/>
      <c r="AW1211" s="23"/>
      <c r="AX1211" s="23">
        <v>0.0</v>
      </c>
      <c r="AY1211" s="16"/>
      <c r="AZ1211" s="23"/>
      <c r="BA1211" s="23"/>
      <c r="BB1211" s="23"/>
      <c r="BC1211" s="16"/>
      <c r="BD1211" s="23"/>
      <c r="BE1211" s="23"/>
      <c r="BF1211" s="23">
        <v>0.0</v>
      </c>
      <c r="BJ1211" s="23">
        <v>0.0</v>
      </c>
      <c r="BN1211" s="23">
        <v>0.0</v>
      </c>
      <c r="BO1211" s="23">
        <v>282.04</v>
      </c>
      <c r="BP1211" s="16" t="s">
        <v>7728</v>
      </c>
      <c r="BQ1211" s="16" t="b">
        <v>1</v>
      </c>
      <c r="BR1211" s="23">
        <v>282.04</v>
      </c>
      <c r="BS1211" s="16">
        <v>1467541.0</v>
      </c>
      <c r="BT1211" s="16" t="b">
        <v>1</v>
      </c>
      <c r="BU1211" s="16" t="s">
        <v>546</v>
      </c>
      <c r="BV1211" s="16"/>
      <c r="BW1211" s="16"/>
      <c r="BX1211" s="16"/>
      <c r="BY1211" s="16"/>
    </row>
    <row r="1212">
      <c r="A1212" s="16" t="s">
        <v>7139</v>
      </c>
      <c r="B1212" s="16" t="s">
        <v>35</v>
      </c>
      <c r="C1212" s="22">
        <v>45781.0</v>
      </c>
      <c r="D1212" s="16"/>
      <c r="E1212" s="16"/>
      <c r="F1212" s="16" t="s">
        <v>1791</v>
      </c>
      <c r="G1212" s="16" t="s">
        <v>1239</v>
      </c>
      <c r="H1212" s="16">
        <v>1.0</v>
      </c>
      <c r="I1212" s="23">
        <v>2618.46</v>
      </c>
      <c r="J1212" s="23">
        <v>2618.46</v>
      </c>
      <c r="K1212" s="16"/>
      <c r="L1212" s="23"/>
      <c r="M1212" s="23"/>
      <c r="N1212" s="23"/>
      <c r="O1212" s="16"/>
      <c r="P1212" s="23"/>
      <c r="Q1212" s="23"/>
      <c r="R1212" s="23"/>
      <c r="S1212" s="16"/>
      <c r="T1212" s="23"/>
      <c r="U1212" s="23"/>
      <c r="V1212" s="23"/>
      <c r="W1212" s="16"/>
      <c r="X1212" s="23"/>
      <c r="Y1212" s="23"/>
      <c r="Z1212" s="23"/>
      <c r="AA1212" s="16"/>
      <c r="AB1212" s="23"/>
      <c r="AC1212" s="23"/>
      <c r="AD1212" s="23"/>
      <c r="AE1212" s="16"/>
      <c r="AF1212" s="23"/>
      <c r="AG1212" s="23"/>
      <c r="AH1212" s="23"/>
      <c r="AI1212" s="16"/>
      <c r="AJ1212" s="23"/>
      <c r="AK1212" s="23"/>
      <c r="AL1212" s="23"/>
      <c r="AM1212" s="16"/>
      <c r="AN1212" s="23"/>
      <c r="AO1212" s="23"/>
      <c r="AP1212" s="23"/>
      <c r="AQ1212" s="16"/>
      <c r="AR1212" s="23"/>
      <c r="AS1212" s="23"/>
      <c r="AT1212" s="23"/>
      <c r="AU1212" s="16"/>
      <c r="AV1212" s="23"/>
      <c r="AW1212" s="23"/>
      <c r="AX1212" s="23"/>
      <c r="AY1212" s="16"/>
      <c r="AZ1212" s="23"/>
      <c r="BA1212" s="23"/>
      <c r="BB1212" s="23"/>
      <c r="BC1212" s="16"/>
      <c r="BD1212" s="23"/>
      <c r="BE1212" s="23"/>
      <c r="BF1212" s="23"/>
      <c r="BJ1212" s="23"/>
      <c r="BN1212" s="23"/>
      <c r="BO1212" s="23">
        <v>2618.46</v>
      </c>
      <c r="BP1212" s="16"/>
      <c r="BQ1212" s="16"/>
      <c r="BR1212" s="23">
        <v>2618.46</v>
      </c>
      <c r="BS1212" s="16"/>
      <c r="BT1212" s="16"/>
      <c r="BU1212" s="16" t="s">
        <v>539</v>
      </c>
      <c r="BV1212" s="16" t="s">
        <v>2052</v>
      </c>
      <c r="BW1212" s="16"/>
      <c r="BX1212" s="16"/>
      <c r="BY1212" s="16"/>
    </row>
    <row r="1213">
      <c r="A1213" s="16" t="s">
        <v>7141</v>
      </c>
      <c r="B1213" s="16" t="s">
        <v>35</v>
      </c>
      <c r="C1213" s="22">
        <v>45784.0</v>
      </c>
      <c r="D1213" s="16" t="s">
        <v>7740</v>
      </c>
      <c r="E1213" s="16" t="s">
        <v>7741</v>
      </c>
      <c r="F1213" s="16" t="s">
        <v>5136</v>
      </c>
      <c r="G1213" s="16" t="s">
        <v>6322</v>
      </c>
      <c r="H1213" s="16">
        <v>1.0</v>
      </c>
      <c r="I1213" s="23">
        <v>32.77</v>
      </c>
      <c r="J1213" s="23">
        <v>32.77</v>
      </c>
      <c r="K1213" s="16"/>
      <c r="L1213" s="23"/>
      <c r="M1213" s="23"/>
      <c r="N1213" s="23">
        <v>0.0</v>
      </c>
      <c r="O1213" s="16"/>
      <c r="P1213" s="23"/>
      <c r="Q1213" s="23"/>
      <c r="R1213" s="23">
        <v>0.0</v>
      </c>
      <c r="S1213" s="16"/>
      <c r="T1213" s="23"/>
      <c r="U1213" s="23"/>
      <c r="V1213" s="23">
        <v>0.0</v>
      </c>
      <c r="W1213" s="16"/>
      <c r="X1213" s="23"/>
      <c r="Y1213" s="23"/>
      <c r="Z1213" s="23">
        <v>0.0</v>
      </c>
      <c r="AA1213" s="16"/>
      <c r="AB1213" s="23"/>
      <c r="AC1213" s="23"/>
      <c r="AD1213" s="23">
        <v>0.0</v>
      </c>
      <c r="AE1213" s="16"/>
      <c r="AF1213" s="23"/>
      <c r="AG1213" s="23"/>
      <c r="AH1213" s="23">
        <v>0.0</v>
      </c>
      <c r="AI1213" s="16"/>
      <c r="AJ1213" s="23"/>
      <c r="AK1213" s="23"/>
      <c r="AL1213" s="23">
        <v>0.0</v>
      </c>
      <c r="AM1213" s="16"/>
      <c r="AN1213" s="23"/>
      <c r="AO1213" s="23"/>
      <c r="AP1213" s="23">
        <v>0.0</v>
      </c>
      <c r="AQ1213" s="16"/>
      <c r="AR1213" s="23"/>
      <c r="AS1213" s="23"/>
      <c r="AT1213" s="23">
        <v>0.0</v>
      </c>
      <c r="AU1213" s="16"/>
      <c r="AV1213" s="23"/>
      <c r="AW1213" s="23"/>
      <c r="AX1213" s="23">
        <v>0.0</v>
      </c>
      <c r="AY1213" s="16"/>
      <c r="AZ1213" s="23"/>
      <c r="BA1213" s="23"/>
      <c r="BB1213" s="23"/>
      <c r="BC1213" s="16"/>
      <c r="BD1213" s="23"/>
      <c r="BE1213" s="23"/>
      <c r="BF1213" s="23">
        <v>0.0</v>
      </c>
      <c r="BJ1213" s="23">
        <v>0.0</v>
      </c>
      <c r="BN1213" s="23">
        <v>0.0</v>
      </c>
      <c r="BO1213" s="23">
        <v>32.77</v>
      </c>
      <c r="BP1213" s="16" t="s">
        <v>7744</v>
      </c>
      <c r="BQ1213" s="16" t="b">
        <v>1</v>
      </c>
      <c r="BR1213" s="23">
        <v>32.77</v>
      </c>
      <c r="BS1213" s="16"/>
      <c r="BT1213" s="16" t="b">
        <v>0</v>
      </c>
      <c r="BU1213" s="16" t="s">
        <v>546</v>
      </c>
      <c r="BV1213" s="16"/>
      <c r="BW1213" s="16"/>
      <c r="BX1213" s="16"/>
      <c r="BY1213" s="16"/>
    </row>
    <row r="1214">
      <c r="A1214" s="16" t="s">
        <v>7143</v>
      </c>
      <c r="B1214" s="16" t="s">
        <v>35</v>
      </c>
      <c r="C1214" s="22">
        <v>45784.0</v>
      </c>
      <c r="D1214" s="16" t="s">
        <v>145</v>
      </c>
      <c r="E1214" s="16" t="s">
        <v>7753</v>
      </c>
      <c r="F1214" s="16" t="s">
        <v>147</v>
      </c>
      <c r="G1214" s="16" t="s">
        <v>1195</v>
      </c>
      <c r="H1214" s="16">
        <v>5.0</v>
      </c>
      <c r="I1214" s="23">
        <v>24.0</v>
      </c>
      <c r="J1214" s="23">
        <v>120.0</v>
      </c>
      <c r="K1214" s="16" t="s">
        <v>266</v>
      </c>
      <c r="L1214" s="23">
        <v>2.0</v>
      </c>
      <c r="M1214" s="23">
        <v>18.0</v>
      </c>
      <c r="N1214" s="23">
        <v>36.0</v>
      </c>
      <c r="O1214" s="16">
        <v>7.9788768E7</v>
      </c>
      <c r="P1214" s="23">
        <v>5.0</v>
      </c>
      <c r="Q1214" s="23">
        <v>5.5</v>
      </c>
      <c r="R1214" s="23">
        <v>27.5</v>
      </c>
      <c r="S1214" s="16"/>
      <c r="T1214" s="23"/>
      <c r="U1214" s="23"/>
      <c r="V1214" s="23">
        <v>0.0</v>
      </c>
      <c r="W1214" s="16"/>
      <c r="X1214" s="23"/>
      <c r="Y1214" s="23"/>
      <c r="Z1214" s="23">
        <v>0.0</v>
      </c>
      <c r="AA1214" s="16"/>
      <c r="AB1214" s="23"/>
      <c r="AC1214" s="23"/>
      <c r="AD1214" s="23">
        <v>0.0</v>
      </c>
      <c r="AE1214" s="16"/>
      <c r="AF1214" s="23"/>
      <c r="AG1214" s="23"/>
      <c r="AH1214" s="23">
        <v>0.0</v>
      </c>
      <c r="AI1214" s="16"/>
      <c r="AJ1214" s="23"/>
      <c r="AK1214" s="23"/>
      <c r="AL1214" s="23">
        <v>0.0</v>
      </c>
      <c r="AM1214" s="16"/>
      <c r="AN1214" s="23"/>
      <c r="AO1214" s="23"/>
      <c r="AP1214" s="23">
        <v>0.0</v>
      </c>
      <c r="AQ1214" s="16"/>
      <c r="AR1214" s="23"/>
      <c r="AS1214" s="23"/>
      <c r="AT1214" s="23">
        <v>0.0</v>
      </c>
      <c r="AU1214" s="16"/>
      <c r="AV1214" s="23"/>
      <c r="AW1214" s="23"/>
      <c r="AX1214" s="23">
        <v>0.0</v>
      </c>
      <c r="AY1214" s="16"/>
      <c r="AZ1214" s="23"/>
      <c r="BA1214" s="23"/>
      <c r="BB1214" s="23"/>
      <c r="BC1214" s="16"/>
      <c r="BD1214" s="23"/>
      <c r="BE1214" s="23"/>
      <c r="BF1214" s="23">
        <v>0.0</v>
      </c>
      <c r="BJ1214" s="23">
        <v>0.0</v>
      </c>
      <c r="BN1214" s="23">
        <v>0.0</v>
      </c>
      <c r="BO1214" s="23">
        <v>183.5</v>
      </c>
      <c r="BP1214" s="16" t="s">
        <v>7756</v>
      </c>
      <c r="BQ1214" s="16" t="b">
        <v>1</v>
      </c>
      <c r="BR1214" s="23">
        <v>183.5</v>
      </c>
      <c r="BS1214" s="16"/>
      <c r="BT1214" s="16" t="b">
        <v>0</v>
      </c>
      <c r="BU1214" s="16" t="s">
        <v>546</v>
      </c>
      <c r="BV1214" s="16"/>
      <c r="BW1214" s="16"/>
      <c r="BX1214" s="16"/>
      <c r="BY1214" s="16"/>
    </row>
    <row r="1215">
      <c r="A1215" s="16" t="s">
        <v>7147</v>
      </c>
      <c r="B1215" s="16" t="s">
        <v>35</v>
      </c>
      <c r="C1215" s="22">
        <v>45785.0</v>
      </c>
      <c r="D1215" s="16"/>
      <c r="E1215" s="16"/>
      <c r="F1215" s="16" t="s">
        <v>7760</v>
      </c>
      <c r="G1215" s="16" t="s">
        <v>1168</v>
      </c>
      <c r="H1215" s="16">
        <v>1.0</v>
      </c>
      <c r="I1215" s="23">
        <v>1600.0</v>
      </c>
      <c r="J1215" s="23">
        <v>1600.0</v>
      </c>
      <c r="K1215" s="16"/>
      <c r="L1215" s="23"/>
      <c r="M1215" s="23"/>
      <c r="N1215" s="23"/>
      <c r="O1215" s="16"/>
      <c r="P1215" s="23"/>
      <c r="Q1215" s="23"/>
      <c r="R1215" s="23"/>
      <c r="S1215" s="16"/>
      <c r="T1215" s="23"/>
      <c r="U1215" s="23"/>
      <c r="V1215" s="23"/>
      <c r="W1215" s="16"/>
      <c r="X1215" s="23"/>
      <c r="Y1215" s="23"/>
      <c r="Z1215" s="23"/>
      <c r="AA1215" s="16"/>
      <c r="AB1215" s="23"/>
      <c r="AC1215" s="23"/>
      <c r="AD1215" s="23"/>
      <c r="AE1215" s="16"/>
      <c r="AF1215" s="23"/>
      <c r="AG1215" s="23"/>
      <c r="AH1215" s="23"/>
      <c r="AI1215" s="16"/>
      <c r="AJ1215" s="23"/>
      <c r="AK1215" s="23"/>
      <c r="AL1215" s="23"/>
      <c r="AM1215" s="16"/>
      <c r="AN1215" s="23"/>
      <c r="AO1215" s="23"/>
      <c r="AP1215" s="23"/>
      <c r="AQ1215" s="16"/>
      <c r="AR1215" s="23"/>
      <c r="AS1215" s="23"/>
      <c r="AT1215" s="23"/>
      <c r="AU1215" s="16"/>
      <c r="AV1215" s="23"/>
      <c r="AW1215" s="23"/>
      <c r="AX1215" s="23"/>
      <c r="AY1215" s="16"/>
      <c r="AZ1215" s="23"/>
      <c r="BA1215" s="23"/>
      <c r="BB1215" s="23"/>
      <c r="BC1215" s="16"/>
      <c r="BD1215" s="23"/>
      <c r="BE1215" s="23"/>
      <c r="BF1215" s="23"/>
      <c r="BJ1215" s="23"/>
      <c r="BN1215" s="23"/>
      <c r="BO1215" s="23">
        <v>1600.0</v>
      </c>
      <c r="BP1215" s="16"/>
      <c r="BQ1215" s="16"/>
      <c r="BR1215" s="23">
        <v>1600.0</v>
      </c>
      <c r="BS1215" s="16"/>
      <c r="BT1215" s="16"/>
      <c r="BU1215" s="16" t="s">
        <v>539</v>
      </c>
      <c r="BV1215" s="16" t="s">
        <v>624</v>
      </c>
      <c r="BW1215" s="16"/>
      <c r="BX1215" s="16"/>
      <c r="BY1215" s="16"/>
    </row>
    <row r="1216">
      <c r="A1216" s="16" t="s">
        <v>7149</v>
      </c>
      <c r="B1216" s="16" t="s">
        <v>35</v>
      </c>
      <c r="C1216" s="22">
        <v>45787.0</v>
      </c>
      <c r="D1216" s="16"/>
      <c r="E1216" s="16"/>
      <c r="F1216" s="16" t="s">
        <v>1329</v>
      </c>
      <c r="G1216" s="16" t="s">
        <v>1168</v>
      </c>
      <c r="H1216" s="16">
        <v>1.0</v>
      </c>
      <c r="I1216" s="23">
        <v>500.0</v>
      </c>
      <c r="J1216" s="23">
        <v>500.0</v>
      </c>
      <c r="K1216" s="16"/>
      <c r="L1216" s="23"/>
      <c r="M1216" s="23"/>
      <c r="N1216" s="23"/>
      <c r="O1216" s="16"/>
      <c r="P1216" s="23"/>
      <c r="Q1216" s="23"/>
      <c r="R1216" s="23"/>
      <c r="S1216" s="16"/>
      <c r="T1216" s="23"/>
      <c r="U1216" s="23"/>
      <c r="V1216" s="23"/>
      <c r="W1216" s="16"/>
      <c r="X1216" s="23"/>
      <c r="Y1216" s="23"/>
      <c r="Z1216" s="23"/>
      <c r="AA1216" s="16"/>
      <c r="AB1216" s="23"/>
      <c r="AC1216" s="23"/>
      <c r="AD1216" s="23"/>
      <c r="AE1216" s="16"/>
      <c r="AF1216" s="23"/>
      <c r="AG1216" s="23"/>
      <c r="AH1216" s="23"/>
      <c r="AI1216" s="16"/>
      <c r="AJ1216" s="23"/>
      <c r="AK1216" s="23"/>
      <c r="AL1216" s="23"/>
      <c r="AM1216" s="16"/>
      <c r="AN1216" s="23"/>
      <c r="AO1216" s="23"/>
      <c r="AP1216" s="23"/>
      <c r="AQ1216" s="16"/>
      <c r="AR1216" s="23"/>
      <c r="AS1216" s="23"/>
      <c r="AT1216" s="23"/>
      <c r="AU1216" s="16"/>
      <c r="AV1216" s="23"/>
      <c r="AW1216" s="23"/>
      <c r="AX1216" s="23"/>
      <c r="AY1216" s="16"/>
      <c r="AZ1216" s="23"/>
      <c r="BA1216" s="23"/>
      <c r="BB1216" s="23"/>
      <c r="BC1216" s="16"/>
      <c r="BD1216" s="23"/>
      <c r="BE1216" s="23"/>
      <c r="BF1216" s="23"/>
      <c r="BJ1216" s="23"/>
      <c r="BN1216" s="23"/>
      <c r="BO1216" s="23">
        <v>500.0</v>
      </c>
      <c r="BP1216" s="16"/>
      <c r="BQ1216" s="16"/>
      <c r="BR1216" s="23">
        <v>500.0</v>
      </c>
      <c r="BS1216" s="16"/>
      <c r="BT1216" s="16"/>
      <c r="BU1216" s="16" t="s">
        <v>539</v>
      </c>
      <c r="BV1216" s="16" t="s">
        <v>3795</v>
      </c>
      <c r="BW1216" s="16"/>
      <c r="BX1216" s="16"/>
      <c r="BY1216" s="16"/>
    </row>
    <row r="1217">
      <c r="A1217" s="16" t="s">
        <v>7151</v>
      </c>
      <c r="B1217" s="16" t="s">
        <v>35</v>
      </c>
      <c r="C1217" s="22">
        <v>45784.0</v>
      </c>
      <c r="D1217" s="16" t="s">
        <v>543</v>
      </c>
      <c r="E1217" s="16" t="s">
        <v>7767</v>
      </c>
      <c r="F1217" s="16" t="s">
        <v>171</v>
      </c>
      <c r="G1217" s="16">
        <v>1.2539885E7</v>
      </c>
      <c r="H1217" s="16">
        <v>1.0</v>
      </c>
      <c r="I1217" s="23">
        <v>250.0</v>
      </c>
      <c r="J1217" s="23">
        <v>250.0</v>
      </c>
      <c r="K1217" s="16"/>
      <c r="L1217" s="23"/>
      <c r="M1217" s="23"/>
      <c r="N1217" s="23">
        <v>0.0</v>
      </c>
      <c r="O1217" s="16"/>
      <c r="P1217" s="23"/>
      <c r="Q1217" s="23"/>
      <c r="R1217" s="23">
        <v>0.0</v>
      </c>
      <c r="S1217" s="16"/>
      <c r="T1217" s="23"/>
      <c r="U1217" s="23"/>
      <c r="V1217" s="23">
        <v>0.0</v>
      </c>
      <c r="W1217" s="16"/>
      <c r="X1217" s="23"/>
      <c r="Y1217" s="23"/>
      <c r="Z1217" s="23">
        <v>0.0</v>
      </c>
      <c r="AA1217" s="16"/>
      <c r="AB1217" s="23"/>
      <c r="AC1217" s="23"/>
      <c r="AD1217" s="23">
        <v>0.0</v>
      </c>
      <c r="AE1217" s="16"/>
      <c r="AF1217" s="23"/>
      <c r="AG1217" s="23"/>
      <c r="AH1217" s="23">
        <v>0.0</v>
      </c>
      <c r="AI1217" s="16"/>
      <c r="AJ1217" s="23"/>
      <c r="AK1217" s="23"/>
      <c r="AL1217" s="23">
        <v>0.0</v>
      </c>
      <c r="AM1217" s="16"/>
      <c r="AN1217" s="23"/>
      <c r="AO1217" s="23"/>
      <c r="AP1217" s="23">
        <v>0.0</v>
      </c>
      <c r="AQ1217" s="16"/>
      <c r="AR1217" s="23"/>
      <c r="AS1217" s="23"/>
      <c r="AT1217" s="23">
        <v>0.0</v>
      </c>
      <c r="AU1217" s="16"/>
      <c r="AV1217" s="23"/>
      <c r="AW1217" s="23"/>
      <c r="AX1217" s="23">
        <v>0.0</v>
      </c>
      <c r="AY1217" s="16"/>
      <c r="AZ1217" s="23"/>
      <c r="BA1217" s="23"/>
      <c r="BB1217" s="23"/>
      <c r="BC1217" s="16"/>
      <c r="BD1217" s="23"/>
      <c r="BE1217" s="23"/>
      <c r="BF1217" s="23">
        <v>0.0</v>
      </c>
      <c r="BJ1217" s="23">
        <v>0.0</v>
      </c>
      <c r="BN1217" s="23">
        <v>0.0</v>
      </c>
      <c r="BO1217" s="23">
        <v>250.0</v>
      </c>
      <c r="BP1217" s="16" t="s">
        <v>7769</v>
      </c>
      <c r="BQ1217" s="16" t="b">
        <v>1</v>
      </c>
      <c r="BR1217" s="23">
        <v>250.0</v>
      </c>
      <c r="BS1217" s="16"/>
      <c r="BT1217" s="16" t="b">
        <v>0</v>
      </c>
      <c r="BU1217" s="16" t="s">
        <v>546</v>
      </c>
      <c r="BV1217" s="16"/>
      <c r="BW1217" s="16"/>
      <c r="BX1217" s="16"/>
      <c r="BY1217" s="16"/>
    </row>
    <row r="1218">
      <c r="A1218" s="16" t="s">
        <v>7153</v>
      </c>
      <c r="B1218" s="16" t="s">
        <v>35</v>
      </c>
      <c r="C1218" s="22">
        <v>45785.0</v>
      </c>
      <c r="D1218" s="16" t="s">
        <v>764</v>
      </c>
      <c r="E1218" s="16" t="s">
        <v>7773</v>
      </c>
      <c r="F1218" s="16" t="s">
        <v>195</v>
      </c>
      <c r="G1218" s="16" t="s">
        <v>1404</v>
      </c>
      <c r="H1218" s="16">
        <v>1.0</v>
      </c>
      <c r="I1218" s="23">
        <v>64.0</v>
      </c>
      <c r="J1218" s="23">
        <v>64.0</v>
      </c>
      <c r="K1218" s="16">
        <v>7.5375964E7</v>
      </c>
      <c r="L1218" s="23">
        <v>1.0</v>
      </c>
      <c r="M1218" s="23">
        <v>64.0</v>
      </c>
      <c r="N1218" s="23">
        <v>64.0</v>
      </c>
      <c r="O1218" s="16" t="s">
        <v>1387</v>
      </c>
      <c r="P1218" s="23">
        <v>1.0</v>
      </c>
      <c r="Q1218" s="23">
        <v>45.0</v>
      </c>
      <c r="R1218" s="23">
        <v>45.0</v>
      </c>
      <c r="S1218" s="16" t="s">
        <v>1074</v>
      </c>
      <c r="T1218" s="23">
        <v>2.0</v>
      </c>
      <c r="U1218" s="23">
        <v>75.0</v>
      </c>
      <c r="V1218" s="23">
        <v>150.0</v>
      </c>
      <c r="W1218" s="16"/>
      <c r="X1218" s="23"/>
      <c r="Y1218" s="23"/>
      <c r="Z1218" s="23">
        <v>0.0</v>
      </c>
      <c r="AA1218" s="16"/>
      <c r="AB1218" s="23"/>
      <c r="AC1218" s="23"/>
      <c r="AD1218" s="23">
        <v>0.0</v>
      </c>
      <c r="AE1218" s="16"/>
      <c r="AF1218" s="23"/>
      <c r="AG1218" s="23"/>
      <c r="AH1218" s="23">
        <v>0.0</v>
      </c>
      <c r="AI1218" s="16"/>
      <c r="AJ1218" s="23"/>
      <c r="AK1218" s="23"/>
      <c r="AL1218" s="23">
        <v>0.0</v>
      </c>
      <c r="AM1218" s="16"/>
      <c r="AN1218" s="23"/>
      <c r="AO1218" s="23"/>
      <c r="AP1218" s="23">
        <v>0.0</v>
      </c>
      <c r="AQ1218" s="16"/>
      <c r="AR1218" s="23"/>
      <c r="AS1218" s="23"/>
      <c r="AT1218" s="23">
        <v>0.0</v>
      </c>
      <c r="AU1218" s="16"/>
      <c r="AV1218" s="23"/>
      <c r="AW1218" s="23"/>
      <c r="AX1218" s="23">
        <v>0.0</v>
      </c>
      <c r="AY1218" s="16"/>
      <c r="AZ1218" s="23"/>
      <c r="BA1218" s="23"/>
      <c r="BB1218" s="23"/>
      <c r="BC1218" s="16"/>
      <c r="BD1218" s="23"/>
      <c r="BE1218" s="23"/>
      <c r="BF1218" s="23">
        <v>0.0</v>
      </c>
      <c r="BJ1218" s="23">
        <v>0.0</v>
      </c>
      <c r="BN1218" s="23">
        <v>0.0</v>
      </c>
      <c r="BO1218" s="23">
        <v>323.0</v>
      </c>
      <c r="BP1218" s="16" t="s">
        <v>7775</v>
      </c>
      <c r="BQ1218" s="16" t="b">
        <v>1</v>
      </c>
      <c r="BR1218" s="23">
        <v>323.0</v>
      </c>
      <c r="BS1218" s="16"/>
      <c r="BT1218" s="16" t="b">
        <v>0</v>
      </c>
      <c r="BU1218" s="16" t="s">
        <v>546</v>
      </c>
      <c r="BV1218" s="16"/>
      <c r="BW1218" s="16"/>
      <c r="BX1218" s="16"/>
      <c r="BY1218" s="16"/>
    </row>
    <row r="1219">
      <c r="A1219" s="16" t="s">
        <v>7158</v>
      </c>
      <c r="B1219" s="16" t="s">
        <v>35</v>
      </c>
      <c r="C1219" s="22">
        <v>45785.0</v>
      </c>
      <c r="D1219" s="16" t="s">
        <v>764</v>
      </c>
      <c r="E1219" s="16" t="s">
        <v>7773</v>
      </c>
      <c r="F1219" s="16" t="s">
        <v>195</v>
      </c>
      <c r="G1219" s="16" t="s">
        <v>1073</v>
      </c>
      <c r="H1219" s="16">
        <v>1.0</v>
      </c>
      <c r="I1219" s="23">
        <v>20.1</v>
      </c>
      <c r="J1219" s="23">
        <v>20.1</v>
      </c>
      <c r="K1219" s="16" t="s">
        <v>1404</v>
      </c>
      <c r="L1219" s="23">
        <v>1.0</v>
      </c>
      <c r="M1219" s="23">
        <v>64.0</v>
      </c>
      <c r="N1219" s="23">
        <v>64.0</v>
      </c>
      <c r="O1219" s="16" t="s">
        <v>1074</v>
      </c>
      <c r="P1219" s="23">
        <v>2.0</v>
      </c>
      <c r="Q1219" s="23">
        <v>38.0</v>
      </c>
      <c r="R1219" s="23">
        <v>76.0</v>
      </c>
      <c r="S1219" s="16" t="s">
        <v>1077</v>
      </c>
      <c r="T1219" s="23">
        <v>2.0</v>
      </c>
      <c r="U1219" s="23">
        <v>24.0</v>
      </c>
      <c r="V1219" s="23">
        <v>48.0</v>
      </c>
      <c r="W1219" s="16" t="s">
        <v>1079</v>
      </c>
      <c r="X1219" s="23">
        <v>10.0</v>
      </c>
      <c r="Y1219" s="23">
        <v>16.6</v>
      </c>
      <c r="Z1219" s="23">
        <v>166.0</v>
      </c>
      <c r="AA1219" s="16" t="s">
        <v>1083</v>
      </c>
      <c r="AB1219" s="23">
        <v>1.0</v>
      </c>
      <c r="AC1219" s="23">
        <v>18.0</v>
      </c>
      <c r="AD1219" s="23">
        <v>18.0</v>
      </c>
      <c r="AE1219" s="16" t="s">
        <v>1091</v>
      </c>
      <c r="AF1219" s="23">
        <v>1.0</v>
      </c>
      <c r="AG1219" s="23">
        <v>24.0</v>
      </c>
      <c r="AH1219" s="23">
        <v>24.0</v>
      </c>
      <c r="AI1219" s="16" t="s">
        <v>1091</v>
      </c>
      <c r="AJ1219" s="23">
        <v>1.0</v>
      </c>
      <c r="AK1219" s="23">
        <v>36.0</v>
      </c>
      <c r="AL1219" s="23">
        <v>36.0</v>
      </c>
      <c r="AM1219" s="16"/>
      <c r="AN1219" s="23"/>
      <c r="AO1219" s="23"/>
      <c r="AP1219" s="23">
        <v>0.0</v>
      </c>
      <c r="AQ1219" s="16"/>
      <c r="AR1219" s="23"/>
      <c r="AS1219" s="23"/>
      <c r="AT1219" s="23">
        <v>0.0</v>
      </c>
      <c r="AU1219" s="16"/>
      <c r="AV1219" s="23"/>
      <c r="AW1219" s="23"/>
      <c r="AX1219" s="23">
        <v>0.0</v>
      </c>
      <c r="AY1219" s="16"/>
      <c r="AZ1219" s="23"/>
      <c r="BA1219" s="23"/>
      <c r="BB1219" s="23"/>
      <c r="BC1219" s="16"/>
      <c r="BD1219" s="23"/>
      <c r="BE1219" s="23"/>
      <c r="BF1219" s="23">
        <v>0.0</v>
      </c>
      <c r="BJ1219" s="23">
        <v>0.0</v>
      </c>
      <c r="BN1219" s="23">
        <v>0.0</v>
      </c>
      <c r="BO1219" s="23">
        <v>452.1</v>
      </c>
      <c r="BP1219" s="16" t="s">
        <v>7781</v>
      </c>
      <c r="BQ1219" s="16" t="b">
        <v>1</v>
      </c>
      <c r="BR1219" s="23">
        <v>452.1</v>
      </c>
      <c r="BS1219" s="16"/>
      <c r="BT1219" s="16" t="b">
        <v>0</v>
      </c>
      <c r="BU1219" s="16" t="s">
        <v>546</v>
      </c>
      <c r="BV1219" s="16"/>
      <c r="BW1219" s="16"/>
      <c r="BX1219" s="16"/>
      <c r="BY1219" s="16"/>
    </row>
    <row r="1220">
      <c r="A1220" s="16" t="s">
        <v>7167</v>
      </c>
      <c r="B1220" s="16" t="s">
        <v>35</v>
      </c>
      <c r="C1220" s="22">
        <v>45786.0</v>
      </c>
      <c r="D1220" s="16" t="s">
        <v>112</v>
      </c>
      <c r="E1220" s="16" t="s">
        <v>7785</v>
      </c>
      <c r="F1220" s="16" t="s">
        <v>157</v>
      </c>
      <c r="G1220" s="16" t="s">
        <v>159</v>
      </c>
      <c r="H1220" s="16">
        <v>1.0</v>
      </c>
      <c r="I1220" s="23">
        <v>280.0</v>
      </c>
      <c r="J1220" s="23">
        <v>280.0</v>
      </c>
      <c r="K1220" s="16" t="s">
        <v>155</v>
      </c>
      <c r="L1220" s="23">
        <v>1.0</v>
      </c>
      <c r="M1220" s="23">
        <v>74.33</v>
      </c>
      <c r="N1220" s="23">
        <v>74.33</v>
      </c>
      <c r="O1220" s="16" t="s">
        <v>152</v>
      </c>
      <c r="P1220" s="23">
        <v>1.0</v>
      </c>
      <c r="Q1220" s="23">
        <v>13.6</v>
      </c>
      <c r="R1220" s="23">
        <v>13.6</v>
      </c>
      <c r="S1220" s="16" t="s">
        <v>226</v>
      </c>
      <c r="T1220" s="23">
        <v>1.0</v>
      </c>
      <c r="U1220" s="23">
        <v>76.5</v>
      </c>
      <c r="V1220" s="23">
        <v>76.5</v>
      </c>
      <c r="W1220" s="16"/>
      <c r="X1220" s="23"/>
      <c r="Y1220" s="23"/>
      <c r="Z1220" s="23">
        <v>0.0</v>
      </c>
      <c r="AA1220" s="16"/>
      <c r="AB1220" s="23"/>
      <c r="AC1220" s="23"/>
      <c r="AD1220" s="23">
        <v>0.0</v>
      </c>
      <c r="AE1220" s="16"/>
      <c r="AF1220" s="23"/>
      <c r="AG1220" s="23"/>
      <c r="AH1220" s="23">
        <v>0.0</v>
      </c>
      <c r="AI1220" s="16"/>
      <c r="AJ1220" s="23"/>
      <c r="AK1220" s="23"/>
      <c r="AL1220" s="23">
        <v>0.0</v>
      </c>
      <c r="AM1220" s="16"/>
      <c r="AN1220" s="23"/>
      <c r="AO1220" s="23"/>
      <c r="AP1220" s="23">
        <v>0.0</v>
      </c>
      <c r="AQ1220" s="16"/>
      <c r="AR1220" s="23"/>
      <c r="AS1220" s="23"/>
      <c r="AT1220" s="23">
        <v>0.0</v>
      </c>
      <c r="AU1220" s="16"/>
      <c r="AV1220" s="23"/>
      <c r="AW1220" s="23"/>
      <c r="AX1220" s="23">
        <v>0.0</v>
      </c>
      <c r="AY1220" s="16"/>
      <c r="AZ1220" s="23"/>
      <c r="BA1220" s="23"/>
      <c r="BB1220" s="23"/>
      <c r="BC1220" s="16"/>
      <c r="BD1220" s="23"/>
      <c r="BE1220" s="23"/>
      <c r="BF1220" s="23">
        <v>0.0</v>
      </c>
      <c r="BJ1220" s="23">
        <v>0.0</v>
      </c>
      <c r="BN1220" s="23">
        <v>0.0</v>
      </c>
      <c r="BO1220" s="23">
        <v>444.43</v>
      </c>
      <c r="BP1220" s="16" t="s">
        <v>7786</v>
      </c>
      <c r="BQ1220" s="16" t="b">
        <v>1</v>
      </c>
      <c r="BR1220" s="23">
        <v>444.43</v>
      </c>
      <c r="BS1220" s="16"/>
      <c r="BT1220" s="16" t="b">
        <v>0</v>
      </c>
      <c r="BU1220" s="16" t="s">
        <v>546</v>
      </c>
      <c r="BV1220" s="16"/>
      <c r="BW1220" s="16"/>
      <c r="BX1220" s="16"/>
      <c r="BY1220" s="16"/>
    </row>
    <row r="1221">
      <c r="A1221" s="16" t="s">
        <v>7172</v>
      </c>
      <c r="B1221" s="16" t="s">
        <v>35</v>
      </c>
      <c r="C1221" s="22">
        <v>45787.0</v>
      </c>
      <c r="D1221" s="16">
        <v>8.627274E7</v>
      </c>
      <c r="E1221" s="16" t="s">
        <v>7793</v>
      </c>
      <c r="F1221" s="16" t="s">
        <v>236</v>
      </c>
      <c r="G1221" s="16" t="s">
        <v>305</v>
      </c>
      <c r="H1221" s="16">
        <v>1.0</v>
      </c>
      <c r="I1221" s="23">
        <v>93.85</v>
      </c>
      <c r="J1221" s="23">
        <v>93.85</v>
      </c>
      <c r="K1221" s="16"/>
      <c r="L1221" s="23"/>
      <c r="M1221" s="23"/>
      <c r="N1221" s="23">
        <v>0.0</v>
      </c>
      <c r="O1221" s="16"/>
      <c r="P1221" s="23"/>
      <c r="Q1221" s="23"/>
      <c r="R1221" s="23">
        <v>0.0</v>
      </c>
      <c r="S1221" s="16"/>
      <c r="T1221" s="23"/>
      <c r="U1221" s="23"/>
      <c r="V1221" s="23">
        <v>0.0</v>
      </c>
      <c r="W1221" s="16"/>
      <c r="X1221" s="23"/>
      <c r="Y1221" s="23"/>
      <c r="Z1221" s="23">
        <v>0.0</v>
      </c>
      <c r="AA1221" s="16"/>
      <c r="AB1221" s="23"/>
      <c r="AC1221" s="23"/>
      <c r="AD1221" s="23">
        <v>0.0</v>
      </c>
      <c r="AE1221" s="16"/>
      <c r="AF1221" s="23"/>
      <c r="AG1221" s="23"/>
      <c r="AH1221" s="23">
        <v>0.0</v>
      </c>
      <c r="AI1221" s="16"/>
      <c r="AJ1221" s="23"/>
      <c r="AK1221" s="23"/>
      <c r="AL1221" s="23">
        <v>0.0</v>
      </c>
      <c r="AM1221" s="16"/>
      <c r="AN1221" s="23"/>
      <c r="AO1221" s="23"/>
      <c r="AP1221" s="23">
        <v>0.0</v>
      </c>
      <c r="AQ1221" s="16"/>
      <c r="AR1221" s="23"/>
      <c r="AS1221" s="23"/>
      <c r="AT1221" s="23">
        <v>0.0</v>
      </c>
      <c r="AU1221" s="16"/>
      <c r="AV1221" s="23"/>
      <c r="AW1221" s="23"/>
      <c r="AX1221" s="23">
        <v>0.0</v>
      </c>
      <c r="AY1221" s="16"/>
      <c r="AZ1221" s="23"/>
      <c r="BA1221" s="23"/>
      <c r="BB1221" s="23"/>
      <c r="BC1221" s="16"/>
      <c r="BD1221" s="23"/>
      <c r="BE1221" s="23"/>
      <c r="BF1221" s="23">
        <v>0.0</v>
      </c>
      <c r="BJ1221" s="23">
        <v>0.0</v>
      </c>
      <c r="BN1221" s="23">
        <v>0.0</v>
      </c>
      <c r="BO1221" s="23">
        <v>93.85</v>
      </c>
      <c r="BP1221" s="16" t="s">
        <v>7794</v>
      </c>
      <c r="BQ1221" s="16" t="b">
        <v>1</v>
      </c>
      <c r="BR1221" s="23">
        <v>93.85</v>
      </c>
      <c r="BS1221" s="16">
        <v>1475171.0</v>
      </c>
      <c r="BT1221" s="16" t="b">
        <v>1</v>
      </c>
      <c r="BU1221" s="16" t="s">
        <v>546</v>
      </c>
      <c r="BV1221" s="16"/>
      <c r="BW1221" s="16"/>
      <c r="BX1221" s="16"/>
      <c r="BY1221" s="16"/>
    </row>
    <row r="1222">
      <c r="A1222" s="16" t="s">
        <v>7174</v>
      </c>
      <c r="B1222" s="16" t="s">
        <v>35</v>
      </c>
      <c r="C1222" s="22">
        <v>45789.0</v>
      </c>
      <c r="D1222" s="16">
        <v>6.8893939E7</v>
      </c>
      <c r="E1222" s="16"/>
      <c r="F1222" s="16" t="s">
        <v>7799</v>
      </c>
      <c r="G1222" s="16" t="s">
        <v>1653</v>
      </c>
      <c r="H1222" s="16">
        <v>1.0</v>
      </c>
      <c r="I1222" s="23">
        <v>19.61</v>
      </c>
      <c r="J1222" s="23">
        <v>19.61</v>
      </c>
      <c r="K1222" s="16"/>
      <c r="L1222" s="23"/>
      <c r="M1222" s="23"/>
      <c r="N1222" s="23"/>
      <c r="O1222" s="16"/>
      <c r="P1222" s="23"/>
      <c r="Q1222" s="23"/>
      <c r="R1222" s="23"/>
      <c r="S1222" s="16"/>
      <c r="T1222" s="23"/>
      <c r="U1222" s="23"/>
      <c r="V1222" s="23"/>
      <c r="W1222" s="16"/>
      <c r="X1222" s="23"/>
      <c r="Y1222" s="23"/>
      <c r="Z1222" s="23"/>
      <c r="AA1222" s="16"/>
      <c r="AB1222" s="23"/>
      <c r="AC1222" s="23"/>
      <c r="AD1222" s="23"/>
      <c r="AE1222" s="16"/>
      <c r="AF1222" s="23"/>
      <c r="AG1222" s="23"/>
      <c r="AH1222" s="23"/>
      <c r="AI1222" s="16"/>
      <c r="AJ1222" s="23"/>
      <c r="AK1222" s="23"/>
      <c r="AL1222" s="23"/>
      <c r="AM1222" s="16"/>
      <c r="AN1222" s="23"/>
      <c r="AO1222" s="23"/>
      <c r="AP1222" s="23"/>
      <c r="AQ1222" s="16"/>
      <c r="AR1222" s="23"/>
      <c r="AS1222" s="23"/>
      <c r="AT1222" s="23"/>
      <c r="AU1222" s="16"/>
      <c r="AV1222" s="23"/>
      <c r="AW1222" s="23"/>
      <c r="AX1222" s="23"/>
      <c r="AY1222" s="16"/>
      <c r="AZ1222" s="23"/>
      <c r="BA1222" s="23"/>
      <c r="BB1222" s="23"/>
      <c r="BC1222" s="16"/>
      <c r="BD1222" s="23"/>
      <c r="BE1222" s="23"/>
      <c r="BF1222" s="23"/>
      <c r="BJ1222" s="23"/>
      <c r="BN1222" s="23"/>
      <c r="BO1222" s="23">
        <v>19.61</v>
      </c>
      <c r="BP1222" s="16"/>
      <c r="BQ1222" s="16"/>
      <c r="BR1222" s="23">
        <v>19.61</v>
      </c>
      <c r="BS1222" s="16"/>
      <c r="BT1222" s="16"/>
      <c r="BU1222" s="16" t="s">
        <v>539</v>
      </c>
      <c r="BV1222" s="16"/>
      <c r="BW1222" s="16"/>
      <c r="BX1222" s="16"/>
      <c r="BY1222" s="16"/>
    </row>
    <row r="1223">
      <c r="A1223" s="16" t="s">
        <v>7176</v>
      </c>
      <c r="B1223" s="16" t="s">
        <v>35</v>
      </c>
      <c r="C1223" s="22">
        <v>45789.0</v>
      </c>
      <c r="D1223" s="16" t="s">
        <v>2248</v>
      </c>
      <c r="E1223" s="16"/>
      <c r="F1223" s="16" t="s">
        <v>2549</v>
      </c>
      <c r="G1223" s="16" t="s">
        <v>3218</v>
      </c>
      <c r="H1223" s="16">
        <v>1.0</v>
      </c>
      <c r="I1223" s="23">
        <v>366.15</v>
      </c>
      <c r="J1223" s="23">
        <v>366.15</v>
      </c>
      <c r="K1223" s="16"/>
      <c r="L1223" s="23"/>
      <c r="M1223" s="23"/>
      <c r="N1223" s="23"/>
      <c r="O1223" s="16"/>
      <c r="P1223" s="23"/>
      <c r="Q1223" s="23"/>
      <c r="R1223" s="23"/>
      <c r="S1223" s="16"/>
      <c r="T1223" s="23"/>
      <c r="U1223" s="23"/>
      <c r="V1223" s="23"/>
      <c r="W1223" s="16"/>
      <c r="X1223" s="23"/>
      <c r="Y1223" s="23"/>
      <c r="Z1223" s="23"/>
      <c r="AA1223" s="16"/>
      <c r="AB1223" s="23"/>
      <c r="AC1223" s="23"/>
      <c r="AD1223" s="23"/>
      <c r="AE1223" s="16"/>
      <c r="AF1223" s="23"/>
      <c r="AG1223" s="23"/>
      <c r="AH1223" s="23"/>
      <c r="AI1223" s="16"/>
      <c r="AJ1223" s="23"/>
      <c r="AK1223" s="23"/>
      <c r="AL1223" s="23"/>
      <c r="AM1223" s="16"/>
      <c r="AN1223" s="23"/>
      <c r="AO1223" s="23"/>
      <c r="AP1223" s="23"/>
      <c r="AQ1223" s="16"/>
      <c r="AR1223" s="23"/>
      <c r="AS1223" s="23"/>
      <c r="AT1223" s="23"/>
      <c r="AU1223" s="16"/>
      <c r="AV1223" s="23"/>
      <c r="AW1223" s="23"/>
      <c r="AX1223" s="23"/>
      <c r="AY1223" s="16"/>
      <c r="AZ1223" s="23"/>
      <c r="BA1223" s="23"/>
      <c r="BB1223" s="23"/>
      <c r="BC1223" s="16"/>
      <c r="BD1223" s="23"/>
      <c r="BE1223" s="23"/>
      <c r="BF1223" s="23"/>
      <c r="BJ1223" s="23"/>
      <c r="BN1223" s="23"/>
      <c r="BO1223" s="23">
        <v>366.15</v>
      </c>
      <c r="BP1223" s="16"/>
      <c r="BQ1223" s="16"/>
      <c r="BR1223" s="23">
        <v>366.15</v>
      </c>
      <c r="BS1223" s="16"/>
      <c r="BT1223" s="16"/>
      <c r="BU1223" s="16" t="s">
        <v>539</v>
      </c>
      <c r="BV1223" s="16"/>
      <c r="BW1223" s="16"/>
      <c r="BX1223" s="16"/>
      <c r="BY1223" s="16"/>
    </row>
    <row r="1224">
      <c r="A1224" s="16" t="s">
        <v>7178</v>
      </c>
      <c r="B1224" s="16" t="s">
        <v>35</v>
      </c>
      <c r="C1224" s="22">
        <v>45789.0</v>
      </c>
      <c r="D1224" s="16" t="s">
        <v>460</v>
      </c>
      <c r="E1224" s="16"/>
      <c r="F1224" s="16" t="s">
        <v>7811</v>
      </c>
      <c r="G1224" s="16" t="s">
        <v>7179</v>
      </c>
      <c r="H1224" s="16">
        <v>1.0</v>
      </c>
      <c r="I1224" s="23">
        <v>230.0</v>
      </c>
      <c r="J1224" s="23">
        <v>230.0</v>
      </c>
      <c r="K1224" s="16"/>
      <c r="L1224" s="23"/>
      <c r="M1224" s="23"/>
      <c r="N1224" s="23"/>
      <c r="O1224" s="16"/>
      <c r="P1224" s="23"/>
      <c r="Q1224" s="23"/>
      <c r="R1224" s="23"/>
      <c r="S1224" s="16"/>
      <c r="T1224" s="23"/>
      <c r="U1224" s="23"/>
      <c r="V1224" s="23"/>
      <c r="W1224" s="16"/>
      <c r="X1224" s="23"/>
      <c r="Y1224" s="23"/>
      <c r="Z1224" s="23"/>
      <c r="AA1224" s="16"/>
      <c r="AB1224" s="23"/>
      <c r="AC1224" s="23"/>
      <c r="AD1224" s="23"/>
      <c r="AE1224" s="16"/>
      <c r="AF1224" s="23"/>
      <c r="AG1224" s="23"/>
      <c r="AH1224" s="23"/>
      <c r="AI1224" s="16"/>
      <c r="AJ1224" s="23"/>
      <c r="AK1224" s="23"/>
      <c r="AL1224" s="23"/>
      <c r="AM1224" s="16"/>
      <c r="AN1224" s="23"/>
      <c r="AO1224" s="23"/>
      <c r="AP1224" s="23"/>
      <c r="AQ1224" s="16"/>
      <c r="AR1224" s="23"/>
      <c r="AS1224" s="23"/>
      <c r="AT1224" s="23"/>
      <c r="AU1224" s="16"/>
      <c r="AV1224" s="23"/>
      <c r="AW1224" s="23"/>
      <c r="AX1224" s="23"/>
      <c r="AY1224" s="16"/>
      <c r="AZ1224" s="23"/>
      <c r="BA1224" s="23"/>
      <c r="BB1224" s="23"/>
      <c r="BC1224" s="16"/>
      <c r="BD1224" s="23"/>
      <c r="BE1224" s="23"/>
      <c r="BF1224" s="23"/>
      <c r="BJ1224" s="23"/>
      <c r="BN1224" s="23"/>
      <c r="BO1224" s="23">
        <v>230.0</v>
      </c>
      <c r="BP1224" s="16"/>
      <c r="BQ1224" s="16"/>
      <c r="BR1224" s="23">
        <v>230.0</v>
      </c>
      <c r="BS1224" s="16"/>
      <c r="BT1224" s="16"/>
      <c r="BU1224" s="16" t="s">
        <v>539</v>
      </c>
      <c r="BV1224" s="16"/>
      <c r="BW1224" s="16"/>
      <c r="BX1224" s="16"/>
      <c r="BY1224" s="16"/>
    </row>
    <row r="1225">
      <c r="A1225" s="16" t="s">
        <v>7181</v>
      </c>
      <c r="B1225" s="16" t="s">
        <v>35</v>
      </c>
      <c r="C1225" s="22">
        <v>45790.0</v>
      </c>
      <c r="D1225" s="16" t="s">
        <v>7817</v>
      </c>
      <c r="E1225" s="16"/>
      <c r="F1225" s="16" t="s">
        <v>7819</v>
      </c>
      <c r="G1225" s="16" t="s">
        <v>1653</v>
      </c>
      <c r="H1225" s="16">
        <v>1.0</v>
      </c>
      <c r="I1225" s="23">
        <v>244.11</v>
      </c>
      <c r="J1225" s="23">
        <v>244.11</v>
      </c>
      <c r="K1225" s="16"/>
      <c r="L1225" s="23"/>
      <c r="M1225" s="23"/>
      <c r="N1225" s="23"/>
      <c r="O1225" s="16"/>
      <c r="P1225" s="23"/>
      <c r="Q1225" s="23"/>
      <c r="R1225" s="23"/>
      <c r="S1225" s="16"/>
      <c r="T1225" s="23"/>
      <c r="U1225" s="23"/>
      <c r="V1225" s="23"/>
      <c r="W1225" s="16"/>
      <c r="X1225" s="23"/>
      <c r="Y1225" s="23"/>
      <c r="Z1225" s="23"/>
      <c r="AA1225" s="16"/>
      <c r="AB1225" s="23"/>
      <c r="AC1225" s="23"/>
      <c r="AD1225" s="23"/>
      <c r="AE1225" s="16"/>
      <c r="AF1225" s="23"/>
      <c r="AG1225" s="23"/>
      <c r="AH1225" s="23"/>
      <c r="AI1225" s="16"/>
      <c r="AJ1225" s="23"/>
      <c r="AK1225" s="23"/>
      <c r="AL1225" s="23"/>
      <c r="AM1225" s="16"/>
      <c r="AN1225" s="23"/>
      <c r="AO1225" s="23"/>
      <c r="AP1225" s="23"/>
      <c r="AQ1225" s="16"/>
      <c r="AR1225" s="23"/>
      <c r="AS1225" s="23"/>
      <c r="AT1225" s="23"/>
      <c r="AU1225" s="16"/>
      <c r="AV1225" s="23"/>
      <c r="AW1225" s="23"/>
      <c r="AX1225" s="23"/>
      <c r="AY1225" s="16"/>
      <c r="AZ1225" s="23"/>
      <c r="BA1225" s="23"/>
      <c r="BB1225" s="23"/>
      <c r="BC1225" s="16"/>
      <c r="BD1225" s="23"/>
      <c r="BE1225" s="23"/>
      <c r="BF1225" s="23"/>
      <c r="BJ1225" s="23"/>
      <c r="BN1225" s="23"/>
      <c r="BO1225" s="23">
        <v>244.11</v>
      </c>
      <c r="BP1225" s="16"/>
      <c r="BQ1225" s="16"/>
      <c r="BR1225" s="23">
        <v>244.11</v>
      </c>
      <c r="BS1225" s="16"/>
      <c r="BT1225" s="16"/>
      <c r="BU1225" s="16" t="s">
        <v>539</v>
      </c>
      <c r="BV1225" s="16"/>
      <c r="BW1225" s="16"/>
      <c r="BX1225" s="16"/>
      <c r="BY1225" s="16"/>
    </row>
    <row r="1226">
      <c r="A1226" s="16" t="s">
        <v>7183</v>
      </c>
      <c r="B1226" s="16" t="s">
        <v>35</v>
      </c>
      <c r="C1226" s="22">
        <v>45773.0</v>
      </c>
      <c r="D1226" s="16" t="s">
        <v>112</v>
      </c>
      <c r="E1226" s="16" t="s">
        <v>7625</v>
      </c>
      <c r="F1226" s="16" t="s">
        <v>157</v>
      </c>
      <c r="G1226" s="16" t="s">
        <v>159</v>
      </c>
      <c r="H1226" s="16">
        <v>1.0</v>
      </c>
      <c r="I1226" s="23">
        <v>260.0</v>
      </c>
      <c r="J1226" s="23">
        <v>260.0</v>
      </c>
      <c r="K1226" s="16" t="s">
        <v>155</v>
      </c>
      <c r="L1226" s="23">
        <v>1.0</v>
      </c>
      <c r="M1226" s="23">
        <v>52.5</v>
      </c>
      <c r="N1226" s="23">
        <v>52.5</v>
      </c>
      <c r="O1226" s="16" t="s">
        <v>152</v>
      </c>
      <c r="P1226" s="23">
        <v>1.0</v>
      </c>
      <c r="Q1226" s="23">
        <v>13.44</v>
      </c>
      <c r="R1226" s="23">
        <v>13.44</v>
      </c>
      <c r="S1226" s="16" t="s">
        <v>226</v>
      </c>
      <c r="T1226" s="23">
        <v>1.0</v>
      </c>
      <c r="U1226" s="23">
        <v>59.5</v>
      </c>
      <c r="V1226" s="23">
        <v>59.5</v>
      </c>
      <c r="W1226" s="16"/>
      <c r="X1226" s="23"/>
      <c r="Y1226" s="23"/>
      <c r="Z1226" s="23">
        <v>0.0</v>
      </c>
      <c r="AA1226" s="16"/>
      <c r="AB1226" s="23"/>
      <c r="AC1226" s="23"/>
      <c r="AD1226" s="23">
        <v>0.0</v>
      </c>
      <c r="AE1226" s="16"/>
      <c r="AF1226" s="23"/>
      <c r="AG1226" s="23"/>
      <c r="AH1226" s="23">
        <v>0.0</v>
      </c>
      <c r="AI1226" s="16"/>
      <c r="AJ1226" s="23"/>
      <c r="AK1226" s="23"/>
      <c r="AL1226" s="23">
        <v>0.0</v>
      </c>
      <c r="AM1226" s="16"/>
      <c r="AN1226" s="23"/>
      <c r="AO1226" s="23"/>
      <c r="AP1226" s="23">
        <v>0.0</v>
      </c>
      <c r="AQ1226" s="16"/>
      <c r="AR1226" s="23"/>
      <c r="AS1226" s="23"/>
      <c r="AT1226" s="23">
        <v>0.0</v>
      </c>
      <c r="AU1226" s="16"/>
      <c r="AV1226" s="23"/>
      <c r="AW1226" s="23"/>
      <c r="AX1226" s="23">
        <v>0.0</v>
      </c>
      <c r="AY1226" s="16"/>
      <c r="AZ1226" s="23"/>
      <c r="BA1226" s="23"/>
      <c r="BB1226" s="23"/>
      <c r="BC1226" s="16"/>
      <c r="BD1226" s="23"/>
      <c r="BE1226" s="23"/>
      <c r="BF1226" s="23">
        <v>0.0</v>
      </c>
      <c r="BJ1226" s="23">
        <v>0.0</v>
      </c>
      <c r="BN1226" s="23">
        <v>0.0</v>
      </c>
      <c r="BO1226" s="23">
        <v>385.44</v>
      </c>
      <c r="BP1226" s="16" t="s">
        <v>7824</v>
      </c>
      <c r="BQ1226" s="16" t="b">
        <v>1</v>
      </c>
      <c r="BR1226" s="23">
        <v>385.44</v>
      </c>
      <c r="BS1226" s="16"/>
      <c r="BT1226" s="16" t="b">
        <v>0</v>
      </c>
      <c r="BU1226" s="16" t="s">
        <v>546</v>
      </c>
      <c r="BV1226" s="16"/>
      <c r="BW1226" s="16"/>
      <c r="BX1226" s="16"/>
      <c r="BY1226" s="16"/>
    </row>
    <row r="1227">
      <c r="A1227" s="16" t="s">
        <v>7188</v>
      </c>
      <c r="B1227" s="16" t="s">
        <v>35</v>
      </c>
      <c r="C1227" s="22">
        <v>45786.0</v>
      </c>
      <c r="D1227" s="16" t="s">
        <v>543</v>
      </c>
      <c r="E1227" s="16" t="s">
        <v>7828</v>
      </c>
      <c r="F1227" s="16" t="s">
        <v>171</v>
      </c>
      <c r="G1227" s="16">
        <v>1.2539885E7</v>
      </c>
      <c r="H1227" s="16">
        <v>1.0</v>
      </c>
      <c r="I1227" s="23">
        <v>250.0</v>
      </c>
      <c r="J1227" s="23">
        <v>250.0</v>
      </c>
      <c r="K1227" s="16"/>
      <c r="L1227" s="23"/>
      <c r="M1227" s="23"/>
      <c r="N1227" s="23">
        <v>0.0</v>
      </c>
      <c r="O1227" s="16"/>
      <c r="P1227" s="23"/>
      <c r="Q1227" s="23"/>
      <c r="R1227" s="23">
        <v>0.0</v>
      </c>
      <c r="S1227" s="16"/>
      <c r="T1227" s="23"/>
      <c r="U1227" s="23"/>
      <c r="V1227" s="23">
        <v>0.0</v>
      </c>
      <c r="W1227" s="16"/>
      <c r="X1227" s="23"/>
      <c r="Y1227" s="23"/>
      <c r="Z1227" s="23">
        <v>0.0</v>
      </c>
      <c r="AA1227" s="16"/>
      <c r="AB1227" s="23"/>
      <c r="AC1227" s="23"/>
      <c r="AD1227" s="23">
        <v>0.0</v>
      </c>
      <c r="AE1227" s="16"/>
      <c r="AF1227" s="23"/>
      <c r="AG1227" s="23"/>
      <c r="AH1227" s="23">
        <v>0.0</v>
      </c>
      <c r="AI1227" s="16"/>
      <c r="AJ1227" s="23"/>
      <c r="AK1227" s="23"/>
      <c r="AL1227" s="23">
        <v>0.0</v>
      </c>
      <c r="AM1227" s="16"/>
      <c r="AN1227" s="23"/>
      <c r="AO1227" s="23"/>
      <c r="AP1227" s="23">
        <v>0.0</v>
      </c>
      <c r="AQ1227" s="16"/>
      <c r="AR1227" s="23"/>
      <c r="AS1227" s="23"/>
      <c r="AT1227" s="23">
        <v>0.0</v>
      </c>
      <c r="AU1227" s="16"/>
      <c r="AV1227" s="23"/>
      <c r="AW1227" s="23"/>
      <c r="AX1227" s="23">
        <v>0.0</v>
      </c>
      <c r="AY1227" s="16"/>
      <c r="AZ1227" s="23"/>
      <c r="BA1227" s="23"/>
      <c r="BB1227" s="23"/>
      <c r="BC1227" s="16"/>
      <c r="BD1227" s="23"/>
      <c r="BE1227" s="23"/>
      <c r="BF1227" s="23">
        <v>0.0</v>
      </c>
      <c r="BJ1227" s="23">
        <v>0.0</v>
      </c>
      <c r="BN1227" s="23">
        <v>0.0</v>
      </c>
      <c r="BO1227" s="23">
        <v>250.0</v>
      </c>
      <c r="BP1227" s="16" t="s">
        <v>7829</v>
      </c>
      <c r="BQ1227" s="16" t="b">
        <v>1</v>
      </c>
      <c r="BR1227" s="23">
        <v>250.0</v>
      </c>
      <c r="BS1227" s="16"/>
      <c r="BT1227" s="16" t="b">
        <v>0</v>
      </c>
      <c r="BU1227" s="16" t="s">
        <v>546</v>
      </c>
      <c r="BV1227" s="16"/>
      <c r="BW1227" s="16"/>
      <c r="BX1227" s="16"/>
      <c r="BY1227" s="16"/>
    </row>
    <row r="1228">
      <c r="A1228" s="16" t="s">
        <v>7190</v>
      </c>
      <c r="B1228" s="16" t="s">
        <v>35</v>
      </c>
      <c r="C1228" s="22">
        <v>45792.0</v>
      </c>
      <c r="D1228" s="16"/>
      <c r="E1228" s="16"/>
      <c r="F1228" s="16" t="s">
        <v>7835</v>
      </c>
      <c r="G1228" s="16" t="s">
        <v>1239</v>
      </c>
      <c r="H1228" s="16">
        <v>1.0</v>
      </c>
      <c r="I1228" s="23">
        <v>2320.64</v>
      </c>
      <c r="J1228" s="23">
        <v>2320.64</v>
      </c>
      <c r="K1228" s="16"/>
      <c r="L1228" s="23"/>
      <c r="M1228" s="23"/>
      <c r="N1228" s="23"/>
      <c r="O1228" s="16"/>
      <c r="P1228" s="23"/>
      <c r="Q1228" s="23"/>
      <c r="R1228" s="23"/>
      <c r="S1228" s="16"/>
      <c r="T1228" s="23"/>
      <c r="U1228" s="23"/>
      <c r="V1228" s="23"/>
      <c r="W1228" s="16"/>
      <c r="X1228" s="23"/>
      <c r="Y1228" s="23"/>
      <c r="Z1228" s="23"/>
      <c r="AA1228" s="16"/>
      <c r="AB1228" s="23"/>
      <c r="AC1228" s="23"/>
      <c r="AD1228" s="23"/>
      <c r="AE1228" s="16"/>
      <c r="AF1228" s="23"/>
      <c r="AG1228" s="23"/>
      <c r="AH1228" s="23"/>
      <c r="AI1228" s="16"/>
      <c r="AJ1228" s="23"/>
      <c r="AK1228" s="23"/>
      <c r="AL1228" s="23"/>
      <c r="AM1228" s="16"/>
      <c r="AN1228" s="23"/>
      <c r="AO1228" s="23"/>
      <c r="AP1228" s="23"/>
      <c r="AQ1228" s="16"/>
      <c r="AR1228" s="23"/>
      <c r="AS1228" s="23"/>
      <c r="AT1228" s="23"/>
      <c r="AU1228" s="16"/>
      <c r="AV1228" s="23"/>
      <c r="AW1228" s="23"/>
      <c r="AX1228" s="23"/>
      <c r="AY1228" s="16"/>
      <c r="AZ1228" s="23"/>
      <c r="BA1228" s="23"/>
      <c r="BB1228" s="23"/>
      <c r="BC1228" s="16"/>
      <c r="BD1228" s="23"/>
      <c r="BE1228" s="23"/>
      <c r="BF1228" s="23"/>
      <c r="BJ1228" s="23"/>
      <c r="BN1228" s="23"/>
      <c r="BO1228" s="23">
        <v>2320.64</v>
      </c>
      <c r="BP1228" s="16"/>
      <c r="BQ1228" s="16"/>
      <c r="BR1228" s="23">
        <v>2320.64</v>
      </c>
      <c r="BS1228" s="16"/>
      <c r="BT1228" s="16"/>
      <c r="BU1228" s="16" t="s">
        <v>539</v>
      </c>
      <c r="BV1228" s="16" t="s">
        <v>624</v>
      </c>
      <c r="BW1228" s="16"/>
      <c r="BX1228" s="16"/>
      <c r="BY1228" s="16"/>
    </row>
    <row r="1229">
      <c r="A1229" s="16" t="s">
        <v>7193</v>
      </c>
      <c r="B1229" s="16" t="s">
        <v>35</v>
      </c>
      <c r="C1229" s="22">
        <v>45795.0</v>
      </c>
      <c r="D1229" s="16" t="s">
        <v>890</v>
      </c>
      <c r="E1229" s="16"/>
      <c r="F1229" s="16" t="s">
        <v>4010</v>
      </c>
      <c r="G1229" s="16" t="s">
        <v>4831</v>
      </c>
      <c r="H1229" s="16">
        <v>1.0</v>
      </c>
      <c r="I1229" s="23">
        <v>375.0</v>
      </c>
      <c r="J1229" s="23">
        <v>375.0</v>
      </c>
      <c r="K1229" s="16"/>
      <c r="L1229" s="23"/>
      <c r="M1229" s="23"/>
      <c r="N1229" s="23"/>
      <c r="O1229" s="16"/>
      <c r="P1229" s="23"/>
      <c r="Q1229" s="23"/>
      <c r="R1229" s="23"/>
      <c r="S1229" s="16"/>
      <c r="T1229" s="23"/>
      <c r="U1229" s="23"/>
      <c r="V1229" s="23"/>
      <c r="W1229" s="16"/>
      <c r="X1229" s="23"/>
      <c r="Y1229" s="23"/>
      <c r="Z1229" s="23"/>
      <c r="AA1229" s="16"/>
      <c r="AB1229" s="23"/>
      <c r="AC1229" s="23"/>
      <c r="AD1229" s="23"/>
      <c r="AE1229" s="16"/>
      <c r="AF1229" s="23"/>
      <c r="AG1229" s="23"/>
      <c r="AH1229" s="23"/>
      <c r="AI1229" s="16"/>
      <c r="AJ1229" s="23"/>
      <c r="AK1229" s="23"/>
      <c r="AL1229" s="23"/>
      <c r="AM1229" s="16"/>
      <c r="AN1229" s="23"/>
      <c r="AO1229" s="23"/>
      <c r="AP1229" s="23"/>
      <c r="AQ1229" s="16"/>
      <c r="AR1229" s="23"/>
      <c r="AS1229" s="23"/>
      <c r="AT1229" s="23"/>
      <c r="AU1229" s="16"/>
      <c r="AV1229" s="23"/>
      <c r="AW1229" s="23"/>
      <c r="AX1229" s="23"/>
      <c r="AY1229" s="16"/>
      <c r="AZ1229" s="23"/>
      <c r="BA1229" s="23"/>
      <c r="BB1229" s="23"/>
      <c r="BC1229" s="16"/>
      <c r="BD1229" s="23"/>
      <c r="BE1229" s="23"/>
      <c r="BF1229" s="23"/>
      <c r="BJ1229" s="23"/>
      <c r="BN1229" s="23"/>
      <c r="BO1229" s="23">
        <v>375.0</v>
      </c>
      <c r="BP1229" s="16"/>
      <c r="BQ1229" s="16"/>
      <c r="BR1229" s="23">
        <v>375.0</v>
      </c>
      <c r="BS1229" s="16"/>
      <c r="BT1229" s="16"/>
      <c r="BU1229" s="16" t="s">
        <v>539</v>
      </c>
      <c r="BV1229" s="16"/>
      <c r="BW1229" s="16"/>
      <c r="BX1229" s="16"/>
      <c r="BY1229" s="16"/>
    </row>
    <row r="1230">
      <c r="A1230" s="16" t="s">
        <v>7195</v>
      </c>
      <c r="B1230" s="16" t="s">
        <v>35</v>
      </c>
      <c r="C1230" s="22">
        <v>45790.0</v>
      </c>
      <c r="D1230" s="16" t="s">
        <v>890</v>
      </c>
      <c r="E1230" s="16" t="s">
        <v>7848</v>
      </c>
      <c r="F1230" s="16" t="s">
        <v>2894</v>
      </c>
      <c r="G1230" s="16" t="s">
        <v>1510</v>
      </c>
      <c r="H1230" s="16">
        <v>1.0</v>
      </c>
      <c r="I1230" s="23">
        <v>3699.89</v>
      </c>
      <c r="J1230" s="23">
        <v>3699.89</v>
      </c>
      <c r="K1230" s="16"/>
      <c r="L1230" s="23"/>
      <c r="M1230" s="23"/>
      <c r="N1230" s="23">
        <v>0.0</v>
      </c>
      <c r="O1230" s="16"/>
      <c r="P1230" s="23"/>
      <c r="Q1230" s="23"/>
      <c r="R1230" s="23">
        <v>0.0</v>
      </c>
      <c r="S1230" s="16"/>
      <c r="T1230" s="23"/>
      <c r="U1230" s="23"/>
      <c r="V1230" s="23">
        <v>0.0</v>
      </c>
      <c r="W1230" s="16"/>
      <c r="X1230" s="23"/>
      <c r="Y1230" s="23"/>
      <c r="Z1230" s="23">
        <v>0.0</v>
      </c>
      <c r="AA1230" s="16"/>
      <c r="AB1230" s="23"/>
      <c r="AC1230" s="23"/>
      <c r="AD1230" s="23">
        <v>0.0</v>
      </c>
      <c r="AE1230" s="16"/>
      <c r="AF1230" s="23"/>
      <c r="AG1230" s="23"/>
      <c r="AH1230" s="23">
        <v>0.0</v>
      </c>
      <c r="AI1230" s="16"/>
      <c r="AJ1230" s="23"/>
      <c r="AK1230" s="23"/>
      <c r="AL1230" s="23">
        <v>0.0</v>
      </c>
      <c r="AM1230" s="16"/>
      <c r="AN1230" s="23"/>
      <c r="AO1230" s="23"/>
      <c r="AP1230" s="23">
        <v>0.0</v>
      </c>
      <c r="AQ1230" s="16"/>
      <c r="AR1230" s="23"/>
      <c r="AS1230" s="23"/>
      <c r="AT1230" s="23">
        <v>0.0</v>
      </c>
      <c r="AU1230" s="16"/>
      <c r="AV1230" s="23"/>
      <c r="AW1230" s="23"/>
      <c r="AX1230" s="23">
        <v>0.0</v>
      </c>
      <c r="AY1230" s="16"/>
      <c r="AZ1230" s="23"/>
      <c r="BA1230" s="23"/>
      <c r="BB1230" s="23"/>
      <c r="BC1230" s="16"/>
      <c r="BD1230" s="23"/>
      <c r="BE1230" s="23"/>
      <c r="BF1230" s="23">
        <v>0.0</v>
      </c>
      <c r="BJ1230" s="23">
        <v>0.0</v>
      </c>
      <c r="BN1230" s="23">
        <v>0.0</v>
      </c>
      <c r="BO1230" s="23">
        <v>3699.89</v>
      </c>
      <c r="BP1230" s="16" t="s">
        <v>7849</v>
      </c>
      <c r="BQ1230" s="16" t="b">
        <v>1</v>
      </c>
      <c r="BR1230" s="23">
        <v>3699.89</v>
      </c>
      <c r="BS1230" s="16"/>
      <c r="BT1230" s="16" t="b">
        <v>0</v>
      </c>
      <c r="BU1230" s="16" t="s">
        <v>546</v>
      </c>
      <c r="BV1230" s="16"/>
      <c r="BW1230" s="16" t="s">
        <v>7852</v>
      </c>
      <c r="BX1230" s="16" t="s">
        <v>7853</v>
      </c>
      <c r="BY1230" s="16"/>
    </row>
    <row r="1231">
      <c r="A1231" s="16" t="s">
        <v>7197</v>
      </c>
      <c r="B1231" s="16" t="s">
        <v>35</v>
      </c>
      <c r="C1231" s="22">
        <v>45791.0</v>
      </c>
      <c r="D1231" s="16" t="s">
        <v>890</v>
      </c>
      <c r="E1231" s="16" t="s">
        <v>7856</v>
      </c>
      <c r="F1231" s="16" t="s">
        <v>2894</v>
      </c>
      <c r="G1231" s="16" t="s">
        <v>1510</v>
      </c>
      <c r="H1231" s="16">
        <v>1.0</v>
      </c>
      <c r="I1231" s="23">
        <v>18342.73</v>
      </c>
      <c r="J1231" s="23">
        <v>18342.73</v>
      </c>
      <c r="K1231" s="16"/>
      <c r="L1231" s="23"/>
      <c r="M1231" s="23"/>
      <c r="N1231" s="23">
        <v>0.0</v>
      </c>
      <c r="O1231" s="16"/>
      <c r="P1231" s="23"/>
      <c r="Q1231" s="23"/>
      <c r="R1231" s="23">
        <v>0.0</v>
      </c>
      <c r="S1231" s="16"/>
      <c r="T1231" s="23"/>
      <c r="U1231" s="23"/>
      <c r="V1231" s="23">
        <v>0.0</v>
      </c>
      <c r="W1231" s="16"/>
      <c r="X1231" s="23"/>
      <c r="Y1231" s="23"/>
      <c r="Z1231" s="23">
        <v>0.0</v>
      </c>
      <c r="AA1231" s="16"/>
      <c r="AB1231" s="23"/>
      <c r="AC1231" s="23"/>
      <c r="AD1231" s="23">
        <v>0.0</v>
      </c>
      <c r="AE1231" s="16"/>
      <c r="AF1231" s="23"/>
      <c r="AG1231" s="23"/>
      <c r="AH1231" s="23">
        <v>0.0</v>
      </c>
      <c r="AI1231" s="16"/>
      <c r="AJ1231" s="23"/>
      <c r="AK1231" s="23"/>
      <c r="AL1231" s="23">
        <v>0.0</v>
      </c>
      <c r="AM1231" s="16"/>
      <c r="AN1231" s="23"/>
      <c r="AO1231" s="23"/>
      <c r="AP1231" s="23">
        <v>0.0</v>
      </c>
      <c r="AQ1231" s="16"/>
      <c r="AR1231" s="23"/>
      <c r="AS1231" s="23"/>
      <c r="AT1231" s="23">
        <v>0.0</v>
      </c>
      <c r="AU1231" s="16"/>
      <c r="AV1231" s="23"/>
      <c r="AW1231" s="23"/>
      <c r="AX1231" s="23">
        <v>0.0</v>
      </c>
      <c r="AY1231" s="16"/>
      <c r="AZ1231" s="23"/>
      <c r="BA1231" s="23"/>
      <c r="BB1231" s="23"/>
      <c r="BC1231" s="16"/>
      <c r="BD1231" s="23"/>
      <c r="BE1231" s="23"/>
      <c r="BF1231" s="23">
        <v>0.0</v>
      </c>
      <c r="BJ1231" s="23">
        <v>0.0</v>
      </c>
      <c r="BN1231" s="23">
        <v>0.0</v>
      </c>
      <c r="BO1231" s="23">
        <v>18342.73</v>
      </c>
      <c r="BP1231" s="16" t="s">
        <v>7857</v>
      </c>
      <c r="BQ1231" s="16" t="b">
        <v>1</v>
      </c>
      <c r="BR1231" s="23">
        <v>18342.73</v>
      </c>
      <c r="BS1231" s="16"/>
      <c r="BT1231" s="16" t="b">
        <v>0</v>
      </c>
      <c r="BU1231" s="16" t="s">
        <v>546</v>
      </c>
      <c r="BV1231" s="16"/>
      <c r="BW1231" s="16" t="s">
        <v>7859</v>
      </c>
      <c r="BX1231" s="16" t="s">
        <v>7860</v>
      </c>
      <c r="BY1231" s="16" t="s">
        <v>7862</v>
      </c>
    </row>
    <row r="1232">
      <c r="A1232" s="16" t="s">
        <v>7199</v>
      </c>
      <c r="B1232" s="16" t="s">
        <v>35</v>
      </c>
      <c r="C1232" s="22">
        <v>45792.0</v>
      </c>
      <c r="D1232" s="16" t="s">
        <v>112</v>
      </c>
      <c r="E1232" s="16" t="s">
        <v>7864</v>
      </c>
      <c r="F1232" s="16" t="s">
        <v>157</v>
      </c>
      <c r="G1232" s="16" t="s">
        <v>159</v>
      </c>
      <c r="H1232" s="16">
        <v>15.0</v>
      </c>
      <c r="I1232" s="23">
        <v>14.0</v>
      </c>
      <c r="J1232" s="23">
        <v>210.0</v>
      </c>
      <c r="K1232" s="16" t="s">
        <v>155</v>
      </c>
      <c r="L1232" s="23">
        <v>1.0</v>
      </c>
      <c r="M1232" s="23">
        <v>78.0</v>
      </c>
      <c r="N1232" s="23">
        <v>78.0</v>
      </c>
      <c r="O1232" s="16" t="s">
        <v>152</v>
      </c>
      <c r="P1232" s="23">
        <v>1.0</v>
      </c>
      <c r="Q1232" s="23">
        <v>6.62</v>
      </c>
      <c r="R1232" s="23">
        <v>6.62</v>
      </c>
      <c r="S1232" s="16" t="s">
        <v>226</v>
      </c>
      <c r="T1232" s="23">
        <v>1.0</v>
      </c>
      <c r="U1232" s="23">
        <v>63.2</v>
      </c>
      <c r="V1232" s="23">
        <v>63.2</v>
      </c>
      <c r="W1232" s="16"/>
      <c r="X1232" s="23"/>
      <c r="Y1232" s="23"/>
      <c r="Z1232" s="23">
        <v>0.0</v>
      </c>
      <c r="AA1232" s="16"/>
      <c r="AB1232" s="23"/>
      <c r="AC1232" s="23"/>
      <c r="AD1232" s="23">
        <v>0.0</v>
      </c>
      <c r="AE1232" s="16"/>
      <c r="AF1232" s="23"/>
      <c r="AG1232" s="23"/>
      <c r="AH1232" s="23">
        <v>0.0</v>
      </c>
      <c r="AI1232" s="16"/>
      <c r="AJ1232" s="23"/>
      <c r="AK1232" s="23"/>
      <c r="AL1232" s="23">
        <v>0.0</v>
      </c>
      <c r="AM1232" s="16"/>
      <c r="AN1232" s="23"/>
      <c r="AO1232" s="23"/>
      <c r="AP1232" s="23">
        <v>0.0</v>
      </c>
      <c r="AQ1232" s="16"/>
      <c r="AR1232" s="23"/>
      <c r="AS1232" s="23"/>
      <c r="AT1232" s="23">
        <v>0.0</v>
      </c>
      <c r="AU1232" s="16"/>
      <c r="AV1232" s="23"/>
      <c r="AW1232" s="23"/>
      <c r="AX1232" s="23">
        <v>0.0</v>
      </c>
      <c r="AY1232" s="16"/>
      <c r="AZ1232" s="23"/>
      <c r="BA1232" s="23"/>
      <c r="BB1232" s="23"/>
      <c r="BC1232" s="16"/>
      <c r="BD1232" s="23"/>
      <c r="BE1232" s="23"/>
      <c r="BF1232" s="23">
        <v>0.0</v>
      </c>
      <c r="BJ1232" s="23">
        <v>0.0</v>
      </c>
      <c r="BN1232" s="23">
        <v>0.0</v>
      </c>
      <c r="BO1232" s="23">
        <v>357.82</v>
      </c>
      <c r="BP1232" s="16" t="s">
        <v>7865</v>
      </c>
      <c r="BQ1232" s="16" t="b">
        <v>1</v>
      </c>
      <c r="BR1232" s="23">
        <v>357.82</v>
      </c>
      <c r="BS1232" s="16"/>
      <c r="BT1232" s="16" t="b">
        <v>0</v>
      </c>
      <c r="BU1232" s="16" t="s">
        <v>546</v>
      </c>
      <c r="BV1232" s="16"/>
      <c r="BW1232" s="16"/>
      <c r="BX1232" s="16"/>
      <c r="BY1232" s="16"/>
    </row>
    <row r="1233">
      <c r="A1233" s="16" t="s">
        <v>7206</v>
      </c>
      <c r="B1233" s="16" t="s">
        <v>35</v>
      </c>
      <c r="C1233" s="22">
        <v>45793.0</v>
      </c>
      <c r="D1233" s="16" t="s">
        <v>1807</v>
      </c>
      <c r="E1233" s="16" t="s">
        <v>7869</v>
      </c>
      <c r="F1233" s="16" t="s">
        <v>4248</v>
      </c>
      <c r="G1233" s="16" t="s">
        <v>305</v>
      </c>
      <c r="H1233" s="16">
        <v>1.0</v>
      </c>
      <c r="I1233" s="23">
        <v>169.66</v>
      </c>
      <c r="J1233" s="23">
        <v>169.66</v>
      </c>
      <c r="K1233" s="16"/>
      <c r="L1233" s="23"/>
      <c r="M1233" s="23"/>
      <c r="N1233" s="23">
        <v>0.0</v>
      </c>
      <c r="O1233" s="16"/>
      <c r="P1233" s="23"/>
      <c r="Q1233" s="23"/>
      <c r="R1233" s="23">
        <v>0.0</v>
      </c>
      <c r="S1233" s="16"/>
      <c r="T1233" s="23"/>
      <c r="U1233" s="23"/>
      <c r="V1233" s="23">
        <v>0.0</v>
      </c>
      <c r="W1233" s="16"/>
      <c r="X1233" s="23"/>
      <c r="Y1233" s="23"/>
      <c r="Z1233" s="23">
        <v>0.0</v>
      </c>
      <c r="AA1233" s="16"/>
      <c r="AB1233" s="23"/>
      <c r="AC1233" s="23"/>
      <c r="AD1233" s="23">
        <v>0.0</v>
      </c>
      <c r="AE1233" s="16"/>
      <c r="AF1233" s="23"/>
      <c r="AG1233" s="23"/>
      <c r="AH1233" s="23">
        <v>0.0</v>
      </c>
      <c r="AI1233" s="16"/>
      <c r="AJ1233" s="23"/>
      <c r="AK1233" s="23"/>
      <c r="AL1233" s="23">
        <v>0.0</v>
      </c>
      <c r="AM1233" s="16"/>
      <c r="AN1233" s="23"/>
      <c r="AO1233" s="23"/>
      <c r="AP1233" s="23">
        <v>0.0</v>
      </c>
      <c r="AQ1233" s="16"/>
      <c r="AR1233" s="23"/>
      <c r="AS1233" s="23"/>
      <c r="AT1233" s="23">
        <v>0.0</v>
      </c>
      <c r="AU1233" s="16"/>
      <c r="AV1233" s="23"/>
      <c r="AW1233" s="23"/>
      <c r="AX1233" s="23">
        <v>0.0</v>
      </c>
      <c r="AY1233" s="16"/>
      <c r="AZ1233" s="23"/>
      <c r="BA1233" s="23"/>
      <c r="BB1233" s="23"/>
      <c r="BC1233" s="16"/>
      <c r="BD1233" s="23"/>
      <c r="BE1233" s="23"/>
      <c r="BF1233" s="23">
        <v>0.0</v>
      </c>
      <c r="BJ1233" s="23">
        <v>0.0</v>
      </c>
      <c r="BN1233" s="23">
        <v>0.0</v>
      </c>
      <c r="BO1233" s="23">
        <v>169.66</v>
      </c>
      <c r="BP1233" s="16" t="s">
        <v>7870</v>
      </c>
      <c r="BQ1233" s="16" t="b">
        <v>1</v>
      </c>
      <c r="BR1233" s="23">
        <v>169.66</v>
      </c>
      <c r="BS1233" s="16">
        <v>1484619.0</v>
      </c>
      <c r="BT1233" s="16" t="b">
        <v>1</v>
      </c>
      <c r="BU1233" s="16" t="s">
        <v>546</v>
      </c>
      <c r="BV1233" s="16"/>
      <c r="BW1233" s="16"/>
      <c r="BX1233" s="16"/>
      <c r="BY1233" s="16"/>
    </row>
    <row r="1234">
      <c r="A1234" s="16" t="s">
        <v>7208</v>
      </c>
      <c r="B1234" s="16" t="s">
        <v>35</v>
      </c>
      <c r="C1234" s="22">
        <v>45793.0</v>
      </c>
      <c r="D1234" s="16" t="s">
        <v>137</v>
      </c>
      <c r="E1234" s="16" t="s">
        <v>7875</v>
      </c>
      <c r="F1234" s="16" t="s">
        <v>171</v>
      </c>
      <c r="G1234" s="16">
        <v>1.2539885E7</v>
      </c>
      <c r="H1234" s="16">
        <v>1.0</v>
      </c>
      <c r="I1234" s="23">
        <v>250.0</v>
      </c>
      <c r="J1234" s="23">
        <v>250.0</v>
      </c>
      <c r="K1234" s="16"/>
      <c r="L1234" s="23"/>
      <c r="M1234" s="23"/>
      <c r="N1234" s="23">
        <v>0.0</v>
      </c>
      <c r="O1234" s="16"/>
      <c r="P1234" s="23"/>
      <c r="Q1234" s="23"/>
      <c r="R1234" s="23">
        <v>0.0</v>
      </c>
      <c r="S1234" s="16"/>
      <c r="T1234" s="23"/>
      <c r="U1234" s="23"/>
      <c r="V1234" s="23">
        <v>0.0</v>
      </c>
      <c r="W1234" s="16"/>
      <c r="X1234" s="23"/>
      <c r="Y1234" s="23"/>
      <c r="Z1234" s="23">
        <v>0.0</v>
      </c>
      <c r="AA1234" s="16"/>
      <c r="AB1234" s="23"/>
      <c r="AC1234" s="23"/>
      <c r="AD1234" s="23">
        <v>0.0</v>
      </c>
      <c r="AE1234" s="16"/>
      <c r="AF1234" s="23"/>
      <c r="AG1234" s="23"/>
      <c r="AH1234" s="23">
        <v>0.0</v>
      </c>
      <c r="AI1234" s="16"/>
      <c r="AJ1234" s="23"/>
      <c r="AK1234" s="23"/>
      <c r="AL1234" s="23">
        <v>0.0</v>
      </c>
      <c r="AM1234" s="16"/>
      <c r="AN1234" s="23"/>
      <c r="AO1234" s="23"/>
      <c r="AP1234" s="23">
        <v>0.0</v>
      </c>
      <c r="AQ1234" s="16"/>
      <c r="AR1234" s="23"/>
      <c r="AS1234" s="23"/>
      <c r="AT1234" s="23">
        <v>0.0</v>
      </c>
      <c r="AU1234" s="16"/>
      <c r="AV1234" s="23"/>
      <c r="AW1234" s="23"/>
      <c r="AX1234" s="23">
        <v>0.0</v>
      </c>
      <c r="AY1234" s="16"/>
      <c r="AZ1234" s="23"/>
      <c r="BA1234" s="23"/>
      <c r="BB1234" s="23"/>
      <c r="BC1234" s="16"/>
      <c r="BD1234" s="23"/>
      <c r="BE1234" s="23"/>
      <c r="BF1234" s="23">
        <v>0.0</v>
      </c>
      <c r="BJ1234" s="23">
        <v>0.0</v>
      </c>
      <c r="BN1234" s="23">
        <v>0.0</v>
      </c>
      <c r="BO1234" s="23">
        <v>250.0</v>
      </c>
      <c r="BP1234" s="16" t="s">
        <v>7876</v>
      </c>
      <c r="BQ1234" s="16" t="b">
        <v>1</v>
      </c>
      <c r="BR1234" s="23">
        <v>250.0</v>
      </c>
      <c r="BS1234" s="16"/>
      <c r="BT1234" s="16" t="b">
        <v>0</v>
      </c>
      <c r="BU1234" s="16" t="s">
        <v>546</v>
      </c>
      <c r="BV1234" s="16"/>
      <c r="BW1234" s="16"/>
      <c r="BX1234" s="16"/>
      <c r="BY1234" s="16"/>
    </row>
    <row r="1235">
      <c r="A1235" s="16" t="s">
        <v>7212</v>
      </c>
      <c r="B1235" s="16" t="s">
        <v>35</v>
      </c>
      <c r="C1235" s="22">
        <v>45797.0</v>
      </c>
      <c r="D1235" s="16" t="s">
        <v>7882</v>
      </c>
      <c r="E1235" s="16" t="s">
        <v>7883</v>
      </c>
      <c r="F1235" s="16" t="s">
        <v>7887</v>
      </c>
      <c r="G1235" s="16" t="s">
        <v>7214</v>
      </c>
      <c r="H1235" s="16">
        <v>1.0</v>
      </c>
      <c r="I1235" s="23">
        <v>75.0</v>
      </c>
      <c r="J1235" s="23">
        <v>75.0</v>
      </c>
      <c r="K1235" s="16"/>
      <c r="L1235" s="23"/>
      <c r="M1235" s="23"/>
      <c r="N1235" s="23">
        <v>0.0</v>
      </c>
      <c r="O1235" s="16"/>
      <c r="P1235" s="23"/>
      <c r="Q1235" s="23"/>
      <c r="R1235" s="23">
        <v>0.0</v>
      </c>
      <c r="S1235" s="16"/>
      <c r="T1235" s="23"/>
      <c r="U1235" s="23"/>
      <c r="V1235" s="23">
        <v>0.0</v>
      </c>
      <c r="W1235" s="16"/>
      <c r="X1235" s="23"/>
      <c r="Y1235" s="23"/>
      <c r="Z1235" s="23">
        <v>0.0</v>
      </c>
      <c r="AA1235" s="16"/>
      <c r="AB1235" s="23"/>
      <c r="AC1235" s="23"/>
      <c r="AD1235" s="23">
        <v>0.0</v>
      </c>
      <c r="AE1235" s="16"/>
      <c r="AF1235" s="23"/>
      <c r="AG1235" s="23"/>
      <c r="AH1235" s="23">
        <v>0.0</v>
      </c>
      <c r="AI1235" s="16"/>
      <c r="AJ1235" s="23"/>
      <c r="AK1235" s="23"/>
      <c r="AL1235" s="23">
        <v>0.0</v>
      </c>
      <c r="AM1235" s="16"/>
      <c r="AN1235" s="23"/>
      <c r="AO1235" s="23"/>
      <c r="AP1235" s="23">
        <v>0.0</v>
      </c>
      <c r="AQ1235" s="16"/>
      <c r="AR1235" s="23"/>
      <c r="AS1235" s="23"/>
      <c r="AT1235" s="23">
        <v>0.0</v>
      </c>
      <c r="AU1235" s="16"/>
      <c r="AV1235" s="23"/>
      <c r="AW1235" s="23"/>
      <c r="AX1235" s="23">
        <v>0.0</v>
      </c>
      <c r="AY1235" s="16"/>
      <c r="AZ1235" s="23"/>
      <c r="BA1235" s="23"/>
      <c r="BB1235" s="23"/>
      <c r="BC1235" s="16"/>
      <c r="BD1235" s="23"/>
      <c r="BE1235" s="23"/>
      <c r="BF1235" s="23">
        <v>0.0</v>
      </c>
      <c r="BJ1235" s="23">
        <v>0.0</v>
      </c>
      <c r="BN1235" s="23">
        <v>0.0</v>
      </c>
      <c r="BO1235" s="23">
        <v>75.0</v>
      </c>
      <c r="BP1235" s="16" t="s">
        <v>7885</v>
      </c>
      <c r="BQ1235" s="16" t="b">
        <v>1</v>
      </c>
      <c r="BR1235" s="23">
        <v>75.0</v>
      </c>
      <c r="BS1235" s="16">
        <v>1492249.0</v>
      </c>
      <c r="BT1235" s="16" t="b">
        <v>1</v>
      </c>
      <c r="BU1235" s="16" t="s">
        <v>546</v>
      </c>
      <c r="BV1235" s="16"/>
      <c r="BW1235" s="16"/>
      <c r="BX1235" s="16"/>
      <c r="BY1235" s="16"/>
    </row>
    <row r="1236">
      <c r="A1236" s="16" t="s">
        <v>7216</v>
      </c>
      <c r="B1236" s="16" t="s">
        <v>35</v>
      </c>
      <c r="C1236" s="22">
        <v>45797.0</v>
      </c>
      <c r="D1236" s="16" t="s">
        <v>7890</v>
      </c>
      <c r="E1236" s="16" t="s">
        <v>7892</v>
      </c>
      <c r="F1236" s="16" t="s">
        <v>7895</v>
      </c>
      <c r="G1236" s="16" t="s">
        <v>7214</v>
      </c>
      <c r="H1236" s="16">
        <v>1.0</v>
      </c>
      <c r="I1236" s="23">
        <v>30.0</v>
      </c>
      <c r="J1236" s="23">
        <v>30.0</v>
      </c>
      <c r="K1236" s="16"/>
      <c r="L1236" s="23"/>
      <c r="M1236" s="23"/>
      <c r="N1236" s="23">
        <v>0.0</v>
      </c>
      <c r="O1236" s="16"/>
      <c r="P1236" s="23"/>
      <c r="Q1236" s="23"/>
      <c r="R1236" s="23">
        <v>0.0</v>
      </c>
      <c r="S1236" s="16"/>
      <c r="T1236" s="23"/>
      <c r="U1236" s="23"/>
      <c r="V1236" s="23">
        <v>0.0</v>
      </c>
      <c r="W1236" s="16"/>
      <c r="X1236" s="23"/>
      <c r="Y1236" s="23"/>
      <c r="Z1236" s="23">
        <v>0.0</v>
      </c>
      <c r="AA1236" s="16"/>
      <c r="AB1236" s="23"/>
      <c r="AC1236" s="23"/>
      <c r="AD1236" s="23">
        <v>0.0</v>
      </c>
      <c r="AE1236" s="16"/>
      <c r="AF1236" s="23"/>
      <c r="AG1236" s="23"/>
      <c r="AH1236" s="23">
        <v>0.0</v>
      </c>
      <c r="AI1236" s="16"/>
      <c r="AJ1236" s="23"/>
      <c r="AK1236" s="23"/>
      <c r="AL1236" s="23">
        <v>0.0</v>
      </c>
      <c r="AM1236" s="16"/>
      <c r="AN1236" s="23"/>
      <c r="AO1236" s="23"/>
      <c r="AP1236" s="23">
        <v>0.0</v>
      </c>
      <c r="AQ1236" s="16"/>
      <c r="AR1236" s="23"/>
      <c r="AS1236" s="23"/>
      <c r="AT1236" s="23">
        <v>0.0</v>
      </c>
      <c r="AU1236" s="16"/>
      <c r="AV1236" s="23"/>
      <c r="AW1236" s="23"/>
      <c r="AX1236" s="23">
        <v>0.0</v>
      </c>
      <c r="AY1236" s="16"/>
      <c r="AZ1236" s="23"/>
      <c r="BA1236" s="23"/>
      <c r="BB1236" s="23"/>
      <c r="BC1236" s="16"/>
      <c r="BD1236" s="23"/>
      <c r="BE1236" s="23"/>
      <c r="BF1236" s="23">
        <v>0.0</v>
      </c>
      <c r="BJ1236" s="23">
        <v>0.0</v>
      </c>
      <c r="BN1236" s="23">
        <v>0.0</v>
      </c>
      <c r="BO1236" s="23">
        <v>30.0</v>
      </c>
      <c r="BP1236" s="16" t="s">
        <v>7894</v>
      </c>
      <c r="BQ1236" s="16" t="b">
        <v>1</v>
      </c>
      <c r="BR1236" s="23">
        <v>30.0</v>
      </c>
      <c r="BS1236" s="16">
        <v>1492248.0</v>
      </c>
      <c r="BT1236" s="16" t="b">
        <v>1</v>
      </c>
      <c r="BU1236" s="16" t="s">
        <v>546</v>
      </c>
      <c r="BV1236" s="16"/>
      <c r="BW1236" s="16"/>
      <c r="BX1236" s="16"/>
      <c r="BY1236" s="16"/>
    </row>
    <row r="1237">
      <c r="A1237" s="16" t="s">
        <v>7218</v>
      </c>
      <c r="B1237" s="16" t="s">
        <v>35</v>
      </c>
      <c r="C1237" s="22">
        <v>45797.0</v>
      </c>
      <c r="D1237" s="16" t="s">
        <v>543</v>
      </c>
      <c r="E1237" s="16" t="s">
        <v>7900</v>
      </c>
      <c r="F1237" s="16" t="s">
        <v>157</v>
      </c>
      <c r="G1237" s="16">
        <v>1.2539885E7</v>
      </c>
      <c r="H1237" s="16">
        <v>1.0</v>
      </c>
      <c r="I1237" s="23">
        <v>250.0</v>
      </c>
      <c r="J1237" s="23">
        <v>250.0</v>
      </c>
      <c r="K1237" s="16"/>
      <c r="L1237" s="23"/>
      <c r="M1237" s="23"/>
      <c r="N1237" s="23">
        <v>0.0</v>
      </c>
      <c r="O1237" s="16"/>
      <c r="P1237" s="23"/>
      <c r="Q1237" s="23"/>
      <c r="R1237" s="23">
        <v>0.0</v>
      </c>
      <c r="S1237" s="16"/>
      <c r="T1237" s="23"/>
      <c r="U1237" s="23"/>
      <c r="V1237" s="23">
        <v>0.0</v>
      </c>
      <c r="W1237" s="16"/>
      <c r="X1237" s="23"/>
      <c r="Y1237" s="23"/>
      <c r="Z1237" s="23">
        <v>0.0</v>
      </c>
      <c r="AA1237" s="16"/>
      <c r="AB1237" s="23"/>
      <c r="AC1237" s="23"/>
      <c r="AD1237" s="23">
        <v>0.0</v>
      </c>
      <c r="AE1237" s="16"/>
      <c r="AF1237" s="23"/>
      <c r="AG1237" s="23"/>
      <c r="AH1237" s="23">
        <v>0.0</v>
      </c>
      <c r="AI1237" s="16"/>
      <c r="AJ1237" s="23"/>
      <c r="AK1237" s="23"/>
      <c r="AL1237" s="23">
        <v>0.0</v>
      </c>
      <c r="AM1237" s="16"/>
      <c r="AN1237" s="23"/>
      <c r="AO1237" s="23"/>
      <c r="AP1237" s="23">
        <v>0.0</v>
      </c>
      <c r="AQ1237" s="16"/>
      <c r="AR1237" s="23"/>
      <c r="AS1237" s="23"/>
      <c r="AT1237" s="23">
        <v>0.0</v>
      </c>
      <c r="AU1237" s="16"/>
      <c r="AV1237" s="23"/>
      <c r="AW1237" s="23"/>
      <c r="AX1237" s="23">
        <v>0.0</v>
      </c>
      <c r="AY1237" s="16"/>
      <c r="AZ1237" s="23"/>
      <c r="BA1237" s="23"/>
      <c r="BB1237" s="23"/>
      <c r="BC1237" s="16"/>
      <c r="BD1237" s="23"/>
      <c r="BE1237" s="23"/>
      <c r="BF1237" s="23">
        <v>0.0</v>
      </c>
      <c r="BJ1237" s="23">
        <v>0.0</v>
      </c>
      <c r="BN1237" s="23">
        <v>0.0</v>
      </c>
      <c r="BO1237" s="23">
        <v>250.0</v>
      </c>
      <c r="BP1237" s="16" t="s">
        <v>7901</v>
      </c>
      <c r="BQ1237" s="16" t="b">
        <v>1</v>
      </c>
      <c r="BR1237" s="23">
        <v>250.0</v>
      </c>
      <c r="BS1237" s="16"/>
      <c r="BT1237" s="16" t="b">
        <v>0</v>
      </c>
      <c r="BU1237" s="16" t="s">
        <v>546</v>
      </c>
      <c r="BV1237" s="16"/>
      <c r="BW1237" s="16"/>
      <c r="BX1237" s="16"/>
      <c r="BY1237" s="16"/>
    </row>
    <row r="1238">
      <c r="A1238" s="16" t="s">
        <v>7220</v>
      </c>
      <c r="B1238" s="16" t="s">
        <v>35</v>
      </c>
      <c r="C1238" s="22">
        <v>45802.0</v>
      </c>
      <c r="D1238" s="16" t="s">
        <v>460</v>
      </c>
      <c r="E1238" s="16"/>
      <c r="F1238" s="16" t="s">
        <v>4979</v>
      </c>
      <c r="G1238" s="16" t="s">
        <v>5973</v>
      </c>
      <c r="H1238" s="16">
        <v>1.0</v>
      </c>
      <c r="I1238" s="23">
        <v>10.0</v>
      </c>
      <c r="J1238" s="23">
        <v>10.0</v>
      </c>
      <c r="K1238" s="16"/>
      <c r="L1238" s="23"/>
      <c r="M1238" s="23"/>
      <c r="N1238" s="23"/>
      <c r="O1238" s="16"/>
      <c r="P1238" s="23"/>
      <c r="Q1238" s="23"/>
      <c r="R1238" s="23"/>
      <c r="S1238" s="16"/>
      <c r="T1238" s="23"/>
      <c r="U1238" s="23"/>
      <c r="V1238" s="23"/>
      <c r="W1238" s="16"/>
      <c r="X1238" s="23"/>
      <c r="Y1238" s="23"/>
      <c r="Z1238" s="23"/>
      <c r="AA1238" s="16"/>
      <c r="AB1238" s="23"/>
      <c r="AC1238" s="23"/>
      <c r="AD1238" s="23"/>
      <c r="AE1238" s="16"/>
      <c r="AF1238" s="23"/>
      <c r="AG1238" s="23"/>
      <c r="AH1238" s="23"/>
      <c r="AI1238" s="16"/>
      <c r="AJ1238" s="23"/>
      <c r="AK1238" s="23"/>
      <c r="AL1238" s="23"/>
      <c r="AM1238" s="16"/>
      <c r="AN1238" s="23"/>
      <c r="AO1238" s="23"/>
      <c r="AP1238" s="23"/>
      <c r="AQ1238" s="16"/>
      <c r="AR1238" s="23"/>
      <c r="AS1238" s="23"/>
      <c r="AT1238" s="23"/>
      <c r="AU1238" s="16"/>
      <c r="AV1238" s="23"/>
      <c r="AW1238" s="23"/>
      <c r="AX1238" s="23"/>
      <c r="AY1238" s="16"/>
      <c r="AZ1238" s="23"/>
      <c r="BA1238" s="23"/>
      <c r="BB1238" s="23"/>
      <c r="BC1238" s="16"/>
      <c r="BD1238" s="23"/>
      <c r="BE1238" s="23"/>
      <c r="BF1238" s="23"/>
      <c r="BJ1238" s="23"/>
      <c r="BN1238" s="23"/>
      <c r="BO1238" s="23">
        <v>10.0</v>
      </c>
      <c r="BP1238" s="16"/>
      <c r="BQ1238" s="16"/>
      <c r="BR1238" s="23">
        <v>10.0</v>
      </c>
      <c r="BS1238" s="16"/>
      <c r="BT1238" s="16"/>
      <c r="BU1238" s="16" t="s">
        <v>539</v>
      </c>
      <c r="BV1238" s="16"/>
      <c r="BW1238" s="16"/>
      <c r="BX1238" s="16"/>
      <c r="BY1238" s="16"/>
    </row>
    <row r="1239">
      <c r="A1239" s="16" t="s">
        <v>7222</v>
      </c>
      <c r="B1239" s="16" t="s">
        <v>35</v>
      </c>
      <c r="C1239" s="22">
        <v>45802.0</v>
      </c>
      <c r="D1239" s="16" t="s">
        <v>460</v>
      </c>
      <c r="E1239" s="16"/>
      <c r="F1239" s="16" t="s">
        <v>4972</v>
      </c>
      <c r="G1239" s="16" t="s">
        <v>5640</v>
      </c>
      <c r="H1239" s="16">
        <v>1.0</v>
      </c>
      <c r="I1239" s="23">
        <v>22.0</v>
      </c>
      <c r="J1239" s="23">
        <v>22.0</v>
      </c>
      <c r="K1239" s="16"/>
      <c r="L1239" s="23"/>
      <c r="M1239" s="23"/>
      <c r="N1239" s="23"/>
      <c r="O1239" s="16"/>
      <c r="P1239" s="23"/>
      <c r="Q1239" s="23"/>
      <c r="R1239" s="23"/>
      <c r="S1239" s="16"/>
      <c r="T1239" s="23"/>
      <c r="U1239" s="23"/>
      <c r="V1239" s="23"/>
      <c r="W1239" s="16"/>
      <c r="X1239" s="23"/>
      <c r="Y1239" s="23"/>
      <c r="Z1239" s="23"/>
      <c r="AA1239" s="16"/>
      <c r="AB1239" s="23"/>
      <c r="AC1239" s="23"/>
      <c r="AD1239" s="23"/>
      <c r="AE1239" s="16"/>
      <c r="AF1239" s="23"/>
      <c r="AG1239" s="23"/>
      <c r="AH1239" s="23"/>
      <c r="AI1239" s="16"/>
      <c r="AJ1239" s="23"/>
      <c r="AK1239" s="23"/>
      <c r="AL1239" s="23"/>
      <c r="AM1239" s="16"/>
      <c r="AN1239" s="23"/>
      <c r="AO1239" s="23"/>
      <c r="AP1239" s="23"/>
      <c r="AQ1239" s="16"/>
      <c r="AR1239" s="23"/>
      <c r="AS1239" s="23"/>
      <c r="AT1239" s="23"/>
      <c r="AU1239" s="16"/>
      <c r="AV1239" s="23"/>
      <c r="AW1239" s="23"/>
      <c r="AX1239" s="23"/>
      <c r="AY1239" s="16"/>
      <c r="AZ1239" s="23"/>
      <c r="BA1239" s="23"/>
      <c r="BB1239" s="23"/>
      <c r="BC1239" s="16"/>
      <c r="BD1239" s="23"/>
      <c r="BE1239" s="23"/>
      <c r="BF1239" s="23"/>
      <c r="BJ1239" s="23"/>
      <c r="BN1239" s="23"/>
      <c r="BO1239" s="23">
        <v>22.0</v>
      </c>
      <c r="BP1239" s="16"/>
      <c r="BQ1239" s="16"/>
      <c r="BR1239" s="23">
        <v>22.0</v>
      </c>
      <c r="BS1239" s="16"/>
      <c r="BT1239" s="16"/>
      <c r="BU1239" s="16" t="s">
        <v>539</v>
      </c>
      <c r="BV1239" s="16"/>
      <c r="BW1239" s="16"/>
      <c r="BX1239" s="16"/>
      <c r="BY1239" s="16"/>
    </row>
    <row r="1240">
      <c r="A1240" s="16" t="s">
        <v>7226</v>
      </c>
      <c r="B1240" s="16" t="s">
        <v>35</v>
      </c>
      <c r="C1240" s="22">
        <v>45802.0</v>
      </c>
      <c r="D1240" s="16" t="s">
        <v>460</v>
      </c>
      <c r="E1240" s="16"/>
      <c r="F1240" s="16" t="s">
        <v>7544</v>
      </c>
      <c r="G1240" s="16" t="s">
        <v>5636</v>
      </c>
      <c r="H1240" s="16">
        <v>1.0</v>
      </c>
      <c r="I1240" s="23">
        <v>200.0</v>
      </c>
      <c r="J1240" s="23">
        <v>200.0</v>
      </c>
      <c r="K1240" s="16"/>
      <c r="L1240" s="23"/>
      <c r="M1240" s="23"/>
      <c r="N1240" s="23"/>
      <c r="O1240" s="16"/>
      <c r="P1240" s="23"/>
      <c r="Q1240" s="23"/>
      <c r="R1240" s="23"/>
      <c r="S1240" s="16"/>
      <c r="T1240" s="23"/>
      <c r="U1240" s="23"/>
      <c r="V1240" s="23"/>
      <c r="W1240" s="16"/>
      <c r="X1240" s="23"/>
      <c r="Y1240" s="23"/>
      <c r="Z1240" s="23"/>
      <c r="AA1240" s="16"/>
      <c r="AB1240" s="23"/>
      <c r="AC1240" s="23"/>
      <c r="AD1240" s="23"/>
      <c r="AE1240" s="16"/>
      <c r="AF1240" s="23"/>
      <c r="AG1240" s="23"/>
      <c r="AH1240" s="23"/>
      <c r="AI1240" s="16"/>
      <c r="AJ1240" s="23"/>
      <c r="AK1240" s="23"/>
      <c r="AL1240" s="23"/>
      <c r="AM1240" s="16"/>
      <c r="AN1240" s="23"/>
      <c r="AO1240" s="23"/>
      <c r="AP1240" s="23"/>
      <c r="AQ1240" s="16"/>
      <c r="AR1240" s="23"/>
      <c r="AS1240" s="23"/>
      <c r="AT1240" s="23"/>
      <c r="AU1240" s="16"/>
      <c r="AV1240" s="23"/>
      <c r="AW1240" s="23"/>
      <c r="AX1240" s="23"/>
      <c r="AY1240" s="16"/>
      <c r="AZ1240" s="23"/>
      <c r="BA1240" s="23"/>
      <c r="BB1240" s="23"/>
      <c r="BC1240" s="16"/>
      <c r="BD1240" s="23"/>
      <c r="BE1240" s="23"/>
      <c r="BF1240" s="23"/>
      <c r="BJ1240" s="23"/>
      <c r="BN1240" s="23"/>
      <c r="BO1240" s="23">
        <v>200.0</v>
      </c>
      <c r="BP1240" s="16"/>
      <c r="BQ1240" s="16"/>
      <c r="BR1240" s="23">
        <v>200.0</v>
      </c>
      <c r="BS1240" s="16"/>
      <c r="BT1240" s="16"/>
      <c r="BU1240" s="16" t="s">
        <v>539</v>
      </c>
      <c r="BV1240" s="16"/>
      <c r="BW1240" s="16"/>
      <c r="BX1240" s="16"/>
      <c r="BY1240" s="16"/>
    </row>
    <row r="1241">
      <c r="A1241" s="16" t="s">
        <v>7228</v>
      </c>
      <c r="B1241" s="16" t="s">
        <v>35</v>
      </c>
      <c r="C1241" s="22">
        <v>45802.0</v>
      </c>
      <c r="D1241" s="16" t="s">
        <v>460</v>
      </c>
      <c r="E1241" s="16"/>
      <c r="F1241" s="16" t="s">
        <v>931</v>
      </c>
      <c r="G1241" s="16" t="s">
        <v>1126</v>
      </c>
      <c r="H1241" s="16">
        <v>1.0</v>
      </c>
      <c r="I1241" s="23">
        <v>30.0</v>
      </c>
      <c r="J1241" s="23">
        <v>30.0</v>
      </c>
      <c r="K1241" s="16"/>
      <c r="L1241" s="23"/>
      <c r="M1241" s="23"/>
      <c r="N1241" s="23"/>
      <c r="O1241" s="16"/>
      <c r="P1241" s="23"/>
      <c r="Q1241" s="23"/>
      <c r="R1241" s="23"/>
      <c r="S1241" s="16"/>
      <c r="T1241" s="23"/>
      <c r="U1241" s="23"/>
      <c r="V1241" s="23"/>
      <c r="W1241" s="16"/>
      <c r="X1241" s="23"/>
      <c r="Y1241" s="23"/>
      <c r="Z1241" s="23"/>
      <c r="AA1241" s="16"/>
      <c r="AB1241" s="23"/>
      <c r="AC1241" s="23"/>
      <c r="AD1241" s="23"/>
      <c r="AE1241" s="16"/>
      <c r="AF1241" s="23"/>
      <c r="AG1241" s="23"/>
      <c r="AH1241" s="23"/>
      <c r="AI1241" s="16"/>
      <c r="AJ1241" s="23"/>
      <c r="AK1241" s="23"/>
      <c r="AL1241" s="23"/>
      <c r="AM1241" s="16"/>
      <c r="AN1241" s="23"/>
      <c r="AO1241" s="23"/>
      <c r="AP1241" s="23"/>
      <c r="AQ1241" s="16"/>
      <c r="AR1241" s="23"/>
      <c r="AS1241" s="23"/>
      <c r="AT1241" s="23"/>
      <c r="AU1241" s="16"/>
      <c r="AV1241" s="23"/>
      <c r="AW1241" s="23"/>
      <c r="AX1241" s="23"/>
      <c r="AY1241" s="16"/>
      <c r="AZ1241" s="23"/>
      <c r="BA1241" s="23"/>
      <c r="BB1241" s="23"/>
      <c r="BC1241" s="16"/>
      <c r="BD1241" s="23"/>
      <c r="BE1241" s="23"/>
      <c r="BF1241" s="23"/>
      <c r="BJ1241" s="23"/>
      <c r="BN1241" s="23"/>
      <c r="BO1241" s="23">
        <v>30.0</v>
      </c>
      <c r="BP1241" s="16"/>
      <c r="BQ1241" s="16"/>
      <c r="BR1241" s="23">
        <v>30.0</v>
      </c>
      <c r="BS1241" s="16"/>
      <c r="BT1241" s="16"/>
      <c r="BU1241" s="16" t="s">
        <v>539</v>
      </c>
      <c r="BV1241" s="16"/>
      <c r="BW1241" s="16"/>
      <c r="BX1241" s="16"/>
      <c r="BY1241" s="16"/>
    </row>
    <row r="1242">
      <c r="A1242" s="16" t="s">
        <v>7230</v>
      </c>
      <c r="B1242" s="16" t="s">
        <v>35</v>
      </c>
      <c r="C1242" s="22">
        <v>45799.0</v>
      </c>
      <c r="D1242" s="16" t="s">
        <v>764</v>
      </c>
      <c r="E1242" s="16" t="s">
        <v>7918</v>
      </c>
      <c r="F1242" s="16" t="s">
        <v>195</v>
      </c>
      <c r="G1242" s="16" t="s">
        <v>1073</v>
      </c>
      <c r="H1242" s="16">
        <v>1.0</v>
      </c>
      <c r="I1242" s="23">
        <v>20.1</v>
      </c>
      <c r="J1242" s="23">
        <v>20.1</v>
      </c>
      <c r="K1242" s="16" t="s">
        <v>1074</v>
      </c>
      <c r="L1242" s="23">
        <v>3.0</v>
      </c>
      <c r="M1242" s="23">
        <v>40.8</v>
      </c>
      <c r="N1242" s="23">
        <v>122.4</v>
      </c>
      <c r="O1242" s="16" t="s">
        <v>1077</v>
      </c>
      <c r="P1242" s="23">
        <v>3.0</v>
      </c>
      <c r="Q1242" s="23">
        <v>25.8</v>
      </c>
      <c r="R1242" s="23">
        <v>77.4</v>
      </c>
      <c r="S1242" s="16" t="s">
        <v>1079</v>
      </c>
      <c r="T1242" s="23">
        <v>10.0</v>
      </c>
      <c r="U1242" s="23">
        <v>16.6</v>
      </c>
      <c r="V1242" s="23">
        <v>166.0</v>
      </c>
      <c r="W1242" s="16" t="s">
        <v>1081</v>
      </c>
      <c r="X1242" s="23">
        <v>3.0</v>
      </c>
      <c r="Y1242" s="23">
        <v>47.0</v>
      </c>
      <c r="Z1242" s="23">
        <v>141.0</v>
      </c>
      <c r="AA1242" s="16" t="s">
        <v>1075</v>
      </c>
      <c r="AB1242" s="23">
        <v>2.0</v>
      </c>
      <c r="AC1242" s="23">
        <v>40.8</v>
      </c>
      <c r="AD1242" s="23">
        <v>81.6</v>
      </c>
      <c r="AE1242" s="16">
        <v>7.5375964E7</v>
      </c>
      <c r="AF1242" s="23">
        <v>1.0</v>
      </c>
      <c r="AG1242" s="23">
        <v>40.2</v>
      </c>
      <c r="AH1242" s="23">
        <v>40.2</v>
      </c>
      <c r="AI1242" s="16"/>
      <c r="AJ1242" s="23"/>
      <c r="AK1242" s="23"/>
      <c r="AL1242" s="23">
        <v>0.0</v>
      </c>
      <c r="AM1242" s="16"/>
      <c r="AN1242" s="23"/>
      <c r="AO1242" s="23"/>
      <c r="AP1242" s="23">
        <v>0.0</v>
      </c>
      <c r="AQ1242" s="16"/>
      <c r="AR1242" s="23"/>
      <c r="AS1242" s="23"/>
      <c r="AT1242" s="23">
        <v>0.0</v>
      </c>
      <c r="AU1242" s="16"/>
      <c r="AV1242" s="23"/>
      <c r="AW1242" s="23"/>
      <c r="AX1242" s="23">
        <v>0.0</v>
      </c>
      <c r="AY1242" s="16"/>
      <c r="AZ1242" s="23"/>
      <c r="BA1242" s="23"/>
      <c r="BB1242" s="23"/>
      <c r="BC1242" s="16"/>
      <c r="BD1242" s="23"/>
      <c r="BE1242" s="23"/>
      <c r="BF1242" s="23">
        <v>0.0</v>
      </c>
      <c r="BJ1242" s="23">
        <v>0.0</v>
      </c>
      <c r="BN1242" s="23">
        <v>0.0</v>
      </c>
      <c r="BO1242" s="23">
        <v>648.7</v>
      </c>
      <c r="BP1242" s="16" t="s">
        <v>7920</v>
      </c>
      <c r="BQ1242" s="16" t="b">
        <v>1</v>
      </c>
      <c r="BR1242" s="23">
        <v>648.7</v>
      </c>
      <c r="BS1242" s="16"/>
      <c r="BT1242" s="16" t="b">
        <v>0</v>
      </c>
      <c r="BU1242" s="16" t="s">
        <v>546</v>
      </c>
      <c r="BV1242" s="16"/>
      <c r="BW1242" s="16"/>
      <c r="BX1242" s="16"/>
      <c r="BY1242" s="16"/>
    </row>
    <row r="1243">
      <c r="A1243" s="16" t="s">
        <v>7239</v>
      </c>
      <c r="B1243" s="16" t="s">
        <v>35</v>
      </c>
      <c r="C1243" s="22">
        <v>45799.0</v>
      </c>
      <c r="D1243" s="16" t="s">
        <v>112</v>
      </c>
      <c r="E1243" s="16" t="s">
        <v>7926</v>
      </c>
      <c r="F1243" s="16" t="s">
        <v>157</v>
      </c>
      <c r="G1243" s="16" t="s">
        <v>159</v>
      </c>
      <c r="H1243" s="16">
        <v>1.0</v>
      </c>
      <c r="I1243" s="23">
        <v>210.0</v>
      </c>
      <c r="J1243" s="23">
        <v>210.0</v>
      </c>
      <c r="K1243" s="16" t="s">
        <v>155</v>
      </c>
      <c r="L1243" s="23">
        <v>1.0</v>
      </c>
      <c r="M1243" s="23">
        <v>30.4</v>
      </c>
      <c r="N1243" s="23">
        <v>30.4</v>
      </c>
      <c r="O1243" s="16" t="s">
        <v>152</v>
      </c>
      <c r="P1243" s="23">
        <v>1.0</v>
      </c>
      <c r="Q1243" s="23">
        <v>9.44</v>
      </c>
      <c r="R1243" s="23">
        <v>9.44</v>
      </c>
      <c r="S1243" s="16" t="s">
        <v>226</v>
      </c>
      <c r="T1243" s="23">
        <v>1.0</v>
      </c>
      <c r="U1243" s="23">
        <v>60.0</v>
      </c>
      <c r="V1243" s="23">
        <v>60.0</v>
      </c>
      <c r="W1243" s="16"/>
      <c r="X1243" s="23"/>
      <c r="Y1243" s="23"/>
      <c r="Z1243" s="23">
        <v>0.0</v>
      </c>
      <c r="AA1243" s="16"/>
      <c r="AB1243" s="23"/>
      <c r="AC1243" s="23"/>
      <c r="AD1243" s="23">
        <v>0.0</v>
      </c>
      <c r="AE1243" s="16"/>
      <c r="AF1243" s="23"/>
      <c r="AG1243" s="23"/>
      <c r="AH1243" s="23">
        <v>0.0</v>
      </c>
      <c r="AI1243" s="16"/>
      <c r="AJ1243" s="23"/>
      <c r="AK1243" s="23"/>
      <c r="AL1243" s="23">
        <v>0.0</v>
      </c>
      <c r="AM1243" s="16"/>
      <c r="AN1243" s="23"/>
      <c r="AO1243" s="23"/>
      <c r="AP1243" s="23">
        <v>0.0</v>
      </c>
      <c r="AQ1243" s="16"/>
      <c r="AR1243" s="23"/>
      <c r="AS1243" s="23"/>
      <c r="AT1243" s="23">
        <v>0.0</v>
      </c>
      <c r="AU1243" s="16"/>
      <c r="AV1243" s="23"/>
      <c r="AW1243" s="23"/>
      <c r="AX1243" s="23">
        <v>0.0</v>
      </c>
      <c r="AY1243" s="16"/>
      <c r="AZ1243" s="23"/>
      <c r="BA1243" s="23"/>
      <c r="BB1243" s="23"/>
      <c r="BC1243" s="16"/>
      <c r="BD1243" s="23"/>
      <c r="BE1243" s="23"/>
      <c r="BF1243" s="23">
        <v>0.0</v>
      </c>
      <c r="BJ1243" s="23">
        <v>0.0</v>
      </c>
      <c r="BN1243" s="23">
        <v>0.0</v>
      </c>
      <c r="BO1243" s="23">
        <v>309.84</v>
      </c>
      <c r="BP1243" s="16" t="s">
        <v>7927</v>
      </c>
      <c r="BQ1243" s="16" t="b">
        <v>1</v>
      </c>
      <c r="BR1243" s="23">
        <v>309.84</v>
      </c>
      <c r="BS1243" s="16"/>
      <c r="BT1243" s="16" t="b">
        <v>0</v>
      </c>
      <c r="BU1243" s="16" t="s">
        <v>546</v>
      </c>
      <c r="BV1243" s="16"/>
      <c r="BW1243" s="16"/>
      <c r="BX1243" s="16"/>
      <c r="BY1243" s="16"/>
    </row>
    <row r="1244">
      <c r="A1244" s="16" t="s">
        <v>7245</v>
      </c>
      <c r="B1244" s="16" t="s">
        <v>35</v>
      </c>
      <c r="C1244" s="22">
        <v>45803.0</v>
      </c>
      <c r="D1244" s="16"/>
      <c r="E1244" s="16"/>
      <c r="F1244" s="16" t="s">
        <v>1329</v>
      </c>
      <c r="G1244" s="16" t="s">
        <v>1168</v>
      </c>
      <c r="H1244" s="16">
        <v>1.0</v>
      </c>
      <c r="I1244" s="23">
        <v>500.0</v>
      </c>
      <c r="J1244" s="23">
        <v>500.0</v>
      </c>
      <c r="K1244" s="16"/>
      <c r="L1244" s="23"/>
      <c r="M1244" s="23"/>
      <c r="N1244" s="23"/>
      <c r="O1244" s="16"/>
      <c r="P1244" s="23"/>
      <c r="Q1244" s="23"/>
      <c r="R1244" s="23"/>
      <c r="S1244" s="16"/>
      <c r="T1244" s="23"/>
      <c r="U1244" s="23"/>
      <c r="V1244" s="23"/>
      <c r="W1244" s="16"/>
      <c r="X1244" s="23"/>
      <c r="Y1244" s="23"/>
      <c r="Z1244" s="23"/>
      <c r="AA1244" s="16"/>
      <c r="AB1244" s="23"/>
      <c r="AC1244" s="23"/>
      <c r="AD1244" s="23"/>
      <c r="AE1244" s="16"/>
      <c r="AF1244" s="23"/>
      <c r="AG1244" s="23"/>
      <c r="AH1244" s="23"/>
      <c r="AI1244" s="16"/>
      <c r="AJ1244" s="23"/>
      <c r="AK1244" s="23"/>
      <c r="AL1244" s="23"/>
      <c r="AM1244" s="16"/>
      <c r="AN1244" s="23"/>
      <c r="AO1244" s="23"/>
      <c r="AP1244" s="23"/>
      <c r="AQ1244" s="16"/>
      <c r="AR1244" s="23"/>
      <c r="AS1244" s="23"/>
      <c r="AT1244" s="23"/>
      <c r="AU1244" s="16"/>
      <c r="AV1244" s="23"/>
      <c r="AW1244" s="23"/>
      <c r="AX1244" s="23"/>
      <c r="AY1244" s="16"/>
      <c r="AZ1244" s="23"/>
      <c r="BA1244" s="23"/>
      <c r="BB1244" s="23"/>
      <c r="BC1244" s="16"/>
      <c r="BD1244" s="23"/>
      <c r="BE1244" s="23"/>
      <c r="BF1244" s="23"/>
      <c r="BJ1244" s="23"/>
      <c r="BN1244" s="23"/>
      <c r="BO1244" s="23">
        <v>500.0</v>
      </c>
      <c r="BP1244" s="16"/>
      <c r="BQ1244" s="16"/>
      <c r="BR1244" s="23">
        <v>500.0</v>
      </c>
      <c r="BS1244" s="16"/>
      <c r="BT1244" s="16"/>
      <c r="BU1244" s="16" t="s">
        <v>539</v>
      </c>
      <c r="BV1244" s="16" t="s">
        <v>6062</v>
      </c>
      <c r="BW1244" s="16"/>
      <c r="BX1244" s="16"/>
      <c r="BY1244" s="16"/>
    </row>
    <row r="1245">
      <c r="A1245" s="16" t="s">
        <v>7248</v>
      </c>
      <c r="B1245" s="16" t="s">
        <v>35</v>
      </c>
      <c r="C1245" s="22">
        <v>45804.0</v>
      </c>
      <c r="D1245" s="16" t="s">
        <v>1864</v>
      </c>
      <c r="E1245" s="16"/>
      <c r="F1245" s="16" t="s">
        <v>7936</v>
      </c>
      <c r="G1245" s="16" t="s">
        <v>2662</v>
      </c>
      <c r="H1245" s="16">
        <v>1.0</v>
      </c>
      <c r="I1245" s="23">
        <v>4288.59</v>
      </c>
      <c r="J1245" s="23">
        <v>4288.59</v>
      </c>
      <c r="K1245" s="16"/>
      <c r="L1245" s="23"/>
      <c r="M1245" s="23"/>
      <c r="N1245" s="23"/>
      <c r="O1245" s="16"/>
      <c r="P1245" s="23"/>
      <c r="Q1245" s="23"/>
      <c r="R1245" s="23"/>
      <c r="S1245" s="16"/>
      <c r="T1245" s="23"/>
      <c r="U1245" s="23"/>
      <c r="V1245" s="23"/>
      <c r="W1245" s="16"/>
      <c r="X1245" s="23"/>
      <c r="Y1245" s="23"/>
      <c r="Z1245" s="23"/>
      <c r="AA1245" s="16"/>
      <c r="AB1245" s="23"/>
      <c r="AC1245" s="23"/>
      <c r="AD1245" s="23"/>
      <c r="AE1245" s="16"/>
      <c r="AF1245" s="23"/>
      <c r="AG1245" s="23"/>
      <c r="AH1245" s="23"/>
      <c r="AI1245" s="16"/>
      <c r="AJ1245" s="23"/>
      <c r="AK1245" s="23"/>
      <c r="AL1245" s="23"/>
      <c r="AM1245" s="16"/>
      <c r="AN1245" s="23"/>
      <c r="AO1245" s="23"/>
      <c r="AP1245" s="23"/>
      <c r="AQ1245" s="16"/>
      <c r="AR1245" s="23"/>
      <c r="AS1245" s="23"/>
      <c r="AT1245" s="23"/>
      <c r="AU1245" s="16"/>
      <c r="AV1245" s="23"/>
      <c r="AW1245" s="23"/>
      <c r="AX1245" s="23"/>
      <c r="AY1245" s="16"/>
      <c r="AZ1245" s="23"/>
      <c r="BA1245" s="23"/>
      <c r="BB1245" s="23"/>
      <c r="BC1245" s="16"/>
      <c r="BD1245" s="23"/>
      <c r="BE1245" s="23"/>
      <c r="BF1245" s="23"/>
      <c r="BJ1245" s="23"/>
      <c r="BN1245" s="23"/>
      <c r="BO1245" s="23">
        <v>4288.59</v>
      </c>
      <c r="BP1245" s="16"/>
      <c r="BQ1245" s="16"/>
      <c r="BR1245" s="23">
        <v>4288.59</v>
      </c>
      <c r="BS1245" s="16"/>
      <c r="BT1245" s="16"/>
      <c r="BU1245" s="16" t="s">
        <v>539</v>
      </c>
      <c r="BV1245" s="16"/>
      <c r="BW1245" s="16"/>
      <c r="BX1245" s="16"/>
      <c r="BY1245" s="16"/>
    </row>
    <row r="1246">
      <c r="A1246" s="16" t="s">
        <v>7251</v>
      </c>
      <c r="B1246" s="16" t="s">
        <v>35</v>
      </c>
      <c r="C1246" s="22">
        <v>45804.0</v>
      </c>
      <c r="D1246" s="16" t="s">
        <v>1864</v>
      </c>
      <c r="E1246" s="16"/>
      <c r="F1246" s="16" t="s">
        <v>7936</v>
      </c>
      <c r="G1246" s="16" t="s">
        <v>2662</v>
      </c>
      <c r="H1246" s="16">
        <v>1.0</v>
      </c>
      <c r="I1246" s="23">
        <v>35.59</v>
      </c>
      <c r="J1246" s="23">
        <v>35.59</v>
      </c>
      <c r="K1246" s="16"/>
      <c r="L1246" s="23"/>
      <c r="M1246" s="23"/>
      <c r="N1246" s="23"/>
      <c r="O1246" s="16"/>
      <c r="P1246" s="23"/>
      <c r="Q1246" s="23"/>
      <c r="R1246" s="23"/>
      <c r="S1246" s="16"/>
      <c r="T1246" s="23"/>
      <c r="U1246" s="23"/>
      <c r="V1246" s="23"/>
      <c r="W1246" s="16"/>
      <c r="X1246" s="23"/>
      <c r="Y1246" s="23"/>
      <c r="Z1246" s="23"/>
      <c r="AA1246" s="16"/>
      <c r="AB1246" s="23"/>
      <c r="AC1246" s="23"/>
      <c r="AD1246" s="23"/>
      <c r="AE1246" s="16"/>
      <c r="AF1246" s="23"/>
      <c r="AG1246" s="23"/>
      <c r="AH1246" s="23"/>
      <c r="AI1246" s="16"/>
      <c r="AJ1246" s="23"/>
      <c r="AK1246" s="23"/>
      <c r="AL1246" s="23"/>
      <c r="AM1246" s="16"/>
      <c r="AN1246" s="23"/>
      <c r="AO1246" s="23"/>
      <c r="AP1246" s="23"/>
      <c r="AQ1246" s="16"/>
      <c r="AR1246" s="23"/>
      <c r="AS1246" s="23"/>
      <c r="AT1246" s="23"/>
      <c r="AU1246" s="16"/>
      <c r="AV1246" s="23"/>
      <c r="AW1246" s="23"/>
      <c r="AX1246" s="23"/>
      <c r="AY1246" s="16"/>
      <c r="AZ1246" s="23"/>
      <c r="BA1246" s="23"/>
      <c r="BB1246" s="23"/>
      <c r="BC1246" s="16"/>
      <c r="BD1246" s="23"/>
      <c r="BE1246" s="23"/>
      <c r="BF1246" s="23"/>
      <c r="BJ1246" s="23"/>
      <c r="BN1246" s="23"/>
      <c r="BO1246" s="23">
        <v>35.59</v>
      </c>
      <c r="BP1246" s="16"/>
      <c r="BQ1246" s="16"/>
      <c r="BR1246" s="23">
        <v>35.59</v>
      </c>
      <c r="BS1246" s="16"/>
      <c r="BT1246" s="16"/>
      <c r="BU1246" s="16" t="s">
        <v>539</v>
      </c>
      <c r="BV1246" s="16"/>
      <c r="BW1246" s="16"/>
      <c r="BX1246" s="16"/>
      <c r="BY1246" s="16"/>
    </row>
    <row r="1247">
      <c r="A1247" s="16" t="s">
        <v>7254</v>
      </c>
      <c r="B1247" s="16" t="s">
        <v>35</v>
      </c>
      <c r="C1247" s="22">
        <v>45805.0</v>
      </c>
      <c r="D1247" s="16"/>
      <c r="E1247" s="16"/>
      <c r="F1247" s="16" t="s">
        <v>1329</v>
      </c>
      <c r="G1247" s="16" t="s">
        <v>1168</v>
      </c>
      <c r="H1247" s="16">
        <v>1.0</v>
      </c>
      <c r="I1247" s="23">
        <v>500.0</v>
      </c>
      <c r="J1247" s="23">
        <v>500.0</v>
      </c>
      <c r="K1247" s="16"/>
      <c r="L1247" s="23"/>
      <c r="M1247" s="23"/>
      <c r="N1247" s="23"/>
      <c r="O1247" s="16"/>
      <c r="P1247" s="23"/>
      <c r="Q1247" s="23"/>
      <c r="R1247" s="23"/>
      <c r="S1247" s="16"/>
      <c r="T1247" s="23"/>
      <c r="U1247" s="23"/>
      <c r="V1247" s="23"/>
      <c r="W1247" s="16"/>
      <c r="X1247" s="23"/>
      <c r="Y1247" s="23"/>
      <c r="Z1247" s="23"/>
      <c r="AA1247" s="16"/>
      <c r="AB1247" s="23"/>
      <c r="AC1247" s="23"/>
      <c r="AD1247" s="23"/>
      <c r="AE1247" s="16"/>
      <c r="AF1247" s="23"/>
      <c r="AG1247" s="23"/>
      <c r="AH1247" s="23"/>
      <c r="AI1247" s="16"/>
      <c r="AJ1247" s="23"/>
      <c r="AK1247" s="23"/>
      <c r="AL1247" s="23"/>
      <c r="AM1247" s="16"/>
      <c r="AN1247" s="23"/>
      <c r="AO1247" s="23"/>
      <c r="AP1247" s="23"/>
      <c r="AQ1247" s="16"/>
      <c r="AR1247" s="23"/>
      <c r="AS1247" s="23"/>
      <c r="AT1247" s="23"/>
      <c r="AU1247" s="16"/>
      <c r="AV1247" s="23"/>
      <c r="AW1247" s="23"/>
      <c r="AX1247" s="23"/>
      <c r="AY1247" s="16"/>
      <c r="AZ1247" s="23"/>
      <c r="BA1247" s="23"/>
      <c r="BB1247" s="23"/>
      <c r="BC1247" s="16"/>
      <c r="BD1247" s="23"/>
      <c r="BE1247" s="23"/>
      <c r="BF1247" s="23"/>
      <c r="BJ1247" s="23"/>
      <c r="BN1247" s="23"/>
      <c r="BO1247" s="23">
        <v>500.0</v>
      </c>
      <c r="BP1247" s="16"/>
      <c r="BQ1247" s="16"/>
      <c r="BR1247" s="23">
        <v>500.0</v>
      </c>
      <c r="BS1247" s="16"/>
      <c r="BT1247" s="16"/>
      <c r="BU1247" s="16" t="s">
        <v>539</v>
      </c>
      <c r="BV1247" s="16" t="s">
        <v>2052</v>
      </c>
      <c r="BW1247" s="16"/>
      <c r="BX1247" s="16"/>
      <c r="BY1247" s="16"/>
    </row>
    <row r="1248">
      <c r="A1248" s="16" t="s">
        <v>7258</v>
      </c>
      <c r="B1248" s="16" t="s">
        <v>35</v>
      </c>
      <c r="C1248" s="22">
        <v>45786.0</v>
      </c>
      <c r="D1248" s="16">
        <v>6.8893939E7</v>
      </c>
      <c r="E1248" s="16" t="s">
        <v>7951</v>
      </c>
      <c r="F1248" s="16" t="s">
        <v>7953</v>
      </c>
      <c r="G1248" s="16" t="s">
        <v>2816</v>
      </c>
      <c r="H1248" s="16">
        <v>1.0</v>
      </c>
      <c r="I1248" s="23">
        <v>419.48</v>
      </c>
      <c r="J1248" s="23">
        <v>419.48</v>
      </c>
      <c r="K1248" s="16"/>
      <c r="L1248" s="23"/>
      <c r="M1248" s="23"/>
      <c r="N1248" s="23">
        <v>0.0</v>
      </c>
      <c r="O1248" s="16"/>
      <c r="P1248" s="23"/>
      <c r="Q1248" s="23"/>
      <c r="R1248" s="23">
        <v>0.0</v>
      </c>
      <c r="S1248" s="16"/>
      <c r="T1248" s="23"/>
      <c r="U1248" s="23"/>
      <c r="V1248" s="23">
        <v>0.0</v>
      </c>
      <c r="W1248" s="16"/>
      <c r="X1248" s="23"/>
      <c r="Y1248" s="23"/>
      <c r="Z1248" s="23">
        <v>0.0</v>
      </c>
      <c r="AA1248" s="16"/>
      <c r="AB1248" s="23"/>
      <c r="AC1248" s="23"/>
      <c r="AD1248" s="23">
        <v>0.0</v>
      </c>
      <c r="AE1248" s="16"/>
      <c r="AF1248" s="23"/>
      <c r="AG1248" s="23"/>
      <c r="AH1248" s="23">
        <v>0.0</v>
      </c>
      <c r="AI1248" s="16"/>
      <c r="AJ1248" s="23"/>
      <c r="AK1248" s="23"/>
      <c r="AL1248" s="23">
        <v>0.0</v>
      </c>
      <c r="AM1248" s="16"/>
      <c r="AN1248" s="23"/>
      <c r="AO1248" s="23"/>
      <c r="AP1248" s="23">
        <v>0.0</v>
      </c>
      <c r="AQ1248" s="16"/>
      <c r="AR1248" s="23"/>
      <c r="AS1248" s="23"/>
      <c r="AT1248" s="23">
        <v>0.0</v>
      </c>
      <c r="AU1248" s="16"/>
      <c r="AV1248" s="23"/>
      <c r="AW1248" s="23"/>
      <c r="AX1248" s="23">
        <v>0.0</v>
      </c>
      <c r="AY1248" s="16"/>
      <c r="AZ1248" s="23"/>
      <c r="BA1248" s="23"/>
      <c r="BB1248" s="23"/>
      <c r="BC1248" s="16"/>
      <c r="BD1248" s="23"/>
      <c r="BE1248" s="23"/>
      <c r="BF1248" s="23">
        <v>0.0</v>
      </c>
      <c r="BJ1248" s="23">
        <v>0.0</v>
      </c>
      <c r="BN1248" s="23">
        <v>0.0</v>
      </c>
      <c r="BO1248" s="23">
        <v>419.48</v>
      </c>
      <c r="BP1248" s="16" t="s">
        <v>7952</v>
      </c>
      <c r="BQ1248" s="16" t="b">
        <v>1</v>
      </c>
      <c r="BR1248" s="23">
        <v>419.48</v>
      </c>
      <c r="BS1248" s="16"/>
      <c r="BT1248" s="16" t="b">
        <v>0</v>
      </c>
      <c r="BU1248" s="16" t="s">
        <v>546</v>
      </c>
      <c r="BV1248" s="16"/>
      <c r="BW1248" s="16"/>
      <c r="BX1248" s="16"/>
      <c r="BY1248" s="16"/>
    </row>
    <row r="1249">
      <c r="A1249" s="16" t="s">
        <v>7260</v>
      </c>
      <c r="B1249" s="16" t="s">
        <v>35</v>
      </c>
      <c r="C1249" s="22">
        <v>45803.0</v>
      </c>
      <c r="D1249" s="16" t="s">
        <v>890</v>
      </c>
      <c r="E1249" s="16" t="s">
        <v>7956</v>
      </c>
      <c r="F1249" s="16" t="s">
        <v>3813</v>
      </c>
      <c r="G1249" s="16" t="s">
        <v>1517</v>
      </c>
      <c r="H1249" s="16">
        <v>1.0</v>
      </c>
      <c r="I1249" s="23">
        <v>4433.09</v>
      </c>
      <c r="J1249" s="23">
        <v>4433.09</v>
      </c>
      <c r="K1249" s="16"/>
      <c r="L1249" s="23"/>
      <c r="M1249" s="23"/>
      <c r="N1249" s="23">
        <v>0.0</v>
      </c>
      <c r="O1249" s="16"/>
      <c r="P1249" s="23"/>
      <c r="Q1249" s="23"/>
      <c r="R1249" s="23">
        <v>0.0</v>
      </c>
      <c r="S1249" s="16"/>
      <c r="T1249" s="23"/>
      <c r="U1249" s="23"/>
      <c r="V1249" s="23">
        <v>0.0</v>
      </c>
      <c r="W1249" s="16"/>
      <c r="X1249" s="23"/>
      <c r="Y1249" s="23"/>
      <c r="Z1249" s="23">
        <v>0.0</v>
      </c>
      <c r="AA1249" s="16"/>
      <c r="AB1249" s="23"/>
      <c r="AC1249" s="23"/>
      <c r="AD1249" s="23">
        <v>0.0</v>
      </c>
      <c r="AE1249" s="16"/>
      <c r="AF1249" s="23"/>
      <c r="AG1249" s="23"/>
      <c r="AH1249" s="23">
        <v>0.0</v>
      </c>
      <c r="AI1249" s="16"/>
      <c r="AJ1249" s="23"/>
      <c r="AK1249" s="23"/>
      <c r="AL1249" s="23">
        <v>0.0</v>
      </c>
      <c r="AM1249" s="16"/>
      <c r="AN1249" s="23"/>
      <c r="AO1249" s="23"/>
      <c r="AP1249" s="23">
        <v>0.0</v>
      </c>
      <c r="AQ1249" s="16"/>
      <c r="AR1249" s="23"/>
      <c r="AS1249" s="23"/>
      <c r="AT1249" s="23">
        <v>0.0</v>
      </c>
      <c r="AU1249" s="16"/>
      <c r="AV1249" s="23"/>
      <c r="AW1249" s="23"/>
      <c r="AX1249" s="23">
        <v>0.0</v>
      </c>
      <c r="AY1249" s="16"/>
      <c r="AZ1249" s="23"/>
      <c r="BA1249" s="23"/>
      <c r="BB1249" s="23"/>
      <c r="BC1249" s="16"/>
      <c r="BD1249" s="23"/>
      <c r="BE1249" s="23"/>
      <c r="BF1249" s="23">
        <v>0.0</v>
      </c>
      <c r="BJ1249" s="23">
        <v>0.0</v>
      </c>
      <c r="BN1249" s="23">
        <v>0.0</v>
      </c>
      <c r="BO1249" s="23">
        <v>4433.09</v>
      </c>
      <c r="BP1249" s="16" t="s">
        <v>7958</v>
      </c>
      <c r="BQ1249" s="16" t="b">
        <v>1</v>
      </c>
      <c r="BR1249" s="23">
        <v>4433.09</v>
      </c>
      <c r="BS1249" s="16"/>
      <c r="BT1249" s="16" t="b">
        <v>0</v>
      </c>
      <c r="BU1249" s="16" t="s">
        <v>546</v>
      </c>
      <c r="BV1249" s="16"/>
      <c r="BW1249" s="16" t="s">
        <v>7960</v>
      </c>
      <c r="BX1249" s="16" t="s">
        <v>7962</v>
      </c>
      <c r="BY1249" s="16"/>
    </row>
    <row r="1250">
      <c r="A1250" s="16" t="s">
        <v>7263</v>
      </c>
      <c r="B1250" s="16" t="s">
        <v>35</v>
      </c>
      <c r="C1250" s="22">
        <v>45803.0</v>
      </c>
      <c r="D1250" s="16" t="s">
        <v>543</v>
      </c>
      <c r="E1250" s="16" t="s">
        <v>7964</v>
      </c>
      <c r="F1250" s="16" t="s">
        <v>171</v>
      </c>
      <c r="G1250" s="16">
        <v>1.2539885E7</v>
      </c>
      <c r="H1250" s="16">
        <v>1.0</v>
      </c>
      <c r="I1250" s="23">
        <v>150.0</v>
      </c>
      <c r="J1250" s="23">
        <v>150.0</v>
      </c>
      <c r="K1250" s="16"/>
      <c r="L1250" s="23"/>
      <c r="M1250" s="23"/>
      <c r="N1250" s="23">
        <v>0.0</v>
      </c>
      <c r="O1250" s="16"/>
      <c r="P1250" s="23"/>
      <c r="Q1250" s="23"/>
      <c r="R1250" s="23">
        <v>0.0</v>
      </c>
      <c r="S1250" s="16"/>
      <c r="T1250" s="23"/>
      <c r="U1250" s="23"/>
      <c r="V1250" s="23">
        <v>0.0</v>
      </c>
      <c r="W1250" s="16"/>
      <c r="X1250" s="23"/>
      <c r="Y1250" s="23"/>
      <c r="Z1250" s="23">
        <v>0.0</v>
      </c>
      <c r="AA1250" s="16"/>
      <c r="AB1250" s="23"/>
      <c r="AC1250" s="23"/>
      <c r="AD1250" s="23">
        <v>0.0</v>
      </c>
      <c r="AE1250" s="16"/>
      <c r="AF1250" s="23"/>
      <c r="AG1250" s="23"/>
      <c r="AH1250" s="23">
        <v>0.0</v>
      </c>
      <c r="AI1250" s="16"/>
      <c r="AJ1250" s="23"/>
      <c r="AK1250" s="23"/>
      <c r="AL1250" s="23">
        <v>0.0</v>
      </c>
      <c r="AM1250" s="16"/>
      <c r="AN1250" s="23"/>
      <c r="AO1250" s="23"/>
      <c r="AP1250" s="23">
        <v>0.0</v>
      </c>
      <c r="AQ1250" s="16"/>
      <c r="AR1250" s="23"/>
      <c r="AS1250" s="23"/>
      <c r="AT1250" s="23">
        <v>0.0</v>
      </c>
      <c r="AU1250" s="16"/>
      <c r="AV1250" s="23"/>
      <c r="AW1250" s="23"/>
      <c r="AX1250" s="23">
        <v>0.0</v>
      </c>
      <c r="AY1250" s="16"/>
      <c r="AZ1250" s="23"/>
      <c r="BA1250" s="23"/>
      <c r="BB1250" s="23"/>
      <c r="BC1250" s="16"/>
      <c r="BD1250" s="23"/>
      <c r="BE1250" s="23"/>
      <c r="BF1250" s="23">
        <v>0.0</v>
      </c>
      <c r="BJ1250" s="23">
        <v>0.0</v>
      </c>
      <c r="BN1250" s="23">
        <v>0.0</v>
      </c>
      <c r="BO1250" s="23">
        <v>150.0</v>
      </c>
      <c r="BP1250" s="16" t="s">
        <v>7966</v>
      </c>
      <c r="BQ1250" s="16" t="b">
        <v>1</v>
      </c>
      <c r="BR1250" s="23">
        <v>150.0</v>
      </c>
      <c r="BS1250" s="16"/>
      <c r="BT1250" s="16" t="b">
        <v>0</v>
      </c>
      <c r="BU1250" s="16" t="s">
        <v>546</v>
      </c>
      <c r="BV1250" s="16"/>
      <c r="BW1250" s="16"/>
      <c r="BX1250" s="16"/>
      <c r="BY1250" s="16"/>
    </row>
    <row r="1251">
      <c r="A1251" s="16" t="s">
        <v>7267</v>
      </c>
      <c r="B1251" s="16" t="s">
        <v>35</v>
      </c>
      <c r="C1251" s="22">
        <v>45804.0</v>
      </c>
      <c r="D1251" s="16" t="s">
        <v>7095</v>
      </c>
      <c r="E1251" s="16" t="s">
        <v>7969</v>
      </c>
      <c r="F1251" s="16" t="s">
        <v>195</v>
      </c>
      <c r="G1251" s="16" t="s">
        <v>338</v>
      </c>
      <c r="H1251" s="16">
        <v>1.0</v>
      </c>
      <c r="I1251" s="23">
        <v>234.2</v>
      </c>
      <c r="J1251" s="23">
        <v>234.2</v>
      </c>
      <c r="K1251" s="16"/>
      <c r="L1251" s="23"/>
      <c r="M1251" s="23"/>
      <c r="N1251" s="23">
        <v>0.0</v>
      </c>
      <c r="O1251" s="16"/>
      <c r="P1251" s="23"/>
      <c r="Q1251" s="23"/>
      <c r="R1251" s="23">
        <v>0.0</v>
      </c>
      <c r="S1251" s="16"/>
      <c r="T1251" s="23"/>
      <c r="U1251" s="23"/>
      <c r="V1251" s="23">
        <v>0.0</v>
      </c>
      <c r="W1251" s="16"/>
      <c r="X1251" s="23"/>
      <c r="Y1251" s="23"/>
      <c r="Z1251" s="23">
        <v>0.0</v>
      </c>
      <c r="AA1251" s="16"/>
      <c r="AB1251" s="23"/>
      <c r="AC1251" s="23"/>
      <c r="AD1251" s="23">
        <v>0.0</v>
      </c>
      <c r="AE1251" s="16"/>
      <c r="AF1251" s="23"/>
      <c r="AG1251" s="23"/>
      <c r="AH1251" s="23">
        <v>0.0</v>
      </c>
      <c r="AI1251" s="16"/>
      <c r="AJ1251" s="23"/>
      <c r="AK1251" s="23"/>
      <c r="AL1251" s="23">
        <v>0.0</v>
      </c>
      <c r="AM1251" s="16"/>
      <c r="AN1251" s="23"/>
      <c r="AO1251" s="23"/>
      <c r="AP1251" s="23">
        <v>0.0</v>
      </c>
      <c r="AQ1251" s="16"/>
      <c r="AR1251" s="23"/>
      <c r="AS1251" s="23"/>
      <c r="AT1251" s="23">
        <v>0.0</v>
      </c>
      <c r="AU1251" s="16"/>
      <c r="AV1251" s="23"/>
      <c r="AW1251" s="23"/>
      <c r="AX1251" s="23">
        <v>0.0</v>
      </c>
      <c r="AY1251" s="16"/>
      <c r="AZ1251" s="23"/>
      <c r="BA1251" s="23"/>
      <c r="BB1251" s="23"/>
      <c r="BC1251" s="16"/>
      <c r="BD1251" s="23"/>
      <c r="BE1251" s="23"/>
      <c r="BF1251" s="23">
        <v>0.0</v>
      </c>
      <c r="BJ1251" s="23">
        <v>0.0</v>
      </c>
      <c r="BN1251" s="23">
        <v>0.0</v>
      </c>
      <c r="BO1251" s="23">
        <v>234.2</v>
      </c>
      <c r="BP1251" s="16" t="s">
        <v>7970</v>
      </c>
      <c r="BQ1251" s="16" t="b">
        <v>1</v>
      </c>
      <c r="BR1251" s="23">
        <v>234.2</v>
      </c>
      <c r="BS1251" s="16"/>
      <c r="BT1251" s="16" t="b">
        <v>0</v>
      </c>
      <c r="BU1251" s="16" t="s">
        <v>546</v>
      </c>
      <c r="BV1251" s="16"/>
      <c r="BW1251" s="16"/>
      <c r="BX1251" s="16"/>
      <c r="BY1251" s="16"/>
    </row>
    <row r="1252">
      <c r="A1252" s="16" t="s">
        <v>7269</v>
      </c>
      <c r="B1252" s="16" t="s">
        <v>35</v>
      </c>
      <c r="C1252" s="22">
        <v>45799.0</v>
      </c>
      <c r="D1252" s="16">
        <v>6.8893939E7</v>
      </c>
      <c r="E1252" s="16" t="s">
        <v>7975</v>
      </c>
      <c r="F1252" s="16" t="s">
        <v>7978</v>
      </c>
      <c r="G1252" s="16" t="s">
        <v>7270</v>
      </c>
      <c r="H1252" s="16">
        <v>1.0</v>
      </c>
      <c r="I1252" s="23">
        <v>166.5</v>
      </c>
      <c r="J1252" s="23">
        <v>166.5</v>
      </c>
      <c r="K1252" s="16"/>
      <c r="L1252" s="23"/>
      <c r="M1252" s="23"/>
      <c r="N1252" s="23">
        <v>0.0</v>
      </c>
      <c r="O1252" s="16"/>
      <c r="P1252" s="23"/>
      <c r="Q1252" s="23"/>
      <c r="R1252" s="23">
        <v>0.0</v>
      </c>
      <c r="S1252" s="16"/>
      <c r="T1252" s="23"/>
      <c r="U1252" s="23"/>
      <c r="V1252" s="23">
        <v>0.0</v>
      </c>
      <c r="W1252" s="16"/>
      <c r="X1252" s="23"/>
      <c r="Y1252" s="23"/>
      <c r="Z1252" s="23">
        <v>0.0</v>
      </c>
      <c r="AA1252" s="16"/>
      <c r="AB1252" s="23"/>
      <c r="AC1252" s="23"/>
      <c r="AD1252" s="23">
        <v>0.0</v>
      </c>
      <c r="AE1252" s="16"/>
      <c r="AF1252" s="23"/>
      <c r="AG1252" s="23"/>
      <c r="AH1252" s="23">
        <v>0.0</v>
      </c>
      <c r="AI1252" s="16"/>
      <c r="AJ1252" s="23"/>
      <c r="AK1252" s="23"/>
      <c r="AL1252" s="23">
        <v>0.0</v>
      </c>
      <c r="AM1252" s="16"/>
      <c r="AN1252" s="23"/>
      <c r="AO1252" s="23"/>
      <c r="AP1252" s="23">
        <v>0.0</v>
      </c>
      <c r="AQ1252" s="16"/>
      <c r="AR1252" s="23"/>
      <c r="AS1252" s="23"/>
      <c r="AT1252" s="23">
        <v>0.0</v>
      </c>
      <c r="AU1252" s="16"/>
      <c r="AV1252" s="23"/>
      <c r="AW1252" s="23"/>
      <c r="AX1252" s="23">
        <v>0.0</v>
      </c>
      <c r="AY1252" s="16"/>
      <c r="AZ1252" s="23"/>
      <c r="BA1252" s="23"/>
      <c r="BB1252" s="23"/>
      <c r="BC1252" s="16"/>
      <c r="BD1252" s="23"/>
      <c r="BE1252" s="23"/>
      <c r="BF1252" s="23">
        <v>0.0</v>
      </c>
      <c r="BJ1252" s="23">
        <v>0.0</v>
      </c>
      <c r="BN1252" s="23">
        <v>0.0</v>
      </c>
      <c r="BO1252" s="23">
        <v>166.5</v>
      </c>
      <c r="BP1252" s="16" t="s">
        <v>7977</v>
      </c>
      <c r="BQ1252" s="16" t="b">
        <v>1</v>
      </c>
      <c r="BR1252" s="23">
        <v>166.5</v>
      </c>
      <c r="BS1252" s="16"/>
      <c r="BT1252" s="16" t="b">
        <v>0</v>
      </c>
      <c r="BU1252" s="16" t="s">
        <v>546</v>
      </c>
      <c r="BV1252" s="16"/>
      <c r="BW1252" s="16"/>
      <c r="BX1252" s="16"/>
      <c r="BY1252" s="16"/>
    </row>
    <row r="1253">
      <c r="A1253" s="16" t="s">
        <v>7275</v>
      </c>
      <c r="B1253" s="16" t="s">
        <v>35</v>
      </c>
      <c r="C1253" s="22">
        <v>45805.0</v>
      </c>
      <c r="D1253" s="16" t="s">
        <v>112</v>
      </c>
      <c r="E1253" s="16" t="s">
        <v>7981</v>
      </c>
      <c r="F1253" s="16" t="s">
        <v>157</v>
      </c>
      <c r="G1253" s="16" t="s">
        <v>159</v>
      </c>
      <c r="H1253" s="16">
        <v>15.0</v>
      </c>
      <c r="I1253" s="23">
        <v>14.0</v>
      </c>
      <c r="J1253" s="23">
        <v>210.0</v>
      </c>
      <c r="K1253" s="16" t="s">
        <v>155</v>
      </c>
      <c r="L1253" s="23">
        <v>1.0</v>
      </c>
      <c r="M1253" s="23">
        <v>60.8</v>
      </c>
      <c r="N1253" s="23">
        <v>60.8</v>
      </c>
      <c r="O1253" s="16" t="s">
        <v>152</v>
      </c>
      <c r="P1253" s="23">
        <v>1.0</v>
      </c>
      <c r="Q1253" s="23">
        <v>6.38</v>
      </c>
      <c r="R1253" s="23">
        <v>6.38</v>
      </c>
      <c r="S1253" s="16" t="s">
        <v>226</v>
      </c>
      <c r="T1253" s="23">
        <v>1.0</v>
      </c>
      <c r="U1253" s="23">
        <v>37.5</v>
      </c>
      <c r="V1253" s="23">
        <v>37.5</v>
      </c>
      <c r="W1253" s="16"/>
      <c r="X1253" s="23"/>
      <c r="Y1253" s="23"/>
      <c r="Z1253" s="23">
        <v>0.0</v>
      </c>
      <c r="AA1253" s="16"/>
      <c r="AB1253" s="23"/>
      <c r="AC1253" s="23"/>
      <c r="AD1253" s="23">
        <v>0.0</v>
      </c>
      <c r="AE1253" s="16"/>
      <c r="AF1253" s="23"/>
      <c r="AG1253" s="23"/>
      <c r="AH1253" s="23">
        <v>0.0</v>
      </c>
      <c r="AI1253" s="16"/>
      <c r="AJ1253" s="23"/>
      <c r="AK1253" s="23"/>
      <c r="AL1253" s="23">
        <v>0.0</v>
      </c>
      <c r="AM1253" s="16"/>
      <c r="AN1253" s="23"/>
      <c r="AO1253" s="23"/>
      <c r="AP1253" s="23">
        <v>0.0</v>
      </c>
      <c r="AQ1253" s="16"/>
      <c r="AR1253" s="23"/>
      <c r="AS1253" s="23"/>
      <c r="AT1253" s="23">
        <v>0.0</v>
      </c>
      <c r="AU1253" s="16"/>
      <c r="AV1253" s="23"/>
      <c r="AW1253" s="23"/>
      <c r="AX1253" s="23">
        <v>0.0</v>
      </c>
      <c r="AY1253" s="16"/>
      <c r="AZ1253" s="23"/>
      <c r="BA1253" s="23"/>
      <c r="BB1253" s="23"/>
      <c r="BC1253" s="16"/>
      <c r="BD1253" s="23"/>
      <c r="BE1253" s="23"/>
      <c r="BF1253" s="23">
        <v>0.0</v>
      </c>
      <c r="BJ1253" s="23">
        <v>0.0</v>
      </c>
      <c r="BN1253" s="23">
        <v>0.0</v>
      </c>
      <c r="BO1253" s="23">
        <v>314.68</v>
      </c>
      <c r="BP1253" s="16" t="s">
        <v>7983</v>
      </c>
      <c r="BQ1253" s="16" t="b">
        <v>1</v>
      </c>
      <c r="BR1253" s="23">
        <v>314.68</v>
      </c>
      <c r="BS1253" s="16"/>
      <c r="BT1253" s="16" t="b">
        <v>0</v>
      </c>
      <c r="BU1253" s="16" t="s">
        <v>546</v>
      </c>
      <c r="BV1253" s="16"/>
      <c r="BW1253" s="16"/>
      <c r="BX1253" s="16"/>
      <c r="BY1253" s="16"/>
    </row>
    <row r="1254">
      <c r="A1254" s="16" t="s">
        <v>7282</v>
      </c>
      <c r="B1254" s="16" t="s">
        <v>35</v>
      </c>
      <c r="C1254" s="22">
        <v>45807.0</v>
      </c>
      <c r="D1254" s="16" t="s">
        <v>1036</v>
      </c>
      <c r="E1254" s="16" t="s">
        <v>7987</v>
      </c>
      <c r="F1254" s="16" t="s">
        <v>5755</v>
      </c>
      <c r="G1254" s="16" t="s">
        <v>1668</v>
      </c>
      <c r="H1254" s="16">
        <v>1.0</v>
      </c>
      <c r="I1254" s="23">
        <v>124.16</v>
      </c>
      <c r="J1254" s="23">
        <v>124.16</v>
      </c>
      <c r="K1254" s="16"/>
      <c r="L1254" s="23"/>
      <c r="M1254" s="23"/>
      <c r="N1254" s="23">
        <v>0.0</v>
      </c>
      <c r="O1254" s="16"/>
      <c r="P1254" s="23"/>
      <c r="Q1254" s="23"/>
      <c r="R1254" s="23">
        <v>0.0</v>
      </c>
      <c r="S1254" s="16"/>
      <c r="T1254" s="23"/>
      <c r="U1254" s="23"/>
      <c r="V1254" s="23">
        <v>0.0</v>
      </c>
      <c r="W1254" s="16"/>
      <c r="X1254" s="23"/>
      <c r="Y1254" s="23"/>
      <c r="Z1254" s="23">
        <v>0.0</v>
      </c>
      <c r="AA1254" s="16"/>
      <c r="AB1254" s="23"/>
      <c r="AC1254" s="23"/>
      <c r="AD1254" s="23">
        <v>0.0</v>
      </c>
      <c r="AE1254" s="16"/>
      <c r="AF1254" s="23"/>
      <c r="AG1254" s="23"/>
      <c r="AH1254" s="23">
        <v>0.0</v>
      </c>
      <c r="AI1254" s="16"/>
      <c r="AJ1254" s="23"/>
      <c r="AK1254" s="23"/>
      <c r="AL1254" s="23">
        <v>0.0</v>
      </c>
      <c r="AM1254" s="16"/>
      <c r="AN1254" s="23"/>
      <c r="AO1254" s="23"/>
      <c r="AP1254" s="23">
        <v>0.0</v>
      </c>
      <c r="AQ1254" s="16"/>
      <c r="AR1254" s="23"/>
      <c r="AS1254" s="23"/>
      <c r="AT1254" s="23">
        <v>0.0</v>
      </c>
      <c r="AU1254" s="16"/>
      <c r="AV1254" s="23"/>
      <c r="AW1254" s="23"/>
      <c r="AX1254" s="23">
        <v>0.0</v>
      </c>
      <c r="AY1254" s="16"/>
      <c r="AZ1254" s="23"/>
      <c r="BA1254" s="23"/>
      <c r="BB1254" s="23"/>
      <c r="BC1254" s="16"/>
      <c r="BD1254" s="23"/>
      <c r="BE1254" s="23"/>
      <c r="BF1254" s="23">
        <v>0.0</v>
      </c>
      <c r="BJ1254" s="23">
        <v>0.0</v>
      </c>
      <c r="BN1254" s="23">
        <v>0.0</v>
      </c>
      <c r="BO1254" s="23">
        <v>124.16</v>
      </c>
      <c r="BP1254" s="16" t="s">
        <v>7989</v>
      </c>
      <c r="BQ1254" s="16" t="b">
        <v>1</v>
      </c>
      <c r="BR1254" s="23">
        <v>124.16</v>
      </c>
      <c r="BS1254" s="16"/>
      <c r="BT1254" s="16" t="b">
        <v>0</v>
      </c>
      <c r="BU1254" s="16" t="s">
        <v>546</v>
      </c>
      <c r="BV1254" s="16"/>
      <c r="BW1254" s="16"/>
      <c r="BX1254" s="16"/>
      <c r="BY1254" s="16"/>
    </row>
    <row r="1255">
      <c r="A1255" s="16" t="s">
        <v>7284</v>
      </c>
      <c r="B1255" s="16" t="s">
        <v>35</v>
      </c>
      <c r="C1255" s="22">
        <v>45807.0</v>
      </c>
      <c r="D1255" s="16" t="s">
        <v>233</v>
      </c>
      <c r="E1255" s="16" t="s">
        <v>7993</v>
      </c>
      <c r="F1255" s="16" t="s">
        <v>236</v>
      </c>
      <c r="G1255" s="16" t="s">
        <v>5563</v>
      </c>
      <c r="H1255" s="16">
        <v>2.0</v>
      </c>
      <c r="I1255" s="23">
        <v>20.99</v>
      </c>
      <c r="J1255" s="23">
        <v>41.98</v>
      </c>
      <c r="K1255" s="16" t="s">
        <v>1041</v>
      </c>
      <c r="L1255" s="23">
        <v>1.0</v>
      </c>
      <c r="M1255" s="23">
        <v>19.79</v>
      </c>
      <c r="N1255" s="23">
        <v>19.79</v>
      </c>
      <c r="O1255" s="16" t="s">
        <v>305</v>
      </c>
      <c r="P1255" s="23">
        <v>1.0</v>
      </c>
      <c r="Q1255" s="23">
        <v>402.69</v>
      </c>
      <c r="R1255" s="23">
        <v>402.69</v>
      </c>
      <c r="S1255" s="16"/>
      <c r="T1255" s="23"/>
      <c r="U1255" s="23"/>
      <c r="V1255" s="23">
        <v>0.0</v>
      </c>
      <c r="W1255" s="16"/>
      <c r="X1255" s="23"/>
      <c r="Y1255" s="23"/>
      <c r="Z1255" s="23">
        <v>0.0</v>
      </c>
      <c r="AA1255" s="16"/>
      <c r="AB1255" s="23"/>
      <c r="AC1255" s="23"/>
      <c r="AD1255" s="23">
        <v>0.0</v>
      </c>
      <c r="AE1255" s="16"/>
      <c r="AF1255" s="23"/>
      <c r="AG1255" s="23"/>
      <c r="AH1255" s="23">
        <v>0.0</v>
      </c>
      <c r="AI1255" s="16"/>
      <c r="AJ1255" s="23"/>
      <c r="AK1255" s="23"/>
      <c r="AL1255" s="23">
        <v>0.0</v>
      </c>
      <c r="AM1255" s="16"/>
      <c r="AN1255" s="23"/>
      <c r="AO1255" s="23"/>
      <c r="AP1255" s="23">
        <v>0.0</v>
      </c>
      <c r="AQ1255" s="16"/>
      <c r="AR1255" s="23"/>
      <c r="AS1255" s="23"/>
      <c r="AT1255" s="23">
        <v>0.0</v>
      </c>
      <c r="AU1255" s="16"/>
      <c r="AV1255" s="23"/>
      <c r="AW1255" s="23"/>
      <c r="AX1255" s="23">
        <v>0.0</v>
      </c>
      <c r="AY1255" s="16"/>
      <c r="AZ1255" s="23"/>
      <c r="BA1255" s="23"/>
      <c r="BB1255" s="23"/>
      <c r="BC1255" s="16"/>
      <c r="BD1255" s="23"/>
      <c r="BE1255" s="23"/>
      <c r="BF1255" s="23">
        <v>0.0</v>
      </c>
      <c r="BJ1255" s="23">
        <v>0.0</v>
      </c>
      <c r="BN1255" s="23">
        <v>0.0</v>
      </c>
      <c r="BO1255" s="23">
        <v>464.46</v>
      </c>
      <c r="BP1255" s="16" t="s">
        <v>7995</v>
      </c>
      <c r="BQ1255" s="16" t="b">
        <v>1</v>
      </c>
      <c r="BR1255" s="23">
        <v>464.46</v>
      </c>
      <c r="BS1255" s="16">
        <v>1506468.0</v>
      </c>
      <c r="BT1255" s="16" t="b">
        <v>1</v>
      </c>
      <c r="BU1255" s="16" t="s">
        <v>546</v>
      </c>
      <c r="BV1255" s="16"/>
      <c r="BW1255" s="16"/>
      <c r="BX1255" s="16"/>
      <c r="BY1255" s="16"/>
    </row>
    <row r="1256">
      <c r="A1256" s="16" t="s">
        <v>7290</v>
      </c>
      <c r="B1256" s="16" t="s">
        <v>35</v>
      </c>
      <c r="C1256" s="22">
        <v>45807.0</v>
      </c>
      <c r="D1256" s="16" t="s">
        <v>543</v>
      </c>
      <c r="E1256" s="16" t="s">
        <v>7999</v>
      </c>
      <c r="F1256" s="16" t="s">
        <v>171</v>
      </c>
      <c r="G1256" s="16">
        <v>1.2539885E7</v>
      </c>
      <c r="H1256" s="16">
        <v>1.0</v>
      </c>
      <c r="I1256" s="23">
        <v>300.0</v>
      </c>
      <c r="J1256" s="23">
        <v>300.0</v>
      </c>
      <c r="K1256" s="16"/>
      <c r="L1256" s="23"/>
      <c r="M1256" s="23"/>
      <c r="N1256" s="23">
        <v>0.0</v>
      </c>
      <c r="O1256" s="16"/>
      <c r="P1256" s="23"/>
      <c r="Q1256" s="23"/>
      <c r="R1256" s="23">
        <v>0.0</v>
      </c>
      <c r="S1256" s="16"/>
      <c r="T1256" s="23"/>
      <c r="U1256" s="23"/>
      <c r="V1256" s="23">
        <v>0.0</v>
      </c>
      <c r="W1256" s="16"/>
      <c r="X1256" s="23"/>
      <c r="Y1256" s="23"/>
      <c r="Z1256" s="23">
        <v>0.0</v>
      </c>
      <c r="AA1256" s="16"/>
      <c r="AB1256" s="23"/>
      <c r="AC1256" s="23"/>
      <c r="AD1256" s="23">
        <v>0.0</v>
      </c>
      <c r="AE1256" s="16"/>
      <c r="AF1256" s="23"/>
      <c r="AG1256" s="23"/>
      <c r="AH1256" s="23">
        <v>0.0</v>
      </c>
      <c r="AI1256" s="16"/>
      <c r="AJ1256" s="23"/>
      <c r="AK1256" s="23"/>
      <c r="AL1256" s="23">
        <v>0.0</v>
      </c>
      <c r="AM1256" s="16"/>
      <c r="AN1256" s="23"/>
      <c r="AO1256" s="23"/>
      <c r="AP1256" s="23">
        <v>0.0</v>
      </c>
      <c r="AQ1256" s="16"/>
      <c r="AR1256" s="23"/>
      <c r="AS1256" s="23"/>
      <c r="AT1256" s="23">
        <v>0.0</v>
      </c>
      <c r="AU1256" s="16"/>
      <c r="AV1256" s="23"/>
      <c r="AW1256" s="23"/>
      <c r="AX1256" s="23">
        <v>0.0</v>
      </c>
      <c r="AY1256" s="16"/>
      <c r="AZ1256" s="23"/>
      <c r="BA1256" s="23"/>
      <c r="BB1256" s="23"/>
      <c r="BC1256" s="16"/>
      <c r="BD1256" s="23"/>
      <c r="BE1256" s="23"/>
      <c r="BF1256" s="23">
        <v>0.0</v>
      </c>
      <c r="BJ1256" s="23">
        <v>0.0</v>
      </c>
      <c r="BN1256" s="23">
        <v>0.0</v>
      </c>
      <c r="BO1256" s="23">
        <v>300.0</v>
      </c>
      <c r="BP1256" s="16" t="s">
        <v>8001</v>
      </c>
      <c r="BQ1256" s="16" t="b">
        <v>1</v>
      </c>
      <c r="BR1256" s="23">
        <v>300.0</v>
      </c>
      <c r="BS1256" s="16"/>
      <c r="BT1256" s="16" t="b">
        <v>0</v>
      </c>
      <c r="BU1256" s="16" t="s">
        <v>546</v>
      </c>
      <c r="BV1256" s="16"/>
      <c r="BW1256" s="16"/>
      <c r="BX1256" s="16"/>
      <c r="BY1256" s="16"/>
    </row>
    <row r="1257">
      <c r="A1257" s="16" t="s">
        <v>7292</v>
      </c>
      <c r="B1257" s="16" t="s">
        <v>35</v>
      </c>
      <c r="C1257" s="22">
        <v>45808.0</v>
      </c>
      <c r="D1257" s="16" t="s">
        <v>112</v>
      </c>
      <c r="E1257" s="16" t="s">
        <v>8005</v>
      </c>
      <c r="F1257" s="16" t="s">
        <v>157</v>
      </c>
      <c r="G1257" s="16" t="s">
        <v>159</v>
      </c>
      <c r="H1257" s="16">
        <v>1.0</v>
      </c>
      <c r="I1257" s="23">
        <v>140.0</v>
      </c>
      <c r="J1257" s="23">
        <v>140.0</v>
      </c>
      <c r="K1257" s="16" t="s">
        <v>155</v>
      </c>
      <c r="L1257" s="23">
        <v>1.0</v>
      </c>
      <c r="M1257" s="23">
        <v>38.0</v>
      </c>
      <c r="N1257" s="23">
        <v>38.0</v>
      </c>
      <c r="O1257" s="16" t="s">
        <v>152</v>
      </c>
      <c r="P1257" s="23">
        <v>1.0</v>
      </c>
      <c r="Q1257" s="23">
        <v>3.48</v>
      </c>
      <c r="R1257" s="23">
        <v>3.48</v>
      </c>
      <c r="S1257" s="16" t="s">
        <v>226</v>
      </c>
      <c r="T1257" s="23">
        <v>1.0</v>
      </c>
      <c r="U1257" s="23">
        <v>22.5</v>
      </c>
      <c r="V1257" s="23">
        <v>22.5</v>
      </c>
      <c r="W1257" s="16"/>
      <c r="X1257" s="23"/>
      <c r="Y1257" s="23"/>
      <c r="Z1257" s="23">
        <v>0.0</v>
      </c>
      <c r="AA1257" s="16"/>
      <c r="AB1257" s="23"/>
      <c r="AC1257" s="23"/>
      <c r="AD1257" s="23">
        <v>0.0</v>
      </c>
      <c r="AE1257" s="16"/>
      <c r="AF1257" s="23"/>
      <c r="AG1257" s="23"/>
      <c r="AH1257" s="23">
        <v>0.0</v>
      </c>
      <c r="AI1257" s="16"/>
      <c r="AJ1257" s="23"/>
      <c r="AK1257" s="23"/>
      <c r="AL1257" s="23">
        <v>0.0</v>
      </c>
      <c r="AM1257" s="16"/>
      <c r="AN1257" s="23"/>
      <c r="AO1257" s="23"/>
      <c r="AP1257" s="23">
        <v>0.0</v>
      </c>
      <c r="AQ1257" s="16"/>
      <c r="AR1257" s="23"/>
      <c r="AS1257" s="23"/>
      <c r="AT1257" s="23">
        <v>0.0</v>
      </c>
      <c r="AU1257" s="16"/>
      <c r="AV1257" s="23"/>
      <c r="AW1257" s="23"/>
      <c r="AX1257" s="23">
        <v>0.0</v>
      </c>
      <c r="AY1257" s="16"/>
      <c r="AZ1257" s="23"/>
      <c r="BA1257" s="23"/>
      <c r="BB1257" s="23"/>
      <c r="BC1257" s="16"/>
      <c r="BD1257" s="23"/>
      <c r="BE1257" s="23"/>
      <c r="BF1257" s="23">
        <v>0.0</v>
      </c>
      <c r="BJ1257" s="23">
        <v>0.0</v>
      </c>
      <c r="BN1257" s="23">
        <v>0.0</v>
      </c>
      <c r="BO1257" s="23">
        <v>203.98</v>
      </c>
      <c r="BP1257" s="16" t="s">
        <v>8006</v>
      </c>
      <c r="BQ1257" s="16" t="b">
        <v>1</v>
      </c>
      <c r="BR1257" s="23">
        <v>203.98</v>
      </c>
      <c r="BS1257" s="16"/>
      <c r="BT1257" s="16" t="b">
        <v>0</v>
      </c>
      <c r="BU1257" s="16" t="s">
        <v>546</v>
      </c>
      <c r="BV1257" s="16"/>
      <c r="BW1257" s="16"/>
      <c r="BX1257" s="16"/>
      <c r="BY1257" s="16"/>
    </row>
    <row r="1258">
      <c r="A1258" s="16" t="s">
        <v>7299</v>
      </c>
      <c r="B1258" s="16" t="s">
        <v>35</v>
      </c>
      <c r="C1258" s="22">
        <v>45809.0</v>
      </c>
      <c r="D1258" s="16" t="s">
        <v>1557</v>
      </c>
      <c r="E1258" s="16" t="s">
        <v>8011</v>
      </c>
      <c r="F1258" s="16" t="s">
        <v>7603</v>
      </c>
      <c r="G1258" s="16" t="s">
        <v>1047</v>
      </c>
      <c r="H1258" s="16">
        <v>1.0</v>
      </c>
      <c r="I1258" s="23">
        <v>110.0</v>
      </c>
      <c r="J1258" s="23">
        <v>110.0</v>
      </c>
      <c r="K1258" s="16"/>
      <c r="L1258" s="23"/>
      <c r="M1258" s="23"/>
      <c r="N1258" s="23">
        <v>0.0</v>
      </c>
      <c r="O1258" s="16"/>
      <c r="P1258" s="23"/>
      <c r="Q1258" s="23"/>
      <c r="R1258" s="23">
        <v>0.0</v>
      </c>
      <c r="S1258" s="16"/>
      <c r="T1258" s="23"/>
      <c r="U1258" s="23"/>
      <c r="V1258" s="23">
        <v>0.0</v>
      </c>
      <c r="W1258" s="16"/>
      <c r="X1258" s="23"/>
      <c r="Y1258" s="23"/>
      <c r="Z1258" s="23">
        <v>0.0</v>
      </c>
      <c r="AA1258" s="16"/>
      <c r="AB1258" s="23"/>
      <c r="AC1258" s="23"/>
      <c r="AD1258" s="23">
        <v>0.0</v>
      </c>
      <c r="AE1258" s="16"/>
      <c r="AF1258" s="23"/>
      <c r="AG1258" s="23"/>
      <c r="AH1258" s="23">
        <v>0.0</v>
      </c>
      <c r="AI1258" s="16"/>
      <c r="AJ1258" s="23"/>
      <c r="AK1258" s="23"/>
      <c r="AL1258" s="23">
        <v>0.0</v>
      </c>
      <c r="AM1258" s="16"/>
      <c r="AN1258" s="23"/>
      <c r="AO1258" s="23"/>
      <c r="AP1258" s="23">
        <v>0.0</v>
      </c>
      <c r="AQ1258" s="16"/>
      <c r="AR1258" s="23"/>
      <c r="AS1258" s="23"/>
      <c r="AT1258" s="23">
        <v>0.0</v>
      </c>
      <c r="AU1258" s="16"/>
      <c r="AV1258" s="23"/>
      <c r="AW1258" s="23"/>
      <c r="AX1258" s="23">
        <v>0.0</v>
      </c>
      <c r="AY1258" s="16"/>
      <c r="AZ1258" s="23"/>
      <c r="BA1258" s="23"/>
      <c r="BB1258" s="23"/>
      <c r="BC1258" s="16"/>
      <c r="BD1258" s="23"/>
      <c r="BE1258" s="23"/>
      <c r="BF1258" s="23">
        <v>0.0</v>
      </c>
      <c r="BJ1258" s="23">
        <v>0.0</v>
      </c>
      <c r="BN1258" s="23">
        <v>0.0</v>
      </c>
      <c r="BO1258" s="23">
        <v>110.0</v>
      </c>
      <c r="BP1258" s="16" t="s">
        <v>8012</v>
      </c>
      <c r="BQ1258" s="16" t="b">
        <v>1</v>
      </c>
      <c r="BR1258" s="23">
        <v>110.0</v>
      </c>
      <c r="BS1258" s="16"/>
      <c r="BT1258" s="16" t="b">
        <v>0</v>
      </c>
      <c r="BU1258" s="16" t="s">
        <v>546</v>
      </c>
      <c r="BV1258" s="16"/>
      <c r="BW1258" s="16"/>
      <c r="BX1258" s="16"/>
      <c r="BY1258" s="16"/>
    </row>
    <row r="1259">
      <c r="A1259" s="16" t="s">
        <v>7301</v>
      </c>
      <c r="B1259" s="16" t="s">
        <v>35</v>
      </c>
      <c r="C1259" s="22">
        <v>45804.0</v>
      </c>
      <c r="D1259" s="16"/>
      <c r="E1259" s="16"/>
      <c r="F1259" s="16" t="s">
        <v>3676</v>
      </c>
      <c r="G1259" s="16" t="s">
        <v>1168</v>
      </c>
      <c r="H1259" s="16">
        <v>1.0</v>
      </c>
      <c r="I1259" s="23">
        <v>500.0</v>
      </c>
      <c r="J1259" s="23">
        <v>500.0</v>
      </c>
      <c r="K1259" s="16"/>
      <c r="L1259" s="23"/>
      <c r="M1259" s="23"/>
      <c r="N1259" s="23"/>
      <c r="O1259" s="16"/>
      <c r="P1259" s="23"/>
      <c r="Q1259" s="23"/>
      <c r="R1259" s="23"/>
      <c r="S1259" s="16"/>
      <c r="T1259" s="23"/>
      <c r="U1259" s="23"/>
      <c r="V1259" s="23"/>
      <c r="W1259" s="16"/>
      <c r="X1259" s="23"/>
      <c r="Y1259" s="23"/>
      <c r="Z1259" s="23"/>
      <c r="AA1259" s="16"/>
      <c r="AB1259" s="23"/>
      <c r="AC1259" s="23"/>
      <c r="AD1259" s="23"/>
      <c r="AE1259" s="16"/>
      <c r="AF1259" s="23"/>
      <c r="AG1259" s="23"/>
      <c r="AH1259" s="23"/>
      <c r="AI1259" s="16"/>
      <c r="AJ1259" s="23"/>
      <c r="AK1259" s="23"/>
      <c r="AL1259" s="23"/>
      <c r="AM1259" s="16"/>
      <c r="AN1259" s="23"/>
      <c r="AO1259" s="23"/>
      <c r="AP1259" s="23"/>
      <c r="AQ1259" s="16"/>
      <c r="AR1259" s="23"/>
      <c r="AS1259" s="23"/>
      <c r="AT1259" s="23"/>
      <c r="AU1259" s="16"/>
      <c r="AV1259" s="23"/>
      <c r="AW1259" s="23"/>
      <c r="AX1259" s="23"/>
      <c r="AY1259" s="16"/>
      <c r="AZ1259" s="23"/>
      <c r="BA1259" s="23"/>
      <c r="BB1259" s="23"/>
      <c r="BC1259" s="16"/>
      <c r="BD1259" s="23"/>
      <c r="BE1259" s="23"/>
      <c r="BF1259" s="23"/>
      <c r="BJ1259" s="23"/>
      <c r="BN1259" s="23"/>
      <c r="BO1259" s="23">
        <v>500.0</v>
      </c>
      <c r="BP1259" s="16"/>
      <c r="BQ1259" s="16"/>
      <c r="BR1259" s="23">
        <v>500.0</v>
      </c>
      <c r="BS1259" s="16"/>
      <c r="BT1259" s="16"/>
      <c r="BU1259" s="16" t="s">
        <v>539</v>
      </c>
      <c r="BV1259" s="16" t="s">
        <v>624</v>
      </c>
      <c r="BW1259" s="16"/>
      <c r="BX1259" s="16"/>
      <c r="BY1259" s="16"/>
    </row>
    <row r="1260">
      <c r="A1260" s="16" t="s">
        <v>7303</v>
      </c>
      <c r="B1260" s="16" t="s">
        <v>35</v>
      </c>
      <c r="C1260" s="22">
        <v>45809.0</v>
      </c>
      <c r="D1260" s="16"/>
      <c r="E1260" s="16"/>
      <c r="F1260" s="16" t="s">
        <v>3676</v>
      </c>
      <c r="G1260" s="16" t="s">
        <v>1168</v>
      </c>
      <c r="H1260" s="16">
        <v>1.0</v>
      </c>
      <c r="I1260" s="23">
        <v>500.0</v>
      </c>
      <c r="J1260" s="23">
        <v>500.0</v>
      </c>
      <c r="K1260" s="16"/>
      <c r="L1260" s="23"/>
      <c r="M1260" s="23"/>
      <c r="N1260" s="23"/>
      <c r="O1260" s="16"/>
      <c r="P1260" s="23"/>
      <c r="Q1260" s="23"/>
      <c r="R1260" s="23"/>
      <c r="S1260" s="16"/>
      <c r="T1260" s="23"/>
      <c r="U1260" s="23"/>
      <c r="V1260" s="23"/>
      <c r="W1260" s="16"/>
      <c r="X1260" s="23"/>
      <c r="Y1260" s="23"/>
      <c r="Z1260" s="23"/>
      <c r="AA1260" s="16"/>
      <c r="AB1260" s="23"/>
      <c r="AC1260" s="23"/>
      <c r="AD1260" s="23"/>
      <c r="AE1260" s="16"/>
      <c r="AF1260" s="23"/>
      <c r="AG1260" s="23"/>
      <c r="AH1260" s="23"/>
      <c r="AI1260" s="16"/>
      <c r="AJ1260" s="23"/>
      <c r="AK1260" s="23"/>
      <c r="AL1260" s="23"/>
      <c r="AM1260" s="16"/>
      <c r="AN1260" s="23"/>
      <c r="AO1260" s="23"/>
      <c r="AP1260" s="23"/>
      <c r="AQ1260" s="16"/>
      <c r="AR1260" s="23"/>
      <c r="AS1260" s="23"/>
      <c r="AT1260" s="23"/>
      <c r="AU1260" s="16"/>
      <c r="AV1260" s="23"/>
      <c r="AW1260" s="23"/>
      <c r="AX1260" s="23"/>
      <c r="AY1260" s="16"/>
      <c r="AZ1260" s="23"/>
      <c r="BA1260" s="23"/>
      <c r="BB1260" s="23"/>
      <c r="BC1260" s="16"/>
      <c r="BD1260" s="23"/>
      <c r="BE1260" s="23"/>
      <c r="BF1260" s="23"/>
      <c r="BJ1260" s="23"/>
      <c r="BN1260" s="23"/>
      <c r="BO1260" s="23">
        <v>500.0</v>
      </c>
      <c r="BP1260" s="16"/>
      <c r="BQ1260" s="16"/>
      <c r="BR1260" s="23">
        <v>500.0</v>
      </c>
      <c r="BS1260" s="16"/>
      <c r="BT1260" s="16"/>
      <c r="BU1260" s="16" t="s">
        <v>539</v>
      </c>
      <c r="BV1260" s="16" t="s">
        <v>3795</v>
      </c>
      <c r="BW1260" s="16"/>
      <c r="BX1260" s="16"/>
      <c r="BY1260" s="16"/>
    </row>
    <row r="1261">
      <c r="A1261" s="16" t="s">
        <v>7306</v>
      </c>
      <c r="B1261" s="16" t="s">
        <v>35</v>
      </c>
      <c r="C1261" s="22">
        <v>45812.0</v>
      </c>
      <c r="D1261" s="16" t="s">
        <v>890</v>
      </c>
      <c r="E1261" s="16" t="s">
        <v>8021</v>
      </c>
      <c r="F1261" s="16" t="s">
        <v>2894</v>
      </c>
      <c r="G1261" s="16" t="s">
        <v>1510</v>
      </c>
      <c r="H1261" s="16">
        <v>1.0</v>
      </c>
      <c r="I1261" s="23">
        <v>5645.26</v>
      </c>
      <c r="J1261" s="23">
        <v>5645.26</v>
      </c>
      <c r="K1261" s="16"/>
      <c r="L1261" s="23"/>
      <c r="M1261" s="23"/>
      <c r="N1261" s="23">
        <v>0.0</v>
      </c>
      <c r="O1261" s="16"/>
      <c r="P1261" s="23"/>
      <c r="Q1261" s="23"/>
      <c r="R1261" s="23">
        <v>0.0</v>
      </c>
      <c r="S1261" s="16"/>
      <c r="T1261" s="23"/>
      <c r="U1261" s="23"/>
      <c r="V1261" s="23">
        <v>0.0</v>
      </c>
      <c r="W1261" s="16"/>
      <c r="X1261" s="23"/>
      <c r="Y1261" s="23"/>
      <c r="Z1261" s="23">
        <v>0.0</v>
      </c>
      <c r="AA1261" s="16"/>
      <c r="AB1261" s="23"/>
      <c r="AC1261" s="23"/>
      <c r="AD1261" s="23">
        <v>0.0</v>
      </c>
      <c r="AE1261" s="16"/>
      <c r="AF1261" s="23"/>
      <c r="AG1261" s="23"/>
      <c r="AH1261" s="23">
        <v>0.0</v>
      </c>
      <c r="AI1261" s="16"/>
      <c r="AJ1261" s="23"/>
      <c r="AK1261" s="23"/>
      <c r="AL1261" s="23">
        <v>0.0</v>
      </c>
      <c r="AM1261" s="16"/>
      <c r="AN1261" s="23"/>
      <c r="AO1261" s="23"/>
      <c r="AP1261" s="23">
        <v>0.0</v>
      </c>
      <c r="AQ1261" s="16"/>
      <c r="AR1261" s="23"/>
      <c r="AS1261" s="23"/>
      <c r="AT1261" s="23">
        <v>0.0</v>
      </c>
      <c r="AU1261" s="16"/>
      <c r="AV1261" s="23"/>
      <c r="AW1261" s="23"/>
      <c r="AX1261" s="23">
        <v>0.0</v>
      </c>
      <c r="AY1261" s="16"/>
      <c r="AZ1261" s="23"/>
      <c r="BA1261" s="23"/>
      <c r="BB1261" s="23"/>
      <c r="BC1261" s="16"/>
      <c r="BD1261" s="23"/>
      <c r="BE1261" s="23"/>
      <c r="BF1261" s="23">
        <v>0.0</v>
      </c>
      <c r="BJ1261" s="23">
        <v>0.0</v>
      </c>
      <c r="BN1261" s="23">
        <v>0.0</v>
      </c>
      <c r="BO1261" s="23">
        <v>5645.26</v>
      </c>
      <c r="BP1261" s="16" t="s">
        <v>8023</v>
      </c>
      <c r="BQ1261" s="16" t="b">
        <v>1</v>
      </c>
      <c r="BR1261" s="23">
        <v>5645.26</v>
      </c>
      <c r="BS1261" s="16"/>
      <c r="BT1261" s="16" t="b">
        <v>0</v>
      </c>
      <c r="BU1261" s="16" t="s">
        <v>546</v>
      </c>
      <c r="BV1261" s="16"/>
      <c r="BW1261" s="16" t="s">
        <v>8024</v>
      </c>
      <c r="BX1261" s="16" t="s">
        <v>8026</v>
      </c>
      <c r="BY1261" s="16" t="s">
        <v>8027</v>
      </c>
    </row>
    <row r="1262">
      <c r="A1262" s="16" t="s">
        <v>7309</v>
      </c>
      <c r="B1262" s="16" t="s">
        <v>35</v>
      </c>
      <c r="C1262" s="22">
        <v>45814.0</v>
      </c>
      <c r="D1262" s="16" t="s">
        <v>112</v>
      </c>
      <c r="E1262" s="16" t="s">
        <v>8029</v>
      </c>
      <c r="F1262" s="16" t="s">
        <v>157</v>
      </c>
      <c r="G1262" s="16" t="s">
        <v>159</v>
      </c>
      <c r="H1262" s="16">
        <v>15.0</v>
      </c>
      <c r="I1262" s="23">
        <v>14.0</v>
      </c>
      <c r="J1262" s="23">
        <v>210.0</v>
      </c>
      <c r="K1262" s="16" t="s">
        <v>155</v>
      </c>
      <c r="L1262" s="23">
        <v>1.0</v>
      </c>
      <c r="M1262" s="23">
        <v>76.28</v>
      </c>
      <c r="N1262" s="23">
        <v>76.28</v>
      </c>
      <c r="O1262" s="16" t="s">
        <v>152</v>
      </c>
      <c r="P1262" s="23">
        <v>1.0</v>
      </c>
      <c r="Q1262" s="23">
        <v>11.31</v>
      </c>
      <c r="R1262" s="23">
        <v>11.31</v>
      </c>
      <c r="S1262" s="16" t="s">
        <v>226</v>
      </c>
      <c r="T1262" s="23">
        <v>7.0</v>
      </c>
      <c r="U1262" s="23">
        <v>7.9</v>
      </c>
      <c r="V1262" s="23">
        <v>55.3</v>
      </c>
      <c r="W1262" s="16"/>
      <c r="X1262" s="23"/>
      <c r="Y1262" s="23"/>
      <c r="Z1262" s="23">
        <v>0.0</v>
      </c>
      <c r="AA1262" s="16"/>
      <c r="AB1262" s="23"/>
      <c r="AC1262" s="23"/>
      <c r="AD1262" s="23">
        <v>0.0</v>
      </c>
      <c r="AE1262" s="16"/>
      <c r="AF1262" s="23"/>
      <c r="AG1262" s="23"/>
      <c r="AH1262" s="23">
        <v>0.0</v>
      </c>
      <c r="AI1262" s="16"/>
      <c r="AJ1262" s="23"/>
      <c r="AK1262" s="23"/>
      <c r="AL1262" s="23">
        <v>0.0</v>
      </c>
      <c r="AM1262" s="16"/>
      <c r="AN1262" s="23"/>
      <c r="AO1262" s="23"/>
      <c r="AP1262" s="23">
        <v>0.0</v>
      </c>
      <c r="AQ1262" s="16"/>
      <c r="AR1262" s="23"/>
      <c r="AS1262" s="23"/>
      <c r="AT1262" s="23">
        <v>0.0</v>
      </c>
      <c r="AU1262" s="16"/>
      <c r="AV1262" s="23"/>
      <c r="AW1262" s="23"/>
      <c r="AX1262" s="23">
        <v>0.0</v>
      </c>
      <c r="AY1262" s="16"/>
      <c r="AZ1262" s="23"/>
      <c r="BA1262" s="23"/>
      <c r="BB1262" s="23"/>
      <c r="BC1262" s="16"/>
      <c r="BD1262" s="23"/>
      <c r="BE1262" s="23"/>
      <c r="BF1262" s="23">
        <v>0.0</v>
      </c>
      <c r="BJ1262" s="23">
        <v>0.0</v>
      </c>
      <c r="BN1262" s="23">
        <v>0.0</v>
      </c>
      <c r="BO1262" s="23">
        <v>352.89</v>
      </c>
      <c r="BP1262" s="16" t="s">
        <v>8030</v>
      </c>
      <c r="BQ1262" s="16" t="b">
        <v>1</v>
      </c>
      <c r="BR1262" s="23">
        <v>352.89</v>
      </c>
      <c r="BS1262" s="16"/>
      <c r="BT1262" s="16" t="b">
        <v>0</v>
      </c>
      <c r="BU1262" s="16" t="s">
        <v>546</v>
      </c>
      <c r="BV1262" s="16"/>
      <c r="BW1262" s="16"/>
      <c r="BX1262" s="16"/>
      <c r="BY1262" s="16"/>
    </row>
    <row r="1263">
      <c r="A1263" s="16" t="s">
        <v>7314</v>
      </c>
      <c r="B1263" s="16" t="s">
        <v>35</v>
      </c>
      <c r="C1263" s="22">
        <v>45814.0</v>
      </c>
      <c r="D1263" s="16" t="s">
        <v>233</v>
      </c>
      <c r="E1263" s="16" t="s">
        <v>8033</v>
      </c>
      <c r="F1263" s="16" t="s">
        <v>8036</v>
      </c>
      <c r="G1263" s="16" t="s">
        <v>305</v>
      </c>
      <c r="H1263" s="16">
        <v>1.0</v>
      </c>
      <c r="I1263" s="23">
        <v>231.88</v>
      </c>
      <c r="J1263" s="23">
        <v>231.88</v>
      </c>
      <c r="K1263" s="16"/>
      <c r="L1263" s="23"/>
      <c r="M1263" s="23"/>
      <c r="N1263" s="23">
        <v>0.0</v>
      </c>
      <c r="O1263" s="16"/>
      <c r="P1263" s="23"/>
      <c r="Q1263" s="23"/>
      <c r="R1263" s="23">
        <v>0.0</v>
      </c>
      <c r="S1263" s="16"/>
      <c r="T1263" s="23"/>
      <c r="U1263" s="23"/>
      <c r="V1263" s="23">
        <v>0.0</v>
      </c>
      <c r="W1263" s="16"/>
      <c r="X1263" s="23"/>
      <c r="Y1263" s="23"/>
      <c r="Z1263" s="23">
        <v>0.0</v>
      </c>
      <c r="AA1263" s="16"/>
      <c r="AB1263" s="23"/>
      <c r="AC1263" s="23"/>
      <c r="AD1263" s="23">
        <v>0.0</v>
      </c>
      <c r="AE1263" s="16"/>
      <c r="AF1263" s="23"/>
      <c r="AG1263" s="23"/>
      <c r="AH1263" s="23">
        <v>0.0</v>
      </c>
      <c r="AI1263" s="16"/>
      <c r="AJ1263" s="23"/>
      <c r="AK1263" s="23"/>
      <c r="AL1263" s="23">
        <v>0.0</v>
      </c>
      <c r="AM1263" s="16"/>
      <c r="AN1263" s="23"/>
      <c r="AO1263" s="23"/>
      <c r="AP1263" s="23">
        <v>0.0</v>
      </c>
      <c r="AQ1263" s="16"/>
      <c r="AR1263" s="23"/>
      <c r="AS1263" s="23"/>
      <c r="AT1263" s="23">
        <v>0.0</v>
      </c>
      <c r="AU1263" s="16"/>
      <c r="AV1263" s="23"/>
      <c r="AW1263" s="23"/>
      <c r="AX1263" s="23">
        <v>0.0</v>
      </c>
      <c r="AY1263" s="16"/>
      <c r="AZ1263" s="23"/>
      <c r="BA1263" s="23"/>
      <c r="BB1263" s="23"/>
      <c r="BC1263" s="16"/>
      <c r="BD1263" s="23"/>
      <c r="BE1263" s="23"/>
      <c r="BF1263" s="23">
        <v>0.0</v>
      </c>
      <c r="BJ1263" s="23">
        <v>0.0</v>
      </c>
      <c r="BN1263" s="23">
        <v>0.0</v>
      </c>
      <c r="BO1263" s="23">
        <v>231.88</v>
      </c>
      <c r="BP1263" s="16" t="s">
        <v>8034</v>
      </c>
      <c r="BQ1263" s="16" t="b">
        <v>1</v>
      </c>
      <c r="BR1263" s="23">
        <v>231.88</v>
      </c>
      <c r="BS1263" s="16">
        <v>1516310.0</v>
      </c>
      <c r="BT1263" s="16" t="b">
        <v>1</v>
      </c>
      <c r="BU1263" s="16" t="s">
        <v>546</v>
      </c>
      <c r="BV1263" s="16"/>
      <c r="BW1263" s="16"/>
      <c r="BX1263" s="16"/>
      <c r="BY1263" s="16"/>
    </row>
    <row r="1264">
      <c r="A1264" s="16" t="s">
        <v>7316</v>
      </c>
      <c r="B1264" s="16" t="s">
        <v>35</v>
      </c>
      <c r="C1264" s="22">
        <v>45814.0</v>
      </c>
      <c r="D1264" s="16" t="s">
        <v>543</v>
      </c>
      <c r="E1264" s="16" t="s">
        <v>8041</v>
      </c>
      <c r="F1264" s="16" t="s">
        <v>171</v>
      </c>
      <c r="G1264" s="16">
        <v>1.2539885E7</v>
      </c>
      <c r="H1264" s="16">
        <v>1.0</v>
      </c>
      <c r="I1264" s="23">
        <v>120.0</v>
      </c>
      <c r="J1264" s="23">
        <v>120.0</v>
      </c>
      <c r="K1264" s="16"/>
      <c r="L1264" s="23"/>
      <c r="M1264" s="23"/>
      <c r="N1264" s="23">
        <v>0.0</v>
      </c>
      <c r="O1264" s="16"/>
      <c r="P1264" s="23"/>
      <c r="Q1264" s="23"/>
      <c r="R1264" s="23">
        <v>0.0</v>
      </c>
      <c r="S1264" s="16"/>
      <c r="T1264" s="23"/>
      <c r="U1264" s="23"/>
      <c r="V1264" s="23">
        <v>0.0</v>
      </c>
      <c r="W1264" s="16"/>
      <c r="X1264" s="23"/>
      <c r="Y1264" s="23"/>
      <c r="Z1264" s="23">
        <v>0.0</v>
      </c>
      <c r="AA1264" s="16"/>
      <c r="AB1264" s="23"/>
      <c r="AC1264" s="23"/>
      <c r="AD1264" s="23">
        <v>0.0</v>
      </c>
      <c r="AE1264" s="16"/>
      <c r="AF1264" s="23"/>
      <c r="AG1264" s="23"/>
      <c r="AH1264" s="23">
        <v>0.0</v>
      </c>
      <c r="AI1264" s="16"/>
      <c r="AJ1264" s="23"/>
      <c r="AK1264" s="23"/>
      <c r="AL1264" s="23">
        <v>0.0</v>
      </c>
      <c r="AM1264" s="16"/>
      <c r="AN1264" s="23"/>
      <c r="AO1264" s="23"/>
      <c r="AP1264" s="23">
        <v>0.0</v>
      </c>
      <c r="AQ1264" s="16"/>
      <c r="AR1264" s="23"/>
      <c r="AS1264" s="23"/>
      <c r="AT1264" s="23">
        <v>0.0</v>
      </c>
      <c r="AU1264" s="16"/>
      <c r="AV1264" s="23"/>
      <c r="AW1264" s="23"/>
      <c r="AX1264" s="23">
        <v>0.0</v>
      </c>
      <c r="AY1264" s="16"/>
      <c r="AZ1264" s="23"/>
      <c r="BA1264" s="23"/>
      <c r="BB1264" s="23"/>
      <c r="BC1264" s="16"/>
      <c r="BD1264" s="23"/>
      <c r="BE1264" s="23"/>
      <c r="BF1264" s="23">
        <v>0.0</v>
      </c>
      <c r="BJ1264" s="23">
        <v>0.0</v>
      </c>
      <c r="BN1264" s="23">
        <v>0.0</v>
      </c>
      <c r="BO1264" s="23">
        <v>120.0</v>
      </c>
      <c r="BP1264" s="16" t="s">
        <v>8042</v>
      </c>
      <c r="BQ1264" s="16" t="b">
        <v>1</v>
      </c>
      <c r="BR1264" s="23">
        <v>120.0</v>
      </c>
      <c r="BS1264" s="16"/>
      <c r="BT1264" s="16" t="b">
        <v>0</v>
      </c>
      <c r="BU1264" s="16" t="s">
        <v>546</v>
      </c>
      <c r="BV1264" s="16"/>
      <c r="BW1264" s="16"/>
      <c r="BX1264" s="16"/>
      <c r="BY1264" s="16"/>
    </row>
    <row r="1265">
      <c r="A1265" s="16" t="s">
        <v>7319</v>
      </c>
      <c r="B1265" s="16" t="s">
        <v>35</v>
      </c>
      <c r="C1265" s="22">
        <v>45817.0</v>
      </c>
      <c r="D1265" s="16" t="s">
        <v>460</v>
      </c>
      <c r="E1265" s="16"/>
      <c r="F1265" s="16" t="s">
        <v>8046</v>
      </c>
      <c r="G1265" s="16" t="s">
        <v>1653</v>
      </c>
      <c r="H1265" s="16">
        <v>1.0</v>
      </c>
      <c r="I1265" s="23">
        <v>2845.0</v>
      </c>
      <c r="J1265" s="23">
        <v>2845.0</v>
      </c>
      <c r="K1265" s="16"/>
      <c r="L1265" s="23"/>
      <c r="M1265" s="23"/>
      <c r="N1265" s="23"/>
      <c r="O1265" s="16"/>
      <c r="P1265" s="23"/>
      <c r="Q1265" s="23"/>
      <c r="R1265" s="23"/>
      <c r="S1265" s="16"/>
      <c r="T1265" s="23"/>
      <c r="U1265" s="23"/>
      <c r="V1265" s="23"/>
      <c r="W1265" s="16"/>
      <c r="X1265" s="23"/>
      <c r="Y1265" s="23"/>
      <c r="Z1265" s="23"/>
      <c r="AA1265" s="16"/>
      <c r="AB1265" s="23"/>
      <c r="AC1265" s="23"/>
      <c r="AD1265" s="23"/>
      <c r="AE1265" s="16"/>
      <c r="AF1265" s="23"/>
      <c r="AG1265" s="23"/>
      <c r="AH1265" s="23"/>
      <c r="AI1265" s="16"/>
      <c r="AJ1265" s="23"/>
      <c r="AK1265" s="23"/>
      <c r="AL1265" s="23"/>
      <c r="AM1265" s="16"/>
      <c r="AN1265" s="23"/>
      <c r="AO1265" s="23"/>
      <c r="AP1265" s="23"/>
      <c r="AQ1265" s="16"/>
      <c r="AR1265" s="23"/>
      <c r="AS1265" s="23"/>
      <c r="AT1265" s="23"/>
      <c r="AU1265" s="16"/>
      <c r="AV1265" s="23"/>
      <c r="AW1265" s="23"/>
      <c r="AX1265" s="23"/>
      <c r="AY1265" s="16"/>
      <c r="AZ1265" s="23"/>
      <c r="BA1265" s="23"/>
      <c r="BB1265" s="23"/>
      <c r="BC1265" s="16"/>
      <c r="BD1265" s="23"/>
      <c r="BE1265" s="23"/>
      <c r="BF1265" s="23"/>
      <c r="BJ1265" s="23"/>
      <c r="BN1265" s="23"/>
      <c r="BO1265" s="23">
        <v>2845.0</v>
      </c>
      <c r="BP1265" s="16"/>
      <c r="BQ1265" s="16"/>
      <c r="BR1265" s="23">
        <v>2845.0</v>
      </c>
      <c r="BS1265" s="16"/>
      <c r="BT1265" s="16"/>
      <c r="BU1265" s="16" t="s">
        <v>539</v>
      </c>
      <c r="BV1265" s="16"/>
      <c r="BW1265" s="16"/>
      <c r="BX1265" s="16"/>
      <c r="BY1265" s="16"/>
    </row>
    <row r="1266">
      <c r="A1266" s="16" t="s">
        <v>7322</v>
      </c>
      <c r="B1266" s="16" t="s">
        <v>35</v>
      </c>
      <c r="C1266" s="22">
        <v>45817.0</v>
      </c>
      <c r="D1266" s="16" t="s">
        <v>460</v>
      </c>
      <c r="E1266" s="16"/>
      <c r="F1266" s="16" t="s">
        <v>8050</v>
      </c>
      <c r="G1266" s="16" t="s">
        <v>7323</v>
      </c>
      <c r="H1266" s="16">
        <v>1.0</v>
      </c>
      <c r="I1266" s="23">
        <v>102.0</v>
      </c>
      <c r="J1266" s="23">
        <v>102.0</v>
      </c>
      <c r="K1266" s="16"/>
      <c r="L1266" s="23"/>
      <c r="M1266" s="23"/>
      <c r="N1266" s="23"/>
      <c r="O1266" s="16"/>
      <c r="P1266" s="23"/>
      <c r="Q1266" s="23"/>
      <c r="R1266" s="23"/>
      <c r="S1266" s="16"/>
      <c r="T1266" s="23"/>
      <c r="U1266" s="23"/>
      <c r="V1266" s="23"/>
      <c r="W1266" s="16"/>
      <c r="X1266" s="23"/>
      <c r="Y1266" s="23"/>
      <c r="Z1266" s="23"/>
      <c r="AA1266" s="16"/>
      <c r="AB1266" s="23"/>
      <c r="AC1266" s="23"/>
      <c r="AD1266" s="23"/>
      <c r="AE1266" s="16"/>
      <c r="AF1266" s="23"/>
      <c r="AG1266" s="23"/>
      <c r="AH1266" s="23"/>
      <c r="AI1266" s="16"/>
      <c r="AJ1266" s="23"/>
      <c r="AK1266" s="23"/>
      <c r="AL1266" s="23"/>
      <c r="AM1266" s="16"/>
      <c r="AN1266" s="23"/>
      <c r="AO1266" s="23"/>
      <c r="AP1266" s="23"/>
      <c r="AQ1266" s="16"/>
      <c r="AR1266" s="23"/>
      <c r="AS1266" s="23"/>
      <c r="AT1266" s="23"/>
      <c r="AU1266" s="16"/>
      <c r="AV1266" s="23"/>
      <c r="AW1266" s="23"/>
      <c r="AX1266" s="23"/>
      <c r="AY1266" s="16"/>
      <c r="AZ1266" s="23"/>
      <c r="BA1266" s="23"/>
      <c r="BB1266" s="23"/>
      <c r="BC1266" s="16"/>
      <c r="BD1266" s="23"/>
      <c r="BE1266" s="23"/>
      <c r="BF1266" s="23"/>
      <c r="BJ1266" s="23"/>
      <c r="BN1266" s="23"/>
      <c r="BO1266" s="23">
        <v>102.0</v>
      </c>
      <c r="BP1266" s="16"/>
      <c r="BQ1266" s="16"/>
      <c r="BR1266" s="23">
        <v>102.0</v>
      </c>
      <c r="BS1266" s="16"/>
      <c r="BT1266" s="16"/>
      <c r="BU1266" s="16" t="s">
        <v>539</v>
      </c>
      <c r="BV1266" s="16"/>
      <c r="BW1266" s="16"/>
      <c r="BX1266" s="16"/>
      <c r="BY1266" s="16"/>
    </row>
    <row r="1267">
      <c r="A1267" s="16" t="s">
        <v>7326</v>
      </c>
      <c r="B1267" s="16" t="s">
        <v>35</v>
      </c>
      <c r="C1267" s="22">
        <v>45817.0</v>
      </c>
      <c r="D1267" s="16" t="s">
        <v>2248</v>
      </c>
      <c r="E1267" s="16"/>
      <c r="F1267" s="16" t="s">
        <v>8055</v>
      </c>
      <c r="G1267" s="16" t="s">
        <v>3218</v>
      </c>
      <c r="H1267" s="16">
        <v>1.0</v>
      </c>
      <c r="I1267" s="23">
        <v>185.0</v>
      </c>
      <c r="J1267" s="23">
        <v>185.0</v>
      </c>
      <c r="K1267" s="16"/>
      <c r="L1267" s="23"/>
      <c r="M1267" s="23"/>
      <c r="N1267" s="23"/>
      <c r="O1267" s="16"/>
      <c r="P1267" s="23"/>
      <c r="Q1267" s="23"/>
      <c r="R1267" s="23"/>
      <c r="S1267" s="16"/>
      <c r="T1267" s="23"/>
      <c r="U1267" s="23"/>
      <c r="V1267" s="23"/>
      <c r="W1267" s="16"/>
      <c r="X1267" s="23"/>
      <c r="Y1267" s="23"/>
      <c r="Z1267" s="23"/>
      <c r="AA1267" s="16"/>
      <c r="AB1267" s="23"/>
      <c r="AC1267" s="23"/>
      <c r="AD1267" s="23"/>
      <c r="AE1267" s="16"/>
      <c r="AF1267" s="23"/>
      <c r="AG1267" s="23"/>
      <c r="AH1267" s="23"/>
      <c r="AI1267" s="16"/>
      <c r="AJ1267" s="23"/>
      <c r="AK1267" s="23"/>
      <c r="AL1267" s="23"/>
      <c r="AM1267" s="16"/>
      <c r="AN1267" s="23"/>
      <c r="AO1267" s="23"/>
      <c r="AP1267" s="23"/>
      <c r="AQ1267" s="16"/>
      <c r="AR1267" s="23"/>
      <c r="AS1267" s="23"/>
      <c r="AT1267" s="23"/>
      <c r="AU1267" s="16"/>
      <c r="AV1267" s="23"/>
      <c r="AW1267" s="23"/>
      <c r="AX1267" s="23"/>
      <c r="AY1267" s="16"/>
      <c r="AZ1267" s="23"/>
      <c r="BA1267" s="23"/>
      <c r="BB1267" s="23"/>
      <c r="BC1267" s="16"/>
      <c r="BD1267" s="23"/>
      <c r="BE1267" s="23"/>
      <c r="BF1267" s="23"/>
      <c r="BJ1267" s="23"/>
      <c r="BN1267" s="23"/>
      <c r="BO1267" s="23">
        <v>185.0</v>
      </c>
      <c r="BP1267" s="16"/>
      <c r="BQ1267" s="16"/>
      <c r="BR1267" s="23">
        <v>185.0</v>
      </c>
      <c r="BS1267" s="16"/>
      <c r="BT1267" s="16"/>
      <c r="BU1267" s="16" t="s">
        <v>539</v>
      </c>
      <c r="BV1267" s="16"/>
      <c r="BW1267" s="16"/>
      <c r="BX1267" s="16"/>
      <c r="BY1267" s="16"/>
    </row>
    <row r="1268">
      <c r="A1268" s="16" t="s">
        <v>7330</v>
      </c>
      <c r="B1268" s="16" t="s">
        <v>35</v>
      </c>
      <c r="C1268" s="22">
        <v>45810.0</v>
      </c>
      <c r="D1268" s="16"/>
      <c r="E1268" s="16"/>
      <c r="F1268" s="16" t="s">
        <v>8058</v>
      </c>
      <c r="G1268" s="16" t="s">
        <v>1239</v>
      </c>
      <c r="H1268" s="16">
        <v>1.0</v>
      </c>
      <c r="I1268" s="23">
        <v>634.73</v>
      </c>
      <c r="J1268" s="23">
        <v>634.73</v>
      </c>
      <c r="K1268" s="16"/>
      <c r="L1268" s="23"/>
      <c r="M1268" s="23"/>
      <c r="N1268" s="23"/>
      <c r="O1268" s="16"/>
      <c r="P1268" s="23"/>
      <c r="Q1268" s="23"/>
      <c r="R1268" s="23"/>
      <c r="S1268" s="16"/>
      <c r="T1268" s="23"/>
      <c r="U1268" s="23"/>
      <c r="V1268" s="23"/>
      <c r="W1268" s="16"/>
      <c r="X1268" s="23"/>
      <c r="Y1268" s="23"/>
      <c r="Z1268" s="23"/>
      <c r="AA1268" s="16"/>
      <c r="AB1268" s="23"/>
      <c r="AC1268" s="23"/>
      <c r="AD1268" s="23"/>
      <c r="AE1268" s="16"/>
      <c r="AF1268" s="23"/>
      <c r="AG1268" s="23"/>
      <c r="AH1268" s="23"/>
      <c r="AI1268" s="16"/>
      <c r="AJ1268" s="23"/>
      <c r="AK1268" s="23"/>
      <c r="AL1268" s="23"/>
      <c r="AM1268" s="16"/>
      <c r="AN1268" s="23"/>
      <c r="AO1268" s="23"/>
      <c r="AP1268" s="23"/>
      <c r="AQ1268" s="16"/>
      <c r="AR1268" s="23"/>
      <c r="AS1268" s="23"/>
      <c r="AT1268" s="23"/>
      <c r="AU1268" s="16"/>
      <c r="AV1268" s="23"/>
      <c r="AW1268" s="23"/>
      <c r="AX1268" s="23"/>
      <c r="AY1268" s="16"/>
      <c r="AZ1268" s="23"/>
      <c r="BA1268" s="23"/>
      <c r="BB1268" s="23"/>
      <c r="BC1268" s="16"/>
      <c r="BD1268" s="23"/>
      <c r="BE1268" s="23"/>
      <c r="BF1268" s="23"/>
      <c r="BJ1268" s="23"/>
      <c r="BN1268" s="23"/>
      <c r="BO1268" s="23">
        <v>634.73</v>
      </c>
      <c r="BP1268" s="16"/>
      <c r="BQ1268" s="16"/>
      <c r="BR1268" s="23">
        <v>634.73</v>
      </c>
      <c r="BS1268" s="16"/>
      <c r="BT1268" s="16"/>
      <c r="BU1268" s="16" t="s">
        <v>539</v>
      </c>
      <c r="BV1268" s="16" t="s">
        <v>2052</v>
      </c>
      <c r="BW1268" s="16"/>
      <c r="BX1268" s="16"/>
      <c r="BY1268" s="16"/>
    </row>
    <row r="1269">
      <c r="A1269" s="16" t="s">
        <v>7332</v>
      </c>
      <c r="B1269" s="16" t="s">
        <v>35</v>
      </c>
      <c r="C1269" s="22">
        <v>45810.0</v>
      </c>
      <c r="D1269" s="16"/>
      <c r="E1269" s="16"/>
      <c r="F1269" s="16" t="s">
        <v>8058</v>
      </c>
      <c r="G1269" s="16" t="s">
        <v>1239</v>
      </c>
      <c r="H1269" s="16">
        <v>1.0</v>
      </c>
      <c r="I1269" s="23">
        <v>2082.25</v>
      </c>
      <c r="J1269" s="23">
        <v>2082.25</v>
      </c>
      <c r="K1269" s="16"/>
      <c r="L1269" s="23"/>
      <c r="M1269" s="23"/>
      <c r="N1269" s="23"/>
      <c r="O1269" s="16"/>
      <c r="P1269" s="23"/>
      <c r="Q1269" s="23"/>
      <c r="R1269" s="23"/>
      <c r="S1269" s="16"/>
      <c r="T1269" s="23"/>
      <c r="U1269" s="23"/>
      <c r="V1269" s="23"/>
      <c r="W1269" s="16"/>
      <c r="X1269" s="23"/>
      <c r="Y1269" s="23"/>
      <c r="Z1269" s="23"/>
      <c r="AA1269" s="16"/>
      <c r="AB1269" s="23"/>
      <c r="AC1269" s="23"/>
      <c r="AD1269" s="23"/>
      <c r="AE1269" s="16"/>
      <c r="AF1269" s="23"/>
      <c r="AG1269" s="23"/>
      <c r="AH1269" s="23"/>
      <c r="AI1269" s="16"/>
      <c r="AJ1269" s="23"/>
      <c r="AK1269" s="23"/>
      <c r="AL1269" s="23"/>
      <c r="AM1269" s="16"/>
      <c r="AN1269" s="23"/>
      <c r="AO1269" s="23"/>
      <c r="AP1269" s="23"/>
      <c r="AQ1269" s="16"/>
      <c r="AR1269" s="23"/>
      <c r="AS1269" s="23"/>
      <c r="AT1269" s="23"/>
      <c r="AU1269" s="16"/>
      <c r="AV1269" s="23"/>
      <c r="AW1269" s="23"/>
      <c r="AX1269" s="23"/>
      <c r="AY1269" s="16"/>
      <c r="AZ1269" s="23"/>
      <c r="BA1269" s="23"/>
      <c r="BB1269" s="23"/>
      <c r="BC1269" s="16"/>
      <c r="BD1269" s="23"/>
      <c r="BE1269" s="23"/>
      <c r="BF1269" s="23"/>
      <c r="BJ1269" s="23"/>
      <c r="BN1269" s="23"/>
      <c r="BO1269" s="23">
        <v>2082.25</v>
      </c>
      <c r="BP1269" s="16"/>
      <c r="BQ1269" s="16"/>
      <c r="BR1269" s="23">
        <v>2082.25</v>
      </c>
      <c r="BS1269" s="16"/>
      <c r="BT1269" s="16"/>
      <c r="BU1269" s="16" t="s">
        <v>539</v>
      </c>
      <c r="BV1269" s="16" t="s">
        <v>227</v>
      </c>
      <c r="BW1269" s="16"/>
      <c r="BX1269" s="16"/>
      <c r="BY1269" s="16"/>
    </row>
    <row r="1270">
      <c r="A1270" s="16" t="s">
        <v>7334</v>
      </c>
      <c r="B1270" s="16" t="s">
        <v>35</v>
      </c>
      <c r="C1270" s="22">
        <v>45810.0</v>
      </c>
      <c r="D1270" s="16"/>
      <c r="E1270" s="16"/>
      <c r="F1270" s="16" t="s">
        <v>8058</v>
      </c>
      <c r="G1270" s="16" t="s">
        <v>1239</v>
      </c>
      <c r="H1270" s="16">
        <v>1.0</v>
      </c>
      <c r="I1270" s="23">
        <v>1696.47</v>
      </c>
      <c r="J1270" s="23">
        <v>1696.47</v>
      </c>
      <c r="K1270" s="16"/>
      <c r="L1270" s="23"/>
      <c r="M1270" s="23"/>
      <c r="N1270" s="23"/>
      <c r="O1270" s="16"/>
      <c r="P1270" s="23"/>
      <c r="Q1270" s="23"/>
      <c r="R1270" s="23"/>
      <c r="S1270" s="16"/>
      <c r="T1270" s="23"/>
      <c r="U1270" s="23"/>
      <c r="V1270" s="23"/>
      <c r="W1270" s="16"/>
      <c r="X1270" s="23"/>
      <c r="Y1270" s="23"/>
      <c r="Z1270" s="23"/>
      <c r="AA1270" s="16"/>
      <c r="AB1270" s="23"/>
      <c r="AC1270" s="23"/>
      <c r="AD1270" s="23"/>
      <c r="AE1270" s="16"/>
      <c r="AF1270" s="23"/>
      <c r="AG1270" s="23"/>
      <c r="AH1270" s="23"/>
      <c r="AI1270" s="16"/>
      <c r="AJ1270" s="23"/>
      <c r="AK1270" s="23"/>
      <c r="AL1270" s="23"/>
      <c r="AM1270" s="16"/>
      <c r="AN1270" s="23"/>
      <c r="AO1270" s="23"/>
      <c r="AP1270" s="23"/>
      <c r="AQ1270" s="16"/>
      <c r="AR1270" s="23"/>
      <c r="AS1270" s="23"/>
      <c r="AT1270" s="23"/>
      <c r="AU1270" s="16"/>
      <c r="AV1270" s="23"/>
      <c r="AW1270" s="23"/>
      <c r="AX1270" s="23"/>
      <c r="AY1270" s="16"/>
      <c r="AZ1270" s="23"/>
      <c r="BA1270" s="23"/>
      <c r="BB1270" s="23"/>
      <c r="BC1270" s="16"/>
      <c r="BD1270" s="23"/>
      <c r="BE1270" s="23"/>
      <c r="BF1270" s="23"/>
      <c r="BJ1270" s="23"/>
      <c r="BN1270" s="23"/>
      <c r="BO1270" s="23">
        <v>1696.47</v>
      </c>
      <c r="BP1270" s="16"/>
      <c r="BQ1270" s="16"/>
      <c r="BR1270" s="23">
        <v>1696.47</v>
      </c>
      <c r="BS1270" s="16"/>
      <c r="BT1270" s="16"/>
      <c r="BU1270" s="16" t="s">
        <v>539</v>
      </c>
      <c r="BV1270" s="16" t="s">
        <v>6062</v>
      </c>
      <c r="BW1270" s="16"/>
      <c r="BX1270" s="16"/>
      <c r="BY1270" s="16"/>
    </row>
    <row r="1271">
      <c r="A1271" s="16" t="s">
        <v>7337</v>
      </c>
      <c r="B1271" s="16" t="s">
        <v>35</v>
      </c>
      <c r="C1271" s="22">
        <v>45810.0</v>
      </c>
      <c r="D1271" s="16"/>
      <c r="E1271" s="16"/>
      <c r="F1271" s="16" t="s">
        <v>8058</v>
      </c>
      <c r="G1271" s="16" t="s">
        <v>1239</v>
      </c>
      <c r="H1271" s="16">
        <v>1.0</v>
      </c>
      <c r="I1271" s="23">
        <v>1325.42</v>
      </c>
      <c r="J1271" s="23">
        <v>1325.42</v>
      </c>
      <c r="K1271" s="16"/>
      <c r="L1271" s="23"/>
      <c r="M1271" s="23"/>
      <c r="N1271" s="23"/>
      <c r="O1271" s="16"/>
      <c r="P1271" s="23"/>
      <c r="Q1271" s="23"/>
      <c r="R1271" s="23"/>
      <c r="S1271" s="16"/>
      <c r="T1271" s="23"/>
      <c r="U1271" s="23"/>
      <c r="V1271" s="23"/>
      <c r="W1271" s="16"/>
      <c r="X1271" s="23"/>
      <c r="Y1271" s="23"/>
      <c r="Z1271" s="23"/>
      <c r="AA1271" s="16"/>
      <c r="AB1271" s="23"/>
      <c r="AC1271" s="23"/>
      <c r="AD1271" s="23"/>
      <c r="AE1271" s="16"/>
      <c r="AF1271" s="23"/>
      <c r="AG1271" s="23"/>
      <c r="AH1271" s="23"/>
      <c r="AI1271" s="16"/>
      <c r="AJ1271" s="23"/>
      <c r="AK1271" s="23"/>
      <c r="AL1271" s="23"/>
      <c r="AM1271" s="16"/>
      <c r="AN1271" s="23"/>
      <c r="AO1271" s="23"/>
      <c r="AP1271" s="23"/>
      <c r="AQ1271" s="16"/>
      <c r="AR1271" s="23"/>
      <c r="AS1271" s="23"/>
      <c r="AT1271" s="23"/>
      <c r="AU1271" s="16"/>
      <c r="AV1271" s="23"/>
      <c r="AW1271" s="23"/>
      <c r="AX1271" s="23"/>
      <c r="AY1271" s="16"/>
      <c r="AZ1271" s="23"/>
      <c r="BA1271" s="23"/>
      <c r="BB1271" s="23"/>
      <c r="BC1271" s="16"/>
      <c r="BD1271" s="23"/>
      <c r="BE1271" s="23"/>
      <c r="BF1271" s="23"/>
      <c r="BJ1271" s="23"/>
      <c r="BN1271" s="23"/>
      <c r="BO1271" s="23">
        <v>1325.42</v>
      </c>
      <c r="BP1271" s="16"/>
      <c r="BQ1271" s="16"/>
      <c r="BR1271" s="23">
        <v>1325.42</v>
      </c>
      <c r="BS1271" s="16"/>
      <c r="BT1271" s="16"/>
      <c r="BU1271" s="16" t="s">
        <v>539</v>
      </c>
      <c r="BV1271" s="16" t="s">
        <v>3795</v>
      </c>
      <c r="BW1271" s="16"/>
      <c r="BX1271" s="16"/>
      <c r="BY1271" s="16"/>
    </row>
    <row r="1272">
      <c r="A1272" s="16" t="s">
        <v>7341</v>
      </c>
      <c r="B1272" s="16" t="s">
        <v>35</v>
      </c>
      <c r="C1272" s="22">
        <v>45810.0</v>
      </c>
      <c r="D1272" s="16"/>
      <c r="E1272" s="16"/>
      <c r="F1272" s="16" t="s">
        <v>1791</v>
      </c>
      <c r="G1272" s="16" t="s">
        <v>1239</v>
      </c>
      <c r="H1272" s="16">
        <v>1.0</v>
      </c>
      <c r="I1272" s="23">
        <v>2590.85</v>
      </c>
      <c r="J1272" s="23">
        <v>2590.85</v>
      </c>
      <c r="K1272" s="16"/>
      <c r="L1272" s="23"/>
      <c r="M1272" s="23"/>
      <c r="N1272" s="23"/>
      <c r="O1272" s="16"/>
      <c r="P1272" s="23"/>
      <c r="Q1272" s="23"/>
      <c r="R1272" s="23"/>
      <c r="S1272" s="16"/>
      <c r="T1272" s="23"/>
      <c r="U1272" s="23"/>
      <c r="V1272" s="23"/>
      <c r="W1272" s="16"/>
      <c r="X1272" s="23"/>
      <c r="Y1272" s="23"/>
      <c r="Z1272" s="23"/>
      <c r="AA1272" s="16"/>
      <c r="AB1272" s="23"/>
      <c r="AC1272" s="23"/>
      <c r="AD1272" s="23"/>
      <c r="AE1272" s="16"/>
      <c r="AF1272" s="23"/>
      <c r="AG1272" s="23"/>
      <c r="AH1272" s="23"/>
      <c r="AI1272" s="16"/>
      <c r="AJ1272" s="23"/>
      <c r="AK1272" s="23"/>
      <c r="AL1272" s="23"/>
      <c r="AM1272" s="16"/>
      <c r="AN1272" s="23"/>
      <c r="AO1272" s="23"/>
      <c r="AP1272" s="23"/>
      <c r="AQ1272" s="16"/>
      <c r="AR1272" s="23"/>
      <c r="AS1272" s="23"/>
      <c r="AT1272" s="23"/>
      <c r="AU1272" s="16"/>
      <c r="AV1272" s="23"/>
      <c r="AW1272" s="23"/>
      <c r="AX1272" s="23"/>
      <c r="AY1272" s="16"/>
      <c r="AZ1272" s="23"/>
      <c r="BA1272" s="23"/>
      <c r="BB1272" s="23"/>
      <c r="BC1272" s="16"/>
      <c r="BD1272" s="23"/>
      <c r="BE1272" s="23"/>
      <c r="BF1272" s="23"/>
      <c r="BJ1272" s="23"/>
      <c r="BN1272" s="23"/>
      <c r="BO1272" s="23">
        <v>2590.85</v>
      </c>
      <c r="BP1272" s="16"/>
      <c r="BQ1272" s="16"/>
      <c r="BR1272" s="23">
        <v>2590.85</v>
      </c>
      <c r="BS1272" s="16"/>
      <c r="BT1272" s="16"/>
      <c r="BU1272" s="16" t="s">
        <v>539</v>
      </c>
      <c r="BV1272" s="16" t="s">
        <v>624</v>
      </c>
      <c r="BW1272" s="16"/>
      <c r="BX1272" s="16"/>
      <c r="BY1272" s="16"/>
    </row>
    <row r="1273">
      <c r="A1273" s="16" t="s">
        <v>7343</v>
      </c>
      <c r="B1273" s="16" t="s">
        <v>35</v>
      </c>
      <c r="C1273" s="22">
        <v>45818.0</v>
      </c>
      <c r="D1273" s="16" t="s">
        <v>8075</v>
      </c>
      <c r="E1273" s="16"/>
      <c r="F1273" s="16" t="s">
        <v>8077</v>
      </c>
      <c r="G1273" s="16" t="s">
        <v>7344</v>
      </c>
      <c r="H1273" s="16">
        <v>1.0</v>
      </c>
      <c r="I1273" s="23">
        <v>348.0</v>
      </c>
      <c r="J1273" s="23">
        <v>348.0</v>
      </c>
      <c r="K1273" s="16"/>
      <c r="L1273" s="23"/>
      <c r="M1273" s="23"/>
      <c r="N1273" s="23"/>
      <c r="O1273" s="16"/>
      <c r="P1273" s="23"/>
      <c r="Q1273" s="23"/>
      <c r="R1273" s="23"/>
      <c r="S1273" s="16"/>
      <c r="T1273" s="23"/>
      <c r="U1273" s="23"/>
      <c r="V1273" s="23"/>
      <c r="W1273" s="16"/>
      <c r="X1273" s="23"/>
      <c r="Y1273" s="23"/>
      <c r="Z1273" s="23"/>
      <c r="AA1273" s="16"/>
      <c r="AB1273" s="23"/>
      <c r="AC1273" s="23"/>
      <c r="AD1273" s="23"/>
      <c r="AE1273" s="16"/>
      <c r="AF1273" s="23"/>
      <c r="AG1273" s="23"/>
      <c r="AH1273" s="23"/>
      <c r="AI1273" s="16"/>
      <c r="AJ1273" s="23"/>
      <c r="AK1273" s="23"/>
      <c r="AL1273" s="23"/>
      <c r="AM1273" s="16"/>
      <c r="AN1273" s="23"/>
      <c r="AO1273" s="23"/>
      <c r="AP1273" s="23"/>
      <c r="AQ1273" s="16"/>
      <c r="AR1273" s="23"/>
      <c r="AS1273" s="23"/>
      <c r="AT1273" s="23"/>
      <c r="AU1273" s="16"/>
      <c r="AV1273" s="23"/>
      <c r="AW1273" s="23"/>
      <c r="AX1273" s="23"/>
      <c r="AY1273" s="16"/>
      <c r="AZ1273" s="23"/>
      <c r="BA1273" s="23"/>
      <c r="BB1273" s="23"/>
      <c r="BC1273" s="16"/>
      <c r="BD1273" s="23"/>
      <c r="BE1273" s="23"/>
      <c r="BF1273" s="23"/>
      <c r="BJ1273" s="23"/>
      <c r="BN1273" s="23"/>
      <c r="BO1273" s="23">
        <v>348.0</v>
      </c>
      <c r="BP1273" s="16"/>
      <c r="BQ1273" s="16"/>
      <c r="BR1273" s="23">
        <v>348.0</v>
      </c>
      <c r="BS1273" s="16"/>
      <c r="BT1273" s="16"/>
      <c r="BU1273" s="16" t="s">
        <v>539</v>
      </c>
      <c r="BV1273" s="16"/>
      <c r="BW1273" s="16"/>
      <c r="BX1273" s="16"/>
      <c r="BY1273" s="16"/>
    </row>
    <row r="1274">
      <c r="A1274" s="16" t="s">
        <v>7346</v>
      </c>
      <c r="B1274" s="16" t="s">
        <v>35</v>
      </c>
      <c r="C1274" s="22">
        <v>45817.0</v>
      </c>
      <c r="D1274" s="16" t="s">
        <v>543</v>
      </c>
      <c r="E1274" s="16" t="s">
        <v>8079</v>
      </c>
      <c r="F1274" s="16" t="s">
        <v>171</v>
      </c>
      <c r="G1274" s="16">
        <v>1.2539885E7</v>
      </c>
      <c r="H1274" s="16">
        <v>1.0</v>
      </c>
      <c r="I1274" s="23">
        <v>180.0</v>
      </c>
      <c r="J1274" s="23">
        <v>180.0</v>
      </c>
      <c r="K1274" s="16"/>
      <c r="L1274" s="23"/>
      <c r="M1274" s="23"/>
      <c r="N1274" s="23">
        <v>0.0</v>
      </c>
      <c r="O1274" s="16"/>
      <c r="P1274" s="23"/>
      <c r="Q1274" s="23"/>
      <c r="R1274" s="23">
        <v>0.0</v>
      </c>
      <c r="S1274" s="16"/>
      <c r="T1274" s="23"/>
      <c r="U1274" s="23"/>
      <c r="V1274" s="23">
        <v>0.0</v>
      </c>
      <c r="W1274" s="16"/>
      <c r="X1274" s="23"/>
      <c r="Y1274" s="23"/>
      <c r="Z1274" s="23">
        <v>0.0</v>
      </c>
      <c r="AA1274" s="16"/>
      <c r="AB1274" s="23"/>
      <c r="AC1274" s="23"/>
      <c r="AD1274" s="23">
        <v>0.0</v>
      </c>
      <c r="AE1274" s="16"/>
      <c r="AF1274" s="23"/>
      <c r="AG1274" s="23"/>
      <c r="AH1274" s="23">
        <v>0.0</v>
      </c>
      <c r="AI1274" s="16"/>
      <c r="AJ1274" s="23"/>
      <c r="AK1274" s="23"/>
      <c r="AL1274" s="23">
        <v>0.0</v>
      </c>
      <c r="AM1274" s="16"/>
      <c r="AN1274" s="23"/>
      <c r="AO1274" s="23"/>
      <c r="AP1274" s="23">
        <v>0.0</v>
      </c>
      <c r="AQ1274" s="16"/>
      <c r="AR1274" s="23"/>
      <c r="AS1274" s="23"/>
      <c r="AT1274" s="23">
        <v>0.0</v>
      </c>
      <c r="AU1274" s="16"/>
      <c r="AV1274" s="23"/>
      <c r="AW1274" s="23"/>
      <c r="AX1274" s="23">
        <v>0.0</v>
      </c>
      <c r="AY1274" s="16"/>
      <c r="AZ1274" s="23"/>
      <c r="BA1274" s="23"/>
      <c r="BB1274" s="23"/>
      <c r="BC1274" s="16"/>
      <c r="BD1274" s="23"/>
      <c r="BE1274" s="23"/>
      <c r="BF1274" s="23">
        <v>0.0</v>
      </c>
      <c r="BJ1274" s="23">
        <v>0.0</v>
      </c>
      <c r="BN1274" s="23">
        <v>0.0</v>
      </c>
      <c r="BO1274" s="23">
        <v>180.0</v>
      </c>
      <c r="BP1274" s="16" t="s">
        <v>8081</v>
      </c>
      <c r="BQ1274" s="16" t="b">
        <v>1</v>
      </c>
      <c r="BR1274" s="23">
        <v>180.0</v>
      </c>
      <c r="BS1274" s="16"/>
      <c r="BT1274" s="16" t="b">
        <v>0</v>
      </c>
      <c r="BU1274" s="16" t="s">
        <v>546</v>
      </c>
      <c r="BV1274" s="16"/>
      <c r="BW1274" s="16"/>
      <c r="BX1274" s="16"/>
      <c r="BY1274" s="16"/>
    </row>
    <row r="1275">
      <c r="A1275" s="16" t="s">
        <v>7348</v>
      </c>
      <c r="B1275" s="16" t="s">
        <v>35</v>
      </c>
      <c r="C1275" s="22">
        <v>45758.0</v>
      </c>
      <c r="D1275" s="16" t="s">
        <v>941</v>
      </c>
      <c r="E1275" s="16" t="s">
        <v>8083</v>
      </c>
      <c r="F1275" s="16" t="s">
        <v>2341</v>
      </c>
      <c r="G1275" s="16" t="s">
        <v>1552</v>
      </c>
      <c r="H1275" s="16">
        <v>1.0</v>
      </c>
      <c r="I1275" s="23">
        <v>725.0</v>
      </c>
      <c r="J1275" s="23">
        <v>725.0</v>
      </c>
      <c r="K1275" s="16"/>
      <c r="L1275" s="23"/>
      <c r="M1275" s="23"/>
      <c r="N1275" s="23">
        <v>0.0</v>
      </c>
      <c r="O1275" s="16"/>
      <c r="P1275" s="23"/>
      <c r="Q1275" s="23"/>
      <c r="R1275" s="23">
        <v>0.0</v>
      </c>
      <c r="S1275" s="16"/>
      <c r="T1275" s="23"/>
      <c r="U1275" s="23"/>
      <c r="V1275" s="23">
        <v>0.0</v>
      </c>
      <c r="W1275" s="16"/>
      <c r="X1275" s="23"/>
      <c r="Y1275" s="23"/>
      <c r="Z1275" s="23">
        <v>0.0</v>
      </c>
      <c r="AA1275" s="16"/>
      <c r="AB1275" s="23"/>
      <c r="AC1275" s="23"/>
      <c r="AD1275" s="23">
        <v>0.0</v>
      </c>
      <c r="AE1275" s="16"/>
      <c r="AF1275" s="23"/>
      <c r="AG1275" s="23"/>
      <c r="AH1275" s="23">
        <v>0.0</v>
      </c>
      <c r="AI1275" s="16"/>
      <c r="AJ1275" s="23"/>
      <c r="AK1275" s="23"/>
      <c r="AL1275" s="23">
        <v>0.0</v>
      </c>
      <c r="AM1275" s="16"/>
      <c r="AN1275" s="23"/>
      <c r="AO1275" s="23"/>
      <c r="AP1275" s="23">
        <v>0.0</v>
      </c>
      <c r="AQ1275" s="16"/>
      <c r="AR1275" s="23"/>
      <c r="AS1275" s="23"/>
      <c r="AT1275" s="23">
        <v>0.0</v>
      </c>
      <c r="AU1275" s="16"/>
      <c r="AV1275" s="23"/>
      <c r="AW1275" s="23"/>
      <c r="AX1275" s="23">
        <v>0.0</v>
      </c>
      <c r="AY1275" s="16"/>
      <c r="AZ1275" s="23"/>
      <c r="BA1275" s="23"/>
      <c r="BB1275" s="23"/>
      <c r="BC1275" s="16"/>
      <c r="BD1275" s="23"/>
      <c r="BE1275" s="23"/>
      <c r="BF1275" s="23">
        <v>0.0</v>
      </c>
      <c r="BJ1275" s="23">
        <v>0.0</v>
      </c>
      <c r="BN1275" s="23">
        <v>0.0</v>
      </c>
      <c r="BO1275" s="23">
        <v>725.0</v>
      </c>
      <c r="BP1275" s="16" t="s">
        <v>8085</v>
      </c>
      <c r="BQ1275" s="16" t="b">
        <v>1</v>
      </c>
      <c r="BR1275" s="23">
        <v>725.0</v>
      </c>
      <c r="BS1275" s="16"/>
      <c r="BT1275" s="16" t="b">
        <v>0</v>
      </c>
      <c r="BU1275" s="16" t="s">
        <v>546</v>
      </c>
      <c r="BV1275" s="16"/>
      <c r="BW1275" s="16"/>
      <c r="BX1275" s="16"/>
      <c r="BY1275" s="16"/>
    </row>
    <row r="1276">
      <c r="A1276" s="16" t="s">
        <v>7351</v>
      </c>
      <c r="B1276" s="16" t="s">
        <v>35</v>
      </c>
      <c r="C1276" s="22">
        <v>45820.0</v>
      </c>
      <c r="D1276" s="16" t="s">
        <v>1864</v>
      </c>
      <c r="E1276" s="16"/>
      <c r="F1276" s="16" t="s">
        <v>7936</v>
      </c>
      <c r="G1276" s="16" t="s">
        <v>2662</v>
      </c>
      <c r="H1276" s="16">
        <v>1.0</v>
      </c>
      <c r="I1276" s="23">
        <v>131.08</v>
      </c>
      <c r="J1276" s="23">
        <v>131.08</v>
      </c>
      <c r="K1276" s="16"/>
      <c r="L1276" s="23"/>
      <c r="M1276" s="23"/>
      <c r="N1276" s="23"/>
      <c r="O1276" s="16"/>
      <c r="P1276" s="23"/>
      <c r="Q1276" s="23"/>
      <c r="R1276" s="23"/>
      <c r="S1276" s="16"/>
      <c r="T1276" s="23"/>
      <c r="U1276" s="23"/>
      <c r="V1276" s="23"/>
      <c r="W1276" s="16"/>
      <c r="X1276" s="23"/>
      <c r="Y1276" s="23"/>
      <c r="Z1276" s="23"/>
      <c r="AA1276" s="16"/>
      <c r="AB1276" s="23"/>
      <c r="AC1276" s="23"/>
      <c r="AD1276" s="23"/>
      <c r="AE1276" s="16"/>
      <c r="AF1276" s="23"/>
      <c r="AG1276" s="23"/>
      <c r="AH1276" s="23"/>
      <c r="AI1276" s="16"/>
      <c r="AJ1276" s="23"/>
      <c r="AK1276" s="23"/>
      <c r="AL1276" s="23"/>
      <c r="AM1276" s="16"/>
      <c r="AN1276" s="23"/>
      <c r="AO1276" s="23"/>
      <c r="AP1276" s="23"/>
      <c r="AQ1276" s="16"/>
      <c r="AR1276" s="23"/>
      <c r="AS1276" s="23"/>
      <c r="AT1276" s="23"/>
      <c r="AU1276" s="16"/>
      <c r="AV1276" s="23"/>
      <c r="AW1276" s="23"/>
      <c r="AX1276" s="23"/>
      <c r="AY1276" s="16"/>
      <c r="AZ1276" s="23"/>
      <c r="BA1276" s="23"/>
      <c r="BB1276" s="23"/>
      <c r="BC1276" s="16"/>
      <c r="BD1276" s="23"/>
      <c r="BE1276" s="23"/>
      <c r="BF1276" s="23"/>
      <c r="BJ1276" s="23"/>
      <c r="BN1276" s="23"/>
      <c r="BO1276" s="23">
        <v>131.08</v>
      </c>
      <c r="BP1276" s="16"/>
      <c r="BQ1276" s="16"/>
      <c r="BR1276" s="23">
        <v>131.08</v>
      </c>
      <c r="BS1276" s="16"/>
      <c r="BT1276" s="16"/>
      <c r="BU1276" s="16" t="s">
        <v>539</v>
      </c>
      <c r="BV1276" s="16"/>
      <c r="BW1276" s="16"/>
      <c r="BX1276" s="16"/>
      <c r="BY1276" s="16"/>
    </row>
    <row r="1277">
      <c r="A1277" s="16" t="s">
        <v>7354</v>
      </c>
      <c r="B1277" s="16" t="s">
        <v>35</v>
      </c>
      <c r="C1277" s="22">
        <v>45822.0</v>
      </c>
      <c r="D1277" s="16" t="s">
        <v>543</v>
      </c>
      <c r="E1277" s="16" t="s">
        <v>8089</v>
      </c>
      <c r="F1277" s="16" t="s">
        <v>171</v>
      </c>
      <c r="G1277" s="16">
        <v>1.2539885E7</v>
      </c>
      <c r="H1277" s="16">
        <v>1.0</v>
      </c>
      <c r="I1277" s="23">
        <v>210.0</v>
      </c>
      <c r="J1277" s="23">
        <v>210.0</v>
      </c>
      <c r="K1277" s="16"/>
      <c r="L1277" s="23"/>
      <c r="M1277" s="23"/>
      <c r="N1277" s="23">
        <v>0.0</v>
      </c>
      <c r="O1277" s="16"/>
      <c r="P1277" s="23"/>
      <c r="Q1277" s="23"/>
      <c r="R1277" s="23">
        <v>0.0</v>
      </c>
      <c r="S1277" s="16"/>
      <c r="T1277" s="23"/>
      <c r="U1277" s="23"/>
      <c r="V1277" s="23">
        <v>0.0</v>
      </c>
      <c r="W1277" s="16"/>
      <c r="X1277" s="23"/>
      <c r="Y1277" s="23"/>
      <c r="Z1277" s="23">
        <v>0.0</v>
      </c>
      <c r="AA1277" s="16"/>
      <c r="AB1277" s="23"/>
      <c r="AC1277" s="23"/>
      <c r="AD1277" s="23">
        <v>0.0</v>
      </c>
      <c r="AE1277" s="16"/>
      <c r="AF1277" s="23"/>
      <c r="AG1277" s="23"/>
      <c r="AH1277" s="23">
        <v>0.0</v>
      </c>
      <c r="AI1277" s="16"/>
      <c r="AJ1277" s="23"/>
      <c r="AK1277" s="23"/>
      <c r="AL1277" s="23">
        <v>0.0</v>
      </c>
      <c r="AM1277" s="16"/>
      <c r="AN1277" s="23"/>
      <c r="AO1277" s="23"/>
      <c r="AP1277" s="23">
        <v>0.0</v>
      </c>
      <c r="AQ1277" s="16"/>
      <c r="AR1277" s="23"/>
      <c r="AS1277" s="23"/>
      <c r="AT1277" s="23">
        <v>0.0</v>
      </c>
      <c r="AU1277" s="16"/>
      <c r="AV1277" s="23"/>
      <c r="AW1277" s="23"/>
      <c r="AX1277" s="23">
        <v>0.0</v>
      </c>
      <c r="AY1277" s="16"/>
      <c r="AZ1277" s="23"/>
      <c r="BA1277" s="23"/>
      <c r="BB1277" s="23"/>
      <c r="BC1277" s="16"/>
      <c r="BD1277" s="23"/>
      <c r="BE1277" s="23"/>
      <c r="BF1277" s="23">
        <v>0.0</v>
      </c>
      <c r="BJ1277" s="23">
        <v>0.0</v>
      </c>
      <c r="BN1277" s="23">
        <v>0.0</v>
      </c>
      <c r="BO1277" s="23">
        <v>210.0</v>
      </c>
      <c r="BP1277" s="16" t="s">
        <v>8091</v>
      </c>
      <c r="BQ1277" s="16" t="b">
        <v>1</v>
      </c>
      <c r="BR1277" s="23">
        <v>210.0</v>
      </c>
      <c r="BS1277" s="16"/>
      <c r="BT1277" s="16" t="b">
        <v>0</v>
      </c>
      <c r="BU1277" s="16" t="s">
        <v>546</v>
      </c>
      <c r="BV1277" s="16"/>
      <c r="BW1277" s="16"/>
      <c r="BX1277" s="16"/>
      <c r="BY1277" s="16"/>
    </row>
    <row r="1278">
      <c r="A1278" s="16" t="s">
        <v>7356</v>
      </c>
      <c r="B1278" s="16" t="s">
        <v>35</v>
      </c>
      <c r="C1278" s="22">
        <v>45819.0</v>
      </c>
      <c r="D1278" s="16" t="s">
        <v>145</v>
      </c>
      <c r="E1278" s="16" t="s">
        <v>8095</v>
      </c>
      <c r="F1278" s="16" t="s">
        <v>4200</v>
      </c>
      <c r="G1278" s="16" t="s">
        <v>1195</v>
      </c>
      <c r="H1278" s="16">
        <v>5.0</v>
      </c>
      <c r="I1278" s="23">
        <v>24.0</v>
      </c>
      <c r="J1278" s="23">
        <v>120.0</v>
      </c>
      <c r="K1278" s="16" t="s">
        <v>1041</v>
      </c>
      <c r="L1278" s="23">
        <v>5.0</v>
      </c>
      <c r="M1278" s="23">
        <v>5.5</v>
      </c>
      <c r="N1278" s="23">
        <v>27.5</v>
      </c>
      <c r="O1278" s="16"/>
      <c r="P1278" s="23"/>
      <c r="Q1278" s="23"/>
      <c r="R1278" s="23">
        <v>0.0</v>
      </c>
      <c r="S1278" s="16"/>
      <c r="T1278" s="23"/>
      <c r="U1278" s="23"/>
      <c r="V1278" s="23">
        <v>0.0</v>
      </c>
      <c r="W1278" s="16"/>
      <c r="X1278" s="23"/>
      <c r="Y1278" s="23"/>
      <c r="Z1278" s="23">
        <v>0.0</v>
      </c>
      <c r="AA1278" s="16"/>
      <c r="AB1278" s="23"/>
      <c r="AC1278" s="23"/>
      <c r="AD1278" s="23">
        <v>0.0</v>
      </c>
      <c r="AE1278" s="16"/>
      <c r="AF1278" s="23"/>
      <c r="AG1278" s="23"/>
      <c r="AH1278" s="23">
        <v>0.0</v>
      </c>
      <c r="AI1278" s="16"/>
      <c r="AJ1278" s="23"/>
      <c r="AK1278" s="23"/>
      <c r="AL1278" s="23">
        <v>0.0</v>
      </c>
      <c r="AM1278" s="16"/>
      <c r="AN1278" s="23"/>
      <c r="AO1278" s="23"/>
      <c r="AP1278" s="23">
        <v>0.0</v>
      </c>
      <c r="AQ1278" s="16"/>
      <c r="AR1278" s="23"/>
      <c r="AS1278" s="23"/>
      <c r="AT1278" s="23">
        <v>0.0</v>
      </c>
      <c r="AU1278" s="16"/>
      <c r="AV1278" s="23"/>
      <c r="AW1278" s="23"/>
      <c r="AX1278" s="23">
        <v>0.0</v>
      </c>
      <c r="AY1278" s="16"/>
      <c r="AZ1278" s="23"/>
      <c r="BA1278" s="23"/>
      <c r="BB1278" s="23"/>
      <c r="BC1278" s="16"/>
      <c r="BD1278" s="23"/>
      <c r="BE1278" s="23"/>
      <c r="BF1278" s="23">
        <v>0.0</v>
      </c>
      <c r="BJ1278" s="23">
        <v>0.0</v>
      </c>
      <c r="BN1278" s="23">
        <v>0.0</v>
      </c>
      <c r="BO1278" s="23">
        <v>147.5</v>
      </c>
      <c r="BP1278" s="16" t="s">
        <v>8096</v>
      </c>
      <c r="BQ1278" s="16" t="b">
        <v>1</v>
      </c>
      <c r="BR1278" s="23">
        <v>147.5</v>
      </c>
      <c r="BS1278" s="16"/>
      <c r="BT1278" s="16" t="b">
        <v>0</v>
      </c>
      <c r="BU1278" s="16" t="s">
        <v>546</v>
      </c>
      <c r="BV1278" s="16"/>
      <c r="BW1278" s="16"/>
      <c r="BX1278" s="16"/>
      <c r="BY1278" s="16"/>
    </row>
    <row r="1279">
      <c r="A1279" s="16" t="s">
        <v>7361</v>
      </c>
      <c r="B1279" s="16" t="s">
        <v>35</v>
      </c>
      <c r="C1279" s="22">
        <v>45820.0</v>
      </c>
      <c r="D1279" s="16" t="s">
        <v>764</v>
      </c>
      <c r="E1279" s="16" t="s">
        <v>8101</v>
      </c>
      <c r="F1279" s="16" t="s">
        <v>195</v>
      </c>
      <c r="G1279" s="16" t="s">
        <v>1073</v>
      </c>
      <c r="H1279" s="16">
        <v>1.0</v>
      </c>
      <c r="I1279" s="23">
        <v>20.1</v>
      </c>
      <c r="J1279" s="23">
        <v>20.1</v>
      </c>
      <c r="K1279" s="16" t="s">
        <v>1384</v>
      </c>
      <c r="L1279" s="23">
        <v>1.0</v>
      </c>
      <c r="M1279" s="23">
        <v>19.8</v>
      </c>
      <c r="N1279" s="23">
        <v>19.8</v>
      </c>
      <c r="O1279" s="16">
        <v>7.5375964E7</v>
      </c>
      <c r="P1279" s="23">
        <v>1.0</v>
      </c>
      <c r="Q1279" s="23">
        <v>19.8</v>
      </c>
      <c r="R1279" s="23">
        <v>19.8</v>
      </c>
      <c r="S1279" s="16" t="s">
        <v>1404</v>
      </c>
      <c r="T1279" s="23">
        <v>1.0</v>
      </c>
      <c r="U1279" s="23">
        <v>64.0</v>
      </c>
      <c r="V1279" s="23">
        <v>64.0</v>
      </c>
      <c r="W1279" s="16" t="s">
        <v>1074</v>
      </c>
      <c r="X1279" s="23">
        <v>5.0</v>
      </c>
      <c r="Y1279" s="23">
        <v>40.8</v>
      </c>
      <c r="Z1279" s="23">
        <v>204.0</v>
      </c>
      <c r="AA1279" s="16" t="s">
        <v>1077</v>
      </c>
      <c r="AB1279" s="23">
        <v>3.0</v>
      </c>
      <c r="AC1279" s="23">
        <v>25.8</v>
      </c>
      <c r="AD1279" s="23">
        <v>77.4</v>
      </c>
      <c r="AE1279" s="16" t="s">
        <v>1079</v>
      </c>
      <c r="AF1279" s="23">
        <v>20.0</v>
      </c>
      <c r="AG1279" s="23">
        <v>16.6</v>
      </c>
      <c r="AH1279" s="23">
        <v>332.0</v>
      </c>
      <c r="AI1279" s="16" t="s">
        <v>1081</v>
      </c>
      <c r="AJ1279" s="23">
        <v>5.0</v>
      </c>
      <c r="AK1279" s="23">
        <v>48.0</v>
      </c>
      <c r="AL1279" s="23">
        <v>240.0</v>
      </c>
      <c r="AM1279" s="16" t="s">
        <v>1075</v>
      </c>
      <c r="AN1279" s="23">
        <v>2.0</v>
      </c>
      <c r="AO1279" s="23">
        <v>40.8</v>
      </c>
      <c r="AP1279" s="23">
        <v>81.6</v>
      </c>
      <c r="AQ1279" s="16">
        <v>7.5375964E7</v>
      </c>
      <c r="AR1279" s="23">
        <v>2.0</v>
      </c>
      <c r="AS1279" s="23">
        <v>40.2</v>
      </c>
      <c r="AT1279" s="23">
        <v>80.4</v>
      </c>
      <c r="AU1279" s="16" t="s">
        <v>1074</v>
      </c>
      <c r="AV1279" s="23">
        <v>1.0</v>
      </c>
      <c r="AW1279" s="23">
        <v>75.8</v>
      </c>
      <c r="AX1279" s="23">
        <v>75.8</v>
      </c>
      <c r="AY1279" s="16" t="s">
        <v>1077</v>
      </c>
      <c r="AZ1279" s="23">
        <v>1.0</v>
      </c>
      <c r="BA1279" s="23">
        <v>25.0</v>
      </c>
      <c r="BB1279" s="23">
        <v>25.0</v>
      </c>
      <c r="BC1279" s="16"/>
      <c r="BD1279" s="23"/>
      <c r="BE1279" s="23"/>
      <c r="BF1279" s="23">
        <v>0.0</v>
      </c>
      <c r="BJ1279" s="23">
        <v>0.0</v>
      </c>
      <c r="BN1279" s="23">
        <v>0.0</v>
      </c>
      <c r="BO1279" s="23">
        <v>1239.9</v>
      </c>
      <c r="BP1279" s="16" t="s">
        <v>8102</v>
      </c>
      <c r="BQ1279" s="16" t="b">
        <v>1</v>
      </c>
      <c r="BR1279" s="23">
        <v>1239.9</v>
      </c>
      <c r="BS1279" s="16"/>
      <c r="BT1279" s="16" t="b">
        <v>0</v>
      </c>
      <c r="BU1279" s="16" t="s">
        <v>546</v>
      </c>
      <c r="BV1279" s="16"/>
      <c r="BW1279" s="16" t="s">
        <v>8104</v>
      </c>
      <c r="BX1279" s="16"/>
      <c r="BY1279" s="16"/>
    </row>
    <row r="1280">
      <c r="A1280" s="16" t="s">
        <v>7376</v>
      </c>
      <c r="B1280" s="16" t="s">
        <v>35</v>
      </c>
      <c r="C1280" s="22">
        <v>45821.0</v>
      </c>
      <c r="D1280" s="16" t="s">
        <v>112</v>
      </c>
      <c r="E1280" s="16" t="s">
        <v>8108</v>
      </c>
      <c r="F1280" s="16" t="s">
        <v>157</v>
      </c>
      <c r="G1280" s="16" t="s">
        <v>159</v>
      </c>
      <c r="H1280" s="16">
        <v>1.0</v>
      </c>
      <c r="I1280" s="23">
        <v>280.0</v>
      </c>
      <c r="J1280" s="23">
        <v>280.0</v>
      </c>
      <c r="K1280" s="16" t="s">
        <v>155</v>
      </c>
      <c r="L1280" s="23">
        <v>8.0</v>
      </c>
      <c r="M1280" s="23">
        <v>9.5</v>
      </c>
      <c r="N1280" s="23">
        <v>76.0</v>
      </c>
      <c r="O1280" s="16" t="s">
        <v>152</v>
      </c>
      <c r="P1280" s="23">
        <v>1.0</v>
      </c>
      <c r="Q1280" s="23">
        <v>8.99</v>
      </c>
      <c r="R1280" s="23">
        <v>8.99</v>
      </c>
      <c r="S1280" s="16" t="s">
        <v>226</v>
      </c>
      <c r="T1280" s="23">
        <v>1.0</v>
      </c>
      <c r="U1280" s="23">
        <v>63.2</v>
      </c>
      <c r="V1280" s="23">
        <v>63.2</v>
      </c>
      <c r="W1280" s="16"/>
      <c r="X1280" s="23"/>
      <c r="Y1280" s="23"/>
      <c r="Z1280" s="23">
        <v>0.0</v>
      </c>
      <c r="AA1280" s="16"/>
      <c r="AB1280" s="23"/>
      <c r="AC1280" s="23"/>
      <c r="AD1280" s="23">
        <v>0.0</v>
      </c>
      <c r="AE1280" s="16"/>
      <c r="AF1280" s="23"/>
      <c r="AG1280" s="23"/>
      <c r="AH1280" s="23">
        <v>0.0</v>
      </c>
      <c r="AI1280" s="16"/>
      <c r="AJ1280" s="23"/>
      <c r="AK1280" s="23"/>
      <c r="AL1280" s="23">
        <v>0.0</v>
      </c>
      <c r="AM1280" s="16"/>
      <c r="AN1280" s="23"/>
      <c r="AO1280" s="23"/>
      <c r="AP1280" s="23">
        <v>0.0</v>
      </c>
      <c r="AQ1280" s="16"/>
      <c r="AR1280" s="23"/>
      <c r="AS1280" s="23"/>
      <c r="AT1280" s="23">
        <v>0.0</v>
      </c>
      <c r="AU1280" s="16"/>
      <c r="AV1280" s="23"/>
      <c r="AW1280" s="23"/>
      <c r="AX1280" s="23">
        <v>0.0</v>
      </c>
      <c r="AY1280" s="16"/>
      <c r="AZ1280" s="23"/>
      <c r="BA1280" s="23"/>
      <c r="BB1280" s="23"/>
      <c r="BC1280" s="16"/>
      <c r="BD1280" s="23"/>
      <c r="BE1280" s="23"/>
      <c r="BF1280" s="23">
        <v>0.0</v>
      </c>
      <c r="BJ1280" s="23">
        <v>0.0</v>
      </c>
      <c r="BN1280" s="23">
        <v>0.0</v>
      </c>
      <c r="BO1280" s="23">
        <v>428.19</v>
      </c>
      <c r="BP1280" s="16" t="s">
        <v>8109</v>
      </c>
      <c r="BQ1280" s="16" t="b">
        <v>1</v>
      </c>
      <c r="BR1280" s="23">
        <v>428.19</v>
      </c>
      <c r="BS1280" s="16"/>
      <c r="BT1280" s="16" t="b">
        <v>0</v>
      </c>
      <c r="BU1280" s="16" t="s">
        <v>546</v>
      </c>
      <c r="BV1280" s="16"/>
      <c r="BW1280" s="16"/>
      <c r="BX1280" s="16"/>
      <c r="BY1280" s="16"/>
    </row>
    <row r="1281">
      <c r="A1281" s="16" t="s">
        <v>7382</v>
      </c>
      <c r="B1281" s="16" t="s">
        <v>35</v>
      </c>
      <c r="C1281" s="22">
        <v>45820.0</v>
      </c>
      <c r="D1281" s="16" t="s">
        <v>890</v>
      </c>
      <c r="E1281" s="16" t="s">
        <v>8117</v>
      </c>
      <c r="F1281" s="16" t="s">
        <v>2894</v>
      </c>
      <c r="G1281" s="16" t="s">
        <v>1510</v>
      </c>
      <c r="H1281" s="16">
        <v>1.0</v>
      </c>
      <c r="I1281" s="23">
        <v>3870.81</v>
      </c>
      <c r="J1281" s="23">
        <v>3870.81</v>
      </c>
      <c r="K1281" s="16"/>
      <c r="L1281" s="23"/>
      <c r="M1281" s="23"/>
      <c r="N1281" s="23">
        <v>0.0</v>
      </c>
      <c r="O1281" s="16"/>
      <c r="P1281" s="23"/>
      <c r="Q1281" s="23"/>
      <c r="R1281" s="23">
        <v>0.0</v>
      </c>
      <c r="S1281" s="16"/>
      <c r="T1281" s="23"/>
      <c r="U1281" s="23"/>
      <c r="V1281" s="23">
        <v>0.0</v>
      </c>
      <c r="W1281" s="16"/>
      <c r="X1281" s="23"/>
      <c r="Y1281" s="23"/>
      <c r="Z1281" s="23">
        <v>0.0</v>
      </c>
      <c r="AA1281" s="16"/>
      <c r="AB1281" s="23"/>
      <c r="AC1281" s="23"/>
      <c r="AD1281" s="23">
        <v>0.0</v>
      </c>
      <c r="AE1281" s="16"/>
      <c r="AF1281" s="23"/>
      <c r="AG1281" s="23"/>
      <c r="AH1281" s="23">
        <v>0.0</v>
      </c>
      <c r="AI1281" s="16"/>
      <c r="AJ1281" s="23"/>
      <c r="AK1281" s="23"/>
      <c r="AL1281" s="23">
        <v>0.0</v>
      </c>
      <c r="AM1281" s="16"/>
      <c r="AN1281" s="23"/>
      <c r="AO1281" s="23"/>
      <c r="AP1281" s="23">
        <v>0.0</v>
      </c>
      <c r="AQ1281" s="16"/>
      <c r="AR1281" s="23"/>
      <c r="AS1281" s="23"/>
      <c r="AT1281" s="23">
        <v>0.0</v>
      </c>
      <c r="AU1281" s="16"/>
      <c r="AV1281" s="23"/>
      <c r="AW1281" s="23"/>
      <c r="AX1281" s="23">
        <v>0.0</v>
      </c>
      <c r="AY1281" s="16"/>
      <c r="AZ1281" s="23"/>
      <c r="BA1281" s="23"/>
      <c r="BB1281" s="23"/>
      <c r="BC1281" s="16"/>
      <c r="BD1281" s="23"/>
      <c r="BE1281" s="23"/>
      <c r="BF1281" s="23">
        <v>0.0</v>
      </c>
      <c r="BJ1281" s="23">
        <v>0.0</v>
      </c>
      <c r="BN1281" s="23">
        <v>0.0</v>
      </c>
      <c r="BO1281" s="23">
        <v>3870.81</v>
      </c>
      <c r="BP1281" s="16" t="s">
        <v>8120</v>
      </c>
      <c r="BQ1281" s="16" t="b">
        <v>1</v>
      </c>
      <c r="BR1281" s="23">
        <v>3870.81</v>
      </c>
      <c r="BS1281" s="16"/>
      <c r="BT1281" s="16" t="b">
        <v>0</v>
      </c>
      <c r="BU1281" s="16" t="s">
        <v>546</v>
      </c>
      <c r="BV1281" s="16"/>
      <c r="BW1281" s="16" t="s">
        <v>8122</v>
      </c>
      <c r="BX1281" s="16" t="s">
        <v>8124</v>
      </c>
      <c r="BY1281" s="16"/>
    </row>
    <row r="1282">
      <c r="A1282" s="16">
        <v>2.9984784E7</v>
      </c>
      <c r="B1282" s="16" t="s">
        <v>35</v>
      </c>
      <c r="C1282" s="22">
        <v>45821.0</v>
      </c>
      <c r="D1282" s="16" t="s">
        <v>353</v>
      </c>
      <c r="E1282" s="16" t="s">
        <v>8128</v>
      </c>
      <c r="F1282" s="16" t="s">
        <v>8131</v>
      </c>
      <c r="G1282" s="16" t="s">
        <v>2003</v>
      </c>
      <c r="H1282" s="16">
        <v>1.0</v>
      </c>
      <c r="I1282" s="23">
        <v>349.98</v>
      </c>
      <c r="J1282" s="23">
        <v>349.98</v>
      </c>
      <c r="K1282" s="16" t="s">
        <v>2003</v>
      </c>
      <c r="L1282" s="23">
        <v>1.0</v>
      </c>
      <c r="M1282" s="23">
        <v>379.8</v>
      </c>
      <c r="N1282" s="23">
        <v>379.8</v>
      </c>
      <c r="O1282" s="16" t="s">
        <v>854</v>
      </c>
      <c r="P1282" s="23">
        <v>1.0</v>
      </c>
      <c r="Q1282" s="23">
        <v>10.8</v>
      </c>
      <c r="R1282" s="23">
        <v>10.8</v>
      </c>
      <c r="S1282" s="16" t="s">
        <v>5720</v>
      </c>
      <c r="T1282" s="23">
        <v>1.0</v>
      </c>
      <c r="U1282" s="23">
        <v>79.62</v>
      </c>
      <c r="V1282" s="23">
        <v>79.62</v>
      </c>
      <c r="W1282" s="16"/>
      <c r="X1282" s="23"/>
      <c r="Y1282" s="23"/>
      <c r="Z1282" s="23">
        <v>0.0</v>
      </c>
      <c r="AA1282" s="16"/>
      <c r="AB1282" s="23"/>
      <c r="AC1282" s="23"/>
      <c r="AD1282" s="23">
        <v>0.0</v>
      </c>
      <c r="AE1282" s="16"/>
      <c r="AF1282" s="23"/>
      <c r="AG1282" s="23"/>
      <c r="AH1282" s="23">
        <v>0.0</v>
      </c>
      <c r="AI1282" s="16"/>
      <c r="AJ1282" s="23"/>
      <c r="AK1282" s="23"/>
      <c r="AL1282" s="23">
        <v>0.0</v>
      </c>
      <c r="AM1282" s="16"/>
      <c r="AN1282" s="23"/>
      <c r="AO1282" s="23"/>
      <c r="AP1282" s="23">
        <v>0.0</v>
      </c>
      <c r="AQ1282" s="16"/>
      <c r="AR1282" s="23"/>
      <c r="AS1282" s="23"/>
      <c r="AT1282" s="23">
        <v>0.0</v>
      </c>
      <c r="AU1282" s="16"/>
      <c r="AV1282" s="23"/>
      <c r="AW1282" s="23"/>
      <c r="AX1282" s="23">
        <v>0.0</v>
      </c>
      <c r="AY1282" s="16"/>
      <c r="AZ1282" s="23"/>
      <c r="BA1282" s="23"/>
      <c r="BB1282" s="23"/>
      <c r="BC1282" s="16"/>
      <c r="BD1282" s="23"/>
      <c r="BE1282" s="23"/>
      <c r="BF1282" s="23">
        <v>0.0</v>
      </c>
      <c r="BJ1282" s="23">
        <v>0.0</v>
      </c>
      <c r="BN1282" s="23">
        <v>0.0</v>
      </c>
      <c r="BO1282" s="23">
        <v>820.2</v>
      </c>
      <c r="BP1282" s="16" t="s">
        <v>8130</v>
      </c>
      <c r="BQ1282" s="16" t="b">
        <v>1</v>
      </c>
      <c r="BR1282" s="23">
        <v>820.2</v>
      </c>
      <c r="BS1282" s="16">
        <v>1527234.0</v>
      </c>
      <c r="BT1282" s="16" t="b">
        <v>1</v>
      </c>
      <c r="BU1282" s="16" t="s">
        <v>546</v>
      </c>
      <c r="BV1282" s="16"/>
      <c r="BW1282" s="16"/>
      <c r="BX1282" s="16"/>
      <c r="BY1282" s="16"/>
    </row>
    <row r="1283">
      <c r="A1283" s="16" t="s">
        <v>7390</v>
      </c>
      <c r="B1283" s="16" t="s">
        <v>35</v>
      </c>
      <c r="C1283" s="22">
        <v>45824.0</v>
      </c>
      <c r="D1283" s="16">
        <v>2.6065919E7</v>
      </c>
      <c r="E1283" s="16" t="s">
        <v>8138</v>
      </c>
      <c r="F1283" s="16" t="s">
        <v>8140</v>
      </c>
      <c r="G1283" s="16" t="s">
        <v>1022</v>
      </c>
      <c r="H1283" s="16">
        <v>1.0</v>
      </c>
      <c r="I1283" s="23">
        <v>135.0</v>
      </c>
      <c r="J1283" s="23">
        <v>135.0</v>
      </c>
      <c r="K1283" s="16"/>
      <c r="L1283" s="23"/>
      <c r="M1283" s="23"/>
      <c r="N1283" s="23">
        <v>0.0</v>
      </c>
      <c r="O1283" s="16"/>
      <c r="P1283" s="23"/>
      <c r="Q1283" s="23"/>
      <c r="R1283" s="23">
        <v>0.0</v>
      </c>
      <c r="S1283" s="16"/>
      <c r="T1283" s="23"/>
      <c r="U1283" s="23"/>
      <c r="V1283" s="23">
        <v>0.0</v>
      </c>
      <c r="W1283" s="16"/>
      <c r="X1283" s="23"/>
      <c r="Y1283" s="23"/>
      <c r="Z1283" s="23">
        <v>0.0</v>
      </c>
      <c r="AA1283" s="16"/>
      <c r="AB1283" s="23"/>
      <c r="AC1283" s="23"/>
      <c r="AD1283" s="23">
        <v>0.0</v>
      </c>
      <c r="AE1283" s="16"/>
      <c r="AF1283" s="23"/>
      <c r="AG1283" s="23"/>
      <c r="AH1283" s="23">
        <v>0.0</v>
      </c>
      <c r="AI1283" s="16"/>
      <c r="AJ1283" s="23"/>
      <c r="AK1283" s="23"/>
      <c r="AL1283" s="23">
        <v>0.0</v>
      </c>
      <c r="AM1283" s="16"/>
      <c r="AN1283" s="23"/>
      <c r="AO1283" s="23"/>
      <c r="AP1283" s="23">
        <v>0.0</v>
      </c>
      <c r="AQ1283" s="16"/>
      <c r="AR1283" s="23"/>
      <c r="AS1283" s="23"/>
      <c r="AT1283" s="23">
        <v>0.0</v>
      </c>
      <c r="AU1283" s="16"/>
      <c r="AV1283" s="23"/>
      <c r="AW1283" s="23"/>
      <c r="AX1283" s="23">
        <v>0.0</v>
      </c>
      <c r="AY1283" s="16"/>
      <c r="AZ1283" s="23"/>
      <c r="BA1283" s="23"/>
      <c r="BB1283" s="23"/>
      <c r="BC1283" s="16"/>
      <c r="BD1283" s="23"/>
      <c r="BE1283" s="23"/>
      <c r="BF1283" s="23">
        <v>0.0</v>
      </c>
      <c r="BJ1283" s="23">
        <v>0.0</v>
      </c>
      <c r="BN1283" s="23">
        <v>0.0</v>
      </c>
      <c r="BO1283" s="23">
        <v>135.0</v>
      </c>
      <c r="BP1283" s="16" t="s">
        <v>8139</v>
      </c>
      <c r="BQ1283" s="16" t="b">
        <v>1</v>
      </c>
      <c r="BR1283" s="23">
        <v>135.0</v>
      </c>
      <c r="BS1283" s="16">
        <v>1530592.0</v>
      </c>
      <c r="BT1283" s="16" t="b">
        <v>1</v>
      </c>
      <c r="BU1283" s="16" t="s">
        <v>546</v>
      </c>
      <c r="BV1283" s="16"/>
      <c r="BW1283" s="16"/>
      <c r="BX1283" s="16"/>
      <c r="BY1283" s="16"/>
    </row>
    <row r="1284">
      <c r="A1284" s="16" t="s">
        <v>7392</v>
      </c>
      <c r="B1284" s="16" t="s">
        <v>35</v>
      </c>
      <c r="C1284" s="22">
        <v>45826.0</v>
      </c>
      <c r="D1284" s="16" t="s">
        <v>112</v>
      </c>
      <c r="E1284" s="16" t="s">
        <v>8146</v>
      </c>
      <c r="F1284" s="16" t="s">
        <v>157</v>
      </c>
      <c r="G1284" s="16">
        <v>1.2539885E7</v>
      </c>
      <c r="H1284" s="16">
        <v>1.0</v>
      </c>
      <c r="I1284" s="23">
        <v>145.0</v>
      </c>
      <c r="J1284" s="23">
        <v>145.0</v>
      </c>
      <c r="K1284" s="16"/>
      <c r="L1284" s="23"/>
      <c r="M1284" s="23"/>
      <c r="N1284" s="23">
        <v>0.0</v>
      </c>
      <c r="O1284" s="16"/>
      <c r="P1284" s="23"/>
      <c r="Q1284" s="23"/>
      <c r="R1284" s="23">
        <v>0.0</v>
      </c>
      <c r="S1284" s="16"/>
      <c r="T1284" s="23"/>
      <c r="U1284" s="23"/>
      <c r="V1284" s="23">
        <v>0.0</v>
      </c>
      <c r="W1284" s="16"/>
      <c r="X1284" s="23"/>
      <c r="Y1284" s="23"/>
      <c r="Z1284" s="23">
        <v>0.0</v>
      </c>
      <c r="AA1284" s="16"/>
      <c r="AB1284" s="23"/>
      <c r="AC1284" s="23"/>
      <c r="AD1284" s="23">
        <v>0.0</v>
      </c>
      <c r="AE1284" s="16"/>
      <c r="AF1284" s="23"/>
      <c r="AG1284" s="23"/>
      <c r="AH1284" s="23">
        <v>0.0</v>
      </c>
      <c r="AI1284" s="16"/>
      <c r="AJ1284" s="23"/>
      <c r="AK1284" s="23"/>
      <c r="AL1284" s="23">
        <v>0.0</v>
      </c>
      <c r="AM1284" s="16"/>
      <c r="AN1284" s="23"/>
      <c r="AO1284" s="23"/>
      <c r="AP1284" s="23">
        <v>0.0</v>
      </c>
      <c r="AQ1284" s="16"/>
      <c r="AR1284" s="23"/>
      <c r="AS1284" s="23"/>
      <c r="AT1284" s="23">
        <v>0.0</v>
      </c>
      <c r="AU1284" s="16"/>
      <c r="AV1284" s="23"/>
      <c r="AW1284" s="23"/>
      <c r="AX1284" s="23">
        <v>0.0</v>
      </c>
      <c r="AY1284" s="16"/>
      <c r="AZ1284" s="23"/>
      <c r="BA1284" s="23"/>
      <c r="BB1284" s="23"/>
      <c r="BC1284" s="16"/>
      <c r="BD1284" s="23"/>
      <c r="BE1284" s="23"/>
      <c r="BF1284" s="23">
        <v>0.0</v>
      </c>
      <c r="BJ1284" s="23">
        <v>0.0</v>
      </c>
      <c r="BN1284" s="23">
        <v>0.0</v>
      </c>
      <c r="BO1284" s="23">
        <v>145.0</v>
      </c>
      <c r="BP1284" s="16" t="s">
        <v>8148</v>
      </c>
      <c r="BQ1284" s="16" t="b">
        <v>1</v>
      </c>
      <c r="BR1284" s="23">
        <v>145.0</v>
      </c>
      <c r="BS1284" s="16"/>
      <c r="BT1284" s="16" t="b">
        <v>0</v>
      </c>
      <c r="BU1284" s="16" t="s">
        <v>546</v>
      </c>
      <c r="BV1284" s="16"/>
      <c r="BW1284" s="16"/>
      <c r="BX1284" s="16"/>
      <c r="BY1284" s="16"/>
    </row>
    <row r="1285">
      <c r="A1285" s="16" t="s">
        <v>7394</v>
      </c>
      <c r="B1285" s="16" t="s">
        <v>35</v>
      </c>
      <c r="C1285" s="22">
        <v>45826.0</v>
      </c>
      <c r="D1285" s="16" t="s">
        <v>112</v>
      </c>
      <c r="E1285" s="16" t="s">
        <v>8146</v>
      </c>
      <c r="F1285" s="16" t="s">
        <v>157</v>
      </c>
      <c r="G1285" s="16" t="s">
        <v>226</v>
      </c>
      <c r="H1285" s="16">
        <v>1.0</v>
      </c>
      <c r="I1285" s="23">
        <v>47.5</v>
      </c>
      <c r="J1285" s="23">
        <v>47.5</v>
      </c>
      <c r="K1285" s="16" t="s">
        <v>155</v>
      </c>
      <c r="L1285" s="23">
        <v>1.0</v>
      </c>
      <c r="M1285" s="23">
        <v>52.25</v>
      </c>
      <c r="N1285" s="23">
        <v>52.25</v>
      </c>
      <c r="O1285" s="16" t="s">
        <v>159</v>
      </c>
      <c r="P1285" s="23">
        <v>1.0</v>
      </c>
      <c r="Q1285" s="23">
        <v>210.0</v>
      </c>
      <c r="R1285" s="23">
        <v>210.0</v>
      </c>
      <c r="S1285" s="16"/>
      <c r="T1285" s="23"/>
      <c r="U1285" s="23"/>
      <c r="V1285" s="23">
        <v>0.0</v>
      </c>
      <c r="W1285" s="16"/>
      <c r="X1285" s="23"/>
      <c r="Y1285" s="23"/>
      <c r="Z1285" s="23">
        <v>0.0</v>
      </c>
      <c r="AA1285" s="16"/>
      <c r="AB1285" s="23"/>
      <c r="AC1285" s="23"/>
      <c r="AD1285" s="23">
        <v>0.0</v>
      </c>
      <c r="AE1285" s="16"/>
      <c r="AF1285" s="23"/>
      <c r="AG1285" s="23"/>
      <c r="AH1285" s="23">
        <v>0.0</v>
      </c>
      <c r="AI1285" s="16"/>
      <c r="AJ1285" s="23"/>
      <c r="AK1285" s="23"/>
      <c r="AL1285" s="23">
        <v>0.0</v>
      </c>
      <c r="AM1285" s="16"/>
      <c r="AN1285" s="23"/>
      <c r="AO1285" s="23"/>
      <c r="AP1285" s="23">
        <v>0.0</v>
      </c>
      <c r="AQ1285" s="16"/>
      <c r="AR1285" s="23"/>
      <c r="AS1285" s="23"/>
      <c r="AT1285" s="23">
        <v>0.0</v>
      </c>
      <c r="AU1285" s="16"/>
      <c r="AV1285" s="23"/>
      <c r="AW1285" s="23"/>
      <c r="AX1285" s="23">
        <v>0.0</v>
      </c>
      <c r="AY1285" s="16"/>
      <c r="AZ1285" s="23"/>
      <c r="BA1285" s="23"/>
      <c r="BB1285" s="23"/>
      <c r="BC1285" s="16"/>
      <c r="BD1285" s="23"/>
      <c r="BE1285" s="23"/>
      <c r="BF1285" s="23">
        <v>0.0</v>
      </c>
      <c r="BJ1285" s="23">
        <v>0.0</v>
      </c>
      <c r="BN1285" s="23">
        <v>0.0</v>
      </c>
      <c r="BO1285" s="23">
        <v>309.75</v>
      </c>
      <c r="BP1285" s="16" t="s">
        <v>8153</v>
      </c>
      <c r="BQ1285" s="16" t="b">
        <v>1</v>
      </c>
      <c r="BR1285" s="23">
        <v>309.75</v>
      </c>
      <c r="BS1285" s="16"/>
      <c r="BT1285" s="16" t="b">
        <v>0</v>
      </c>
      <c r="BU1285" s="16" t="s">
        <v>546</v>
      </c>
      <c r="BV1285" s="16"/>
      <c r="BW1285" s="16"/>
      <c r="BX1285" s="16"/>
      <c r="BY1285" s="16"/>
    </row>
    <row r="1286">
      <c r="A1286" s="16" t="s">
        <v>7398</v>
      </c>
      <c r="B1286" s="16" t="s">
        <v>35</v>
      </c>
      <c r="C1286" s="22">
        <v>45828.0</v>
      </c>
      <c r="D1286" s="16" t="s">
        <v>460</v>
      </c>
      <c r="E1286" s="16"/>
      <c r="F1286" s="16" t="s">
        <v>8158</v>
      </c>
      <c r="G1286" s="16" t="s">
        <v>862</v>
      </c>
      <c r="H1286" s="16">
        <v>1.0</v>
      </c>
      <c r="I1286" s="23">
        <v>995.0</v>
      </c>
      <c r="J1286" s="23">
        <v>995.0</v>
      </c>
      <c r="K1286" s="16"/>
      <c r="L1286" s="23"/>
      <c r="M1286" s="23"/>
      <c r="N1286" s="23"/>
      <c r="O1286" s="16"/>
      <c r="P1286" s="23"/>
      <c r="Q1286" s="23"/>
      <c r="R1286" s="23"/>
      <c r="S1286" s="16"/>
      <c r="T1286" s="23"/>
      <c r="U1286" s="23"/>
      <c r="V1286" s="23"/>
      <c r="W1286" s="16"/>
      <c r="X1286" s="23"/>
      <c r="Y1286" s="23"/>
      <c r="Z1286" s="23"/>
      <c r="AA1286" s="16"/>
      <c r="AB1286" s="23"/>
      <c r="AC1286" s="23"/>
      <c r="AD1286" s="23"/>
      <c r="AE1286" s="16"/>
      <c r="AF1286" s="23"/>
      <c r="AG1286" s="23"/>
      <c r="AH1286" s="23"/>
      <c r="AI1286" s="16"/>
      <c r="AJ1286" s="23"/>
      <c r="AK1286" s="23"/>
      <c r="AL1286" s="23"/>
      <c r="AM1286" s="16"/>
      <c r="AN1286" s="23"/>
      <c r="AO1286" s="23"/>
      <c r="AP1286" s="23"/>
      <c r="AQ1286" s="16"/>
      <c r="AR1286" s="23"/>
      <c r="AS1286" s="23"/>
      <c r="AT1286" s="23"/>
      <c r="AU1286" s="16"/>
      <c r="AV1286" s="23"/>
      <c r="AW1286" s="23"/>
      <c r="AX1286" s="23"/>
      <c r="AY1286" s="16"/>
      <c r="AZ1286" s="23"/>
      <c r="BA1286" s="23"/>
      <c r="BB1286" s="23"/>
      <c r="BC1286" s="16"/>
      <c r="BD1286" s="23"/>
      <c r="BE1286" s="23"/>
      <c r="BF1286" s="23"/>
      <c r="BJ1286" s="23"/>
      <c r="BN1286" s="23"/>
      <c r="BO1286" s="23">
        <v>995.0</v>
      </c>
      <c r="BP1286" s="16"/>
      <c r="BQ1286" s="16"/>
      <c r="BR1286" s="23">
        <v>995.0</v>
      </c>
      <c r="BS1286" s="16"/>
      <c r="BT1286" s="16"/>
      <c r="BU1286" s="16" t="s">
        <v>539</v>
      </c>
      <c r="BV1286" s="16"/>
      <c r="BW1286" s="16"/>
      <c r="BX1286" s="16"/>
      <c r="BY1286" s="16"/>
    </row>
    <row r="1287">
      <c r="A1287" s="16" t="s">
        <v>7400</v>
      </c>
      <c r="B1287" s="16" t="s">
        <v>35</v>
      </c>
      <c r="C1287" s="22">
        <v>45828.0</v>
      </c>
      <c r="D1287" s="16" t="s">
        <v>543</v>
      </c>
      <c r="E1287" s="16" t="s">
        <v>8163</v>
      </c>
      <c r="F1287" s="16" t="s">
        <v>171</v>
      </c>
      <c r="G1287" s="16">
        <v>1.2539885E7</v>
      </c>
      <c r="H1287" s="16">
        <v>1.0</v>
      </c>
      <c r="I1287" s="23">
        <v>300.0</v>
      </c>
      <c r="J1287" s="23">
        <v>300.0</v>
      </c>
      <c r="K1287" s="16"/>
      <c r="L1287" s="23"/>
      <c r="M1287" s="23"/>
      <c r="N1287" s="23">
        <v>0.0</v>
      </c>
      <c r="O1287" s="16"/>
      <c r="P1287" s="23"/>
      <c r="Q1287" s="23"/>
      <c r="R1287" s="23">
        <v>0.0</v>
      </c>
      <c r="S1287" s="16"/>
      <c r="T1287" s="23"/>
      <c r="U1287" s="23"/>
      <c r="V1287" s="23">
        <v>0.0</v>
      </c>
      <c r="W1287" s="16"/>
      <c r="X1287" s="23"/>
      <c r="Y1287" s="23"/>
      <c r="Z1287" s="23">
        <v>0.0</v>
      </c>
      <c r="AA1287" s="16"/>
      <c r="AB1287" s="23"/>
      <c r="AC1287" s="23"/>
      <c r="AD1287" s="23">
        <v>0.0</v>
      </c>
      <c r="AE1287" s="16"/>
      <c r="AF1287" s="23"/>
      <c r="AG1287" s="23"/>
      <c r="AH1287" s="23">
        <v>0.0</v>
      </c>
      <c r="AI1287" s="16"/>
      <c r="AJ1287" s="23"/>
      <c r="AK1287" s="23"/>
      <c r="AL1287" s="23">
        <v>0.0</v>
      </c>
      <c r="AM1287" s="16"/>
      <c r="AN1287" s="23"/>
      <c r="AO1287" s="23"/>
      <c r="AP1287" s="23">
        <v>0.0</v>
      </c>
      <c r="AQ1287" s="16"/>
      <c r="AR1287" s="23"/>
      <c r="AS1287" s="23"/>
      <c r="AT1287" s="23">
        <v>0.0</v>
      </c>
      <c r="AU1287" s="16"/>
      <c r="AV1287" s="23"/>
      <c r="AW1287" s="23"/>
      <c r="AX1287" s="23">
        <v>0.0</v>
      </c>
      <c r="AY1287" s="16"/>
      <c r="AZ1287" s="23"/>
      <c r="BA1287" s="23"/>
      <c r="BB1287" s="23"/>
      <c r="BC1287" s="16"/>
      <c r="BD1287" s="23"/>
      <c r="BE1287" s="23"/>
      <c r="BF1287" s="23">
        <v>0.0</v>
      </c>
      <c r="BJ1287" s="23">
        <v>0.0</v>
      </c>
      <c r="BN1287" s="23">
        <v>0.0</v>
      </c>
      <c r="BO1287" s="23">
        <v>300.0</v>
      </c>
      <c r="BP1287" s="16" t="s">
        <v>8165</v>
      </c>
      <c r="BQ1287" s="16" t="b">
        <v>1</v>
      </c>
      <c r="BR1287" s="23">
        <v>300.0</v>
      </c>
      <c r="BS1287" s="16"/>
      <c r="BT1287" s="16" t="b">
        <v>0</v>
      </c>
      <c r="BU1287" s="16" t="s">
        <v>546</v>
      </c>
      <c r="BV1287" s="16"/>
      <c r="BW1287" s="16"/>
      <c r="BX1287" s="16"/>
      <c r="BY1287" s="16"/>
    </row>
    <row r="1288">
      <c r="A1288" s="16" t="s">
        <v>7404</v>
      </c>
      <c r="B1288" s="16" t="s">
        <v>35</v>
      </c>
      <c r="C1288" s="22">
        <v>45821.0</v>
      </c>
      <c r="D1288" s="16" t="s">
        <v>7578</v>
      </c>
      <c r="E1288" s="16" t="s">
        <v>8170</v>
      </c>
      <c r="F1288" s="16" t="s">
        <v>147</v>
      </c>
      <c r="G1288" s="16" t="s">
        <v>691</v>
      </c>
      <c r="H1288" s="16">
        <v>1.0</v>
      </c>
      <c r="I1288" s="23">
        <v>43.53</v>
      </c>
      <c r="J1288" s="23">
        <v>43.53</v>
      </c>
      <c r="K1288" s="16" t="s">
        <v>797</v>
      </c>
      <c r="L1288" s="23">
        <v>1.0</v>
      </c>
      <c r="M1288" s="23">
        <v>46.0</v>
      </c>
      <c r="N1288" s="23">
        <v>46.0</v>
      </c>
      <c r="O1288" s="16" t="s">
        <v>802</v>
      </c>
      <c r="P1288" s="23">
        <v>1.0</v>
      </c>
      <c r="Q1288" s="23">
        <v>220.0</v>
      </c>
      <c r="R1288" s="23">
        <v>220.0</v>
      </c>
      <c r="S1288" s="16" t="s">
        <v>1683</v>
      </c>
      <c r="T1288" s="23">
        <v>1.0</v>
      </c>
      <c r="U1288" s="23">
        <v>244.19</v>
      </c>
      <c r="V1288" s="23">
        <v>244.19</v>
      </c>
      <c r="W1288" s="16"/>
      <c r="X1288" s="23"/>
      <c r="Y1288" s="23"/>
      <c r="Z1288" s="23">
        <v>0.0</v>
      </c>
      <c r="AA1288" s="16"/>
      <c r="AB1288" s="23"/>
      <c r="AC1288" s="23"/>
      <c r="AD1288" s="23">
        <v>0.0</v>
      </c>
      <c r="AE1288" s="16"/>
      <c r="AF1288" s="23"/>
      <c r="AG1288" s="23"/>
      <c r="AH1288" s="23">
        <v>0.0</v>
      </c>
      <c r="AI1288" s="16"/>
      <c r="AJ1288" s="23"/>
      <c r="AK1288" s="23"/>
      <c r="AL1288" s="23">
        <v>0.0</v>
      </c>
      <c r="AM1288" s="16"/>
      <c r="AN1288" s="23"/>
      <c r="AO1288" s="23"/>
      <c r="AP1288" s="23">
        <v>0.0</v>
      </c>
      <c r="AQ1288" s="16"/>
      <c r="AR1288" s="23"/>
      <c r="AS1288" s="23"/>
      <c r="AT1288" s="23">
        <v>0.0</v>
      </c>
      <c r="AU1288" s="16"/>
      <c r="AV1288" s="23"/>
      <c r="AW1288" s="23"/>
      <c r="AX1288" s="23">
        <v>0.0</v>
      </c>
      <c r="AY1288" s="16"/>
      <c r="AZ1288" s="23"/>
      <c r="BA1288" s="23"/>
      <c r="BB1288" s="23"/>
      <c r="BC1288" s="16"/>
      <c r="BD1288" s="23"/>
      <c r="BE1288" s="23"/>
      <c r="BF1288" s="23">
        <v>0.0</v>
      </c>
      <c r="BJ1288" s="23">
        <v>0.0</v>
      </c>
      <c r="BN1288" s="23">
        <v>0.0</v>
      </c>
      <c r="BO1288" s="23">
        <v>553.72</v>
      </c>
      <c r="BP1288" s="16" t="s">
        <v>8171</v>
      </c>
      <c r="BQ1288" s="16" t="b">
        <v>1</v>
      </c>
      <c r="BR1288" s="23">
        <v>553.72</v>
      </c>
      <c r="BS1288" s="16"/>
      <c r="BT1288" s="16" t="b">
        <v>0</v>
      </c>
      <c r="BU1288" s="16" t="s">
        <v>546</v>
      </c>
      <c r="BV1288" s="16"/>
      <c r="BW1288" s="16"/>
      <c r="BX1288" s="16"/>
      <c r="BY1288" s="16"/>
    </row>
    <row r="1289">
      <c r="A1289" s="16" t="s">
        <v>7412</v>
      </c>
      <c r="B1289" s="16" t="s">
        <v>35</v>
      </c>
      <c r="C1289" s="22">
        <v>45820.0</v>
      </c>
      <c r="D1289" s="16" t="s">
        <v>3716</v>
      </c>
      <c r="E1289" s="16" t="s">
        <v>8175</v>
      </c>
      <c r="F1289" s="16" t="s">
        <v>195</v>
      </c>
      <c r="G1289" s="16" t="s">
        <v>1080</v>
      </c>
      <c r="H1289" s="16">
        <v>1.0</v>
      </c>
      <c r="I1289" s="23">
        <v>208.5</v>
      </c>
      <c r="J1289" s="23">
        <v>208.5</v>
      </c>
      <c r="K1289" s="16" t="s">
        <v>1079</v>
      </c>
      <c r="L1289" s="23">
        <v>2.0</v>
      </c>
      <c r="M1289" s="23">
        <v>33.72</v>
      </c>
      <c r="N1289" s="23">
        <v>67.44</v>
      </c>
      <c r="O1289" s="16"/>
      <c r="P1289" s="23"/>
      <c r="Q1289" s="23"/>
      <c r="R1289" s="23">
        <v>0.0</v>
      </c>
      <c r="S1289" s="16"/>
      <c r="T1289" s="23"/>
      <c r="U1289" s="23"/>
      <c r="V1289" s="23">
        <v>0.0</v>
      </c>
      <c r="W1289" s="16"/>
      <c r="X1289" s="23"/>
      <c r="Y1289" s="23"/>
      <c r="Z1289" s="23">
        <v>0.0</v>
      </c>
      <c r="AA1289" s="16"/>
      <c r="AB1289" s="23"/>
      <c r="AC1289" s="23"/>
      <c r="AD1289" s="23">
        <v>0.0</v>
      </c>
      <c r="AE1289" s="16"/>
      <c r="AF1289" s="23"/>
      <c r="AG1289" s="23"/>
      <c r="AH1289" s="23">
        <v>0.0</v>
      </c>
      <c r="AI1289" s="16"/>
      <c r="AJ1289" s="23"/>
      <c r="AK1289" s="23"/>
      <c r="AL1289" s="23">
        <v>0.0</v>
      </c>
      <c r="AM1289" s="16"/>
      <c r="AN1289" s="23"/>
      <c r="AO1289" s="23"/>
      <c r="AP1289" s="23">
        <v>0.0</v>
      </c>
      <c r="AQ1289" s="16"/>
      <c r="AR1289" s="23"/>
      <c r="AS1289" s="23"/>
      <c r="AT1289" s="23">
        <v>0.0</v>
      </c>
      <c r="AU1289" s="16"/>
      <c r="AV1289" s="23"/>
      <c r="AW1289" s="23"/>
      <c r="AX1289" s="23">
        <v>0.0</v>
      </c>
      <c r="AY1289" s="16"/>
      <c r="AZ1289" s="23"/>
      <c r="BA1289" s="23"/>
      <c r="BB1289" s="23"/>
      <c r="BC1289" s="16"/>
      <c r="BD1289" s="23"/>
      <c r="BE1289" s="23"/>
      <c r="BF1289" s="23">
        <v>0.0</v>
      </c>
      <c r="BJ1289" s="23">
        <v>0.0</v>
      </c>
      <c r="BN1289" s="23">
        <v>0.0</v>
      </c>
      <c r="BO1289" s="23">
        <v>275.94</v>
      </c>
      <c r="BP1289" s="16" t="s">
        <v>8176</v>
      </c>
      <c r="BQ1289" s="16" t="b">
        <v>1</v>
      </c>
      <c r="BR1289" s="23">
        <v>275.94</v>
      </c>
      <c r="BS1289" s="16">
        <v>1526010.0</v>
      </c>
      <c r="BT1289" s="16" t="b">
        <v>1</v>
      </c>
      <c r="BU1289" s="16" t="s">
        <v>546</v>
      </c>
      <c r="BV1289" s="16"/>
      <c r="BW1289" s="16"/>
      <c r="BX1289" s="16"/>
      <c r="BY1289" s="16"/>
    </row>
    <row r="1290">
      <c r="A1290" s="16" t="s">
        <v>7416</v>
      </c>
      <c r="B1290" s="16" t="s">
        <v>35</v>
      </c>
      <c r="C1290" s="22">
        <v>45831.0</v>
      </c>
      <c r="D1290" s="16" t="s">
        <v>890</v>
      </c>
      <c r="E1290" s="16"/>
      <c r="F1290" s="16" t="s">
        <v>4010</v>
      </c>
      <c r="G1290" s="16" t="s">
        <v>4831</v>
      </c>
      <c r="H1290" s="16">
        <v>1.0</v>
      </c>
      <c r="I1290" s="23">
        <v>375.0</v>
      </c>
      <c r="J1290" s="23">
        <v>375.0</v>
      </c>
      <c r="K1290" s="16"/>
      <c r="L1290" s="23"/>
      <c r="M1290" s="23"/>
      <c r="N1290" s="23"/>
      <c r="O1290" s="16"/>
      <c r="P1290" s="23"/>
      <c r="Q1290" s="23"/>
      <c r="R1290" s="23"/>
      <c r="S1290" s="16"/>
      <c r="T1290" s="23"/>
      <c r="U1290" s="23"/>
      <c r="V1290" s="23"/>
      <c r="W1290" s="16"/>
      <c r="X1290" s="23"/>
      <c r="Y1290" s="23"/>
      <c r="Z1290" s="23"/>
      <c r="AA1290" s="16"/>
      <c r="AB1290" s="23"/>
      <c r="AC1290" s="23"/>
      <c r="AD1290" s="23"/>
      <c r="AE1290" s="16"/>
      <c r="AF1290" s="23"/>
      <c r="AG1290" s="23"/>
      <c r="AH1290" s="23"/>
      <c r="AI1290" s="16"/>
      <c r="AJ1290" s="23"/>
      <c r="AK1290" s="23"/>
      <c r="AL1290" s="23"/>
      <c r="AM1290" s="16"/>
      <c r="AN1290" s="23"/>
      <c r="AO1290" s="23"/>
      <c r="AP1290" s="23"/>
      <c r="AQ1290" s="16"/>
      <c r="AR1290" s="23"/>
      <c r="AS1290" s="23"/>
      <c r="AT1290" s="23"/>
      <c r="AU1290" s="16"/>
      <c r="AV1290" s="23"/>
      <c r="AW1290" s="23"/>
      <c r="AX1290" s="23"/>
      <c r="AY1290" s="16"/>
      <c r="AZ1290" s="23"/>
      <c r="BA1290" s="23"/>
      <c r="BB1290" s="23"/>
      <c r="BC1290" s="16"/>
      <c r="BD1290" s="23"/>
      <c r="BE1290" s="23"/>
      <c r="BF1290" s="23"/>
      <c r="BJ1290" s="23"/>
      <c r="BN1290" s="23"/>
      <c r="BO1290" s="23">
        <v>375.0</v>
      </c>
      <c r="BP1290" s="16"/>
      <c r="BQ1290" s="16"/>
      <c r="BR1290" s="23">
        <v>375.0</v>
      </c>
      <c r="BS1290" s="16"/>
      <c r="BT1290" s="16"/>
      <c r="BU1290" s="16" t="s">
        <v>539</v>
      </c>
      <c r="BV1290" s="16"/>
      <c r="BW1290" s="16"/>
      <c r="BX1290" s="16"/>
      <c r="BY1290" s="16"/>
    </row>
    <row r="1291">
      <c r="A1291" s="16" t="s">
        <v>7418</v>
      </c>
      <c r="B1291" s="16" t="s">
        <v>35</v>
      </c>
      <c r="C1291" s="22">
        <v>45829.0</v>
      </c>
      <c r="D1291" s="16" t="s">
        <v>112</v>
      </c>
      <c r="E1291" s="16" t="s">
        <v>8185</v>
      </c>
      <c r="F1291" s="16" t="s">
        <v>157</v>
      </c>
      <c r="G1291" s="16" t="s">
        <v>159</v>
      </c>
      <c r="H1291" s="16">
        <v>1.0</v>
      </c>
      <c r="I1291" s="23">
        <v>112.0</v>
      </c>
      <c r="J1291" s="23">
        <v>112.0</v>
      </c>
      <c r="K1291" s="16" t="s">
        <v>155</v>
      </c>
      <c r="L1291" s="23">
        <v>1.0</v>
      </c>
      <c r="M1291" s="23">
        <v>21.75</v>
      </c>
      <c r="N1291" s="23">
        <v>21.75</v>
      </c>
      <c r="O1291" s="16" t="s">
        <v>152</v>
      </c>
      <c r="P1291" s="23">
        <v>1.0</v>
      </c>
      <c r="Q1291" s="23">
        <v>8.01</v>
      </c>
      <c r="R1291" s="23">
        <v>8.01</v>
      </c>
      <c r="S1291" s="16" t="s">
        <v>226</v>
      </c>
      <c r="T1291" s="23">
        <v>1.0</v>
      </c>
      <c r="U1291" s="23">
        <v>22.5</v>
      </c>
      <c r="V1291" s="23">
        <v>22.5</v>
      </c>
      <c r="W1291" s="16"/>
      <c r="X1291" s="23"/>
      <c r="Y1291" s="23"/>
      <c r="Z1291" s="23">
        <v>0.0</v>
      </c>
      <c r="AA1291" s="16"/>
      <c r="AB1291" s="23"/>
      <c r="AC1291" s="23"/>
      <c r="AD1291" s="23">
        <v>0.0</v>
      </c>
      <c r="AE1291" s="16"/>
      <c r="AF1291" s="23"/>
      <c r="AG1291" s="23"/>
      <c r="AH1291" s="23">
        <v>0.0</v>
      </c>
      <c r="AI1291" s="16"/>
      <c r="AJ1291" s="23"/>
      <c r="AK1291" s="23"/>
      <c r="AL1291" s="23">
        <v>0.0</v>
      </c>
      <c r="AM1291" s="16"/>
      <c r="AN1291" s="23"/>
      <c r="AO1291" s="23"/>
      <c r="AP1291" s="23">
        <v>0.0</v>
      </c>
      <c r="AQ1291" s="16"/>
      <c r="AR1291" s="23"/>
      <c r="AS1291" s="23"/>
      <c r="AT1291" s="23">
        <v>0.0</v>
      </c>
      <c r="AU1291" s="16"/>
      <c r="AV1291" s="23"/>
      <c r="AW1291" s="23"/>
      <c r="AX1291" s="23">
        <v>0.0</v>
      </c>
      <c r="AY1291" s="16"/>
      <c r="AZ1291" s="23"/>
      <c r="BA1291" s="23"/>
      <c r="BB1291" s="23"/>
      <c r="BC1291" s="16"/>
      <c r="BD1291" s="23"/>
      <c r="BE1291" s="23"/>
      <c r="BF1291" s="23">
        <v>0.0</v>
      </c>
      <c r="BJ1291" s="23">
        <v>0.0</v>
      </c>
      <c r="BN1291" s="23">
        <v>0.0</v>
      </c>
      <c r="BO1291" s="23">
        <v>164.26</v>
      </c>
      <c r="BP1291" s="16" t="s">
        <v>8186</v>
      </c>
      <c r="BQ1291" s="16" t="b">
        <v>1</v>
      </c>
      <c r="BR1291" s="23">
        <v>164.26</v>
      </c>
      <c r="BS1291" s="16"/>
      <c r="BT1291" s="16" t="b">
        <v>0</v>
      </c>
      <c r="BU1291" s="16" t="s">
        <v>546</v>
      </c>
      <c r="BV1291" s="16"/>
      <c r="BW1291" s="16"/>
      <c r="BX1291" s="16"/>
      <c r="BY1291" s="16"/>
    </row>
    <row r="1292">
      <c r="A1292" s="16" t="s">
        <v>7425</v>
      </c>
      <c r="B1292" s="16" t="s">
        <v>35</v>
      </c>
      <c r="C1292" s="22">
        <v>45832.0</v>
      </c>
      <c r="D1292" s="16" t="s">
        <v>7095</v>
      </c>
      <c r="E1292" s="16" t="s">
        <v>8191</v>
      </c>
      <c r="F1292" s="16" t="s">
        <v>195</v>
      </c>
      <c r="G1292" s="16" t="s">
        <v>335</v>
      </c>
      <c r="H1292" s="16">
        <v>2.0</v>
      </c>
      <c r="I1292" s="23">
        <v>44.88</v>
      </c>
      <c r="J1292" s="23">
        <v>89.76</v>
      </c>
      <c r="K1292" s="16" t="s">
        <v>1777</v>
      </c>
      <c r="L1292" s="23">
        <v>2.0</v>
      </c>
      <c r="M1292" s="23">
        <v>30.96</v>
      </c>
      <c r="N1292" s="23">
        <v>61.92</v>
      </c>
      <c r="O1292" s="16" t="s">
        <v>7086</v>
      </c>
      <c r="P1292" s="23">
        <v>1.0</v>
      </c>
      <c r="Q1292" s="23">
        <v>30.84</v>
      </c>
      <c r="R1292" s="23">
        <v>30.84</v>
      </c>
      <c r="S1292" s="16"/>
      <c r="T1292" s="23"/>
      <c r="U1292" s="23"/>
      <c r="V1292" s="23">
        <v>0.0</v>
      </c>
      <c r="W1292" s="16"/>
      <c r="X1292" s="23"/>
      <c r="Y1292" s="23"/>
      <c r="Z1292" s="23">
        <v>0.0</v>
      </c>
      <c r="AA1292" s="16"/>
      <c r="AB1292" s="23"/>
      <c r="AC1292" s="23"/>
      <c r="AD1292" s="23">
        <v>0.0</v>
      </c>
      <c r="AE1292" s="16"/>
      <c r="AF1292" s="23"/>
      <c r="AG1292" s="23"/>
      <c r="AH1292" s="23">
        <v>0.0</v>
      </c>
      <c r="AI1292" s="16"/>
      <c r="AJ1292" s="23"/>
      <c r="AK1292" s="23"/>
      <c r="AL1292" s="23">
        <v>0.0</v>
      </c>
      <c r="AM1292" s="16"/>
      <c r="AN1292" s="23"/>
      <c r="AO1292" s="23"/>
      <c r="AP1292" s="23">
        <v>0.0</v>
      </c>
      <c r="AQ1292" s="16"/>
      <c r="AR1292" s="23"/>
      <c r="AS1292" s="23"/>
      <c r="AT1292" s="23">
        <v>0.0</v>
      </c>
      <c r="AU1292" s="16"/>
      <c r="AV1292" s="23"/>
      <c r="AW1292" s="23"/>
      <c r="AX1292" s="23">
        <v>0.0</v>
      </c>
      <c r="AY1292" s="16"/>
      <c r="AZ1292" s="23"/>
      <c r="BA1292" s="23"/>
      <c r="BB1292" s="23"/>
      <c r="BC1292" s="16"/>
      <c r="BD1292" s="23"/>
      <c r="BE1292" s="23"/>
      <c r="BF1292" s="23">
        <v>0.0</v>
      </c>
      <c r="BJ1292" s="23">
        <v>0.0</v>
      </c>
      <c r="BN1292" s="23">
        <v>0.0</v>
      </c>
      <c r="BO1292" s="23">
        <v>182.52</v>
      </c>
      <c r="BP1292" s="16" t="s">
        <v>8192</v>
      </c>
      <c r="BQ1292" s="16" t="b">
        <v>1</v>
      </c>
      <c r="BR1292" s="23">
        <v>182.52</v>
      </c>
      <c r="BS1292" s="16"/>
      <c r="BT1292" s="16" t="b">
        <v>0</v>
      </c>
      <c r="BU1292" s="16" t="s">
        <v>546</v>
      </c>
      <c r="BV1292" s="16"/>
      <c r="BW1292" s="16"/>
      <c r="BX1292" s="16"/>
      <c r="BY1292" s="16"/>
    </row>
    <row r="1293">
      <c r="A1293" s="16">
        <v>1.60391984E8</v>
      </c>
      <c r="B1293" s="16" t="s">
        <v>35</v>
      </c>
      <c r="C1293" s="22">
        <v>45834.0</v>
      </c>
      <c r="D1293" s="16"/>
      <c r="E1293" s="16"/>
      <c r="F1293" s="16" t="s">
        <v>1329</v>
      </c>
      <c r="G1293" s="16" t="s">
        <v>1168</v>
      </c>
      <c r="H1293" s="16">
        <v>1.0</v>
      </c>
      <c r="I1293" s="23">
        <v>500.0</v>
      </c>
      <c r="J1293" s="23">
        <v>500.0</v>
      </c>
      <c r="K1293" s="16"/>
      <c r="L1293" s="23"/>
      <c r="M1293" s="23"/>
      <c r="N1293" s="23"/>
      <c r="O1293" s="16"/>
      <c r="P1293" s="23"/>
      <c r="Q1293" s="23"/>
      <c r="R1293" s="23"/>
      <c r="S1293" s="16"/>
      <c r="T1293" s="23"/>
      <c r="U1293" s="23"/>
      <c r="V1293" s="23"/>
      <c r="W1293" s="16"/>
      <c r="X1293" s="23"/>
      <c r="Y1293" s="23"/>
      <c r="Z1293" s="23"/>
      <c r="AA1293" s="16"/>
      <c r="AB1293" s="23"/>
      <c r="AC1293" s="23"/>
      <c r="AD1293" s="23"/>
      <c r="AE1293" s="16"/>
      <c r="AF1293" s="23"/>
      <c r="AG1293" s="23"/>
      <c r="AH1293" s="23"/>
      <c r="AI1293" s="16"/>
      <c r="AJ1293" s="23"/>
      <c r="AK1293" s="23"/>
      <c r="AL1293" s="23"/>
      <c r="AM1293" s="16"/>
      <c r="AN1293" s="23"/>
      <c r="AO1293" s="23"/>
      <c r="AP1293" s="23"/>
      <c r="AQ1293" s="16"/>
      <c r="AR1293" s="23"/>
      <c r="AS1293" s="23"/>
      <c r="AT1293" s="23"/>
      <c r="AU1293" s="16"/>
      <c r="AV1293" s="23"/>
      <c r="AW1293" s="23"/>
      <c r="AX1293" s="23"/>
      <c r="AY1293" s="16"/>
      <c r="AZ1293" s="23"/>
      <c r="BA1293" s="23"/>
      <c r="BB1293" s="23"/>
      <c r="BC1293" s="16"/>
      <c r="BD1293" s="23"/>
      <c r="BE1293" s="23"/>
      <c r="BF1293" s="23"/>
      <c r="BJ1293" s="23"/>
      <c r="BN1293" s="23"/>
      <c r="BO1293" s="23">
        <v>500.0</v>
      </c>
      <c r="BP1293" s="16"/>
      <c r="BQ1293" s="16"/>
      <c r="BR1293" s="23">
        <v>500.0</v>
      </c>
      <c r="BS1293" s="16"/>
      <c r="BT1293" s="16"/>
      <c r="BU1293" s="16" t="s">
        <v>539</v>
      </c>
      <c r="BV1293" s="16" t="s">
        <v>6062</v>
      </c>
      <c r="BW1293" s="16"/>
      <c r="BX1293" s="16"/>
      <c r="BY1293" s="16"/>
    </row>
    <row r="1294">
      <c r="A1294" s="16" t="s">
        <v>7432</v>
      </c>
      <c r="B1294" s="16" t="s">
        <v>35</v>
      </c>
      <c r="C1294" s="22">
        <v>45835.0</v>
      </c>
      <c r="D1294" s="16"/>
      <c r="E1294" s="16"/>
      <c r="F1294" s="16" t="s">
        <v>8205</v>
      </c>
      <c r="G1294" s="16" t="s">
        <v>1168</v>
      </c>
      <c r="H1294" s="16">
        <v>1.0</v>
      </c>
      <c r="I1294" s="23">
        <v>500.0</v>
      </c>
      <c r="J1294" s="23">
        <v>500.0</v>
      </c>
      <c r="K1294" s="16"/>
      <c r="L1294" s="23"/>
      <c r="M1294" s="23"/>
      <c r="N1294" s="23"/>
      <c r="O1294" s="16"/>
      <c r="P1294" s="23"/>
      <c r="Q1294" s="23"/>
      <c r="R1294" s="23"/>
      <c r="S1294" s="16"/>
      <c r="T1294" s="23"/>
      <c r="U1294" s="23"/>
      <c r="V1294" s="23"/>
      <c r="W1294" s="16"/>
      <c r="X1294" s="23"/>
      <c r="Y1294" s="23"/>
      <c r="Z1294" s="23"/>
      <c r="AA1294" s="16"/>
      <c r="AB1294" s="23"/>
      <c r="AC1294" s="23"/>
      <c r="AD1294" s="23"/>
      <c r="AE1294" s="16"/>
      <c r="AF1294" s="23"/>
      <c r="AG1294" s="23"/>
      <c r="AH1294" s="23"/>
      <c r="AI1294" s="16"/>
      <c r="AJ1294" s="23"/>
      <c r="AK1294" s="23"/>
      <c r="AL1294" s="23"/>
      <c r="AM1294" s="16"/>
      <c r="AN1294" s="23"/>
      <c r="AO1294" s="23"/>
      <c r="AP1294" s="23"/>
      <c r="AQ1294" s="16"/>
      <c r="AR1294" s="23"/>
      <c r="AS1294" s="23"/>
      <c r="AT1294" s="23"/>
      <c r="AU1294" s="16"/>
      <c r="AV1294" s="23"/>
      <c r="AW1294" s="23"/>
      <c r="AX1294" s="23"/>
      <c r="AY1294" s="16"/>
      <c r="AZ1294" s="23"/>
      <c r="BA1294" s="23"/>
      <c r="BB1294" s="23"/>
      <c r="BC1294" s="16"/>
      <c r="BD1294" s="23"/>
      <c r="BE1294" s="23"/>
      <c r="BF1294" s="23"/>
      <c r="BJ1294" s="23"/>
      <c r="BN1294" s="23"/>
      <c r="BO1294" s="23">
        <v>500.0</v>
      </c>
      <c r="BP1294" s="16"/>
      <c r="BQ1294" s="16"/>
      <c r="BR1294" s="23">
        <v>500.0</v>
      </c>
      <c r="BS1294" s="16"/>
      <c r="BT1294" s="16"/>
      <c r="BU1294" s="16" t="s">
        <v>539</v>
      </c>
      <c r="BV1294" s="16" t="s">
        <v>2052</v>
      </c>
      <c r="BW1294" s="16"/>
      <c r="BX1294" s="16"/>
      <c r="BY1294" s="16"/>
    </row>
    <row r="1295">
      <c r="A1295" s="16" t="s">
        <v>7434</v>
      </c>
      <c r="B1295" s="16" t="s">
        <v>35</v>
      </c>
      <c r="C1295" s="22">
        <v>45831.0</v>
      </c>
      <c r="D1295" s="16" t="s">
        <v>890</v>
      </c>
      <c r="E1295" s="16" t="s">
        <v>8209</v>
      </c>
      <c r="F1295" s="16" t="s">
        <v>3813</v>
      </c>
      <c r="G1295" s="16" t="s">
        <v>1517</v>
      </c>
      <c r="H1295" s="16">
        <v>1.0</v>
      </c>
      <c r="I1295" s="23">
        <v>3406.88</v>
      </c>
      <c r="J1295" s="23">
        <v>3406.88</v>
      </c>
      <c r="K1295" s="16"/>
      <c r="L1295" s="23"/>
      <c r="M1295" s="23"/>
      <c r="N1295" s="23">
        <v>0.0</v>
      </c>
      <c r="O1295" s="16"/>
      <c r="P1295" s="23"/>
      <c r="Q1295" s="23"/>
      <c r="R1295" s="23">
        <v>0.0</v>
      </c>
      <c r="S1295" s="16"/>
      <c r="T1295" s="23"/>
      <c r="U1295" s="23"/>
      <c r="V1295" s="23">
        <v>0.0</v>
      </c>
      <c r="W1295" s="16"/>
      <c r="X1295" s="23"/>
      <c r="Y1295" s="23"/>
      <c r="Z1295" s="23">
        <v>0.0</v>
      </c>
      <c r="AA1295" s="16"/>
      <c r="AB1295" s="23"/>
      <c r="AC1295" s="23"/>
      <c r="AD1295" s="23">
        <v>0.0</v>
      </c>
      <c r="AE1295" s="16"/>
      <c r="AF1295" s="23"/>
      <c r="AG1295" s="23"/>
      <c r="AH1295" s="23">
        <v>0.0</v>
      </c>
      <c r="AI1295" s="16"/>
      <c r="AJ1295" s="23"/>
      <c r="AK1295" s="23"/>
      <c r="AL1295" s="23">
        <v>0.0</v>
      </c>
      <c r="AM1295" s="16"/>
      <c r="AN1295" s="23"/>
      <c r="AO1295" s="23"/>
      <c r="AP1295" s="23">
        <v>0.0</v>
      </c>
      <c r="AQ1295" s="16"/>
      <c r="AR1295" s="23"/>
      <c r="AS1295" s="23"/>
      <c r="AT1295" s="23">
        <v>0.0</v>
      </c>
      <c r="AU1295" s="16"/>
      <c r="AV1295" s="23"/>
      <c r="AW1295" s="23"/>
      <c r="AX1295" s="23">
        <v>0.0</v>
      </c>
      <c r="AY1295" s="16"/>
      <c r="AZ1295" s="23"/>
      <c r="BA1295" s="23"/>
      <c r="BB1295" s="23"/>
      <c r="BC1295" s="16"/>
      <c r="BD1295" s="23"/>
      <c r="BE1295" s="23"/>
      <c r="BF1295" s="23">
        <v>0.0</v>
      </c>
      <c r="BJ1295" s="23">
        <v>0.0</v>
      </c>
      <c r="BN1295" s="23">
        <v>0.0</v>
      </c>
      <c r="BO1295" s="23">
        <v>3406.88</v>
      </c>
      <c r="BP1295" s="16" t="s">
        <v>8211</v>
      </c>
      <c r="BQ1295" s="16" t="b">
        <v>1</v>
      </c>
      <c r="BR1295" s="23">
        <v>3406.88</v>
      </c>
      <c r="BS1295" s="16"/>
      <c r="BT1295" s="16" t="b">
        <v>0</v>
      </c>
      <c r="BU1295" s="16" t="s">
        <v>546</v>
      </c>
      <c r="BV1295" s="16"/>
      <c r="BW1295" s="16"/>
      <c r="BX1295" s="16"/>
      <c r="BY1295" s="16"/>
    </row>
    <row r="1296">
      <c r="A1296" s="16" t="s">
        <v>7438</v>
      </c>
      <c r="B1296" s="16" t="s">
        <v>35</v>
      </c>
      <c r="C1296" s="22">
        <v>45833.0</v>
      </c>
      <c r="D1296" s="16" t="s">
        <v>890</v>
      </c>
      <c r="E1296" s="16" t="s">
        <v>8214</v>
      </c>
      <c r="F1296" s="16" t="s">
        <v>2894</v>
      </c>
      <c r="G1296" s="16" t="s">
        <v>1510</v>
      </c>
      <c r="H1296" s="16">
        <v>1.0</v>
      </c>
      <c r="I1296" s="23">
        <v>9002.72</v>
      </c>
      <c r="J1296" s="23">
        <v>9002.72</v>
      </c>
      <c r="K1296" s="16"/>
      <c r="L1296" s="23"/>
      <c r="M1296" s="23"/>
      <c r="N1296" s="23">
        <v>0.0</v>
      </c>
      <c r="O1296" s="16"/>
      <c r="P1296" s="23"/>
      <c r="Q1296" s="23"/>
      <c r="R1296" s="23">
        <v>0.0</v>
      </c>
      <c r="S1296" s="16"/>
      <c r="T1296" s="23"/>
      <c r="U1296" s="23"/>
      <c r="V1296" s="23">
        <v>0.0</v>
      </c>
      <c r="W1296" s="16"/>
      <c r="X1296" s="23"/>
      <c r="Y1296" s="23"/>
      <c r="Z1296" s="23">
        <v>0.0</v>
      </c>
      <c r="AA1296" s="16"/>
      <c r="AB1296" s="23"/>
      <c r="AC1296" s="23"/>
      <c r="AD1296" s="23">
        <v>0.0</v>
      </c>
      <c r="AE1296" s="16"/>
      <c r="AF1296" s="23"/>
      <c r="AG1296" s="23"/>
      <c r="AH1296" s="23">
        <v>0.0</v>
      </c>
      <c r="AI1296" s="16"/>
      <c r="AJ1296" s="23"/>
      <c r="AK1296" s="23"/>
      <c r="AL1296" s="23">
        <v>0.0</v>
      </c>
      <c r="AM1296" s="16"/>
      <c r="AN1296" s="23"/>
      <c r="AO1296" s="23"/>
      <c r="AP1296" s="23">
        <v>0.0</v>
      </c>
      <c r="AQ1296" s="16"/>
      <c r="AR1296" s="23"/>
      <c r="AS1296" s="23"/>
      <c r="AT1296" s="23">
        <v>0.0</v>
      </c>
      <c r="AU1296" s="16"/>
      <c r="AV1296" s="23"/>
      <c r="AW1296" s="23"/>
      <c r="AX1296" s="23">
        <v>0.0</v>
      </c>
      <c r="AY1296" s="16"/>
      <c r="AZ1296" s="23"/>
      <c r="BA1296" s="23"/>
      <c r="BB1296" s="23"/>
      <c r="BC1296" s="16"/>
      <c r="BD1296" s="23"/>
      <c r="BE1296" s="23"/>
      <c r="BF1296" s="23">
        <v>0.0</v>
      </c>
      <c r="BJ1296" s="23">
        <v>0.0</v>
      </c>
      <c r="BN1296" s="23">
        <v>0.0</v>
      </c>
      <c r="BO1296" s="23">
        <v>9002.72</v>
      </c>
      <c r="BP1296" s="16" t="s">
        <v>8215</v>
      </c>
      <c r="BQ1296" s="16" t="b">
        <v>1</v>
      </c>
      <c r="BR1296" s="23">
        <v>9002.72</v>
      </c>
      <c r="BS1296" s="16"/>
      <c r="BT1296" s="16" t="b">
        <v>0</v>
      </c>
      <c r="BU1296" s="16" t="s">
        <v>546</v>
      </c>
      <c r="BV1296" s="16"/>
      <c r="BW1296" s="16" t="s">
        <v>8218</v>
      </c>
      <c r="BX1296" s="16" t="s">
        <v>8220</v>
      </c>
      <c r="BY1296" s="16"/>
    </row>
    <row r="1297">
      <c r="A1297" s="16" t="s">
        <v>7442</v>
      </c>
      <c r="B1297" s="16" t="s">
        <v>35</v>
      </c>
      <c r="C1297" s="22">
        <v>45834.0</v>
      </c>
      <c r="D1297" s="16" t="s">
        <v>2096</v>
      </c>
      <c r="E1297" s="16" t="s">
        <v>8222</v>
      </c>
      <c r="F1297" s="16" t="s">
        <v>8226</v>
      </c>
      <c r="G1297" s="16" t="s">
        <v>1536</v>
      </c>
      <c r="H1297" s="16">
        <v>1.0</v>
      </c>
      <c r="I1297" s="23">
        <v>425.0</v>
      </c>
      <c r="J1297" s="23">
        <v>425.0</v>
      </c>
      <c r="K1297" s="16"/>
      <c r="L1297" s="23"/>
      <c r="M1297" s="23"/>
      <c r="N1297" s="23">
        <v>0.0</v>
      </c>
      <c r="O1297" s="16"/>
      <c r="P1297" s="23"/>
      <c r="Q1297" s="23"/>
      <c r="R1297" s="23">
        <v>0.0</v>
      </c>
      <c r="S1297" s="16"/>
      <c r="T1297" s="23"/>
      <c r="U1297" s="23"/>
      <c r="V1297" s="23">
        <v>0.0</v>
      </c>
      <c r="W1297" s="16"/>
      <c r="X1297" s="23"/>
      <c r="Y1297" s="23"/>
      <c r="Z1297" s="23">
        <v>0.0</v>
      </c>
      <c r="AA1297" s="16"/>
      <c r="AB1297" s="23"/>
      <c r="AC1297" s="23"/>
      <c r="AD1297" s="23">
        <v>0.0</v>
      </c>
      <c r="AE1297" s="16"/>
      <c r="AF1297" s="23"/>
      <c r="AG1297" s="23"/>
      <c r="AH1297" s="23">
        <v>0.0</v>
      </c>
      <c r="AI1297" s="16"/>
      <c r="AJ1297" s="23"/>
      <c r="AK1297" s="23"/>
      <c r="AL1297" s="23">
        <v>0.0</v>
      </c>
      <c r="AM1297" s="16"/>
      <c r="AN1297" s="23"/>
      <c r="AO1297" s="23"/>
      <c r="AP1297" s="23">
        <v>0.0</v>
      </c>
      <c r="AQ1297" s="16"/>
      <c r="AR1297" s="23"/>
      <c r="AS1297" s="23"/>
      <c r="AT1297" s="23">
        <v>0.0</v>
      </c>
      <c r="AU1297" s="16"/>
      <c r="AV1297" s="23"/>
      <c r="AW1297" s="23"/>
      <c r="AX1297" s="23">
        <v>0.0</v>
      </c>
      <c r="AY1297" s="16"/>
      <c r="AZ1297" s="23"/>
      <c r="BA1297" s="23"/>
      <c r="BB1297" s="23"/>
      <c r="BC1297" s="16"/>
      <c r="BD1297" s="23"/>
      <c r="BE1297" s="23"/>
      <c r="BF1297" s="23">
        <v>0.0</v>
      </c>
      <c r="BJ1297" s="23">
        <v>0.0</v>
      </c>
      <c r="BN1297" s="23">
        <v>0.0</v>
      </c>
      <c r="BO1297" s="23">
        <v>425.0</v>
      </c>
      <c r="BP1297" s="16" t="s">
        <v>8225</v>
      </c>
      <c r="BQ1297" s="16" t="b">
        <v>1</v>
      </c>
      <c r="BR1297" s="23">
        <v>425.0</v>
      </c>
      <c r="BS1297" s="16">
        <v>1544596.0</v>
      </c>
      <c r="BT1297" s="16" t="b">
        <v>1</v>
      </c>
      <c r="BU1297" s="16" t="s">
        <v>546</v>
      </c>
      <c r="BV1297" s="16"/>
      <c r="BW1297" s="16" t="s">
        <v>8228</v>
      </c>
      <c r="BX1297" s="16"/>
      <c r="BY1297" s="16"/>
    </row>
    <row r="1298">
      <c r="A1298" s="16" t="s">
        <v>7445</v>
      </c>
      <c r="B1298" s="16" t="s">
        <v>35</v>
      </c>
      <c r="C1298" s="22">
        <v>45838.0</v>
      </c>
      <c r="D1298" s="16" t="s">
        <v>460</v>
      </c>
      <c r="E1298" s="16"/>
      <c r="F1298" s="16" t="s">
        <v>931</v>
      </c>
      <c r="G1298" s="16" t="s">
        <v>1126</v>
      </c>
      <c r="H1298" s="16">
        <v>1.0</v>
      </c>
      <c r="I1298" s="23">
        <v>30.0</v>
      </c>
      <c r="J1298" s="23">
        <v>30.0</v>
      </c>
      <c r="K1298" s="16"/>
      <c r="L1298" s="23"/>
      <c r="M1298" s="23"/>
      <c r="N1298" s="23"/>
      <c r="O1298" s="16"/>
      <c r="P1298" s="23"/>
      <c r="Q1298" s="23"/>
      <c r="R1298" s="23"/>
      <c r="S1298" s="16"/>
      <c r="T1298" s="23"/>
      <c r="U1298" s="23"/>
      <c r="V1298" s="23"/>
      <c r="W1298" s="16"/>
      <c r="X1298" s="23"/>
      <c r="Y1298" s="23"/>
      <c r="Z1298" s="23"/>
      <c r="AA1298" s="16"/>
      <c r="AB1298" s="23"/>
      <c r="AC1298" s="23"/>
      <c r="AD1298" s="23"/>
      <c r="AE1298" s="16"/>
      <c r="AF1298" s="23"/>
      <c r="AG1298" s="23"/>
      <c r="AH1298" s="23"/>
      <c r="AI1298" s="16"/>
      <c r="AJ1298" s="23"/>
      <c r="AK1298" s="23"/>
      <c r="AL1298" s="23"/>
      <c r="AM1298" s="16"/>
      <c r="AN1298" s="23"/>
      <c r="AO1298" s="23"/>
      <c r="AP1298" s="23"/>
      <c r="AQ1298" s="16"/>
      <c r="AR1298" s="23"/>
      <c r="AS1298" s="23"/>
      <c r="AT1298" s="23"/>
      <c r="AU1298" s="16"/>
      <c r="AV1298" s="23"/>
      <c r="AW1298" s="23"/>
      <c r="AX1298" s="23"/>
      <c r="AY1298" s="16"/>
      <c r="AZ1298" s="23"/>
      <c r="BA1298" s="23"/>
      <c r="BB1298" s="23"/>
      <c r="BC1298" s="16"/>
      <c r="BD1298" s="23"/>
      <c r="BE1298" s="23"/>
      <c r="BF1298" s="23"/>
      <c r="BJ1298" s="23"/>
      <c r="BN1298" s="23"/>
      <c r="BO1298" s="23">
        <v>30.0</v>
      </c>
      <c r="BP1298" s="16"/>
      <c r="BQ1298" s="16"/>
      <c r="BR1298" s="23">
        <v>30.0</v>
      </c>
      <c r="BS1298" s="16"/>
      <c r="BT1298" s="16"/>
      <c r="BU1298" s="16" t="s">
        <v>539</v>
      </c>
      <c r="BV1298" s="16"/>
      <c r="BW1298" s="16"/>
      <c r="BX1298" s="16"/>
      <c r="BY1298" s="16"/>
    </row>
    <row r="1299">
      <c r="A1299" s="16" t="s">
        <v>7447</v>
      </c>
      <c r="B1299" s="16" t="s">
        <v>35</v>
      </c>
      <c r="C1299" s="22">
        <v>45838.0</v>
      </c>
      <c r="D1299" s="16" t="s">
        <v>460</v>
      </c>
      <c r="E1299" s="16"/>
      <c r="F1299" s="16" t="s">
        <v>8234</v>
      </c>
      <c r="G1299" s="16" t="s">
        <v>5636</v>
      </c>
      <c r="H1299" s="16">
        <v>1.0</v>
      </c>
      <c r="I1299" s="23">
        <v>200.0</v>
      </c>
      <c r="J1299" s="23">
        <v>200.0</v>
      </c>
      <c r="K1299" s="16"/>
      <c r="L1299" s="23"/>
      <c r="M1299" s="23"/>
      <c r="N1299" s="23"/>
      <c r="O1299" s="16"/>
      <c r="P1299" s="23"/>
      <c r="Q1299" s="23"/>
      <c r="R1299" s="23"/>
      <c r="S1299" s="16"/>
      <c r="T1299" s="23"/>
      <c r="U1299" s="23"/>
      <c r="V1299" s="23"/>
      <c r="W1299" s="16"/>
      <c r="X1299" s="23"/>
      <c r="Y1299" s="23"/>
      <c r="Z1299" s="23"/>
      <c r="AA1299" s="16"/>
      <c r="AB1299" s="23"/>
      <c r="AC1299" s="23"/>
      <c r="AD1299" s="23"/>
      <c r="AE1299" s="16"/>
      <c r="AF1299" s="23"/>
      <c r="AG1299" s="23"/>
      <c r="AH1299" s="23"/>
      <c r="AI1299" s="16"/>
      <c r="AJ1299" s="23"/>
      <c r="AK1299" s="23"/>
      <c r="AL1299" s="23"/>
      <c r="AM1299" s="16"/>
      <c r="AN1299" s="23"/>
      <c r="AO1299" s="23"/>
      <c r="AP1299" s="23"/>
      <c r="AQ1299" s="16"/>
      <c r="AR1299" s="23"/>
      <c r="AS1299" s="23"/>
      <c r="AT1299" s="23"/>
      <c r="AU1299" s="16"/>
      <c r="AV1299" s="23"/>
      <c r="AW1299" s="23"/>
      <c r="AX1299" s="23"/>
      <c r="AY1299" s="16"/>
      <c r="AZ1299" s="23"/>
      <c r="BA1299" s="23"/>
      <c r="BB1299" s="23"/>
      <c r="BC1299" s="16"/>
      <c r="BD1299" s="23"/>
      <c r="BE1299" s="23"/>
      <c r="BF1299" s="23"/>
      <c r="BJ1299" s="23"/>
      <c r="BN1299" s="23"/>
      <c r="BO1299" s="23">
        <v>200.0</v>
      </c>
      <c r="BP1299" s="16"/>
      <c r="BQ1299" s="16"/>
      <c r="BR1299" s="23">
        <v>200.0</v>
      </c>
      <c r="BS1299" s="16"/>
      <c r="BT1299" s="16"/>
      <c r="BU1299" s="16" t="s">
        <v>539</v>
      </c>
      <c r="BV1299" s="16"/>
      <c r="BW1299" s="16"/>
      <c r="BX1299" s="16"/>
      <c r="BY1299" s="16"/>
    </row>
    <row r="1300">
      <c r="A1300" s="16" t="s">
        <v>7450</v>
      </c>
      <c r="B1300" s="16" t="s">
        <v>35</v>
      </c>
      <c r="C1300" s="22">
        <v>45838.0</v>
      </c>
      <c r="D1300" s="16" t="s">
        <v>460</v>
      </c>
      <c r="E1300" s="16"/>
      <c r="F1300" s="16" t="s">
        <v>4972</v>
      </c>
      <c r="G1300" s="16" t="s">
        <v>5640</v>
      </c>
      <c r="H1300" s="16">
        <v>1.0</v>
      </c>
      <c r="I1300" s="23">
        <v>22.0</v>
      </c>
      <c r="J1300" s="23">
        <v>22.0</v>
      </c>
      <c r="K1300" s="16"/>
      <c r="L1300" s="23"/>
      <c r="M1300" s="23"/>
      <c r="N1300" s="23"/>
      <c r="O1300" s="16"/>
      <c r="P1300" s="23"/>
      <c r="Q1300" s="23"/>
      <c r="R1300" s="23"/>
      <c r="S1300" s="16"/>
      <c r="T1300" s="23"/>
      <c r="U1300" s="23"/>
      <c r="V1300" s="23"/>
      <c r="W1300" s="16"/>
      <c r="X1300" s="23"/>
      <c r="Y1300" s="23"/>
      <c r="Z1300" s="23"/>
      <c r="AA1300" s="16"/>
      <c r="AB1300" s="23"/>
      <c r="AC1300" s="23"/>
      <c r="AD1300" s="23"/>
      <c r="AE1300" s="16"/>
      <c r="AF1300" s="23"/>
      <c r="AG1300" s="23"/>
      <c r="AH1300" s="23"/>
      <c r="AI1300" s="16"/>
      <c r="AJ1300" s="23"/>
      <c r="AK1300" s="23"/>
      <c r="AL1300" s="23"/>
      <c r="AM1300" s="16"/>
      <c r="AN1300" s="23"/>
      <c r="AO1300" s="23"/>
      <c r="AP1300" s="23"/>
      <c r="AQ1300" s="16"/>
      <c r="AR1300" s="23"/>
      <c r="AS1300" s="23"/>
      <c r="AT1300" s="23"/>
      <c r="AU1300" s="16"/>
      <c r="AV1300" s="23"/>
      <c r="AW1300" s="23"/>
      <c r="AX1300" s="23"/>
      <c r="AY1300" s="16"/>
      <c r="AZ1300" s="23"/>
      <c r="BA1300" s="23"/>
      <c r="BB1300" s="23"/>
      <c r="BC1300" s="16"/>
      <c r="BD1300" s="23"/>
      <c r="BE1300" s="23"/>
      <c r="BF1300" s="23"/>
      <c r="BJ1300" s="23"/>
      <c r="BN1300" s="23"/>
      <c r="BO1300" s="23">
        <v>22.0</v>
      </c>
      <c r="BP1300" s="16"/>
      <c r="BQ1300" s="16"/>
      <c r="BR1300" s="23">
        <v>22.0</v>
      </c>
      <c r="BS1300" s="16"/>
      <c r="BT1300" s="16"/>
      <c r="BU1300" s="16" t="s">
        <v>539</v>
      </c>
      <c r="BV1300" s="16"/>
      <c r="BW1300" s="16"/>
      <c r="BX1300" s="16"/>
      <c r="BY1300" s="16"/>
    </row>
    <row r="1301">
      <c r="A1301" s="16" t="s">
        <v>7453</v>
      </c>
      <c r="B1301" s="16" t="s">
        <v>35</v>
      </c>
      <c r="C1301" s="22">
        <v>45838.0</v>
      </c>
      <c r="D1301" s="16" t="s">
        <v>460</v>
      </c>
      <c r="E1301" s="16"/>
      <c r="F1301" s="16" t="s">
        <v>4979</v>
      </c>
      <c r="G1301" s="16" t="s">
        <v>5973</v>
      </c>
      <c r="H1301" s="16">
        <v>1.0</v>
      </c>
      <c r="I1301" s="23">
        <v>10.0</v>
      </c>
      <c r="J1301" s="23">
        <v>10.0</v>
      </c>
      <c r="K1301" s="16"/>
      <c r="L1301" s="23"/>
      <c r="M1301" s="23"/>
      <c r="N1301" s="23"/>
      <c r="O1301" s="16"/>
      <c r="P1301" s="23"/>
      <c r="Q1301" s="23"/>
      <c r="R1301" s="23"/>
      <c r="S1301" s="16"/>
      <c r="T1301" s="23"/>
      <c r="U1301" s="23"/>
      <c r="V1301" s="23"/>
      <c r="W1301" s="16"/>
      <c r="X1301" s="23"/>
      <c r="Y1301" s="23"/>
      <c r="Z1301" s="23"/>
      <c r="AA1301" s="16"/>
      <c r="AB1301" s="23"/>
      <c r="AC1301" s="23"/>
      <c r="AD1301" s="23"/>
      <c r="AE1301" s="16"/>
      <c r="AF1301" s="23"/>
      <c r="AG1301" s="23"/>
      <c r="AH1301" s="23"/>
      <c r="AI1301" s="16"/>
      <c r="AJ1301" s="23"/>
      <c r="AK1301" s="23"/>
      <c r="AL1301" s="23"/>
      <c r="AM1301" s="16"/>
      <c r="AN1301" s="23"/>
      <c r="AO1301" s="23"/>
      <c r="AP1301" s="23"/>
      <c r="AQ1301" s="16"/>
      <c r="AR1301" s="23"/>
      <c r="AS1301" s="23"/>
      <c r="AT1301" s="23"/>
      <c r="AU1301" s="16"/>
      <c r="AV1301" s="23"/>
      <c r="AW1301" s="23"/>
      <c r="AX1301" s="23"/>
      <c r="AY1301" s="16"/>
      <c r="AZ1301" s="23"/>
      <c r="BA1301" s="23"/>
      <c r="BB1301" s="23"/>
      <c r="BC1301" s="16"/>
      <c r="BD1301" s="23"/>
      <c r="BE1301" s="23"/>
      <c r="BF1301" s="23"/>
      <c r="BJ1301" s="23"/>
      <c r="BN1301" s="23"/>
      <c r="BO1301" s="23">
        <v>10.0</v>
      </c>
      <c r="BP1301" s="16"/>
      <c r="BQ1301" s="16"/>
      <c r="BR1301" s="23">
        <v>10.0</v>
      </c>
      <c r="BS1301" s="16"/>
      <c r="BT1301" s="16"/>
      <c r="BU1301" s="16" t="s">
        <v>539</v>
      </c>
      <c r="BV1301" s="16"/>
      <c r="BW1301" s="16"/>
      <c r="BX1301" s="16"/>
      <c r="BY1301" s="16"/>
    </row>
    <row r="1302">
      <c r="A1302" s="16" t="s">
        <v>7456</v>
      </c>
      <c r="B1302" s="16" t="s">
        <v>35</v>
      </c>
      <c r="C1302" s="22">
        <v>45839.0</v>
      </c>
      <c r="D1302" s="16"/>
      <c r="E1302" s="16"/>
      <c r="F1302" s="16" t="s">
        <v>1329</v>
      </c>
      <c r="G1302" s="16" t="s">
        <v>1168</v>
      </c>
      <c r="H1302" s="16">
        <v>1.0</v>
      </c>
      <c r="I1302" s="23">
        <v>500.0</v>
      </c>
      <c r="J1302" s="23">
        <v>500.0</v>
      </c>
      <c r="K1302" s="16"/>
      <c r="L1302" s="23"/>
      <c r="M1302" s="23"/>
      <c r="N1302" s="23"/>
      <c r="O1302" s="16"/>
      <c r="P1302" s="23"/>
      <c r="Q1302" s="23"/>
      <c r="R1302" s="23"/>
      <c r="S1302" s="16"/>
      <c r="T1302" s="23"/>
      <c r="U1302" s="23"/>
      <c r="V1302" s="23"/>
      <c r="W1302" s="16"/>
      <c r="X1302" s="23"/>
      <c r="Y1302" s="23"/>
      <c r="Z1302" s="23"/>
      <c r="AA1302" s="16"/>
      <c r="AB1302" s="23"/>
      <c r="AC1302" s="23"/>
      <c r="AD1302" s="23"/>
      <c r="AE1302" s="16"/>
      <c r="AF1302" s="23"/>
      <c r="AG1302" s="23"/>
      <c r="AH1302" s="23"/>
      <c r="AI1302" s="16"/>
      <c r="AJ1302" s="23"/>
      <c r="AK1302" s="23"/>
      <c r="AL1302" s="23"/>
      <c r="AM1302" s="16"/>
      <c r="AN1302" s="23"/>
      <c r="AO1302" s="23"/>
      <c r="AP1302" s="23"/>
      <c r="AQ1302" s="16"/>
      <c r="AR1302" s="23"/>
      <c r="AS1302" s="23"/>
      <c r="AT1302" s="23"/>
      <c r="AU1302" s="16"/>
      <c r="AV1302" s="23"/>
      <c r="AW1302" s="23"/>
      <c r="AX1302" s="23"/>
      <c r="AY1302" s="16"/>
      <c r="AZ1302" s="23"/>
      <c r="BA1302" s="23"/>
      <c r="BB1302" s="23"/>
      <c r="BC1302" s="16"/>
      <c r="BD1302" s="23"/>
      <c r="BE1302" s="23"/>
      <c r="BF1302" s="23"/>
      <c r="BJ1302" s="23"/>
      <c r="BN1302" s="23"/>
      <c r="BO1302" s="23">
        <v>500.0</v>
      </c>
      <c r="BP1302" s="16"/>
      <c r="BQ1302" s="16"/>
      <c r="BR1302" s="23">
        <v>500.0</v>
      </c>
      <c r="BS1302" s="16"/>
      <c r="BT1302" s="16"/>
      <c r="BU1302" s="16" t="s">
        <v>539</v>
      </c>
      <c r="BV1302" s="16" t="s">
        <v>3795</v>
      </c>
      <c r="BW1302" s="16"/>
      <c r="BX1302" s="16"/>
      <c r="BY1302" s="16"/>
    </row>
    <row r="1303">
      <c r="A1303" s="16" t="s">
        <v>7458</v>
      </c>
      <c r="B1303" s="16" t="s">
        <v>35</v>
      </c>
      <c r="C1303" s="22">
        <v>45839.0</v>
      </c>
      <c r="D1303" s="16" t="s">
        <v>890</v>
      </c>
      <c r="E1303" s="16"/>
      <c r="F1303" s="16" t="s">
        <v>8251</v>
      </c>
      <c r="G1303" s="16" t="s">
        <v>3833</v>
      </c>
      <c r="H1303" s="16">
        <v>1.0</v>
      </c>
      <c r="I1303" s="23">
        <v>16.0</v>
      </c>
      <c r="J1303" s="23">
        <v>16.0</v>
      </c>
      <c r="K1303" s="16"/>
      <c r="L1303" s="23"/>
      <c r="M1303" s="23"/>
      <c r="N1303" s="23"/>
      <c r="O1303" s="16"/>
      <c r="P1303" s="23"/>
      <c r="Q1303" s="23"/>
      <c r="R1303" s="23"/>
      <c r="S1303" s="16"/>
      <c r="T1303" s="23"/>
      <c r="U1303" s="23"/>
      <c r="V1303" s="23"/>
      <c r="W1303" s="16"/>
      <c r="X1303" s="23"/>
      <c r="Y1303" s="23"/>
      <c r="Z1303" s="23"/>
      <c r="AA1303" s="16"/>
      <c r="AB1303" s="23"/>
      <c r="AC1303" s="23"/>
      <c r="AD1303" s="23"/>
      <c r="AE1303" s="16"/>
      <c r="AF1303" s="23"/>
      <c r="AG1303" s="23"/>
      <c r="AH1303" s="23"/>
      <c r="AI1303" s="16"/>
      <c r="AJ1303" s="23"/>
      <c r="AK1303" s="23"/>
      <c r="AL1303" s="23"/>
      <c r="AM1303" s="16"/>
      <c r="AN1303" s="23"/>
      <c r="AO1303" s="23"/>
      <c r="AP1303" s="23"/>
      <c r="AQ1303" s="16"/>
      <c r="AR1303" s="23"/>
      <c r="AS1303" s="23"/>
      <c r="AT1303" s="23"/>
      <c r="AU1303" s="16"/>
      <c r="AV1303" s="23"/>
      <c r="AW1303" s="23"/>
      <c r="AX1303" s="23"/>
      <c r="AY1303" s="16"/>
      <c r="AZ1303" s="23"/>
      <c r="BA1303" s="23"/>
      <c r="BB1303" s="23"/>
      <c r="BC1303" s="16"/>
      <c r="BD1303" s="23"/>
      <c r="BE1303" s="23"/>
      <c r="BF1303" s="23"/>
      <c r="BJ1303" s="23"/>
      <c r="BN1303" s="23"/>
      <c r="BO1303" s="23">
        <v>16.0</v>
      </c>
      <c r="BP1303" s="16"/>
      <c r="BQ1303" s="16"/>
      <c r="BR1303" s="23">
        <v>16.0</v>
      </c>
      <c r="BS1303" s="16"/>
      <c r="BT1303" s="16"/>
      <c r="BU1303" s="16" t="s">
        <v>539</v>
      </c>
      <c r="BV1303" s="16"/>
      <c r="BW1303" s="16"/>
      <c r="BX1303" s="16"/>
      <c r="BY1303" s="16"/>
    </row>
    <row r="1304">
      <c r="A1304" s="16" t="s">
        <v>7460</v>
      </c>
      <c r="B1304" s="16" t="s">
        <v>35</v>
      </c>
      <c r="C1304" s="22">
        <v>45839.0</v>
      </c>
      <c r="D1304" s="16" t="s">
        <v>890</v>
      </c>
      <c r="E1304" s="16"/>
      <c r="F1304" s="16" t="s">
        <v>8251</v>
      </c>
      <c r="G1304" s="16" t="s">
        <v>3833</v>
      </c>
      <c r="H1304" s="16">
        <v>1.0</v>
      </c>
      <c r="I1304" s="23">
        <v>73.8</v>
      </c>
      <c r="J1304" s="23">
        <v>73.8</v>
      </c>
      <c r="K1304" s="16"/>
      <c r="L1304" s="23"/>
      <c r="M1304" s="23"/>
      <c r="N1304" s="23"/>
      <c r="O1304" s="16"/>
      <c r="P1304" s="23"/>
      <c r="Q1304" s="23"/>
      <c r="R1304" s="23"/>
      <c r="S1304" s="16"/>
      <c r="T1304" s="23"/>
      <c r="U1304" s="23"/>
      <c r="V1304" s="23"/>
      <c r="W1304" s="16"/>
      <c r="X1304" s="23"/>
      <c r="Y1304" s="23"/>
      <c r="Z1304" s="23"/>
      <c r="AA1304" s="16"/>
      <c r="AB1304" s="23"/>
      <c r="AC1304" s="23"/>
      <c r="AD1304" s="23"/>
      <c r="AE1304" s="16"/>
      <c r="AF1304" s="23"/>
      <c r="AG1304" s="23"/>
      <c r="AH1304" s="23"/>
      <c r="AI1304" s="16"/>
      <c r="AJ1304" s="23"/>
      <c r="AK1304" s="23"/>
      <c r="AL1304" s="23"/>
      <c r="AM1304" s="16"/>
      <c r="AN1304" s="23"/>
      <c r="AO1304" s="23"/>
      <c r="AP1304" s="23"/>
      <c r="AQ1304" s="16"/>
      <c r="AR1304" s="23"/>
      <c r="AS1304" s="23"/>
      <c r="AT1304" s="23"/>
      <c r="AU1304" s="16"/>
      <c r="AV1304" s="23"/>
      <c r="AW1304" s="23"/>
      <c r="AX1304" s="23"/>
      <c r="AY1304" s="16"/>
      <c r="AZ1304" s="23"/>
      <c r="BA1304" s="23"/>
      <c r="BB1304" s="23"/>
      <c r="BC1304" s="16"/>
      <c r="BD1304" s="23"/>
      <c r="BE1304" s="23"/>
      <c r="BF1304" s="23"/>
      <c r="BJ1304" s="23"/>
      <c r="BN1304" s="23"/>
      <c r="BO1304" s="23">
        <v>73.8</v>
      </c>
      <c r="BP1304" s="16"/>
      <c r="BQ1304" s="16"/>
      <c r="BR1304" s="23">
        <v>73.8</v>
      </c>
      <c r="BS1304" s="16"/>
      <c r="BT1304" s="16"/>
      <c r="BU1304" s="16" t="s">
        <v>539</v>
      </c>
      <c r="BV1304" s="16"/>
      <c r="BW1304" s="16"/>
      <c r="BX1304" s="16"/>
      <c r="BY1304" s="16"/>
    </row>
    <row r="1305">
      <c r="A1305" s="16" t="s">
        <v>7464</v>
      </c>
      <c r="B1305" s="16" t="s">
        <v>35</v>
      </c>
      <c r="C1305" s="22">
        <v>45835.0</v>
      </c>
      <c r="D1305" s="16" t="s">
        <v>112</v>
      </c>
      <c r="E1305" s="16" t="s">
        <v>8258</v>
      </c>
      <c r="F1305" s="16" t="s">
        <v>157</v>
      </c>
      <c r="G1305" s="16" t="s">
        <v>159</v>
      </c>
      <c r="H1305" s="16">
        <v>1.0</v>
      </c>
      <c r="I1305" s="23">
        <v>140.0</v>
      </c>
      <c r="J1305" s="23">
        <v>140.0</v>
      </c>
      <c r="K1305" s="16" t="s">
        <v>155</v>
      </c>
      <c r="L1305" s="23">
        <v>1.0</v>
      </c>
      <c r="M1305" s="23">
        <v>33.1</v>
      </c>
      <c r="N1305" s="23">
        <v>33.1</v>
      </c>
      <c r="O1305" s="16" t="s">
        <v>152</v>
      </c>
      <c r="P1305" s="23">
        <v>1.0</v>
      </c>
      <c r="Q1305" s="23">
        <v>9.86</v>
      </c>
      <c r="R1305" s="23">
        <v>9.86</v>
      </c>
      <c r="S1305" s="16" t="s">
        <v>226</v>
      </c>
      <c r="T1305" s="23">
        <v>1.0</v>
      </c>
      <c r="U1305" s="23">
        <v>36.0</v>
      </c>
      <c r="V1305" s="23">
        <v>36.0</v>
      </c>
      <c r="W1305" s="16"/>
      <c r="X1305" s="23"/>
      <c r="Y1305" s="23"/>
      <c r="Z1305" s="23">
        <v>0.0</v>
      </c>
      <c r="AA1305" s="16"/>
      <c r="AB1305" s="23"/>
      <c r="AC1305" s="23"/>
      <c r="AD1305" s="23">
        <v>0.0</v>
      </c>
      <c r="AE1305" s="16"/>
      <c r="AF1305" s="23"/>
      <c r="AG1305" s="23"/>
      <c r="AH1305" s="23">
        <v>0.0</v>
      </c>
      <c r="AI1305" s="16"/>
      <c r="AJ1305" s="23"/>
      <c r="AK1305" s="23"/>
      <c r="AL1305" s="23">
        <v>0.0</v>
      </c>
      <c r="AM1305" s="16"/>
      <c r="AN1305" s="23"/>
      <c r="AO1305" s="23"/>
      <c r="AP1305" s="23">
        <v>0.0</v>
      </c>
      <c r="AQ1305" s="16"/>
      <c r="AR1305" s="23"/>
      <c r="AS1305" s="23"/>
      <c r="AT1305" s="23">
        <v>0.0</v>
      </c>
      <c r="AU1305" s="16"/>
      <c r="AV1305" s="23"/>
      <c r="AW1305" s="23"/>
      <c r="AX1305" s="23">
        <v>0.0</v>
      </c>
      <c r="AY1305" s="16"/>
      <c r="AZ1305" s="23"/>
      <c r="BA1305" s="23"/>
      <c r="BB1305" s="23"/>
      <c r="BC1305" s="16"/>
      <c r="BD1305" s="23"/>
      <c r="BE1305" s="23"/>
      <c r="BF1305" s="23">
        <v>0.0</v>
      </c>
      <c r="BJ1305" s="23">
        <v>0.0</v>
      </c>
      <c r="BN1305" s="23">
        <v>0.0</v>
      </c>
      <c r="BO1305" s="23">
        <v>218.96</v>
      </c>
      <c r="BP1305" s="16" t="s">
        <v>8259</v>
      </c>
      <c r="BQ1305" s="16" t="b">
        <v>1</v>
      </c>
      <c r="BR1305" s="23">
        <v>218.96</v>
      </c>
      <c r="BS1305" s="16"/>
      <c r="BT1305" s="16" t="b">
        <v>0</v>
      </c>
      <c r="BU1305" s="16" t="s">
        <v>546</v>
      </c>
      <c r="BV1305" s="16"/>
      <c r="BW1305" s="16"/>
      <c r="BX1305" s="16"/>
      <c r="BY1305" s="16"/>
    </row>
    <row r="1306">
      <c r="A1306" s="16" t="s">
        <v>7470</v>
      </c>
      <c r="B1306" s="16" t="s">
        <v>35</v>
      </c>
      <c r="C1306" s="22">
        <v>45835.0</v>
      </c>
      <c r="D1306" s="16" t="s">
        <v>233</v>
      </c>
      <c r="E1306" s="16" t="s">
        <v>8264</v>
      </c>
      <c r="F1306" s="16" t="s">
        <v>4248</v>
      </c>
      <c r="G1306" s="16" t="s">
        <v>305</v>
      </c>
      <c r="H1306" s="16">
        <v>1.0</v>
      </c>
      <c r="I1306" s="23">
        <v>123.62</v>
      </c>
      <c r="J1306" s="23">
        <v>123.62</v>
      </c>
      <c r="K1306" s="16"/>
      <c r="L1306" s="23"/>
      <c r="M1306" s="23"/>
      <c r="N1306" s="23">
        <v>0.0</v>
      </c>
      <c r="O1306" s="16"/>
      <c r="P1306" s="23"/>
      <c r="Q1306" s="23"/>
      <c r="R1306" s="23">
        <v>0.0</v>
      </c>
      <c r="S1306" s="16"/>
      <c r="T1306" s="23"/>
      <c r="U1306" s="23"/>
      <c r="V1306" s="23">
        <v>0.0</v>
      </c>
      <c r="W1306" s="16"/>
      <c r="X1306" s="23"/>
      <c r="Y1306" s="23"/>
      <c r="Z1306" s="23">
        <v>0.0</v>
      </c>
      <c r="AA1306" s="16"/>
      <c r="AB1306" s="23"/>
      <c r="AC1306" s="23"/>
      <c r="AD1306" s="23">
        <v>0.0</v>
      </c>
      <c r="AE1306" s="16"/>
      <c r="AF1306" s="23"/>
      <c r="AG1306" s="23"/>
      <c r="AH1306" s="23">
        <v>0.0</v>
      </c>
      <c r="AI1306" s="16"/>
      <c r="AJ1306" s="23"/>
      <c r="AK1306" s="23"/>
      <c r="AL1306" s="23">
        <v>0.0</v>
      </c>
      <c r="AM1306" s="16"/>
      <c r="AN1306" s="23"/>
      <c r="AO1306" s="23"/>
      <c r="AP1306" s="23">
        <v>0.0</v>
      </c>
      <c r="AQ1306" s="16"/>
      <c r="AR1306" s="23"/>
      <c r="AS1306" s="23"/>
      <c r="AT1306" s="23">
        <v>0.0</v>
      </c>
      <c r="AU1306" s="16"/>
      <c r="AV1306" s="23"/>
      <c r="AW1306" s="23"/>
      <c r="AX1306" s="23">
        <v>0.0</v>
      </c>
      <c r="AY1306" s="16"/>
      <c r="AZ1306" s="23"/>
      <c r="BA1306" s="23"/>
      <c r="BB1306" s="23"/>
      <c r="BC1306" s="16"/>
      <c r="BD1306" s="23"/>
      <c r="BE1306" s="23"/>
      <c r="BF1306" s="23">
        <v>0.0</v>
      </c>
      <c r="BJ1306" s="23">
        <v>0.0</v>
      </c>
      <c r="BN1306" s="23">
        <v>0.0</v>
      </c>
      <c r="BO1306" s="23">
        <v>123.62</v>
      </c>
      <c r="BP1306" s="16" t="s">
        <v>8266</v>
      </c>
      <c r="BQ1306" s="16" t="b">
        <v>1</v>
      </c>
      <c r="BR1306" s="23">
        <v>123.62</v>
      </c>
      <c r="BS1306" s="16">
        <v>1545738.0</v>
      </c>
      <c r="BT1306" s="16" t="b">
        <v>1</v>
      </c>
      <c r="BU1306" s="16" t="s">
        <v>546</v>
      </c>
      <c r="BV1306" s="16"/>
      <c r="BW1306" s="16"/>
      <c r="BX1306" s="16"/>
      <c r="BY1306" s="16"/>
    </row>
    <row r="1307">
      <c r="A1307" s="16" t="s">
        <v>7472</v>
      </c>
      <c r="B1307" s="16" t="s">
        <v>35</v>
      </c>
      <c r="C1307" s="22">
        <v>45839.0</v>
      </c>
      <c r="D1307" s="16">
        <v>8.627274E7</v>
      </c>
      <c r="E1307" s="16" t="s">
        <v>8272</v>
      </c>
      <c r="F1307" s="16" t="s">
        <v>8275</v>
      </c>
      <c r="G1307" s="16" t="s">
        <v>7473</v>
      </c>
      <c r="H1307" s="16">
        <v>1.0</v>
      </c>
      <c r="I1307" s="23">
        <v>51.98</v>
      </c>
      <c r="J1307" s="23">
        <v>51.98</v>
      </c>
      <c r="K1307" s="16"/>
      <c r="L1307" s="23"/>
      <c r="M1307" s="23"/>
      <c r="N1307" s="23">
        <v>0.0</v>
      </c>
      <c r="O1307" s="16"/>
      <c r="P1307" s="23"/>
      <c r="Q1307" s="23"/>
      <c r="R1307" s="23">
        <v>0.0</v>
      </c>
      <c r="S1307" s="16"/>
      <c r="T1307" s="23"/>
      <c r="U1307" s="23"/>
      <c r="V1307" s="23">
        <v>0.0</v>
      </c>
      <c r="W1307" s="16"/>
      <c r="X1307" s="23"/>
      <c r="Y1307" s="23"/>
      <c r="Z1307" s="23">
        <v>0.0</v>
      </c>
      <c r="AA1307" s="16"/>
      <c r="AB1307" s="23"/>
      <c r="AC1307" s="23"/>
      <c r="AD1307" s="23">
        <v>0.0</v>
      </c>
      <c r="AE1307" s="16"/>
      <c r="AF1307" s="23"/>
      <c r="AG1307" s="23"/>
      <c r="AH1307" s="23">
        <v>0.0</v>
      </c>
      <c r="AI1307" s="16"/>
      <c r="AJ1307" s="23"/>
      <c r="AK1307" s="23"/>
      <c r="AL1307" s="23">
        <v>0.0</v>
      </c>
      <c r="AM1307" s="16"/>
      <c r="AN1307" s="23"/>
      <c r="AO1307" s="23"/>
      <c r="AP1307" s="23">
        <v>0.0</v>
      </c>
      <c r="AQ1307" s="16"/>
      <c r="AR1307" s="23"/>
      <c r="AS1307" s="23"/>
      <c r="AT1307" s="23">
        <v>0.0</v>
      </c>
      <c r="AU1307" s="16"/>
      <c r="AV1307" s="23"/>
      <c r="AW1307" s="23"/>
      <c r="AX1307" s="23">
        <v>0.0</v>
      </c>
      <c r="AY1307" s="16"/>
      <c r="AZ1307" s="23"/>
      <c r="BA1307" s="23"/>
      <c r="BB1307" s="23"/>
      <c r="BC1307" s="16"/>
      <c r="BD1307" s="23"/>
      <c r="BE1307" s="23"/>
      <c r="BF1307" s="23">
        <v>0.0</v>
      </c>
      <c r="BJ1307" s="23">
        <v>0.0</v>
      </c>
      <c r="BN1307" s="23">
        <v>0.0</v>
      </c>
      <c r="BO1307" s="23">
        <v>51.98</v>
      </c>
      <c r="BP1307" s="16" t="s">
        <v>8274</v>
      </c>
      <c r="BQ1307" s="16" t="b">
        <v>1</v>
      </c>
      <c r="BR1307" s="23">
        <v>51.98</v>
      </c>
      <c r="BS1307" s="16">
        <v>1551939.0</v>
      </c>
      <c r="BT1307" s="16" t="b">
        <v>1</v>
      </c>
      <c r="BU1307" s="16" t="s">
        <v>546</v>
      </c>
      <c r="BV1307" s="16"/>
      <c r="BW1307" s="16"/>
      <c r="BX1307" s="16"/>
      <c r="BY1307" s="16"/>
    </row>
    <row r="1308">
      <c r="A1308" s="16" t="s">
        <v>7476</v>
      </c>
      <c r="B1308" s="16" t="s">
        <v>35</v>
      </c>
      <c r="C1308" s="22">
        <v>45839.0</v>
      </c>
      <c r="D1308" s="16">
        <v>2.6065919E7</v>
      </c>
      <c r="E1308" s="16" t="s">
        <v>8280</v>
      </c>
      <c r="F1308" s="16" t="s">
        <v>5885</v>
      </c>
      <c r="G1308" s="16" t="s">
        <v>1022</v>
      </c>
      <c r="H1308" s="16">
        <v>1.0</v>
      </c>
      <c r="I1308" s="23">
        <v>150.0</v>
      </c>
      <c r="J1308" s="23">
        <v>150.0</v>
      </c>
      <c r="K1308" s="16"/>
      <c r="L1308" s="23"/>
      <c r="M1308" s="23"/>
      <c r="N1308" s="23">
        <v>0.0</v>
      </c>
      <c r="O1308" s="16"/>
      <c r="P1308" s="23"/>
      <c r="Q1308" s="23"/>
      <c r="R1308" s="23">
        <v>0.0</v>
      </c>
      <c r="S1308" s="16"/>
      <c r="T1308" s="23"/>
      <c r="U1308" s="23"/>
      <c r="V1308" s="23">
        <v>0.0</v>
      </c>
      <c r="W1308" s="16"/>
      <c r="X1308" s="23"/>
      <c r="Y1308" s="23"/>
      <c r="Z1308" s="23">
        <v>0.0</v>
      </c>
      <c r="AA1308" s="16"/>
      <c r="AB1308" s="23"/>
      <c r="AC1308" s="23"/>
      <c r="AD1308" s="23">
        <v>0.0</v>
      </c>
      <c r="AE1308" s="16"/>
      <c r="AF1308" s="23"/>
      <c r="AG1308" s="23"/>
      <c r="AH1308" s="23">
        <v>0.0</v>
      </c>
      <c r="AI1308" s="16"/>
      <c r="AJ1308" s="23"/>
      <c r="AK1308" s="23"/>
      <c r="AL1308" s="23">
        <v>0.0</v>
      </c>
      <c r="AM1308" s="16"/>
      <c r="AN1308" s="23"/>
      <c r="AO1308" s="23"/>
      <c r="AP1308" s="23">
        <v>0.0</v>
      </c>
      <c r="AQ1308" s="16"/>
      <c r="AR1308" s="23"/>
      <c r="AS1308" s="23"/>
      <c r="AT1308" s="23">
        <v>0.0</v>
      </c>
      <c r="AU1308" s="16"/>
      <c r="AV1308" s="23"/>
      <c r="AW1308" s="23"/>
      <c r="AX1308" s="23">
        <v>0.0</v>
      </c>
      <c r="AY1308" s="16"/>
      <c r="AZ1308" s="23"/>
      <c r="BA1308" s="23"/>
      <c r="BB1308" s="23"/>
      <c r="BC1308" s="16"/>
      <c r="BD1308" s="23"/>
      <c r="BE1308" s="23"/>
      <c r="BF1308" s="23">
        <v>0.0</v>
      </c>
      <c r="BJ1308" s="23">
        <v>0.0</v>
      </c>
      <c r="BN1308" s="23">
        <v>0.0</v>
      </c>
      <c r="BO1308" s="23">
        <v>150.0</v>
      </c>
      <c r="BP1308" s="16" t="s">
        <v>8282</v>
      </c>
      <c r="BQ1308" s="16" t="b">
        <v>1</v>
      </c>
      <c r="BR1308" s="23">
        <v>150.0</v>
      </c>
      <c r="BS1308" s="16">
        <v>1551937.0</v>
      </c>
      <c r="BT1308" s="16" t="b">
        <v>1</v>
      </c>
      <c r="BU1308" s="16" t="s">
        <v>546</v>
      </c>
      <c r="BV1308" s="16"/>
      <c r="BW1308" s="16"/>
      <c r="BX1308" s="16"/>
      <c r="BY1308" s="16"/>
    </row>
    <row r="1309">
      <c r="A1309" s="16" t="s">
        <v>7478</v>
      </c>
      <c r="B1309" s="16" t="s">
        <v>35</v>
      </c>
      <c r="C1309" s="22">
        <v>45839.0</v>
      </c>
      <c r="D1309" s="16" t="s">
        <v>548</v>
      </c>
      <c r="E1309" s="16" t="s">
        <v>8287</v>
      </c>
      <c r="F1309" s="16" t="s">
        <v>8290</v>
      </c>
      <c r="G1309" s="16" t="s">
        <v>717</v>
      </c>
      <c r="H1309" s="16">
        <v>1.0</v>
      </c>
      <c r="I1309" s="23">
        <v>110.0</v>
      </c>
      <c r="J1309" s="23">
        <v>110.0</v>
      </c>
      <c r="K1309" s="16"/>
      <c r="L1309" s="23"/>
      <c r="M1309" s="23"/>
      <c r="N1309" s="23">
        <v>0.0</v>
      </c>
      <c r="O1309" s="16"/>
      <c r="P1309" s="23"/>
      <c r="Q1309" s="23"/>
      <c r="R1309" s="23">
        <v>0.0</v>
      </c>
      <c r="S1309" s="16"/>
      <c r="T1309" s="23"/>
      <c r="U1309" s="23"/>
      <c r="V1309" s="23">
        <v>0.0</v>
      </c>
      <c r="W1309" s="16"/>
      <c r="X1309" s="23"/>
      <c r="Y1309" s="23"/>
      <c r="Z1309" s="23">
        <v>0.0</v>
      </c>
      <c r="AA1309" s="16"/>
      <c r="AB1309" s="23"/>
      <c r="AC1309" s="23"/>
      <c r="AD1309" s="23">
        <v>0.0</v>
      </c>
      <c r="AE1309" s="16"/>
      <c r="AF1309" s="23"/>
      <c r="AG1309" s="23"/>
      <c r="AH1309" s="23">
        <v>0.0</v>
      </c>
      <c r="AI1309" s="16"/>
      <c r="AJ1309" s="23"/>
      <c r="AK1309" s="23"/>
      <c r="AL1309" s="23">
        <v>0.0</v>
      </c>
      <c r="AM1309" s="16"/>
      <c r="AN1309" s="23"/>
      <c r="AO1309" s="23"/>
      <c r="AP1309" s="23">
        <v>0.0</v>
      </c>
      <c r="AQ1309" s="16"/>
      <c r="AR1309" s="23"/>
      <c r="AS1309" s="23"/>
      <c r="AT1309" s="23">
        <v>0.0</v>
      </c>
      <c r="AU1309" s="16"/>
      <c r="AV1309" s="23"/>
      <c r="AW1309" s="23"/>
      <c r="AX1309" s="23">
        <v>0.0</v>
      </c>
      <c r="AY1309" s="16"/>
      <c r="AZ1309" s="23"/>
      <c r="BA1309" s="23"/>
      <c r="BB1309" s="23"/>
      <c r="BC1309" s="16"/>
      <c r="BD1309" s="23"/>
      <c r="BE1309" s="23"/>
      <c r="BF1309" s="23">
        <v>0.0</v>
      </c>
      <c r="BJ1309" s="23">
        <v>0.0</v>
      </c>
      <c r="BN1309" s="23">
        <v>0.0</v>
      </c>
      <c r="BO1309" s="23">
        <v>110.0</v>
      </c>
      <c r="BP1309" s="16" t="s">
        <v>8288</v>
      </c>
      <c r="BQ1309" s="16" t="b">
        <v>1</v>
      </c>
      <c r="BR1309" s="23">
        <v>110.0</v>
      </c>
      <c r="BS1309" s="16">
        <v>1551954.0</v>
      </c>
      <c r="BT1309" s="16" t="b">
        <v>1</v>
      </c>
      <c r="BU1309" s="16" t="s">
        <v>546</v>
      </c>
      <c r="BV1309" s="16"/>
      <c r="BW1309" s="16"/>
      <c r="BX1309" s="16"/>
      <c r="BY1309" s="16"/>
    </row>
    <row r="1310">
      <c r="A1310" s="16" t="s">
        <v>7480</v>
      </c>
      <c r="B1310" s="16" t="s">
        <v>35</v>
      </c>
      <c r="C1310" s="22">
        <v>45840.0</v>
      </c>
      <c r="D1310" s="16" t="s">
        <v>1036</v>
      </c>
      <c r="E1310" s="16" t="s">
        <v>8296</v>
      </c>
      <c r="F1310" s="16" t="s">
        <v>5755</v>
      </c>
      <c r="G1310" s="16" t="s">
        <v>1668</v>
      </c>
      <c r="H1310" s="16">
        <v>1.0</v>
      </c>
      <c r="I1310" s="23">
        <v>124.16</v>
      </c>
      <c r="J1310" s="23">
        <v>124.16</v>
      </c>
      <c r="K1310" s="16"/>
      <c r="L1310" s="23"/>
      <c r="M1310" s="23"/>
      <c r="N1310" s="23">
        <v>0.0</v>
      </c>
      <c r="O1310" s="16"/>
      <c r="P1310" s="23"/>
      <c r="Q1310" s="23"/>
      <c r="R1310" s="23">
        <v>0.0</v>
      </c>
      <c r="S1310" s="16"/>
      <c r="T1310" s="23"/>
      <c r="U1310" s="23"/>
      <c r="V1310" s="23">
        <v>0.0</v>
      </c>
      <c r="W1310" s="16"/>
      <c r="X1310" s="23"/>
      <c r="Y1310" s="23"/>
      <c r="Z1310" s="23">
        <v>0.0</v>
      </c>
      <c r="AA1310" s="16"/>
      <c r="AB1310" s="23"/>
      <c r="AC1310" s="23"/>
      <c r="AD1310" s="23">
        <v>0.0</v>
      </c>
      <c r="AE1310" s="16"/>
      <c r="AF1310" s="23"/>
      <c r="AG1310" s="23"/>
      <c r="AH1310" s="23">
        <v>0.0</v>
      </c>
      <c r="AI1310" s="16"/>
      <c r="AJ1310" s="23"/>
      <c r="AK1310" s="23"/>
      <c r="AL1310" s="23">
        <v>0.0</v>
      </c>
      <c r="AM1310" s="16"/>
      <c r="AN1310" s="23"/>
      <c r="AO1310" s="23"/>
      <c r="AP1310" s="23">
        <v>0.0</v>
      </c>
      <c r="AQ1310" s="16"/>
      <c r="AR1310" s="23"/>
      <c r="AS1310" s="23"/>
      <c r="AT1310" s="23">
        <v>0.0</v>
      </c>
      <c r="AU1310" s="16"/>
      <c r="AV1310" s="23"/>
      <c r="AW1310" s="23"/>
      <c r="AX1310" s="23">
        <v>0.0</v>
      </c>
      <c r="AY1310" s="16"/>
      <c r="AZ1310" s="23"/>
      <c r="BA1310" s="23"/>
      <c r="BB1310" s="23"/>
      <c r="BC1310" s="16"/>
      <c r="BD1310" s="23"/>
      <c r="BE1310" s="23"/>
      <c r="BF1310" s="23">
        <v>0.0</v>
      </c>
      <c r="BJ1310" s="23">
        <v>0.0</v>
      </c>
      <c r="BN1310" s="23">
        <v>0.0</v>
      </c>
      <c r="BO1310" s="23">
        <v>124.16</v>
      </c>
      <c r="BP1310" s="16" t="s">
        <v>8298</v>
      </c>
      <c r="BQ1310" s="16" t="b">
        <v>1</v>
      </c>
      <c r="BR1310" s="23">
        <v>124.16</v>
      </c>
      <c r="BS1310" s="16"/>
      <c r="BT1310" s="16" t="b">
        <v>0</v>
      </c>
      <c r="BU1310" s="16" t="s">
        <v>546</v>
      </c>
      <c r="BV1310" s="16"/>
      <c r="BW1310" s="16"/>
      <c r="BX1310" s="16"/>
      <c r="BY1310" s="16"/>
    </row>
    <row r="1311">
      <c r="A1311" s="16" t="s">
        <v>7482</v>
      </c>
      <c r="B1311" s="16" t="s">
        <v>35</v>
      </c>
      <c r="C1311" s="22">
        <v>45841.0</v>
      </c>
      <c r="D1311" s="16" t="s">
        <v>112</v>
      </c>
      <c r="E1311" s="16" t="s">
        <v>8303</v>
      </c>
      <c r="F1311" s="16" t="s">
        <v>157</v>
      </c>
      <c r="G1311" s="16" t="s">
        <v>159</v>
      </c>
      <c r="H1311" s="16">
        <v>15.0</v>
      </c>
      <c r="I1311" s="23">
        <v>14.0</v>
      </c>
      <c r="J1311" s="23">
        <v>210.0</v>
      </c>
      <c r="K1311" s="16" t="s">
        <v>155</v>
      </c>
      <c r="L1311" s="23">
        <v>1.0</v>
      </c>
      <c r="M1311" s="23">
        <v>37.92</v>
      </c>
      <c r="N1311" s="23">
        <v>37.92</v>
      </c>
      <c r="O1311" s="16" t="s">
        <v>152</v>
      </c>
      <c r="P1311" s="23">
        <v>1.0</v>
      </c>
      <c r="Q1311" s="23">
        <v>8.7</v>
      </c>
      <c r="R1311" s="23">
        <v>8.7</v>
      </c>
      <c r="S1311" s="16" t="s">
        <v>226</v>
      </c>
      <c r="T1311" s="23">
        <v>1.0</v>
      </c>
      <c r="U1311" s="23">
        <v>54.0</v>
      </c>
      <c r="V1311" s="23">
        <v>54.0</v>
      </c>
      <c r="W1311" s="16"/>
      <c r="X1311" s="23"/>
      <c r="Y1311" s="23"/>
      <c r="Z1311" s="23">
        <v>0.0</v>
      </c>
      <c r="AA1311" s="16"/>
      <c r="AB1311" s="23"/>
      <c r="AC1311" s="23"/>
      <c r="AD1311" s="23">
        <v>0.0</v>
      </c>
      <c r="AE1311" s="16"/>
      <c r="AF1311" s="23"/>
      <c r="AG1311" s="23"/>
      <c r="AH1311" s="23">
        <v>0.0</v>
      </c>
      <c r="AI1311" s="16"/>
      <c r="AJ1311" s="23"/>
      <c r="AK1311" s="23"/>
      <c r="AL1311" s="23">
        <v>0.0</v>
      </c>
      <c r="AM1311" s="16"/>
      <c r="AN1311" s="23"/>
      <c r="AO1311" s="23"/>
      <c r="AP1311" s="23">
        <v>0.0</v>
      </c>
      <c r="AQ1311" s="16"/>
      <c r="AR1311" s="23"/>
      <c r="AS1311" s="23"/>
      <c r="AT1311" s="23">
        <v>0.0</v>
      </c>
      <c r="AU1311" s="16"/>
      <c r="AV1311" s="23"/>
      <c r="AW1311" s="23"/>
      <c r="AX1311" s="23">
        <v>0.0</v>
      </c>
      <c r="AY1311" s="16"/>
      <c r="AZ1311" s="23"/>
      <c r="BA1311" s="23"/>
      <c r="BB1311" s="23"/>
      <c r="BC1311" s="16"/>
      <c r="BD1311" s="23"/>
      <c r="BE1311" s="23"/>
      <c r="BF1311" s="23">
        <v>0.0</v>
      </c>
      <c r="BJ1311" s="23">
        <v>0.0</v>
      </c>
      <c r="BN1311" s="23">
        <v>0.0</v>
      </c>
      <c r="BO1311" s="23">
        <v>310.62</v>
      </c>
      <c r="BP1311" s="16" t="s">
        <v>8305</v>
      </c>
      <c r="BQ1311" s="16" t="b">
        <v>1</v>
      </c>
      <c r="BR1311" s="23">
        <v>310.62</v>
      </c>
      <c r="BS1311" s="16"/>
      <c r="BT1311" s="16" t="b">
        <v>0</v>
      </c>
      <c r="BU1311" s="16" t="s">
        <v>546</v>
      </c>
      <c r="BV1311" s="16"/>
      <c r="BW1311" s="16"/>
      <c r="BX1311" s="16"/>
      <c r="BY1311" s="16"/>
    </row>
    <row r="1312">
      <c r="A1312" s="16" t="s">
        <v>7488</v>
      </c>
      <c r="B1312" s="16" t="s">
        <v>35</v>
      </c>
      <c r="C1312" s="22">
        <v>45842.0</v>
      </c>
      <c r="D1312" s="16" t="s">
        <v>3493</v>
      </c>
      <c r="E1312" s="16" t="s">
        <v>8311</v>
      </c>
      <c r="F1312" s="16" t="s">
        <v>8314</v>
      </c>
      <c r="G1312" s="16" t="s">
        <v>305</v>
      </c>
      <c r="H1312" s="16">
        <v>1.0</v>
      </c>
      <c r="I1312" s="23">
        <v>180.88</v>
      </c>
      <c r="J1312" s="23">
        <v>180.88</v>
      </c>
      <c r="K1312" s="16"/>
      <c r="L1312" s="23"/>
      <c r="M1312" s="23"/>
      <c r="N1312" s="23">
        <v>0.0</v>
      </c>
      <c r="O1312" s="16"/>
      <c r="P1312" s="23"/>
      <c r="Q1312" s="23"/>
      <c r="R1312" s="23">
        <v>0.0</v>
      </c>
      <c r="S1312" s="16"/>
      <c r="T1312" s="23"/>
      <c r="U1312" s="23"/>
      <c r="V1312" s="23">
        <v>0.0</v>
      </c>
      <c r="W1312" s="16"/>
      <c r="X1312" s="23"/>
      <c r="Y1312" s="23"/>
      <c r="Z1312" s="23">
        <v>0.0</v>
      </c>
      <c r="AA1312" s="16"/>
      <c r="AB1312" s="23"/>
      <c r="AC1312" s="23"/>
      <c r="AD1312" s="23">
        <v>0.0</v>
      </c>
      <c r="AE1312" s="16"/>
      <c r="AF1312" s="23"/>
      <c r="AG1312" s="23"/>
      <c r="AH1312" s="23">
        <v>0.0</v>
      </c>
      <c r="AI1312" s="16"/>
      <c r="AJ1312" s="23"/>
      <c r="AK1312" s="23"/>
      <c r="AL1312" s="23">
        <v>0.0</v>
      </c>
      <c r="AM1312" s="16"/>
      <c r="AN1312" s="23"/>
      <c r="AO1312" s="23"/>
      <c r="AP1312" s="23">
        <v>0.0</v>
      </c>
      <c r="AQ1312" s="16"/>
      <c r="AR1312" s="23"/>
      <c r="AS1312" s="23"/>
      <c r="AT1312" s="23">
        <v>0.0</v>
      </c>
      <c r="AU1312" s="16"/>
      <c r="AV1312" s="23"/>
      <c r="AW1312" s="23"/>
      <c r="AX1312" s="23">
        <v>0.0</v>
      </c>
      <c r="AY1312" s="16"/>
      <c r="AZ1312" s="23"/>
      <c r="BA1312" s="23"/>
      <c r="BB1312" s="23"/>
      <c r="BC1312" s="16"/>
      <c r="BD1312" s="23"/>
      <c r="BE1312" s="23"/>
      <c r="BF1312" s="23">
        <v>0.0</v>
      </c>
      <c r="BJ1312" s="23">
        <v>0.0</v>
      </c>
      <c r="BN1312" s="23">
        <v>0.0</v>
      </c>
      <c r="BO1312" s="23">
        <v>180.88</v>
      </c>
      <c r="BP1312" s="16" t="s">
        <v>8312</v>
      </c>
      <c r="BQ1312" s="16" t="b">
        <v>1</v>
      </c>
      <c r="BR1312" s="23">
        <v>180.88</v>
      </c>
      <c r="BS1312" s="16">
        <v>1555067.0</v>
      </c>
      <c r="BT1312" s="16" t="b">
        <v>1</v>
      </c>
      <c r="BU1312" s="16" t="s">
        <v>546</v>
      </c>
      <c r="BV1312" s="16"/>
      <c r="BW1312" s="16"/>
      <c r="BX1312" s="16"/>
      <c r="BY1312" s="16"/>
    </row>
    <row r="1313">
      <c r="A1313" s="16">
        <v>7.2203232E7</v>
      </c>
      <c r="B1313" s="16" t="s">
        <v>35</v>
      </c>
      <c r="C1313" s="22">
        <v>45843.0</v>
      </c>
      <c r="D1313" s="16" t="s">
        <v>8319</v>
      </c>
      <c r="E1313" s="16" t="s">
        <v>8320</v>
      </c>
      <c r="F1313" s="16" t="s">
        <v>171</v>
      </c>
      <c r="G1313" s="16">
        <v>1.2539885E7</v>
      </c>
      <c r="H1313" s="16">
        <v>1.0</v>
      </c>
      <c r="I1313" s="23">
        <v>129.9</v>
      </c>
      <c r="J1313" s="23">
        <v>129.9</v>
      </c>
      <c r="K1313" s="16"/>
      <c r="L1313" s="23"/>
      <c r="M1313" s="23"/>
      <c r="N1313" s="23">
        <v>0.0</v>
      </c>
      <c r="O1313" s="16"/>
      <c r="P1313" s="23"/>
      <c r="Q1313" s="23"/>
      <c r="R1313" s="23">
        <v>0.0</v>
      </c>
      <c r="S1313" s="16"/>
      <c r="T1313" s="23"/>
      <c r="U1313" s="23"/>
      <c r="V1313" s="23">
        <v>0.0</v>
      </c>
      <c r="W1313" s="16"/>
      <c r="X1313" s="23"/>
      <c r="Y1313" s="23"/>
      <c r="Z1313" s="23">
        <v>0.0</v>
      </c>
      <c r="AA1313" s="16"/>
      <c r="AB1313" s="23"/>
      <c r="AC1313" s="23"/>
      <c r="AD1313" s="23">
        <v>0.0</v>
      </c>
      <c r="AE1313" s="16"/>
      <c r="AF1313" s="23"/>
      <c r="AG1313" s="23"/>
      <c r="AH1313" s="23">
        <v>0.0</v>
      </c>
      <c r="AI1313" s="16"/>
      <c r="AJ1313" s="23"/>
      <c r="AK1313" s="23"/>
      <c r="AL1313" s="23">
        <v>0.0</v>
      </c>
      <c r="AM1313" s="16"/>
      <c r="AN1313" s="23"/>
      <c r="AO1313" s="23"/>
      <c r="AP1313" s="23">
        <v>0.0</v>
      </c>
      <c r="AQ1313" s="16"/>
      <c r="AR1313" s="23"/>
      <c r="AS1313" s="23"/>
      <c r="AT1313" s="23">
        <v>0.0</v>
      </c>
      <c r="AU1313" s="16"/>
      <c r="AV1313" s="23"/>
      <c r="AW1313" s="23"/>
      <c r="AX1313" s="23">
        <v>0.0</v>
      </c>
      <c r="AY1313" s="16"/>
      <c r="AZ1313" s="23"/>
      <c r="BA1313" s="23"/>
      <c r="BB1313" s="23"/>
      <c r="BC1313" s="16"/>
      <c r="BD1313" s="23"/>
      <c r="BE1313" s="23"/>
      <c r="BF1313" s="23">
        <v>0.0</v>
      </c>
      <c r="BJ1313" s="23">
        <v>0.0</v>
      </c>
      <c r="BN1313" s="23">
        <v>0.0</v>
      </c>
      <c r="BO1313" s="23">
        <v>129.9</v>
      </c>
      <c r="BP1313" s="16" t="s">
        <v>8321</v>
      </c>
      <c r="BQ1313" s="16" t="b">
        <v>1</v>
      </c>
      <c r="BR1313" s="23">
        <v>129.9</v>
      </c>
      <c r="BS1313" s="16">
        <v>1557237.0</v>
      </c>
      <c r="BT1313" s="16" t="b">
        <v>1</v>
      </c>
      <c r="BU1313" s="16" t="s">
        <v>546</v>
      </c>
      <c r="BV1313" s="16"/>
      <c r="BW1313" s="16"/>
      <c r="BX1313" s="16"/>
      <c r="BY1313" s="16"/>
    </row>
    <row r="1314">
      <c r="A1314" s="16" t="s">
        <v>7491</v>
      </c>
      <c r="B1314" s="16" t="s">
        <v>35</v>
      </c>
      <c r="C1314" s="22">
        <v>45844.0</v>
      </c>
      <c r="D1314" s="16" t="s">
        <v>233</v>
      </c>
      <c r="E1314" s="16" t="s">
        <v>8326</v>
      </c>
      <c r="F1314" s="16" t="s">
        <v>171</v>
      </c>
      <c r="G1314" s="16">
        <v>1.2539885E7</v>
      </c>
      <c r="H1314" s="16">
        <v>1.0</v>
      </c>
      <c r="I1314" s="23">
        <v>159.9</v>
      </c>
      <c r="J1314" s="23">
        <v>159.9</v>
      </c>
      <c r="K1314" s="16"/>
      <c r="L1314" s="23"/>
      <c r="M1314" s="23"/>
      <c r="N1314" s="23">
        <v>0.0</v>
      </c>
      <c r="O1314" s="16"/>
      <c r="P1314" s="23"/>
      <c r="Q1314" s="23"/>
      <c r="R1314" s="23">
        <v>0.0</v>
      </c>
      <c r="S1314" s="16"/>
      <c r="T1314" s="23"/>
      <c r="U1314" s="23"/>
      <c r="V1314" s="23">
        <v>0.0</v>
      </c>
      <c r="W1314" s="16"/>
      <c r="X1314" s="23"/>
      <c r="Y1314" s="23"/>
      <c r="Z1314" s="23">
        <v>0.0</v>
      </c>
      <c r="AA1314" s="16"/>
      <c r="AB1314" s="23"/>
      <c r="AC1314" s="23"/>
      <c r="AD1314" s="23">
        <v>0.0</v>
      </c>
      <c r="AE1314" s="16"/>
      <c r="AF1314" s="23"/>
      <c r="AG1314" s="23"/>
      <c r="AH1314" s="23">
        <v>0.0</v>
      </c>
      <c r="AI1314" s="16"/>
      <c r="AJ1314" s="23"/>
      <c r="AK1314" s="23"/>
      <c r="AL1314" s="23">
        <v>0.0</v>
      </c>
      <c r="AM1314" s="16"/>
      <c r="AN1314" s="23"/>
      <c r="AO1314" s="23"/>
      <c r="AP1314" s="23">
        <v>0.0</v>
      </c>
      <c r="AQ1314" s="16"/>
      <c r="AR1314" s="23"/>
      <c r="AS1314" s="23"/>
      <c r="AT1314" s="23">
        <v>0.0</v>
      </c>
      <c r="AU1314" s="16"/>
      <c r="AV1314" s="23"/>
      <c r="AW1314" s="23"/>
      <c r="AX1314" s="23">
        <v>0.0</v>
      </c>
      <c r="AY1314" s="16"/>
      <c r="AZ1314" s="23"/>
      <c r="BA1314" s="23"/>
      <c r="BB1314" s="23"/>
      <c r="BC1314" s="16"/>
      <c r="BD1314" s="23"/>
      <c r="BE1314" s="23"/>
      <c r="BF1314" s="23">
        <v>0.0</v>
      </c>
      <c r="BJ1314" s="23">
        <v>0.0</v>
      </c>
      <c r="BN1314" s="23">
        <v>0.0</v>
      </c>
      <c r="BO1314" s="23">
        <v>159.9</v>
      </c>
      <c r="BP1314" s="16" t="s">
        <v>8328</v>
      </c>
      <c r="BQ1314" s="16" t="b">
        <v>1</v>
      </c>
      <c r="BR1314" s="23">
        <v>159.9</v>
      </c>
      <c r="BS1314" s="16">
        <v>1558232.0</v>
      </c>
      <c r="BT1314" s="16" t="b">
        <v>1</v>
      </c>
      <c r="BU1314" s="16" t="s">
        <v>546</v>
      </c>
      <c r="BV1314" s="16"/>
      <c r="BW1314" s="16"/>
      <c r="BX1314" s="16"/>
      <c r="BY1314" s="16"/>
    </row>
    <row r="1315">
      <c r="A1315" s="16" t="s">
        <v>7494</v>
      </c>
      <c r="B1315" s="16" t="s">
        <v>35</v>
      </c>
      <c r="C1315" s="22">
        <v>45845.0</v>
      </c>
      <c r="D1315" s="16" t="s">
        <v>890</v>
      </c>
      <c r="E1315" s="16"/>
      <c r="F1315" s="16" t="s">
        <v>8333</v>
      </c>
      <c r="G1315" s="16" t="s">
        <v>3833</v>
      </c>
      <c r="H1315" s="16">
        <v>1.0</v>
      </c>
      <c r="I1315" s="23">
        <v>738.82</v>
      </c>
      <c r="J1315" s="23">
        <v>738.82</v>
      </c>
      <c r="K1315" s="16"/>
      <c r="L1315" s="23"/>
      <c r="M1315" s="23"/>
      <c r="N1315" s="23"/>
      <c r="O1315" s="16"/>
      <c r="P1315" s="23"/>
      <c r="Q1315" s="23"/>
      <c r="R1315" s="23"/>
      <c r="S1315" s="16"/>
      <c r="T1315" s="23"/>
      <c r="U1315" s="23"/>
      <c r="V1315" s="23"/>
      <c r="W1315" s="16"/>
      <c r="X1315" s="23"/>
      <c r="Y1315" s="23"/>
      <c r="Z1315" s="23"/>
      <c r="AA1315" s="16"/>
      <c r="AB1315" s="23"/>
      <c r="AC1315" s="23"/>
      <c r="AD1315" s="23"/>
      <c r="AE1315" s="16"/>
      <c r="AF1315" s="23"/>
      <c r="AG1315" s="23"/>
      <c r="AH1315" s="23"/>
      <c r="AI1315" s="16"/>
      <c r="AJ1315" s="23"/>
      <c r="AK1315" s="23"/>
      <c r="AL1315" s="23"/>
      <c r="AM1315" s="16"/>
      <c r="AN1315" s="23"/>
      <c r="AO1315" s="23"/>
      <c r="AP1315" s="23"/>
      <c r="AQ1315" s="16"/>
      <c r="AR1315" s="23"/>
      <c r="AS1315" s="23"/>
      <c r="AT1315" s="23"/>
      <c r="AU1315" s="16"/>
      <c r="AV1315" s="23"/>
      <c r="AW1315" s="23"/>
      <c r="AX1315" s="23"/>
      <c r="AY1315" s="16"/>
      <c r="AZ1315" s="23"/>
      <c r="BA1315" s="23"/>
      <c r="BB1315" s="23"/>
      <c r="BC1315" s="16"/>
      <c r="BD1315" s="23"/>
      <c r="BE1315" s="23"/>
      <c r="BF1315" s="23"/>
      <c r="BJ1315" s="23"/>
      <c r="BN1315" s="23"/>
      <c r="BO1315" s="23">
        <v>738.82</v>
      </c>
      <c r="BP1315" s="16"/>
      <c r="BQ1315" s="16"/>
      <c r="BR1315" s="23">
        <v>738.82</v>
      </c>
      <c r="BS1315" s="16"/>
      <c r="BT1315" s="16"/>
      <c r="BU1315" s="16" t="s">
        <v>539</v>
      </c>
      <c r="BV1315" s="16"/>
      <c r="BW1315" s="16"/>
      <c r="BX1315" s="16"/>
      <c r="BY1315" s="16"/>
    </row>
    <row r="1316">
      <c r="A1316" s="16" t="s">
        <v>7497</v>
      </c>
      <c r="B1316" s="16" t="s">
        <v>35</v>
      </c>
      <c r="C1316" s="22">
        <v>45845.0</v>
      </c>
      <c r="D1316" s="16" t="s">
        <v>890</v>
      </c>
      <c r="E1316" s="16"/>
      <c r="F1316" s="16" t="s">
        <v>8333</v>
      </c>
      <c r="G1316" s="16" t="s">
        <v>3833</v>
      </c>
      <c r="H1316" s="16">
        <v>1.0</v>
      </c>
      <c r="I1316" s="23">
        <v>1924.84</v>
      </c>
      <c r="J1316" s="23">
        <v>1924.84</v>
      </c>
      <c r="K1316" s="16"/>
      <c r="L1316" s="23"/>
      <c r="M1316" s="23"/>
      <c r="N1316" s="23"/>
      <c r="O1316" s="16"/>
      <c r="P1316" s="23"/>
      <c r="Q1316" s="23"/>
      <c r="R1316" s="23"/>
      <c r="S1316" s="16"/>
      <c r="T1316" s="23"/>
      <c r="U1316" s="23"/>
      <c r="V1316" s="23"/>
      <c r="W1316" s="16"/>
      <c r="X1316" s="23"/>
      <c r="Y1316" s="23"/>
      <c r="Z1316" s="23"/>
      <c r="AA1316" s="16"/>
      <c r="AB1316" s="23"/>
      <c r="AC1316" s="23"/>
      <c r="AD1316" s="23"/>
      <c r="AE1316" s="16"/>
      <c r="AF1316" s="23"/>
      <c r="AG1316" s="23"/>
      <c r="AH1316" s="23"/>
      <c r="AI1316" s="16"/>
      <c r="AJ1316" s="23"/>
      <c r="AK1316" s="23"/>
      <c r="AL1316" s="23"/>
      <c r="AM1316" s="16"/>
      <c r="AN1316" s="23"/>
      <c r="AO1316" s="23"/>
      <c r="AP1316" s="23"/>
      <c r="AQ1316" s="16"/>
      <c r="AR1316" s="23"/>
      <c r="AS1316" s="23"/>
      <c r="AT1316" s="23"/>
      <c r="AU1316" s="16"/>
      <c r="AV1316" s="23"/>
      <c r="AW1316" s="23"/>
      <c r="AX1316" s="23"/>
      <c r="AY1316" s="16"/>
      <c r="AZ1316" s="23"/>
      <c r="BA1316" s="23"/>
      <c r="BB1316" s="23"/>
      <c r="BC1316" s="16"/>
      <c r="BD1316" s="23"/>
      <c r="BE1316" s="23"/>
      <c r="BF1316" s="23"/>
      <c r="BJ1316" s="23"/>
      <c r="BN1316" s="23"/>
      <c r="BO1316" s="23">
        <v>1924.84</v>
      </c>
      <c r="BP1316" s="16"/>
      <c r="BQ1316" s="16"/>
      <c r="BR1316" s="23">
        <v>1924.84</v>
      </c>
      <c r="BS1316" s="16"/>
      <c r="BT1316" s="16"/>
      <c r="BU1316" s="16" t="s">
        <v>539</v>
      </c>
      <c r="BV1316" s="16"/>
      <c r="BW1316" s="16"/>
      <c r="BX1316" s="16"/>
      <c r="BY1316" s="16"/>
    </row>
    <row r="1317">
      <c r="A1317" s="16" t="s">
        <v>7499</v>
      </c>
      <c r="B1317" s="16" t="s">
        <v>35</v>
      </c>
      <c r="C1317" s="22">
        <v>45845.0</v>
      </c>
      <c r="D1317" s="16" t="s">
        <v>1557</v>
      </c>
      <c r="E1317" s="16"/>
      <c r="F1317" s="16" t="s">
        <v>8343</v>
      </c>
      <c r="G1317" s="16" t="s">
        <v>5325</v>
      </c>
      <c r="H1317" s="16">
        <v>1.0</v>
      </c>
      <c r="I1317" s="23">
        <v>110.0</v>
      </c>
      <c r="J1317" s="23">
        <v>110.0</v>
      </c>
      <c r="K1317" s="16"/>
      <c r="L1317" s="23"/>
      <c r="M1317" s="23"/>
      <c r="N1317" s="23"/>
      <c r="O1317" s="16"/>
      <c r="P1317" s="23"/>
      <c r="Q1317" s="23"/>
      <c r="R1317" s="23"/>
      <c r="S1317" s="16"/>
      <c r="T1317" s="23"/>
      <c r="U1317" s="23"/>
      <c r="V1317" s="23"/>
      <c r="W1317" s="16"/>
      <c r="X1317" s="23"/>
      <c r="Y1317" s="23"/>
      <c r="Z1317" s="23"/>
      <c r="AA1317" s="16"/>
      <c r="AB1317" s="23"/>
      <c r="AC1317" s="23"/>
      <c r="AD1317" s="23"/>
      <c r="AE1317" s="16"/>
      <c r="AF1317" s="23"/>
      <c r="AG1317" s="23"/>
      <c r="AH1317" s="23"/>
      <c r="AI1317" s="16"/>
      <c r="AJ1317" s="23"/>
      <c r="AK1317" s="23"/>
      <c r="AL1317" s="23"/>
      <c r="AM1317" s="16"/>
      <c r="AN1317" s="23"/>
      <c r="AO1317" s="23"/>
      <c r="AP1317" s="23"/>
      <c r="AQ1317" s="16"/>
      <c r="AR1317" s="23"/>
      <c r="AS1317" s="23"/>
      <c r="AT1317" s="23"/>
      <c r="AU1317" s="16"/>
      <c r="AV1317" s="23"/>
      <c r="AW1317" s="23"/>
      <c r="AX1317" s="23"/>
      <c r="AY1317" s="16"/>
      <c r="AZ1317" s="23"/>
      <c r="BA1317" s="23"/>
      <c r="BB1317" s="23"/>
      <c r="BC1317" s="16"/>
      <c r="BD1317" s="23"/>
      <c r="BE1317" s="23"/>
      <c r="BF1317" s="23"/>
      <c r="BJ1317" s="23"/>
      <c r="BN1317" s="23"/>
      <c r="BO1317" s="23">
        <v>110.0</v>
      </c>
      <c r="BP1317" s="16"/>
      <c r="BQ1317" s="16"/>
      <c r="BR1317" s="23">
        <v>110.0</v>
      </c>
      <c r="BS1317" s="16"/>
      <c r="BT1317" s="16"/>
      <c r="BU1317" s="16" t="s">
        <v>539</v>
      </c>
      <c r="BV1317" s="16"/>
      <c r="BW1317" s="16"/>
      <c r="BX1317" s="16"/>
      <c r="BY1317" s="16"/>
    </row>
    <row r="1318">
      <c r="A1318" s="16" t="s">
        <v>7501</v>
      </c>
      <c r="B1318" s="16" t="s">
        <v>35</v>
      </c>
      <c r="C1318" s="22">
        <v>45845.0</v>
      </c>
      <c r="D1318" s="16" t="s">
        <v>543</v>
      </c>
      <c r="E1318" s="16" t="s">
        <v>8348</v>
      </c>
      <c r="F1318" s="16" t="s">
        <v>171</v>
      </c>
      <c r="G1318" s="16">
        <v>1.2539885E7</v>
      </c>
      <c r="H1318" s="16">
        <v>1.0</v>
      </c>
      <c r="I1318" s="23">
        <v>122.5</v>
      </c>
      <c r="J1318" s="23">
        <v>122.5</v>
      </c>
      <c r="K1318" s="16"/>
      <c r="L1318" s="23"/>
      <c r="M1318" s="23"/>
      <c r="N1318" s="23">
        <v>0.0</v>
      </c>
      <c r="O1318" s="16"/>
      <c r="P1318" s="23"/>
      <c r="Q1318" s="23"/>
      <c r="R1318" s="23">
        <v>0.0</v>
      </c>
      <c r="S1318" s="16"/>
      <c r="T1318" s="23"/>
      <c r="U1318" s="23"/>
      <c r="V1318" s="23">
        <v>0.0</v>
      </c>
      <c r="W1318" s="16"/>
      <c r="X1318" s="23"/>
      <c r="Y1318" s="23"/>
      <c r="Z1318" s="23">
        <v>0.0</v>
      </c>
      <c r="AA1318" s="16"/>
      <c r="AB1318" s="23"/>
      <c r="AC1318" s="23"/>
      <c r="AD1318" s="23">
        <v>0.0</v>
      </c>
      <c r="AE1318" s="16"/>
      <c r="AF1318" s="23"/>
      <c r="AG1318" s="23"/>
      <c r="AH1318" s="23">
        <v>0.0</v>
      </c>
      <c r="AI1318" s="16"/>
      <c r="AJ1318" s="23"/>
      <c r="AK1318" s="23"/>
      <c r="AL1318" s="23">
        <v>0.0</v>
      </c>
      <c r="AM1318" s="16"/>
      <c r="AN1318" s="23"/>
      <c r="AO1318" s="23"/>
      <c r="AP1318" s="23">
        <v>0.0</v>
      </c>
      <c r="AQ1318" s="16"/>
      <c r="AR1318" s="23"/>
      <c r="AS1318" s="23"/>
      <c r="AT1318" s="23">
        <v>0.0</v>
      </c>
      <c r="AU1318" s="16"/>
      <c r="AV1318" s="23"/>
      <c r="AW1318" s="23"/>
      <c r="AX1318" s="23">
        <v>0.0</v>
      </c>
      <c r="AY1318" s="16"/>
      <c r="AZ1318" s="23"/>
      <c r="BA1318" s="23"/>
      <c r="BB1318" s="23"/>
      <c r="BC1318" s="16"/>
      <c r="BD1318" s="23"/>
      <c r="BE1318" s="23"/>
      <c r="BF1318" s="23">
        <v>0.0</v>
      </c>
      <c r="BJ1318" s="23">
        <v>0.0</v>
      </c>
      <c r="BN1318" s="23">
        <v>0.0</v>
      </c>
      <c r="BO1318" s="23">
        <v>122.5</v>
      </c>
      <c r="BP1318" s="16" t="s">
        <v>8351</v>
      </c>
      <c r="BQ1318" s="16" t="b">
        <v>1</v>
      </c>
      <c r="BR1318" s="23">
        <v>122.5</v>
      </c>
      <c r="BS1318" s="16"/>
      <c r="BT1318" s="16" t="b">
        <v>0</v>
      </c>
      <c r="BU1318" s="16" t="s">
        <v>546</v>
      </c>
      <c r="BV1318" s="16"/>
      <c r="BW1318" s="16"/>
      <c r="BX1318" s="16"/>
      <c r="BY1318" s="16"/>
    </row>
    <row r="1319">
      <c r="A1319" s="16" t="s">
        <v>7503</v>
      </c>
      <c r="B1319" s="16" t="s">
        <v>35</v>
      </c>
      <c r="C1319" s="22">
        <v>45846.0</v>
      </c>
      <c r="D1319" s="16" t="s">
        <v>8353</v>
      </c>
      <c r="E1319" s="16"/>
      <c r="F1319" s="16" t="s">
        <v>8354</v>
      </c>
      <c r="G1319" s="16" t="s">
        <v>1510</v>
      </c>
      <c r="H1319" s="16">
        <v>1.0</v>
      </c>
      <c r="I1319" s="23">
        <v>1728.0</v>
      </c>
      <c r="J1319" s="23">
        <v>1728.0</v>
      </c>
      <c r="K1319" s="16"/>
      <c r="L1319" s="23"/>
      <c r="M1319" s="23"/>
      <c r="N1319" s="23"/>
      <c r="O1319" s="16"/>
      <c r="P1319" s="23"/>
      <c r="Q1319" s="23"/>
      <c r="R1319" s="23"/>
      <c r="S1319" s="16"/>
      <c r="T1319" s="23"/>
      <c r="U1319" s="23"/>
      <c r="V1319" s="23"/>
      <c r="W1319" s="16"/>
      <c r="X1319" s="23"/>
      <c r="Y1319" s="23"/>
      <c r="Z1319" s="23"/>
      <c r="AA1319" s="16"/>
      <c r="AB1319" s="23"/>
      <c r="AC1319" s="23"/>
      <c r="AD1319" s="23"/>
      <c r="AE1319" s="16"/>
      <c r="AF1319" s="23"/>
      <c r="AG1319" s="23"/>
      <c r="AH1319" s="23"/>
      <c r="AI1319" s="16"/>
      <c r="AJ1319" s="23"/>
      <c r="AK1319" s="23"/>
      <c r="AL1319" s="23"/>
      <c r="AM1319" s="16"/>
      <c r="AN1319" s="23"/>
      <c r="AO1319" s="23"/>
      <c r="AP1319" s="23"/>
      <c r="AQ1319" s="16"/>
      <c r="AR1319" s="23"/>
      <c r="AS1319" s="23"/>
      <c r="AT1319" s="23"/>
      <c r="AU1319" s="16"/>
      <c r="AV1319" s="23"/>
      <c r="AW1319" s="23"/>
      <c r="AX1319" s="23"/>
      <c r="AY1319" s="16"/>
      <c r="AZ1319" s="23"/>
      <c r="BA1319" s="23"/>
      <c r="BB1319" s="23"/>
      <c r="BC1319" s="16"/>
      <c r="BD1319" s="23"/>
      <c r="BE1319" s="23"/>
      <c r="BF1319" s="23"/>
      <c r="BJ1319" s="23"/>
      <c r="BN1319" s="23"/>
      <c r="BO1319" s="23">
        <v>1728.0</v>
      </c>
      <c r="BP1319" s="16"/>
      <c r="BQ1319" s="16"/>
      <c r="BR1319" s="23">
        <v>1728.0</v>
      </c>
      <c r="BS1319" s="16"/>
      <c r="BT1319" s="16"/>
      <c r="BU1319" s="16" t="s">
        <v>539</v>
      </c>
      <c r="BV1319" s="16"/>
      <c r="BW1319" s="16"/>
      <c r="BX1319" s="16"/>
      <c r="BY1319" s="16"/>
    </row>
    <row r="1320">
      <c r="A1320" s="16" t="s">
        <v>7506</v>
      </c>
      <c r="B1320" s="16" t="s">
        <v>35</v>
      </c>
      <c r="C1320" s="22">
        <v>45845.0</v>
      </c>
      <c r="D1320" s="16" t="s">
        <v>890</v>
      </c>
      <c r="E1320" s="16" t="s">
        <v>8358</v>
      </c>
      <c r="F1320" s="16" t="s">
        <v>3813</v>
      </c>
      <c r="G1320" s="16" t="s">
        <v>1517</v>
      </c>
      <c r="H1320" s="16">
        <v>1.0</v>
      </c>
      <c r="I1320" s="23">
        <v>5146.03</v>
      </c>
      <c r="J1320" s="23">
        <v>5146.03</v>
      </c>
      <c r="K1320" s="16"/>
      <c r="L1320" s="23"/>
      <c r="M1320" s="23"/>
      <c r="N1320" s="23">
        <v>0.0</v>
      </c>
      <c r="O1320" s="16"/>
      <c r="P1320" s="23"/>
      <c r="Q1320" s="23"/>
      <c r="R1320" s="23">
        <v>0.0</v>
      </c>
      <c r="S1320" s="16"/>
      <c r="T1320" s="23"/>
      <c r="U1320" s="23"/>
      <c r="V1320" s="23">
        <v>0.0</v>
      </c>
      <c r="W1320" s="16"/>
      <c r="X1320" s="23"/>
      <c r="Y1320" s="23"/>
      <c r="Z1320" s="23">
        <v>0.0</v>
      </c>
      <c r="AA1320" s="16"/>
      <c r="AB1320" s="23"/>
      <c r="AC1320" s="23"/>
      <c r="AD1320" s="23">
        <v>0.0</v>
      </c>
      <c r="AE1320" s="16"/>
      <c r="AF1320" s="23"/>
      <c r="AG1320" s="23"/>
      <c r="AH1320" s="23">
        <v>0.0</v>
      </c>
      <c r="AI1320" s="16"/>
      <c r="AJ1320" s="23"/>
      <c r="AK1320" s="23"/>
      <c r="AL1320" s="23">
        <v>0.0</v>
      </c>
      <c r="AM1320" s="16"/>
      <c r="AN1320" s="23"/>
      <c r="AO1320" s="23"/>
      <c r="AP1320" s="23">
        <v>0.0</v>
      </c>
      <c r="AQ1320" s="16"/>
      <c r="AR1320" s="23"/>
      <c r="AS1320" s="23"/>
      <c r="AT1320" s="23">
        <v>0.0</v>
      </c>
      <c r="AU1320" s="16"/>
      <c r="AV1320" s="23"/>
      <c r="AW1320" s="23"/>
      <c r="AX1320" s="23">
        <v>0.0</v>
      </c>
      <c r="AY1320" s="16"/>
      <c r="AZ1320" s="23"/>
      <c r="BA1320" s="23"/>
      <c r="BB1320" s="23"/>
      <c r="BC1320" s="16"/>
      <c r="BD1320" s="23"/>
      <c r="BE1320" s="23"/>
      <c r="BF1320" s="23">
        <v>0.0</v>
      </c>
      <c r="BJ1320" s="23">
        <v>0.0</v>
      </c>
      <c r="BN1320" s="23">
        <v>0.0</v>
      </c>
      <c r="BO1320" s="23">
        <v>5146.03</v>
      </c>
      <c r="BP1320" s="16" t="s">
        <v>8360</v>
      </c>
      <c r="BQ1320" s="16" t="b">
        <v>1</v>
      </c>
      <c r="BR1320" s="23">
        <v>5146.03</v>
      </c>
      <c r="BS1320" s="16"/>
      <c r="BT1320" s="16" t="b">
        <v>0</v>
      </c>
      <c r="BU1320" s="16" t="s">
        <v>546</v>
      </c>
      <c r="BV1320" s="16"/>
      <c r="BW1320" s="16" t="s">
        <v>8363</v>
      </c>
      <c r="BX1320" s="16"/>
      <c r="BY1320" s="16"/>
    </row>
    <row r="1321">
      <c r="A1321" s="16" t="s">
        <v>7508</v>
      </c>
      <c r="B1321" s="16" t="s">
        <v>35</v>
      </c>
      <c r="C1321" s="22">
        <v>45846.0</v>
      </c>
      <c r="D1321" s="16" t="s">
        <v>1557</v>
      </c>
      <c r="E1321" s="16" t="s">
        <v>8367</v>
      </c>
      <c r="F1321" s="16" t="s">
        <v>7603</v>
      </c>
      <c r="G1321" s="16" t="s">
        <v>5325</v>
      </c>
      <c r="H1321" s="16">
        <v>1.0</v>
      </c>
      <c r="I1321" s="23">
        <v>110.0</v>
      </c>
      <c r="J1321" s="23">
        <v>110.0</v>
      </c>
      <c r="K1321" s="16"/>
      <c r="L1321" s="23"/>
      <c r="M1321" s="23"/>
      <c r="N1321" s="23">
        <v>0.0</v>
      </c>
      <c r="O1321" s="16"/>
      <c r="P1321" s="23"/>
      <c r="Q1321" s="23"/>
      <c r="R1321" s="23">
        <v>0.0</v>
      </c>
      <c r="S1321" s="16"/>
      <c r="T1321" s="23"/>
      <c r="U1321" s="23"/>
      <c r="V1321" s="23">
        <v>0.0</v>
      </c>
      <c r="W1321" s="16"/>
      <c r="X1321" s="23"/>
      <c r="Y1321" s="23"/>
      <c r="Z1321" s="23">
        <v>0.0</v>
      </c>
      <c r="AA1321" s="16"/>
      <c r="AB1321" s="23"/>
      <c r="AC1321" s="23"/>
      <c r="AD1321" s="23">
        <v>0.0</v>
      </c>
      <c r="AE1321" s="16"/>
      <c r="AF1321" s="23"/>
      <c r="AG1321" s="23"/>
      <c r="AH1321" s="23">
        <v>0.0</v>
      </c>
      <c r="AI1321" s="16"/>
      <c r="AJ1321" s="23"/>
      <c r="AK1321" s="23"/>
      <c r="AL1321" s="23">
        <v>0.0</v>
      </c>
      <c r="AM1321" s="16"/>
      <c r="AN1321" s="23"/>
      <c r="AO1321" s="23"/>
      <c r="AP1321" s="23">
        <v>0.0</v>
      </c>
      <c r="AQ1321" s="16"/>
      <c r="AR1321" s="23"/>
      <c r="AS1321" s="23"/>
      <c r="AT1321" s="23">
        <v>0.0</v>
      </c>
      <c r="AU1321" s="16"/>
      <c r="AV1321" s="23"/>
      <c r="AW1321" s="23"/>
      <c r="AX1321" s="23">
        <v>0.0</v>
      </c>
      <c r="AY1321" s="16"/>
      <c r="AZ1321" s="23"/>
      <c r="BA1321" s="23"/>
      <c r="BB1321" s="23"/>
      <c r="BC1321" s="16"/>
      <c r="BD1321" s="23"/>
      <c r="BE1321" s="23"/>
      <c r="BF1321" s="23">
        <v>0.0</v>
      </c>
      <c r="BJ1321" s="23">
        <v>0.0</v>
      </c>
      <c r="BN1321" s="23">
        <v>0.0</v>
      </c>
      <c r="BO1321" s="23">
        <v>110.0</v>
      </c>
      <c r="BP1321" s="16" t="s">
        <v>8369</v>
      </c>
      <c r="BQ1321" s="16" t="b">
        <v>1</v>
      </c>
      <c r="BR1321" s="23">
        <v>110.0</v>
      </c>
      <c r="BS1321" s="16"/>
      <c r="BT1321" s="16" t="b">
        <v>0</v>
      </c>
      <c r="BU1321" s="16" t="s">
        <v>546</v>
      </c>
      <c r="BV1321" s="16"/>
      <c r="BW1321" s="16"/>
      <c r="BX1321" s="16"/>
      <c r="BY1321" s="16"/>
    </row>
    <row r="1322">
      <c r="A1322" s="16" t="s">
        <v>7510</v>
      </c>
      <c r="B1322" s="16" t="s">
        <v>35</v>
      </c>
      <c r="C1322" s="22">
        <v>45846.0</v>
      </c>
      <c r="D1322" s="16" t="s">
        <v>353</v>
      </c>
      <c r="E1322" s="16" t="s">
        <v>8376</v>
      </c>
      <c r="F1322" s="16" t="s">
        <v>8378</v>
      </c>
      <c r="G1322" s="16" t="s">
        <v>4176</v>
      </c>
      <c r="H1322" s="16">
        <v>1.0</v>
      </c>
      <c r="I1322" s="23">
        <v>39.9</v>
      </c>
      <c r="J1322" s="23">
        <v>39.9</v>
      </c>
      <c r="K1322" s="16"/>
      <c r="L1322" s="23"/>
      <c r="M1322" s="23"/>
      <c r="N1322" s="23">
        <v>0.0</v>
      </c>
      <c r="O1322" s="16"/>
      <c r="P1322" s="23"/>
      <c r="Q1322" s="23"/>
      <c r="R1322" s="23">
        <v>0.0</v>
      </c>
      <c r="S1322" s="16"/>
      <c r="T1322" s="23"/>
      <c r="U1322" s="23"/>
      <c r="V1322" s="23">
        <v>0.0</v>
      </c>
      <c r="W1322" s="16"/>
      <c r="X1322" s="23"/>
      <c r="Y1322" s="23"/>
      <c r="Z1322" s="23">
        <v>0.0</v>
      </c>
      <c r="AA1322" s="16"/>
      <c r="AB1322" s="23"/>
      <c r="AC1322" s="23"/>
      <c r="AD1322" s="23">
        <v>0.0</v>
      </c>
      <c r="AE1322" s="16"/>
      <c r="AF1322" s="23"/>
      <c r="AG1322" s="23"/>
      <c r="AH1322" s="23">
        <v>0.0</v>
      </c>
      <c r="AI1322" s="16"/>
      <c r="AJ1322" s="23"/>
      <c r="AK1322" s="23"/>
      <c r="AL1322" s="23">
        <v>0.0</v>
      </c>
      <c r="AM1322" s="16"/>
      <c r="AN1322" s="23"/>
      <c r="AO1322" s="23"/>
      <c r="AP1322" s="23">
        <v>0.0</v>
      </c>
      <c r="AQ1322" s="16"/>
      <c r="AR1322" s="23"/>
      <c r="AS1322" s="23"/>
      <c r="AT1322" s="23">
        <v>0.0</v>
      </c>
      <c r="AU1322" s="16"/>
      <c r="AV1322" s="23"/>
      <c r="AW1322" s="23"/>
      <c r="AX1322" s="23">
        <v>0.0</v>
      </c>
      <c r="AY1322" s="16"/>
      <c r="AZ1322" s="23"/>
      <c r="BA1322" s="23"/>
      <c r="BB1322" s="23"/>
      <c r="BC1322" s="16"/>
      <c r="BD1322" s="23"/>
      <c r="BE1322" s="23"/>
      <c r="BF1322" s="23">
        <v>0.0</v>
      </c>
      <c r="BJ1322" s="23">
        <v>0.0</v>
      </c>
      <c r="BN1322" s="23">
        <v>0.0</v>
      </c>
      <c r="BO1322" s="23">
        <v>39.9</v>
      </c>
      <c r="BP1322" s="16" t="s">
        <v>8377</v>
      </c>
      <c r="BQ1322" s="16" t="b">
        <v>1</v>
      </c>
      <c r="BR1322" s="23">
        <v>39.9</v>
      </c>
      <c r="BS1322" s="16">
        <v>1561953.0</v>
      </c>
      <c r="BT1322" s="16" t="b">
        <v>1</v>
      </c>
      <c r="BU1322" s="16" t="s">
        <v>546</v>
      </c>
      <c r="BV1322" s="16"/>
      <c r="BW1322" s="16"/>
      <c r="BX1322" s="16"/>
      <c r="BY1322" s="16"/>
    </row>
    <row r="1323">
      <c r="A1323" s="16" t="s">
        <v>7512</v>
      </c>
      <c r="B1323" s="16" t="s">
        <v>35</v>
      </c>
      <c r="C1323" s="22">
        <v>45846.0</v>
      </c>
      <c r="D1323" s="16" t="s">
        <v>112</v>
      </c>
      <c r="E1323" s="16" t="s">
        <v>8385</v>
      </c>
      <c r="F1323" s="16" t="s">
        <v>157</v>
      </c>
      <c r="G1323" s="16" t="s">
        <v>159</v>
      </c>
      <c r="H1323" s="16">
        <v>1.0</v>
      </c>
      <c r="I1323" s="23">
        <v>168.0</v>
      </c>
      <c r="J1323" s="23">
        <v>168.0</v>
      </c>
      <c r="K1323" s="16">
        <v>1.2539885E7</v>
      </c>
      <c r="L1323" s="23">
        <v>1.0</v>
      </c>
      <c r="M1323" s="23">
        <v>100.0</v>
      </c>
      <c r="N1323" s="23">
        <v>100.0</v>
      </c>
      <c r="O1323" s="16" t="s">
        <v>155</v>
      </c>
      <c r="P1323" s="23">
        <v>1.0</v>
      </c>
      <c r="Q1323" s="23">
        <v>27.3</v>
      </c>
      <c r="R1323" s="23">
        <v>27.3</v>
      </c>
      <c r="S1323" s="16" t="s">
        <v>152</v>
      </c>
      <c r="T1323" s="23">
        <v>1.0</v>
      </c>
      <c r="U1323" s="23">
        <v>7.76</v>
      </c>
      <c r="V1323" s="23">
        <v>7.76</v>
      </c>
      <c r="W1323" s="16" t="s">
        <v>226</v>
      </c>
      <c r="X1323" s="23">
        <v>1.0</v>
      </c>
      <c r="Y1323" s="23">
        <v>18.0</v>
      </c>
      <c r="Z1323" s="23">
        <v>18.0</v>
      </c>
      <c r="AA1323" s="16"/>
      <c r="AB1323" s="23"/>
      <c r="AC1323" s="23"/>
      <c r="AD1323" s="23">
        <v>0.0</v>
      </c>
      <c r="AE1323" s="16"/>
      <c r="AF1323" s="23"/>
      <c r="AG1323" s="23"/>
      <c r="AH1323" s="23">
        <v>0.0</v>
      </c>
      <c r="AI1323" s="16"/>
      <c r="AJ1323" s="23"/>
      <c r="AK1323" s="23"/>
      <c r="AL1323" s="23">
        <v>0.0</v>
      </c>
      <c r="AM1323" s="16"/>
      <c r="AN1323" s="23"/>
      <c r="AO1323" s="23"/>
      <c r="AP1323" s="23">
        <v>0.0</v>
      </c>
      <c r="AQ1323" s="16"/>
      <c r="AR1323" s="23"/>
      <c r="AS1323" s="23"/>
      <c r="AT1323" s="23">
        <v>0.0</v>
      </c>
      <c r="AU1323" s="16"/>
      <c r="AV1323" s="23"/>
      <c r="AW1323" s="23"/>
      <c r="AX1323" s="23">
        <v>0.0</v>
      </c>
      <c r="AY1323" s="16"/>
      <c r="AZ1323" s="23"/>
      <c r="BA1323" s="23"/>
      <c r="BB1323" s="23"/>
      <c r="BC1323" s="16"/>
      <c r="BD1323" s="23"/>
      <c r="BE1323" s="23"/>
      <c r="BF1323" s="23">
        <v>0.0</v>
      </c>
      <c r="BJ1323" s="23">
        <v>0.0</v>
      </c>
      <c r="BN1323" s="23">
        <v>0.0</v>
      </c>
      <c r="BO1323" s="23">
        <v>321.06</v>
      </c>
      <c r="BP1323" s="16" t="s">
        <v>8387</v>
      </c>
      <c r="BQ1323" s="16" t="b">
        <v>1</v>
      </c>
      <c r="BR1323" s="23">
        <v>321.06</v>
      </c>
      <c r="BS1323" s="16"/>
      <c r="BT1323" s="16" t="b">
        <v>0</v>
      </c>
      <c r="BU1323" s="16" t="s">
        <v>546</v>
      </c>
      <c r="BV1323" s="16"/>
      <c r="BW1323" s="16"/>
      <c r="BX1323" s="16"/>
      <c r="BY1323" s="16"/>
    </row>
    <row r="1324">
      <c r="A1324" s="16" t="s">
        <v>7519</v>
      </c>
      <c r="B1324" s="16" t="s">
        <v>35</v>
      </c>
      <c r="C1324" s="22">
        <v>45848.0</v>
      </c>
      <c r="D1324" s="16" t="s">
        <v>8393</v>
      </c>
      <c r="E1324" s="16"/>
      <c r="F1324" s="16" t="s">
        <v>8394</v>
      </c>
      <c r="G1324" s="16" t="s">
        <v>2662</v>
      </c>
      <c r="H1324" s="16">
        <v>1.0</v>
      </c>
      <c r="I1324" s="23">
        <v>16308.23</v>
      </c>
      <c r="J1324" s="23">
        <v>16308.23</v>
      </c>
      <c r="K1324" s="16"/>
      <c r="L1324" s="23"/>
      <c r="M1324" s="23"/>
      <c r="N1324" s="23"/>
      <c r="O1324" s="16"/>
      <c r="P1324" s="23"/>
      <c r="Q1324" s="23"/>
      <c r="R1324" s="23"/>
      <c r="S1324" s="16"/>
      <c r="T1324" s="23"/>
      <c r="U1324" s="23"/>
      <c r="V1324" s="23"/>
      <c r="W1324" s="16"/>
      <c r="X1324" s="23"/>
      <c r="Y1324" s="23"/>
      <c r="Z1324" s="23"/>
      <c r="AA1324" s="16"/>
      <c r="AB1324" s="23"/>
      <c r="AC1324" s="23"/>
      <c r="AD1324" s="23"/>
      <c r="AE1324" s="16"/>
      <c r="AF1324" s="23"/>
      <c r="AG1324" s="23"/>
      <c r="AH1324" s="23"/>
      <c r="AI1324" s="16"/>
      <c r="AJ1324" s="23"/>
      <c r="AK1324" s="23"/>
      <c r="AL1324" s="23"/>
      <c r="AM1324" s="16"/>
      <c r="AN1324" s="23"/>
      <c r="AO1324" s="23"/>
      <c r="AP1324" s="23"/>
      <c r="AQ1324" s="16"/>
      <c r="AR1324" s="23"/>
      <c r="AS1324" s="23"/>
      <c r="AT1324" s="23"/>
      <c r="AU1324" s="16"/>
      <c r="AV1324" s="23"/>
      <c r="AW1324" s="23"/>
      <c r="AX1324" s="23"/>
      <c r="AY1324" s="16"/>
      <c r="AZ1324" s="23"/>
      <c r="BA1324" s="23"/>
      <c r="BB1324" s="23"/>
      <c r="BC1324" s="16"/>
      <c r="BD1324" s="23"/>
      <c r="BE1324" s="23"/>
      <c r="BF1324" s="23"/>
      <c r="BJ1324" s="23"/>
      <c r="BN1324" s="23"/>
      <c r="BO1324" s="23">
        <v>16308.23</v>
      </c>
      <c r="BP1324" s="16"/>
      <c r="BQ1324" s="16"/>
      <c r="BR1324" s="23">
        <v>16308.23</v>
      </c>
      <c r="BS1324" s="16"/>
      <c r="BT1324" s="16"/>
      <c r="BU1324" s="16" t="s">
        <v>539</v>
      </c>
      <c r="BV1324" s="16"/>
      <c r="BW1324" s="16"/>
      <c r="BX1324" s="16"/>
      <c r="BY1324" s="16"/>
    </row>
    <row r="1325">
      <c r="A1325" s="16" t="s">
        <v>7521</v>
      </c>
      <c r="B1325" s="16" t="s">
        <v>35</v>
      </c>
      <c r="C1325" s="22">
        <v>45848.0</v>
      </c>
      <c r="D1325" s="16" t="s">
        <v>1864</v>
      </c>
      <c r="E1325" s="16"/>
      <c r="F1325" s="16" t="s">
        <v>8399</v>
      </c>
      <c r="G1325" s="16" t="s">
        <v>7522</v>
      </c>
      <c r="H1325" s="16">
        <v>1.0</v>
      </c>
      <c r="I1325" s="23">
        <v>72.55</v>
      </c>
      <c r="J1325" s="23">
        <v>72.55</v>
      </c>
      <c r="K1325" s="16"/>
      <c r="L1325" s="23"/>
      <c r="M1325" s="23"/>
      <c r="N1325" s="23"/>
      <c r="O1325" s="16"/>
      <c r="P1325" s="23"/>
      <c r="Q1325" s="23"/>
      <c r="R1325" s="23"/>
      <c r="S1325" s="16"/>
      <c r="T1325" s="23"/>
      <c r="U1325" s="23"/>
      <c r="V1325" s="23"/>
      <c r="W1325" s="16"/>
      <c r="X1325" s="23"/>
      <c r="Y1325" s="23"/>
      <c r="Z1325" s="23"/>
      <c r="AA1325" s="16"/>
      <c r="AB1325" s="23"/>
      <c r="AC1325" s="23"/>
      <c r="AD1325" s="23"/>
      <c r="AE1325" s="16"/>
      <c r="AF1325" s="23"/>
      <c r="AG1325" s="23"/>
      <c r="AH1325" s="23"/>
      <c r="AI1325" s="16"/>
      <c r="AJ1325" s="23"/>
      <c r="AK1325" s="23"/>
      <c r="AL1325" s="23"/>
      <c r="AM1325" s="16"/>
      <c r="AN1325" s="23"/>
      <c r="AO1325" s="23"/>
      <c r="AP1325" s="23"/>
      <c r="AQ1325" s="16"/>
      <c r="AR1325" s="23"/>
      <c r="AS1325" s="23"/>
      <c r="AT1325" s="23"/>
      <c r="AU1325" s="16"/>
      <c r="AV1325" s="23"/>
      <c r="AW1325" s="23"/>
      <c r="AX1325" s="23"/>
      <c r="AY1325" s="16"/>
      <c r="AZ1325" s="23"/>
      <c r="BA1325" s="23"/>
      <c r="BB1325" s="23"/>
      <c r="BC1325" s="16"/>
      <c r="BD1325" s="23"/>
      <c r="BE1325" s="23"/>
      <c r="BF1325" s="23"/>
      <c r="BJ1325" s="23"/>
      <c r="BN1325" s="23"/>
      <c r="BO1325" s="23">
        <v>72.55</v>
      </c>
      <c r="BP1325" s="16"/>
      <c r="BQ1325" s="16"/>
      <c r="BR1325" s="23">
        <v>72.55</v>
      </c>
      <c r="BS1325" s="16"/>
      <c r="BT1325" s="16"/>
      <c r="BU1325" s="16" t="s">
        <v>539</v>
      </c>
      <c r="BV1325" s="16"/>
      <c r="BW1325" s="16"/>
      <c r="BX1325" s="16"/>
      <c r="BY1325" s="16"/>
    </row>
    <row r="1326">
      <c r="A1326" s="16" t="s">
        <v>7524</v>
      </c>
      <c r="B1326" s="16" t="s">
        <v>35</v>
      </c>
      <c r="C1326" s="22">
        <v>45847.0</v>
      </c>
      <c r="D1326" s="16" t="s">
        <v>145</v>
      </c>
      <c r="E1326" s="16" t="s">
        <v>8406</v>
      </c>
      <c r="F1326" s="16" t="s">
        <v>3627</v>
      </c>
      <c r="G1326" s="16" t="s">
        <v>691</v>
      </c>
      <c r="H1326" s="16">
        <v>1.0</v>
      </c>
      <c r="I1326" s="23">
        <v>24.0</v>
      </c>
      <c r="J1326" s="23">
        <v>24.0</v>
      </c>
      <c r="K1326" s="16" t="s">
        <v>266</v>
      </c>
      <c r="L1326" s="23">
        <v>1.0</v>
      </c>
      <c r="M1326" s="23">
        <v>36.0</v>
      </c>
      <c r="N1326" s="23">
        <v>36.0</v>
      </c>
      <c r="O1326" s="16" t="s">
        <v>1195</v>
      </c>
      <c r="P1326" s="23">
        <v>1.0</v>
      </c>
      <c r="Q1326" s="23">
        <v>48.0</v>
      </c>
      <c r="R1326" s="23">
        <v>48.0</v>
      </c>
      <c r="S1326" s="16" t="s">
        <v>1197</v>
      </c>
      <c r="T1326" s="23">
        <v>1.0</v>
      </c>
      <c r="U1326" s="23">
        <v>88.0</v>
      </c>
      <c r="V1326" s="23">
        <v>88.0</v>
      </c>
      <c r="W1326" s="16">
        <v>7.9788768E7</v>
      </c>
      <c r="X1326" s="23">
        <v>1.0</v>
      </c>
      <c r="Y1326" s="23">
        <v>27.5</v>
      </c>
      <c r="Z1326" s="23">
        <v>27.5</v>
      </c>
      <c r="AA1326" s="16" t="s">
        <v>1041</v>
      </c>
      <c r="AB1326" s="23">
        <v>1.0</v>
      </c>
      <c r="AC1326" s="23">
        <v>24.0</v>
      </c>
      <c r="AD1326" s="23">
        <v>24.0</v>
      </c>
      <c r="AE1326" s="16"/>
      <c r="AF1326" s="23"/>
      <c r="AG1326" s="23"/>
      <c r="AH1326" s="23">
        <v>0.0</v>
      </c>
      <c r="AI1326" s="16"/>
      <c r="AJ1326" s="23"/>
      <c r="AK1326" s="23"/>
      <c r="AL1326" s="23">
        <v>0.0</v>
      </c>
      <c r="AM1326" s="16"/>
      <c r="AN1326" s="23"/>
      <c r="AO1326" s="23"/>
      <c r="AP1326" s="23">
        <v>0.0</v>
      </c>
      <c r="AQ1326" s="16"/>
      <c r="AR1326" s="23"/>
      <c r="AS1326" s="23"/>
      <c r="AT1326" s="23">
        <v>0.0</v>
      </c>
      <c r="AU1326" s="16"/>
      <c r="AV1326" s="23"/>
      <c r="AW1326" s="23"/>
      <c r="AX1326" s="23">
        <v>0.0</v>
      </c>
      <c r="AY1326" s="16"/>
      <c r="AZ1326" s="23"/>
      <c r="BA1326" s="23"/>
      <c r="BB1326" s="23"/>
      <c r="BC1326" s="16"/>
      <c r="BD1326" s="23"/>
      <c r="BE1326" s="23"/>
      <c r="BF1326" s="23">
        <v>0.0</v>
      </c>
      <c r="BJ1326" s="23">
        <v>0.0</v>
      </c>
      <c r="BN1326" s="23">
        <v>0.0</v>
      </c>
      <c r="BO1326" s="23">
        <v>247.5</v>
      </c>
      <c r="BP1326" s="16" t="s">
        <v>8408</v>
      </c>
      <c r="BQ1326" s="16" t="b">
        <v>1</v>
      </c>
      <c r="BR1326" s="23">
        <v>247.5</v>
      </c>
      <c r="BS1326" s="16"/>
      <c r="BT1326" s="16" t="b">
        <v>0</v>
      </c>
      <c r="BU1326" s="16" t="s">
        <v>546</v>
      </c>
      <c r="BV1326" s="16"/>
      <c r="BW1326" s="16"/>
      <c r="BX1326" s="16"/>
      <c r="BY1326" s="16"/>
    </row>
    <row r="1327">
      <c r="A1327" s="16" t="s">
        <v>7531</v>
      </c>
      <c r="B1327" s="16" t="s">
        <v>35</v>
      </c>
      <c r="C1327" s="22">
        <v>45847.0</v>
      </c>
      <c r="D1327" s="16" t="s">
        <v>890</v>
      </c>
      <c r="E1327" s="16" t="s">
        <v>8413</v>
      </c>
      <c r="F1327" s="16" t="s">
        <v>2894</v>
      </c>
      <c r="G1327" s="16" t="s">
        <v>1510</v>
      </c>
      <c r="H1327" s="16">
        <v>1.0</v>
      </c>
      <c r="I1327" s="23">
        <v>9284.22</v>
      </c>
      <c r="J1327" s="23">
        <v>9284.22</v>
      </c>
      <c r="K1327" s="16"/>
      <c r="L1327" s="23"/>
      <c r="M1327" s="23"/>
      <c r="N1327" s="23">
        <v>0.0</v>
      </c>
      <c r="O1327" s="16"/>
      <c r="P1327" s="23"/>
      <c r="Q1327" s="23"/>
      <c r="R1327" s="23">
        <v>0.0</v>
      </c>
      <c r="S1327" s="16"/>
      <c r="T1327" s="23"/>
      <c r="U1327" s="23"/>
      <c r="V1327" s="23">
        <v>0.0</v>
      </c>
      <c r="W1327" s="16"/>
      <c r="X1327" s="23"/>
      <c r="Y1327" s="23"/>
      <c r="Z1327" s="23">
        <v>0.0</v>
      </c>
      <c r="AA1327" s="16"/>
      <c r="AB1327" s="23"/>
      <c r="AC1327" s="23"/>
      <c r="AD1327" s="23">
        <v>0.0</v>
      </c>
      <c r="AE1327" s="16"/>
      <c r="AF1327" s="23"/>
      <c r="AG1327" s="23"/>
      <c r="AH1327" s="23">
        <v>0.0</v>
      </c>
      <c r="AI1327" s="16"/>
      <c r="AJ1327" s="23"/>
      <c r="AK1327" s="23"/>
      <c r="AL1327" s="23">
        <v>0.0</v>
      </c>
      <c r="AM1327" s="16"/>
      <c r="AN1327" s="23"/>
      <c r="AO1327" s="23"/>
      <c r="AP1327" s="23">
        <v>0.0</v>
      </c>
      <c r="AQ1327" s="16"/>
      <c r="AR1327" s="23"/>
      <c r="AS1327" s="23"/>
      <c r="AT1327" s="23">
        <v>0.0</v>
      </c>
      <c r="AU1327" s="16"/>
      <c r="AV1327" s="23"/>
      <c r="AW1327" s="23"/>
      <c r="AX1327" s="23">
        <v>0.0</v>
      </c>
      <c r="AY1327" s="16"/>
      <c r="AZ1327" s="23"/>
      <c r="BA1327" s="23"/>
      <c r="BB1327" s="23"/>
      <c r="BC1327" s="16"/>
      <c r="BD1327" s="23"/>
      <c r="BE1327" s="23"/>
      <c r="BF1327" s="23">
        <v>0.0</v>
      </c>
      <c r="BJ1327" s="23">
        <v>0.0</v>
      </c>
      <c r="BN1327" s="23">
        <v>0.0</v>
      </c>
      <c r="BO1327" s="23">
        <v>9284.22</v>
      </c>
      <c r="BP1327" s="16" t="s">
        <v>8414</v>
      </c>
      <c r="BQ1327" s="16" t="b">
        <v>1</v>
      </c>
      <c r="BR1327" s="23">
        <v>9284.22</v>
      </c>
      <c r="BS1327" s="16"/>
      <c r="BT1327" s="16" t="b">
        <v>0</v>
      </c>
      <c r="BU1327" s="16" t="s">
        <v>546</v>
      </c>
      <c r="BV1327" s="16"/>
      <c r="BW1327" s="16" t="s">
        <v>8417</v>
      </c>
      <c r="BX1327" s="16" t="s">
        <v>8418</v>
      </c>
      <c r="BY1327" s="16"/>
    </row>
    <row r="1328">
      <c r="A1328" s="16" t="s">
        <v>7533</v>
      </c>
      <c r="B1328" s="16" t="s">
        <v>35</v>
      </c>
      <c r="C1328" s="22">
        <v>45848.0</v>
      </c>
      <c r="D1328" s="16" t="s">
        <v>764</v>
      </c>
      <c r="E1328" s="16" t="s">
        <v>8423</v>
      </c>
      <c r="F1328" s="16" t="s">
        <v>195</v>
      </c>
      <c r="G1328" s="16">
        <v>7.5375964E7</v>
      </c>
      <c r="H1328" s="16">
        <v>1.0</v>
      </c>
      <c r="I1328" s="23">
        <v>19.0</v>
      </c>
      <c r="J1328" s="23">
        <v>19.0</v>
      </c>
      <c r="K1328" s="16" t="s">
        <v>1384</v>
      </c>
      <c r="L1328" s="23">
        <v>1.0</v>
      </c>
      <c r="M1328" s="23">
        <v>19.0</v>
      </c>
      <c r="N1328" s="23">
        <v>19.0</v>
      </c>
      <c r="O1328" s="16" t="s">
        <v>1404</v>
      </c>
      <c r="P1328" s="23">
        <v>1.0</v>
      </c>
      <c r="Q1328" s="23">
        <v>19.0</v>
      </c>
      <c r="R1328" s="23">
        <v>19.0</v>
      </c>
      <c r="S1328" s="16" t="s">
        <v>1073</v>
      </c>
      <c r="T1328" s="23">
        <v>1.0</v>
      </c>
      <c r="U1328" s="23">
        <v>20.1</v>
      </c>
      <c r="V1328" s="23">
        <v>20.1</v>
      </c>
      <c r="W1328" s="16" t="s">
        <v>1384</v>
      </c>
      <c r="X1328" s="23">
        <v>1.0</v>
      </c>
      <c r="Y1328" s="23">
        <v>63.0</v>
      </c>
      <c r="Z1328" s="23">
        <v>63.0</v>
      </c>
      <c r="AA1328" s="16" t="s">
        <v>1074</v>
      </c>
      <c r="AB1328" s="23">
        <v>4.0</v>
      </c>
      <c r="AC1328" s="23">
        <v>38.0</v>
      </c>
      <c r="AD1328" s="23">
        <v>152.0</v>
      </c>
      <c r="AE1328" s="16" t="s">
        <v>1075</v>
      </c>
      <c r="AF1328" s="23">
        <v>6.0</v>
      </c>
      <c r="AG1328" s="23">
        <v>19.0</v>
      </c>
      <c r="AH1328" s="23">
        <v>114.0</v>
      </c>
      <c r="AI1328" s="16" t="s">
        <v>1077</v>
      </c>
      <c r="AJ1328" s="23">
        <v>4.0</v>
      </c>
      <c r="AK1328" s="23">
        <v>24.0</v>
      </c>
      <c r="AL1328" s="23">
        <v>96.0</v>
      </c>
      <c r="AM1328" s="16" t="s">
        <v>1081</v>
      </c>
      <c r="AN1328" s="23">
        <v>4.0</v>
      </c>
      <c r="AO1328" s="23">
        <v>49.0</v>
      </c>
      <c r="AP1328" s="23">
        <v>196.0</v>
      </c>
      <c r="AQ1328" s="16" t="s">
        <v>1083</v>
      </c>
      <c r="AR1328" s="23">
        <v>1.0</v>
      </c>
      <c r="AS1328" s="23">
        <v>19.0</v>
      </c>
      <c r="AT1328" s="23">
        <v>19.0</v>
      </c>
      <c r="AU1328" s="16">
        <v>7.5375964E7</v>
      </c>
      <c r="AV1328" s="23">
        <v>2.0</v>
      </c>
      <c r="AW1328" s="23">
        <v>40.2</v>
      </c>
      <c r="AX1328" s="23">
        <v>80.4</v>
      </c>
      <c r="AY1328" s="16" t="s">
        <v>1079</v>
      </c>
      <c r="AZ1328" s="23">
        <v>20.0</v>
      </c>
      <c r="BA1328" s="23">
        <v>17.5</v>
      </c>
      <c r="BB1328" s="23">
        <v>350.0</v>
      </c>
      <c r="BC1328" s="16"/>
      <c r="BD1328" s="23"/>
      <c r="BE1328" s="23"/>
      <c r="BF1328" s="23">
        <v>0.0</v>
      </c>
      <c r="BJ1328" s="23">
        <v>0.0</v>
      </c>
      <c r="BN1328" s="23">
        <v>0.0</v>
      </c>
      <c r="BO1328" s="23">
        <v>1147.5</v>
      </c>
      <c r="BP1328" s="16" t="s">
        <v>8424</v>
      </c>
      <c r="BQ1328" s="16" t="b">
        <v>1</v>
      </c>
      <c r="BR1328" s="23">
        <v>1147.5</v>
      </c>
      <c r="BS1328" s="16"/>
      <c r="BT1328" s="16" t="b">
        <v>0</v>
      </c>
      <c r="BU1328" s="16" t="s">
        <v>546</v>
      </c>
      <c r="BV1328" s="16"/>
      <c r="BW1328" s="16" t="s">
        <v>8427</v>
      </c>
      <c r="BX1328" s="16"/>
      <c r="BY1328" s="16"/>
    </row>
    <row r="1329">
      <c r="A1329" s="16" t="s">
        <v>7547</v>
      </c>
      <c r="B1329" s="16" t="s">
        <v>35</v>
      </c>
      <c r="C1329" s="22">
        <v>45849.0</v>
      </c>
      <c r="D1329" s="16" t="s">
        <v>112</v>
      </c>
      <c r="E1329" s="16" t="s">
        <v>8432</v>
      </c>
      <c r="F1329" s="16" t="s">
        <v>157</v>
      </c>
      <c r="G1329" s="16" t="s">
        <v>159</v>
      </c>
      <c r="H1329" s="16">
        <v>1.0</v>
      </c>
      <c r="I1329" s="23">
        <v>195.0</v>
      </c>
      <c r="J1329" s="23">
        <v>195.0</v>
      </c>
      <c r="K1329" s="16">
        <v>1.2539885E7</v>
      </c>
      <c r="L1329" s="23">
        <v>1.0</v>
      </c>
      <c r="M1329" s="23">
        <v>204.0</v>
      </c>
      <c r="N1329" s="23">
        <v>204.0</v>
      </c>
      <c r="O1329" s="16" t="s">
        <v>155</v>
      </c>
      <c r="P1329" s="23">
        <v>1.0</v>
      </c>
      <c r="Q1329" s="23">
        <v>57.6</v>
      </c>
      <c r="R1329" s="23">
        <v>57.6</v>
      </c>
      <c r="S1329" s="16" t="s">
        <v>230</v>
      </c>
      <c r="T1329" s="23">
        <v>1.0</v>
      </c>
      <c r="U1329" s="23">
        <v>125.0</v>
      </c>
      <c r="V1329" s="23">
        <v>125.0</v>
      </c>
      <c r="W1329" s="16" t="s">
        <v>152</v>
      </c>
      <c r="X1329" s="23">
        <v>1.0</v>
      </c>
      <c r="Y1329" s="23">
        <v>4.54</v>
      </c>
      <c r="Z1329" s="23">
        <v>4.54</v>
      </c>
      <c r="AA1329" s="16" t="s">
        <v>226</v>
      </c>
      <c r="AB1329" s="23">
        <v>1.0</v>
      </c>
      <c r="AC1329" s="23">
        <v>59.5</v>
      </c>
      <c r="AD1329" s="23">
        <v>59.5</v>
      </c>
      <c r="AE1329" s="16"/>
      <c r="AF1329" s="23"/>
      <c r="AG1329" s="23"/>
      <c r="AH1329" s="23">
        <v>0.0</v>
      </c>
      <c r="AI1329" s="16"/>
      <c r="AJ1329" s="23"/>
      <c r="AK1329" s="23"/>
      <c r="AL1329" s="23">
        <v>0.0</v>
      </c>
      <c r="AM1329" s="16"/>
      <c r="AN1329" s="23"/>
      <c r="AO1329" s="23"/>
      <c r="AP1329" s="23">
        <v>0.0</v>
      </c>
      <c r="AQ1329" s="16"/>
      <c r="AR1329" s="23"/>
      <c r="AS1329" s="23"/>
      <c r="AT1329" s="23">
        <v>0.0</v>
      </c>
      <c r="AU1329" s="16"/>
      <c r="AV1329" s="23"/>
      <c r="AW1329" s="23"/>
      <c r="AX1329" s="23">
        <v>0.0</v>
      </c>
      <c r="AY1329" s="16"/>
      <c r="AZ1329" s="23"/>
      <c r="BA1329" s="23"/>
      <c r="BB1329" s="23"/>
      <c r="BC1329" s="16"/>
      <c r="BD1329" s="23"/>
      <c r="BE1329" s="23"/>
      <c r="BF1329" s="23">
        <v>0.0</v>
      </c>
      <c r="BJ1329" s="23">
        <v>0.0</v>
      </c>
      <c r="BN1329" s="23">
        <v>0.0</v>
      </c>
      <c r="BO1329" s="23">
        <v>645.64</v>
      </c>
      <c r="BP1329" s="16" t="s">
        <v>8433</v>
      </c>
      <c r="BQ1329" s="16" t="b">
        <v>1</v>
      </c>
      <c r="BR1329" s="23">
        <v>645.64</v>
      </c>
      <c r="BS1329" s="16"/>
      <c r="BT1329" s="16" t="b">
        <v>0</v>
      </c>
      <c r="BU1329" s="16" t="s">
        <v>546</v>
      </c>
      <c r="BV1329" s="16"/>
      <c r="BW1329" s="16"/>
      <c r="BX1329" s="16"/>
      <c r="BY1329" s="16"/>
    </row>
    <row r="1330">
      <c r="A1330" s="16" t="s">
        <v>7554</v>
      </c>
      <c r="B1330" s="16" t="s">
        <v>35</v>
      </c>
      <c r="C1330" s="22">
        <v>45850.0</v>
      </c>
      <c r="D1330" s="16" t="s">
        <v>404</v>
      </c>
      <c r="E1330" s="16" t="s">
        <v>8438</v>
      </c>
      <c r="F1330" s="16" t="s">
        <v>4248</v>
      </c>
      <c r="G1330" s="16" t="s">
        <v>305</v>
      </c>
      <c r="H1330" s="16">
        <v>1.0</v>
      </c>
      <c r="I1330" s="23">
        <v>28.96</v>
      </c>
      <c r="J1330" s="23">
        <v>28.96</v>
      </c>
      <c r="K1330" s="16"/>
      <c r="L1330" s="23"/>
      <c r="M1330" s="23"/>
      <c r="N1330" s="23">
        <v>0.0</v>
      </c>
      <c r="O1330" s="16"/>
      <c r="P1330" s="23"/>
      <c r="Q1330" s="23"/>
      <c r="R1330" s="23">
        <v>0.0</v>
      </c>
      <c r="S1330" s="16"/>
      <c r="T1330" s="23"/>
      <c r="U1330" s="23"/>
      <c r="V1330" s="23">
        <v>0.0</v>
      </c>
      <c r="W1330" s="16"/>
      <c r="X1330" s="23"/>
      <c r="Y1330" s="23"/>
      <c r="Z1330" s="23">
        <v>0.0</v>
      </c>
      <c r="AA1330" s="16"/>
      <c r="AB1330" s="23"/>
      <c r="AC1330" s="23"/>
      <c r="AD1330" s="23">
        <v>0.0</v>
      </c>
      <c r="AE1330" s="16"/>
      <c r="AF1330" s="23"/>
      <c r="AG1330" s="23"/>
      <c r="AH1330" s="23">
        <v>0.0</v>
      </c>
      <c r="AI1330" s="16"/>
      <c r="AJ1330" s="23"/>
      <c r="AK1330" s="23"/>
      <c r="AL1330" s="23">
        <v>0.0</v>
      </c>
      <c r="AM1330" s="16"/>
      <c r="AN1330" s="23"/>
      <c r="AO1330" s="23"/>
      <c r="AP1330" s="23">
        <v>0.0</v>
      </c>
      <c r="AQ1330" s="16"/>
      <c r="AR1330" s="23"/>
      <c r="AS1330" s="23"/>
      <c r="AT1330" s="23">
        <v>0.0</v>
      </c>
      <c r="AU1330" s="16"/>
      <c r="AV1330" s="23"/>
      <c r="AW1330" s="23"/>
      <c r="AX1330" s="23">
        <v>0.0</v>
      </c>
      <c r="AY1330" s="16"/>
      <c r="AZ1330" s="23"/>
      <c r="BA1330" s="23"/>
      <c r="BB1330" s="23"/>
      <c r="BC1330" s="16"/>
      <c r="BD1330" s="23"/>
      <c r="BE1330" s="23"/>
      <c r="BF1330" s="23">
        <v>0.0</v>
      </c>
      <c r="BJ1330" s="23">
        <v>0.0</v>
      </c>
      <c r="BN1330" s="23">
        <v>0.0</v>
      </c>
      <c r="BO1330" s="23">
        <v>28.96</v>
      </c>
      <c r="BP1330" s="16" t="s">
        <v>8439</v>
      </c>
      <c r="BQ1330" s="16" t="b">
        <v>1</v>
      </c>
      <c r="BR1330" s="23">
        <v>28.96</v>
      </c>
      <c r="BS1330" s="16">
        <v>1567900.0</v>
      </c>
      <c r="BT1330" s="16" t="b">
        <v>1</v>
      </c>
      <c r="BU1330" s="16" t="s">
        <v>546</v>
      </c>
      <c r="BV1330" s="16"/>
      <c r="BW1330" s="16"/>
      <c r="BX1330" s="16"/>
      <c r="BY1330" s="16"/>
    </row>
    <row r="1331">
      <c r="A1331" s="16" t="s">
        <v>7556</v>
      </c>
      <c r="B1331" s="16" t="s">
        <v>35</v>
      </c>
      <c r="C1331" s="22">
        <v>45850.0</v>
      </c>
      <c r="D1331" s="16" t="s">
        <v>8443</v>
      </c>
      <c r="E1331" s="16" t="s">
        <v>8444</v>
      </c>
      <c r="F1331" s="16" t="s">
        <v>4248</v>
      </c>
      <c r="G1331" s="16" t="s">
        <v>305</v>
      </c>
      <c r="H1331" s="16">
        <v>1.0</v>
      </c>
      <c r="I1331" s="23">
        <v>9.98</v>
      </c>
      <c r="J1331" s="23">
        <v>9.98</v>
      </c>
      <c r="K1331" s="16"/>
      <c r="L1331" s="23"/>
      <c r="M1331" s="23"/>
      <c r="N1331" s="23">
        <v>0.0</v>
      </c>
      <c r="O1331" s="16"/>
      <c r="P1331" s="23"/>
      <c r="Q1331" s="23"/>
      <c r="R1331" s="23">
        <v>0.0</v>
      </c>
      <c r="S1331" s="16"/>
      <c r="T1331" s="23"/>
      <c r="U1331" s="23"/>
      <c r="V1331" s="23">
        <v>0.0</v>
      </c>
      <c r="W1331" s="16"/>
      <c r="X1331" s="23"/>
      <c r="Y1331" s="23"/>
      <c r="Z1331" s="23">
        <v>0.0</v>
      </c>
      <c r="AA1331" s="16"/>
      <c r="AB1331" s="23"/>
      <c r="AC1331" s="23"/>
      <c r="AD1331" s="23">
        <v>0.0</v>
      </c>
      <c r="AE1331" s="16"/>
      <c r="AF1331" s="23"/>
      <c r="AG1331" s="23"/>
      <c r="AH1331" s="23">
        <v>0.0</v>
      </c>
      <c r="AI1331" s="16"/>
      <c r="AJ1331" s="23"/>
      <c r="AK1331" s="23"/>
      <c r="AL1331" s="23">
        <v>0.0</v>
      </c>
      <c r="AM1331" s="16"/>
      <c r="AN1331" s="23"/>
      <c r="AO1331" s="23"/>
      <c r="AP1331" s="23">
        <v>0.0</v>
      </c>
      <c r="AQ1331" s="16"/>
      <c r="AR1331" s="23"/>
      <c r="AS1331" s="23"/>
      <c r="AT1331" s="23">
        <v>0.0</v>
      </c>
      <c r="AU1331" s="16"/>
      <c r="AV1331" s="23"/>
      <c r="AW1331" s="23"/>
      <c r="AX1331" s="23">
        <v>0.0</v>
      </c>
      <c r="AY1331" s="16"/>
      <c r="AZ1331" s="23"/>
      <c r="BA1331" s="23"/>
      <c r="BB1331" s="23"/>
      <c r="BC1331" s="16"/>
      <c r="BD1331" s="23"/>
      <c r="BE1331" s="23"/>
      <c r="BF1331" s="23">
        <v>0.0</v>
      </c>
      <c r="BJ1331" s="23">
        <v>0.0</v>
      </c>
      <c r="BN1331" s="23">
        <v>0.0</v>
      </c>
      <c r="BO1331" s="23">
        <v>9.98</v>
      </c>
      <c r="BP1331" s="16" t="s">
        <v>8445</v>
      </c>
      <c r="BQ1331" s="16" t="b">
        <v>1</v>
      </c>
      <c r="BR1331" s="23">
        <v>9.98</v>
      </c>
      <c r="BS1331" s="16">
        <v>1567903.0</v>
      </c>
      <c r="BT1331" s="16" t="b">
        <v>1</v>
      </c>
      <c r="BU1331" s="16" t="s">
        <v>546</v>
      </c>
      <c r="BV1331" s="16"/>
      <c r="BW1331" s="16"/>
      <c r="BX1331" s="16"/>
      <c r="BY1331" s="16"/>
    </row>
    <row r="1332">
      <c r="A1332" s="16" t="s">
        <v>7558</v>
      </c>
      <c r="B1332" s="16" t="s">
        <v>35</v>
      </c>
      <c r="C1332" s="22">
        <v>45852.0</v>
      </c>
      <c r="D1332" s="16" t="s">
        <v>2248</v>
      </c>
      <c r="E1332" s="16"/>
      <c r="F1332" s="16" t="s">
        <v>8055</v>
      </c>
      <c r="G1332" s="16" t="s">
        <v>3218</v>
      </c>
      <c r="H1332" s="16">
        <v>1.0</v>
      </c>
      <c r="I1332" s="23">
        <v>185.0</v>
      </c>
      <c r="J1332" s="23">
        <v>185.0</v>
      </c>
      <c r="K1332" s="16"/>
      <c r="L1332" s="23"/>
      <c r="M1332" s="23"/>
      <c r="N1332" s="23"/>
      <c r="O1332" s="16"/>
      <c r="P1332" s="23"/>
      <c r="Q1332" s="23"/>
      <c r="R1332" s="23"/>
      <c r="S1332" s="16"/>
      <c r="T1332" s="23"/>
      <c r="U1332" s="23"/>
      <c r="V1332" s="23"/>
      <c r="W1332" s="16"/>
      <c r="X1332" s="23"/>
      <c r="Y1332" s="23"/>
      <c r="Z1332" s="23"/>
      <c r="AA1332" s="16"/>
      <c r="AB1332" s="23"/>
      <c r="AC1332" s="23"/>
      <c r="AD1332" s="23"/>
      <c r="AE1332" s="16"/>
      <c r="AF1332" s="23"/>
      <c r="AG1332" s="23"/>
      <c r="AH1332" s="23"/>
      <c r="AI1332" s="16"/>
      <c r="AJ1332" s="23"/>
      <c r="AK1332" s="23"/>
      <c r="AL1332" s="23"/>
      <c r="AM1332" s="16"/>
      <c r="AN1332" s="23"/>
      <c r="AO1332" s="23"/>
      <c r="AP1332" s="23"/>
      <c r="AQ1332" s="16"/>
      <c r="AR1332" s="23"/>
      <c r="AS1332" s="23"/>
      <c r="AT1332" s="23"/>
      <c r="AU1332" s="16"/>
      <c r="AV1332" s="23"/>
      <c r="AW1332" s="23"/>
      <c r="AX1332" s="23"/>
      <c r="AY1332" s="16"/>
      <c r="AZ1332" s="23"/>
      <c r="BA1332" s="23"/>
      <c r="BB1332" s="23"/>
      <c r="BC1332" s="16"/>
      <c r="BD1332" s="23"/>
      <c r="BE1332" s="23"/>
      <c r="BF1332" s="23"/>
      <c r="BJ1332" s="23"/>
      <c r="BN1332" s="23"/>
      <c r="BO1332" s="23">
        <v>185.0</v>
      </c>
      <c r="BP1332" s="16"/>
      <c r="BQ1332" s="16"/>
      <c r="BR1332" s="23">
        <v>185.0</v>
      </c>
      <c r="BS1332" s="16"/>
      <c r="BT1332" s="16"/>
      <c r="BU1332" s="16" t="s">
        <v>539</v>
      </c>
      <c r="BV1332" s="16"/>
      <c r="BW1332" s="16"/>
      <c r="BX1332" s="16"/>
      <c r="BY1332" s="16"/>
    </row>
    <row r="1333">
      <c r="A1333" s="16" t="s">
        <v>7560</v>
      </c>
      <c r="B1333" s="16" t="s">
        <v>35</v>
      </c>
      <c r="C1333" s="22">
        <v>45853.0</v>
      </c>
      <c r="D1333" s="16" t="s">
        <v>890</v>
      </c>
      <c r="E1333" s="16"/>
      <c r="F1333" s="16" t="s">
        <v>4010</v>
      </c>
      <c r="G1333" s="16" t="s">
        <v>4831</v>
      </c>
      <c r="H1333" s="16">
        <v>1.0</v>
      </c>
      <c r="I1333" s="23">
        <v>375.0</v>
      </c>
      <c r="J1333" s="23">
        <v>375.0</v>
      </c>
      <c r="K1333" s="16"/>
      <c r="L1333" s="23"/>
      <c r="M1333" s="23"/>
      <c r="N1333" s="23"/>
      <c r="O1333" s="16"/>
      <c r="P1333" s="23"/>
      <c r="Q1333" s="23"/>
      <c r="R1333" s="23"/>
      <c r="S1333" s="16"/>
      <c r="T1333" s="23"/>
      <c r="U1333" s="23"/>
      <c r="V1333" s="23"/>
      <c r="W1333" s="16"/>
      <c r="X1333" s="23"/>
      <c r="Y1333" s="23"/>
      <c r="Z1333" s="23"/>
      <c r="AA1333" s="16"/>
      <c r="AB1333" s="23"/>
      <c r="AC1333" s="23"/>
      <c r="AD1333" s="23"/>
      <c r="AE1333" s="16"/>
      <c r="AF1333" s="23"/>
      <c r="AG1333" s="23"/>
      <c r="AH1333" s="23"/>
      <c r="AI1333" s="16"/>
      <c r="AJ1333" s="23"/>
      <c r="AK1333" s="23"/>
      <c r="AL1333" s="23"/>
      <c r="AM1333" s="16"/>
      <c r="AN1333" s="23"/>
      <c r="AO1333" s="23"/>
      <c r="AP1333" s="23"/>
      <c r="AQ1333" s="16"/>
      <c r="AR1333" s="23"/>
      <c r="AS1333" s="23"/>
      <c r="AT1333" s="23"/>
      <c r="AU1333" s="16"/>
      <c r="AV1333" s="23"/>
      <c r="AW1333" s="23"/>
      <c r="AX1333" s="23"/>
      <c r="AY1333" s="16"/>
      <c r="AZ1333" s="23"/>
      <c r="BA1333" s="23"/>
      <c r="BB1333" s="23"/>
      <c r="BC1333" s="16"/>
      <c r="BD1333" s="23"/>
      <c r="BE1333" s="23"/>
      <c r="BF1333" s="23"/>
      <c r="BJ1333" s="23"/>
      <c r="BN1333" s="23"/>
      <c r="BO1333" s="23">
        <v>375.0</v>
      </c>
      <c r="BP1333" s="16"/>
      <c r="BQ1333" s="16"/>
      <c r="BR1333" s="23">
        <v>375.0</v>
      </c>
      <c r="BS1333" s="16"/>
      <c r="BT1333" s="16"/>
      <c r="BU1333" s="16" t="s">
        <v>539</v>
      </c>
      <c r="BV1333" s="16"/>
      <c r="BW1333" s="16"/>
      <c r="BX1333" s="16"/>
      <c r="BY1333" s="16"/>
    </row>
    <row r="1334">
      <c r="A1334" s="16">
        <v>1.12347759E8</v>
      </c>
      <c r="B1334" s="16" t="s">
        <v>35</v>
      </c>
      <c r="C1334" s="22">
        <v>45853.0</v>
      </c>
      <c r="D1334" s="16" t="s">
        <v>890</v>
      </c>
      <c r="E1334" s="16"/>
      <c r="F1334" s="16" t="s">
        <v>899</v>
      </c>
      <c r="G1334" s="16" t="s">
        <v>3833</v>
      </c>
      <c r="H1334" s="16">
        <v>1.0</v>
      </c>
      <c r="I1334" s="23">
        <v>1123.55</v>
      </c>
      <c r="J1334" s="23">
        <v>1123.55</v>
      </c>
      <c r="K1334" s="16"/>
      <c r="L1334" s="23"/>
      <c r="M1334" s="23"/>
      <c r="N1334" s="23"/>
      <c r="O1334" s="16"/>
      <c r="P1334" s="23"/>
      <c r="Q1334" s="23"/>
      <c r="R1334" s="23"/>
      <c r="S1334" s="16"/>
      <c r="T1334" s="23"/>
      <c r="U1334" s="23"/>
      <c r="V1334" s="23"/>
      <c r="W1334" s="16"/>
      <c r="X1334" s="23"/>
      <c r="Y1334" s="23"/>
      <c r="Z1334" s="23"/>
      <c r="AA1334" s="16"/>
      <c r="AB1334" s="23"/>
      <c r="AC1334" s="23"/>
      <c r="AD1334" s="23"/>
      <c r="AE1334" s="16"/>
      <c r="AF1334" s="23"/>
      <c r="AG1334" s="23"/>
      <c r="AH1334" s="23"/>
      <c r="AI1334" s="16"/>
      <c r="AJ1334" s="23"/>
      <c r="AK1334" s="23"/>
      <c r="AL1334" s="23"/>
      <c r="AM1334" s="16"/>
      <c r="AN1334" s="23"/>
      <c r="AO1334" s="23"/>
      <c r="AP1334" s="23"/>
      <c r="AQ1334" s="16"/>
      <c r="AR1334" s="23"/>
      <c r="AS1334" s="23"/>
      <c r="AT1334" s="23"/>
      <c r="AU1334" s="16"/>
      <c r="AV1334" s="23"/>
      <c r="AW1334" s="23"/>
      <c r="AX1334" s="23"/>
      <c r="AY1334" s="16"/>
      <c r="AZ1334" s="23"/>
      <c r="BA1334" s="23"/>
      <c r="BB1334" s="23"/>
      <c r="BC1334" s="16"/>
      <c r="BD1334" s="23"/>
      <c r="BE1334" s="23"/>
      <c r="BF1334" s="23"/>
      <c r="BJ1334" s="23"/>
      <c r="BN1334" s="23"/>
      <c r="BO1334" s="23">
        <v>1123.55</v>
      </c>
      <c r="BP1334" s="16"/>
      <c r="BQ1334" s="16"/>
      <c r="BR1334" s="23">
        <v>1123.55</v>
      </c>
      <c r="BS1334" s="16"/>
      <c r="BT1334" s="16"/>
      <c r="BU1334" s="16" t="s">
        <v>539</v>
      </c>
      <c r="BV1334" s="16"/>
      <c r="BW1334" s="16"/>
      <c r="BX1334" s="16"/>
      <c r="BY1334" s="16"/>
    </row>
    <row r="1335">
      <c r="A1335" s="16" t="s">
        <v>7563</v>
      </c>
      <c r="B1335" s="16" t="s">
        <v>35</v>
      </c>
      <c r="C1335" s="22">
        <v>45854.0</v>
      </c>
      <c r="D1335" s="16" t="s">
        <v>1864</v>
      </c>
      <c r="E1335" s="16"/>
      <c r="F1335" s="16" t="s">
        <v>8455</v>
      </c>
      <c r="G1335" s="16" t="s">
        <v>2662</v>
      </c>
      <c r="H1335" s="16">
        <v>1.0</v>
      </c>
      <c r="I1335" s="23">
        <v>17.16</v>
      </c>
      <c r="J1335" s="23">
        <v>17.16</v>
      </c>
      <c r="K1335" s="16"/>
      <c r="L1335" s="23"/>
      <c r="M1335" s="23"/>
      <c r="N1335" s="23"/>
      <c r="O1335" s="16"/>
      <c r="P1335" s="23"/>
      <c r="Q1335" s="23"/>
      <c r="R1335" s="23"/>
      <c r="S1335" s="16"/>
      <c r="T1335" s="23"/>
      <c r="U1335" s="23"/>
      <c r="V1335" s="23"/>
      <c r="W1335" s="16"/>
      <c r="X1335" s="23"/>
      <c r="Y1335" s="23"/>
      <c r="Z1335" s="23"/>
      <c r="AA1335" s="16"/>
      <c r="AB1335" s="23"/>
      <c r="AC1335" s="23"/>
      <c r="AD1335" s="23"/>
      <c r="AE1335" s="16"/>
      <c r="AF1335" s="23"/>
      <c r="AG1335" s="23"/>
      <c r="AH1335" s="23"/>
      <c r="AI1335" s="16"/>
      <c r="AJ1335" s="23"/>
      <c r="AK1335" s="23"/>
      <c r="AL1335" s="23"/>
      <c r="AM1335" s="16"/>
      <c r="AN1335" s="23"/>
      <c r="AO1335" s="23"/>
      <c r="AP1335" s="23"/>
      <c r="AQ1335" s="16"/>
      <c r="AR1335" s="23"/>
      <c r="AS1335" s="23"/>
      <c r="AT1335" s="23"/>
      <c r="AU1335" s="16"/>
      <c r="AV1335" s="23"/>
      <c r="AW1335" s="23"/>
      <c r="AX1335" s="23"/>
      <c r="AY1335" s="16"/>
      <c r="AZ1335" s="23"/>
      <c r="BA1335" s="23"/>
      <c r="BB1335" s="23"/>
      <c r="BC1335" s="16"/>
      <c r="BD1335" s="23"/>
      <c r="BE1335" s="23"/>
      <c r="BF1335" s="23"/>
      <c r="BJ1335" s="23"/>
      <c r="BN1335" s="23"/>
      <c r="BO1335" s="23">
        <v>17.16</v>
      </c>
      <c r="BP1335" s="16"/>
      <c r="BQ1335" s="16"/>
      <c r="BR1335" s="23">
        <v>17.16</v>
      </c>
      <c r="BS1335" s="16"/>
      <c r="BT1335" s="16"/>
      <c r="BU1335" s="16" t="s">
        <v>539</v>
      </c>
      <c r="BV1335" s="16"/>
      <c r="BW1335" s="16"/>
      <c r="BX1335" s="16"/>
      <c r="BY1335" s="16"/>
    </row>
    <row r="1336">
      <c r="A1336" s="16" t="s">
        <v>7566</v>
      </c>
      <c r="B1336" s="16" t="s">
        <v>35</v>
      </c>
      <c r="C1336" s="22">
        <v>45854.0</v>
      </c>
      <c r="D1336" s="16" t="s">
        <v>1864</v>
      </c>
      <c r="E1336" s="16"/>
      <c r="F1336" s="16" t="s">
        <v>8455</v>
      </c>
      <c r="G1336" s="16" t="s">
        <v>2662</v>
      </c>
      <c r="H1336" s="16">
        <v>1.0</v>
      </c>
      <c r="I1336" s="23">
        <v>2370.69</v>
      </c>
      <c r="J1336" s="23">
        <v>2370.69</v>
      </c>
      <c r="K1336" s="16"/>
      <c r="L1336" s="23"/>
      <c r="M1336" s="23"/>
      <c r="N1336" s="23"/>
      <c r="O1336" s="16"/>
      <c r="P1336" s="23"/>
      <c r="Q1336" s="23"/>
      <c r="R1336" s="23"/>
      <c r="S1336" s="16"/>
      <c r="T1336" s="23"/>
      <c r="U1336" s="23"/>
      <c r="V1336" s="23"/>
      <c r="W1336" s="16"/>
      <c r="X1336" s="23"/>
      <c r="Y1336" s="23"/>
      <c r="Z1336" s="23"/>
      <c r="AA1336" s="16"/>
      <c r="AB1336" s="23"/>
      <c r="AC1336" s="23"/>
      <c r="AD1336" s="23"/>
      <c r="AE1336" s="16"/>
      <c r="AF1336" s="23"/>
      <c r="AG1336" s="23"/>
      <c r="AH1336" s="23"/>
      <c r="AI1336" s="16"/>
      <c r="AJ1336" s="23"/>
      <c r="AK1336" s="23"/>
      <c r="AL1336" s="23"/>
      <c r="AM1336" s="16"/>
      <c r="AN1336" s="23"/>
      <c r="AO1336" s="23"/>
      <c r="AP1336" s="23"/>
      <c r="AQ1336" s="16"/>
      <c r="AR1336" s="23"/>
      <c r="AS1336" s="23"/>
      <c r="AT1336" s="23"/>
      <c r="AU1336" s="16"/>
      <c r="AV1336" s="23"/>
      <c r="AW1336" s="23"/>
      <c r="AX1336" s="23"/>
      <c r="AY1336" s="16"/>
      <c r="AZ1336" s="23"/>
      <c r="BA1336" s="23"/>
      <c r="BB1336" s="23"/>
      <c r="BC1336" s="16"/>
      <c r="BD1336" s="23"/>
      <c r="BE1336" s="23"/>
      <c r="BF1336" s="23"/>
      <c r="BJ1336" s="23"/>
      <c r="BN1336" s="23"/>
      <c r="BO1336" s="23">
        <v>2370.69</v>
      </c>
      <c r="BP1336" s="16"/>
      <c r="BQ1336" s="16"/>
      <c r="BR1336" s="23">
        <v>2370.69</v>
      </c>
      <c r="BS1336" s="16"/>
      <c r="BT1336" s="16"/>
      <c r="BU1336" s="16" t="s">
        <v>539</v>
      </c>
      <c r="BV1336" s="16"/>
      <c r="BW1336" s="16"/>
      <c r="BX1336" s="16"/>
      <c r="BY1336" s="16"/>
    </row>
    <row r="1337">
      <c r="A1337" s="16" t="s">
        <v>7570</v>
      </c>
      <c r="B1337" s="16" t="s">
        <v>35</v>
      </c>
      <c r="C1337" s="22">
        <v>45858.0</v>
      </c>
      <c r="D1337" s="16" t="s">
        <v>890</v>
      </c>
      <c r="E1337" s="16"/>
      <c r="F1337" s="16" t="s">
        <v>8333</v>
      </c>
      <c r="G1337" s="16" t="s">
        <v>3833</v>
      </c>
      <c r="H1337" s="16">
        <v>1.0</v>
      </c>
      <c r="I1337" s="23">
        <v>1979.0</v>
      </c>
      <c r="J1337" s="23">
        <v>1979.0</v>
      </c>
      <c r="K1337" s="16"/>
      <c r="L1337" s="23"/>
      <c r="M1337" s="23"/>
      <c r="N1337" s="23"/>
      <c r="O1337" s="16"/>
      <c r="P1337" s="23"/>
      <c r="Q1337" s="23"/>
      <c r="R1337" s="23"/>
      <c r="S1337" s="16"/>
      <c r="T1337" s="23"/>
      <c r="U1337" s="23"/>
      <c r="V1337" s="23"/>
      <c r="W1337" s="16"/>
      <c r="X1337" s="23"/>
      <c r="Y1337" s="23"/>
      <c r="Z1337" s="23"/>
      <c r="AA1337" s="16"/>
      <c r="AB1337" s="23"/>
      <c r="AC1337" s="23"/>
      <c r="AD1337" s="23"/>
      <c r="AE1337" s="16"/>
      <c r="AF1337" s="23"/>
      <c r="AG1337" s="23"/>
      <c r="AH1337" s="23"/>
      <c r="AI1337" s="16"/>
      <c r="AJ1337" s="23"/>
      <c r="AK1337" s="23"/>
      <c r="AL1337" s="23"/>
      <c r="AM1337" s="16"/>
      <c r="AN1337" s="23"/>
      <c r="AO1337" s="23"/>
      <c r="AP1337" s="23"/>
      <c r="AQ1337" s="16"/>
      <c r="AR1337" s="23"/>
      <c r="AS1337" s="23"/>
      <c r="AT1337" s="23"/>
      <c r="AU1337" s="16"/>
      <c r="AV1337" s="23"/>
      <c r="AW1337" s="23"/>
      <c r="AX1337" s="23"/>
      <c r="AY1337" s="16"/>
      <c r="AZ1337" s="23"/>
      <c r="BA1337" s="23"/>
      <c r="BB1337" s="23"/>
      <c r="BC1337" s="16"/>
      <c r="BD1337" s="23"/>
      <c r="BE1337" s="23"/>
      <c r="BF1337" s="23"/>
      <c r="BJ1337" s="23"/>
      <c r="BN1337" s="23"/>
      <c r="BO1337" s="23">
        <v>1979.0</v>
      </c>
      <c r="BP1337" s="16"/>
      <c r="BQ1337" s="16"/>
      <c r="BR1337" s="23">
        <v>1979.0</v>
      </c>
      <c r="BS1337" s="16"/>
      <c r="BT1337" s="16"/>
      <c r="BU1337" s="16" t="s">
        <v>539</v>
      </c>
      <c r="BV1337" s="16"/>
      <c r="BW1337" s="16"/>
      <c r="BX1337" s="16"/>
      <c r="BY1337" s="16"/>
    </row>
    <row r="1338">
      <c r="A1338" s="16" t="s">
        <v>7572</v>
      </c>
      <c r="B1338" s="16" t="s">
        <v>35</v>
      </c>
      <c r="C1338" s="22">
        <v>45852.0</v>
      </c>
      <c r="D1338" s="16" t="s">
        <v>8466</v>
      </c>
      <c r="E1338" s="16" t="s">
        <v>8467</v>
      </c>
      <c r="F1338" s="16" t="s">
        <v>8469</v>
      </c>
      <c r="G1338" s="16" t="s">
        <v>7573</v>
      </c>
      <c r="H1338" s="16">
        <v>1.0</v>
      </c>
      <c r="I1338" s="23">
        <v>250.0</v>
      </c>
      <c r="J1338" s="23">
        <v>250.0</v>
      </c>
      <c r="K1338" s="16"/>
      <c r="L1338" s="23"/>
      <c r="M1338" s="23"/>
      <c r="N1338" s="23">
        <v>0.0</v>
      </c>
      <c r="O1338" s="16"/>
      <c r="P1338" s="23"/>
      <c r="Q1338" s="23"/>
      <c r="R1338" s="23">
        <v>0.0</v>
      </c>
      <c r="S1338" s="16"/>
      <c r="T1338" s="23"/>
      <c r="U1338" s="23"/>
      <c r="V1338" s="23">
        <v>0.0</v>
      </c>
      <c r="W1338" s="16"/>
      <c r="X1338" s="23"/>
      <c r="Y1338" s="23"/>
      <c r="Z1338" s="23">
        <v>0.0</v>
      </c>
      <c r="AA1338" s="16"/>
      <c r="AB1338" s="23"/>
      <c r="AC1338" s="23"/>
      <c r="AD1338" s="23">
        <v>0.0</v>
      </c>
      <c r="AE1338" s="16"/>
      <c r="AF1338" s="23"/>
      <c r="AG1338" s="23"/>
      <c r="AH1338" s="23">
        <v>0.0</v>
      </c>
      <c r="AI1338" s="16"/>
      <c r="AJ1338" s="23"/>
      <c r="AK1338" s="23"/>
      <c r="AL1338" s="23">
        <v>0.0</v>
      </c>
      <c r="AM1338" s="16"/>
      <c r="AN1338" s="23"/>
      <c r="AO1338" s="23"/>
      <c r="AP1338" s="23">
        <v>0.0</v>
      </c>
      <c r="AQ1338" s="16"/>
      <c r="AR1338" s="23"/>
      <c r="AS1338" s="23"/>
      <c r="AT1338" s="23">
        <v>0.0</v>
      </c>
      <c r="AU1338" s="16"/>
      <c r="AV1338" s="23"/>
      <c r="AW1338" s="23"/>
      <c r="AX1338" s="23">
        <v>0.0</v>
      </c>
      <c r="AY1338" s="16"/>
      <c r="AZ1338" s="23"/>
      <c r="BA1338" s="23"/>
      <c r="BB1338" s="23"/>
      <c r="BC1338" s="16"/>
      <c r="BD1338" s="23"/>
      <c r="BE1338" s="23"/>
      <c r="BF1338" s="23">
        <v>0.0</v>
      </c>
      <c r="BJ1338" s="23">
        <v>0.0</v>
      </c>
      <c r="BN1338" s="23">
        <v>0.0</v>
      </c>
      <c r="BO1338" s="23">
        <v>250.0</v>
      </c>
      <c r="BP1338" s="16" t="s">
        <v>8468</v>
      </c>
      <c r="BQ1338" s="16" t="b">
        <v>1</v>
      </c>
      <c r="BR1338" s="23">
        <v>250.0</v>
      </c>
      <c r="BS1338" s="16">
        <v>1572003.0</v>
      </c>
      <c r="BT1338" s="16" t="b">
        <v>1</v>
      </c>
      <c r="BU1338" s="16" t="s">
        <v>546</v>
      </c>
      <c r="BV1338" s="16"/>
      <c r="BW1338" s="16"/>
      <c r="BX1338" s="16"/>
      <c r="BY1338" s="16"/>
    </row>
    <row r="1339">
      <c r="A1339" s="16" t="s">
        <v>7575</v>
      </c>
      <c r="B1339" s="16" t="s">
        <v>35</v>
      </c>
      <c r="C1339" s="22">
        <v>45855.0</v>
      </c>
      <c r="D1339" s="16" t="s">
        <v>112</v>
      </c>
      <c r="E1339" s="16" t="s">
        <v>8472</v>
      </c>
      <c r="F1339" s="16" t="s">
        <v>157</v>
      </c>
      <c r="G1339" s="16" t="s">
        <v>159</v>
      </c>
      <c r="H1339" s="16">
        <v>1.0</v>
      </c>
      <c r="I1339" s="23">
        <v>172.5</v>
      </c>
      <c r="J1339" s="23">
        <v>172.5</v>
      </c>
      <c r="K1339" s="16">
        <v>1.2539885E7</v>
      </c>
      <c r="L1339" s="23">
        <v>1.0</v>
      </c>
      <c r="M1339" s="23">
        <v>105.0</v>
      </c>
      <c r="N1339" s="23">
        <v>105.0</v>
      </c>
      <c r="O1339" s="16" t="s">
        <v>155</v>
      </c>
      <c r="P1339" s="23">
        <v>1.0</v>
      </c>
      <c r="Q1339" s="23">
        <v>34.05</v>
      </c>
      <c r="R1339" s="23">
        <v>34.05</v>
      </c>
      <c r="S1339" s="16" t="s">
        <v>230</v>
      </c>
      <c r="T1339" s="23">
        <v>1.0</v>
      </c>
      <c r="U1339" s="23">
        <v>117.92</v>
      </c>
      <c r="V1339" s="23">
        <v>117.92</v>
      </c>
      <c r="W1339" s="16" t="s">
        <v>152</v>
      </c>
      <c r="X1339" s="23">
        <v>1.0</v>
      </c>
      <c r="Y1339" s="23">
        <v>10.7</v>
      </c>
      <c r="Z1339" s="23">
        <v>10.7</v>
      </c>
      <c r="AA1339" s="16" t="s">
        <v>226</v>
      </c>
      <c r="AB1339" s="23">
        <v>1.0</v>
      </c>
      <c r="AC1339" s="23">
        <v>59.5</v>
      </c>
      <c r="AD1339" s="23">
        <v>59.5</v>
      </c>
      <c r="AE1339" s="16"/>
      <c r="AF1339" s="23"/>
      <c r="AG1339" s="23"/>
      <c r="AH1339" s="23">
        <v>0.0</v>
      </c>
      <c r="AI1339" s="16"/>
      <c r="AJ1339" s="23"/>
      <c r="AK1339" s="23"/>
      <c r="AL1339" s="23">
        <v>0.0</v>
      </c>
      <c r="AM1339" s="16"/>
      <c r="AN1339" s="23"/>
      <c r="AO1339" s="23"/>
      <c r="AP1339" s="23">
        <v>0.0</v>
      </c>
      <c r="AQ1339" s="16"/>
      <c r="AR1339" s="23"/>
      <c r="AS1339" s="23"/>
      <c r="AT1339" s="23">
        <v>0.0</v>
      </c>
      <c r="AU1339" s="16"/>
      <c r="AV1339" s="23"/>
      <c r="AW1339" s="23"/>
      <c r="AX1339" s="23">
        <v>0.0</v>
      </c>
      <c r="AY1339" s="16"/>
      <c r="AZ1339" s="23"/>
      <c r="BA1339" s="23"/>
      <c r="BB1339" s="23"/>
      <c r="BC1339" s="16"/>
      <c r="BD1339" s="23"/>
      <c r="BE1339" s="23"/>
      <c r="BF1339" s="23">
        <v>0.0</v>
      </c>
      <c r="BJ1339" s="23">
        <v>0.0</v>
      </c>
      <c r="BN1339" s="23">
        <v>0.0</v>
      </c>
      <c r="BO1339" s="23">
        <v>499.67</v>
      </c>
      <c r="BP1339" s="16" t="s">
        <v>8474</v>
      </c>
      <c r="BQ1339" s="16" t="b">
        <v>1</v>
      </c>
      <c r="BR1339" s="23">
        <v>499.67</v>
      </c>
      <c r="BS1339" s="16"/>
      <c r="BT1339" s="16" t="b">
        <v>0</v>
      </c>
      <c r="BU1339" s="16" t="s">
        <v>546</v>
      </c>
      <c r="BV1339" s="16"/>
      <c r="BW1339" s="16"/>
      <c r="BX1339" s="16"/>
      <c r="BY1339" s="16"/>
    </row>
    <row r="1340">
      <c r="A1340" s="16" t="s">
        <v>7586</v>
      </c>
      <c r="B1340" s="16" t="s">
        <v>35</v>
      </c>
      <c r="C1340" s="22">
        <v>45855.0</v>
      </c>
      <c r="D1340" s="16" t="s">
        <v>1310</v>
      </c>
      <c r="E1340" s="16" t="s">
        <v>8476</v>
      </c>
      <c r="F1340" s="16" t="s">
        <v>8478</v>
      </c>
      <c r="G1340" s="16" t="s">
        <v>580</v>
      </c>
      <c r="H1340" s="16">
        <v>1.0</v>
      </c>
      <c r="I1340" s="23">
        <v>80.56</v>
      </c>
      <c r="J1340" s="23">
        <v>80.56</v>
      </c>
      <c r="K1340" s="16"/>
      <c r="L1340" s="23"/>
      <c r="M1340" s="23"/>
      <c r="N1340" s="23">
        <v>0.0</v>
      </c>
      <c r="O1340" s="16"/>
      <c r="P1340" s="23"/>
      <c r="Q1340" s="23"/>
      <c r="R1340" s="23">
        <v>0.0</v>
      </c>
      <c r="S1340" s="16"/>
      <c r="T1340" s="23"/>
      <c r="U1340" s="23"/>
      <c r="V1340" s="23">
        <v>0.0</v>
      </c>
      <c r="W1340" s="16"/>
      <c r="X1340" s="23"/>
      <c r="Y1340" s="23"/>
      <c r="Z1340" s="23">
        <v>0.0</v>
      </c>
      <c r="AA1340" s="16"/>
      <c r="AB1340" s="23"/>
      <c r="AC1340" s="23"/>
      <c r="AD1340" s="23">
        <v>0.0</v>
      </c>
      <c r="AE1340" s="16"/>
      <c r="AF1340" s="23"/>
      <c r="AG1340" s="23"/>
      <c r="AH1340" s="23">
        <v>0.0</v>
      </c>
      <c r="AI1340" s="16"/>
      <c r="AJ1340" s="23"/>
      <c r="AK1340" s="23"/>
      <c r="AL1340" s="23">
        <v>0.0</v>
      </c>
      <c r="AM1340" s="16"/>
      <c r="AN1340" s="23"/>
      <c r="AO1340" s="23"/>
      <c r="AP1340" s="23">
        <v>0.0</v>
      </c>
      <c r="AQ1340" s="16"/>
      <c r="AR1340" s="23"/>
      <c r="AS1340" s="23"/>
      <c r="AT1340" s="23">
        <v>0.0</v>
      </c>
      <c r="AU1340" s="16"/>
      <c r="AV1340" s="23"/>
      <c r="AW1340" s="23"/>
      <c r="AX1340" s="23">
        <v>0.0</v>
      </c>
      <c r="AY1340" s="16"/>
      <c r="AZ1340" s="23"/>
      <c r="BA1340" s="23"/>
      <c r="BB1340" s="23"/>
      <c r="BC1340" s="16"/>
      <c r="BD1340" s="23"/>
      <c r="BE1340" s="23"/>
      <c r="BF1340" s="23">
        <v>0.0</v>
      </c>
      <c r="BJ1340" s="23">
        <v>0.0</v>
      </c>
      <c r="BN1340" s="23">
        <v>0.0</v>
      </c>
      <c r="BO1340" s="23">
        <v>80.56</v>
      </c>
      <c r="BP1340" s="16" t="s">
        <v>8477</v>
      </c>
      <c r="BQ1340" s="16" t="b">
        <v>1</v>
      </c>
      <c r="BR1340" s="23">
        <v>80.56</v>
      </c>
      <c r="BS1340" s="16">
        <v>1578565.0</v>
      </c>
      <c r="BT1340" s="16" t="b">
        <v>1</v>
      </c>
      <c r="BU1340" s="16" t="s">
        <v>546</v>
      </c>
      <c r="BV1340" s="16"/>
      <c r="BW1340" s="16"/>
      <c r="BX1340" s="16"/>
      <c r="BY1340" s="16"/>
    </row>
    <row r="1341">
      <c r="A1341" s="16">
        <v>2.3758284E7</v>
      </c>
      <c r="B1341" s="16" t="s">
        <v>35</v>
      </c>
      <c r="C1341" s="22">
        <v>45856.0</v>
      </c>
      <c r="D1341" s="16" t="s">
        <v>543</v>
      </c>
      <c r="E1341" s="16" t="s">
        <v>8481</v>
      </c>
      <c r="F1341" s="16" t="s">
        <v>171</v>
      </c>
      <c r="G1341" s="16">
        <v>1.2539885E7</v>
      </c>
      <c r="H1341" s="16">
        <v>1.0</v>
      </c>
      <c r="I1341" s="23">
        <v>70.0</v>
      </c>
      <c r="J1341" s="23">
        <v>70.0</v>
      </c>
      <c r="K1341" s="16"/>
      <c r="L1341" s="23"/>
      <c r="M1341" s="23"/>
      <c r="N1341" s="23">
        <v>0.0</v>
      </c>
      <c r="O1341" s="16"/>
      <c r="P1341" s="23"/>
      <c r="Q1341" s="23"/>
      <c r="R1341" s="23">
        <v>0.0</v>
      </c>
      <c r="S1341" s="16"/>
      <c r="T1341" s="23"/>
      <c r="U1341" s="23"/>
      <c r="V1341" s="23">
        <v>0.0</v>
      </c>
      <c r="W1341" s="16"/>
      <c r="X1341" s="23"/>
      <c r="Y1341" s="23"/>
      <c r="Z1341" s="23">
        <v>0.0</v>
      </c>
      <c r="AA1341" s="16"/>
      <c r="AB1341" s="23"/>
      <c r="AC1341" s="23"/>
      <c r="AD1341" s="23">
        <v>0.0</v>
      </c>
      <c r="AE1341" s="16"/>
      <c r="AF1341" s="23"/>
      <c r="AG1341" s="23"/>
      <c r="AH1341" s="23">
        <v>0.0</v>
      </c>
      <c r="AI1341" s="16"/>
      <c r="AJ1341" s="23"/>
      <c r="AK1341" s="23"/>
      <c r="AL1341" s="23">
        <v>0.0</v>
      </c>
      <c r="AM1341" s="16"/>
      <c r="AN1341" s="23"/>
      <c r="AO1341" s="23"/>
      <c r="AP1341" s="23">
        <v>0.0</v>
      </c>
      <c r="AQ1341" s="16"/>
      <c r="AR1341" s="23"/>
      <c r="AS1341" s="23"/>
      <c r="AT1341" s="23">
        <v>0.0</v>
      </c>
      <c r="AU1341" s="16"/>
      <c r="AV1341" s="23"/>
      <c r="AW1341" s="23"/>
      <c r="AX1341" s="23">
        <v>0.0</v>
      </c>
      <c r="AY1341" s="16"/>
      <c r="AZ1341" s="23"/>
      <c r="BA1341" s="23"/>
      <c r="BB1341" s="23"/>
      <c r="BC1341" s="16"/>
      <c r="BD1341" s="23"/>
      <c r="BE1341" s="23"/>
      <c r="BF1341" s="23">
        <v>0.0</v>
      </c>
      <c r="BJ1341" s="23">
        <v>0.0</v>
      </c>
      <c r="BN1341" s="23">
        <v>0.0</v>
      </c>
      <c r="BO1341" s="23">
        <v>70.0</v>
      </c>
      <c r="BP1341" s="16" t="s">
        <v>8482</v>
      </c>
      <c r="BQ1341" s="16" t="b">
        <v>1</v>
      </c>
      <c r="BR1341" s="23">
        <v>70.0</v>
      </c>
      <c r="BS1341" s="16"/>
      <c r="BT1341" s="16" t="b">
        <v>0</v>
      </c>
      <c r="BU1341" s="16" t="s">
        <v>546</v>
      </c>
      <c r="BV1341" s="16"/>
      <c r="BW1341" s="16"/>
      <c r="BX1341" s="16"/>
      <c r="BY1341" s="16"/>
    </row>
    <row r="1342">
      <c r="A1342" s="16" t="s">
        <v>7590</v>
      </c>
      <c r="B1342" s="16" t="s">
        <v>35</v>
      </c>
      <c r="C1342" s="22">
        <v>45859.0</v>
      </c>
      <c r="D1342" s="16" t="s">
        <v>112</v>
      </c>
      <c r="E1342" s="16" t="s">
        <v>8491</v>
      </c>
      <c r="F1342" s="16" t="s">
        <v>171</v>
      </c>
      <c r="G1342" s="16">
        <v>1.2539885E7</v>
      </c>
      <c r="H1342" s="16">
        <v>1.0</v>
      </c>
      <c r="I1342" s="23">
        <v>190.0</v>
      </c>
      <c r="J1342" s="23">
        <v>190.0</v>
      </c>
      <c r="K1342" s="16"/>
      <c r="L1342" s="23"/>
      <c r="M1342" s="23"/>
      <c r="N1342" s="23">
        <v>0.0</v>
      </c>
      <c r="O1342" s="16"/>
      <c r="P1342" s="23"/>
      <c r="Q1342" s="23"/>
      <c r="R1342" s="23">
        <v>0.0</v>
      </c>
      <c r="S1342" s="16"/>
      <c r="T1342" s="23"/>
      <c r="U1342" s="23"/>
      <c r="V1342" s="23">
        <v>0.0</v>
      </c>
      <c r="W1342" s="16"/>
      <c r="X1342" s="23"/>
      <c r="Y1342" s="23"/>
      <c r="Z1342" s="23">
        <v>0.0</v>
      </c>
      <c r="AA1342" s="16"/>
      <c r="AB1342" s="23"/>
      <c r="AC1342" s="23"/>
      <c r="AD1342" s="23">
        <v>0.0</v>
      </c>
      <c r="AE1342" s="16"/>
      <c r="AF1342" s="23"/>
      <c r="AG1342" s="23"/>
      <c r="AH1342" s="23">
        <v>0.0</v>
      </c>
      <c r="AI1342" s="16"/>
      <c r="AJ1342" s="23"/>
      <c r="AK1342" s="23"/>
      <c r="AL1342" s="23">
        <v>0.0</v>
      </c>
      <c r="AM1342" s="16"/>
      <c r="AN1342" s="23"/>
      <c r="AO1342" s="23"/>
      <c r="AP1342" s="23">
        <v>0.0</v>
      </c>
      <c r="AQ1342" s="16"/>
      <c r="AR1342" s="23"/>
      <c r="AS1342" s="23"/>
      <c r="AT1342" s="23">
        <v>0.0</v>
      </c>
      <c r="AU1342" s="16"/>
      <c r="AV1342" s="23"/>
      <c r="AW1342" s="23"/>
      <c r="AX1342" s="23">
        <v>0.0</v>
      </c>
      <c r="AY1342" s="16"/>
      <c r="AZ1342" s="23"/>
      <c r="BA1342" s="23"/>
      <c r="BB1342" s="23"/>
      <c r="BC1342" s="16"/>
      <c r="BD1342" s="23"/>
      <c r="BE1342" s="23"/>
      <c r="BF1342" s="23">
        <v>0.0</v>
      </c>
      <c r="BJ1342" s="23">
        <v>0.0</v>
      </c>
      <c r="BN1342" s="23">
        <v>0.0</v>
      </c>
      <c r="BO1342" s="23">
        <v>190.0</v>
      </c>
      <c r="BP1342" s="16" t="s">
        <v>8492</v>
      </c>
      <c r="BQ1342" s="16" t="b">
        <v>1</v>
      </c>
      <c r="BR1342" s="23">
        <v>190.0</v>
      </c>
      <c r="BS1342" s="16"/>
      <c r="BT1342" s="16" t="b">
        <v>0</v>
      </c>
      <c r="BU1342" s="16" t="s">
        <v>546</v>
      </c>
      <c r="BV1342" s="16"/>
      <c r="BW1342" s="16"/>
      <c r="BX1342" s="16"/>
      <c r="BY1342" s="16"/>
    </row>
    <row r="1343">
      <c r="A1343" s="16" t="s">
        <v>7592</v>
      </c>
      <c r="B1343" s="16" t="s">
        <v>35</v>
      </c>
      <c r="C1343" s="22">
        <v>45858.0</v>
      </c>
      <c r="D1343" s="16" t="s">
        <v>233</v>
      </c>
      <c r="E1343" s="16" t="s">
        <v>8496</v>
      </c>
      <c r="F1343" s="16" t="s">
        <v>8499</v>
      </c>
      <c r="G1343" s="16" t="s">
        <v>159</v>
      </c>
      <c r="H1343" s="16">
        <v>6.0</v>
      </c>
      <c r="I1343" s="23">
        <v>11.99</v>
      </c>
      <c r="J1343" s="23">
        <v>71.94</v>
      </c>
      <c r="K1343" s="16" t="s">
        <v>152</v>
      </c>
      <c r="L1343" s="23">
        <v>1.0</v>
      </c>
      <c r="M1343" s="23">
        <v>11.01</v>
      </c>
      <c r="N1343" s="23">
        <v>11.01</v>
      </c>
      <c r="O1343" s="16" t="s">
        <v>155</v>
      </c>
      <c r="P1343" s="23">
        <v>1.0</v>
      </c>
      <c r="Q1343" s="23">
        <v>21.38</v>
      </c>
      <c r="R1343" s="23">
        <v>21.38</v>
      </c>
      <c r="S1343" s="16"/>
      <c r="T1343" s="23"/>
      <c r="U1343" s="23"/>
      <c r="V1343" s="23">
        <v>0.0</v>
      </c>
      <c r="W1343" s="16"/>
      <c r="X1343" s="23"/>
      <c r="Y1343" s="23"/>
      <c r="Z1343" s="23">
        <v>0.0</v>
      </c>
      <c r="AA1343" s="16"/>
      <c r="AB1343" s="23"/>
      <c r="AC1343" s="23"/>
      <c r="AD1343" s="23">
        <v>0.0</v>
      </c>
      <c r="AE1343" s="16"/>
      <c r="AF1343" s="23"/>
      <c r="AG1343" s="23"/>
      <c r="AH1343" s="23">
        <v>0.0</v>
      </c>
      <c r="AI1343" s="16"/>
      <c r="AJ1343" s="23"/>
      <c r="AK1343" s="23"/>
      <c r="AL1343" s="23">
        <v>0.0</v>
      </c>
      <c r="AM1343" s="16"/>
      <c r="AN1343" s="23"/>
      <c r="AO1343" s="23"/>
      <c r="AP1343" s="23">
        <v>0.0</v>
      </c>
      <c r="AQ1343" s="16"/>
      <c r="AR1343" s="23"/>
      <c r="AS1343" s="23"/>
      <c r="AT1343" s="23">
        <v>0.0</v>
      </c>
      <c r="AU1343" s="16"/>
      <c r="AV1343" s="23"/>
      <c r="AW1343" s="23"/>
      <c r="AX1343" s="23">
        <v>0.0</v>
      </c>
      <c r="AY1343" s="16"/>
      <c r="AZ1343" s="23"/>
      <c r="BA1343" s="23"/>
      <c r="BB1343" s="23"/>
      <c r="BC1343" s="16"/>
      <c r="BD1343" s="23"/>
      <c r="BE1343" s="23"/>
      <c r="BF1343" s="23">
        <v>0.0</v>
      </c>
      <c r="BJ1343" s="23">
        <v>0.0</v>
      </c>
      <c r="BN1343" s="23">
        <v>0.0</v>
      </c>
      <c r="BO1343" s="23">
        <v>104.33</v>
      </c>
      <c r="BP1343" s="16" t="s">
        <v>8497</v>
      </c>
      <c r="BQ1343" s="16" t="b">
        <v>1</v>
      </c>
      <c r="BR1343" s="23">
        <v>104.33</v>
      </c>
      <c r="BS1343" s="16">
        <v>1582479.0</v>
      </c>
      <c r="BT1343" s="16" t="b">
        <v>1</v>
      </c>
      <c r="BU1343" s="16" t="s">
        <v>546</v>
      </c>
      <c r="BV1343" s="16"/>
      <c r="BW1343" s="16"/>
      <c r="BX1343" s="16"/>
      <c r="BY1343" s="16"/>
    </row>
    <row r="1344">
      <c r="A1344" s="16" t="s">
        <v>7598</v>
      </c>
      <c r="B1344" s="16" t="s">
        <v>35</v>
      </c>
      <c r="C1344" s="22">
        <v>45858.0</v>
      </c>
      <c r="D1344" s="16" t="s">
        <v>233</v>
      </c>
      <c r="E1344" s="16" t="s">
        <v>8503</v>
      </c>
      <c r="F1344" s="16" t="s">
        <v>171</v>
      </c>
      <c r="G1344" s="16">
        <v>1.2539885E7</v>
      </c>
      <c r="H1344" s="16">
        <v>4.0</v>
      </c>
      <c r="I1344" s="23">
        <v>15.99</v>
      </c>
      <c r="J1344" s="23">
        <v>63.96</v>
      </c>
      <c r="K1344" s="16"/>
      <c r="L1344" s="23"/>
      <c r="M1344" s="23"/>
      <c r="N1344" s="23">
        <v>0.0</v>
      </c>
      <c r="O1344" s="16"/>
      <c r="P1344" s="23"/>
      <c r="Q1344" s="23"/>
      <c r="R1344" s="23">
        <v>0.0</v>
      </c>
      <c r="S1344" s="16"/>
      <c r="T1344" s="23"/>
      <c r="U1344" s="23"/>
      <c r="V1344" s="23">
        <v>0.0</v>
      </c>
      <c r="W1344" s="16"/>
      <c r="X1344" s="23"/>
      <c r="Y1344" s="23"/>
      <c r="Z1344" s="23">
        <v>0.0</v>
      </c>
      <c r="AA1344" s="16"/>
      <c r="AB1344" s="23"/>
      <c r="AC1344" s="23"/>
      <c r="AD1344" s="23">
        <v>0.0</v>
      </c>
      <c r="AE1344" s="16"/>
      <c r="AF1344" s="23"/>
      <c r="AG1344" s="23"/>
      <c r="AH1344" s="23">
        <v>0.0</v>
      </c>
      <c r="AI1344" s="16"/>
      <c r="AJ1344" s="23"/>
      <c r="AK1344" s="23"/>
      <c r="AL1344" s="23">
        <v>0.0</v>
      </c>
      <c r="AM1344" s="16"/>
      <c r="AN1344" s="23"/>
      <c r="AO1344" s="23"/>
      <c r="AP1344" s="23">
        <v>0.0</v>
      </c>
      <c r="AQ1344" s="16"/>
      <c r="AR1344" s="23"/>
      <c r="AS1344" s="23"/>
      <c r="AT1344" s="23">
        <v>0.0</v>
      </c>
      <c r="AU1344" s="16"/>
      <c r="AV1344" s="23"/>
      <c r="AW1344" s="23"/>
      <c r="AX1344" s="23">
        <v>0.0</v>
      </c>
      <c r="AY1344" s="16"/>
      <c r="AZ1344" s="23"/>
      <c r="BA1344" s="23"/>
      <c r="BB1344" s="23"/>
      <c r="BC1344" s="16"/>
      <c r="BD1344" s="23"/>
      <c r="BE1344" s="23"/>
      <c r="BF1344" s="23">
        <v>0.0</v>
      </c>
      <c r="BJ1344" s="23">
        <v>0.0</v>
      </c>
      <c r="BN1344" s="23">
        <v>0.0</v>
      </c>
      <c r="BO1344" s="23">
        <v>63.96</v>
      </c>
      <c r="BP1344" s="16" t="s">
        <v>8504</v>
      </c>
      <c r="BQ1344" s="16" t="b">
        <v>1</v>
      </c>
      <c r="BR1344" s="23">
        <v>63.96</v>
      </c>
      <c r="BS1344" s="16">
        <v>1581699.0</v>
      </c>
      <c r="BT1344" s="16" t="b">
        <v>1</v>
      </c>
      <c r="BU1344" s="16" t="s">
        <v>546</v>
      </c>
      <c r="BV1344" s="16"/>
      <c r="BW1344" s="16"/>
      <c r="BX1344" s="16"/>
      <c r="BY1344" s="16"/>
    </row>
    <row r="1345">
      <c r="A1345" s="16" t="s">
        <v>7601</v>
      </c>
      <c r="B1345" s="16" t="s">
        <v>35</v>
      </c>
      <c r="C1345" s="22">
        <v>45858.0</v>
      </c>
      <c r="D1345" s="16" t="s">
        <v>8319</v>
      </c>
      <c r="E1345" s="16" t="s">
        <v>8507</v>
      </c>
      <c r="F1345" s="16" t="s">
        <v>8510</v>
      </c>
      <c r="G1345" s="16" t="s">
        <v>155</v>
      </c>
      <c r="H1345" s="16">
        <v>1.0</v>
      </c>
      <c r="I1345" s="23">
        <v>36.16</v>
      </c>
      <c r="J1345" s="23">
        <v>36.16</v>
      </c>
      <c r="K1345" s="16"/>
      <c r="L1345" s="23"/>
      <c r="M1345" s="23"/>
      <c r="N1345" s="23">
        <v>0.0</v>
      </c>
      <c r="O1345" s="16"/>
      <c r="P1345" s="23"/>
      <c r="Q1345" s="23"/>
      <c r="R1345" s="23">
        <v>0.0</v>
      </c>
      <c r="S1345" s="16"/>
      <c r="T1345" s="23"/>
      <c r="U1345" s="23"/>
      <c r="V1345" s="23">
        <v>0.0</v>
      </c>
      <c r="W1345" s="16"/>
      <c r="X1345" s="23"/>
      <c r="Y1345" s="23"/>
      <c r="Z1345" s="23">
        <v>0.0</v>
      </c>
      <c r="AA1345" s="16"/>
      <c r="AB1345" s="23"/>
      <c r="AC1345" s="23"/>
      <c r="AD1345" s="23">
        <v>0.0</v>
      </c>
      <c r="AE1345" s="16"/>
      <c r="AF1345" s="23"/>
      <c r="AG1345" s="23"/>
      <c r="AH1345" s="23">
        <v>0.0</v>
      </c>
      <c r="AI1345" s="16"/>
      <c r="AJ1345" s="23"/>
      <c r="AK1345" s="23"/>
      <c r="AL1345" s="23">
        <v>0.0</v>
      </c>
      <c r="AM1345" s="16"/>
      <c r="AN1345" s="23"/>
      <c r="AO1345" s="23"/>
      <c r="AP1345" s="23">
        <v>0.0</v>
      </c>
      <c r="AQ1345" s="16"/>
      <c r="AR1345" s="23"/>
      <c r="AS1345" s="23"/>
      <c r="AT1345" s="23">
        <v>0.0</v>
      </c>
      <c r="AU1345" s="16"/>
      <c r="AV1345" s="23"/>
      <c r="AW1345" s="23"/>
      <c r="AX1345" s="23">
        <v>0.0</v>
      </c>
      <c r="AY1345" s="16"/>
      <c r="AZ1345" s="23"/>
      <c r="BA1345" s="23"/>
      <c r="BB1345" s="23"/>
      <c r="BC1345" s="16"/>
      <c r="BD1345" s="23"/>
      <c r="BE1345" s="23"/>
      <c r="BF1345" s="23">
        <v>0.0</v>
      </c>
      <c r="BJ1345" s="23">
        <v>0.0</v>
      </c>
      <c r="BN1345" s="23">
        <v>0.0</v>
      </c>
      <c r="BO1345" s="23">
        <v>36.16</v>
      </c>
      <c r="BP1345" s="16" t="s">
        <v>8509</v>
      </c>
      <c r="BQ1345" s="16" t="b">
        <v>1</v>
      </c>
      <c r="BR1345" s="23">
        <v>36.16</v>
      </c>
      <c r="BS1345" s="16">
        <v>1581700.0</v>
      </c>
      <c r="BT1345" s="16" t="b">
        <v>1</v>
      </c>
      <c r="BU1345" s="16" t="s">
        <v>546</v>
      </c>
      <c r="BV1345" s="16"/>
      <c r="BW1345" s="16"/>
      <c r="BX1345" s="16"/>
      <c r="BY1345" s="16"/>
    </row>
    <row r="1346">
      <c r="A1346" s="16" t="s">
        <v>7605</v>
      </c>
      <c r="B1346" s="16" t="s">
        <v>35</v>
      </c>
      <c r="C1346" s="22">
        <v>45857.0</v>
      </c>
      <c r="D1346" s="16" t="s">
        <v>175</v>
      </c>
      <c r="E1346" s="16" t="s">
        <v>8515</v>
      </c>
      <c r="F1346" s="16" t="s">
        <v>171</v>
      </c>
      <c r="G1346" s="16">
        <v>1.2539885E7</v>
      </c>
      <c r="H1346" s="16">
        <v>1.0</v>
      </c>
      <c r="I1346" s="23">
        <v>140.25</v>
      </c>
      <c r="J1346" s="23">
        <v>140.25</v>
      </c>
      <c r="K1346" s="16"/>
      <c r="L1346" s="23"/>
      <c r="M1346" s="23"/>
      <c r="N1346" s="23">
        <v>0.0</v>
      </c>
      <c r="O1346" s="16"/>
      <c r="P1346" s="23"/>
      <c r="Q1346" s="23"/>
      <c r="R1346" s="23">
        <v>0.0</v>
      </c>
      <c r="S1346" s="16"/>
      <c r="T1346" s="23"/>
      <c r="U1346" s="23"/>
      <c r="V1346" s="23">
        <v>0.0</v>
      </c>
      <c r="W1346" s="16"/>
      <c r="X1346" s="23"/>
      <c r="Y1346" s="23"/>
      <c r="Z1346" s="23">
        <v>0.0</v>
      </c>
      <c r="AA1346" s="16"/>
      <c r="AB1346" s="23"/>
      <c r="AC1346" s="23"/>
      <c r="AD1346" s="23">
        <v>0.0</v>
      </c>
      <c r="AE1346" s="16"/>
      <c r="AF1346" s="23"/>
      <c r="AG1346" s="23"/>
      <c r="AH1346" s="23">
        <v>0.0</v>
      </c>
      <c r="AI1346" s="16"/>
      <c r="AJ1346" s="23"/>
      <c r="AK1346" s="23"/>
      <c r="AL1346" s="23">
        <v>0.0</v>
      </c>
      <c r="AM1346" s="16"/>
      <c r="AN1346" s="23"/>
      <c r="AO1346" s="23"/>
      <c r="AP1346" s="23">
        <v>0.0</v>
      </c>
      <c r="AQ1346" s="16"/>
      <c r="AR1346" s="23"/>
      <c r="AS1346" s="23"/>
      <c r="AT1346" s="23">
        <v>0.0</v>
      </c>
      <c r="AU1346" s="16"/>
      <c r="AV1346" s="23"/>
      <c r="AW1346" s="23"/>
      <c r="AX1346" s="23">
        <v>0.0</v>
      </c>
      <c r="AY1346" s="16"/>
      <c r="AZ1346" s="23"/>
      <c r="BA1346" s="23"/>
      <c r="BB1346" s="23"/>
      <c r="BC1346" s="16"/>
      <c r="BD1346" s="23"/>
      <c r="BE1346" s="23"/>
      <c r="BF1346" s="23">
        <v>0.0</v>
      </c>
      <c r="BJ1346" s="23">
        <v>0.0</v>
      </c>
      <c r="BN1346" s="23">
        <v>0.0</v>
      </c>
      <c r="BO1346" s="23">
        <v>140.25</v>
      </c>
      <c r="BP1346" s="16" t="s">
        <v>8516</v>
      </c>
      <c r="BQ1346" s="16" t="b">
        <v>1</v>
      </c>
      <c r="BR1346" s="23">
        <v>140.25</v>
      </c>
      <c r="BS1346" s="16">
        <v>1580242.0</v>
      </c>
      <c r="BT1346" s="16" t="b">
        <v>1</v>
      </c>
      <c r="BU1346" s="16" t="s">
        <v>546</v>
      </c>
      <c r="BV1346" s="16"/>
      <c r="BW1346" s="16"/>
      <c r="BX1346" s="16"/>
      <c r="BY1346" s="16"/>
    </row>
    <row r="1347">
      <c r="A1347" s="16" t="s">
        <v>7607</v>
      </c>
      <c r="B1347" s="16" t="s">
        <v>35</v>
      </c>
      <c r="C1347" s="22">
        <v>45856.0</v>
      </c>
      <c r="D1347" s="16">
        <v>8.627274E7</v>
      </c>
      <c r="E1347" s="16" t="s">
        <v>8523</v>
      </c>
      <c r="F1347" s="16" t="s">
        <v>236</v>
      </c>
      <c r="G1347" s="16" t="s">
        <v>305</v>
      </c>
      <c r="H1347" s="16">
        <v>1.0</v>
      </c>
      <c r="I1347" s="23">
        <v>125.82</v>
      </c>
      <c r="J1347" s="23">
        <v>125.82</v>
      </c>
      <c r="K1347" s="16"/>
      <c r="L1347" s="23"/>
      <c r="M1347" s="23"/>
      <c r="N1347" s="23">
        <v>0.0</v>
      </c>
      <c r="O1347" s="16"/>
      <c r="P1347" s="23"/>
      <c r="Q1347" s="23"/>
      <c r="R1347" s="23">
        <v>0.0</v>
      </c>
      <c r="S1347" s="16"/>
      <c r="T1347" s="23"/>
      <c r="U1347" s="23"/>
      <c r="V1347" s="23">
        <v>0.0</v>
      </c>
      <c r="W1347" s="16"/>
      <c r="X1347" s="23"/>
      <c r="Y1347" s="23"/>
      <c r="Z1347" s="23">
        <v>0.0</v>
      </c>
      <c r="AA1347" s="16"/>
      <c r="AB1347" s="23"/>
      <c r="AC1347" s="23"/>
      <c r="AD1347" s="23">
        <v>0.0</v>
      </c>
      <c r="AE1347" s="16"/>
      <c r="AF1347" s="23"/>
      <c r="AG1347" s="23"/>
      <c r="AH1347" s="23">
        <v>0.0</v>
      </c>
      <c r="AI1347" s="16"/>
      <c r="AJ1347" s="23"/>
      <c r="AK1347" s="23"/>
      <c r="AL1347" s="23">
        <v>0.0</v>
      </c>
      <c r="AM1347" s="16"/>
      <c r="AN1347" s="23"/>
      <c r="AO1347" s="23"/>
      <c r="AP1347" s="23">
        <v>0.0</v>
      </c>
      <c r="AQ1347" s="16"/>
      <c r="AR1347" s="23"/>
      <c r="AS1347" s="23"/>
      <c r="AT1347" s="23">
        <v>0.0</v>
      </c>
      <c r="AU1347" s="16"/>
      <c r="AV1347" s="23"/>
      <c r="AW1347" s="23"/>
      <c r="AX1347" s="23">
        <v>0.0</v>
      </c>
      <c r="AY1347" s="16"/>
      <c r="AZ1347" s="23"/>
      <c r="BA1347" s="23"/>
      <c r="BB1347" s="23"/>
      <c r="BC1347" s="16"/>
      <c r="BD1347" s="23"/>
      <c r="BE1347" s="23"/>
      <c r="BF1347" s="23">
        <v>0.0</v>
      </c>
      <c r="BJ1347" s="23">
        <v>0.0</v>
      </c>
      <c r="BN1347" s="23">
        <v>0.0</v>
      </c>
      <c r="BO1347" s="23">
        <v>125.82</v>
      </c>
      <c r="BP1347" s="16" t="s">
        <v>8524</v>
      </c>
      <c r="BQ1347" s="16" t="b">
        <v>1</v>
      </c>
      <c r="BR1347" s="23">
        <v>125.82</v>
      </c>
      <c r="BS1347" s="16">
        <v>1578209.0</v>
      </c>
      <c r="BT1347" s="16" t="b">
        <v>1</v>
      </c>
      <c r="BU1347" s="16" t="s">
        <v>546</v>
      </c>
      <c r="BV1347" s="16"/>
      <c r="BW1347" s="16"/>
      <c r="BX1347" s="16"/>
      <c r="BY1347" s="16"/>
    </row>
    <row r="1348">
      <c r="A1348" s="16" t="s">
        <v>7609</v>
      </c>
      <c r="B1348" s="16" t="s">
        <v>35</v>
      </c>
      <c r="C1348" s="22">
        <v>45856.0</v>
      </c>
      <c r="D1348" s="16" t="s">
        <v>353</v>
      </c>
      <c r="E1348" s="16" t="s">
        <v>8527</v>
      </c>
      <c r="F1348" s="16" t="s">
        <v>8531</v>
      </c>
      <c r="G1348" s="16" t="s">
        <v>4406</v>
      </c>
      <c r="H1348" s="16">
        <v>1.0</v>
      </c>
      <c r="I1348" s="23">
        <v>299.98</v>
      </c>
      <c r="J1348" s="23">
        <v>299.98</v>
      </c>
      <c r="K1348" s="16" t="s">
        <v>5770</v>
      </c>
      <c r="L1348" s="23">
        <v>1.0</v>
      </c>
      <c r="M1348" s="23">
        <v>116.97</v>
      </c>
      <c r="N1348" s="23">
        <v>116.97</v>
      </c>
      <c r="O1348" s="16" t="s">
        <v>1350</v>
      </c>
      <c r="P1348" s="23">
        <v>1.0</v>
      </c>
      <c r="Q1348" s="23">
        <v>44.0</v>
      </c>
      <c r="R1348" s="23">
        <v>44.0</v>
      </c>
      <c r="S1348" s="16" t="s">
        <v>691</v>
      </c>
      <c r="T1348" s="23">
        <v>1.0</v>
      </c>
      <c r="U1348" s="23">
        <v>91.69</v>
      </c>
      <c r="V1348" s="23">
        <v>91.69</v>
      </c>
      <c r="W1348" s="16"/>
      <c r="X1348" s="23"/>
      <c r="Y1348" s="23"/>
      <c r="Z1348" s="23">
        <v>0.0</v>
      </c>
      <c r="AA1348" s="16"/>
      <c r="AB1348" s="23"/>
      <c r="AC1348" s="23"/>
      <c r="AD1348" s="23">
        <v>0.0</v>
      </c>
      <c r="AE1348" s="16"/>
      <c r="AF1348" s="23"/>
      <c r="AG1348" s="23"/>
      <c r="AH1348" s="23">
        <v>0.0</v>
      </c>
      <c r="AI1348" s="16"/>
      <c r="AJ1348" s="23"/>
      <c r="AK1348" s="23"/>
      <c r="AL1348" s="23">
        <v>0.0</v>
      </c>
      <c r="AM1348" s="16"/>
      <c r="AN1348" s="23"/>
      <c r="AO1348" s="23"/>
      <c r="AP1348" s="23">
        <v>0.0</v>
      </c>
      <c r="AQ1348" s="16"/>
      <c r="AR1348" s="23"/>
      <c r="AS1348" s="23"/>
      <c r="AT1348" s="23">
        <v>0.0</v>
      </c>
      <c r="AU1348" s="16"/>
      <c r="AV1348" s="23"/>
      <c r="AW1348" s="23"/>
      <c r="AX1348" s="23">
        <v>0.0</v>
      </c>
      <c r="AY1348" s="16"/>
      <c r="AZ1348" s="23"/>
      <c r="BA1348" s="23"/>
      <c r="BB1348" s="23"/>
      <c r="BC1348" s="16"/>
      <c r="BD1348" s="23"/>
      <c r="BE1348" s="23"/>
      <c r="BF1348" s="23">
        <v>0.0</v>
      </c>
      <c r="BJ1348" s="23">
        <v>0.0</v>
      </c>
      <c r="BN1348" s="23">
        <v>0.0</v>
      </c>
      <c r="BO1348" s="23">
        <v>552.64</v>
      </c>
      <c r="BP1348" s="16" t="s">
        <v>8529</v>
      </c>
      <c r="BQ1348" s="16" t="b">
        <v>1</v>
      </c>
      <c r="BR1348" s="23">
        <v>552.64</v>
      </c>
      <c r="BS1348" s="16">
        <v>1578376.0</v>
      </c>
      <c r="BT1348" s="16" t="b">
        <v>1</v>
      </c>
      <c r="BU1348" s="16" t="s">
        <v>546</v>
      </c>
      <c r="BV1348" s="16"/>
      <c r="BW1348" s="16"/>
      <c r="BX1348" s="16"/>
      <c r="BY1348" s="16"/>
    </row>
    <row r="1349">
      <c r="A1349" s="16" t="s">
        <v>7617</v>
      </c>
      <c r="B1349" s="16" t="s">
        <v>35</v>
      </c>
      <c r="C1349" s="22">
        <v>45839.0</v>
      </c>
      <c r="D1349" s="16" t="s">
        <v>1036</v>
      </c>
      <c r="E1349" s="16" t="s">
        <v>8536</v>
      </c>
      <c r="F1349" s="16" t="s">
        <v>5755</v>
      </c>
      <c r="G1349" s="16" t="s">
        <v>1668</v>
      </c>
      <c r="H1349" s="16">
        <v>1.0</v>
      </c>
      <c r="I1349" s="23">
        <v>124.16</v>
      </c>
      <c r="J1349" s="23">
        <v>124.16</v>
      </c>
      <c r="K1349" s="16"/>
      <c r="L1349" s="23"/>
      <c r="M1349" s="23"/>
      <c r="N1349" s="23">
        <v>0.0</v>
      </c>
      <c r="O1349" s="16"/>
      <c r="P1349" s="23"/>
      <c r="Q1349" s="23"/>
      <c r="R1349" s="23">
        <v>0.0</v>
      </c>
      <c r="S1349" s="16"/>
      <c r="T1349" s="23"/>
      <c r="U1349" s="23"/>
      <c r="V1349" s="23">
        <v>0.0</v>
      </c>
      <c r="W1349" s="16"/>
      <c r="X1349" s="23"/>
      <c r="Y1349" s="23"/>
      <c r="Z1349" s="23">
        <v>0.0</v>
      </c>
      <c r="AA1349" s="16"/>
      <c r="AB1349" s="23"/>
      <c r="AC1349" s="23"/>
      <c r="AD1349" s="23">
        <v>0.0</v>
      </c>
      <c r="AE1349" s="16"/>
      <c r="AF1349" s="23"/>
      <c r="AG1349" s="23"/>
      <c r="AH1349" s="23">
        <v>0.0</v>
      </c>
      <c r="AI1349" s="16"/>
      <c r="AJ1349" s="23"/>
      <c r="AK1349" s="23"/>
      <c r="AL1349" s="23">
        <v>0.0</v>
      </c>
      <c r="AM1349" s="16"/>
      <c r="AN1349" s="23"/>
      <c r="AO1349" s="23"/>
      <c r="AP1349" s="23">
        <v>0.0</v>
      </c>
      <c r="AQ1349" s="16"/>
      <c r="AR1349" s="23"/>
      <c r="AS1349" s="23"/>
      <c r="AT1349" s="23">
        <v>0.0</v>
      </c>
      <c r="AU1349" s="16"/>
      <c r="AV1349" s="23"/>
      <c r="AW1349" s="23"/>
      <c r="AX1349" s="23">
        <v>0.0</v>
      </c>
      <c r="AY1349" s="16"/>
      <c r="AZ1349" s="23"/>
      <c r="BA1349" s="23"/>
      <c r="BB1349" s="23"/>
      <c r="BC1349" s="16"/>
      <c r="BD1349" s="23"/>
      <c r="BE1349" s="23"/>
      <c r="BF1349" s="23">
        <v>0.0</v>
      </c>
      <c r="BJ1349" s="23">
        <v>0.0</v>
      </c>
      <c r="BN1349" s="23">
        <v>0.0</v>
      </c>
      <c r="BO1349" s="23">
        <v>124.16</v>
      </c>
      <c r="BP1349" s="16" t="s">
        <v>8538</v>
      </c>
      <c r="BQ1349" s="16" t="b">
        <v>1</v>
      </c>
      <c r="BR1349" s="23">
        <v>124.16</v>
      </c>
      <c r="BS1349" s="16"/>
      <c r="BT1349" s="16" t="b">
        <v>0</v>
      </c>
      <c r="BU1349" s="16" t="s">
        <v>546</v>
      </c>
      <c r="BV1349" s="16"/>
      <c r="BW1349" s="16"/>
      <c r="BX1349" s="16"/>
      <c r="BY1349" s="16"/>
    </row>
    <row r="1350">
      <c r="A1350" s="16" t="s">
        <v>7620</v>
      </c>
      <c r="B1350" s="16" t="s">
        <v>35</v>
      </c>
      <c r="C1350" s="22">
        <v>45860.0</v>
      </c>
      <c r="D1350" s="16" t="s">
        <v>890</v>
      </c>
      <c r="E1350" s="16" t="s">
        <v>8543</v>
      </c>
      <c r="F1350" s="16" t="s">
        <v>3813</v>
      </c>
      <c r="G1350" s="16" t="s">
        <v>1517</v>
      </c>
      <c r="H1350" s="16">
        <v>1.0</v>
      </c>
      <c r="I1350" s="23">
        <v>14901.09</v>
      </c>
      <c r="J1350" s="23">
        <v>14901.09</v>
      </c>
      <c r="K1350" s="16"/>
      <c r="L1350" s="23"/>
      <c r="M1350" s="23"/>
      <c r="N1350" s="23">
        <v>0.0</v>
      </c>
      <c r="O1350" s="16"/>
      <c r="P1350" s="23"/>
      <c r="Q1350" s="23"/>
      <c r="R1350" s="23">
        <v>0.0</v>
      </c>
      <c r="S1350" s="16"/>
      <c r="T1350" s="23"/>
      <c r="U1350" s="23"/>
      <c r="V1350" s="23">
        <v>0.0</v>
      </c>
      <c r="W1350" s="16"/>
      <c r="X1350" s="23"/>
      <c r="Y1350" s="23"/>
      <c r="Z1350" s="23">
        <v>0.0</v>
      </c>
      <c r="AA1350" s="16"/>
      <c r="AB1350" s="23"/>
      <c r="AC1350" s="23"/>
      <c r="AD1350" s="23">
        <v>0.0</v>
      </c>
      <c r="AE1350" s="16"/>
      <c r="AF1350" s="23"/>
      <c r="AG1350" s="23"/>
      <c r="AH1350" s="23">
        <v>0.0</v>
      </c>
      <c r="AI1350" s="16"/>
      <c r="AJ1350" s="23"/>
      <c r="AK1350" s="23"/>
      <c r="AL1350" s="23">
        <v>0.0</v>
      </c>
      <c r="AM1350" s="16"/>
      <c r="AN1350" s="23"/>
      <c r="AO1350" s="23"/>
      <c r="AP1350" s="23">
        <v>0.0</v>
      </c>
      <c r="AQ1350" s="16"/>
      <c r="AR1350" s="23"/>
      <c r="AS1350" s="23"/>
      <c r="AT1350" s="23">
        <v>0.0</v>
      </c>
      <c r="AU1350" s="16"/>
      <c r="AV1350" s="23"/>
      <c r="AW1350" s="23"/>
      <c r="AX1350" s="23">
        <v>0.0</v>
      </c>
      <c r="AY1350" s="16"/>
      <c r="AZ1350" s="23"/>
      <c r="BA1350" s="23"/>
      <c r="BB1350" s="23"/>
      <c r="BC1350" s="16"/>
      <c r="BD1350" s="23"/>
      <c r="BE1350" s="23"/>
      <c r="BF1350" s="23">
        <v>0.0</v>
      </c>
      <c r="BJ1350" s="23">
        <v>0.0</v>
      </c>
      <c r="BN1350" s="23">
        <v>0.0</v>
      </c>
      <c r="BO1350" s="23">
        <v>14901.09</v>
      </c>
      <c r="BP1350" s="16" t="s">
        <v>8544</v>
      </c>
      <c r="BQ1350" s="16" t="b">
        <v>1</v>
      </c>
      <c r="BR1350" s="23">
        <v>14901.09</v>
      </c>
      <c r="BS1350" s="16"/>
      <c r="BT1350" s="16" t="b">
        <v>0</v>
      </c>
      <c r="BU1350" s="16" t="s">
        <v>546</v>
      </c>
      <c r="BV1350" s="16"/>
      <c r="BW1350" s="16" t="s">
        <v>8546</v>
      </c>
      <c r="BX1350" s="16" t="s">
        <v>8547</v>
      </c>
      <c r="BY1350" s="16"/>
    </row>
    <row r="1351">
      <c r="A1351" s="16" t="s">
        <v>7622</v>
      </c>
      <c r="B1351" s="16" t="s">
        <v>35</v>
      </c>
      <c r="C1351" s="22">
        <v>45843.0</v>
      </c>
      <c r="D1351" s="16"/>
      <c r="E1351" s="16"/>
      <c r="F1351" s="16" t="s">
        <v>8550</v>
      </c>
      <c r="G1351" s="16" t="s">
        <v>1239</v>
      </c>
      <c r="H1351" s="16">
        <v>1.0</v>
      </c>
      <c r="I1351" s="23">
        <v>962.42</v>
      </c>
      <c r="J1351" s="23">
        <v>962.42</v>
      </c>
      <c r="K1351" s="16"/>
      <c r="L1351" s="23"/>
      <c r="M1351" s="23"/>
      <c r="N1351" s="23"/>
      <c r="O1351" s="16"/>
      <c r="P1351" s="23"/>
      <c r="Q1351" s="23"/>
      <c r="R1351" s="23"/>
      <c r="S1351" s="16"/>
      <c r="T1351" s="23"/>
      <c r="U1351" s="23"/>
      <c r="V1351" s="23"/>
      <c r="W1351" s="16"/>
      <c r="X1351" s="23"/>
      <c r="Y1351" s="23"/>
      <c r="Z1351" s="23"/>
      <c r="AA1351" s="16"/>
      <c r="AB1351" s="23"/>
      <c r="AC1351" s="23"/>
      <c r="AD1351" s="23"/>
      <c r="AE1351" s="16"/>
      <c r="AF1351" s="23"/>
      <c r="AG1351" s="23"/>
      <c r="AH1351" s="23"/>
      <c r="AI1351" s="16"/>
      <c r="AJ1351" s="23"/>
      <c r="AK1351" s="23"/>
      <c r="AL1351" s="23"/>
      <c r="AM1351" s="16"/>
      <c r="AN1351" s="23"/>
      <c r="AO1351" s="23"/>
      <c r="AP1351" s="23"/>
      <c r="AQ1351" s="16"/>
      <c r="AR1351" s="23"/>
      <c r="AS1351" s="23"/>
      <c r="AT1351" s="23"/>
      <c r="AU1351" s="16"/>
      <c r="AV1351" s="23"/>
      <c r="AW1351" s="23"/>
      <c r="AX1351" s="23"/>
      <c r="AY1351" s="16"/>
      <c r="AZ1351" s="23"/>
      <c r="BA1351" s="23"/>
      <c r="BB1351" s="23"/>
      <c r="BC1351" s="16"/>
      <c r="BD1351" s="23"/>
      <c r="BE1351" s="23"/>
      <c r="BF1351" s="23"/>
      <c r="BJ1351" s="23"/>
      <c r="BN1351" s="23"/>
      <c r="BO1351" s="23">
        <v>962.42</v>
      </c>
      <c r="BP1351" s="16"/>
      <c r="BQ1351" s="16"/>
      <c r="BR1351" s="23">
        <v>962.42</v>
      </c>
      <c r="BS1351" s="16"/>
      <c r="BT1351" s="16"/>
      <c r="BU1351" s="16" t="s">
        <v>539</v>
      </c>
      <c r="BV1351" s="16" t="s">
        <v>2052</v>
      </c>
      <c r="BW1351" s="16"/>
      <c r="BX1351" s="16"/>
      <c r="BY1351" s="16"/>
    </row>
    <row r="1352">
      <c r="A1352" s="16" t="s">
        <v>7624</v>
      </c>
      <c r="B1352" s="16" t="s">
        <v>35</v>
      </c>
      <c r="C1352" s="22">
        <v>45843.0</v>
      </c>
      <c r="D1352" s="16"/>
      <c r="E1352" s="16"/>
      <c r="F1352" s="16" t="s">
        <v>8550</v>
      </c>
      <c r="G1352" s="16" t="s">
        <v>1239</v>
      </c>
      <c r="H1352" s="16">
        <v>1.0</v>
      </c>
      <c r="I1352" s="23">
        <v>2040.65</v>
      </c>
      <c r="J1352" s="23">
        <v>2040.65</v>
      </c>
      <c r="K1352" s="16"/>
      <c r="L1352" s="23"/>
      <c r="M1352" s="23"/>
      <c r="N1352" s="23"/>
      <c r="O1352" s="16"/>
      <c r="P1352" s="23"/>
      <c r="Q1352" s="23"/>
      <c r="R1352" s="23"/>
      <c r="S1352" s="16"/>
      <c r="T1352" s="23"/>
      <c r="U1352" s="23"/>
      <c r="V1352" s="23"/>
      <c r="W1352" s="16"/>
      <c r="X1352" s="23"/>
      <c r="Y1352" s="23"/>
      <c r="Z1352" s="23"/>
      <c r="AA1352" s="16"/>
      <c r="AB1352" s="23"/>
      <c r="AC1352" s="23"/>
      <c r="AD1352" s="23"/>
      <c r="AE1352" s="16"/>
      <c r="AF1352" s="23"/>
      <c r="AG1352" s="23"/>
      <c r="AH1352" s="23"/>
      <c r="AI1352" s="16"/>
      <c r="AJ1352" s="23"/>
      <c r="AK1352" s="23"/>
      <c r="AL1352" s="23"/>
      <c r="AM1352" s="16"/>
      <c r="AN1352" s="23"/>
      <c r="AO1352" s="23"/>
      <c r="AP1352" s="23"/>
      <c r="AQ1352" s="16"/>
      <c r="AR1352" s="23"/>
      <c r="AS1352" s="23"/>
      <c r="AT1352" s="23"/>
      <c r="AU1352" s="16"/>
      <c r="AV1352" s="23"/>
      <c r="AW1352" s="23"/>
      <c r="AX1352" s="23"/>
      <c r="AY1352" s="16"/>
      <c r="AZ1352" s="23"/>
      <c r="BA1352" s="23"/>
      <c r="BB1352" s="23"/>
      <c r="BC1352" s="16"/>
      <c r="BD1352" s="23"/>
      <c r="BE1352" s="23"/>
      <c r="BF1352" s="23"/>
      <c r="BJ1352" s="23"/>
      <c r="BN1352" s="23"/>
      <c r="BO1352" s="23">
        <v>2040.65</v>
      </c>
      <c r="BP1352" s="16"/>
      <c r="BQ1352" s="16"/>
      <c r="BR1352" s="23">
        <v>2040.65</v>
      </c>
      <c r="BS1352" s="16"/>
      <c r="BT1352" s="16"/>
      <c r="BU1352" s="16" t="s">
        <v>539</v>
      </c>
      <c r="BV1352" s="16" t="s">
        <v>227</v>
      </c>
      <c r="BW1352" s="16"/>
      <c r="BX1352" s="16"/>
      <c r="BY1352" s="16"/>
    </row>
    <row r="1353">
      <c r="A1353" s="16" t="s">
        <v>7628</v>
      </c>
      <c r="B1353" s="16" t="s">
        <v>35</v>
      </c>
      <c r="C1353" s="22">
        <v>45843.0</v>
      </c>
      <c r="D1353" s="16"/>
      <c r="E1353" s="16"/>
      <c r="F1353" s="16" t="s">
        <v>8550</v>
      </c>
      <c r="G1353" s="16" t="s">
        <v>1239</v>
      </c>
      <c r="H1353" s="16">
        <v>1.0</v>
      </c>
      <c r="I1353" s="23">
        <v>1365.16</v>
      </c>
      <c r="J1353" s="23">
        <v>1365.16</v>
      </c>
      <c r="K1353" s="16"/>
      <c r="L1353" s="23"/>
      <c r="M1353" s="23"/>
      <c r="N1353" s="23"/>
      <c r="O1353" s="16"/>
      <c r="P1353" s="23"/>
      <c r="Q1353" s="23"/>
      <c r="R1353" s="23"/>
      <c r="S1353" s="16"/>
      <c r="T1353" s="23"/>
      <c r="U1353" s="23"/>
      <c r="V1353" s="23"/>
      <c r="W1353" s="16"/>
      <c r="X1353" s="23"/>
      <c r="Y1353" s="23"/>
      <c r="Z1353" s="23"/>
      <c r="AA1353" s="16"/>
      <c r="AB1353" s="23"/>
      <c r="AC1353" s="23"/>
      <c r="AD1353" s="23"/>
      <c r="AE1353" s="16"/>
      <c r="AF1353" s="23"/>
      <c r="AG1353" s="23"/>
      <c r="AH1353" s="23"/>
      <c r="AI1353" s="16"/>
      <c r="AJ1353" s="23"/>
      <c r="AK1353" s="23"/>
      <c r="AL1353" s="23"/>
      <c r="AM1353" s="16"/>
      <c r="AN1353" s="23"/>
      <c r="AO1353" s="23"/>
      <c r="AP1353" s="23"/>
      <c r="AQ1353" s="16"/>
      <c r="AR1353" s="23"/>
      <c r="AS1353" s="23"/>
      <c r="AT1353" s="23"/>
      <c r="AU1353" s="16"/>
      <c r="AV1353" s="23"/>
      <c r="AW1353" s="23"/>
      <c r="AX1353" s="23"/>
      <c r="AY1353" s="16"/>
      <c r="AZ1353" s="23"/>
      <c r="BA1353" s="23"/>
      <c r="BB1353" s="23"/>
      <c r="BC1353" s="16"/>
      <c r="BD1353" s="23"/>
      <c r="BE1353" s="23"/>
      <c r="BF1353" s="23"/>
      <c r="BJ1353" s="23"/>
      <c r="BN1353" s="23"/>
      <c r="BO1353" s="23">
        <v>1365.16</v>
      </c>
      <c r="BP1353" s="16"/>
      <c r="BQ1353" s="16"/>
      <c r="BR1353" s="23">
        <v>1365.16</v>
      </c>
      <c r="BS1353" s="16"/>
      <c r="BT1353" s="16"/>
      <c r="BU1353" s="16" t="s">
        <v>539</v>
      </c>
      <c r="BV1353" s="16" t="s">
        <v>6062</v>
      </c>
      <c r="BW1353" s="16"/>
      <c r="BX1353" s="16"/>
      <c r="BY1353" s="16"/>
    </row>
    <row r="1354">
      <c r="A1354" s="16" t="s">
        <v>7630</v>
      </c>
      <c r="B1354" s="16" t="s">
        <v>35</v>
      </c>
      <c r="C1354" s="22">
        <v>45843.0</v>
      </c>
      <c r="D1354" s="16"/>
      <c r="E1354" s="16"/>
      <c r="F1354" s="16" t="s">
        <v>8550</v>
      </c>
      <c r="G1354" s="16" t="s">
        <v>1239</v>
      </c>
      <c r="H1354" s="16">
        <v>1.0</v>
      </c>
      <c r="I1354" s="23">
        <v>1433.69</v>
      </c>
      <c r="J1354" s="23">
        <v>1433.69</v>
      </c>
      <c r="K1354" s="16"/>
      <c r="L1354" s="23"/>
      <c r="M1354" s="23"/>
      <c r="N1354" s="23"/>
      <c r="O1354" s="16"/>
      <c r="P1354" s="23"/>
      <c r="Q1354" s="23"/>
      <c r="R1354" s="23"/>
      <c r="S1354" s="16"/>
      <c r="T1354" s="23"/>
      <c r="U1354" s="23"/>
      <c r="V1354" s="23"/>
      <c r="W1354" s="16"/>
      <c r="X1354" s="23"/>
      <c r="Y1354" s="23"/>
      <c r="Z1354" s="23"/>
      <c r="AA1354" s="16"/>
      <c r="AB1354" s="23"/>
      <c r="AC1354" s="23"/>
      <c r="AD1354" s="23"/>
      <c r="AE1354" s="16"/>
      <c r="AF1354" s="23"/>
      <c r="AG1354" s="23"/>
      <c r="AH1354" s="23"/>
      <c r="AI1354" s="16"/>
      <c r="AJ1354" s="23"/>
      <c r="AK1354" s="23"/>
      <c r="AL1354" s="23"/>
      <c r="AM1354" s="16"/>
      <c r="AN1354" s="23"/>
      <c r="AO1354" s="23"/>
      <c r="AP1354" s="23"/>
      <c r="AQ1354" s="16"/>
      <c r="AR1354" s="23"/>
      <c r="AS1354" s="23"/>
      <c r="AT1354" s="23"/>
      <c r="AU1354" s="16"/>
      <c r="AV1354" s="23"/>
      <c r="AW1354" s="23"/>
      <c r="AX1354" s="23"/>
      <c r="AY1354" s="16"/>
      <c r="AZ1354" s="23"/>
      <c r="BA1354" s="23"/>
      <c r="BB1354" s="23"/>
      <c r="BC1354" s="16"/>
      <c r="BD1354" s="23"/>
      <c r="BE1354" s="23"/>
      <c r="BF1354" s="23"/>
      <c r="BJ1354" s="23"/>
      <c r="BN1354" s="23"/>
      <c r="BO1354" s="23">
        <v>1433.69</v>
      </c>
      <c r="BP1354" s="16"/>
      <c r="BQ1354" s="16"/>
      <c r="BR1354" s="23">
        <v>1433.69</v>
      </c>
      <c r="BS1354" s="16"/>
      <c r="BT1354" s="16"/>
      <c r="BU1354" s="16" t="s">
        <v>539</v>
      </c>
      <c r="BV1354" s="16" t="s">
        <v>3795</v>
      </c>
      <c r="BW1354" s="16"/>
      <c r="BX1354" s="16"/>
      <c r="BY1354" s="16"/>
    </row>
    <row r="1355">
      <c r="A1355" s="16" t="s">
        <v>7632</v>
      </c>
      <c r="B1355" s="16" t="s">
        <v>35</v>
      </c>
      <c r="C1355" s="22">
        <v>45864.0</v>
      </c>
      <c r="D1355" s="16"/>
      <c r="E1355" s="16"/>
      <c r="F1355" s="16" t="s">
        <v>1329</v>
      </c>
      <c r="G1355" s="16" t="s">
        <v>1168</v>
      </c>
      <c r="H1355" s="16">
        <v>1.0</v>
      </c>
      <c r="I1355" s="23">
        <v>500.0</v>
      </c>
      <c r="J1355" s="23">
        <v>500.0</v>
      </c>
      <c r="K1355" s="16"/>
      <c r="L1355" s="23"/>
      <c r="M1355" s="23"/>
      <c r="N1355" s="23"/>
      <c r="O1355" s="16"/>
      <c r="P1355" s="23"/>
      <c r="Q1355" s="23"/>
      <c r="R1355" s="23"/>
      <c r="S1355" s="16"/>
      <c r="T1355" s="23"/>
      <c r="U1355" s="23"/>
      <c r="V1355" s="23"/>
      <c r="W1355" s="16"/>
      <c r="X1355" s="23"/>
      <c r="Y1355" s="23"/>
      <c r="Z1355" s="23"/>
      <c r="AA1355" s="16"/>
      <c r="AB1355" s="23"/>
      <c r="AC1355" s="23"/>
      <c r="AD1355" s="23"/>
      <c r="AE1355" s="16"/>
      <c r="AF1355" s="23"/>
      <c r="AG1355" s="23"/>
      <c r="AH1355" s="23"/>
      <c r="AI1355" s="16"/>
      <c r="AJ1355" s="23"/>
      <c r="AK1355" s="23"/>
      <c r="AL1355" s="23"/>
      <c r="AM1355" s="16"/>
      <c r="AN1355" s="23"/>
      <c r="AO1355" s="23"/>
      <c r="AP1355" s="23"/>
      <c r="AQ1355" s="16"/>
      <c r="AR1355" s="23"/>
      <c r="AS1355" s="23"/>
      <c r="AT1355" s="23"/>
      <c r="AU1355" s="16"/>
      <c r="AV1355" s="23"/>
      <c r="AW1355" s="23"/>
      <c r="AX1355" s="23"/>
      <c r="AY1355" s="16"/>
      <c r="AZ1355" s="23"/>
      <c r="BA1355" s="23"/>
      <c r="BB1355" s="23"/>
      <c r="BC1355" s="16"/>
      <c r="BD1355" s="23"/>
      <c r="BE1355" s="23"/>
      <c r="BF1355" s="23"/>
      <c r="BJ1355" s="23"/>
      <c r="BN1355" s="23"/>
      <c r="BO1355" s="23">
        <v>500.0</v>
      </c>
      <c r="BP1355" s="16"/>
      <c r="BQ1355" s="16"/>
      <c r="BR1355" s="23">
        <v>500.0</v>
      </c>
      <c r="BS1355" s="16"/>
      <c r="BT1355" s="16"/>
      <c r="BU1355" s="16" t="s">
        <v>539</v>
      </c>
      <c r="BV1355" s="16" t="s">
        <v>624</v>
      </c>
      <c r="BW1355" s="16"/>
      <c r="BX1355" s="16"/>
      <c r="BY1355" s="16"/>
    </row>
    <row r="1356">
      <c r="A1356" s="16" t="s">
        <v>7635</v>
      </c>
      <c r="B1356" s="16" t="s">
        <v>35</v>
      </c>
      <c r="C1356" s="22">
        <v>45864.0</v>
      </c>
      <c r="D1356" s="16"/>
      <c r="E1356" s="16"/>
      <c r="F1356" s="16" t="s">
        <v>1329</v>
      </c>
      <c r="G1356" s="16" t="s">
        <v>1168</v>
      </c>
      <c r="H1356" s="16">
        <v>1.0</v>
      </c>
      <c r="I1356" s="23">
        <v>500.0</v>
      </c>
      <c r="J1356" s="23">
        <v>500.0</v>
      </c>
      <c r="K1356" s="16"/>
      <c r="L1356" s="23"/>
      <c r="M1356" s="23"/>
      <c r="N1356" s="23"/>
      <c r="O1356" s="16"/>
      <c r="P1356" s="23"/>
      <c r="Q1356" s="23"/>
      <c r="R1356" s="23"/>
      <c r="S1356" s="16"/>
      <c r="T1356" s="23"/>
      <c r="U1356" s="23"/>
      <c r="V1356" s="23"/>
      <c r="W1356" s="16"/>
      <c r="X1356" s="23"/>
      <c r="Y1356" s="23"/>
      <c r="Z1356" s="23"/>
      <c r="AA1356" s="16"/>
      <c r="AB1356" s="23"/>
      <c r="AC1356" s="23"/>
      <c r="AD1356" s="23"/>
      <c r="AE1356" s="16"/>
      <c r="AF1356" s="23"/>
      <c r="AG1356" s="23"/>
      <c r="AH1356" s="23"/>
      <c r="AI1356" s="16"/>
      <c r="AJ1356" s="23"/>
      <c r="AK1356" s="23"/>
      <c r="AL1356" s="23"/>
      <c r="AM1356" s="16"/>
      <c r="AN1356" s="23"/>
      <c r="AO1356" s="23"/>
      <c r="AP1356" s="23"/>
      <c r="AQ1356" s="16"/>
      <c r="AR1356" s="23"/>
      <c r="AS1356" s="23"/>
      <c r="AT1356" s="23"/>
      <c r="AU1356" s="16"/>
      <c r="AV1356" s="23"/>
      <c r="AW1356" s="23"/>
      <c r="AX1356" s="23"/>
      <c r="AY1356" s="16"/>
      <c r="AZ1356" s="23"/>
      <c r="BA1356" s="23"/>
      <c r="BB1356" s="23"/>
      <c r="BC1356" s="16"/>
      <c r="BD1356" s="23"/>
      <c r="BE1356" s="23"/>
      <c r="BF1356" s="23"/>
      <c r="BJ1356" s="23"/>
      <c r="BN1356" s="23"/>
      <c r="BO1356" s="23">
        <v>500.0</v>
      </c>
      <c r="BP1356" s="16"/>
      <c r="BQ1356" s="16"/>
      <c r="BR1356" s="23">
        <v>500.0</v>
      </c>
      <c r="BS1356" s="16"/>
      <c r="BT1356" s="16"/>
      <c r="BU1356" s="16" t="s">
        <v>539</v>
      </c>
      <c r="BV1356" s="16" t="s">
        <v>2052</v>
      </c>
      <c r="BW1356" s="16"/>
      <c r="BX1356" s="16"/>
      <c r="BY1356" s="16"/>
    </row>
    <row r="1357">
      <c r="A1357" s="16" t="s">
        <v>7639</v>
      </c>
      <c r="B1357" s="16" t="s">
        <v>35</v>
      </c>
      <c r="C1357" s="22">
        <v>45864.0</v>
      </c>
      <c r="D1357" s="16"/>
      <c r="E1357" s="16"/>
      <c r="F1357" s="16" t="s">
        <v>1329</v>
      </c>
      <c r="G1357" s="16" t="s">
        <v>1168</v>
      </c>
      <c r="H1357" s="16">
        <v>1.0</v>
      </c>
      <c r="I1357" s="23">
        <v>500.0</v>
      </c>
      <c r="J1357" s="23">
        <v>500.0</v>
      </c>
      <c r="K1357" s="16"/>
      <c r="L1357" s="23"/>
      <c r="M1357" s="23"/>
      <c r="N1357" s="23"/>
      <c r="O1357" s="16"/>
      <c r="P1357" s="23"/>
      <c r="Q1357" s="23"/>
      <c r="R1357" s="23"/>
      <c r="S1357" s="16"/>
      <c r="T1357" s="23"/>
      <c r="U1357" s="23"/>
      <c r="V1357" s="23"/>
      <c r="W1357" s="16"/>
      <c r="X1357" s="23"/>
      <c r="Y1357" s="23"/>
      <c r="Z1357" s="23"/>
      <c r="AA1357" s="16"/>
      <c r="AB1357" s="23"/>
      <c r="AC1357" s="23"/>
      <c r="AD1357" s="23"/>
      <c r="AE1357" s="16"/>
      <c r="AF1357" s="23"/>
      <c r="AG1357" s="23"/>
      <c r="AH1357" s="23"/>
      <c r="AI1357" s="16"/>
      <c r="AJ1357" s="23"/>
      <c r="AK1357" s="23"/>
      <c r="AL1357" s="23"/>
      <c r="AM1357" s="16"/>
      <c r="AN1357" s="23"/>
      <c r="AO1357" s="23"/>
      <c r="AP1357" s="23"/>
      <c r="AQ1357" s="16"/>
      <c r="AR1357" s="23"/>
      <c r="AS1357" s="23"/>
      <c r="AT1357" s="23"/>
      <c r="AU1357" s="16"/>
      <c r="AV1357" s="23"/>
      <c r="AW1357" s="23"/>
      <c r="AX1357" s="23"/>
      <c r="AY1357" s="16"/>
      <c r="AZ1357" s="23"/>
      <c r="BA1357" s="23"/>
      <c r="BB1357" s="23"/>
      <c r="BC1357" s="16"/>
      <c r="BD1357" s="23"/>
      <c r="BE1357" s="23"/>
      <c r="BF1357" s="23"/>
      <c r="BJ1357" s="23"/>
      <c r="BN1357" s="23"/>
      <c r="BO1357" s="23">
        <v>500.0</v>
      </c>
      <c r="BP1357" s="16"/>
      <c r="BQ1357" s="16"/>
      <c r="BR1357" s="23">
        <v>500.0</v>
      </c>
      <c r="BS1357" s="16"/>
      <c r="BT1357" s="16"/>
      <c r="BU1357" s="16" t="s">
        <v>539</v>
      </c>
      <c r="BV1357" s="16" t="s">
        <v>6062</v>
      </c>
      <c r="BW1357" s="16"/>
      <c r="BX1357" s="16"/>
      <c r="BY1357" s="16"/>
    </row>
    <row r="1358">
      <c r="A1358" s="16">
        <v>6.5797525E7</v>
      </c>
      <c r="B1358" s="16" t="s">
        <v>35</v>
      </c>
      <c r="C1358" s="22">
        <v>45862.0</v>
      </c>
      <c r="D1358" s="16" t="s">
        <v>112</v>
      </c>
      <c r="E1358" s="16" t="s">
        <v>8573</v>
      </c>
      <c r="F1358" s="16" t="s">
        <v>157</v>
      </c>
      <c r="G1358" s="16" t="s">
        <v>159</v>
      </c>
      <c r="H1358" s="16">
        <v>1.0</v>
      </c>
      <c r="I1358" s="23">
        <v>149.85</v>
      </c>
      <c r="J1358" s="23">
        <v>149.85</v>
      </c>
      <c r="K1358" s="16" t="s">
        <v>155</v>
      </c>
      <c r="L1358" s="23">
        <v>1.0</v>
      </c>
      <c r="M1358" s="23">
        <v>47.43</v>
      </c>
      <c r="N1358" s="23">
        <v>47.43</v>
      </c>
      <c r="O1358" s="16" t="s">
        <v>152</v>
      </c>
      <c r="P1358" s="23">
        <v>1.0</v>
      </c>
      <c r="Q1358" s="23">
        <v>11.42</v>
      </c>
      <c r="R1358" s="23">
        <v>11.42</v>
      </c>
      <c r="S1358" s="16" t="s">
        <v>226</v>
      </c>
      <c r="T1358" s="23">
        <v>1.0</v>
      </c>
      <c r="U1358" s="23">
        <v>45.0</v>
      </c>
      <c r="V1358" s="23">
        <v>45.0</v>
      </c>
      <c r="W1358" s="16"/>
      <c r="X1358" s="23"/>
      <c r="Y1358" s="23"/>
      <c r="Z1358" s="23">
        <v>0.0</v>
      </c>
      <c r="AA1358" s="16"/>
      <c r="AB1358" s="23"/>
      <c r="AC1358" s="23"/>
      <c r="AD1358" s="23">
        <v>0.0</v>
      </c>
      <c r="AE1358" s="16"/>
      <c r="AF1358" s="23"/>
      <c r="AG1358" s="23"/>
      <c r="AH1358" s="23">
        <v>0.0</v>
      </c>
      <c r="AI1358" s="16"/>
      <c r="AJ1358" s="23"/>
      <c r="AK1358" s="23"/>
      <c r="AL1358" s="23">
        <v>0.0</v>
      </c>
      <c r="AM1358" s="16"/>
      <c r="AN1358" s="23"/>
      <c r="AO1358" s="23"/>
      <c r="AP1358" s="23">
        <v>0.0</v>
      </c>
      <c r="AQ1358" s="16"/>
      <c r="AR1358" s="23"/>
      <c r="AS1358" s="23"/>
      <c r="AT1358" s="23">
        <v>0.0</v>
      </c>
      <c r="AU1358" s="16"/>
      <c r="AV1358" s="23"/>
      <c r="AW1358" s="23"/>
      <c r="AX1358" s="23">
        <v>0.0</v>
      </c>
      <c r="AY1358" s="16"/>
      <c r="AZ1358" s="23"/>
      <c r="BA1358" s="23"/>
      <c r="BB1358" s="23"/>
      <c r="BC1358" s="16"/>
      <c r="BD1358" s="23"/>
      <c r="BE1358" s="23"/>
      <c r="BF1358" s="23">
        <v>0.0</v>
      </c>
      <c r="BJ1358" s="23">
        <v>0.0</v>
      </c>
      <c r="BN1358" s="23">
        <v>0.0</v>
      </c>
      <c r="BO1358" s="23">
        <v>253.7</v>
      </c>
      <c r="BP1358" s="16" t="s">
        <v>8575</v>
      </c>
      <c r="BQ1358" s="16" t="b">
        <v>1</v>
      </c>
      <c r="BR1358" s="23">
        <v>253.7</v>
      </c>
      <c r="BS1358" s="16"/>
      <c r="BT1358" s="16" t="b">
        <v>0</v>
      </c>
      <c r="BU1358" s="16" t="s">
        <v>546</v>
      </c>
      <c r="BV1358" s="16"/>
      <c r="BW1358" s="16"/>
      <c r="BX1358" s="16"/>
      <c r="BY1358" s="16"/>
    </row>
    <row r="1359">
      <c r="A1359" s="16" t="s">
        <v>7649</v>
      </c>
      <c r="B1359" s="16" t="s">
        <v>35</v>
      </c>
      <c r="C1359" s="22">
        <v>45862.0</v>
      </c>
      <c r="D1359" s="16" t="s">
        <v>8582</v>
      </c>
      <c r="E1359" s="16" t="s">
        <v>8583</v>
      </c>
      <c r="F1359" s="16" t="s">
        <v>605</v>
      </c>
      <c r="G1359" s="16" t="s">
        <v>1145</v>
      </c>
      <c r="H1359" s="16">
        <v>1.0</v>
      </c>
      <c r="I1359" s="23">
        <v>3744.66</v>
      </c>
      <c r="J1359" s="23">
        <v>3744.66</v>
      </c>
      <c r="K1359" s="16"/>
      <c r="L1359" s="23"/>
      <c r="M1359" s="23"/>
      <c r="N1359" s="23">
        <v>0.0</v>
      </c>
      <c r="O1359" s="16"/>
      <c r="P1359" s="23"/>
      <c r="Q1359" s="23"/>
      <c r="R1359" s="23">
        <v>0.0</v>
      </c>
      <c r="S1359" s="16"/>
      <c r="T1359" s="23"/>
      <c r="U1359" s="23"/>
      <c r="V1359" s="23">
        <v>0.0</v>
      </c>
      <c r="W1359" s="16"/>
      <c r="X1359" s="23"/>
      <c r="Y1359" s="23"/>
      <c r="Z1359" s="23">
        <v>0.0</v>
      </c>
      <c r="AA1359" s="16"/>
      <c r="AB1359" s="23"/>
      <c r="AC1359" s="23"/>
      <c r="AD1359" s="23">
        <v>0.0</v>
      </c>
      <c r="AE1359" s="16"/>
      <c r="AF1359" s="23"/>
      <c r="AG1359" s="23"/>
      <c r="AH1359" s="23">
        <v>0.0</v>
      </c>
      <c r="AI1359" s="16"/>
      <c r="AJ1359" s="23"/>
      <c r="AK1359" s="23"/>
      <c r="AL1359" s="23">
        <v>0.0</v>
      </c>
      <c r="AM1359" s="16"/>
      <c r="AN1359" s="23"/>
      <c r="AO1359" s="23"/>
      <c r="AP1359" s="23">
        <v>0.0</v>
      </c>
      <c r="AQ1359" s="16"/>
      <c r="AR1359" s="23"/>
      <c r="AS1359" s="23"/>
      <c r="AT1359" s="23">
        <v>0.0</v>
      </c>
      <c r="AU1359" s="16"/>
      <c r="AV1359" s="23"/>
      <c r="AW1359" s="23"/>
      <c r="AX1359" s="23">
        <v>0.0</v>
      </c>
      <c r="AY1359" s="16"/>
      <c r="AZ1359" s="23"/>
      <c r="BA1359" s="23"/>
      <c r="BB1359" s="23"/>
      <c r="BC1359" s="16"/>
      <c r="BD1359" s="23"/>
      <c r="BE1359" s="23"/>
      <c r="BF1359" s="23">
        <v>0.0</v>
      </c>
      <c r="BJ1359" s="23">
        <v>0.0</v>
      </c>
      <c r="BN1359" s="23">
        <v>0.0</v>
      </c>
      <c r="BO1359" s="23">
        <v>3744.66</v>
      </c>
      <c r="BP1359" s="16" t="s">
        <v>8586</v>
      </c>
      <c r="BQ1359" s="16" t="b">
        <v>1</v>
      </c>
      <c r="BR1359" s="23">
        <v>3744.66</v>
      </c>
      <c r="BS1359" s="16"/>
      <c r="BT1359" s="16" t="b">
        <v>0</v>
      </c>
      <c r="BU1359" s="16" t="s">
        <v>546</v>
      </c>
      <c r="BV1359" s="16"/>
      <c r="BW1359" s="16"/>
      <c r="BX1359" s="16"/>
      <c r="BY1359" s="16"/>
    </row>
    <row r="1360">
      <c r="A1360" s="16" t="s">
        <v>7652</v>
      </c>
      <c r="B1360" s="16" t="s">
        <v>35</v>
      </c>
      <c r="C1360" s="22">
        <v>45862.0</v>
      </c>
      <c r="D1360" s="16" t="s">
        <v>890</v>
      </c>
      <c r="E1360" s="16" t="s">
        <v>8592</v>
      </c>
      <c r="F1360" s="16" t="s">
        <v>2894</v>
      </c>
      <c r="G1360" s="16" t="s">
        <v>1510</v>
      </c>
      <c r="H1360" s="16">
        <v>1.0</v>
      </c>
      <c r="I1360" s="23">
        <v>22424.48</v>
      </c>
      <c r="J1360" s="23">
        <v>22424.48</v>
      </c>
      <c r="K1360" s="16"/>
      <c r="L1360" s="23"/>
      <c r="M1360" s="23"/>
      <c r="N1360" s="23">
        <v>0.0</v>
      </c>
      <c r="O1360" s="16"/>
      <c r="P1360" s="23"/>
      <c r="Q1360" s="23"/>
      <c r="R1360" s="23">
        <v>0.0</v>
      </c>
      <c r="S1360" s="16"/>
      <c r="T1360" s="23"/>
      <c r="U1360" s="23"/>
      <c r="V1360" s="23">
        <v>0.0</v>
      </c>
      <c r="W1360" s="16"/>
      <c r="X1360" s="23"/>
      <c r="Y1360" s="23"/>
      <c r="Z1360" s="23">
        <v>0.0</v>
      </c>
      <c r="AA1360" s="16"/>
      <c r="AB1360" s="23"/>
      <c r="AC1360" s="23"/>
      <c r="AD1360" s="23">
        <v>0.0</v>
      </c>
      <c r="AE1360" s="16"/>
      <c r="AF1360" s="23"/>
      <c r="AG1360" s="23"/>
      <c r="AH1360" s="23">
        <v>0.0</v>
      </c>
      <c r="AI1360" s="16"/>
      <c r="AJ1360" s="23"/>
      <c r="AK1360" s="23"/>
      <c r="AL1360" s="23">
        <v>0.0</v>
      </c>
      <c r="AM1360" s="16"/>
      <c r="AN1360" s="23"/>
      <c r="AO1360" s="23"/>
      <c r="AP1360" s="23">
        <v>0.0</v>
      </c>
      <c r="AQ1360" s="16"/>
      <c r="AR1360" s="23"/>
      <c r="AS1360" s="23"/>
      <c r="AT1360" s="23">
        <v>0.0</v>
      </c>
      <c r="AU1360" s="16"/>
      <c r="AV1360" s="23"/>
      <c r="AW1360" s="23"/>
      <c r="AX1360" s="23">
        <v>0.0</v>
      </c>
      <c r="AY1360" s="16"/>
      <c r="AZ1360" s="23"/>
      <c r="BA1360" s="23"/>
      <c r="BB1360" s="23"/>
      <c r="BC1360" s="16"/>
      <c r="BD1360" s="23"/>
      <c r="BE1360" s="23"/>
      <c r="BF1360" s="23">
        <v>0.0</v>
      </c>
      <c r="BJ1360" s="23">
        <v>0.0</v>
      </c>
      <c r="BN1360" s="23">
        <v>0.0</v>
      </c>
      <c r="BO1360" s="23">
        <v>22424.48</v>
      </c>
      <c r="BP1360" s="16" t="s">
        <v>8593</v>
      </c>
      <c r="BQ1360" s="16" t="b">
        <v>1</v>
      </c>
      <c r="BR1360" s="23">
        <v>22424.48</v>
      </c>
      <c r="BS1360" s="16"/>
      <c r="BT1360" s="16" t="b">
        <v>0</v>
      </c>
      <c r="BU1360" s="16" t="s">
        <v>8596</v>
      </c>
      <c r="BV1360" s="16"/>
      <c r="BW1360" s="16" t="s">
        <v>8597</v>
      </c>
      <c r="BX1360" s="16"/>
      <c r="BY1360" s="16"/>
    </row>
    <row r="1361">
      <c r="A1361" s="16" t="s">
        <v>7656</v>
      </c>
      <c r="B1361" s="16" t="s">
        <v>35</v>
      </c>
      <c r="C1361" s="22">
        <v>45863.0</v>
      </c>
      <c r="D1361" s="16" t="s">
        <v>2613</v>
      </c>
      <c r="E1361" s="16" t="s">
        <v>8599</v>
      </c>
      <c r="F1361" s="16" t="s">
        <v>319</v>
      </c>
      <c r="G1361" s="16" t="s">
        <v>238</v>
      </c>
      <c r="H1361" s="16">
        <v>6.0</v>
      </c>
      <c r="I1361" s="23">
        <v>5.2</v>
      </c>
      <c r="J1361" s="23">
        <v>31.2</v>
      </c>
      <c r="K1361" s="16" t="s">
        <v>240</v>
      </c>
      <c r="L1361" s="23">
        <v>6.0</v>
      </c>
      <c r="M1361" s="23">
        <v>5.4</v>
      </c>
      <c r="N1361" s="23">
        <v>32.4</v>
      </c>
      <c r="O1361" s="16" t="s">
        <v>243</v>
      </c>
      <c r="P1361" s="23">
        <v>6.0</v>
      </c>
      <c r="Q1361" s="23">
        <v>6.2</v>
      </c>
      <c r="R1361" s="23">
        <v>37.2</v>
      </c>
      <c r="S1361" s="16"/>
      <c r="T1361" s="23"/>
      <c r="U1361" s="23"/>
      <c r="V1361" s="23">
        <v>0.0</v>
      </c>
      <c r="W1361" s="16"/>
      <c r="X1361" s="23"/>
      <c r="Y1361" s="23"/>
      <c r="Z1361" s="23">
        <v>0.0</v>
      </c>
      <c r="AA1361" s="16"/>
      <c r="AB1361" s="23"/>
      <c r="AC1361" s="23"/>
      <c r="AD1361" s="23">
        <v>0.0</v>
      </c>
      <c r="AE1361" s="16"/>
      <c r="AF1361" s="23"/>
      <c r="AG1361" s="23"/>
      <c r="AH1361" s="23">
        <v>0.0</v>
      </c>
      <c r="AI1361" s="16"/>
      <c r="AJ1361" s="23"/>
      <c r="AK1361" s="23"/>
      <c r="AL1361" s="23">
        <v>0.0</v>
      </c>
      <c r="AM1361" s="16"/>
      <c r="AN1361" s="23"/>
      <c r="AO1361" s="23"/>
      <c r="AP1361" s="23">
        <v>0.0</v>
      </c>
      <c r="AQ1361" s="16"/>
      <c r="AR1361" s="23"/>
      <c r="AS1361" s="23"/>
      <c r="AT1361" s="23">
        <v>0.0</v>
      </c>
      <c r="AU1361" s="16"/>
      <c r="AV1361" s="23"/>
      <c r="AW1361" s="23"/>
      <c r="AX1361" s="23">
        <v>0.0</v>
      </c>
      <c r="AY1361" s="16"/>
      <c r="AZ1361" s="23"/>
      <c r="BA1361" s="23"/>
      <c r="BB1361" s="23"/>
      <c r="BC1361" s="16"/>
      <c r="BD1361" s="23"/>
      <c r="BE1361" s="23"/>
      <c r="BF1361" s="23">
        <v>0.0</v>
      </c>
      <c r="BJ1361" s="23">
        <v>0.0</v>
      </c>
      <c r="BN1361" s="23">
        <v>0.0</v>
      </c>
      <c r="BO1361" s="23">
        <v>100.8</v>
      </c>
      <c r="BP1361" s="16" t="s">
        <v>8600</v>
      </c>
      <c r="BQ1361" s="16" t="b">
        <v>1</v>
      </c>
      <c r="BR1361" s="23">
        <v>100.8</v>
      </c>
      <c r="BS1361" s="16">
        <v>1590504.0</v>
      </c>
      <c r="BT1361" s="16" t="b">
        <v>1</v>
      </c>
      <c r="BU1361" s="16" t="s">
        <v>546</v>
      </c>
      <c r="BV1361" s="16"/>
      <c r="BW1361" s="16"/>
      <c r="BX1361" s="16"/>
      <c r="BY1361" s="16"/>
    </row>
    <row r="1362">
      <c r="A1362" s="16">
        <v>5.2179647E7</v>
      </c>
      <c r="B1362" s="16" t="s">
        <v>35</v>
      </c>
      <c r="C1362" s="22">
        <v>45863.0</v>
      </c>
      <c r="D1362" s="16" t="s">
        <v>233</v>
      </c>
      <c r="E1362" s="16" t="s">
        <v>8604</v>
      </c>
      <c r="F1362" s="16" t="s">
        <v>8606</v>
      </c>
      <c r="G1362" s="16" t="s">
        <v>305</v>
      </c>
      <c r="H1362" s="16">
        <v>1.0</v>
      </c>
      <c r="I1362" s="23">
        <v>161.15</v>
      </c>
      <c r="J1362" s="23">
        <v>161.15</v>
      </c>
      <c r="K1362" s="16"/>
      <c r="L1362" s="23"/>
      <c r="M1362" s="23"/>
      <c r="N1362" s="23">
        <v>0.0</v>
      </c>
      <c r="O1362" s="16"/>
      <c r="P1362" s="23"/>
      <c r="Q1362" s="23"/>
      <c r="R1362" s="23">
        <v>0.0</v>
      </c>
      <c r="S1362" s="16"/>
      <c r="T1362" s="23"/>
      <c r="U1362" s="23"/>
      <c r="V1362" s="23">
        <v>0.0</v>
      </c>
      <c r="W1362" s="16"/>
      <c r="X1362" s="23"/>
      <c r="Y1362" s="23"/>
      <c r="Z1362" s="23">
        <v>0.0</v>
      </c>
      <c r="AA1362" s="16"/>
      <c r="AB1362" s="23"/>
      <c r="AC1362" s="23"/>
      <c r="AD1362" s="23">
        <v>0.0</v>
      </c>
      <c r="AE1362" s="16"/>
      <c r="AF1362" s="23"/>
      <c r="AG1362" s="23"/>
      <c r="AH1362" s="23">
        <v>0.0</v>
      </c>
      <c r="AI1362" s="16"/>
      <c r="AJ1362" s="23"/>
      <c r="AK1362" s="23"/>
      <c r="AL1362" s="23">
        <v>0.0</v>
      </c>
      <c r="AM1362" s="16"/>
      <c r="AN1362" s="23"/>
      <c r="AO1362" s="23"/>
      <c r="AP1362" s="23">
        <v>0.0</v>
      </c>
      <c r="AQ1362" s="16"/>
      <c r="AR1362" s="23"/>
      <c r="AS1362" s="23"/>
      <c r="AT1362" s="23">
        <v>0.0</v>
      </c>
      <c r="AU1362" s="16"/>
      <c r="AV1362" s="23"/>
      <c r="AW1362" s="23"/>
      <c r="AX1362" s="23">
        <v>0.0</v>
      </c>
      <c r="AY1362" s="16"/>
      <c r="AZ1362" s="23"/>
      <c r="BA1362" s="23"/>
      <c r="BB1362" s="23"/>
      <c r="BC1362" s="16"/>
      <c r="BD1362" s="23"/>
      <c r="BE1362" s="23"/>
      <c r="BF1362" s="23">
        <v>0.0</v>
      </c>
      <c r="BJ1362" s="23">
        <v>0.0</v>
      </c>
      <c r="BN1362" s="23">
        <v>0.0</v>
      </c>
      <c r="BO1362" s="23">
        <v>161.15</v>
      </c>
      <c r="BP1362" s="16" t="s">
        <v>8605</v>
      </c>
      <c r="BQ1362" s="16" t="b">
        <v>1</v>
      </c>
      <c r="BR1362" s="23">
        <v>161.15</v>
      </c>
      <c r="BS1362" s="16">
        <v>1590352.0</v>
      </c>
      <c r="BT1362" s="16" t="b">
        <v>1</v>
      </c>
      <c r="BU1362" s="16" t="s">
        <v>546</v>
      </c>
      <c r="BV1362" s="16"/>
      <c r="BW1362" s="16"/>
      <c r="BX1362" s="16"/>
      <c r="BY1362" s="16"/>
    </row>
    <row r="1363">
      <c r="A1363" s="16" t="s">
        <v>7664</v>
      </c>
      <c r="B1363" s="16" t="s">
        <v>35</v>
      </c>
      <c r="C1363" s="22">
        <v>45863.0</v>
      </c>
      <c r="D1363" s="16" t="s">
        <v>286</v>
      </c>
      <c r="E1363" s="16" t="s">
        <v>8609</v>
      </c>
      <c r="F1363" s="16" t="s">
        <v>8611</v>
      </c>
      <c r="G1363" s="16" t="s">
        <v>7665</v>
      </c>
      <c r="H1363" s="16">
        <v>1.0</v>
      </c>
      <c r="I1363" s="23">
        <v>61.8</v>
      </c>
      <c r="J1363" s="23">
        <v>61.8</v>
      </c>
      <c r="K1363" s="16"/>
      <c r="L1363" s="23"/>
      <c r="M1363" s="23"/>
      <c r="N1363" s="23">
        <v>0.0</v>
      </c>
      <c r="O1363" s="16"/>
      <c r="P1363" s="23"/>
      <c r="Q1363" s="23"/>
      <c r="R1363" s="23">
        <v>0.0</v>
      </c>
      <c r="S1363" s="16"/>
      <c r="T1363" s="23"/>
      <c r="U1363" s="23"/>
      <c r="V1363" s="23">
        <v>0.0</v>
      </c>
      <c r="W1363" s="16"/>
      <c r="X1363" s="23"/>
      <c r="Y1363" s="23"/>
      <c r="Z1363" s="23">
        <v>0.0</v>
      </c>
      <c r="AA1363" s="16"/>
      <c r="AB1363" s="23"/>
      <c r="AC1363" s="23"/>
      <c r="AD1363" s="23">
        <v>0.0</v>
      </c>
      <c r="AE1363" s="16"/>
      <c r="AF1363" s="23"/>
      <c r="AG1363" s="23"/>
      <c r="AH1363" s="23">
        <v>0.0</v>
      </c>
      <c r="AI1363" s="16"/>
      <c r="AJ1363" s="23"/>
      <c r="AK1363" s="23"/>
      <c r="AL1363" s="23">
        <v>0.0</v>
      </c>
      <c r="AM1363" s="16"/>
      <c r="AN1363" s="23"/>
      <c r="AO1363" s="23"/>
      <c r="AP1363" s="23">
        <v>0.0</v>
      </c>
      <c r="AQ1363" s="16"/>
      <c r="AR1363" s="23"/>
      <c r="AS1363" s="23"/>
      <c r="AT1363" s="23">
        <v>0.0</v>
      </c>
      <c r="AU1363" s="16"/>
      <c r="AV1363" s="23"/>
      <c r="AW1363" s="23"/>
      <c r="AX1363" s="23">
        <v>0.0</v>
      </c>
      <c r="AY1363" s="16"/>
      <c r="AZ1363" s="23"/>
      <c r="BA1363" s="23"/>
      <c r="BB1363" s="23"/>
      <c r="BC1363" s="16"/>
      <c r="BD1363" s="23"/>
      <c r="BE1363" s="23"/>
      <c r="BF1363" s="23">
        <v>0.0</v>
      </c>
      <c r="BJ1363" s="23">
        <v>0.0</v>
      </c>
      <c r="BN1363" s="23">
        <v>0.0</v>
      </c>
      <c r="BO1363" s="23">
        <v>61.8</v>
      </c>
      <c r="BP1363" s="16" t="s">
        <v>8610</v>
      </c>
      <c r="BQ1363" s="16" t="b">
        <v>1</v>
      </c>
      <c r="BR1363" s="23">
        <v>61.8</v>
      </c>
      <c r="BS1363" s="16">
        <v>1590357.0</v>
      </c>
      <c r="BT1363" s="16" t="b">
        <v>1</v>
      </c>
      <c r="BU1363" s="16" t="s">
        <v>546</v>
      </c>
      <c r="BV1363" s="16"/>
      <c r="BW1363" s="16"/>
      <c r="BX1363" s="16"/>
      <c r="BY1363" s="16"/>
    </row>
    <row r="1364">
      <c r="A1364" s="16" t="s">
        <v>7667</v>
      </c>
      <c r="B1364" s="16" t="s">
        <v>35</v>
      </c>
      <c r="C1364" s="22">
        <v>45866.0</v>
      </c>
      <c r="D1364" s="16" t="s">
        <v>460</v>
      </c>
      <c r="E1364" s="16"/>
      <c r="F1364" s="16" t="s">
        <v>931</v>
      </c>
      <c r="G1364" s="16" t="s">
        <v>1126</v>
      </c>
      <c r="H1364" s="16">
        <v>1.0</v>
      </c>
      <c r="I1364" s="23">
        <v>40.0</v>
      </c>
      <c r="J1364" s="23">
        <v>40.0</v>
      </c>
      <c r="K1364" s="16"/>
      <c r="L1364" s="23"/>
      <c r="M1364" s="23"/>
      <c r="N1364" s="23"/>
      <c r="O1364" s="16"/>
      <c r="P1364" s="23"/>
      <c r="Q1364" s="23"/>
      <c r="R1364" s="23"/>
      <c r="S1364" s="16"/>
      <c r="T1364" s="23"/>
      <c r="U1364" s="23"/>
      <c r="V1364" s="23"/>
      <c r="W1364" s="16"/>
      <c r="X1364" s="23"/>
      <c r="Y1364" s="23"/>
      <c r="Z1364" s="23"/>
      <c r="AA1364" s="16"/>
      <c r="AB1364" s="23"/>
      <c r="AC1364" s="23"/>
      <c r="AD1364" s="23"/>
      <c r="AE1364" s="16"/>
      <c r="AF1364" s="23"/>
      <c r="AG1364" s="23"/>
      <c r="AH1364" s="23"/>
      <c r="AI1364" s="16"/>
      <c r="AJ1364" s="23"/>
      <c r="AK1364" s="23"/>
      <c r="AL1364" s="23"/>
      <c r="AM1364" s="16"/>
      <c r="AN1364" s="23"/>
      <c r="AO1364" s="23"/>
      <c r="AP1364" s="23"/>
      <c r="AQ1364" s="16"/>
      <c r="AR1364" s="23"/>
      <c r="AS1364" s="23"/>
      <c r="AT1364" s="23"/>
      <c r="AU1364" s="16"/>
      <c r="AV1364" s="23"/>
      <c r="AW1364" s="23"/>
      <c r="AX1364" s="23"/>
      <c r="AY1364" s="16"/>
      <c r="AZ1364" s="23"/>
      <c r="BA1364" s="23"/>
      <c r="BB1364" s="23"/>
      <c r="BC1364" s="16"/>
      <c r="BD1364" s="23"/>
      <c r="BE1364" s="23"/>
      <c r="BF1364" s="23"/>
      <c r="BJ1364" s="23"/>
      <c r="BN1364" s="23"/>
      <c r="BO1364" s="23">
        <v>40.0</v>
      </c>
      <c r="BP1364" s="16"/>
      <c r="BQ1364" s="16"/>
      <c r="BR1364" s="23">
        <v>40.0</v>
      </c>
      <c r="BS1364" s="16"/>
      <c r="BT1364" s="16"/>
      <c r="BU1364" s="16" t="s">
        <v>539</v>
      </c>
      <c r="BV1364" s="16"/>
      <c r="BW1364" s="16"/>
      <c r="BX1364" s="16"/>
      <c r="BY1364" s="16"/>
    </row>
    <row r="1365">
      <c r="A1365" s="16" t="s">
        <v>7670</v>
      </c>
      <c r="B1365" s="16" t="s">
        <v>35</v>
      </c>
      <c r="C1365" s="22">
        <v>45866.0</v>
      </c>
      <c r="D1365" s="16" t="s">
        <v>460</v>
      </c>
      <c r="E1365" s="16"/>
      <c r="F1365" s="16" t="s">
        <v>8619</v>
      </c>
      <c r="G1365" s="16" t="s">
        <v>5636</v>
      </c>
      <c r="H1365" s="16">
        <v>1.0</v>
      </c>
      <c r="I1365" s="23">
        <v>200.0</v>
      </c>
      <c r="J1365" s="23">
        <v>200.0</v>
      </c>
      <c r="K1365" s="16"/>
      <c r="L1365" s="23"/>
      <c r="M1365" s="23"/>
      <c r="N1365" s="23"/>
      <c r="O1365" s="16"/>
      <c r="P1365" s="23"/>
      <c r="Q1365" s="23"/>
      <c r="R1365" s="23"/>
      <c r="S1365" s="16"/>
      <c r="T1365" s="23"/>
      <c r="U1365" s="23"/>
      <c r="V1365" s="23"/>
      <c r="W1365" s="16"/>
      <c r="X1365" s="23"/>
      <c r="Y1365" s="23"/>
      <c r="Z1365" s="23"/>
      <c r="AA1365" s="16"/>
      <c r="AB1365" s="23"/>
      <c r="AC1365" s="23"/>
      <c r="AD1365" s="23"/>
      <c r="AE1365" s="16"/>
      <c r="AF1365" s="23"/>
      <c r="AG1365" s="23"/>
      <c r="AH1365" s="23"/>
      <c r="AI1365" s="16"/>
      <c r="AJ1365" s="23"/>
      <c r="AK1365" s="23"/>
      <c r="AL1365" s="23"/>
      <c r="AM1365" s="16"/>
      <c r="AN1365" s="23"/>
      <c r="AO1365" s="23"/>
      <c r="AP1365" s="23"/>
      <c r="AQ1365" s="16"/>
      <c r="AR1365" s="23"/>
      <c r="AS1365" s="23"/>
      <c r="AT1365" s="23"/>
      <c r="AU1365" s="16"/>
      <c r="AV1365" s="23"/>
      <c r="AW1365" s="23"/>
      <c r="AX1365" s="23"/>
      <c r="AY1365" s="16"/>
      <c r="AZ1365" s="23"/>
      <c r="BA1365" s="23"/>
      <c r="BB1365" s="23"/>
      <c r="BC1365" s="16"/>
      <c r="BD1365" s="23"/>
      <c r="BE1365" s="23"/>
      <c r="BF1365" s="23"/>
      <c r="BJ1365" s="23"/>
      <c r="BN1365" s="23"/>
      <c r="BO1365" s="23">
        <v>200.0</v>
      </c>
      <c r="BP1365" s="16"/>
      <c r="BQ1365" s="16"/>
      <c r="BR1365" s="23">
        <v>200.0</v>
      </c>
      <c r="BS1365" s="16"/>
      <c r="BT1365" s="16"/>
      <c r="BU1365" s="16" t="s">
        <v>539</v>
      </c>
      <c r="BV1365" s="16"/>
      <c r="BW1365" s="16"/>
      <c r="BX1365" s="16"/>
      <c r="BY1365" s="16"/>
    </row>
    <row r="1366">
      <c r="A1366" s="16" t="s">
        <v>7673</v>
      </c>
      <c r="B1366" s="16" t="s">
        <v>35</v>
      </c>
      <c r="C1366" s="22">
        <v>45866.0</v>
      </c>
      <c r="D1366" s="16" t="s">
        <v>460</v>
      </c>
      <c r="E1366" s="16"/>
      <c r="F1366" s="16" t="s">
        <v>4972</v>
      </c>
      <c r="G1366" s="16" t="s">
        <v>5640</v>
      </c>
      <c r="H1366" s="16">
        <v>1.0</v>
      </c>
      <c r="I1366" s="23">
        <v>22.0</v>
      </c>
      <c r="J1366" s="23">
        <v>22.0</v>
      </c>
      <c r="K1366" s="16"/>
      <c r="L1366" s="23"/>
      <c r="M1366" s="23"/>
      <c r="N1366" s="23"/>
      <c r="O1366" s="16"/>
      <c r="P1366" s="23"/>
      <c r="Q1366" s="23"/>
      <c r="R1366" s="23"/>
      <c r="S1366" s="16"/>
      <c r="T1366" s="23"/>
      <c r="U1366" s="23"/>
      <c r="V1366" s="23"/>
      <c r="W1366" s="16"/>
      <c r="X1366" s="23"/>
      <c r="Y1366" s="23"/>
      <c r="Z1366" s="23"/>
      <c r="AA1366" s="16"/>
      <c r="AB1366" s="23"/>
      <c r="AC1366" s="23"/>
      <c r="AD1366" s="23"/>
      <c r="AE1366" s="16"/>
      <c r="AF1366" s="23"/>
      <c r="AG1366" s="23"/>
      <c r="AH1366" s="23"/>
      <c r="AI1366" s="16"/>
      <c r="AJ1366" s="23"/>
      <c r="AK1366" s="23"/>
      <c r="AL1366" s="23"/>
      <c r="AM1366" s="16"/>
      <c r="AN1366" s="23"/>
      <c r="AO1366" s="23"/>
      <c r="AP1366" s="23"/>
      <c r="AQ1366" s="16"/>
      <c r="AR1366" s="23"/>
      <c r="AS1366" s="23"/>
      <c r="AT1366" s="23"/>
      <c r="AU1366" s="16"/>
      <c r="AV1366" s="23"/>
      <c r="AW1366" s="23"/>
      <c r="AX1366" s="23"/>
      <c r="AY1366" s="16"/>
      <c r="AZ1366" s="23"/>
      <c r="BA1366" s="23"/>
      <c r="BB1366" s="23"/>
      <c r="BC1366" s="16"/>
      <c r="BD1366" s="23"/>
      <c r="BE1366" s="23"/>
      <c r="BF1366" s="23"/>
      <c r="BJ1366" s="23"/>
      <c r="BN1366" s="23"/>
      <c r="BO1366" s="23">
        <v>22.0</v>
      </c>
      <c r="BP1366" s="16"/>
      <c r="BQ1366" s="16"/>
      <c r="BR1366" s="23">
        <v>22.0</v>
      </c>
      <c r="BS1366" s="16"/>
      <c r="BT1366" s="16"/>
      <c r="BU1366" s="16" t="s">
        <v>539</v>
      </c>
      <c r="BV1366" s="16"/>
      <c r="BW1366" s="16"/>
      <c r="BX1366" s="16"/>
      <c r="BY1366" s="16"/>
    </row>
    <row r="1367">
      <c r="A1367" s="16" t="s">
        <v>7675</v>
      </c>
      <c r="B1367" s="16" t="s">
        <v>35</v>
      </c>
      <c r="C1367" s="22">
        <v>45866.0</v>
      </c>
      <c r="D1367" s="16" t="s">
        <v>460</v>
      </c>
      <c r="E1367" s="16"/>
      <c r="F1367" s="16" t="s">
        <v>4979</v>
      </c>
      <c r="G1367" s="16" t="s">
        <v>5973</v>
      </c>
      <c r="H1367" s="16">
        <v>1.0</v>
      </c>
      <c r="I1367" s="23">
        <v>10.0</v>
      </c>
      <c r="J1367" s="23">
        <v>10.0</v>
      </c>
      <c r="K1367" s="16"/>
      <c r="L1367" s="23"/>
      <c r="M1367" s="23"/>
      <c r="N1367" s="23"/>
      <c r="O1367" s="16"/>
      <c r="P1367" s="23"/>
      <c r="Q1367" s="23"/>
      <c r="R1367" s="23"/>
      <c r="S1367" s="16"/>
      <c r="T1367" s="23"/>
      <c r="U1367" s="23"/>
      <c r="V1367" s="23"/>
      <c r="W1367" s="16"/>
      <c r="X1367" s="23"/>
      <c r="Y1367" s="23"/>
      <c r="Z1367" s="23"/>
      <c r="AA1367" s="16"/>
      <c r="AB1367" s="23"/>
      <c r="AC1367" s="23"/>
      <c r="AD1367" s="23"/>
      <c r="AE1367" s="16"/>
      <c r="AF1367" s="23"/>
      <c r="AG1367" s="23"/>
      <c r="AH1367" s="23"/>
      <c r="AI1367" s="16"/>
      <c r="AJ1367" s="23"/>
      <c r="AK1367" s="23"/>
      <c r="AL1367" s="23"/>
      <c r="AM1367" s="16"/>
      <c r="AN1367" s="23"/>
      <c r="AO1367" s="23"/>
      <c r="AP1367" s="23"/>
      <c r="AQ1367" s="16"/>
      <c r="AR1367" s="23"/>
      <c r="AS1367" s="23"/>
      <c r="AT1367" s="23"/>
      <c r="AU1367" s="16"/>
      <c r="AV1367" s="23"/>
      <c r="AW1367" s="23"/>
      <c r="AX1367" s="23"/>
      <c r="AY1367" s="16"/>
      <c r="AZ1367" s="23"/>
      <c r="BA1367" s="23"/>
      <c r="BB1367" s="23"/>
      <c r="BC1367" s="16"/>
      <c r="BD1367" s="23"/>
      <c r="BE1367" s="23"/>
      <c r="BF1367" s="23"/>
      <c r="BJ1367" s="23"/>
      <c r="BN1367" s="23"/>
      <c r="BO1367" s="23">
        <v>10.0</v>
      </c>
      <c r="BP1367" s="16"/>
      <c r="BQ1367" s="16"/>
      <c r="BR1367" s="23">
        <v>10.0</v>
      </c>
      <c r="BS1367" s="16"/>
      <c r="BT1367" s="16"/>
      <c r="BU1367" s="16" t="s">
        <v>539</v>
      </c>
      <c r="BV1367" s="16"/>
      <c r="BW1367" s="16"/>
      <c r="BX1367" s="16"/>
      <c r="BY1367" s="16"/>
    </row>
    <row r="1368">
      <c r="A1368" s="16" t="s">
        <v>7678</v>
      </c>
      <c r="B1368" s="16" t="s">
        <v>35</v>
      </c>
      <c r="C1368" s="22">
        <v>45862.0</v>
      </c>
      <c r="D1368" s="16" t="s">
        <v>764</v>
      </c>
      <c r="E1368" s="16" t="s">
        <v>8632</v>
      </c>
      <c r="F1368" s="16" t="s">
        <v>195</v>
      </c>
      <c r="G1368" s="16" t="s">
        <v>1074</v>
      </c>
      <c r="H1368" s="16">
        <v>2.0</v>
      </c>
      <c r="I1368" s="23">
        <v>152.0</v>
      </c>
      <c r="J1368" s="23">
        <v>304.0</v>
      </c>
      <c r="K1368" s="16" t="s">
        <v>1081</v>
      </c>
      <c r="L1368" s="23">
        <v>5.0</v>
      </c>
      <c r="M1368" s="23">
        <v>48.0</v>
      </c>
      <c r="N1368" s="23">
        <v>240.0</v>
      </c>
      <c r="O1368" s="16" t="s">
        <v>1077</v>
      </c>
      <c r="P1368" s="23">
        <v>3.0</v>
      </c>
      <c r="Q1368" s="23">
        <v>25.8</v>
      </c>
      <c r="R1368" s="23">
        <v>77.4</v>
      </c>
      <c r="S1368" s="16" t="s">
        <v>1083</v>
      </c>
      <c r="T1368" s="23">
        <v>4.0</v>
      </c>
      <c r="U1368" s="23">
        <v>18.0</v>
      </c>
      <c r="V1368" s="23">
        <v>72.0</v>
      </c>
      <c r="W1368" s="16" t="s">
        <v>1075</v>
      </c>
      <c r="X1368" s="23">
        <v>1.0</v>
      </c>
      <c r="Y1368" s="23">
        <v>38.0</v>
      </c>
      <c r="Z1368" s="23">
        <v>38.0</v>
      </c>
      <c r="AA1368" s="16" t="s">
        <v>1079</v>
      </c>
      <c r="AB1368" s="23">
        <v>1.0</v>
      </c>
      <c r="AC1368" s="23">
        <v>260.2</v>
      </c>
      <c r="AD1368" s="23">
        <v>260.2</v>
      </c>
      <c r="AE1368" s="16"/>
      <c r="AF1368" s="23"/>
      <c r="AG1368" s="23"/>
      <c r="AH1368" s="23">
        <v>0.0</v>
      </c>
      <c r="AI1368" s="16"/>
      <c r="AJ1368" s="23"/>
      <c r="AK1368" s="23"/>
      <c r="AL1368" s="23">
        <v>0.0</v>
      </c>
      <c r="AM1368" s="16"/>
      <c r="AN1368" s="23"/>
      <c r="AO1368" s="23"/>
      <c r="AP1368" s="23">
        <v>0.0</v>
      </c>
      <c r="AQ1368" s="16"/>
      <c r="AR1368" s="23"/>
      <c r="AS1368" s="23"/>
      <c r="AT1368" s="23">
        <v>0.0</v>
      </c>
      <c r="AU1368" s="16"/>
      <c r="AV1368" s="23"/>
      <c r="AW1368" s="23"/>
      <c r="AX1368" s="23">
        <v>0.0</v>
      </c>
      <c r="AY1368" s="16"/>
      <c r="AZ1368" s="23"/>
      <c r="BA1368" s="23"/>
      <c r="BB1368" s="23"/>
      <c r="BC1368" s="16"/>
      <c r="BD1368" s="23"/>
      <c r="BE1368" s="23"/>
      <c r="BF1368" s="23">
        <v>0.0</v>
      </c>
      <c r="BJ1368" s="23">
        <v>0.0</v>
      </c>
      <c r="BN1368" s="23">
        <v>0.0</v>
      </c>
      <c r="BO1368" s="23">
        <v>991.6</v>
      </c>
      <c r="BP1368" s="16" t="s">
        <v>8633</v>
      </c>
      <c r="BQ1368" s="16" t="b">
        <v>1</v>
      </c>
      <c r="BR1368" s="23">
        <v>991.6</v>
      </c>
      <c r="BS1368" s="16"/>
      <c r="BT1368" s="16" t="b">
        <v>0</v>
      </c>
      <c r="BU1368" s="16" t="s">
        <v>546</v>
      </c>
      <c r="BV1368" s="16"/>
      <c r="BW1368" s="16" t="s">
        <v>8635</v>
      </c>
      <c r="BX1368" s="16"/>
      <c r="BY1368" s="16"/>
    </row>
    <row r="1369">
      <c r="A1369" s="16" t="s">
        <v>7688</v>
      </c>
      <c r="B1369" s="16" t="s">
        <v>35</v>
      </c>
      <c r="C1369" s="22">
        <v>45863.0</v>
      </c>
      <c r="D1369" s="16" t="s">
        <v>3716</v>
      </c>
      <c r="E1369" s="16" t="s">
        <v>8638</v>
      </c>
      <c r="F1369" s="16" t="s">
        <v>8641</v>
      </c>
      <c r="G1369" s="16" t="s">
        <v>1079</v>
      </c>
      <c r="H1369" s="16">
        <v>1.0</v>
      </c>
      <c r="I1369" s="23">
        <v>239.38</v>
      </c>
      <c r="J1369" s="23">
        <v>239.38</v>
      </c>
      <c r="K1369" s="16"/>
      <c r="L1369" s="23"/>
      <c r="M1369" s="23"/>
      <c r="N1369" s="23">
        <v>0.0</v>
      </c>
      <c r="O1369" s="16"/>
      <c r="P1369" s="23"/>
      <c r="Q1369" s="23"/>
      <c r="R1369" s="23">
        <v>0.0</v>
      </c>
      <c r="S1369" s="16"/>
      <c r="T1369" s="23"/>
      <c r="U1369" s="23"/>
      <c r="V1369" s="23">
        <v>0.0</v>
      </c>
      <c r="W1369" s="16"/>
      <c r="X1369" s="23"/>
      <c r="Y1369" s="23"/>
      <c r="Z1369" s="23">
        <v>0.0</v>
      </c>
      <c r="AA1369" s="16"/>
      <c r="AB1369" s="23"/>
      <c r="AC1369" s="23"/>
      <c r="AD1369" s="23">
        <v>0.0</v>
      </c>
      <c r="AE1369" s="16"/>
      <c r="AF1369" s="23"/>
      <c r="AG1369" s="23"/>
      <c r="AH1369" s="23">
        <v>0.0</v>
      </c>
      <c r="AI1369" s="16"/>
      <c r="AJ1369" s="23"/>
      <c r="AK1369" s="23"/>
      <c r="AL1369" s="23">
        <v>0.0</v>
      </c>
      <c r="AM1369" s="16"/>
      <c r="AN1369" s="23"/>
      <c r="AO1369" s="23"/>
      <c r="AP1369" s="23">
        <v>0.0</v>
      </c>
      <c r="AQ1369" s="16"/>
      <c r="AR1369" s="23"/>
      <c r="AS1369" s="23"/>
      <c r="AT1369" s="23">
        <v>0.0</v>
      </c>
      <c r="AU1369" s="16"/>
      <c r="AV1369" s="23"/>
      <c r="AW1369" s="23"/>
      <c r="AX1369" s="23">
        <v>0.0</v>
      </c>
      <c r="AY1369" s="16"/>
      <c r="AZ1369" s="23"/>
      <c r="BA1369" s="23"/>
      <c r="BB1369" s="23"/>
      <c r="BC1369" s="16"/>
      <c r="BD1369" s="23"/>
      <c r="BE1369" s="23"/>
      <c r="BF1369" s="23">
        <v>0.0</v>
      </c>
      <c r="BJ1369" s="23">
        <v>0.0</v>
      </c>
      <c r="BN1369" s="23">
        <v>0.0</v>
      </c>
      <c r="BO1369" s="23">
        <v>239.38</v>
      </c>
      <c r="BP1369" s="16" t="s">
        <v>8640</v>
      </c>
      <c r="BQ1369" s="16" t="b">
        <v>1</v>
      </c>
      <c r="BR1369" s="23">
        <v>239.38</v>
      </c>
      <c r="BS1369" s="16">
        <v>1590361.0</v>
      </c>
      <c r="BT1369" s="16" t="b">
        <v>1</v>
      </c>
      <c r="BU1369" s="16" t="s">
        <v>546</v>
      </c>
      <c r="BV1369" s="16"/>
      <c r="BW1369" s="16"/>
      <c r="BX1369" s="16"/>
      <c r="BY1369" s="16"/>
    </row>
    <row r="1370">
      <c r="A1370" s="16" t="s">
        <v>7690</v>
      </c>
      <c r="B1370" s="16" t="s">
        <v>35</v>
      </c>
      <c r="C1370" s="22">
        <v>45868.0</v>
      </c>
      <c r="D1370" s="16" t="s">
        <v>7095</v>
      </c>
      <c r="E1370" s="16" t="s">
        <v>8644</v>
      </c>
      <c r="F1370" s="16" t="s">
        <v>195</v>
      </c>
      <c r="G1370" s="16" t="s">
        <v>338</v>
      </c>
      <c r="H1370" s="16">
        <v>1.0</v>
      </c>
      <c r="I1370" s="23">
        <v>257.66</v>
      </c>
      <c r="J1370" s="23">
        <v>257.66</v>
      </c>
      <c r="K1370" s="16" t="s">
        <v>335</v>
      </c>
      <c r="L1370" s="23">
        <v>1.0</v>
      </c>
      <c r="M1370" s="23">
        <v>44.88</v>
      </c>
      <c r="N1370" s="23">
        <v>44.88</v>
      </c>
      <c r="O1370" s="16" t="s">
        <v>7086</v>
      </c>
      <c r="P1370" s="23">
        <v>2.0</v>
      </c>
      <c r="Q1370" s="23">
        <v>30.84</v>
      </c>
      <c r="R1370" s="23">
        <v>61.68</v>
      </c>
      <c r="S1370" s="16" t="s">
        <v>1777</v>
      </c>
      <c r="T1370" s="23">
        <v>2.0</v>
      </c>
      <c r="U1370" s="23">
        <v>30.96</v>
      </c>
      <c r="V1370" s="23">
        <v>61.92</v>
      </c>
      <c r="W1370" s="16"/>
      <c r="X1370" s="23"/>
      <c r="Y1370" s="23"/>
      <c r="Z1370" s="23">
        <v>0.0</v>
      </c>
      <c r="AA1370" s="16"/>
      <c r="AB1370" s="23"/>
      <c r="AC1370" s="23"/>
      <c r="AD1370" s="23">
        <v>0.0</v>
      </c>
      <c r="AE1370" s="16"/>
      <c r="AF1370" s="23"/>
      <c r="AG1370" s="23"/>
      <c r="AH1370" s="23">
        <v>0.0</v>
      </c>
      <c r="AI1370" s="16"/>
      <c r="AJ1370" s="23"/>
      <c r="AK1370" s="23"/>
      <c r="AL1370" s="23">
        <v>0.0</v>
      </c>
      <c r="AM1370" s="16"/>
      <c r="AN1370" s="23"/>
      <c r="AO1370" s="23"/>
      <c r="AP1370" s="23">
        <v>0.0</v>
      </c>
      <c r="AQ1370" s="16"/>
      <c r="AR1370" s="23"/>
      <c r="AS1370" s="23"/>
      <c r="AT1370" s="23">
        <v>0.0</v>
      </c>
      <c r="AU1370" s="16"/>
      <c r="AV1370" s="23"/>
      <c r="AW1370" s="23"/>
      <c r="AX1370" s="23">
        <v>0.0</v>
      </c>
      <c r="AY1370" s="16"/>
      <c r="AZ1370" s="23"/>
      <c r="BA1370" s="23"/>
      <c r="BB1370" s="23"/>
      <c r="BC1370" s="16"/>
      <c r="BD1370" s="23"/>
      <c r="BE1370" s="23"/>
      <c r="BF1370" s="23">
        <v>0.0</v>
      </c>
      <c r="BJ1370" s="23">
        <v>0.0</v>
      </c>
      <c r="BN1370" s="23">
        <v>0.0</v>
      </c>
      <c r="BO1370" s="23">
        <v>426.14</v>
      </c>
      <c r="BP1370" s="16" t="s">
        <v>8645</v>
      </c>
      <c r="BQ1370" s="16" t="b">
        <v>1</v>
      </c>
      <c r="BR1370" s="23">
        <v>426.14</v>
      </c>
      <c r="BS1370" s="16"/>
      <c r="BT1370" s="16" t="b">
        <v>0</v>
      </c>
      <c r="BU1370" s="16" t="s">
        <v>546</v>
      </c>
      <c r="BV1370" s="16"/>
      <c r="BW1370" s="16"/>
      <c r="BX1370" s="16"/>
      <c r="BY1370" s="16"/>
    </row>
    <row r="1371">
      <c r="A1371" s="16" t="s">
        <v>7695</v>
      </c>
      <c r="B1371" s="16" t="s">
        <v>35</v>
      </c>
      <c r="C1371" s="22">
        <v>45873.0</v>
      </c>
      <c r="D1371" s="16" t="s">
        <v>890</v>
      </c>
      <c r="E1371" s="16"/>
      <c r="F1371" s="16" t="s">
        <v>8652</v>
      </c>
      <c r="G1371" s="16" t="s">
        <v>3833</v>
      </c>
      <c r="H1371" s="16">
        <v>1.0</v>
      </c>
      <c r="I1371" s="23">
        <v>3231.46</v>
      </c>
      <c r="J1371" s="23">
        <v>3231.46</v>
      </c>
      <c r="K1371" s="16"/>
      <c r="L1371" s="23"/>
      <c r="M1371" s="23"/>
      <c r="N1371" s="23"/>
      <c r="O1371" s="16"/>
      <c r="P1371" s="23"/>
      <c r="Q1371" s="23"/>
      <c r="R1371" s="23"/>
      <c r="S1371" s="16"/>
      <c r="T1371" s="23"/>
      <c r="U1371" s="23"/>
      <c r="V1371" s="23"/>
      <c r="W1371" s="16"/>
      <c r="X1371" s="23"/>
      <c r="Y1371" s="23"/>
      <c r="Z1371" s="23"/>
      <c r="AA1371" s="16"/>
      <c r="AB1371" s="23"/>
      <c r="AC1371" s="23"/>
      <c r="AD1371" s="23"/>
      <c r="AE1371" s="16"/>
      <c r="AF1371" s="23"/>
      <c r="AG1371" s="23"/>
      <c r="AH1371" s="23"/>
      <c r="AI1371" s="16"/>
      <c r="AJ1371" s="23"/>
      <c r="AK1371" s="23"/>
      <c r="AL1371" s="23"/>
      <c r="AM1371" s="16"/>
      <c r="AN1371" s="23"/>
      <c r="AO1371" s="23"/>
      <c r="AP1371" s="23"/>
      <c r="AQ1371" s="16"/>
      <c r="AR1371" s="23"/>
      <c r="AS1371" s="23"/>
      <c r="AT1371" s="23"/>
      <c r="AU1371" s="16"/>
      <c r="AV1371" s="23"/>
      <c r="AW1371" s="23"/>
      <c r="AX1371" s="23"/>
      <c r="AY1371" s="16"/>
      <c r="AZ1371" s="23"/>
      <c r="BA1371" s="23"/>
      <c r="BB1371" s="23"/>
      <c r="BC1371" s="16"/>
      <c r="BD1371" s="23"/>
      <c r="BE1371" s="23"/>
      <c r="BF1371" s="23"/>
      <c r="BJ1371" s="23"/>
      <c r="BN1371" s="23"/>
      <c r="BO1371" s="23">
        <v>3231.46</v>
      </c>
      <c r="BP1371" s="16"/>
      <c r="BQ1371" s="16"/>
      <c r="BR1371" s="23">
        <v>3231.46</v>
      </c>
      <c r="BS1371" s="16"/>
      <c r="BT1371" s="16"/>
      <c r="BU1371" s="16" t="s">
        <v>539</v>
      </c>
      <c r="BV1371" s="16"/>
      <c r="BW1371" s="16"/>
      <c r="BX1371" s="16"/>
      <c r="BY1371" s="16"/>
    </row>
    <row r="1372">
      <c r="A1372" s="16" t="s">
        <v>7697</v>
      </c>
      <c r="B1372" s="16" t="s">
        <v>35</v>
      </c>
      <c r="C1372" s="22">
        <v>45873.0</v>
      </c>
      <c r="D1372" s="16"/>
      <c r="E1372" s="16"/>
      <c r="F1372" s="16" t="s">
        <v>8658</v>
      </c>
      <c r="G1372" s="16" t="s">
        <v>1239</v>
      </c>
      <c r="H1372" s="16">
        <v>1.0</v>
      </c>
      <c r="I1372" s="23">
        <v>1729.01</v>
      </c>
      <c r="J1372" s="23">
        <v>1729.01</v>
      </c>
      <c r="K1372" s="16"/>
      <c r="L1372" s="23"/>
      <c r="M1372" s="23"/>
      <c r="N1372" s="23"/>
      <c r="O1372" s="16"/>
      <c r="P1372" s="23"/>
      <c r="Q1372" s="23"/>
      <c r="R1372" s="23"/>
      <c r="S1372" s="16"/>
      <c r="T1372" s="23"/>
      <c r="U1372" s="23"/>
      <c r="V1372" s="23"/>
      <c r="W1372" s="16"/>
      <c r="X1372" s="23"/>
      <c r="Y1372" s="23"/>
      <c r="Z1372" s="23"/>
      <c r="AA1372" s="16"/>
      <c r="AB1372" s="23"/>
      <c r="AC1372" s="23"/>
      <c r="AD1372" s="23"/>
      <c r="AE1372" s="16"/>
      <c r="AF1372" s="23"/>
      <c r="AG1372" s="23"/>
      <c r="AH1372" s="23"/>
      <c r="AI1372" s="16"/>
      <c r="AJ1372" s="23"/>
      <c r="AK1372" s="23"/>
      <c r="AL1372" s="23"/>
      <c r="AM1372" s="16"/>
      <c r="AN1372" s="23"/>
      <c r="AO1372" s="23"/>
      <c r="AP1372" s="23"/>
      <c r="AQ1372" s="16"/>
      <c r="AR1372" s="23"/>
      <c r="AS1372" s="23"/>
      <c r="AT1372" s="23"/>
      <c r="AU1372" s="16"/>
      <c r="AV1372" s="23"/>
      <c r="AW1372" s="23"/>
      <c r="AX1372" s="23"/>
      <c r="AY1372" s="16"/>
      <c r="AZ1372" s="23"/>
      <c r="BA1372" s="23"/>
      <c r="BB1372" s="23"/>
      <c r="BC1372" s="16"/>
      <c r="BD1372" s="23"/>
      <c r="BE1372" s="23"/>
      <c r="BF1372" s="23"/>
      <c r="BJ1372" s="23"/>
      <c r="BN1372" s="23"/>
      <c r="BO1372" s="23">
        <v>1729.01</v>
      </c>
      <c r="BP1372" s="16"/>
      <c r="BQ1372" s="16"/>
      <c r="BR1372" s="23">
        <v>1729.01</v>
      </c>
      <c r="BS1372" s="16"/>
      <c r="BT1372" s="16"/>
      <c r="BU1372" s="16" t="s">
        <v>539</v>
      </c>
      <c r="BV1372" s="16" t="s">
        <v>2052</v>
      </c>
      <c r="BW1372" s="16"/>
      <c r="BX1372" s="16"/>
      <c r="BY1372" s="16"/>
    </row>
    <row r="1373">
      <c r="A1373" s="16" t="s">
        <v>7699</v>
      </c>
      <c r="B1373" s="16" t="s">
        <v>35</v>
      </c>
      <c r="C1373" s="22">
        <v>45873.0</v>
      </c>
      <c r="D1373" s="16"/>
      <c r="E1373" s="16"/>
      <c r="F1373" s="16" t="s">
        <v>8658</v>
      </c>
      <c r="G1373" s="16" t="s">
        <v>1239</v>
      </c>
      <c r="H1373" s="16">
        <v>1.0</v>
      </c>
      <c r="I1373" s="23">
        <v>2123.02</v>
      </c>
      <c r="J1373" s="23">
        <v>2123.02</v>
      </c>
      <c r="K1373" s="16"/>
      <c r="L1373" s="23"/>
      <c r="M1373" s="23"/>
      <c r="N1373" s="23"/>
      <c r="O1373" s="16"/>
      <c r="P1373" s="23"/>
      <c r="Q1373" s="23"/>
      <c r="R1373" s="23"/>
      <c r="S1373" s="16"/>
      <c r="T1373" s="23"/>
      <c r="U1373" s="23"/>
      <c r="V1373" s="23"/>
      <c r="W1373" s="16"/>
      <c r="X1373" s="23"/>
      <c r="Y1373" s="23"/>
      <c r="Z1373" s="23"/>
      <c r="AA1373" s="16"/>
      <c r="AB1373" s="23"/>
      <c r="AC1373" s="23"/>
      <c r="AD1373" s="23"/>
      <c r="AE1373" s="16"/>
      <c r="AF1373" s="23"/>
      <c r="AG1373" s="23"/>
      <c r="AH1373" s="23"/>
      <c r="AI1373" s="16"/>
      <c r="AJ1373" s="23"/>
      <c r="AK1373" s="23"/>
      <c r="AL1373" s="23"/>
      <c r="AM1373" s="16"/>
      <c r="AN1373" s="23"/>
      <c r="AO1373" s="23"/>
      <c r="AP1373" s="23"/>
      <c r="AQ1373" s="16"/>
      <c r="AR1373" s="23"/>
      <c r="AS1373" s="23"/>
      <c r="AT1373" s="23"/>
      <c r="AU1373" s="16"/>
      <c r="AV1373" s="23"/>
      <c r="AW1373" s="23"/>
      <c r="AX1373" s="23"/>
      <c r="AY1373" s="16"/>
      <c r="AZ1373" s="23"/>
      <c r="BA1373" s="23"/>
      <c r="BB1373" s="23"/>
      <c r="BC1373" s="16"/>
      <c r="BD1373" s="23"/>
      <c r="BE1373" s="23"/>
      <c r="BF1373" s="23"/>
      <c r="BJ1373" s="23"/>
      <c r="BN1373" s="23"/>
      <c r="BO1373" s="23">
        <v>2123.02</v>
      </c>
      <c r="BP1373" s="16"/>
      <c r="BQ1373" s="16"/>
      <c r="BR1373" s="23">
        <v>2123.02</v>
      </c>
      <c r="BS1373" s="16"/>
      <c r="BT1373" s="16"/>
      <c r="BU1373" s="16" t="s">
        <v>539</v>
      </c>
      <c r="BV1373" s="16" t="s">
        <v>227</v>
      </c>
      <c r="BW1373" s="16"/>
      <c r="BX1373" s="16"/>
      <c r="BY1373" s="16"/>
    </row>
    <row r="1374">
      <c r="A1374" s="16" t="s">
        <v>7701</v>
      </c>
      <c r="B1374" s="16" t="s">
        <v>35</v>
      </c>
      <c r="C1374" s="22">
        <v>45873.0</v>
      </c>
      <c r="D1374" s="16"/>
      <c r="E1374" s="16"/>
      <c r="F1374" s="16" t="s">
        <v>8658</v>
      </c>
      <c r="G1374" s="16" t="s">
        <v>1239</v>
      </c>
      <c r="H1374" s="16">
        <v>1.0</v>
      </c>
      <c r="I1374" s="23">
        <v>1431.94</v>
      </c>
      <c r="J1374" s="23">
        <v>1431.94</v>
      </c>
      <c r="K1374" s="16"/>
      <c r="L1374" s="23"/>
      <c r="M1374" s="23"/>
      <c r="N1374" s="23"/>
      <c r="O1374" s="16"/>
      <c r="P1374" s="23"/>
      <c r="Q1374" s="23"/>
      <c r="R1374" s="23"/>
      <c r="S1374" s="16"/>
      <c r="T1374" s="23"/>
      <c r="U1374" s="23"/>
      <c r="V1374" s="23"/>
      <c r="W1374" s="16"/>
      <c r="X1374" s="23"/>
      <c r="Y1374" s="23"/>
      <c r="Z1374" s="23"/>
      <c r="AA1374" s="16"/>
      <c r="AB1374" s="23"/>
      <c r="AC1374" s="23"/>
      <c r="AD1374" s="23"/>
      <c r="AE1374" s="16"/>
      <c r="AF1374" s="23"/>
      <c r="AG1374" s="23"/>
      <c r="AH1374" s="23"/>
      <c r="AI1374" s="16"/>
      <c r="AJ1374" s="23"/>
      <c r="AK1374" s="23"/>
      <c r="AL1374" s="23"/>
      <c r="AM1374" s="16"/>
      <c r="AN1374" s="23"/>
      <c r="AO1374" s="23"/>
      <c r="AP1374" s="23"/>
      <c r="AQ1374" s="16"/>
      <c r="AR1374" s="23"/>
      <c r="AS1374" s="23"/>
      <c r="AT1374" s="23"/>
      <c r="AU1374" s="16"/>
      <c r="AV1374" s="23"/>
      <c r="AW1374" s="23"/>
      <c r="AX1374" s="23"/>
      <c r="AY1374" s="16"/>
      <c r="AZ1374" s="23"/>
      <c r="BA1374" s="23"/>
      <c r="BB1374" s="23"/>
      <c r="BC1374" s="16"/>
      <c r="BD1374" s="23"/>
      <c r="BE1374" s="23"/>
      <c r="BF1374" s="23"/>
      <c r="BJ1374" s="23"/>
      <c r="BN1374" s="23"/>
      <c r="BO1374" s="23">
        <v>1431.94</v>
      </c>
      <c r="BP1374" s="16"/>
      <c r="BQ1374" s="16"/>
      <c r="BR1374" s="23">
        <v>1431.94</v>
      </c>
      <c r="BS1374" s="16"/>
      <c r="BT1374" s="16"/>
      <c r="BU1374" s="16" t="s">
        <v>539</v>
      </c>
      <c r="BV1374" s="16" t="s">
        <v>6062</v>
      </c>
      <c r="BW1374" s="16"/>
      <c r="BX1374" s="16"/>
      <c r="BY1374" s="16"/>
    </row>
    <row r="1375">
      <c r="A1375" s="16" t="s">
        <v>7703</v>
      </c>
      <c r="B1375" s="16" t="s">
        <v>35</v>
      </c>
      <c r="C1375" s="22">
        <v>45873.0</v>
      </c>
      <c r="D1375" s="16"/>
      <c r="E1375" s="16"/>
      <c r="F1375" s="16" t="s">
        <v>8658</v>
      </c>
      <c r="G1375" s="16" t="s">
        <v>1239</v>
      </c>
      <c r="H1375" s="16">
        <v>1.0</v>
      </c>
      <c r="I1375" s="23">
        <v>2133.65</v>
      </c>
      <c r="J1375" s="23">
        <v>2133.65</v>
      </c>
      <c r="K1375" s="16"/>
      <c r="L1375" s="23"/>
      <c r="M1375" s="23"/>
      <c r="N1375" s="23"/>
      <c r="O1375" s="16"/>
      <c r="P1375" s="23"/>
      <c r="Q1375" s="23"/>
      <c r="R1375" s="23"/>
      <c r="S1375" s="16"/>
      <c r="T1375" s="23"/>
      <c r="U1375" s="23"/>
      <c r="V1375" s="23"/>
      <c r="W1375" s="16"/>
      <c r="X1375" s="23"/>
      <c r="Y1375" s="23"/>
      <c r="Z1375" s="23"/>
      <c r="AA1375" s="16"/>
      <c r="AB1375" s="23"/>
      <c r="AC1375" s="23"/>
      <c r="AD1375" s="23"/>
      <c r="AE1375" s="16"/>
      <c r="AF1375" s="23"/>
      <c r="AG1375" s="23"/>
      <c r="AH1375" s="23"/>
      <c r="AI1375" s="16"/>
      <c r="AJ1375" s="23"/>
      <c r="AK1375" s="23"/>
      <c r="AL1375" s="23"/>
      <c r="AM1375" s="16"/>
      <c r="AN1375" s="23"/>
      <c r="AO1375" s="23"/>
      <c r="AP1375" s="23"/>
      <c r="AQ1375" s="16"/>
      <c r="AR1375" s="23"/>
      <c r="AS1375" s="23"/>
      <c r="AT1375" s="23"/>
      <c r="AU1375" s="16"/>
      <c r="AV1375" s="23"/>
      <c r="AW1375" s="23"/>
      <c r="AX1375" s="23"/>
      <c r="AY1375" s="16"/>
      <c r="AZ1375" s="23"/>
      <c r="BA1375" s="23"/>
      <c r="BB1375" s="23"/>
      <c r="BC1375" s="16"/>
      <c r="BD1375" s="23"/>
      <c r="BE1375" s="23"/>
      <c r="BF1375" s="23"/>
      <c r="BJ1375" s="23"/>
      <c r="BN1375" s="23"/>
      <c r="BO1375" s="23">
        <v>2133.65</v>
      </c>
      <c r="BP1375" s="16"/>
      <c r="BQ1375" s="16"/>
      <c r="BR1375" s="23">
        <v>2133.65</v>
      </c>
      <c r="BS1375" s="16"/>
      <c r="BT1375" s="16"/>
      <c r="BU1375" s="16" t="s">
        <v>539</v>
      </c>
      <c r="BV1375" s="16" t="s">
        <v>624</v>
      </c>
      <c r="BW1375" s="16"/>
      <c r="BX1375" s="16"/>
      <c r="BY1375" s="16"/>
    </row>
    <row r="1376">
      <c r="A1376" s="16" t="s">
        <v>7705</v>
      </c>
      <c r="B1376" s="16" t="s">
        <v>35</v>
      </c>
      <c r="C1376" s="22">
        <v>45873.0</v>
      </c>
      <c r="D1376" s="16"/>
      <c r="E1376" s="16"/>
      <c r="F1376" s="16" t="s">
        <v>8658</v>
      </c>
      <c r="G1376" s="16" t="s">
        <v>1239</v>
      </c>
      <c r="H1376" s="16">
        <v>1.0</v>
      </c>
      <c r="I1376" s="23">
        <v>1960.67</v>
      </c>
      <c r="J1376" s="23">
        <v>1960.67</v>
      </c>
      <c r="K1376" s="16"/>
      <c r="L1376" s="23"/>
      <c r="M1376" s="23"/>
      <c r="N1376" s="23"/>
      <c r="O1376" s="16"/>
      <c r="P1376" s="23"/>
      <c r="Q1376" s="23"/>
      <c r="R1376" s="23"/>
      <c r="S1376" s="16"/>
      <c r="T1376" s="23"/>
      <c r="U1376" s="23"/>
      <c r="V1376" s="23"/>
      <c r="W1376" s="16"/>
      <c r="X1376" s="23"/>
      <c r="Y1376" s="23"/>
      <c r="Z1376" s="23"/>
      <c r="AA1376" s="16"/>
      <c r="AB1376" s="23"/>
      <c r="AC1376" s="23"/>
      <c r="AD1376" s="23"/>
      <c r="AE1376" s="16"/>
      <c r="AF1376" s="23"/>
      <c r="AG1376" s="23"/>
      <c r="AH1376" s="23"/>
      <c r="AI1376" s="16"/>
      <c r="AJ1376" s="23"/>
      <c r="AK1376" s="23"/>
      <c r="AL1376" s="23"/>
      <c r="AM1376" s="16"/>
      <c r="AN1376" s="23"/>
      <c r="AO1376" s="23"/>
      <c r="AP1376" s="23"/>
      <c r="AQ1376" s="16"/>
      <c r="AR1376" s="23"/>
      <c r="AS1376" s="23"/>
      <c r="AT1376" s="23"/>
      <c r="AU1376" s="16"/>
      <c r="AV1376" s="23"/>
      <c r="AW1376" s="23"/>
      <c r="AX1376" s="23"/>
      <c r="AY1376" s="16"/>
      <c r="AZ1376" s="23"/>
      <c r="BA1376" s="23"/>
      <c r="BB1376" s="23"/>
      <c r="BC1376" s="16"/>
      <c r="BD1376" s="23"/>
      <c r="BE1376" s="23"/>
      <c r="BF1376" s="23"/>
      <c r="BJ1376" s="23"/>
      <c r="BN1376" s="23"/>
      <c r="BO1376" s="23">
        <v>1960.67</v>
      </c>
      <c r="BP1376" s="16"/>
      <c r="BQ1376" s="16"/>
      <c r="BR1376" s="23">
        <v>1960.67</v>
      </c>
      <c r="BS1376" s="16"/>
      <c r="BT1376" s="16"/>
      <c r="BU1376" s="16" t="s">
        <v>539</v>
      </c>
      <c r="BV1376" s="16" t="s">
        <v>3795</v>
      </c>
      <c r="BW1376" s="16"/>
      <c r="BX1376" s="16"/>
      <c r="BY1376" s="16"/>
    </row>
    <row r="1377">
      <c r="A1377" s="16" t="s">
        <v>7707</v>
      </c>
      <c r="B1377" s="16" t="s">
        <v>35</v>
      </c>
      <c r="C1377" s="22">
        <v>45873.0</v>
      </c>
      <c r="D1377" s="16"/>
      <c r="E1377" s="16"/>
      <c r="F1377" s="16" t="s">
        <v>3676</v>
      </c>
      <c r="G1377" s="16" t="s">
        <v>1168</v>
      </c>
      <c r="H1377" s="16">
        <v>1.0</v>
      </c>
      <c r="I1377" s="23">
        <v>500.0</v>
      </c>
      <c r="J1377" s="23">
        <v>500.0</v>
      </c>
      <c r="K1377" s="16"/>
      <c r="L1377" s="23"/>
      <c r="M1377" s="23"/>
      <c r="N1377" s="23"/>
      <c r="O1377" s="16"/>
      <c r="P1377" s="23"/>
      <c r="Q1377" s="23"/>
      <c r="R1377" s="23"/>
      <c r="S1377" s="16"/>
      <c r="T1377" s="23"/>
      <c r="U1377" s="23"/>
      <c r="V1377" s="23"/>
      <c r="W1377" s="16"/>
      <c r="X1377" s="23"/>
      <c r="Y1377" s="23"/>
      <c r="Z1377" s="23"/>
      <c r="AA1377" s="16"/>
      <c r="AB1377" s="23"/>
      <c r="AC1377" s="23"/>
      <c r="AD1377" s="23"/>
      <c r="AE1377" s="16"/>
      <c r="AF1377" s="23"/>
      <c r="AG1377" s="23"/>
      <c r="AH1377" s="23"/>
      <c r="AI1377" s="16"/>
      <c r="AJ1377" s="23"/>
      <c r="AK1377" s="23"/>
      <c r="AL1377" s="23"/>
      <c r="AM1377" s="16"/>
      <c r="AN1377" s="23"/>
      <c r="AO1377" s="23"/>
      <c r="AP1377" s="23"/>
      <c r="AQ1377" s="16"/>
      <c r="AR1377" s="23"/>
      <c r="AS1377" s="23"/>
      <c r="AT1377" s="23"/>
      <c r="AU1377" s="16"/>
      <c r="AV1377" s="23"/>
      <c r="AW1377" s="23"/>
      <c r="AX1377" s="23"/>
      <c r="AY1377" s="16"/>
      <c r="AZ1377" s="23"/>
      <c r="BA1377" s="23"/>
      <c r="BB1377" s="23"/>
      <c r="BC1377" s="16"/>
      <c r="BD1377" s="23"/>
      <c r="BE1377" s="23"/>
      <c r="BF1377" s="23"/>
      <c r="BJ1377" s="23"/>
      <c r="BN1377" s="23"/>
      <c r="BO1377" s="23">
        <v>500.0</v>
      </c>
      <c r="BP1377" s="16"/>
      <c r="BQ1377" s="16"/>
      <c r="BR1377" s="23">
        <v>500.0</v>
      </c>
      <c r="BS1377" s="16"/>
      <c r="BT1377" s="16"/>
      <c r="BU1377" s="16" t="s">
        <v>539</v>
      </c>
      <c r="BV1377" s="16" t="s">
        <v>3795</v>
      </c>
      <c r="BW1377" s="16"/>
      <c r="BX1377" s="16"/>
      <c r="BY1377" s="16"/>
    </row>
    <row r="1378">
      <c r="A1378" s="16" t="s">
        <v>7709</v>
      </c>
      <c r="B1378" s="16" t="s">
        <v>35</v>
      </c>
      <c r="C1378" s="22">
        <v>45873.0</v>
      </c>
      <c r="D1378" s="16" t="s">
        <v>890</v>
      </c>
      <c r="E1378" s="16"/>
      <c r="F1378" s="16" t="s">
        <v>8677</v>
      </c>
      <c r="G1378" s="16" t="s">
        <v>3833</v>
      </c>
      <c r="H1378" s="16">
        <v>1.0</v>
      </c>
      <c r="I1378" s="23">
        <v>4799.0</v>
      </c>
      <c r="J1378" s="23">
        <v>4799.0</v>
      </c>
      <c r="K1378" s="16"/>
      <c r="L1378" s="23"/>
      <c r="M1378" s="23"/>
      <c r="N1378" s="23"/>
      <c r="O1378" s="16"/>
      <c r="P1378" s="23"/>
      <c r="Q1378" s="23"/>
      <c r="R1378" s="23"/>
      <c r="S1378" s="16"/>
      <c r="T1378" s="23"/>
      <c r="U1378" s="23"/>
      <c r="V1378" s="23"/>
      <c r="W1378" s="16"/>
      <c r="X1378" s="23"/>
      <c r="Y1378" s="23"/>
      <c r="Z1378" s="23"/>
      <c r="AA1378" s="16"/>
      <c r="AB1378" s="23"/>
      <c r="AC1378" s="23"/>
      <c r="AD1378" s="23"/>
      <c r="AE1378" s="16"/>
      <c r="AF1378" s="23"/>
      <c r="AG1378" s="23"/>
      <c r="AH1378" s="23"/>
      <c r="AI1378" s="16"/>
      <c r="AJ1378" s="23"/>
      <c r="AK1378" s="23"/>
      <c r="AL1378" s="23"/>
      <c r="AM1378" s="16"/>
      <c r="AN1378" s="23"/>
      <c r="AO1378" s="23"/>
      <c r="AP1378" s="23"/>
      <c r="AQ1378" s="16"/>
      <c r="AR1378" s="23"/>
      <c r="AS1378" s="23"/>
      <c r="AT1378" s="23"/>
      <c r="AU1378" s="16"/>
      <c r="AV1378" s="23"/>
      <c r="AW1378" s="23"/>
      <c r="AX1378" s="23"/>
      <c r="AY1378" s="16"/>
      <c r="AZ1378" s="23"/>
      <c r="BA1378" s="23"/>
      <c r="BB1378" s="23"/>
      <c r="BC1378" s="16"/>
      <c r="BD1378" s="23"/>
      <c r="BE1378" s="23"/>
      <c r="BF1378" s="23"/>
      <c r="BJ1378" s="23"/>
      <c r="BN1378" s="23"/>
      <c r="BO1378" s="23">
        <v>4799.0</v>
      </c>
      <c r="BP1378" s="16"/>
      <c r="BQ1378" s="16"/>
      <c r="BR1378" s="23">
        <v>4799.0</v>
      </c>
      <c r="BS1378" s="16"/>
      <c r="BT1378" s="16"/>
      <c r="BU1378" s="16" t="s">
        <v>539</v>
      </c>
      <c r="BV1378" s="16"/>
      <c r="BW1378" s="16"/>
      <c r="BX1378" s="16"/>
      <c r="BY1378" s="16"/>
    </row>
    <row r="1379">
      <c r="A1379" s="16" t="s">
        <v>7711</v>
      </c>
      <c r="B1379" s="16" t="s">
        <v>35</v>
      </c>
      <c r="C1379" s="22">
        <v>45868.0</v>
      </c>
      <c r="D1379" s="16" t="s">
        <v>1310</v>
      </c>
      <c r="E1379" s="16" t="s">
        <v>8682</v>
      </c>
      <c r="F1379" s="16" t="s">
        <v>8684</v>
      </c>
      <c r="G1379" s="16" t="s">
        <v>1787</v>
      </c>
      <c r="H1379" s="16">
        <v>1.0</v>
      </c>
      <c r="I1379" s="23">
        <v>55.0</v>
      </c>
      <c r="J1379" s="23">
        <v>55.0</v>
      </c>
      <c r="K1379" s="16"/>
      <c r="L1379" s="23"/>
      <c r="M1379" s="23"/>
      <c r="N1379" s="23">
        <v>0.0</v>
      </c>
      <c r="O1379" s="16"/>
      <c r="P1379" s="23"/>
      <c r="Q1379" s="23"/>
      <c r="R1379" s="23">
        <v>0.0</v>
      </c>
      <c r="S1379" s="16"/>
      <c r="T1379" s="23"/>
      <c r="U1379" s="23"/>
      <c r="V1379" s="23">
        <v>0.0</v>
      </c>
      <c r="W1379" s="16"/>
      <c r="X1379" s="23"/>
      <c r="Y1379" s="23"/>
      <c r="Z1379" s="23">
        <v>0.0</v>
      </c>
      <c r="AA1379" s="16"/>
      <c r="AB1379" s="23"/>
      <c r="AC1379" s="23"/>
      <c r="AD1379" s="23">
        <v>0.0</v>
      </c>
      <c r="AE1379" s="16"/>
      <c r="AF1379" s="23"/>
      <c r="AG1379" s="23"/>
      <c r="AH1379" s="23">
        <v>0.0</v>
      </c>
      <c r="AI1379" s="16"/>
      <c r="AJ1379" s="23"/>
      <c r="AK1379" s="23"/>
      <c r="AL1379" s="23">
        <v>0.0</v>
      </c>
      <c r="AM1379" s="16"/>
      <c r="AN1379" s="23"/>
      <c r="AO1379" s="23"/>
      <c r="AP1379" s="23">
        <v>0.0</v>
      </c>
      <c r="AQ1379" s="16"/>
      <c r="AR1379" s="23"/>
      <c r="AS1379" s="23"/>
      <c r="AT1379" s="23">
        <v>0.0</v>
      </c>
      <c r="AU1379" s="16"/>
      <c r="AV1379" s="23"/>
      <c r="AW1379" s="23"/>
      <c r="AX1379" s="23">
        <v>0.0</v>
      </c>
      <c r="AY1379" s="16"/>
      <c r="AZ1379" s="23"/>
      <c r="BA1379" s="23"/>
      <c r="BB1379" s="23"/>
      <c r="BC1379" s="16"/>
      <c r="BD1379" s="23"/>
      <c r="BE1379" s="23"/>
      <c r="BF1379" s="23">
        <v>0.0</v>
      </c>
      <c r="BJ1379" s="23">
        <v>0.0</v>
      </c>
      <c r="BN1379" s="23">
        <v>0.0</v>
      </c>
      <c r="BO1379" s="23">
        <v>55.0</v>
      </c>
      <c r="BP1379" s="16" t="s">
        <v>8683</v>
      </c>
      <c r="BQ1379" s="16" t="b">
        <v>1</v>
      </c>
      <c r="BR1379" s="23">
        <v>55.0</v>
      </c>
      <c r="BS1379" s="16">
        <v>1598679.0</v>
      </c>
      <c r="BT1379" s="16" t="b">
        <v>1</v>
      </c>
      <c r="BU1379" s="16" t="s">
        <v>546</v>
      </c>
      <c r="BV1379" s="16"/>
      <c r="BW1379" s="16"/>
      <c r="BX1379" s="16"/>
      <c r="BY1379" s="16"/>
    </row>
    <row r="1380">
      <c r="A1380" s="16" t="s">
        <v>7713</v>
      </c>
      <c r="B1380" s="16" t="s">
        <v>35</v>
      </c>
      <c r="C1380" s="22">
        <v>45869.0</v>
      </c>
      <c r="D1380" s="16" t="s">
        <v>112</v>
      </c>
      <c r="E1380" s="16" t="s">
        <v>8689</v>
      </c>
      <c r="F1380" s="16" t="s">
        <v>157</v>
      </c>
      <c r="G1380" s="16" t="s">
        <v>159</v>
      </c>
      <c r="H1380" s="16">
        <v>1.0</v>
      </c>
      <c r="I1380" s="23">
        <v>159.8</v>
      </c>
      <c r="J1380" s="23">
        <v>159.8</v>
      </c>
      <c r="K1380" s="16" t="s">
        <v>155</v>
      </c>
      <c r="L1380" s="23">
        <v>1.0</v>
      </c>
      <c r="M1380" s="23">
        <v>60.59</v>
      </c>
      <c r="N1380" s="23">
        <v>60.59</v>
      </c>
      <c r="O1380" s="16" t="s">
        <v>230</v>
      </c>
      <c r="P1380" s="23">
        <v>1.0</v>
      </c>
      <c r="Q1380" s="23">
        <v>113.19</v>
      </c>
      <c r="R1380" s="23">
        <v>113.19</v>
      </c>
      <c r="S1380" s="16" t="s">
        <v>152</v>
      </c>
      <c r="T1380" s="23">
        <v>1.0</v>
      </c>
      <c r="U1380" s="23">
        <v>7.5</v>
      </c>
      <c r="V1380" s="23">
        <v>7.5</v>
      </c>
      <c r="W1380" s="16" t="s">
        <v>226</v>
      </c>
      <c r="X1380" s="23">
        <v>1.0</v>
      </c>
      <c r="Y1380" s="23">
        <v>63.0</v>
      </c>
      <c r="Z1380" s="23">
        <v>63.0</v>
      </c>
      <c r="AA1380" s="16"/>
      <c r="AB1380" s="23"/>
      <c r="AC1380" s="23"/>
      <c r="AD1380" s="23">
        <v>0.0</v>
      </c>
      <c r="AE1380" s="16"/>
      <c r="AF1380" s="23"/>
      <c r="AG1380" s="23"/>
      <c r="AH1380" s="23">
        <v>0.0</v>
      </c>
      <c r="AI1380" s="16"/>
      <c r="AJ1380" s="23"/>
      <c r="AK1380" s="23"/>
      <c r="AL1380" s="23">
        <v>0.0</v>
      </c>
      <c r="AM1380" s="16"/>
      <c r="AN1380" s="23"/>
      <c r="AO1380" s="23"/>
      <c r="AP1380" s="23">
        <v>0.0</v>
      </c>
      <c r="AQ1380" s="16"/>
      <c r="AR1380" s="23"/>
      <c r="AS1380" s="23"/>
      <c r="AT1380" s="23">
        <v>0.0</v>
      </c>
      <c r="AU1380" s="16"/>
      <c r="AV1380" s="23"/>
      <c r="AW1380" s="23"/>
      <c r="AX1380" s="23">
        <v>0.0</v>
      </c>
      <c r="AY1380" s="16"/>
      <c r="AZ1380" s="23"/>
      <c r="BA1380" s="23"/>
      <c r="BB1380" s="23"/>
      <c r="BC1380" s="16"/>
      <c r="BD1380" s="23"/>
      <c r="BE1380" s="23"/>
      <c r="BF1380" s="23">
        <v>0.0</v>
      </c>
      <c r="BJ1380" s="23">
        <v>0.0</v>
      </c>
      <c r="BN1380" s="23">
        <v>0.0</v>
      </c>
      <c r="BO1380" s="23">
        <v>404.08</v>
      </c>
      <c r="BP1380" s="16" t="s">
        <v>8691</v>
      </c>
      <c r="BQ1380" s="16" t="b">
        <v>1</v>
      </c>
      <c r="BR1380" s="23">
        <v>404.08</v>
      </c>
      <c r="BS1380" s="16"/>
      <c r="BT1380" s="16" t="b">
        <v>0</v>
      </c>
      <c r="BU1380" s="16" t="s">
        <v>546</v>
      </c>
      <c r="BV1380" s="16"/>
      <c r="BW1380" s="16"/>
      <c r="BX1380" s="16"/>
      <c r="BY1380" s="16"/>
    </row>
    <row r="1381">
      <c r="A1381" s="16" t="s">
        <v>7719</v>
      </c>
      <c r="B1381" s="16" t="s">
        <v>35</v>
      </c>
      <c r="C1381" s="22">
        <v>45870.0</v>
      </c>
      <c r="D1381" s="16" t="s">
        <v>233</v>
      </c>
      <c r="E1381" s="16" t="s">
        <v>8696</v>
      </c>
      <c r="F1381" s="16" t="s">
        <v>8699</v>
      </c>
      <c r="G1381" s="16" t="s">
        <v>305</v>
      </c>
      <c r="H1381" s="16">
        <v>1.0</v>
      </c>
      <c r="I1381" s="23">
        <v>208.5</v>
      </c>
      <c r="J1381" s="23">
        <v>208.5</v>
      </c>
      <c r="K1381" s="16"/>
      <c r="L1381" s="23"/>
      <c r="M1381" s="23"/>
      <c r="N1381" s="23">
        <v>0.0</v>
      </c>
      <c r="O1381" s="16"/>
      <c r="P1381" s="23"/>
      <c r="Q1381" s="23"/>
      <c r="R1381" s="23">
        <v>0.0</v>
      </c>
      <c r="S1381" s="16"/>
      <c r="T1381" s="23"/>
      <c r="U1381" s="23"/>
      <c r="V1381" s="23">
        <v>0.0</v>
      </c>
      <c r="W1381" s="16"/>
      <c r="X1381" s="23"/>
      <c r="Y1381" s="23"/>
      <c r="Z1381" s="23">
        <v>0.0</v>
      </c>
      <c r="AA1381" s="16"/>
      <c r="AB1381" s="23"/>
      <c r="AC1381" s="23"/>
      <c r="AD1381" s="23">
        <v>0.0</v>
      </c>
      <c r="AE1381" s="16"/>
      <c r="AF1381" s="23"/>
      <c r="AG1381" s="23"/>
      <c r="AH1381" s="23">
        <v>0.0</v>
      </c>
      <c r="AI1381" s="16"/>
      <c r="AJ1381" s="23"/>
      <c r="AK1381" s="23"/>
      <c r="AL1381" s="23">
        <v>0.0</v>
      </c>
      <c r="AM1381" s="16"/>
      <c r="AN1381" s="23"/>
      <c r="AO1381" s="23"/>
      <c r="AP1381" s="23">
        <v>0.0</v>
      </c>
      <c r="AQ1381" s="16"/>
      <c r="AR1381" s="23"/>
      <c r="AS1381" s="23"/>
      <c r="AT1381" s="23">
        <v>0.0</v>
      </c>
      <c r="AU1381" s="16"/>
      <c r="AV1381" s="23"/>
      <c r="AW1381" s="23"/>
      <c r="AX1381" s="23">
        <v>0.0</v>
      </c>
      <c r="AY1381" s="16"/>
      <c r="AZ1381" s="23"/>
      <c r="BA1381" s="23"/>
      <c r="BB1381" s="23"/>
      <c r="BC1381" s="16"/>
      <c r="BD1381" s="23"/>
      <c r="BE1381" s="23"/>
      <c r="BF1381" s="23">
        <v>0.0</v>
      </c>
      <c r="BJ1381" s="23">
        <v>0.0</v>
      </c>
      <c r="BN1381" s="23">
        <v>0.0</v>
      </c>
      <c r="BO1381" s="23">
        <v>208.5</v>
      </c>
      <c r="BP1381" s="16" t="s">
        <v>8698</v>
      </c>
      <c r="BQ1381" s="16" t="b">
        <v>1</v>
      </c>
      <c r="BR1381" s="23">
        <v>208.5</v>
      </c>
      <c r="BS1381" s="16">
        <v>1601339.0</v>
      </c>
      <c r="BT1381" s="16" t="b">
        <v>1</v>
      </c>
      <c r="BU1381" s="16" t="s">
        <v>546</v>
      </c>
      <c r="BV1381" s="16"/>
      <c r="BW1381" s="16"/>
      <c r="BX1381" s="16"/>
      <c r="BY1381" s="16"/>
    </row>
    <row r="1382">
      <c r="A1382" s="16" t="s">
        <v>7722</v>
      </c>
      <c r="B1382" s="16" t="s">
        <v>35</v>
      </c>
      <c r="C1382" s="22">
        <v>45870.0</v>
      </c>
      <c r="D1382" s="16" t="s">
        <v>1557</v>
      </c>
      <c r="E1382" s="16" t="s">
        <v>8704</v>
      </c>
      <c r="F1382" s="16" t="s">
        <v>7603</v>
      </c>
      <c r="G1382" s="16" t="s">
        <v>5325</v>
      </c>
      <c r="H1382" s="16">
        <v>1.0</v>
      </c>
      <c r="I1382" s="23">
        <v>110.0</v>
      </c>
      <c r="J1382" s="23">
        <v>110.0</v>
      </c>
      <c r="K1382" s="16"/>
      <c r="L1382" s="23"/>
      <c r="M1382" s="23"/>
      <c r="N1382" s="23">
        <v>0.0</v>
      </c>
      <c r="O1382" s="16"/>
      <c r="P1382" s="23"/>
      <c r="Q1382" s="23"/>
      <c r="R1382" s="23">
        <v>0.0</v>
      </c>
      <c r="S1382" s="16"/>
      <c r="T1382" s="23"/>
      <c r="U1382" s="23"/>
      <c r="V1382" s="23">
        <v>0.0</v>
      </c>
      <c r="W1382" s="16"/>
      <c r="X1382" s="23"/>
      <c r="Y1382" s="23"/>
      <c r="Z1382" s="23">
        <v>0.0</v>
      </c>
      <c r="AA1382" s="16"/>
      <c r="AB1382" s="23"/>
      <c r="AC1382" s="23"/>
      <c r="AD1382" s="23">
        <v>0.0</v>
      </c>
      <c r="AE1382" s="16"/>
      <c r="AF1382" s="23"/>
      <c r="AG1382" s="23"/>
      <c r="AH1382" s="23">
        <v>0.0</v>
      </c>
      <c r="AI1382" s="16"/>
      <c r="AJ1382" s="23"/>
      <c r="AK1382" s="23"/>
      <c r="AL1382" s="23">
        <v>0.0</v>
      </c>
      <c r="AM1382" s="16"/>
      <c r="AN1382" s="23"/>
      <c r="AO1382" s="23"/>
      <c r="AP1382" s="23">
        <v>0.0</v>
      </c>
      <c r="AQ1382" s="16"/>
      <c r="AR1382" s="23"/>
      <c r="AS1382" s="23"/>
      <c r="AT1382" s="23">
        <v>0.0</v>
      </c>
      <c r="AU1382" s="16"/>
      <c r="AV1382" s="23"/>
      <c r="AW1382" s="23"/>
      <c r="AX1382" s="23">
        <v>0.0</v>
      </c>
      <c r="AY1382" s="16"/>
      <c r="AZ1382" s="23"/>
      <c r="BA1382" s="23"/>
      <c r="BB1382" s="23"/>
      <c r="BC1382" s="16"/>
      <c r="BD1382" s="23"/>
      <c r="BE1382" s="23"/>
      <c r="BF1382" s="23">
        <v>0.0</v>
      </c>
      <c r="BJ1382" s="23">
        <v>0.0</v>
      </c>
      <c r="BN1382" s="23">
        <v>0.0</v>
      </c>
      <c r="BO1382" s="23">
        <v>110.0</v>
      </c>
      <c r="BP1382" s="16" t="s">
        <v>8706</v>
      </c>
      <c r="BQ1382" s="16" t="b">
        <v>1</v>
      </c>
      <c r="BR1382" s="23">
        <v>110.0</v>
      </c>
      <c r="BS1382" s="16"/>
      <c r="BT1382" s="16" t="b">
        <v>0</v>
      </c>
      <c r="BU1382" s="16" t="s">
        <v>546</v>
      </c>
      <c r="BV1382" s="16"/>
      <c r="BW1382" s="16"/>
      <c r="BX1382" s="16"/>
      <c r="BY1382" s="16"/>
    </row>
    <row r="1383">
      <c r="A1383" s="16" t="s">
        <v>7724</v>
      </c>
      <c r="B1383" s="16" t="s">
        <v>35</v>
      </c>
      <c r="C1383" s="22">
        <v>45870.0</v>
      </c>
      <c r="D1383" s="16" t="s">
        <v>7740</v>
      </c>
      <c r="E1383" s="16" t="s">
        <v>8713</v>
      </c>
      <c r="F1383" s="16" t="s">
        <v>5136</v>
      </c>
      <c r="G1383" s="16" t="s">
        <v>6322</v>
      </c>
      <c r="H1383" s="16">
        <v>1.0</v>
      </c>
      <c r="I1383" s="23">
        <v>12.98</v>
      </c>
      <c r="J1383" s="23">
        <v>12.98</v>
      </c>
      <c r="K1383" s="16"/>
      <c r="L1383" s="23"/>
      <c r="M1383" s="23"/>
      <c r="N1383" s="23">
        <v>0.0</v>
      </c>
      <c r="O1383" s="16"/>
      <c r="P1383" s="23"/>
      <c r="Q1383" s="23"/>
      <c r="R1383" s="23">
        <v>0.0</v>
      </c>
      <c r="S1383" s="16"/>
      <c r="T1383" s="23"/>
      <c r="U1383" s="23"/>
      <c r="V1383" s="23">
        <v>0.0</v>
      </c>
      <c r="W1383" s="16"/>
      <c r="X1383" s="23"/>
      <c r="Y1383" s="23"/>
      <c r="Z1383" s="23">
        <v>0.0</v>
      </c>
      <c r="AA1383" s="16"/>
      <c r="AB1383" s="23"/>
      <c r="AC1383" s="23"/>
      <c r="AD1383" s="23">
        <v>0.0</v>
      </c>
      <c r="AE1383" s="16"/>
      <c r="AF1383" s="23"/>
      <c r="AG1383" s="23"/>
      <c r="AH1383" s="23">
        <v>0.0</v>
      </c>
      <c r="AI1383" s="16"/>
      <c r="AJ1383" s="23"/>
      <c r="AK1383" s="23"/>
      <c r="AL1383" s="23">
        <v>0.0</v>
      </c>
      <c r="AM1383" s="16"/>
      <c r="AN1383" s="23"/>
      <c r="AO1383" s="23"/>
      <c r="AP1383" s="23">
        <v>0.0</v>
      </c>
      <c r="AQ1383" s="16"/>
      <c r="AR1383" s="23"/>
      <c r="AS1383" s="23"/>
      <c r="AT1383" s="23">
        <v>0.0</v>
      </c>
      <c r="AU1383" s="16"/>
      <c r="AV1383" s="23"/>
      <c r="AW1383" s="23"/>
      <c r="AX1383" s="23">
        <v>0.0</v>
      </c>
      <c r="AY1383" s="16"/>
      <c r="AZ1383" s="23"/>
      <c r="BA1383" s="23"/>
      <c r="BB1383" s="23"/>
      <c r="BC1383" s="16"/>
      <c r="BD1383" s="23"/>
      <c r="BE1383" s="23"/>
      <c r="BF1383" s="23">
        <v>0.0</v>
      </c>
      <c r="BJ1383" s="23">
        <v>0.0</v>
      </c>
      <c r="BN1383" s="23">
        <v>0.0</v>
      </c>
      <c r="BO1383" s="23">
        <v>12.98</v>
      </c>
      <c r="BP1383" s="16" t="s">
        <v>8714</v>
      </c>
      <c r="BQ1383" s="16" t="b">
        <v>1</v>
      </c>
      <c r="BR1383" s="23">
        <v>12.98</v>
      </c>
      <c r="BS1383" s="16"/>
      <c r="BT1383" s="16" t="b">
        <v>0</v>
      </c>
      <c r="BU1383" s="16" t="s">
        <v>546</v>
      </c>
      <c r="BV1383" s="16"/>
      <c r="BW1383" s="16"/>
      <c r="BX1383" s="16"/>
      <c r="BY1383" s="16"/>
    </row>
    <row r="1384">
      <c r="A1384" s="16" t="s">
        <v>7726</v>
      </c>
      <c r="B1384" s="16" t="s">
        <v>35</v>
      </c>
      <c r="C1384" s="22">
        <v>45876.0</v>
      </c>
      <c r="D1384" s="16" t="s">
        <v>8717</v>
      </c>
      <c r="E1384" s="16" t="s">
        <v>8718</v>
      </c>
      <c r="F1384" s="16" t="s">
        <v>171</v>
      </c>
      <c r="G1384" s="16">
        <v>1.2539885E7</v>
      </c>
      <c r="H1384" s="16">
        <v>1.0</v>
      </c>
      <c r="I1384" s="23">
        <v>500.0</v>
      </c>
      <c r="J1384" s="23">
        <v>500.0</v>
      </c>
      <c r="K1384" s="16"/>
      <c r="L1384" s="23"/>
      <c r="M1384" s="23"/>
      <c r="N1384" s="23">
        <v>0.0</v>
      </c>
      <c r="O1384" s="16"/>
      <c r="P1384" s="23"/>
      <c r="Q1384" s="23"/>
      <c r="R1384" s="23">
        <v>0.0</v>
      </c>
      <c r="S1384" s="16"/>
      <c r="T1384" s="23"/>
      <c r="U1384" s="23"/>
      <c r="V1384" s="23">
        <v>0.0</v>
      </c>
      <c r="W1384" s="16"/>
      <c r="X1384" s="23"/>
      <c r="Y1384" s="23"/>
      <c r="Z1384" s="23">
        <v>0.0</v>
      </c>
      <c r="AA1384" s="16"/>
      <c r="AB1384" s="23"/>
      <c r="AC1384" s="23"/>
      <c r="AD1384" s="23">
        <v>0.0</v>
      </c>
      <c r="AE1384" s="16"/>
      <c r="AF1384" s="23"/>
      <c r="AG1384" s="23"/>
      <c r="AH1384" s="23">
        <v>0.0</v>
      </c>
      <c r="AI1384" s="16"/>
      <c r="AJ1384" s="23"/>
      <c r="AK1384" s="23"/>
      <c r="AL1384" s="23">
        <v>0.0</v>
      </c>
      <c r="AM1384" s="16"/>
      <c r="AN1384" s="23"/>
      <c r="AO1384" s="23"/>
      <c r="AP1384" s="23">
        <v>0.0</v>
      </c>
      <c r="AQ1384" s="16"/>
      <c r="AR1384" s="23"/>
      <c r="AS1384" s="23"/>
      <c r="AT1384" s="23">
        <v>0.0</v>
      </c>
      <c r="AU1384" s="16"/>
      <c r="AV1384" s="23"/>
      <c r="AW1384" s="23"/>
      <c r="AX1384" s="23">
        <v>0.0</v>
      </c>
      <c r="AY1384" s="16"/>
      <c r="AZ1384" s="23"/>
      <c r="BA1384" s="23"/>
      <c r="BB1384" s="23"/>
      <c r="BC1384" s="16"/>
      <c r="BD1384" s="23"/>
      <c r="BE1384" s="23"/>
      <c r="BF1384" s="23">
        <v>0.0</v>
      </c>
      <c r="BJ1384" s="23">
        <v>0.0</v>
      </c>
      <c r="BN1384" s="23">
        <v>0.0</v>
      </c>
      <c r="BO1384" s="23">
        <v>500.0</v>
      </c>
      <c r="BP1384" s="16" t="s">
        <v>8720</v>
      </c>
      <c r="BQ1384" s="16" t="b">
        <v>1</v>
      </c>
      <c r="BR1384" s="23">
        <v>500.0</v>
      </c>
      <c r="BS1384" s="16"/>
      <c r="BT1384" s="16" t="b">
        <v>0</v>
      </c>
      <c r="BU1384" s="16" t="s">
        <v>546</v>
      </c>
      <c r="BV1384" s="16"/>
      <c r="BW1384" s="16"/>
      <c r="BX1384" s="16"/>
      <c r="BY1384" s="16"/>
    </row>
    <row r="1385">
      <c r="A1385" s="16" t="s">
        <v>7731</v>
      </c>
      <c r="B1385" s="16" t="s">
        <v>35</v>
      </c>
      <c r="C1385" s="22">
        <v>45874.0</v>
      </c>
      <c r="D1385" s="16" t="s">
        <v>890</v>
      </c>
      <c r="E1385" s="16" t="s">
        <v>8725</v>
      </c>
      <c r="F1385" s="16" t="s">
        <v>8728</v>
      </c>
      <c r="G1385" s="16" t="s">
        <v>1510</v>
      </c>
      <c r="H1385" s="16">
        <v>1.0</v>
      </c>
      <c r="I1385" s="23">
        <v>16753.67</v>
      </c>
      <c r="J1385" s="23">
        <v>16753.67</v>
      </c>
      <c r="K1385" s="16"/>
      <c r="L1385" s="23"/>
      <c r="M1385" s="23"/>
      <c r="N1385" s="23">
        <v>0.0</v>
      </c>
      <c r="O1385" s="16"/>
      <c r="P1385" s="23"/>
      <c r="Q1385" s="23"/>
      <c r="R1385" s="23">
        <v>0.0</v>
      </c>
      <c r="S1385" s="16"/>
      <c r="T1385" s="23"/>
      <c r="U1385" s="23"/>
      <c r="V1385" s="23">
        <v>0.0</v>
      </c>
      <c r="W1385" s="16"/>
      <c r="X1385" s="23"/>
      <c r="Y1385" s="23"/>
      <c r="Z1385" s="23">
        <v>0.0</v>
      </c>
      <c r="AA1385" s="16"/>
      <c r="AB1385" s="23"/>
      <c r="AC1385" s="23"/>
      <c r="AD1385" s="23">
        <v>0.0</v>
      </c>
      <c r="AE1385" s="16"/>
      <c r="AF1385" s="23"/>
      <c r="AG1385" s="23"/>
      <c r="AH1385" s="23">
        <v>0.0</v>
      </c>
      <c r="AI1385" s="16"/>
      <c r="AJ1385" s="23"/>
      <c r="AK1385" s="23"/>
      <c r="AL1385" s="23">
        <v>0.0</v>
      </c>
      <c r="AM1385" s="16"/>
      <c r="AN1385" s="23"/>
      <c r="AO1385" s="23"/>
      <c r="AP1385" s="23">
        <v>0.0</v>
      </c>
      <c r="AQ1385" s="16"/>
      <c r="AR1385" s="23"/>
      <c r="AS1385" s="23"/>
      <c r="AT1385" s="23">
        <v>0.0</v>
      </c>
      <c r="AU1385" s="16"/>
      <c r="AV1385" s="23"/>
      <c r="AW1385" s="23"/>
      <c r="AX1385" s="23">
        <v>0.0</v>
      </c>
      <c r="AY1385" s="16"/>
      <c r="AZ1385" s="23"/>
      <c r="BA1385" s="23"/>
      <c r="BB1385" s="23"/>
      <c r="BC1385" s="16"/>
      <c r="BD1385" s="23"/>
      <c r="BE1385" s="23"/>
      <c r="BF1385" s="23">
        <v>0.0</v>
      </c>
      <c r="BJ1385" s="23">
        <v>0.0</v>
      </c>
      <c r="BN1385" s="23">
        <v>0.0</v>
      </c>
      <c r="BO1385" s="23">
        <v>16753.67</v>
      </c>
      <c r="BP1385" s="16" t="s">
        <v>8727</v>
      </c>
      <c r="BQ1385" s="16" t="b">
        <v>1</v>
      </c>
      <c r="BR1385" s="23">
        <v>16753.67</v>
      </c>
      <c r="BS1385" s="16"/>
      <c r="BT1385" s="16" t="b">
        <v>0</v>
      </c>
      <c r="BU1385" s="16" t="s">
        <v>546</v>
      </c>
      <c r="BV1385" s="16"/>
      <c r="BW1385" s="16" t="s">
        <v>8729</v>
      </c>
      <c r="BX1385" s="16" t="s">
        <v>8730</v>
      </c>
      <c r="BY1385" s="16"/>
    </row>
    <row r="1386">
      <c r="A1386" s="16" t="s">
        <v>7733</v>
      </c>
      <c r="B1386" s="16" t="s">
        <v>35</v>
      </c>
      <c r="C1386" s="22">
        <v>45874.0</v>
      </c>
      <c r="D1386" s="16" t="s">
        <v>890</v>
      </c>
      <c r="E1386" s="16" t="s">
        <v>8732</v>
      </c>
      <c r="F1386" s="16" t="s">
        <v>2894</v>
      </c>
      <c r="G1386" s="16" t="s">
        <v>1510</v>
      </c>
      <c r="H1386" s="16">
        <v>1.0</v>
      </c>
      <c r="I1386" s="23">
        <v>392.88</v>
      </c>
      <c r="J1386" s="23">
        <v>392.88</v>
      </c>
      <c r="K1386" s="16"/>
      <c r="L1386" s="23"/>
      <c r="M1386" s="23"/>
      <c r="N1386" s="23">
        <v>0.0</v>
      </c>
      <c r="O1386" s="16"/>
      <c r="P1386" s="23"/>
      <c r="Q1386" s="23"/>
      <c r="R1386" s="23">
        <v>0.0</v>
      </c>
      <c r="S1386" s="16"/>
      <c r="T1386" s="23"/>
      <c r="U1386" s="23"/>
      <c r="V1386" s="23">
        <v>0.0</v>
      </c>
      <c r="W1386" s="16"/>
      <c r="X1386" s="23"/>
      <c r="Y1386" s="23"/>
      <c r="Z1386" s="23">
        <v>0.0</v>
      </c>
      <c r="AA1386" s="16"/>
      <c r="AB1386" s="23"/>
      <c r="AC1386" s="23"/>
      <c r="AD1386" s="23">
        <v>0.0</v>
      </c>
      <c r="AE1386" s="16"/>
      <c r="AF1386" s="23"/>
      <c r="AG1386" s="23"/>
      <c r="AH1386" s="23">
        <v>0.0</v>
      </c>
      <c r="AI1386" s="16"/>
      <c r="AJ1386" s="23"/>
      <c r="AK1386" s="23"/>
      <c r="AL1386" s="23">
        <v>0.0</v>
      </c>
      <c r="AM1386" s="16"/>
      <c r="AN1386" s="23"/>
      <c r="AO1386" s="23"/>
      <c r="AP1386" s="23">
        <v>0.0</v>
      </c>
      <c r="AQ1386" s="16"/>
      <c r="AR1386" s="23"/>
      <c r="AS1386" s="23"/>
      <c r="AT1386" s="23">
        <v>0.0</v>
      </c>
      <c r="AU1386" s="16"/>
      <c r="AV1386" s="23"/>
      <c r="AW1386" s="23"/>
      <c r="AX1386" s="23">
        <v>0.0</v>
      </c>
      <c r="AY1386" s="16"/>
      <c r="AZ1386" s="23"/>
      <c r="BA1386" s="23"/>
      <c r="BB1386" s="23"/>
      <c r="BC1386" s="16"/>
      <c r="BD1386" s="23"/>
      <c r="BE1386" s="23"/>
      <c r="BF1386" s="23">
        <v>0.0</v>
      </c>
      <c r="BJ1386" s="23">
        <v>0.0</v>
      </c>
      <c r="BN1386" s="23">
        <v>0.0</v>
      </c>
      <c r="BO1386" s="23">
        <v>392.88</v>
      </c>
      <c r="BP1386" s="16" t="s">
        <v>8733</v>
      </c>
      <c r="BQ1386" s="16" t="b">
        <v>1</v>
      </c>
      <c r="BR1386" s="23">
        <v>392.88</v>
      </c>
      <c r="BS1386" s="16"/>
      <c r="BT1386" s="16" t="b">
        <v>0</v>
      </c>
      <c r="BU1386" s="16" t="s">
        <v>546</v>
      </c>
      <c r="BV1386" s="16"/>
      <c r="BW1386" s="16"/>
      <c r="BX1386" s="16"/>
      <c r="BY1386" s="16"/>
    </row>
    <row r="1387">
      <c r="A1387" s="16" t="s">
        <v>7735</v>
      </c>
      <c r="B1387" s="16" t="s">
        <v>35</v>
      </c>
      <c r="C1387" s="22">
        <v>45876.0</v>
      </c>
      <c r="D1387" s="16" t="s">
        <v>112</v>
      </c>
      <c r="E1387" s="16" t="s">
        <v>8737</v>
      </c>
      <c r="F1387" s="16" t="s">
        <v>157</v>
      </c>
      <c r="G1387" s="16" t="s">
        <v>159</v>
      </c>
      <c r="H1387" s="16">
        <v>1.0</v>
      </c>
      <c r="I1387" s="23">
        <v>120.0</v>
      </c>
      <c r="J1387" s="23">
        <v>120.0</v>
      </c>
      <c r="K1387" s="16" t="s">
        <v>155</v>
      </c>
      <c r="L1387" s="23">
        <v>1.0</v>
      </c>
      <c r="M1387" s="23">
        <v>65.0</v>
      </c>
      <c r="N1387" s="23">
        <v>65.0</v>
      </c>
      <c r="O1387" s="16" t="s">
        <v>230</v>
      </c>
      <c r="P1387" s="23">
        <v>1.0</v>
      </c>
      <c r="Q1387" s="23">
        <v>158.6</v>
      </c>
      <c r="R1387" s="23">
        <v>158.6</v>
      </c>
      <c r="S1387" s="16" t="s">
        <v>152</v>
      </c>
      <c r="T1387" s="23">
        <v>1.0</v>
      </c>
      <c r="U1387" s="23">
        <v>11.17</v>
      </c>
      <c r="V1387" s="23">
        <v>11.17</v>
      </c>
      <c r="W1387" s="16" t="s">
        <v>226</v>
      </c>
      <c r="X1387" s="23">
        <v>1.0</v>
      </c>
      <c r="Y1387" s="23">
        <v>63.0</v>
      </c>
      <c r="Z1387" s="23">
        <v>63.0</v>
      </c>
      <c r="AA1387" s="16"/>
      <c r="AB1387" s="23"/>
      <c r="AC1387" s="23"/>
      <c r="AD1387" s="23">
        <v>0.0</v>
      </c>
      <c r="AE1387" s="16"/>
      <c r="AF1387" s="23"/>
      <c r="AG1387" s="23"/>
      <c r="AH1387" s="23">
        <v>0.0</v>
      </c>
      <c r="AI1387" s="16"/>
      <c r="AJ1387" s="23"/>
      <c r="AK1387" s="23"/>
      <c r="AL1387" s="23">
        <v>0.0</v>
      </c>
      <c r="AM1387" s="16"/>
      <c r="AN1387" s="23"/>
      <c r="AO1387" s="23"/>
      <c r="AP1387" s="23">
        <v>0.0</v>
      </c>
      <c r="AQ1387" s="16"/>
      <c r="AR1387" s="23"/>
      <c r="AS1387" s="23"/>
      <c r="AT1387" s="23">
        <v>0.0</v>
      </c>
      <c r="AU1387" s="16"/>
      <c r="AV1387" s="23"/>
      <c r="AW1387" s="23"/>
      <c r="AX1387" s="23">
        <v>0.0</v>
      </c>
      <c r="AY1387" s="16"/>
      <c r="AZ1387" s="23"/>
      <c r="BA1387" s="23"/>
      <c r="BB1387" s="23"/>
      <c r="BC1387" s="16"/>
      <c r="BD1387" s="23"/>
      <c r="BE1387" s="23"/>
      <c r="BF1387" s="23">
        <v>0.0</v>
      </c>
      <c r="BJ1387" s="23">
        <v>0.0</v>
      </c>
      <c r="BN1387" s="23">
        <v>0.0</v>
      </c>
      <c r="BO1387" s="23">
        <v>417.77</v>
      </c>
      <c r="BP1387" s="16" t="s">
        <v>8739</v>
      </c>
      <c r="BQ1387" s="16" t="b">
        <v>1</v>
      </c>
      <c r="BR1387" s="23">
        <v>417.77</v>
      </c>
      <c r="BS1387" s="16"/>
      <c r="BT1387" s="16" t="b">
        <v>0</v>
      </c>
      <c r="BU1387" s="16" t="s">
        <v>546</v>
      </c>
      <c r="BV1387" s="16"/>
      <c r="BW1387" s="16"/>
      <c r="BX1387" s="16"/>
      <c r="BY1387" s="16"/>
    </row>
    <row r="1388">
      <c r="A1388" s="16" t="s">
        <v>7743</v>
      </c>
      <c r="B1388" s="16" t="s">
        <v>35</v>
      </c>
      <c r="C1388" s="22">
        <v>45876.0</v>
      </c>
      <c r="D1388" s="16" t="s">
        <v>890</v>
      </c>
      <c r="E1388" s="16" t="s">
        <v>8746</v>
      </c>
      <c r="F1388" s="16" t="s">
        <v>3813</v>
      </c>
      <c r="G1388" s="16" t="s">
        <v>1517</v>
      </c>
      <c r="H1388" s="16">
        <v>1.0</v>
      </c>
      <c r="I1388" s="23">
        <v>4648.56</v>
      </c>
      <c r="J1388" s="23">
        <v>4648.56</v>
      </c>
      <c r="K1388" s="16"/>
      <c r="L1388" s="23"/>
      <c r="M1388" s="23"/>
      <c r="N1388" s="23">
        <v>0.0</v>
      </c>
      <c r="O1388" s="16"/>
      <c r="P1388" s="23"/>
      <c r="Q1388" s="23"/>
      <c r="R1388" s="23">
        <v>0.0</v>
      </c>
      <c r="S1388" s="16"/>
      <c r="T1388" s="23"/>
      <c r="U1388" s="23"/>
      <c r="V1388" s="23">
        <v>0.0</v>
      </c>
      <c r="W1388" s="16"/>
      <c r="X1388" s="23"/>
      <c r="Y1388" s="23"/>
      <c r="Z1388" s="23">
        <v>0.0</v>
      </c>
      <c r="AA1388" s="16"/>
      <c r="AB1388" s="23"/>
      <c r="AC1388" s="23"/>
      <c r="AD1388" s="23">
        <v>0.0</v>
      </c>
      <c r="AE1388" s="16"/>
      <c r="AF1388" s="23"/>
      <c r="AG1388" s="23"/>
      <c r="AH1388" s="23">
        <v>0.0</v>
      </c>
      <c r="AI1388" s="16"/>
      <c r="AJ1388" s="23"/>
      <c r="AK1388" s="23"/>
      <c r="AL1388" s="23">
        <v>0.0</v>
      </c>
      <c r="AM1388" s="16"/>
      <c r="AN1388" s="23"/>
      <c r="AO1388" s="23"/>
      <c r="AP1388" s="23">
        <v>0.0</v>
      </c>
      <c r="AQ1388" s="16"/>
      <c r="AR1388" s="23"/>
      <c r="AS1388" s="23"/>
      <c r="AT1388" s="23">
        <v>0.0</v>
      </c>
      <c r="AU1388" s="16"/>
      <c r="AV1388" s="23"/>
      <c r="AW1388" s="23"/>
      <c r="AX1388" s="23">
        <v>0.0</v>
      </c>
      <c r="AY1388" s="16"/>
      <c r="AZ1388" s="23"/>
      <c r="BA1388" s="23"/>
      <c r="BB1388" s="23"/>
      <c r="BC1388" s="16"/>
      <c r="BD1388" s="23"/>
      <c r="BE1388" s="23"/>
      <c r="BF1388" s="23">
        <v>0.0</v>
      </c>
      <c r="BJ1388" s="23">
        <v>0.0</v>
      </c>
      <c r="BN1388" s="23">
        <v>0.0</v>
      </c>
      <c r="BO1388" s="23">
        <v>4648.56</v>
      </c>
      <c r="BP1388" s="16" t="s">
        <v>8747</v>
      </c>
      <c r="BQ1388" s="16" t="b">
        <v>1</v>
      </c>
      <c r="BR1388" s="23">
        <v>4648.56</v>
      </c>
      <c r="BS1388" s="16"/>
      <c r="BT1388" s="16" t="b">
        <v>0</v>
      </c>
      <c r="BU1388" s="16" t="s">
        <v>546</v>
      </c>
      <c r="BV1388" s="16"/>
      <c r="BW1388" s="16" t="s">
        <v>8748</v>
      </c>
      <c r="BX1388" s="16"/>
      <c r="BY1388" s="16"/>
    </row>
    <row r="1389">
      <c r="A1389" s="16" t="s">
        <v>7746</v>
      </c>
      <c r="B1389" s="16" t="s">
        <v>35</v>
      </c>
      <c r="C1389" s="22">
        <v>45877.0</v>
      </c>
      <c r="D1389" s="16" t="s">
        <v>233</v>
      </c>
      <c r="E1389" s="16" t="s">
        <v>8750</v>
      </c>
      <c r="F1389" s="16" t="s">
        <v>4614</v>
      </c>
      <c r="G1389" s="16" t="s">
        <v>305</v>
      </c>
      <c r="H1389" s="16">
        <v>1.0</v>
      </c>
      <c r="I1389" s="23">
        <v>141.43</v>
      </c>
      <c r="J1389" s="23">
        <v>141.43</v>
      </c>
      <c r="K1389" s="16"/>
      <c r="L1389" s="23"/>
      <c r="M1389" s="23"/>
      <c r="N1389" s="23">
        <v>0.0</v>
      </c>
      <c r="O1389" s="16"/>
      <c r="P1389" s="23"/>
      <c r="Q1389" s="23"/>
      <c r="R1389" s="23">
        <v>0.0</v>
      </c>
      <c r="S1389" s="16"/>
      <c r="T1389" s="23"/>
      <c r="U1389" s="23"/>
      <c r="V1389" s="23">
        <v>0.0</v>
      </c>
      <c r="W1389" s="16"/>
      <c r="X1389" s="23"/>
      <c r="Y1389" s="23"/>
      <c r="Z1389" s="23">
        <v>0.0</v>
      </c>
      <c r="AA1389" s="16"/>
      <c r="AB1389" s="23"/>
      <c r="AC1389" s="23"/>
      <c r="AD1389" s="23">
        <v>0.0</v>
      </c>
      <c r="AE1389" s="16"/>
      <c r="AF1389" s="23"/>
      <c r="AG1389" s="23"/>
      <c r="AH1389" s="23">
        <v>0.0</v>
      </c>
      <c r="AI1389" s="16"/>
      <c r="AJ1389" s="23"/>
      <c r="AK1389" s="23"/>
      <c r="AL1389" s="23">
        <v>0.0</v>
      </c>
      <c r="AM1389" s="16"/>
      <c r="AN1389" s="23"/>
      <c r="AO1389" s="23"/>
      <c r="AP1389" s="23">
        <v>0.0</v>
      </c>
      <c r="AQ1389" s="16"/>
      <c r="AR1389" s="23"/>
      <c r="AS1389" s="23"/>
      <c r="AT1389" s="23">
        <v>0.0</v>
      </c>
      <c r="AU1389" s="16"/>
      <c r="AV1389" s="23"/>
      <c r="AW1389" s="23"/>
      <c r="AX1389" s="23">
        <v>0.0</v>
      </c>
      <c r="AY1389" s="16"/>
      <c r="AZ1389" s="23"/>
      <c r="BA1389" s="23"/>
      <c r="BB1389" s="23"/>
      <c r="BC1389" s="16"/>
      <c r="BD1389" s="23"/>
      <c r="BE1389" s="23"/>
      <c r="BF1389" s="23">
        <v>0.0</v>
      </c>
      <c r="BJ1389" s="23">
        <v>0.0</v>
      </c>
      <c r="BN1389" s="23">
        <v>0.0</v>
      </c>
      <c r="BO1389" s="23">
        <v>141.43</v>
      </c>
      <c r="BP1389" s="16" t="s">
        <v>8753</v>
      </c>
      <c r="BQ1389" s="16" t="b">
        <v>1</v>
      </c>
      <c r="BR1389" s="23">
        <v>141.43</v>
      </c>
      <c r="BS1389" s="16">
        <v>1613887.0</v>
      </c>
      <c r="BT1389" s="16" t="b">
        <v>1</v>
      </c>
      <c r="BU1389" s="16" t="s">
        <v>546</v>
      </c>
      <c r="BV1389" s="16"/>
      <c r="BW1389" s="16"/>
      <c r="BX1389" s="16"/>
      <c r="BY1389" s="16"/>
    </row>
    <row r="1390">
      <c r="A1390" s="16" t="s">
        <v>7748</v>
      </c>
      <c r="B1390" s="16" t="s">
        <v>35</v>
      </c>
      <c r="C1390" s="22">
        <v>45880.0</v>
      </c>
      <c r="D1390" s="16" t="s">
        <v>2248</v>
      </c>
      <c r="E1390" s="16"/>
      <c r="F1390" s="16" t="s">
        <v>8055</v>
      </c>
      <c r="G1390" s="16" t="s">
        <v>3218</v>
      </c>
      <c r="H1390" s="16">
        <v>1.0</v>
      </c>
      <c r="I1390" s="23">
        <v>185.0</v>
      </c>
      <c r="J1390" s="23">
        <v>185.0</v>
      </c>
      <c r="K1390" s="16"/>
      <c r="L1390" s="23"/>
      <c r="M1390" s="23"/>
      <c r="N1390" s="23"/>
      <c r="O1390" s="16"/>
      <c r="P1390" s="23"/>
      <c r="Q1390" s="23"/>
      <c r="R1390" s="23"/>
      <c r="S1390" s="16"/>
      <c r="T1390" s="23"/>
      <c r="U1390" s="23"/>
      <c r="V1390" s="23"/>
      <c r="W1390" s="16"/>
      <c r="X1390" s="23"/>
      <c r="Y1390" s="23"/>
      <c r="Z1390" s="23"/>
      <c r="AA1390" s="16"/>
      <c r="AB1390" s="23"/>
      <c r="AC1390" s="23"/>
      <c r="AD1390" s="23"/>
      <c r="AE1390" s="16"/>
      <c r="AF1390" s="23"/>
      <c r="AG1390" s="23"/>
      <c r="AH1390" s="23"/>
      <c r="AI1390" s="16"/>
      <c r="AJ1390" s="23"/>
      <c r="AK1390" s="23"/>
      <c r="AL1390" s="23"/>
      <c r="AM1390" s="16"/>
      <c r="AN1390" s="23"/>
      <c r="AO1390" s="23"/>
      <c r="AP1390" s="23"/>
      <c r="AQ1390" s="16"/>
      <c r="AR1390" s="23"/>
      <c r="AS1390" s="23"/>
      <c r="AT1390" s="23"/>
      <c r="AU1390" s="16"/>
      <c r="AV1390" s="23"/>
      <c r="AW1390" s="23"/>
      <c r="AX1390" s="23"/>
      <c r="AY1390" s="16"/>
      <c r="AZ1390" s="23"/>
      <c r="BA1390" s="23"/>
      <c r="BB1390" s="23"/>
      <c r="BC1390" s="16"/>
      <c r="BD1390" s="23"/>
      <c r="BE1390" s="23"/>
      <c r="BF1390" s="23"/>
      <c r="BJ1390" s="23"/>
      <c r="BN1390" s="23"/>
      <c r="BO1390" s="23">
        <v>185.0</v>
      </c>
      <c r="BP1390" s="16"/>
      <c r="BQ1390" s="16"/>
      <c r="BR1390" s="23">
        <v>185.0</v>
      </c>
      <c r="BS1390" s="16"/>
      <c r="BT1390" s="16"/>
      <c r="BU1390" s="16" t="s">
        <v>539</v>
      </c>
      <c r="BV1390" s="16"/>
      <c r="BW1390" s="16"/>
      <c r="BX1390" s="16"/>
      <c r="BY1390" s="16"/>
    </row>
    <row r="1391">
      <c r="A1391" s="16" t="s">
        <v>7750</v>
      </c>
      <c r="B1391" s="16" t="s">
        <v>35</v>
      </c>
      <c r="C1391" s="22">
        <v>45884.0</v>
      </c>
      <c r="D1391" s="16" t="s">
        <v>890</v>
      </c>
      <c r="E1391" s="16"/>
      <c r="F1391" s="16" t="s">
        <v>4010</v>
      </c>
      <c r="G1391" s="16" t="s">
        <v>4831</v>
      </c>
      <c r="H1391" s="16">
        <v>1.0</v>
      </c>
      <c r="I1391" s="23">
        <v>375.0</v>
      </c>
      <c r="J1391" s="23">
        <v>375.0</v>
      </c>
      <c r="K1391" s="16"/>
      <c r="L1391" s="23"/>
      <c r="M1391" s="23"/>
      <c r="N1391" s="23"/>
      <c r="O1391" s="16"/>
      <c r="P1391" s="23"/>
      <c r="Q1391" s="23"/>
      <c r="R1391" s="23"/>
      <c r="S1391" s="16"/>
      <c r="T1391" s="23"/>
      <c r="U1391" s="23"/>
      <c r="V1391" s="23"/>
      <c r="W1391" s="16"/>
      <c r="X1391" s="23"/>
      <c r="Y1391" s="23"/>
      <c r="Z1391" s="23"/>
      <c r="AA1391" s="16"/>
      <c r="AB1391" s="23"/>
      <c r="AC1391" s="23"/>
      <c r="AD1391" s="23"/>
      <c r="AE1391" s="16"/>
      <c r="AF1391" s="23"/>
      <c r="AG1391" s="23"/>
      <c r="AH1391" s="23"/>
      <c r="AI1391" s="16"/>
      <c r="AJ1391" s="23"/>
      <c r="AK1391" s="23"/>
      <c r="AL1391" s="23"/>
      <c r="AM1391" s="16"/>
      <c r="AN1391" s="23"/>
      <c r="AO1391" s="23"/>
      <c r="AP1391" s="23"/>
      <c r="AQ1391" s="16"/>
      <c r="AR1391" s="23"/>
      <c r="AS1391" s="23"/>
      <c r="AT1391" s="23"/>
      <c r="AU1391" s="16"/>
      <c r="AV1391" s="23"/>
      <c r="AW1391" s="23"/>
      <c r="AX1391" s="23"/>
      <c r="AY1391" s="16"/>
      <c r="AZ1391" s="23"/>
      <c r="BA1391" s="23"/>
      <c r="BB1391" s="23"/>
      <c r="BC1391" s="16"/>
      <c r="BD1391" s="23"/>
      <c r="BE1391" s="23"/>
      <c r="BF1391" s="23"/>
      <c r="BJ1391" s="23"/>
      <c r="BN1391" s="23"/>
      <c r="BO1391" s="23">
        <v>375.0</v>
      </c>
      <c r="BP1391" s="16"/>
      <c r="BQ1391" s="16"/>
      <c r="BR1391" s="23">
        <v>375.0</v>
      </c>
      <c r="BS1391" s="16"/>
      <c r="BT1391" s="16"/>
      <c r="BU1391" s="16" t="s">
        <v>539</v>
      </c>
      <c r="BV1391" s="16"/>
      <c r="BW1391" s="16"/>
      <c r="BX1391" s="16"/>
      <c r="BY1391" s="16"/>
    </row>
    <row r="1392">
      <c r="A1392" s="16" t="s">
        <v>7752</v>
      </c>
      <c r="B1392" s="16" t="s">
        <v>35</v>
      </c>
      <c r="C1392" s="22">
        <v>45884.0</v>
      </c>
      <c r="D1392" s="16" t="s">
        <v>890</v>
      </c>
      <c r="E1392" s="16"/>
      <c r="F1392" s="16" t="s">
        <v>8764</v>
      </c>
      <c r="G1392" s="16" t="s">
        <v>3833</v>
      </c>
      <c r="H1392" s="16">
        <v>1.0</v>
      </c>
      <c r="I1392" s="23">
        <v>3601.0</v>
      </c>
      <c r="J1392" s="23">
        <v>3601.0</v>
      </c>
      <c r="K1392" s="16"/>
      <c r="L1392" s="23"/>
      <c r="M1392" s="23"/>
      <c r="N1392" s="23"/>
      <c r="O1392" s="16"/>
      <c r="P1392" s="23"/>
      <c r="Q1392" s="23"/>
      <c r="R1392" s="23"/>
      <c r="S1392" s="16"/>
      <c r="T1392" s="23"/>
      <c r="U1392" s="23"/>
      <c r="V1392" s="23"/>
      <c r="W1392" s="16"/>
      <c r="X1392" s="23"/>
      <c r="Y1392" s="23"/>
      <c r="Z1392" s="23"/>
      <c r="AA1392" s="16"/>
      <c r="AB1392" s="23"/>
      <c r="AC1392" s="23"/>
      <c r="AD1392" s="23"/>
      <c r="AE1392" s="16"/>
      <c r="AF1392" s="23"/>
      <c r="AG1392" s="23"/>
      <c r="AH1392" s="23"/>
      <c r="AI1392" s="16"/>
      <c r="AJ1392" s="23"/>
      <c r="AK1392" s="23"/>
      <c r="AL1392" s="23"/>
      <c r="AM1392" s="16"/>
      <c r="AN1392" s="23"/>
      <c r="AO1392" s="23"/>
      <c r="AP1392" s="23"/>
      <c r="AQ1392" s="16"/>
      <c r="AR1392" s="23"/>
      <c r="AS1392" s="23"/>
      <c r="AT1392" s="23"/>
      <c r="AU1392" s="16"/>
      <c r="AV1392" s="23"/>
      <c r="AW1392" s="23"/>
      <c r="AX1392" s="23"/>
      <c r="AY1392" s="16"/>
      <c r="AZ1392" s="23"/>
      <c r="BA1392" s="23"/>
      <c r="BB1392" s="23"/>
      <c r="BC1392" s="16"/>
      <c r="BD1392" s="23"/>
      <c r="BE1392" s="23"/>
      <c r="BF1392" s="23"/>
      <c r="BJ1392" s="23"/>
      <c r="BN1392" s="23"/>
      <c r="BO1392" s="23">
        <v>3601.0</v>
      </c>
      <c r="BP1392" s="16"/>
      <c r="BQ1392" s="16"/>
      <c r="BR1392" s="23">
        <v>3601.0</v>
      </c>
      <c r="BS1392" s="16"/>
      <c r="BT1392" s="16"/>
      <c r="BU1392" s="16" t="s">
        <v>539</v>
      </c>
      <c r="BV1392" s="16"/>
      <c r="BW1392" s="16"/>
      <c r="BX1392" s="16"/>
      <c r="BY1392" s="16"/>
    </row>
    <row r="1393">
      <c r="A1393" s="16" t="s">
        <v>7755</v>
      </c>
      <c r="B1393" s="16" t="s">
        <v>35</v>
      </c>
      <c r="C1393" s="22">
        <v>45884.0</v>
      </c>
      <c r="D1393" s="16" t="s">
        <v>890</v>
      </c>
      <c r="E1393" s="16"/>
      <c r="F1393" s="16" t="s">
        <v>8768</v>
      </c>
      <c r="G1393" s="16" t="s">
        <v>3833</v>
      </c>
      <c r="H1393" s="16">
        <v>1.0</v>
      </c>
      <c r="I1393" s="23">
        <v>85.2</v>
      </c>
      <c r="J1393" s="23">
        <v>85.2</v>
      </c>
      <c r="K1393" s="16"/>
      <c r="L1393" s="23"/>
      <c r="M1393" s="23"/>
      <c r="N1393" s="23"/>
      <c r="O1393" s="16"/>
      <c r="P1393" s="23"/>
      <c r="Q1393" s="23"/>
      <c r="R1393" s="23"/>
      <c r="S1393" s="16"/>
      <c r="T1393" s="23"/>
      <c r="U1393" s="23"/>
      <c r="V1393" s="23"/>
      <c r="W1393" s="16"/>
      <c r="X1393" s="23"/>
      <c r="Y1393" s="23"/>
      <c r="Z1393" s="23"/>
      <c r="AA1393" s="16"/>
      <c r="AB1393" s="23"/>
      <c r="AC1393" s="23"/>
      <c r="AD1393" s="23"/>
      <c r="AE1393" s="16"/>
      <c r="AF1393" s="23"/>
      <c r="AG1393" s="23"/>
      <c r="AH1393" s="23"/>
      <c r="AI1393" s="16"/>
      <c r="AJ1393" s="23"/>
      <c r="AK1393" s="23"/>
      <c r="AL1393" s="23"/>
      <c r="AM1393" s="16"/>
      <c r="AN1393" s="23"/>
      <c r="AO1393" s="23"/>
      <c r="AP1393" s="23"/>
      <c r="AQ1393" s="16"/>
      <c r="AR1393" s="23"/>
      <c r="AS1393" s="23"/>
      <c r="AT1393" s="23"/>
      <c r="AU1393" s="16"/>
      <c r="AV1393" s="23"/>
      <c r="AW1393" s="23"/>
      <c r="AX1393" s="23"/>
      <c r="AY1393" s="16"/>
      <c r="AZ1393" s="23"/>
      <c r="BA1393" s="23"/>
      <c r="BB1393" s="23"/>
      <c r="BC1393" s="16"/>
      <c r="BD1393" s="23"/>
      <c r="BE1393" s="23"/>
      <c r="BF1393" s="23"/>
      <c r="BJ1393" s="23"/>
      <c r="BN1393" s="23"/>
      <c r="BO1393" s="23">
        <v>85.2</v>
      </c>
      <c r="BP1393" s="16"/>
      <c r="BQ1393" s="16"/>
      <c r="BR1393" s="23">
        <v>85.2</v>
      </c>
      <c r="BS1393" s="16"/>
      <c r="BT1393" s="16"/>
      <c r="BU1393" s="16" t="s">
        <v>539</v>
      </c>
      <c r="BV1393" s="16"/>
      <c r="BW1393" s="16"/>
      <c r="BX1393" s="16"/>
      <c r="BY1393" s="16"/>
    </row>
    <row r="1394">
      <c r="A1394" s="16" t="s">
        <v>7758</v>
      </c>
      <c r="B1394" s="16" t="s">
        <v>35</v>
      </c>
      <c r="C1394" s="22">
        <v>45886.0</v>
      </c>
      <c r="D1394" s="16" t="s">
        <v>8771</v>
      </c>
      <c r="E1394" s="16"/>
      <c r="F1394" s="16" t="s">
        <v>8773</v>
      </c>
      <c r="G1394" s="16" t="s">
        <v>7759</v>
      </c>
      <c r="H1394" s="16">
        <v>1.0</v>
      </c>
      <c r="I1394" s="23">
        <v>500.0</v>
      </c>
      <c r="J1394" s="23">
        <v>500.0</v>
      </c>
      <c r="K1394" s="16"/>
      <c r="L1394" s="23"/>
      <c r="M1394" s="23"/>
      <c r="N1394" s="23"/>
      <c r="O1394" s="16"/>
      <c r="P1394" s="23"/>
      <c r="Q1394" s="23"/>
      <c r="R1394" s="23"/>
      <c r="S1394" s="16"/>
      <c r="T1394" s="23"/>
      <c r="U1394" s="23"/>
      <c r="V1394" s="23"/>
      <c r="W1394" s="16"/>
      <c r="X1394" s="23"/>
      <c r="Y1394" s="23"/>
      <c r="Z1394" s="23"/>
      <c r="AA1394" s="16"/>
      <c r="AB1394" s="23"/>
      <c r="AC1394" s="23"/>
      <c r="AD1394" s="23"/>
      <c r="AE1394" s="16"/>
      <c r="AF1394" s="23"/>
      <c r="AG1394" s="23"/>
      <c r="AH1394" s="23"/>
      <c r="AI1394" s="16"/>
      <c r="AJ1394" s="23"/>
      <c r="AK1394" s="23"/>
      <c r="AL1394" s="23"/>
      <c r="AM1394" s="16"/>
      <c r="AN1394" s="23"/>
      <c r="AO1394" s="23"/>
      <c r="AP1394" s="23"/>
      <c r="AQ1394" s="16"/>
      <c r="AR1394" s="23"/>
      <c r="AS1394" s="23"/>
      <c r="AT1394" s="23"/>
      <c r="AU1394" s="16"/>
      <c r="AV1394" s="23"/>
      <c r="AW1394" s="23"/>
      <c r="AX1394" s="23"/>
      <c r="AY1394" s="16"/>
      <c r="AZ1394" s="23"/>
      <c r="BA1394" s="23"/>
      <c r="BB1394" s="23"/>
      <c r="BC1394" s="16"/>
      <c r="BD1394" s="23"/>
      <c r="BE1394" s="23"/>
      <c r="BF1394" s="23"/>
      <c r="BJ1394" s="23"/>
      <c r="BN1394" s="23"/>
      <c r="BO1394" s="23">
        <v>500.0</v>
      </c>
      <c r="BP1394" s="16"/>
      <c r="BQ1394" s="16"/>
      <c r="BR1394" s="23">
        <v>500.0</v>
      </c>
      <c r="BS1394" s="16"/>
      <c r="BT1394" s="16"/>
      <c r="BU1394" s="16" t="s">
        <v>539</v>
      </c>
      <c r="BV1394" s="16"/>
      <c r="BW1394" s="16"/>
      <c r="BX1394" s="16"/>
      <c r="BY1394" s="16"/>
    </row>
    <row r="1395">
      <c r="A1395" s="16" t="s">
        <v>7762</v>
      </c>
      <c r="B1395" s="16" t="s">
        <v>35</v>
      </c>
      <c r="C1395" s="22">
        <v>45880.0</v>
      </c>
      <c r="D1395" s="16" t="s">
        <v>145</v>
      </c>
      <c r="E1395" s="16" t="s">
        <v>8777</v>
      </c>
      <c r="F1395" s="16" t="s">
        <v>4200</v>
      </c>
      <c r="G1395" s="16" t="s">
        <v>1195</v>
      </c>
      <c r="H1395" s="16">
        <v>3.0</v>
      </c>
      <c r="I1395" s="23">
        <v>24.0</v>
      </c>
      <c r="J1395" s="23">
        <v>72.0</v>
      </c>
      <c r="K1395" s="16" t="s">
        <v>1197</v>
      </c>
      <c r="L1395" s="23">
        <v>3.0</v>
      </c>
      <c r="M1395" s="23">
        <v>22.0</v>
      </c>
      <c r="N1395" s="23">
        <v>66.0</v>
      </c>
      <c r="O1395" s="16" t="s">
        <v>266</v>
      </c>
      <c r="P1395" s="23">
        <v>2.0</v>
      </c>
      <c r="Q1395" s="23">
        <v>20.0</v>
      </c>
      <c r="R1395" s="23">
        <v>40.0</v>
      </c>
      <c r="S1395" s="16">
        <v>7.9788768E7</v>
      </c>
      <c r="T1395" s="23">
        <v>5.0</v>
      </c>
      <c r="U1395" s="23">
        <v>5.5</v>
      </c>
      <c r="V1395" s="23">
        <v>27.5</v>
      </c>
      <c r="W1395" s="16" t="s">
        <v>1197</v>
      </c>
      <c r="X1395" s="23">
        <v>2.0</v>
      </c>
      <c r="Y1395" s="23">
        <v>22.0</v>
      </c>
      <c r="Z1395" s="23">
        <v>44.0</v>
      </c>
      <c r="AA1395" s="16"/>
      <c r="AB1395" s="23"/>
      <c r="AC1395" s="23"/>
      <c r="AD1395" s="23">
        <v>0.0</v>
      </c>
      <c r="AE1395" s="16"/>
      <c r="AF1395" s="23"/>
      <c r="AG1395" s="23"/>
      <c r="AH1395" s="23">
        <v>0.0</v>
      </c>
      <c r="AI1395" s="16"/>
      <c r="AJ1395" s="23"/>
      <c r="AK1395" s="23"/>
      <c r="AL1395" s="23">
        <v>0.0</v>
      </c>
      <c r="AM1395" s="16"/>
      <c r="AN1395" s="23"/>
      <c r="AO1395" s="23"/>
      <c r="AP1395" s="23">
        <v>0.0</v>
      </c>
      <c r="AQ1395" s="16"/>
      <c r="AR1395" s="23"/>
      <c r="AS1395" s="23"/>
      <c r="AT1395" s="23">
        <v>0.0</v>
      </c>
      <c r="AU1395" s="16"/>
      <c r="AV1395" s="23"/>
      <c r="AW1395" s="23"/>
      <c r="AX1395" s="23">
        <v>0.0</v>
      </c>
      <c r="AY1395" s="16"/>
      <c r="AZ1395" s="23"/>
      <c r="BA1395" s="23"/>
      <c r="BB1395" s="23"/>
      <c r="BC1395" s="16"/>
      <c r="BD1395" s="23"/>
      <c r="BE1395" s="23"/>
      <c r="BF1395" s="23">
        <v>0.0</v>
      </c>
      <c r="BJ1395" s="23">
        <v>0.0</v>
      </c>
      <c r="BN1395" s="23">
        <v>0.0</v>
      </c>
      <c r="BO1395" s="23">
        <v>249.5</v>
      </c>
      <c r="BP1395" s="16" t="s">
        <v>8778</v>
      </c>
      <c r="BQ1395" s="16" t="b">
        <v>1</v>
      </c>
      <c r="BR1395" s="23">
        <v>249.5</v>
      </c>
      <c r="BS1395" s="16"/>
      <c r="BT1395" s="16" t="b">
        <v>0</v>
      </c>
      <c r="BU1395" s="16" t="s">
        <v>546</v>
      </c>
      <c r="BV1395" s="16"/>
      <c r="BW1395" s="16"/>
      <c r="BX1395" s="16"/>
      <c r="BY1395" s="16"/>
    </row>
    <row r="1396">
      <c r="A1396" s="16" t="s">
        <v>7770</v>
      </c>
      <c r="B1396" s="16" t="s">
        <v>35</v>
      </c>
      <c r="C1396" s="22">
        <v>45883.0</v>
      </c>
      <c r="D1396" s="16" t="s">
        <v>112</v>
      </c>
      <c r="E1396" s="16" t="s">
        <v>8783</v>
      </c>
      <c r="F1396" s="16" t="s">
        <v>157</v>
      </c>
      <c r="G1396" s="16" t="s">
        <v>159</v>
      </c>
      <c r="H1396" s="16">
        <v>1.0</v>
      </c>
      <c r="I1396" s="23">
        <v>149.85</v>
      </c>
      <c r="J1396" s="23">
        <v>149.85</v>
      </c>
      <c r="K1396" s="16" t="s">
        <v>155</v>
      </c>
      <c r="L1396" s="23">
        <v>1.0</v>
      </c>
      <c r="M1396" s="23">
        <v>45.06</v>
      </c>
      <c r="N1396" s="23">
        <v>45.06</v>
      </c>
      <c r="O1396" s="16" t="s">
        <v>152</v>
      </c>
      <c r="P1396" s="23">
        <v>1.0</v>
      </c>
      <c r="Q1396" s="23">
        <v>11.3</v>
      </c>
      <c r="R1396" s="23">
        <v>11.3</v>
      </c>
      <c r="S1396" s="16" t="s">
        <v>226</v>
      </c>
      <c r="T1396" s="23">
        <v>1.0</v>
      </c>
      <c r="U1396" s="23">
        <v>54.0</v>
      </c>
      <c r="V1396" s="23">
        <v>54.0</v>
      </c>
      <c r="W1396" s="16"/>
      <c r="X1396" s="23"/>
      <c r="Y1396" s="23"/>
      <c r="Z1396" s="23">
        <v>0.0</v>
      </c>
      <c r="AA1396" s="16"/>
      <c r="AB1396" s="23"/>
      <c r="AC1396" s="23"/>
      <c r="AD1396" s="23">
        <v>0.0</v>
      </c>
      <c r="AE1396" s="16"/>
      <c r="AF1396" s="23"/>
      <c r="AG1396" s="23"/>
      <c r="AH1396" s="23">
        <v>0.0</v>
      </c>
      <c r="AI1396" s="16"/>
      <c r="AJ1396" s="23"/>
      <c r="AK1396" s="23"/>
      <c r="AL1396" s="23">
        <v>0.0</v>
      </c>
      <c r="AM1396" s="16"/>
      <c r="AN1396" s="23"/>
      <c r="AO1396" s="23"/>
      <c r="AP1396" s="23">
        <v>0.0</v>
      </c>
      <c r="AQ1396" s="16"/>
      <c r="AR1396" s="23"/>
      <c r="AS1396" s="23"/>
      <c r="AT1396" s="23">
        <v>0.0</v>
      </c>
      <c r="AU1396" s="16"/>
      <c r="AV1396" s="23"/>
      <c r="AW1396" s="23"/>
      <c r="AX1396" s="23">
        <v>0.0</v>
      </c>
      <c r="AY1396" s="16"/>
      <c r="AZ1396" s="23"/>
      <c r="BA1396" s="23"/>
      <c r="BB1396" s="23"/>
      <c r="BC1396" s="16"/>
      <c r="BD1396" s="23"/>
      <c r="BE1396" s="23"/>
      <c r="BF1396" s="23">
        <v>0.0</v>
      </c>
      <c r="BJ1396" s="23">
        <v>0.0</v>
      </c>
      <c r="BN1396" s="23">
        <v>0.0</v>
      </c>
      <c r="BO1396" s="23">
        <v>260.21</v>
      </c>
      <c r="BP1396" s="16" t="s">
        <v>8784</v>
      </c>
      <c r="BQ1396" s="16" t="b">
        <v>1</v>
      </c>
      <c r="BR1396" s="23">
        <v>260.21</v>
      </c>
      <c r="BS1396" s="16"/>
      <c r="BT1396" s="16" t="b">
        <v>0</v>
      </c>
      <c r="BU1396" s="16" t="s">
        <v>546</v>
      </c>
      <c r="BV1396" s="16"/>
      <c r="BW1396" s="16"/>
      <c r="BX1396" s="16"/>
      <c r="BY1396" s="16"/>
    </row>
    <row r="1397">
      <c r="A1397" s="16">
        <v>8.4663663E7</v>
      </c>
      <c r="B1397" s="16" t="s">
        <v>35</v>
      </c>
      <c r="C1397" s="22">
        <v>45883.0</v>
      </c>
      <c r="D1397" s="16" t="s">
        <v>8787</v>
      </c>
      <c r="E1397" s="16" t="s">
        <v>8788</v>
      </c>
      <c r="F1397" s="16" t="s">
        <v>8790</v>
      </c>
      <c r="G1397" s="16" t="s">
        <v>854</v>
      </c>
      <c r="H1397" s="16">
        <v>1.0</v>
      </c>
      <c r="I1397" s="23">
        <v>15.0</v>
      </c>
      <c r="J1397" s="23">
        <v>15.0</v>
      </c>
      <c r="K1397" s="16"/>
      <c r="L1397" s="23"/>
      <c r="M1397" s="23"/>
      <c r="N1397" s="23">
        <v>0.0</v>
      </c>
      <c r="O1397" s="16"/>
      <c r="P1397" s="23"/>
      <c r="Q1397" s="23"/>
      <c r="R1397" s="23">
        <v>0.0</v>
      </c>
      <c r="S1397" s="16"/>
      <c r="T1397" s="23"/>
      <c r="U1397" s="23"/>
      <c r="V1397" s="23">
        <v>0.0</v>
      </c>
      <c r="W1397" s="16"/>
      <c r="X1397" s="23"/>
      <c r="Y1397" s="23"/>
      <c r="Z1397" s="23">
        <v>0.0</v>
      </c>
      <c r="AA1397" s="16"/>
      <c r="AB1397" s="23"/>
      <c r="AC1397" s="23"/>
      <c r="AD1397" s="23">
        <v>0.0</v>
      </c>
      <c r="AE1397" s="16"/>
      <c r="AF1397" s="23"/>
      <c r="AG1397" s="23"/>
      <c r="AH1397" s="23">
        <v>0.0</v>
      </c>
      <c r="AI1397" s="16"/>
      <c r="AJ1397" s="23"/>
      <c r="AK1397" s="23"/>
      <c r="AL1397" s="23">
        <v>0.0</v>
      </c>
      <c r="AM1397" s="16"/>
      <c r="AN1397" s="23"/>
      <c r="AO1397" s="23"/>
      <c r="AP1397" s="23">
        <v>0.0</v>
      </c>
      <c r="AQ1397" s="16"/>
      <c r="AR1397" s="23"/>
      <c r="AS1397" s="23"/>
      <c r="AT1397" s="23">
        <v>0.0</v>
      </c>
      <c r="AU1397" s="16"/>
      <c r="AV1397" s="23"/>
      <c r="AW1397" s="23"/>
      <c r="AX1397" s="23">
        <v>0.0</v>
      </c>
      <c r="AY1397" s="16"/>
      <c r="AZ1397" s="23"/>
      <c r="BA1397" s="23"/>
      <c r="BB1397" s="23"/>
      <c r="BC1397" s="16"/>
      <c r="BD1397" s="23"/>
      <c r="BE1397" s="23"/>
      <c r="BF1397" s="23">
        <v>0.0</v>
      </c>
      <c r="BJ1397" s="23">
        <v>0.0</v>
      </c>
      <c r="BN1397" s="23">
        <v>0.0</v>
      </c>
      <c r="BO1397" s="23">
        <v>15.0</v>
      </c>
      <c r="BP1397" s="16" t="s">
        <v>8789</v>
      </c>
      <c r="BQ1397" s="16" t="b">
        <v>1</v>
      </c>
      <c r="BR1397" s="23">
        <v>15.0</v>
      </c>
      <c r="BS1397" s="16">
        <v>1622670.0</v>
      </c>
      <c r="BT1397" s="16" t="b">
        <v>1</v>
      </c>
      <c r="BU1397" s="16" t="s">
        <v>546</v>
      </c>
      <c r="BV1397" s="16"/>
      <c r="BW1397" s="16"/>
      <c r="BX1397" s="16"/>
      <c r="BY1397" s="16"/>
    </row>
    <row r="1398">
      <c r="A1398" s="16" t="s">
        <v>7778</v>
      </c>
      <c r="B1398" s="16" t="s">
        <v>35</v>
      </c>
      <c r="C1398" s="22">
        <v>45883.0</v>
      </c>
      <c r="D1398" s="16" t="s">
        <v>8793</v>
      </c>
      <c r="E1398" s="16" t="s">
        <v>8794</v>
      </c>
      <c r="F1398" s="16" t="s">
        <v>8798</v>
      </c>
      <c r="G1398" s="16" t="s">
        <v>7779</v>
      </c>
      <c r="H1398" s="16">
        <v>1.0</v>
      </c>
      <c r="I1398" s="23">
        <v>15.0</v>
      </c>
      <c r="J1398" s="23">
        <v>15.0</v>
      </c>
      <c r="K1398" s="16"/>
      <c r="L1398" s="23"/>
      <c r="M1398" s="23"/>
      <c r="N1398" s="23">
        <v>0.0</v>
      </c>
      <c r="O1398" s="16"/>
      <c r="P1398" s="23"/>
      <c r="Q1398" s="23"/>
      <c r="R1398" s="23">
        <v>0.0</v>
      </c>
      <c r="S1398" s="16"/>
      <c r="T1398" s="23"/>
      <c r="U1398" s="23"/>
      <c r="V1398" s="23">
        <v>0.0</v>
      </c>
      <c r="W1398" s="16"/>
      <c r="X1398" s="23"/>
      <c r="Y1398" s="23"/>
      <c r="Z1398" s="23">
        <v>0.0</v>
      </c>
      <c r="AA1398" s="16"/>
      <c r="AB1398" s="23"/>
      <c r="AC1398" s="23"/>
      <c r="AD1398" s="23">
        <v>0.0</v>
      </c>
      <c r="AE1398" s="16"/>
      <c r="AF1398" s="23"/>
      <c r="AG1398" s="23"/>
      <c r="AH1398" s="23">
        <v>0.0</v>
      </c>
      <c r="AI1398" s="16"/>
      <c r="AJ1398" s="23"/>
      <c r="AK1398" s="23"/>
      <c r="AL1398" s="23">
        <v>0.0</v>
      </c>
      <c r="AM1398" s="16"/>
      <c r="AN1398" s="23"/>
      <c r="AO1398" s="23"/>
      <c r="AP1398" s="23">
        <v>0.0</v>
      </c>
      <c r="AQ1398" s="16"/>
      <c r="AR1398" s="23"/>
      <c r="AS1398" s="23"/>
      <c r="AT1398" s="23">
        <v>0.0</v>
      </c>
      <c r="AU1398" s="16"/>
      <c r="AV1398" s="23"/>
      <c r="AW1398" s="23"/>
      <c r="AX1398" s="23">
        <v>0.0</v>
      </c>
      <c r="AY1398" s="16"/>
      <c r="AZ1398" s="23"/>
      <c r="BA1398" s="23"/>
      <c r="BB1398" s="23"/>
      <c r="BC1398" s="16"/>
      <c r="BD1398" s="23"/>
      <c r="BE1398" s="23"/>
      <c r="BF1398" s="23">
        <v>0.0</v>
      </c>
      <c r="BJ1398" s="23">
        <v>0.0</v>
      </c>
      <c r="BN1398" s="23">
        <v>0.0</v>
      </c>
      <c r="BO1398" s="23">
        <v>15.0</v>
      </c>
      <c r="BP1398" s="16" t="s">
        <v>8796</v>
      </c>
      <c r="BQ1398" s="16" t="b">
        <v>1</v>
      </c>
      <c r="BR1398" s="23">
        <v>15.0</v>
      </c>
      <c r="BS1398" s="16">
        <v>1622675.0</v>
      </c>
      <c r="BT1398" s="16" t="b">
        <v>1</v>
      </c>
      <c r="BU1398" s="16" t="s">
        <v>546</v>
      </c>
      <c r="BV1398" s="16"/>
      <c r="BW1398" s="16"/>
      <c r="BX1398" s="16"/>
      <c r="BY1398" s="16"/>
    </row>
    <row r="1399">
      <c r="A1399" s="16" t="s">
        <v>7782</v>
      </c>
      <c r="B1399" s="16" t="s">
        <v>35</v>
      </c>
      <c r="C1399" s="22">
        <v>45887.0</v>
      </c>
      <c r="D1399" s="16" t="s">
        <v>890</v>
      </c>
      <c r="E1399" s="16"/>
      <c r="F1399" s="16" t="s">
        <v>8803</v>
      </c>
      <c r="G1399" s="16" t="s">
        <v>3833</v>
      </c>
      <c r="H1399" s="16">
        <v>1.0</v>
      </c>
      <c r="I1399" s="23">
        <v>1008.09</v>
      </c>
      <c r="J1399" s="23">
        <v>1008.09</v>
      </c>
      <c r="K1399" s="16"/>
      <c r="L1399" s="23"/>
      <c r="M1399" s="23"/>
      <c r="N1399" s="23"/>
      <c r="O1399" s="16"/>
      <c r="P1399" s="23"/>
      <c r="Q1399" s="23"/>
      <c r="R1399" s="23"/>
      <c r="S1399" s="16"/>
      <c r="T1399" s="23"/>
      <c r="U1399" s="23"/>
      <c r="V1399" s="23"/>
      <c r="W1399" s="16"/>
      <c r="X1399" s="23"/>
      <c r="Y1399" s="23"/>
      <c r="Z1399" s="23"/>
      <c r="AA1399" s="16"/>
      <c r="AB1399" s="23"/>
      <c r="AC1399" s="23"/>
      <c r="AD1399" s="23"/>
      <c r="AE1399" s="16"/>
      <c r="AF1399" s="23"/>
      <c r="AG1399" s="23"/>
      <c r="AH1399" s="23"/>
      <c r="AI1399" s="16"/>
      <c r="AJ1399" s="23"/>
      <c r="AK1399" s="23"/>
      <c r="AL1399" s="23"/>
      <c r="AM1399" s="16"/>
      <c r="AN1399" s="23"/>
      <c r="AO1399" s="23"/>
      <c r="AP1399" s="23"/>
      <c r="AQ1399" s="16"/>
      <c r="AR1399" s="23"/>
      <c r="AS1399" s="23"/>
      <c r="AT1399" s="23"/>
      <c r="AU1399" s="16"/>
      <c r="AV1399" s="23"/>
      <c r="AW1399" s="23"/>
      <c r="AX1399" s="23"/>
      <c r="AY1399" s="16"/>
      <c r="AZ1399" s="23"/>
      <c r="BA1399" s="23"/>
      <c r="BB1399" s="23"/>
      <c r="BC1399" s="16"/>
      <c r="BD1399" s="23"/>
      <c r="BE1399" s="23"/>
      <c r="BF1399" s="23"/>
      <c r="BJ1399" s="23"/>
      <c r="BN1399" s="23"/>
      <c r="BO1399" s="23">
        <v>1008.09</v>
      </c>
      <c r="BP1399" s="16"/>
      <c r="BQ1399" s="16"/>
      <c r="BR1399" s="23">
        <v>1008.09</v>
      </c>
      <c r="BS1399" s="16"/>
      <c r="BT1399" s="16"/>
      <c r="BU1399" s="16" t="s">
        <v>539</v>
      </c>
      <c r="BV1399" s="16"/>
      <c r="BW1399" s="16"/>
      <c r="BX1399" s="16"/>
      <c r="BY1399" s="16"/>
    </row>
    <row r="1400">
      <c r="A1400" s="16" t="s">
        <v>7784</v>
      </c>
      <c r="B1400" s="16" t="s">
        <v>35</v>
      </c>
      <c r="C1400" s="22">
        <v>45884.0</v>
      </c>
      <c r="D1400" s="16" t="s">
        <v>890</v>
      </c>
      <c r="E1400" s="16" t="s">
        <v>8806</v>
      </c>
      <c r="F1400" s="16" t="s">
        <v>8810</v>
      </c>
      <c r="G1400" s="16" t="s">
        <v>6649</v>
      </c>
      <c r="H1400" s="16">
        <v>1.0</v>
      </c>
      <c r="I1400" s="23">
        <v>129.12</v>
      </c>
      <c r="J1400" s="23">
        <v>129.12</v>
      </c>
      <c r="K1400" s="16"/>
      <c r="L1400" s="23"/>
      <c r="M1400" s="23"/>
      <c r="N1400" s="23">
        <v>0.0</v>
      </c>
      <c r="O1400" s="16"/>
      <c r="P1400" s="23"/>
      <c r="Q1400" s="23"/>
      <c r="R1400" s="23">
        <v>0.0</v>
      </c>
      <c r="S1400" s="16"/>
      <c r="T1400" s="23"/>
      <c r="U1400" s="23"/>
      <c r="V1400" s="23">
        <v>0.0</v>
      </c>
      <c r="W1400" s="16"/>
      <c r="X1400" s="23"/>
      <c r="Y1400" s="23"/>
      <c r="Z1400" s="23">
        <v>0.0</v>
      </c>
      <c r="AA1400" s="16"/>
      <c r="AB1400" s="23"/>
      <c r="AC1400" s="23"/>
      <c r="AD1400" s="23">
        <v>0.0</v>
      </c>
      <c r="AE1400" s="16"/>
      <c r="AF1400" s="23"/>
      <c r="AG1400" s="23"/>
      <c r="AH1400" s="23">
        <v>0.0</v>
      </c>
      <c r="AI1400" s="16"/>
      <c r="AJ1400" s="23"/>
      <c r="AK1400" s="23"/>
      <c r="AL1400" s="23">
        <v>0.0</v>
      </c>
      <c r="AM1400" s="16"/>
      <c r="AN1400" s="23"/>
      <c r="AO1400" s="23"/>
      <c r="AP1400" s="23">
        <v>0.0</v>
      </c>
      <c r="AQ1400" s="16"/>
      <c r="AR1400" s="23"/>
      <c r="AS1400" s="23"/>
      <c r="AT1400" s="23">
        <v>0.0</v>
      </c>
      <c r="AU1400" s="16"/>
      <c r="AV1400" s="23"/>
      <c r="AW1400" s="23"/>
      <c r="AX1400" s="23">
        <v>0.0</v>
      </c>
      <c r="AY1400" s="16"/>
      <c r="AZ1400" s="23"/>
      <c r="BA1400" s="23"/>
      <c r="BB1400" s="23"/>
      <c r="BC1400" s="16"/>
      <c r="BD1400" s="23"/>
      <c r="BE1400" s="23"/>
      <c r="BF1400" s="23">
        <v>0.0</v>
      </c>
      <c r="BJ1400" s="23">
        <v>0.0</v>
      </c>
      <c r="BN1400" s="23">
        <v>0.0</v>
      </c>
      <c r="BO1400" s="23">
        <v>129.12</v>
      </c>
      <c r="BP1400" s="16" t="s">
        <v>8808</v>
      </c>
      <c r="BQ1400" s="16" t="b">
        <v>1</v>
      </c>
      <c r="BR1400" s="23">
        <v>129.12</v>
      </c>
      <c r="BS1400" s="16"/>
      <c r="BT1400" s="16" t="b">
        <v>0</v>
      </c>
      <c r="BU1400" s="16" t="s">
        <v>546</v>
      </c>
      <c r="BV1400" s="16"/>
      <c r="BW1400" s="16"/>
      <c r="BX1400" s="16"/>
      <c r="BY1400" s="16"/>
    </row>
    <row r="1401">
      <c r="A1401" s="16" t="s">
        <v>7788</v>
      </c>
      <c r="B1401" s="16" t="s">
        <v>35</v>
      </c>
      <c r="C1401" s="22">
        <v>45884.0</v>
      </c>
      <c r="D1401" s="16" t="s">
        <v>890</v>
      </c>
      <c r="E1401" s="16" t="s">
        <v>8813</v>
      </c>
      <c r="F1401" s="16" t="s">
        <v>8815</v>
      </c>
      <c r="G1401" s="16" t="s">
        <v>6649</v>
      </c>
      <c r="H1401" s="16">
        <v>1.0</v>
      </c>
      <c r="I1401" s="23">
        <v>129.12</v>
      </c>
      <c r="J1401" s="23">
        <v>129.12</v>
      </c>
      <c r="K1401" s="16"/>
      <c r="L1401" s="23"/>
      <c r="M1401" s="23"/>
      <c r="N1401" s="23">
        <v>0.0</v>
      </c>
      <c r="O1401" s="16"/>
      <c r="P1401" s="23"/>
      <c r="Q1401" s="23"/>
      <c r="R1401" s="23">
        <v>0.0</v>
      </c>
      <c r="S1401" s="16"/>
      <c r="T1401" s="23"/>
      <c r="U1401" s="23"/>
      <c r="V1401" s="23">
        <v>0.0</v>
      </c>
      <c r="W1401" s="16"/>
      <c r="X1401" s="23"/>
      <c r="Y1401" s="23"/>
      <c r="Z1401" s="23">
        <v>0.0</v>
      </c>
      <c r="AA1401" s="16"/>
      <c r="AB1401" s="23"/>
      <c r="AC1401" s="23"/>
      <c r="AD1401" s="23">
        <v>0.0</v>
      </c>
      <c r="AE1401" s="16"/>
      <c r="AF1401" s="23"/>
      <c r="AG1401" s="23"/>
      <c r="AH1401" s="23">
        <v>0.0</v>
      </c>
      <c r="AI1401" s="16"/>
      <c r="AJ1401" s="23"/>
      <c r="AK1401" s="23"/>
      <c r="AL1401" s="23">
        <v>0.0</v>
      </c>
      <c r="AM1401" s="16"/>
      <c r="AN1401" s="23"/>
      <c r="AO1401" s="23"/>
      <c r="AP1401" s="23">
        <v>0.0</v>
      </c>
      <c r="AQ1401" s="16"/>
      <c r="AR1401" s="23"/>
      <c r="AS1401" s="23"/>
      <c r="AT1401" s="23">
        <v>0.0</v>
      </c>
      <c r="AU1401" s="16"/>
      <c r="AV1401" s="23"/>
      <c r="AW1401" s="23"/>
      <c r="AX1401" s="23">
        <v>0.0</v>
      </c>
      <c r="AY1401" s="16"/>
      <c r="AZ1401" s="23"/>
      <c r="BA1401" s="23"/>
      <c r="BB1401" s="23"/>
      <c r="BC1401" s="16"/>
      <c r="BD1401" s="23"/>
      <c r="BE1401" s="23"/>
      <c r="BF1401" s="23">
        <v>0.0</v>
      </c>
      <c r="BJ1401" s="23">
        <v>0.0</v>
      </c>
      <c r="BN1401" s="23">
        <v>0.0</v>
      </c>
      <c r="BO1401" s="23">
        <v>129.12</v>
      </c>
      <c r="BP1401" s="16" t="s">
        <v>8814</v>
      </c>
      <c r="BQ1401" s="16" t="b">
        <v>1</v>
      </c>
      <c r="BR1401" s="23">
        <v>129.12</v>
      </c>
      <c r="BS1401" s="16"/>
      <c r="BT1401" s="16" t="b">
        <v>0</v>
      </c>
      <c r="BU1401" s="16" t="s">
        <v>546</v>
      </c>
      <c r="BV1401" s="16"/>
      <c r="BW1401" s="16"/>
      <c r="BX1401" s="16"/>
      <c r="BY1401" s="16"/>
    </row>
    <row r="1402">
      <c r="A1402" s="16" t="s">
        <v>7790</v>
      </c>
      <c r="B1402" s="16" t="s">
        <v>35</v>
      </c>
      <c r="C1402" s="22">
        <v>45884.0</v>
      </c>
      <c r="D1402" s="16">
        <v>8.627274E7</v>
      </c>
      <c r="E1402" s="16" t="s">
        <v>8820</v>
      </c>
      <c r="F1402" s="16" t="s">
        <v>236</v>
      </c>
      <c r="G1402" s="16" t="s">
        <v>305</v>
      </c>
      <c r="H1402" s="16">
        <v>1.0</v>
      </c>
      <c r="I1402" s="23">
        <v>93.35</v>
      </c>
      <c r="J1402" s="23">
        <v>93.35</v>
      </c>
      <c r="K1402" s="16"/>
      <c r="L1402" s="23"/>
      <c r="M1402" s="23"/>
      <c r="N1402" s="23">
        <v>0.0</v>
      </c>
      <c r="O1402" s="16"/>
      <c r="P1402" s="23"/>
      <c r="Q1402" s="23"/>
      <c r="R1402" s="23">
        <v>0.0</v>
      </c>
      <c r="S1402" s="16"/>
      <c r="T1402" s="23"/>
      <c r="U1402" s="23"/>
      <c r="V1402" s="23">
        <v>0.0</v>
      </c>
      <c r="W1402" s="16"/>
      <c r="X1402" s="23"/>
      <c r="Y1402" s="23"/>
      <c r="Z1402" s="23">
        <v>0.0</v>
      </c>
      <c r="AA1402" s="16"/>
      <c r="AB1402" s="23"/>
      <c r="AC1402" s="23"/>
      <c r="AD1402" s="23">
        <v>0.0</v>
      </c>
      <c r="AE1402" s="16"/>
      <c r="AF1402" s="23"/>
      <c r="AG1402" s="23"/>
      <c r="AH1402" s="23">
        <v>0.0</v>
      </c>
      <c r="AI1402" s="16"/>
      <c r="AJ1402" s="23"/>
      <c r="AK1402" s="23"/>
      <c r="AL1402" s="23">
        <v>0.0</v>
      </c>
      <c r="AM1402" s="16"/>
      <c r="AN1402" s="23"/>
      <c r="AO1402" s="23"/>
      <c r="AP1402" s="23">
        <v>0.0</v>
      </c>
      <c r="AQ1402" s="16"/>
      <c r="AR1402" s="23"/>
      <c r="AS1402" s="23"/>
      <c r="AT1402" s="23">
        <v>0.0</v>
      </c>
      <c r="AU1402" s="16"/>
      <c r="AV1402" s="23"/>
      <c r="AW1402" s="23"/>
      <c r="AX1402" s="23">
        <v>0.0</v>
      </c>
      <c r="AY1402" s="16"/>
      <c r="AZ1402" s="23"/>
      <c r="BA1402" s="23"/>
      <c r="BB1402" s="23"/>
      <c r="BC1402" s="16"/>
      <c r="BD1402" s="23"/>
      <c r="BE1402" s="23"/>
      <c r="BF1402" s="23">
        <v>0.0</v>
      </c>
      <c r="BJ1402" s="23">
        <v>0.0</v>
      </c>
      <c r="BN1402" s="23">
        <v>0.0</v>
      </c>
      <c r="BO1402" s="23">
        <v>93.35</v>
      </c>
      <c r="BP1402" s="16" t="s">
        <v>8821</v>
      </c>
      <c r="BQ1402" s="16" t="b">
        <v>1</v>
      </c>
      <c r="BR1402" s="23">
        <v>93.35</v>
      </c>
      <c r="BS1402" s="16">
        <v>1624020.0</v>
      </c>
      <c r="BT1402" s="16" t="b">
        <v>1</v>
      </c>
      <c r="BU1402" s="16" t="s">
        <v>546</v>
      </c>
      <c r="BV1402" s="16"/>
      <c r="BW1402" s="16"/>
      <c r="BX1402" s="16"/>
      <c r="BY1402" s="16"/>
    </row>
    <row r="1403">
      <c r="A1403" s="16" t="s">
        <v>7792</v>
      </c>
      <c r="B1403" s="16" t="s">
        <v>35</v>
      </c>
      <c r="C1403" s="22">
        <v>45887.0</v>
      </c>
      <c r="D1403" s="16" t="s">
        <v>112</v>
      </c>
      <c r="E1403" s="16" t="s">
        <v>8826</v>
      </c>
      <c r="F1403" s="16" t="s">
        <v>157</v>
      </c>
      <c r="G1403" s="16" t="s">
        <v>155</v>
      </c>
      <c r="H1403" s="16">
        <v>1.0</v>
      </c>
      <c r="I1403" s="23">
        <v>29.58</v>
      </c>
      <c r="J1403" s="23">
        <v>29.58</v>
      </c>
      <c r="K1403" s="16" t="s">
        <v>152</v>
      </c>
      <c r="L1403" s="23">
        <v>1.0</v>
      </c>
      <c r="M1403" s="23">
        <v>13.02</v>
      </c>
      <c r="N1403" s="23">
        <v>13.02</v>
      </c>
      <c r="O1403" s="16" t="s">
        <v>230</v>
      </c>
      <c r="P1403" s="23">
        <v>1.0</v>
      </c>
      <c r="Q1403" s="23">
        <v>80.6</v>
      </c>
      <c r="R1403" s="23">
        <v>80.6</v>
      </c>
      <c r="S1403" s="16"/>
      <c r="T1403" s="23"/>
      <c r="U1403" s="23"/>
      <c r="V1403" s="23">
        <v>0.0</v>
      </c>
      <c r="W1403" s="16"/>
      <c r="X1403" s="23"/>
      <c r="Y1403" s="23"/>
      <c r="Z1403" s="23">
        <v>0.0</v>
      </c>
      <c r="AA1403" s="16"/>
      <c r="AB1403" s="23"/>
      <c r="AC1403" s="23"/>
      <c r="AD1403" s="23">
        <v>0.0</v>
      </c>
      <c r="AE1403" s="16"/>
      <c r="AF1403" s="23"/>
      <c r="AG1403" s="23"/>
      <c r="AH1403" s="23">
        <v>0.0</v>
      </c>
      <c r="AI1403" s="16"/>
      <c r="AJ1403" s="23"/>
      <c r="AK1403" s="23"/>
      <c r="AL1403" s="23">
        <v>0.0</v>
      </c>
      <c r="AM1403" s="16"/>
      <c r="AN1403" s="23"/>
      <c r="AO1403" s="23"/>
      <c r="AP1403" s="23">
        <v>0.0</v>
      </c>
      <c r="AQ1403" s="16"/>
      <c r="AR1403" s="23"/>
      <c r="AS1403" s="23"/>
      <c r="AT1403" s="23">
        <v>0.0</v>
      </c>
      <c r="AU1403" s="16"/>
      <c r="AV1403" s="23"/>
      <c r="AW1403" s="23"/>
      <c r="AX1403" s="23">
        <v>0.0</v>
      </c>
      <c r="AY1403" s="16"/>
      <c r="AZ1403" s="23"/>
      <c r="BA1403" s="23"/>
      <c r="BB1403" s="23"/>
      <c r="BC1403" s="16"/>
      <c r="BD1403" s="23"/>
      <c r="BE1403" s="23"/>
      <c r="BF1403" s="23">
        <v>0.0</v>
      </c>
      <c r="BJ1403" s="23">
        <v>0.0</v>
      </c>
      <c r="BN1403" s="23">
        <v>0.0</v>
      </c>
      <c r="BO1403" s="23">
        <v>123.2</v>
      </c>
      <c r="BP1403" s="16" t="s">
        <v>8827</v>
      </c>
      <c r="BQ1403" s="16" t="b">
        <v>1</v>
      </c>
      <c r="BR1403" s="23">
        <v>123.2</v>
      </c>
      <c r="BS1403" s="16"/>
      <c r="BT1403" s="16" t="b">
        <v>0</v>
      </c>
      <c r="BU1403" s="16" t="s">
        <v>546</v>
      </c>
      <c r="BV1403" s="16"/>
      <c r="BW1403" s="16"/>
      <c r="BX1403" s="16"/>
      <c r="BY1403" s="16"/>
    </row>
    <row r="1404">
      <c r="A1404" s="16" t="s">
        <v>7798</v>
      </c>
      <c r="B1404" s="16" t="s">
        <v>35</v>
      </c>
      <c r="C1404" s="22">
        <v>45887.0</v>
      </c>
      <c r="D1404" s="16" t="s">
        <v>890</v>
      </c>
      <c r="E1404" s="16" t="s">
        <v>8831</v>
      </c>
      <c r="F1404" s="16" t="s">
        <v>3813</v>
      </c>
      <c r="G1404" s="16" t="s">
        <v>1517</v>
      </c>
      <c r="H1404" s="16">
        <v>1.0</v>
      </c>
      <c r="I1404" s="23">
        <v>570.24</v>
      </c>
      <c r="J1404" s="23">
        <v>570.24</v>
      </c>
      <c r="K1404" s="16"/>
      <c r="L1404" s="23"/>
      <c r="M1404" s="23"/>
      <c r="N1404" s="23">
        <v>0.0</v>
      </c>
      <c r="O1404" s="16"/>
      <c r="P1404" s="23"/>
      <c r="Q1404" s="23"/>
      <c r="R1404" s="23">
        <v>0.0</v>
      </c>
      <c r="S1404" s="16"/>
      <c r="T1404" s="23"/>
      <c r="U1404" s="23"/>
      <c r="V1404" s="23">
        <v>0.0</v>
      </c>
      <c r="W1404" s="16"/>
      <c r="X1404" s="23"/>
      <c r="Y1404" s="23"/>
      <c r="Z1404" s="23">
        <v>0.0</v>
      </c>
      <c r="AA1404" s="16"/>
      <c r="AB1404" s="23"/>
      <c r="AC1404" s="23"/>
      <c r="AD1404" s="23">
        <v>0.0</v>
      </c>
      <c r="AE1404" s="16"/>
      <c r="AF1404" s="23"/>
      <c r="AG1404" s="23"/>
      <c r="AH1404" s="23">
        <v>0.0</v>
      </c>
      <c r="AI1404" s="16"/>
      <c r="AJ1404" s="23"/>
      <c r="AK1404" s="23"/>
      <c r="AL1404" s="23">
        <v>0.0</v>
      </c>
      <c r="AM1404" s="16"/>
      <c r="AN1404" s="23"/>
      <c r="AO1404" s="23"/>
      <c r="AP1404" s="23">
        <v>0.0</v>
      </c>
      <c r="AQ1404" s="16"/>
      <c r="AR1404" s="23"/>
      <c r="AS1404" s="23"/>
      <c r="AT1404" s="23">
        <v>0.0</v>
      </c>
      <c r="AU1404" s="16"/>
      <c r="AV1404" s="23"/>
      <c r="AW1404" s="23"/>
      <c r="AX1404" s="23">
        <v>0.0</v>
      </c>
      <c r="AY1404" s="16"/>
      <c r="AZ1404" s="23"/>
      <c r="BA1404" s="23"/>
      <c r="BB1404" s="23"/>
      <c r="BC1404" s="16"/>
      <c r="BD1404" s="23"/>
      <c r="BE1404" s="23"/>
      <c r="BF1404" s="23">
        <v>0.0</v>
      </c>
      <c r="BJ1404" s="23">
        <v>0.0</v>
      </c>
      <c r="BN1404" s="23">
        <v>0.0</v>
      </c>
      <c r="BO1404" s="23">
        <v>570.24</v>
      </c>
      <c r="BP1404" s="16" t="s">
        <v>8833</v>
      </c>
      <c r="BQ1404" s="16" t="b">
        <v>1</v>
      </c>
      <c r="BR1404" s="23">
        <v>570.24</v>
      </c>
      <c r="BS1404" s="16"/>
      <c r="BT1404" s="16" t="b">
        <v>0</v>
      </c>
      <c r="BU1404" s="16" t="s">
        <v>546</v>
      </c>
      <c r="BV1404" s="16"/>
      <c r="BW1404" s="16"/>
      <c r="BX1404" s="16"/>
      <c r="BY1404" s="16"/>
    </row>
    <row r="1405">
      <c r="A1405" s="16" t="s">
        <v>7801</v>
      </c>
      <c r="B1405" s="16" t="s">
        <v>35</v>
      </c>
      <c r="C1405" s="22">
        <v>45887.0</v>
      </c>
      <c r="D1405" s="16" t="s">
        <v>8582</v>
      </c>
      <c r="E1405" s="16" t="s">
        <v>8838</v>
      </c>
      <c r="F1405" s="16" t="s">
        <v>605</v>
      </c>
      <c r="G1405" s="16" t="s">
        <v>1725</v>
      </c>
      <c r="H1405" s="16">
        <v>1.0</v>
      </c>
      <c r="I1405" s="23">
        <v>3621.7</v>
      </c>
      <c r="J1405" s="23">
        <v>3621.7</v>
      </c>
      <c r="K1405" s="16"/>
      <c r="L1405" s="23"/>
      <c r="M1405" s="23"/>
      <c r="N1405" s="23">
        <v>0.0</v>
      </c>
      <c r="O1405" s="16"/>
      <c r="P1405" s="23"/>
      <c r="Q1405" s="23"/>
      <c r="R1405" s="23">
        <v>0.0</v>
      </c>
      <c r="S1405" s="16"/>
      <c r="T1405" s="23"/>
      <c r="U1405" s="23"/>
      <c r="V1405" s="23">
        <v>0.0</v>
      </c>
      <c r="W1405" s="16"/>
      <c r="X1405" s="23"/>
      <c r="Y1405" s="23"/>
      <c r="Z1405" s="23">
        <v>0.0</v>
      </c>
      <c r="AA1405" s="16"/>
      <c r="AB1405" s="23"/>
      <c r="AC1405" s="23"/>
      <c r="AD1405" s="23">
        <v>0.0</v>
      </c>
      <c r="AE1405" s="16"/>
      <c r="AF1405" s="23"/>
      <c r="AG1405" s="23"/>
      <c r="AH1405" s="23">
        <v>0.0</v>
      </c>
      <c r="AI1405" s="16"/>
      <c r="AJ1405" s="23"/>
      <c r="AK1405" s="23"/>
      <c r="AL1405" s="23">
        <v>0.0</v>
      </c>
      <c r="AM1405" s="16"/>
      <c r="AN1405" s="23"/>
      <c r="AO1405" s="23"/>
      <c r="AP1405" s="23">
        <v>0.0</v>
      </c>
      <c r="AQ1405" s="16"/>
      <c r="AR1405" s="23"/>
      <c r="AS1405" s="23"/>
      <c r="AT1405" s="23">
        <v>0.0</v>
      </c>
      <c r="AU1405" s="16"/>
      <c r="AV1405" s="23"/>
      <c r="AW1405" s="23"/>
      <c r="AX1405" s="23">
        <v>0.0</v>
      </c>
      <c r="AY1405" s="16"/>
      <c r="AZ1405" s="23"/>
      <c r="BA1405" s="23"/>
      <c r="BB1405" s="23"/>
      <c r="BC1405" s="16"/>
      <c r="BD1405" s="23"/>
      <c r="BE1405" s="23"/>
      <c r="BF1405" s="23">
        <v>0.0</v>
      </c>
      <c r="BJ1405" s="23">
        <v>0.0</v>
      </c>
      <c r="BN1405" s="23">
        <v>0.0</v>
      </c>
      <c r="BO1405" s="23">
        <v>3621.7</v>
      </c>
      <c r="BP1405" s="16" t="s">
        <v>8839</v>
      </c>
      <c r="BQ1405" s="16" t="b">
        <v>1</v>
      </c>
      <c r="BR1405" s="23">
        <v>3621.7</v>
      </c>
      <c r="BS1405" s="16"/>
      <c r="BT1405" s="16" t="b">
        <v>0</v>
      </c>
      <c r="BU1405" s="16" t="s">
        <v>546</v>
      </c>
      <c r="BV1405" s="16"/>
      <c r="BW1405" s="16"/>
      <c r="BX1405" s="16"/>
      <c r="BY1405" s="16"/>
    </row>
    <row r="1406">
      <c r="A1406" s="16" t="s">
        <v>7803</v>
      </c>
      <c r="B1406" s="16" t="s">
        <v>35</v>
      </c>
      <c r="C1406" s="22">
        <v>45887.0</v>
      </c>
      <c r="D1406" s="16" t="s">
        <v>890</v>
      </c>
      <c r="E1406" s="16" t="s">
        <v>8842</v>
      </c>
      <c r="F1406" s="16" t="s">
        <v>4787</v>
      </c>
      <c r="G1406" s="16" t="s">
        <v>1510</v>
      </c>
      <c r="H1406" s="16">
        <v>1.0</v>
      </c>
      <c r="I1406" s="23">
        <v>8088.79</v>
      </c>
      <c r="J1406" s="23">
        <v>8088.79</v>
      </c>
      <c r="K1406" s="16"/>
      <c r="L1406" s="23"/>
      <c r="M1406" s="23"/>
      <c r="N1406" s="23">
        <v>0.0</v>
      </c>
      <c r="O1406" s="16"/>
      <c r="P1406" s="23"/>
      <c r="Q1406" s="23"/>
      <c r="R1406" s="23">
        <v>0.0</v>
      </c>
      <c r="S1406" s="16"/>
      <c r="T1406" s="23"/>
      <c r="U1406" s="23"/>
      <c r="V1406" s="23">
        <v>0.0</v>
      </c>
      <c r="W1406" s="16"/>
      <c r="X1406" s="23"/>
      <c r="Y1406" s="23"/>
      <c r="Z1406" s="23">
        <v>0.0</v>
      </c>
      <c r="AA1406" s="16"/>
      <c r="AB1406" s="23"/>
      <c r="AC1406" s="23"/>
      <c r="AD1406" s="23">
        <v>0.0</v>
      </c>
      <c r="AE1406" s="16"/>
      <c r="AF1406" s="23"/>
      <c r="AG1406" s="23"/>
      <c r="AH1406" s="23">
        <v>0.0</v>
      </c>
      <c r="AI1406" s="16"/>
      <c r="AJ1406" s="23"/>
      <c r="AK1406" s="23"/>
      <c r="AL1406" s="23">
        <v>0.0</v>
      </c>
      <c r="AM1406" s="16"/>
      <c r="AN1406" s="23"/>
      <c r="AO1406" s="23"/>
      <c r="AP1406" s="23">
        <v>0.0</v>
      </c>
      <c r="AQ1406" s="16"/>
      <c r="AR1406" s="23"/>
      <c r="AS1406" s="23"/>
      <c r="AT1406" s="23">
        <v>0.0</v>
      </c>
      <c r="AU1406" s="16"/>
      <c r="AV1406" s="23"/>
      <c r="AW1406" s="23"/>
      <c r="AX1406" s="23">
        <v>0.0</v>
      </c>
      <c r="AY1406" s="16"/>
      <c r="AZ1406" s="23"/>
      <c r="BA1406" s="23"/>
      <c r="BB1406" s="23"/>
      <c r="BC1406" s="16"/>
      <c r="BD1406" s="23"/>
      <c r="BE1406" s="23"/>
      <c r="BF1406" s="23">
        <v>0.0</v>
      </c>
      <c r="BJ1406" s="23">
        <v>0.0</v>
      </c>
      <c r="BN1406" s="23">
        <v>0.0</v>
      </c>
      <c r="BO1406" s="23">
        <v>8088.79</v>
      </c>
      <c r="BP1406" s="16" t="s">
        <v>8843</v>
      </c>
      <c r="BQ1406" s="16" t="b">
        <v>1</v>
      </c>
      <c r="BR1406" s="23">
        <v>8088.79</v>
      </c>
      <c r="BS1406" s="16"/>
      <c r="BT1406" s="16" t="b">
        <v>0</v>
      </c>
      <c r="BU1406" s="16" t="s">
        <v>546</v>
      </c>
      <c r="BV1406" s="16"/>
      <c r="BW1406" s="16" t="s">
        <v>8846</v>
      </c>
      <c r="BX1406" s="16"/>
      <c r="BY1406" s="16"/>
    </row>
    <row r="1407">
      <c r="A1407" s="16" t="s">
        <v>7805</v>
      </c>
      <c r="B1407" s="16" t="s">
        <v>35</v>
      </c>
      <c r="C1407" s="22">
        <v>45889.0</v>
      </c>
      <c r="D1407" s="16" t="s">
        <v>112</v>
      </c>
      <c r="E1407" s="16" t="s">
        <v>8847</v>
      </c>
      <c r="F1407" s="16" t="s">
        <v>5545</v>
      </c>
      <c r="G1407" s="16" t="s">
        <v>155</v>
      </c>
      <c r="H1407" s="16">
        <v>1.0</v>
      </c>
      <c r="I1407" s="23">
        <v>35.76</v>
      </c>
      <c r="J1407" s="23">
        <v>35.76</v>
      </c>
      <c r="K1407" s="16" t="s">
        <v>152</v>
      </c>
      <c r="L1407" s="23">
        <v>1.0</v>
      </c>
      <c r="M1407" s="23">
        <v>12.77</v>
      </c>
      <c r="N1407" s="23">
        <v>12.77</v>
      </c>
      <c r="O1407" s="16" t="s">
        <v>226</v>
      </c>
      <c r="P1407" s="23">
        <v>1.0</v>
      </c>
      <c r="Q1407" s="23">
        <v>54.0</v>
      </c>
      <c r="R1407" s="23">
        <v>54.0</v>
      </c>
      <c r="S1407" s="16" t="s">
        <v>230</v>
      </c>
      <c r="T1407" s="23">
        <v>1.0</v>
      </c>
      <c r="U1407" s="23">
        <v>126.0</v>
      </c>
      <c r="V1407" s="23">
        <v>126.0</v>
      </c>
      <c r="W1407" s="16"/>
      <c r="X1407" s="23"/>
      <c r="Y1407" s="23"/>
      <c r="Z1407" s="23">
        <v>0.0</v>
      </c>
      <c r="AA1407" s="16"/>
      <c r="AB1407" s="23"/>
      <c r="AC1407" s="23"/>
      <c r="AD1407" s="23">
        <v>0.0</v>
      </c>
      <c r="AE1407" s="16"/>
      <c r="AF1407" s="23"/>
      <c r="AG1407" s="23"/>
      <c r="AH1407" s="23">
        <v>0.0</v>
      </c>
      <c r="AI1407" s="16"/>
      <c r="AJ1407" s="23"/>
      <c r="AK1407" s="23"/>
      <c r="AL1407" s="23">
        <v>0.0</v>
      </c>
      <c r="AM1407" s="16"/>
      <c r="AN1407" s="23"/>
      <c r="AO1407" s="23"/>
      <c r="AP1407" s="23">
        <v>0.0</v>
      </c>
      <c r="AQ1407" s="16"/>
      <c r="AR1407" s="23"/>
      <c r="AS1407" s="23"/>
      <c r="AT1407" s="23">
        <v>0.0</v>
      </c>
      <c r="AU1407" s="16"/>
      <c r="AV1407" s="23"/>
      <c r="AW1407" s="23"/>
      <c r="AX1407" s="23">
        <v>0.0</v>
      </c>
      <c r="AY1407" s="16"/>
      <c r="AZ1407" s="23"/>
      <c r="BA1407" s="23"/>
      <c r="BB1407" s="23"/>
      <c r="BC1407" s="16"/>
      <c r="BD1407" s="23"/>
      <c r="BE1407" s="23"/>
      <c r="BF1407" s="23">
        <v>0.0</v>
      </c>
      <c r="BJ1407" s="23">
        <v>0.0</v>
      </c>
      <c r="BN1407" s="23">
        <v>0.0</v>
      </c>
      <c r="BO1407" s="23">
        <v>228.53</v>
      </c>
      <c r="BP1407" s="16" t="s">
        <v>8848</v>
      </c>
      <c r="BQ1407" s="16" t="b">
        <v>1</v>
      </c>
      <c r="BR1407" s="23">
        <v>228.53</v>
      </c>
      <c r="BS1407" s="16"/>
      <c r="BT1407" s="16" t="b">
        <v>0</v>
      </c>
      <c r="BU1407" s="16" t="s">
        <v>546</v>
      </c>
      <c r="BV1407" s="16"/>
      <c r="BW1407" s="16"/>
      <c r="BX1407" s="16"/>
      <c r="BY1407" s="16"/>
    </row>
    <row r="1408">
      <c r="A1408" s="16" t="s">
        <v>7810</v>
      </c>
      <c r="B1408" s="16" t="s">
        <v>35</v>
      </c>
      <c r="C1408" s="22">
        <v>45889.0</v>
      </c>
      <c r="D1408" s="16" t="s">
        <v>8582</v>
      </c>
      <c r="E1408" s="16" t="s">
        <v>8851</v>
      </c>
      <c r="F1408" s="16" t="s">
        <v>605</v>
      </c>
      <c r="G1408" s="16" t="s">
        <v>1725</v>
      </c>
      <c r="H1408" s="16">
        <v>1.0</v>
      </c>
      <c r="I1408" s="23">
        <v>335.47</v>
      </c>
      <c r="J1408" s="23">
        <v>335.47</v>
      </c>
      <c r="K1408" s="16"/>
      <c r="L1408" s="23"/>
      <c r="M1408" s="23"/>
      <c r="N1408" s="23">
        <v>0.0</v>
      </c>
      <c r="O1408" s="16"/>
      <c r="P1408" s="23"/>
      <c r="Q1408" s="23"/>
      <c r="R1408" s="23">
        <v>0.0</v>
      </c>
      <c r="S1408" s="16"/>
      <c r="T1408" s="23"/>
      <c r="U1408" s="23"/>
      <c r="V1408" s="23">
        <v>0.0</v>
      </c>
      <c r="W1408" s="16"/>
      <c r="X1408" s="23"/>
      <c r="Y1408" s="23"/>
      <c r="Z1408" s="23">
        <v>0.0</v>
      </c>
      <c r="AA1408" s="16"/>
      <c r="AB1408" s="23"/>
      <c r="AC1408" s="23"/>
      <c r="AD1408" s="23">
        <v>0.0</v>
      </c>
      <c r="AE1408" s="16"/>
      <c r="AF1408" s="23"/>
      <c r="AG1408" s="23"/>
      <c r="AH1408" s="23">
        <v>0.0</v>
      </c>
      <c r="AI1408" s="16"/>
      <c r="AJ1408" s="23"/>
      <c r="AK1408" s="23"/>
      <c r="AL1408" s="23">
        <v>0.0</v>
      </c>
      <c r="AM1408" s="16"/>
      <c r="AN1408" s="23"/>
      <c r="AO1408" s="23"/>
      <c r="AP1408" s="23">
        <v>0.0</v>
      </c>
      <c r="AQ1408" s="16"/>
      <c r="AR1408" s="23"/>
      <c r="AS1408" s="23"/>
      <c r="AT1408" s="23">
        <v>0.0</v>
      </c>
      <c r="AU1408" s="16"/>
      <c r="AV1408" s="23"/>
      <c r="AW1408" s="23"/>
      <c r="AX1408" s="23">
        <v>0.0</v>
      </c>
      <c r="AY1408" s="16"/>
      <c r="AZ1408" s="23"/>
      <c r="BA1408" s="23"/>
      <c r="BB1408" s="23"/>
      <c r="BC1408" s="16"/>
      <c r="BD1408" s="23"/>
      <c r="BE1408" s="23"/>
      <c r="BF1408" s="23">
        <v>0.0</v>
      </c>
      <c r="BJ1408" s="23">
        <v>0.0</v>
      </c>
      <c r="BN1408" s="23">
        <v>0.0</v>
      </c>
      <c r="BO1408" s="23">
        <v>335.47</v>
      </c>
      <c r="BP1408" s="16" t="s">
        <v>8852</v>
      </c>
      <c r="BQ1408" s="16" t="b">
        <v>1</v>
      </c>
      <c r="BR1408" s="23">
        <v>335.47</v>
      </c>
      <c r="BS1408" s="16"/>
      <c r="BT1408" s="16" t="b">
        <v>0</v>
      </c>
      <c r="BU1408" s="16" t="s">
        <v>546</v>
      </c>
      <c r="BV1408" s="16"/>
      <c r="BW1408" s="16"/>
      <c r="BX1408" s="16"/>
      <c r="BY1408" s="16"/>
    </row>
    <row r="1409">
      <c r="A1409" s="16" t="s">
        <v>7813</v>
      </c>
      <c r="B1409" s="16" t="s">
        <v>35</v>
      </c>
      <c r="C1409" s="22">
        <v>45884.0</v>
      </c>
      <c r="D1409" s="16" t="s">
        <v>3716</v>
      </c>
      <c r="E1409" s="16" t="s">
        <v>8857</v>
      </c>
      <c r="F1409" s="16" t="s">
        <v>195</v>
      </c>
      <c r="G1409" s="16" t="s">
        <v>1080</v>
      </c>
      <c r="H1409" s="16">
        <v>1.0</v>
      </c>
      <c r="I1409" s="23">
        <v>139.0</v>
      </c>
      <c r="J1409" s="23">
        <v>139.0</v>
      </c>
      <c r="K1409" s="16"/>
      <c r="L1409" s="23"/>
      <c r="M1409" s="23"/>
      <c r="N1409" s="23">
        <v>0.0</v>
      </c>
      <c r="O1409" s="16"/>
      <c r="P1409" s="23"/>
      <c r="Q1409" s="23"/>
      <c r="R1409" s="23">
        <v>0.0</v>
      </c>
      <c r="S1409" s="16"/>
      <c r="T1409" s="23"/>
      <c r="U1409" s="23"/>
      <c r="V1409" s="23">
        <v>0.0</v>
      </c>
      <c r="W1409" s="16"/>
      <c r="X1409" s="23"/>
      <c r="Y1409" s="23"/>
      <c r="Z1409" s="23">
        <v>0.0</v>
      </c>
      <c r="AA1409" s="16"/>
      <c r="AB1409" s="23"/>
      <c r="AC1409" s="23"/>
      <c r="AD1409" s="23">
        <v>0.0</v>
      </c>
      <c r="AE1409" s="16"/>
      <c r="AF1409" s="23"/>
      <c r="AG1409" s="23"/>
      <c r="AH1409" s="23">
        <v>0.0</v>
      </c>
      <c r="AI1409" s="16"/>
      <c r="AJ1409" s="23"/>
      <c r="AK1409" s="23"/>
      <c r="AL1409" s="23">
        <v>0.0</v>
      </c>
      <c r="AM1409" s="16"/>
      <c r="AN1409" s="23"/>
      <c r="AO1409" s="23"/>
      <c r="AP1409" s="23">
        <v>0.0</v>
      </c>
      <c r="AQ1409" s="16"/>
      <c r="AR1409" s="23"/>
      <c r="AS1409" s="23"/>
      <c r="AT1409" s="23">
        <v>0.0</v>
      </c>
      <c r="AU1409" s="16"/>
      <c r="AV1409" s="23"/>
      <c r="AW1409" s="23"/>
      <c r="AX1409" s="23">
        <v>0.0</v>
      </c>
      <c r="AY1409" s="16"/>
      <c r="AZ1409" s="23"/>
      <c r="BA1409" s="23"/>
      <c r="BB1409" s="23"/>
      <c r="BC1409" s="16"/>
      <c r="BD1409" s="23"/>
      <c r="BE1409" s="23"/>
      <c r="BF1409" s="23">
        <v>0.0</v>
      </c>
      <c r="BJ1409" s="23">
        <v>0.0</v>
      </c>
      <c r="BN1409" s="23">
        <v>0.0</v>
      </c>
      <c r="BO1409" s="23">
        <v>139.0</v>
      </c>
      <c r="BP1409" s="16" t="s">
        <v>8859</v>
      </c>
      <c r="BQ1409" s="16" t="b">
        <v>1</v>
      </c>
      <c r="BR1409" s="23">
        <v>139.0</v>
      </c>
      <c r="BS1409" s="16">
        <v>1624328.0</v>
      </c>
      <c r="BT1409" s="16" t="b">
        <v>1</v>
      </c>
      <c r="BU1409" s="16" t="s">
        <v>546</v>
      </c>
      <c r="BV1409" s="16"/>
      <c r="BW1409" s="16"/>
      <c r="BX1409" s="16"/>
      <c r="BY1409" s="16"/>
    </row>
    <row r="1410">
      <c r="A1410" s="16" t="s">
        <v>7815</v>
      </c>
      <c r="B1410" s="16" t="s">
        <v>35</v>
      </c>
      <c r="C1410" s="22">
        <v>45890.0</v>
      </c>
      <c r="D1410" s="16" t="s">
        <v>8864</v>
      </c>
      <c r="E1410" s="16" t="s">
        <v>8866</v>
      </c>
      <c r="F1410" s="16" t="s">
        <v>195</v>
      </c>
      <c r="G1410" s="16" t="s">
        <v>1074</v>
      </c>
      <c r="H1410" s="16">
        <v>4.0</v>
      </c>
      <c r="I1410" s="23">
        <v>40.0</v>
      </c>
      <c r="J1410" s="23">
        <v>160.0</v>
      </c>
      <c r="K1410" s="16" t="s">
        <v>1075</v>
      </c>
      <c r="L1410" s="23">
        <v>4.0</v>
      </c>
      <c r="M1410" s="23">
        <v>20.0</v>
      </c>
      <c r="N1410" s="23">
        <v>80.0</v>
      </c>
      <c r="O1410" s="16" t="s">
        <v>1079</v>
      </c>
      <c r="P1410" s="23">
        <v>10.0</v>
      </c>
      <c r="Q1410" s="23">
        <v>18.0</v>
      </c>
      <c r="R1410" s="23">
        <v>180.0</v>
      </c>
      <c r="S1410" s="16"/>
      <c r="T1410" s="23"/>
      <c r="U1410" s="23"/>
      <c r="V1410" s="23">
        <v>0.0</v>
      </c>
      <c r="W1410" s="16"/>
      <c r="X1410" s="23"/>
      <c r="Y1410" s="23"/>
      <c r="Z1410" s="23">
        <v>0.0</v>
      </c>
      <c r="AA1410" s="16"/>
      <c r="AB1410" s="23"/>
      <c r="AC1410" s="23"/>
      <c r="AD1410" s="23">
        <v>0.0</v>
      </c>
      <c r="AE1410" s="16"/>
      <c r="AF1410" s="23"/>
      <c r="AG1410" s="23"/>
      <c r="AH1410" s="23">
        <v>0.0</v>
      </c>
      <c r="AI1410" s="16"/>
      <c r="AJ1410" s="23"/>
      <c r="AK1410" s="23"/>
      <c r="AL1410" s="23">
        <v>0.0</v>
      </c>
      <c r="AM1410" s="16"/>
      <c r="AN1410" s="23"/>
      <c r="AO1410" s="23"/>
      <c r="AP1410" s="23">
        <v>0.0</v>
      </c>
      <c r="AQ1410" s="16"/>
      <c r="AR1410" s="23"/>
      <c r="AS1410" s="23"/>
      <c r="AT1410" s="23">
        <v>0.0</v>
      </c>
      <c r="AU1410" s="16"/>
      <c r="AV1410" s="23"/>
      <c r="AW1410" s="23"/>
      <c r="AX1410" s="23">
        <v>0.0</v>
      </c>
      <c r="AY1410" s="16"/>
      <c r="AZ1410" s="23"/>
      <c r="BA1410" s="23"/>
      <c r="BB1410" s="23"/>
      <c r="BC1410" s="16"/>
      <c r="BD1410" s="23"/>
      <c r="BE1410" s="23"/>
      <c r="BF1410" s="23">
        <v>0.0</v>
      </c>
      <c r="BJ1410" s="23">
        <v>0.0</v>
      </c>
      <c r="BN1410" s="23">
        <v>0.0</v>
      </c>
      <c r="BO1410" s="23">
        <v>420.0</v>
      </c>
      <c r="BP1410" s="16" t="s">
        <v>8867</v>
      </c>
      <c r="BQ1410" s="16" t="b">
        <v>1</v>
      </c>
      <c r="BR1410" s="23">
        <v>420.0</v>
      </c>
      <c r="BS1410" s="16"/>
      <c r="BT1410" s="16" t="b">
        <v>0</v>
      </c>
      <c r="BU1410" s="16" t="s">
        <v>546</v>
      </c>
      <c r="BV1410" s="16"/>
      <c r="BW1410" s="16"/>
      <c r="BX1410" s="16"/>
      <c r="BY1410" s="16"/>
    </row>
    <row r="1411">
      <c r="A1411" s="16" t="s">
        <v>7821</v>
      </c>
      <c r="B1411" s="16" t="s">
        <v>35</v>
      </c>
      <c r="C1411" s="22">
        <v>45883.0</v>
      </c>
      <c r="D1411" s="16" t="s">
        <v>764</v>
      </c>
      <c r="E1411" s="16" t="s">
        <v>8872</v>
      </c>
      <c r="F1411" s="16" t="s">
        <v>195</v>
      </c>
      <c r="G1411" s="16" t="s">
        <v>1073</v>
      </c>
      <c r="H1411" s="16">
        <v>1.0</v>
      </c>
      <c r="I1411" s="23">
        <v>21.0</v>
      </c>
      <c r="J1411" s="23">
        <v>21.0</v>
      </c>
      <c r="K1411" s="16" t="s">
        <v>1074</v>
      </c>
      <c r="L1411" s="23">
        <v>4.0</v>
      </c>
      <c r="M1411" s="23">
        <v>40.0</v>
      </c>
      <c r="N1411" s="23">
        <v>160.0</v>
      </c>
      <c r="O1411" s="16" t="s">
        <v>1075</v>
      </c>
      <c r="P1411" s="23">
        <v>4.0</v>
      </c>
      <c r="Q1411" s="23">
        <v>20.0</v>
      </c>
      <c r="R1411" s="23">
        <v>80.0</v>
      </c>
      <c r="S1411" s="16" t="s">
        <v>1077</v>
      </c>
      <c r="T1411" s="23">
        <v>4.0</v>
      </c>
      <c r="U1411" s="23">
        <v>24.0</v>
      </c>
      <c r="V1411" s="23">
        <v>96.0</v>
      </c>
      <c r="W1411" s="16" t="s">
        <v>1079</v>
      </c>
      <c r="X1411" s="23">
        <v>10.0</v>
      </c>
      <c r="Y1411" s="23">
        <v>18.0</v>
      </c>
      <c r="Z1411" s="23">
        <v>180.0</v>
      </c>
      <c r="AA1411" s="16">
        <v>7.5375964E7</v>
      </c>
      <c r="AB1411" s="23">
        <v>2.0</v>
      </c>
      <c r="AC1411" s="23">
        <v>40.2</v>
      </c>
      <c r="AD1411" s="23">
        <v>80.4</v>
      </c>
      <c r="AE1411" s="16" t="s">
        <v>1091</v>
      </c>
      <c r="AF1411" s="23">
        <v>1.0</v>
      </c>
      <c r="AG1411" s="23">
        <v>36.0</v>
      </c>
      <c r="AH1411" s="23">
        <v>36.0</v>
      </c>
      <c r="AI1411" s="16"/>
      <c r="AJ1411" s="23"/>
      <c r="AK1411" s="23"/>
      <c r="AL1411" s="23">
        <v>0.0</v>
      </c>
      <c r="AM1411" s="16"/>
      <c r="AN1411" s="23"/>
      <c r="AO1411" s="23"/>
      <c r="AP1411" s="23">
        <v>0.0</v>
      </c>
      <c r="AQ1411" s="16"/>
      <c r="AR1411" s="23"/>
      <c r="AS1411" s="23"/>
      <c r="AT1411" s="23">
        <v>0.0</v>
      </c>
      <c r="AU1411" s="16"/>
      <c r="AV1411" s="23"/>
      <c r="AW1411" s="23"/>
      <c r="AX1411" s="23">
        <v>0.0</v>
      </c>
      <c r="AY1411" s="16"/>
      <c r="AZ1411" s="23"/>
      <c r="BA1411" s="23"/>
      <c r="BB1411" s="23"/>
      <c r="BC1411" s="16"/>
      <c r="BD1411" s="23"/>
      <c r="BE1411" s="23"/>
      <c r="BF1411" s="23">
        <v>0.0</v>
      </c>
      <c r="BJ1411" s="23">
        <v>0.0</v>
      </c>
      <c r="BN1411" s="23">
        <v>0.0</v>
      </c>
      <c r="BO1411" s="23">
        <v>653.4</v>
      </c>
      <c r="BP1411" s="16" t="s">
        <v>8873</v>
      </c>
      <c r="BQ1411" s="16" t="b">
        <v>1</v>
      </c>
      <c r="BR1411" s="23">
        <v>653.4</v>
      </c>
      <c r="BS1411" s="16"/>
      <c r="BT1411" s="16" t="b">
        <v>0</v>
      </c>
      <c r="BU1411" s="16" t="s">
        <v>546</v>
      </c>
      <c r="BV1411" s="16"/>
      <c r="BW1411" s="16"/>
      <c r="BX1411" s="16"/>
      <c r="BY1411" s="16"/>
    </row>
    <row r="1412">
      <c r="A1412" s="16" t="s">
        <v>7832</v>
      </c>
      <c r="B1412" s="16" t="s">
        <v>35</v>
      </c>
      <c r="C1412" s="22">
        <v>45891.0</v>
      </c>
      <c r="D1412" s="16"/>
      <c r="E1412" s="16"/>
      <c r="F1412" s="16" t="s">
        <v>8877</v>
      </c>
      <c r="G1412" s="16" t="s">
        <v>1239</v>
      </c>
      <c r="H1412" s="16">
        <v>1.0</v>
      </c>
      <c r="I1412" s="23">
        <v>2688.14</v>
      </c>
      <c r="J1412" s="23">
        <v>2688.14</v>
      </c>
      <c r="K1412" s="16"/>
      <c r="L1412" s="23"/>
      <c r="M1412" s="23"/>
      <c r="N1412" s="23"/>
      <c r="O1412" s="16"/>
      <c r="P1412" s="23"/>
      <c r="Q1412" s="23"/>
      <c r="R1412" s="23"/>
      <c r="S1412" s="16"/>
      <c r="T1412" s="23"/>
      <c r="U1412" s="23"/>
      <c r="V1412" s="23"/>
      <c r="W1412" s="16"/>
      <c r="X1412" s="23"/>
      <c r="Y1412" s="23"/>
      <c r="Z1412" s="23"/>
      <c r="AA1412" s="16"/>
      <c r="AB1412" s="23"/>
      <c r="AC1412" s="23"/>
      <c r="AD1412" s="23"/>
      <c r="AE1412" s="16"/>
      <c r="AF1412" s="23"/>
      <c r="AG1412" s="23"/>
      <c r="AH1412" s="23"/>
      <c r="AI1412" s="16"/>
      <c r="AJ1412" s="23"/>
      <c r="AK1412" s="23"/>
      <c r="AL1412" s="23"/>
      <c r="AM1412" s="16"/>
      <c r="AN1412" s="23"/>
      <c r="AO1412" s="23"/>
      <c r="AP1412" s="23"/>
      <c r="AQ1412" s="16"/>
      <c r="AR1412" s="23"/>
      <c r="AS1412" s="23"/>
      <c r="AT1412" s="23"/>
      <c r="AU1412" s="16"/>
      <c r="AV1412" s="23"/>
      <c r="AW1412" s="23"/>
      <c r="AX1412" s="23"/>
      <c r="AY1412" s="16"/>
      <c r="AZ1412" s="23"/>
      <c r="BA1412" s="23"/>
      <c r="BB1412" s="23"/>
      <c r="BC1412" s="16"/>
      <c r="BD1412" s="23"/>
      <c r="BE1412" s="23"/>
      <c r="BF1412" s="23"/>
      <c r="BJ1412" s="23"/>
      <c r="BN1412" s="23"/>
      <c r="BO1412" s="23">
        <v>2688.14</v>
      </c>
      <c r="BP1412" s="16"/>
      <c r="BQ1412" s="16"/>
      <c r="BR1412" s="23">
        <v>2688.14</v>
      </c>
      <c r="BS1412" s="16"/>
      <c r="BT1412" s="16"/>
      <c r="BU1412" s="16" t="s">
        <v>539</v>
      </c>
      <c r="BV1412" s="16" t="s">
        <v>624</v>
      </c>
      <c r="BW1412" s="16"/>
      <c r="BX1412" s="16"/>
      <c r="BY1412" s="16"/>
    </row>
    <row r="1413">
      <c r="A1413" s="16" t="s">
        <v>7834</v>
      </c>
      <c r="B1413" s="16" t="s">
        <v>35</v>
      </c>
      <c r="C1413" s="22">
        <v>45893.0</v>
      </c>
      <c r="D1413" s="16" t="s">
        <v>890</v>
      </c>
      <c r="E1413" s="16"/>
      <c r="F1413" s="16" t="s">
        <v>8882</v>
      </c>
      <c r="G1413" s="16" t="s">
        <v>3833</v>
      </c>
      <c r="H1413" s="16">
        <v>1.0</v>
      </c>
      <c r="I1413" s="23">
        <v>28.0</v>
      </c>
      <c r="J1413" s="23">
        <v>28.0</v>
      </c>
      <c r="K1413" s="16"/>
      <c r="L1413" s="23"/>
      <c r="M1413" s="23"/>
      <c r="N1413" s="23"/>
      <c r="O1413" s="16"/>
      <c r="P1413" s="23"/>
      <c r="Q1413" s="23"/>
      <c r="R1413" s="23"/>
      <c r="S1413" s="16"/>
      <c r="T1413" s="23"/>
      <c r="U1413" s="23"/>
      <c r="V1413" s="23"/>
      <c r="W1413" s="16"/>
      <c r="X1413" s="23"/>
      <c r="Y1413" s="23"/>
      <c r="Z1413" s="23"/>
      <c r="AA1413" s="16"/>
      <c r="AB1413" s="23"/>
      <c r="AC1413" s="23"/>
      <c r="AD1413" s="23"/>
      <c r="AE1413" s="16"/>
      <c r="AF1413" s="23"/>
      <c r="AG1413" s="23"/>
      <c r="AH1413" s="23"/>
      <c r="AI1413" s="16"/>
      <c r="AJ1413" s="23"/>
      <c r="AK1413" s="23"/>
      <c r="AL1413" s="23"/>
      <c r="AM1413" s="16"/>
      <c r="AN1413" s="23"/>
      <c r="AO1413" s="23"/>
      <c r="AP1413" s="23"/>
      <c r="AQ1413" s="16"/>
      <c r="AR1413" s="23"/>
      <c r="AS1413" s="23"/>
      <c r="AT1413" s="23"/>
      <c r="AU1413" s="16"/>
      <c r="AV1413" s="23"/>
      <c r="AW1413" s="23"/>
      <c r="AX1413" s="23"/>
      <c r="AY1413" s="16"/>
      <c r="AZ1413" s="23"/>
      <c r="BA1413" s="23"/>
      <c r="BB1413" s="23"/>
      <c r="BC1413" s="16"/>
      <c r="BD1413" s="23"/>
      <c r="BE1413" s="23"/>
      <c r="BF1413" s="23"/>
      <c r="BJ1413" s="23"/>
      <c r="BN1413" s="23"/>
      <c r="BO1413" s="23">
        <v>28.0</v>
      </c>
      <c r="BP1413" s="16"/>
      <c r="BQ1413" s="16"/>
      <c r="BR1413" s="23">
        <v>28.0</v>
      </c>
      <c r="BS1413" s="16"/>
      <c r="BT1413" s="16"/>
      <c r="BU1413" s="16" t="s">
        <v>539</v>
      </c>
      <c r="BV1413" s="16"/>
      <c r="BW1413" s="16"/>
      <c r="BX1413" s="16"/>
      <c r="BY1413" s="16"/>
    </row>
    <row r="1414">
      <c r="A1414" s="16" t="s">
        <v>7837</v>
      </c>
      <c r="B1414" s="16" t="s">
        <v>35</v>
      </c>
      <c r="C1414" s="22">
        <v>45893.0</v>
      </c>
      <c r="D1414" s="16" t="s">
        <v>890</v>
      </c>
      <c r="E1414" s="16"/>
      <c r="F1414" s="16" t="s">
        <v>8887</v>
      </c>
      <c r="G1414" s="16" t="s">
        <v>3833</v>
      </c>
      <c r="H1414" s="16">
        <v>1.0</v>
      </c>
      <c r="I1414" s="23">
        <v>28.0</v>
      </c>
      <c r="J1414" s="23">
        <v>28.0</v>
      </c>
      <c r="K1414" s="16"/>
      <c r="L1414" s="23"/>
      <c r="M1414" s="23"/>
      <c r="N1414" s="23"/>
      <c r="O1414" s="16"/>
      <c r="P1414" s="23"/>
      <c r="Q1414" s="23"/>
      <c r="R1414" s="23"/>
      <c r="S1414" s="16"/>
      <c r="T1414" s="23"/>
      <c r="U1414" s="23"/>
      <c r="V1414" s="23"/>
      <c r="W1414" s="16"/>
      <c r="X1414" s="23"/>
      <c r="Y1414" s="23"/>
      <c r="Z1414" s="23"/>
      <c r="AA1414" s="16"/>
      <c r="AB1414" s="23"/>
      <c r="AC1414" s="23"/>
      <c r="AD1414" s="23"/>
      <c r="AE1414" s="16"/>
      <c r="AF1414" s="23"/>
      <c r="AG1414" s="23"/>
      <c r="AH1414" s="23"/>
      <c r="AI1414" s="16"/>
      <c r="AJ1414" s="23"/>
      <c r="AK1414" s="23"/>
      <c r="AL1414" s="23"/>
      <c r="AM1414" s="16"/>
      <c r="AN1414" s="23"/>
      <c r="AO1414" s="23"/>
      <c r="AP1414" s="23"/>
      <c r="AQ1414" s="16"/>
      <c r="AR1414" s="23"/>
      <c r="AS1414" s="23"/>
      <c r="AT1414" s="23"/>
      <c r="AU1414" s="16"/>
      <c r="AV1414" s="23"/>
      <c r="AW1414" s="23"/>
      <c r="AX1414" s="23"/>
      <c r="AY1414" s="16"/>
      <c r="AZ1414" s="23"/>
      <c r="BA1414" s="23"/>
      <c r="BB1414" s="23"/>
      <c r="BC1414" s="16"/>
      <c r="BD1414" s="23"/>
      <c r="BE1414" s="23"/>
      <c r="BF1414" s="23"/>
      <c r="BJ1414" s="23"/>
      <c r="BN1414" s="23"/>
      <c r="BO1414" s="23">
        <v>28.0</v>
      </c>
      <c r="BP1414" s="16"/>
      <c r="BQ1414" s="16"/>
      <c r="BR1414" s="23">
        <v>28.0</v>
      </c>
      <c r="BS1414" s="16"/>
      <c r="BT1414" s="16"/>
      <c r="BU1414" s="16" t="s">
        <v>539</v>
      </c>
      <c r="BV1414" s="16"/>
      <c r="BW1414" s="16"/>
      <c r="BX1414" s="16"/>
      <c r="BY1414" s="16"/>
    </row>
    <row r="1415">
      <c r="A1415" s="16" t="s">
        <v>7839</v>
      </c>
      <c r="B1415" s="16" t="s">
        <v>35</v>
      </c>
      <c r="C1415" s="22">
        <v>45893.0</v>
      </c>
      <c r="D1415" s="16" t="s">
        <v>890</v>
      </c>
      <c r="E1415" s="16"/>
      <c r="F1415" s="16" t="s">
        <v>8894</v>
      </c>
      <c r="G1415" s="16" t="s">
        <v>3833</v>
      </c>
      <c r="H1415" s="16">
        <v>1.0</v>
      </c>
      <c r="I1415" s="23">
        <v>36.91</v>
      </c>
      <c r="J1415" s="23">
        <v>36.91</v>
      </c>
      <c r="K1415" s="16"/>
      <c r="L1415" s="23"/>
      <c r="M1415" s="23"/>
      <c r="N1415" s="23"/>
      <c r="O1415" s="16"/>
      <c r="P1415" s="23"/>
      <c r="Q1415" s="23"/>
      <c r="R1415" s="23"/>
      <c r="S1415" s="16"/>
      <c r="T1415" s="23"/>
      <c r="U1415" s="23"/>
      <c r="V1415" s="23"/>
      <c r="W1415" s="16"/>
      <c r="X1415" s="23"/>
      <c r="Y1415" s="23"/>
      <c r="Z1415" s="23"/>
      <c r="AA1415" s="16"/>
      <c r="AB1415" s="23"/>
      <c r="AC1415" s="23"/>
      <c r="AD1415" s="23"/>
      <c r="AE1415" s="16"/>
      <c r="AF1415" s="23"/>
      <c r="AG1415" s="23"/>
      <c r="AH1415" s="23"/>
      <c r="AI1415" s="16"/>
      <c r="AJ1415" s="23"/>
      <c r="AK1415" s="23"/>
      <c r="AL1415" s="23"/>
      <c r="AM1415" s="16"/>
      <c r="AN1415" s="23"/>
      <c r="AO1415" s="23"/>
      <c r="AP1415" s="23"/>
      <c r="AQ1415" s="16"/>
      <c r="AR1415" s="23"/>
      <c r="AS1415" s="23"/>
      <c r="AT1415" s="23"/>
      <c r="AU1415" s="16"/>
      <c r="AV1415" s="23"/>
      <c r="AW1415" s="23"/>
      <c r="AX1415" s="23"/>
      <c r="AY1415" s="16"/>
      <c r="AZ1415" s="23"/>
      <c r="BA1415" s="23"/>
      <c r="BB1415" s="23"/>
      <c r="BC1415" s="16"/>
      <c r="BD1415" s="23"/>
      <c r="BE1415" s="23"/>
      <c r="BF1415" s="23"/>
      <c r="BJ1415" s="23"/>
      <c r="BN1415" s="23"/>
      <c r="BO1415" s="23">
        <v>36.91</v>
      </c>
      <c r="BP1415" s="16"/>
      <c r="BQ1415" s="16"/>
      <c r="BR1415" s="23">
        <v>36.91</v>
      </c>
      <c r="BS1415" s="16"/>
      <c r="BT1415" s="16"/>
      <c r="BU1415" s="16" t="s">
        <v>539</v>
      </c>
      <c r="BV1415" s="16"/>
      <c r="BW1415" s="16"/>
      <c r="BX1415" s="16"/>
      <c r="BY1415" s="16"/>
    </row>
    <row r="1416">
      <c r="A1416" s="16" t="s">
        <v>7841</v>
      </c>
      <c r="B1416" s="16" t="s">
        <v>35</v>
      </c>
      <c r="C1416" s="22">
        <v>45893.0</v>
      </c>
      <c r="D1416" s="16" t="s">
        <v>890</v>
      </c>
      <c r="E1416" s="16"/>
      <c r="F1416" s="16" t="s">
        <v>8894</v>
      </c>
      <c r="G1416" s="16" t="s">
        <v>3833</v>
      </c>
      <c r="H1416" s="16">
        <v>1.0</v>
      </c>
      <c r="I1416" s="23">
        <v>8.0</v>
      </c>
      <c r="J1416" s="23">
        <v>8.0</v>
      </c>
      <c r="K1416" s="16"/>
      <c r="L1416" s="23"/>
      <c r="M1416" s="23"/>
      <c r="N1416" s="23"/>
      <c r="O1416" s="16"/>
      <c r="P1416" s="23"/>
      <c r="Q1416" s="23"/>
      <c r="R1416" s="23"/>
      <c r="S1416" s="16"/>
      <c r="T1416" s="23"/>
      <c r="U1416" s="23"/>
      <c r="V1416" s="23"/>
      <c r="W1416" s="16"/>
      <c r="X1416" s="23"/>
      <c r="Y1416" s="23"/>
      <c r="Z1416" s="23"/>
      <c r="AA1416" s="16"/>
      <c r="AB1416" s="23"/>
      <c r="AC1416" s="23"/>
      <c r="AD1416" s="23"/>
      <c r="AE1416" s="16"/>
      <c r="AF1416" s="23"/>
      <c r="AG1416" s="23"/>
      <c r="AH1416" s="23"/>
      <c r="AI1416" s="16"/>
      <c r="AJ1416" s="23"/>
      <c r="AK1416" s="23"/>
      <c r="AL1416" s="23"/>
      <c r="AM1416" s="16"/>
      <c r="AN1416" s="23"/>
      <c r="AO1416" s="23"/>
      <c r="AP1416" s="23"/>
      <c r="AQ1416" s="16"/>
      <c r="AR1416" s="23"/>
      <c r="AS1416" s="23"/>
      <c r="AT1416" s="23"/>
      <c r="AU1416" s="16"/>
      <c r="AV1416" s="23"/>
      <c r="AW1416" s="23"/>
      <c r="AX1416" s="23"/>
      <c r="AY1416" s="16"/>
      <c r="AZ1416" s="23"/>
      <c r="BA1416" s="23"/>
      <c r="BB1416" s="23"/>
      <c r="BC1416" s="16"/>
      <c r="BD1416" s="23"/>
      <c r="BE1416" s="23"/>
      <c r="BF1416" s="23"/>
      <c r="BJ1416" s="23"/>
      <c r="BN1416" s="23"/>
      <c r="BO1416" s="23">
        <v>8.0</v>
      </c>
      <c r="BP1416" s="16"/>
      <c r="BQ1416" s="16"/>
      <c r="BR1416" s="23">
        <v>8.0</v>
      </c>
      <c r="BS1416" s="16"/>
      <c r="BT1416" s="16"/>
      <c r="BU1416" s="16" t="s">
        <v>539</v>
      </c>
      <c r="BV1416" s="16"/>
      <c r="BW1416" s="16"/>
      <c r="BX1416" s="16"/>
      <c r="BY1416" s="16"/>
    </row>
    <row r="1417">
      <c r="A1417" s="16" t="s">
        <v>7843</v>
      </c>
      <c r="B1417" s="16" t="s">
        <v>35</v>
      </c>
      <c r="C1417" s="22">
        <v>45893.0</v>
      </c>
      <c r="D1417" s="16" t="s">
        <v>890</v>
      </c>
      <c r="E1417" s="16"/>
      <c r="F1417" s="16" t="s">
        <v>8902</v>
      </c>
      <c r="G1417" s="16" t="s">
        <v>3833</v>
      </c>
      <c r="H1417" s="16">
        <v>1.0</v>
      </c>
      <c r="I1417" s="23">
        <v>123.66</v>
      </c>
      <c r="J1417" s="23">
        <v>123.66</v>
      </c>
      <c r="K1417" s="16"/>
      <c r="L1417" s="23"/>
      <c r="M1417" s="23"/>
      <c r="N1417" s="23"/>
      <c r="O1417" s="16"/>
      <c r="P1417" s="23"/>
      <c r="Q1417" s="23"/>
      <c r="R1417" s="23"/>
      <c r="S1417" s="16"/>
      <c r="T1417" s="23"/>
      <c r="U1417" s="23"/>
      <c r="V1417" s="23"/>
      <c r="W1417" s="16"/>
      <c r="X1417" s="23"/>
      <c r="Y1417" s="23"/>
      <c r="Z1417" s="23"/>
      <c r="AA1417" s="16"/>
      <c r="AB1417" s="23"/>
      <c r="AC1417" s="23"/>
      <c r="AD1417" s="23"/>
      <c r="AE1417" s="16"/>
      <c r="AF1417" s="23"/>
      <c r="AG1417" s="23"/>
      <c r="AH1417" s="23"/>
      <c r="AI1417" s="16"/>
      <c r="AJ1417" s="23"/>
      <c r="AK1417" s="23"/>
      <c r="AL1417" s="23"/>
      <c r="AM1417" s="16"/>
      <c r="AN1417" s="23"/>
      <c r="AO1417" s="23"/>
      <c r="AP1417" s="23"/>
      <c r="AQ1417" s="16"/>
      <c r="AR1417" s="23"/>
      <c r="AS1417" s="23"/>
      <c r="AT1417" s="23"/>
      <c r="AU1417" s="16"/>
      <c r="AV1417" s="23"/>
      <c r="AW1417" s="23"/>
      <c r="AX1417" s="23"/>
      <c r="AY1417" s="16"/>
      <c r="AZ1417" s="23"/>
      <c r="BA1417" s="23"/>
      <c r="BB1417" s="23"/>
      <c r="BC1417" s="16"/>
      <c r="BD1417" s="23"/>
      <c r="BE1417" s="23"/>
      <c r="BF1417" s="23"/>
      <c r="BJ1417" s="23"/>
      <c r="BN1417" s="23"/>
      <c r="BO1417" s="23">
        <v>123.66</v>
      </c>
      <c r="BP1417" s="16"/>
      <c r="BQ1417" s="16"/>
      <c r="BR1417" s="23">
        <v>123.66</v>
      </c>
      <c r="BS1417" s="16"/>
      <c r="BT1417" s="16"/>
      <c r="BU1417" s="16" t="s">
        <v>539</v>
      </c>
      <c r="BV1417" s="16"/>
      <c r="BW1417" s="16"/>
      <c r="BX1417" s="16"/>
      <c r="BY1417" s="16"/>
    </row>
    <row r="1418">
      <c r="A1418" s="16" t="s">
        <v>7845</v>
      </c>
      <c r="B1418" s="16" t="s">
        <v>35</v>
      </c>
      <c r="C1418" s="22">
        <v>45893.0</v>
      </c>
      <c r="D1418" s="16" t="s">
        <v>890</v>
      </c>
      <c r="E1418" s="16"/>
      <c r="F1418" s="16" t="s">
        <v>8905</v>
      </c>
      <c r="G1418" s="16" t="s">
        <v>3833</v>
      </c>
      <c r="H1418" s="16">
        <v>1.0</v>
      </c>
      <c r="I1418" s="23">
        <v>1742.8</v>
      </c>
      <c r="J1418" s="23">
        <v>1742.8</v>
      </c>
      <c r="K1418" s="16"/>
      <c r="L1418" s="23"/>
      <c r="M1418" s="23"/>
      <c r="N1418" s="23"/>
      <c r="O1418" s="16"/>
      <c r="P1418" s="23"/>
      <c r="Q1418" s="23"/>
      <c r="R1418" s="23"/>
      <c r="S1418" s="16"/>
      <c r="T1418" s="23"/>
      <c r="U1418" s="23"/>
      <c r="V1418" s="23"/>
      <c r="W1418" s="16"/>
      <c r="X1418" s="23"/>
      <c r="Y1418" s="23"/>
      <c r="Z1418" s="23"/>
      <c r="AA1418" s="16"/>
      <c r="AB1418" s="23"/>
      <c r="AC1418" s="23"/>
      <c r="AD1418" s="23"/>
      <c r="AE1418" s="16"/>
      <c r="AF1418" s="23"/>
      <c r="AG1418" s="23"/>
      <c r="AH1418" s="23"/>
      <c r="AI1418" s="16"/>
      <c r="AJ1418" s="23"/>
      <c r="AK1418" s="23"/>
      <c r="AL1418" s="23"/>
      <c r="AM1418" s="16"/>
      <c r="AN1418" s="23"/>
      <c r="AO1418" s="23"/>
      <c r="AP1418" s="23"/>
      <c r="AQ1418" s="16"/>
      <c r="AR1418" s="23"/>
      <c r="AS1418" s="23"/>
      <c r="AT1418" s="23"/>
      <c r="AU1418" s="16"/>
      <c r="AV1418" s="23"/>
      <c r="AW1418" s="23"/>
      <c r="AX1418" s="23"/>
      <c r="AY1418" s="16"/>
      <c r="AZ1418" s="23"/>
      <c r="BA1418" s="23"/>
      <c r="BB1418" s="23"/>
      <c r="BC1418" s="16"/>
      <c r="BD1418" s="23"/>
      <c r="BE1418" s="23"/>
      <c r="BF1418" s="23"/>
      <c r="BJ1418" s="23"/>
      <c r="BN1418" s="23"/>
      <c r="BO1418" s="23">
        <v>1742.8</v>
      </c>
      <c r="BP1418" s="16"/>
      <c r="BQ1418" s="16"/>
      <c r="BR1418" s="23">
        <v>1742.8</v>
      </c>
      <c r="BS1418" s="16"/>
      <c r="BT1418" s="16"/>
      <c r="BU1418" s="16" t="s">
        <v>539</v>
      </c>
      <c r="BV1418" s="16"/>
      <c r="BW1418" s="16"/>
      <c r="BX1418" s="16"/>
      <c r="BY1418" s="16"/>
    </row>
    <row r="1419">
      <c r="A1419" s="16" t="s">
        <v>7847</v>
      </c>
      <c r="B1419" s="16" t="s">
        <v>35</v>
      </c>
      <c r="C1419" s="22">
        <v>45870.0</v>
      </c>
      <c r="D1419" s="16" t="s">
        <v>1557</v>
      </c>
      <c r="E1419" s="16" t="s">
        <v>8704</v>
      </c>
      <c r="F1419" s="16" t="s">
        <v>7603</v>
      </c>
      <c r="G1419" s="16" t="s">
        <v>5325</v>
      </c>
      <c r="H1419" s="16">
        <v>1.0</v>
      </c>
      <c r="I1419" s="23">
        <v>110.0</v>
      </c>
      <c r="J1419" s="23">
        <v>110.0</v>
      </c>
      <c r="K1419" s="16"/>
      <c r="L1419" s="23"/>
      <c r="M1419" s="23"/>
      <c r="N1419" s="23">
        <v>0.0</v>
      </c>
      <c r="O1419" s="16"/>
      <c r="P1419" s="23"/>
      <c r="Q1419" s="23"/>
      <c r="R1419" s="23">
        <v>0.0</v>
      </c>
      <c r="S1419" s="16"/>
      <c r="T1419" s="23"/>
      <c r="U1419" s="23"/>
      <c r="V1419" s="23">
        <v>0.0</v>
      </c>
      <c r="W1419" s="16"/>
      <c r="X1419" s="23"/>
      <c r="Y1419" s="23"/>
      <c r="Z1419" s="23">
        <v>0.0</v>
      </c>
      <c r="AA1419" s="16"/>
      <c r="AB1419" s="23"/>
      <c r="AC1419" s="23"/>
      <c r="AD1419" s="23">
        <v>0.0</v>
      </c>
      <c r="AE1419" s="16"/>
      <c r="AF1419" s="23"/>
      <c r="AG1419" s="23"/>
      <c r="AH1419" s="23">
        <v>0.0</v>
      </c>
      <c r="AI1419" s="16"/>
      <c r="AJ1419" s="23"/>
      <c r="AK1419" s="23"/>
      <c r="AL1419" s="23">
        <v>0.0</v>
      </c>
      <c r="AM1419" s="16"/>
      <c r="AN1419" s="23"/>
      <c r="AO1419" s="23"/>
      <c r="AP1419" s="23">
        <v>0.0</v>
      </c>
      <c r="AQ1419" s="16"/>
      <c r="AR1419" s="23"/>
      <c r="AS1419" s="23"/>
      <c r="AT1419" s="23">
        <v>0.0</v>
      </c>
      <c r="AU1419" s="16"/>
      <c r="AV1419" s="23"/>
      <c r="AW1419" s="23"/>
      <c r="AX1419" s="23">
        <v>0.0</v>
      </c>
      <c r="AY1419" s="16"/>
      <c r="AZ1419" s="23"/>
      <c r="BA1419" s="23"/>
      <c r="BB1419" s="23"/>
      <c r="BC1419" s="16"/>
      <c r="BD1419" s="23"/>
      <c r="BE1419" s="23"/>
      <c r="BF1419" s="23">
        <v>0.0</v>
      </c>
      <c r="BJ1419" s="23">
        <v>0.0</v>
      </c>
      <c r="BN1419" s="23">
        <v>0.0</v>
      </c>
      <c r="BO1419" s="23">
        <v>110.0</v>
      </c>
      <c r="BP1419" s="16" t="s">
        <v>8910</v>
      </c>
      <c r="BQ1419" s="16" t="b">
        <v>1</v>
      </c>
      <c r="BR1419" s="23">
        <v>110.0</v>
      </c>
      <c r="BS1419" s="16"/>
      <c r="BT1419" s="16" t="b">
        <v>0</v>
      </c>
      <c r="BU1419" s="16" t="s">
        <v>546</v>
      </c>
      <c r="BV1419" s="16"/>
      <c r="BW1419" s="16"/>
      <c r="BX1419" s="16"/>
      <c r="BY1419" s="16"/>
    </row>
    <row r="1420">
      <c r="A1420" s="16" t="s">
        <v>7851</v>
      </c>
      <c r="B1420" s="16" t="s">
        <v>35</v>
      </c>
      <c r="C1420" s="22">
        <v>45887.0</v>
      </c>
      <c r="D1420" s="16" t="s">
        <v>543</v>
      </c>
      <c r="E1420" s="16" t="s">
        <v>8917</v>
      </c>
      <c r="F1420" s="16" t="s">
        <v>171</v>
      </c>
      <c r="G1420" s="16">
        <v>1.2539885E7</v>
      </c>
      <c r="H1420" s="16">
        <v>1.0</v>
      </c>
      <c r="I1420" s="23">
        <v>200.0</v>
      </c>
      <c r="J1420" s="23">
        <v>200.0</v>
      </c>
      <c r="K1420" s="16"/>
      <c r="L1420" s="23"/>
      <c r="M1420" s="23"/>
      <c r="N1420" s="23">
        <v>0.0</v>
      </c>
      <c r="O1420" s="16"/>
      <c r="P1420" s="23"/>
      <c r="Q1420" s="23"/>
      <c r="R1420" s="23">
        <v>0.0</v>
      </c>
      <c r="S1420" s="16"/>
      <c r="T1420" s="23"/>
      <c r="U1420" s="23"/>
      <c r="V1420" s="23">
        <v>0.0</v>
      </c>
      <c r="W1420" s="16"/>
      <c r="X1420" s="23"/>
      <c r="Y1420" s="23"/>
      <c r="Z1420" s="23">
        <v>0.0</v>
      </c>
      <c r="AA1420" s="16"/>
      <c r="AB1420" s="23"/>
      <c r="AC1420" s="23"/>
      <c r="AD1420" s="23">
        <v>0.0</v>
      </c>
      <c r="AE1420" s="16"/>
      <c r="AF1420" s="23"/>
      <c r="AG1420" s="23"/>
      <c r="AH1420" s="23">
        <v>0.0</v>
      </c>
      <c r="AI1420" s="16"/>
      <c r="AJ1420" s="23"/>
      <c r="AK1420" s="23"/>
      <c r="AL1420" s="23">
        <v>0.0</v>
      </c>
      <c r="AM1420" s="16"/>
      <c r="AN1420" s="23"/>
      <c r="AO1420" s="23"/>
      <c r="AP1420" s="23">
        <v>0.0</v>
      </c>
      <c r="AQ1420" s="16"/>
      <c r="AR1420" s="23"/>
      <c r="AS1420" s="23"/>
      <c r="AT1420" s="23">
        <v>0.0</v>
      </c>
      <c r="AU1420" s="16"/>
      <c r="AV1420" s="23"/>
      <c r="AW1420" s="23"/>
      <c r="AX1420" s="23">
        <v>0.0</v>
      </c>
      <c r="AY1420" s="16"/>
      <c r="AZ1420" s="23"/>
      <c r="BA1420" s="23"/>
      <c r="BB1420" s="23"/>
      <c r="BC1420" s="16"/>
      <c r="BD1420" s="23"/>
      <c r="BE1420" s="23"/>
      <c r="BF1420" s="23">
        <v>0.0</v>
      </c>
      <c r="BJ1420" s="23">
        <v>0.0</v>
      </c>
      <c r="BN1420" s="23">
        <v>0.0</v>
      </c>
      <c r="BO1420" s="23">
        <v>200.0</v>
      </c>
      <c r="BP1420" s="16" t="s">
        <v>8918</v>
      </c>
      <c r="BQ1420" s="16" t="b">
        <v>1</v>
      </c>
      <c r="BR1420" s="23">
        <v>200.0</v>
      </c>
      <c r="BS1420" s="16"/>
      <c r="BT1420" s="16" t="b">
        <v>0</v>
      </c>
      <c r="BU1420" s="16" t="s">
        <v>546</v>
      </c>
      <c r="BV1420" s="16"/>
      <c r="BW1420" s="16"/>
      <c r="BX1420" s="16"/>
      <c r="BY1420" s="16"/>
    </row>
    <row r="1421">
      <c r="A1421" s="16" t="s">
        <v>7855</v>
      </c>
      <c r="B1421" s="16" t="s">
        <v>35</v>
      </c>
      <c r="C1421" s="22">
        <v>45891.0</v>
      </c>
      <c r="D1421" s="16" t="s">
        <v>112</v>
      </c>
      <c r="E1421" s="16" t="s">
        <v>8922</v>
      </c>
      <c r="F1421" s="16" t="s">
        <v>157</v>
      </c>
      <c r="G1421" s="16" t="s">
        <v>159</v>
      </c>
      <c r="H1421" s="16">
        <v>1.0</v>
      </c>
      <c r="I1421" s="23">
        <v>149.85</v>
      </c>
      <c r="J1421" s="23">
        <v>149.85</v>
      </c>
      <c r="K1421" s="16" t="s">
        <v>155</v>
      </c>
      <c r="L1421" s="23">
        <v>1.0</v>
      </c>
      <c r="M1421" s="23">
        <v>53.95</v>
      </c>
      <c r="N1421" s="23">
        <v>53.95</v>
      </c>
      <c r="O1421" s="16" t="s">
        <v>230</v>
      </c>
      <c r="P1421" s="23">
        <v>1.0</v>
      </c>
      <c r="Q1421" s="23">
        <v>168.21</v>
      </c>
      <c r="R1421" s="23">
        <v>168.21</v>
      </c>
      <c r="S1421" s="16" t="s">
        <v>152</v>
      </c>
      <c r="T1421" s="23">
        <v>1.0</v>
      </c>
      <c r="U1421" s="23">
        <v>8.4</v>
      </c>
      <c r="V1421" s="23">
        <v>8.4</v>
      </c>
      <c r="W1421" s="16" t="s">
        <v>226</v>
      </c>
      <c r="X1421" s="23">
        <v>1.0</v>
      </c>
      <c r="Y1421" s="23">
        <v>63.0</v>
      </c>
      <c r="Z1421" s="23">
        <v>63.0</v>
      </c>
      <c r="AA1421" s="16"/>
      <c r="AB1421" s="23"/>
      <c r="AC1421" s="23"/>
      <c r="AD1421" s="23">
        <v>0.0</v>
      </c>
      <c r="AE1421" s="16"/>
      <c r="AF1421" s="23"/>
      <c r="AG1421" s="23"/>
      <c r="AH1421" s="23">
        <v>0.0</v>
      </c>
      <c r="AI1421" s="16"/>
      <c r="AJ1421" s="23"/>
      <c r="AK1421" s="23"/>
      <c r="AL1421" s="23">
        <v>0.0</v>
      </c>
      <c r="AM1421" s="16"/>
      <c r="AN1421" s="23"/>
      <c r="AO1421" s="23"/>
      <c r="AP1421" s="23">
        <v>0.0</v>
      </c>
      <c r="AQ1421" s="16"/>
      <c r="AR1421" s="23"/>
      <c r="AS1421" s="23"/>
      <c r="AT1421" s="23">
        <v>0.0</v>
      </c>
      <c r="AU1421" s="16"/>
      <c r="AV1421" s="23"/>
      <c r="AW1421" s="23"/>
      <c r="AX1421" s="23">
        <v>0.0</v>
      </c>
      <c r="AY1421" s="16"/>
      <c r="AZ1421" s="23"/>
      <c r="BA1421" s="23"/>
      <c r="BB1421" s="23"/>
      <c r="BC1421" s="16"/>
      <c r="BD1421" s="23"/>
      <c r="BE1421" s="23"/>
      <c r="BF1421" s="23">
        <v>0.0</v>
      </c>
      <c r="BJ1421" s="23">
        <v>0.0</v>
      </c>
      <c r="BN1421" s="23">
        <v>0.0</v>
      </c>
      <c r="BO1421" s="23">
        <v>443.41</v>
      </c>
      <c r="BP1421" s="16" t="s">
        <v>8924</v>
      </c>
      <c r="BQ1421" s="16" t="b">
        <v>1</v>
      </c>
      <c r="BR1421" s="23">
        <v>443.41</v>
      </c>
      <c r="BS1421" s="16"/>
      <c r="BT1421" s="16" t="b">
        <v>0</v>
      </c>
      <c r="BU1421" s="16" t="s">
        <v>546</v>
      </c>
      <c r="BV1421" s="16"/>
      <c r="BW1421" s="16"/>
      <c r="BX1421" s="16"/>
      <c r="BY1421" s="16"/>
    </row>
    <row r="1422">
      <c r="A1422" s="16" t="s">
        <v>7868</v>
      </c>
      <c r="B1422" s="16" t="s">
        <v>35</v>
      </c>
      <c r="C1422" s="22">
        <v>45891.0</v>
      </c>
      <c r="D1422" s="16" t="s">
        <v>233</v>
      </c>
      <c r="E1422" s="16" t="s">
        <v>8927</v>
      </c>
      <c r="F1422" s="16" t="s">
        <v>236</v>
      </c>
      <c r="G1422" s="16" t="s">
        <v>305</v>
      </c>
      <c r="H1422" s="16">
        <v>1.0</v>
      </c>
      <c r="I1422" s="23">
        <v>135.83</v>
      </c>
      <c r="J1422" s="23">
        <v>135.83</v>
      </c>
      <c r="K1422" s="16"/>
      <c r="L1422" s="23"/>
      <c r="M1422" s="23"/>
      <c r="N1422" s="23">
        <v>0.0</v>
      </c>
      <c r="O1422" s="16"/>
      <c r="P1422" s="23"/>
      <c r="Q1422" s="23"/>
      <c r="R1422" s="23">
        <v>0.0</v>
      </c>
      <c r="S1422" s="16"/>
      <c r="T1422" s="23"/>
      <c r="U1422" s="23"/>
      <c r="V1422" s="23">
        <v>0.0</v>
      </c>
      <c r="W1422" s="16"/>
      <c r="X1422" s="23"/>
      <c r="Y1422" s="23"/>
      <c r="Z1422" s="23">
        <v>0.0</v>
      </c>
      <c r="AA1422" s="16"/>
      <c r="AB1422" s="23"/>
      <c r="AC1422" s="23"/>
      <c r="AD1422" s="23">
        <v>0.0</v>
      </c>
      <c r="AE1422" s="16"/>
      <c r="AF1422" s="23"/>
      <c r="AG1422" s="23"/>
      <c r="AH1422" s="23">
        <v>0.0</v>
      </c>
      <c r="AI1422" s="16"/>
      <c r="AJ1422" s="23"/>
      <c r="AK1422" s="23"/>
      <c r="AL1422" s="23">
        <v>0.0</v>
      </c>
      <c r="AM1422" s="16"/>
      <c r="AN1422" s="23"/>
      <c r="AO1422" s="23"/>
      <c r="AP1422" s="23">
        <v>0.0</v>
      </c>
      <c r="AQ1422" s="16"/>
      <c r="AR1422" s="23"/>
      <c r="AS1422" s="23"/>
      <c r="AT1422" s="23">
        <v>0.0</v>
      </c>
      <c r="AU1422" s="16"/>
      <c r="AV1422" s="23"/>
      <c r="AW1422" s="23"/>
      <c r="AX1422" s="23">
        <v>0.0</v>
      </c>
      <c r="AY1422" s="16"/>
      <c r="AZ1422" s="23"/>
      <c r="BA1422" s="23"/>
      <c r="BB1422" s="23"/>
      <c r="BC1422" s="16"/>
      <c r="BD1422" s="23"/>
      <c r="BE1422" s="23"/>
      <c r="BF1422" s="23">
        <v>0.0</v>
      </c>
      <c r="BJ1422" s="23">
        <v>0.0</v>
      </c>
      <c r="BN1422" s="23">
        <v>0.0</v>
      </c>
      <c r="BO1422" s="23">
        <v>135.83</v>
      </c>
      <c r="BP1422" s="16" t="s">
        <v>8928</v>
      </c>
      <c r="BQ1422" s="16" t="b">
        <v>1</v>
      </c>
      <c r="BR1422" s="23">
        <v>135.83</v>
      </c>
      <c r="BS1422" s="16">
        <v>1637002.0</v>
      </c>
      <c r="BT1422" s="16" t="b">
        <v>1</v>
      </c>
      <c r="BU1422" s="16" t="s">
        <v>546</v>
      </c>
      <c r="BV1422" s="16"/>
      <c r="BW1422" s="16"/>
      <c r="BX1422" s="16"/>
      <c r="BY1422" s="16"/>
    </row>
    <row r="1423">
      <c r="A1423" s="16" t="s">
        <v>7872</v>
      </c>
      <c r="B1423" s="16" t="s">
        <v>35</v>
      </c>
      <c r="C1423" s="22">
        <v>45893.0</v>
      </c>
      <c r="D1423" s="16" t="s">
        <v>543</v>
      </c>
      <c r="E1423" s="16" t="s">
        <v>8933</v>
      </c>
      <c r="F1423" s="16" t="s">
        <v>171</v>
      </c>
      <c r="G1423" s="16">
        <v>1.2539885E7</v>
      </c>
      <c r="H1423" s="16">
        <v>1.0</v>
      </c>
      <c r="I1423" s="23">
        <v>400.0</v>
      </c>
      <c r="J1423" s="23">
        <v>400.0</v>
      </c>
      <c r="K1423" s="16"/>
      <c r="L1423" s="23"/>
      <c r="M1423" s="23"/>
      <c r="N1423" s="23">
        <v>0.0</v>
      </c>
      <c r="O1423" s="16"/>
      <c r="P1423" s="23"/>
      <c r="Q1423" s="23"/>
      <c r="R1423" s="23">
        <v>0.0</v>
      </c>
      <c r="S1423" s="16"/>
      <c r="T1423" s="23"/>
      <c r="U1423" s="23"/>
      <c r="V1423" s="23">
        <v>0.0</v>
      </c>
      <c r="W1423" s="16"/>
      <c r="X1423" s="23"/>
      <c r="Y1423" s="23"/>
      <c r="Z1423" s="23">
        <v>0.0</v>
      </c>
      <c r="AA1423" s="16"/>
      <c r="AB1423" s="23"/>
      <c r="AC1423" s="23"/>
      <c r="AD1423" s="23">
        <v>0.0</v>
      </c>
      <c r="AE1423" s="16"/>
      <c r="AF1423" s="23"/>
      <c r="AG1423" s="23"/>
      <c r="AH1423" s="23">
        <v>0.0</v>
      </c>
      <c r="AI1423" s="16"/>
      <c r="AJ1423" s="23"/>
      <c r="AK1423" s="23"/>
      <c r="AL1423" s="23">
        <v>0.0</v>
      </c>
      <c r="AM1423" s="16"/>
      <c r="AN1423" s="23"/>
      <c r="AO1423" s="23"/>
      <c r="AP1423" s="23">
        <v>0.0</v>
      </c>
      <c r="AQ1423" s="16"/>
      <c r="AR1423" s="23"/>
      <c r="AS1423" s="23"/>
      <c r="AT1423" s="23">
        <v>0.0</v>
      </c>
      <c r="AU1423" s="16"/>
      <c r="AV1423" s="23"/>
      <c r="AW1423" s="23"/>
      <c r="AX1423" s="23">
        <v>0.0</v>
      </c>
      <c r="AY1423" s="16"/>
      <c r="AZ1423" s="23"/>
      <c r="BA1423" s="23"/>
      <c r="BB1423" s="23"/>
      <c r="BC1423" s="16"/>
      <c r="BD1423" s="23"/>
      <c r="BE1423" s="23"/>
      <c r="BF1423" s="23">
        <v>0.0</v>
      </c>
      <c r="BJ1423" s="23">
        <v>0.0</v>
      </c>
      <c r="BN1423" s="23">
        <v>0.0</v>
      </c>
      <c r="BO1423" s="23">
        <v>400.0</v>
      </c>
      <c r="BP1423" s="16" t="s">
        <v>8934</v>
      </c>
      <c r="BQ1423" s="16" t="b">
        <v>1</v>
      </c>
      <c r="BR1423" s="23">
        <v>400.0</v>
      </c>
      <c r="BS1423" s="16"/>
      <c r="BT1423" s="16" t="b">
        <v>0</v>
      </c>
      <c r="BU1423" s="16" t="s">
        <v>546</v>
      </c>
      <c r="BV1423" s="16"/>
      <c r="BW1423" s="16"/>
      <c r="BX1423" s="16"/>
      <c r="BY1423" s="16"/>
    </row>
    <row r="1424">
      <c r="A1424" s="16" t="s">
        <v>7874</v>
      </c>
      <c r="B1424" s="16" t="s">
        <v>35</v>
      </c>
      <c r="C1424" s="22">
        <v>45894.0</v>
      </c>
      <c r="D1424" s="16" t="s">
        <v>460</v>
      </c>
      <c r="E1424" s="16"/>
      <c r="F1424" s="16" t="s">
        <v>4017</v>
      </c>
      <c r="G1424" s="16" t="s">
        <v>4937</v>
      </c>
      <c r="H1424" s="16">
        <v>1.0</v>
      </c>
      <c r="I1424" s="23">
        <v>20.0</v>
      </c>
      <c r="J1424" s="23">
        <v>20.0</v>
      </c>
      <c r="K1424" s="16"/>
      <c r="L1424" s="23"/>
      <c r="M1424" s="23"/>
      <c r="N1424" s="23"/>
      <c r="O1424" s="16"/>
      <c r="P1424" s="23"/>
      <c r="Q1424" s="23"/>
      <c r="R1424" s="23"/>
      <c r="S1424" s="16"/>
      <c r="T1424" s="23"/>
      <c r="U1424" s="23"/>
      <c r="V1424" s="23"/>
      <c r="W1424" s="16"/>
      <c r="X1424" s="23"/>
      <c r="Y1424" s="23"/>
      <c r="Z1424" s="23"/>
      <c r="AA1424" s="16"/>
      <c r="AB1424" s="23"/>
      <c r="AC1424" s="23"/>
      <c r="AD1424" s="23"/>
      <c r="AE1424" s="16"/>
      <c r="AF1424" s="23"/>
      <c r="AG1424" s="23"/>
      <c r="AH1424" s="23"/>
      <c r="AI1424" s="16"/>
      <c r="AJ1424" s="23"/>
      <c r="AK1424" s="23"/>
      <c r="AL1424" s="23"/>
      <c r="AM1424" s="16"/>
      <c r="AN1424" s="23"/>
      <c r="AO1424" s="23"/>
      <c r="AP1424" s="23"/>
      <c r="AQ1424" s="16"/>
      <c r="AR1424" s="23"/>
      <c r="AS1424" s="23"/>
      <c r="AT1424" s="23"/>
      <c r="AU1424" s="16"/>
      <c r="AV1424" s="23"/>
      <c r="AW1424" s="23"/>
      <c r="AX1424" s="23"/>
      <c r="AY1424" s="16"/>
      <c r="AZ1424" s="23"/>
      <c r="BA1424" s="23"/>
      <c r="BB1424" s="23"/>
      <c r="BC1424" s="16"/>
      <c r="BD1424" s="23"/>
      <c r="BE1424" s="23"/>
      <c r="BF1424" s="23"/>
      <c r="BJ1424" s="23"/>
      <c r="BN1424" s="23"/>
      <c r="BO1424" s="23">
        <v>20.0</v>
      </c>
      <c r="BP1424" s="16"/>
      <c r="BQ1424" s="16"/>
      <c r="BR1424" s="23">
        <v>20.0</v>
      </c>
      <c r="BS1424" s="16"/>
      <c r="BT1424" s="16"/>
      <c r="BU1424" s="16" t="s">
        <v>539</v>
      </c>
      <c r="BV1424" s="16"/>
      <c r="BW1424" s="16"/>
      <c r="BX1424" s="16"/>
      <c r="BY1424" s="16"/>
    </row>
    <row r="1425">
      <c r="A1425" s="16" t="s">
        <v>7878</v>
      </c>
      <c r="B1425" s="16" t="s">
        <v>35</v>
      </c>
      <c r="C1425" s="22">
        <v>45894.0</v>
      </c>
      <c r="D1425" s="16" t="s">
        <v>460</v>
      </c>
      <c r="E1425" s="16"/>
      <c r="F1425" s="16" t="s">
        <v>8939</v>
      </c>
      <c r="G1425" s="16" t="s">
        <v>7879</v>
      </c>
      <c r="H1425" s="16">
        <v>1.0</v>
      </c>
      <c r="I1425" s="23">
        <v>2728.6</v>
      </c>
      <c r="J1425" s="23">
        <v>2728.6</v>
      </c>
      <c r="K1425" s="16"/>
      <c r="L1425" s="23"/>
      <c r="M1425" s="23"/>
      <c r="N1425" s="23"/>
      <c r="O1425" s="16"/>
      <c r="P1425" s="23"/>
      <c r="Q1425" s="23"/>
      <c r="R1425" s="23"/>
      <c r="S1425" s="16"/>
      <c r="T1425" s="23"/>
      <c r="U1425" s="23"/>
      <c r="V1425" s="23"/>
      <c r="W1425" s="16"/>
      <c r="X1425" s="23"/>
      <c r="Y1425" s="23"/>
      <c r="Z1425" s="23"/>
      <c r="AA1425" s="16"/>
      <c r="AB1425" s="23"/>
      <c r="AC1425" s="23"/>
      <c r="AD1425" s="23"/>
      <c r="AE1425" s="16"/>
      <c r="AF1425" s="23"/>
      <c r="AG1425" s="23"/>
      <c r="AH1425" s="23"/>
      <c r="AI1425" s="16"/>
      <c r="AJ1425" s="23"/>
      <c r="AK1425" s="23"/>
      <c r="AL1425" s="23"/>
      <c r="AM1425" s="16"/>
      <c r="AN1425" s="23"/>
      <c r="AO1425" s="23"/>
      <c r="AP1425" s="23"/>
      <c r="AQ1425" s="16"/>
      <c r="AR1425" s="23"/>
      <c r="AS1425" s="23"/>
      <c r="AT1425" s="23"/>
      <c r="AU1425" s="16"/>
      <c r="AV1425" s="23"/>
      <c r="AW1425" s="23"/>
      <c r="AX1425" s="23"/>
      <c r="AY1425" s="16"/>
      <c r="AZ1425" s="23"/>
      <c r="BA1425" s="23"/>
      <c r="BB1425" s="23"/>
      <c r="BC1425" s="16"/>
      <c r="BD1425" s="23"/>
      <c r="BE1425" s="23"/>
      <c r="BF1425" s="23"/>
      <c r="BJ1425" s="23"/>
      <c r="BN1425" s="23"/>
      <c r="BO1425" s="23">
        <v>2728.6</v>
      </c>
      <c r="BP1425" s="16"/>
      <c r="BQ1425" s="16"/>
      <c r="BR1425" s="23">
        <v>2728.6</v>
      </c>
      <c r="BS1425" s="16"/>
      <c r="BT1425" s="16"/>
      <c r="BU1425" s="16" t="s">
        <v>539</v>
      </c>
      <c r="BV1425" s="16"/>
      <c r="BW1425" s="16"/>
      <c r="BX1425" s="16"/>
      <c r="BY1425" s="16"/>
    </row>
    <row r="1426">
      <c r="A1426" s="16" t="s">
        <v>7881</v>
      </c>
      <c r="B1426" s="16" t="s">
        <v>35</v>
      </c>
      <c r="C1426" s="22">
        <v>45894.0</v>
      </c>
      <c r="D1426" s="16" t="s">
        <v>460</v>
      </c>
      <c r="E1426" s="16"/>
      <c r="F1426" s="16" t="s">
        <v>931</v>
      </c>
      <c r="G1426" s="16" t="s">
        <v>1126</v>
      </c>
      <c r="H1426" s="16">
        <v>1.0</v>
      </c>
      <c r="I1426" s="23">
        <v>40.0</v>
      </c>
      <c r="J1426" s="23">
        <v>40.0</v>
      </c>
      <c r="K1426" s="16"/>
      <c r="L1426" s="23"/>
      <c r="M1426" s="23"/>
      <c r="N1426" s="23"/>
      <c r="O1426" s="16"/>
      <c r="P1426" s="23"/>
      <c r="Q1426" s="23"/>
      <c r="R1426" s="23"/>
      <c r="S1426" s="16"/>
      <c r="T1426" s="23"/>
      <c r="U1426" s="23"/>
      <c r="V1426" s="23"/>
      <c r="W1426" s="16"/>
      <c r="X1426" s="23"/>
      <c r="Y1426" s="23"/>
      <c r="Z1426" s="23"/>
      <c r="AA1426" s="16"/>
      <c r="AB1426" s="23"/>
      <c r="AC1426" s="23"/>
      <c r="AD1426" s="23"/>
      <c r="AE1426" s="16"/>
      <c r="AF1426" s="23"/>
      <c r="AG1426" s="23"/>
      <c r="AH1426" s="23"/>
      <c r="AI1426" s="16"/>
      <c r="AJ1426" s="23"/>
      <c r="AK1426" s="23"/>
      <c r="AL1426" s="23"/>
      <c r="AM1426" s="16"/>
      <c r="AN1426" s="23"/>
      <c r="AO1426" s="23"/>
      <c r="AP1426" s="23"/>
      <c r="AQ1426" s="16"/>
      <c r="AR1426" s="23"/>
      <c r="AS1426" s="23"/>
      <c r="AT1426" s="23"/>
      <c r="AU1426" s="16"/>
      <c r="AV1426" s="23"/>
      <c r="AW1426" s="23"/>
      <c r="AX1426" s="23"/>
      <c r="AY1426" s="16"/>
      <c r="AZ1426" s="23"/>
      <c r="BA1426" s="23"/>
      <c r="BB1426" s="23"/>
      <c r="BC1426" s="16"/>
      <c r="BD1426" s="23"/>
      <c r="BE1426" s="23"/>
      <c r="BF1426" s="23"/>
      <c r="BJ1426" s="23"/>
      <c r="BN1426" s="23"/>
      <c r="BO1426" s="23">
        <v>40.0</v>
      </c>
      <c r="BP1426" s="16"/>
      <c r="BQ1426" s="16"/>
      <c r="BR1426" s="23">
        <v>40.0</v>
      </c>
      <c r="BS1426" s="16"/>
      <c r="BT1426" s="16"/>
      <c r="BU1426" s="16" t="s">
        <v>539</v>
      </c>
      <c r="BV1426" s="16"/>
      <c r="BW1426" s="16"/>
      <c r="BX1426" s="16"/>
      <c r="BY1426" s="16"/>
    </row>
    <row r="1427">
      <c r="A1427" s="16" t="s">
        <v>7886</v>
      </c>
      <c r="B1427" s="16" t="s">
        <v>35</v>
      </c>
      <c r="C1427" s="22">
        <v>45894.0</v>
      </c>
      <c r="D1427" s="16" t="s">
        <v>460</v>
      </c>
      <c r="E1427" s="16"/>
      <c r="F1427" s="16" t="s">
        <v>8946</v>
      </c>
      <c r="G1427" s="16" t="s">
        <v>5636</v>
      </c>
      <c r="H1427" s="16">
        <v>1.0</v>
      </c>
      <c r="I1427" s="23">
        <v>200.0</v>
      </c>
      <c r="J1427" s="23">
        <v>200.0</v>
      </c>
      <c r="K1427" s="16"/>
      <c r="L1427" s="23"/>
      <c r="M1427" s="23"/>
      <c r="N1427" s="23"/>
      <c r="O1427" s="16"/>
      <c r="P1427" s="23"/>
      <c r="Q1427" s="23"/>
      <c r="R1427" s="23"/>
      <c r="S1427" s="16"/>
      <c r="T1427" s="23"/>
      <c r="U1427" s="23"/>
      <c r="V1427" s="23"/>
      <c r="W1427" s="16"/>
      <c r="X1427" s="23"/>
      <c r="Y1427" s="23"/>
      <c r="Z1427" s="23"/>
      <c r="AA1427" s="16"/>
      <c r="AB1427" s="23"/>
      <c r="AC1427" s="23"/>
      <c r="AD1427" s="23"/>
      <c r="AE1427" s="16"/>
      <c r="AF1427" s="23"/>
      <c r="AG1427" s="23"/>
      <c r="AH1427" s="23"/>
      <c r="AI1427" s="16"/>
      <c r="AJ1427" s="23"/>
      <c r="AK1427" s="23"/>
      <c r="AL1427" s="23"/>
      <c r="AM1427" s="16"/>
      <c r="AN1427" s="23"/>
      <c r="AO1427" s="23"/>
      <c r="AP1427" s="23"/>
      <c r="AQ1427" s="16"/>
      <c r="AR1427" s="23"/>
      <c r="AS1427" s="23"/>
      <c r="AT1427" s="23"/>
      <c r="AU1427" s="16"/>
      <c r="AV1427" s="23"/>
      <c r="AW1427" s="23"/>
      <c r="AX1427" s="23"/>
      <c r="AY1427" s="16"/>
      <c r="AZ1427" s="23"/>
      <c r="BA1427" s="23"/>
      <c r="BB1427" s="23"/>
      <c r="BC1427" s="16"/>
      <c r="BD1427" s="23"/>
      <c r="BE1427" s="23"/>
      <c r="BF1427" s="23"/>
      <c r="BJ1427" s="23"/>
      <c r="BN1427" s="23"/>
      <c r="BO1427" s="23">
        <v>200.0</v>
      </c>
      <c r="BP1427" s="16"/>
      <c r="BQ1427" s="16"/>
      <c r="BR1427" s="23">
        <v>200.0</v>
      </c>
      <c r="BS1427" s="16"/>
      <c r="BT1427" s="16"/>
      <c r="BU1427" s="16" t="s">
        <v>539</v>
      </c>
      <c r="BV1427" s="16"/>
      <c r="BW1427" s="16"/>
      <c r="BX1427" s="16"/>
      <c r="BY1427" s="16"/>
    </row>
    <row r="1428">
      <c r="A1428" s="16" t="s">
        <v>7889</v>
      </c>
      <c r="B1428" s="16" t="s">
        <v>35</v>
      </c>
      <c r="C1428" s="22">
        <v>45894.0</v>
      </c>
      <c r="D1428" s="16" t="s">
        <v>460</v>
      </c>
      <c r="E1428" s="16"/>
      <c r="F1428" s="16" t="s">
        <v>4972</v>
      </c>
      <c r="G1428" s="16" t="s">
        <v>5640</v>
      </c>
      <c r="H1428" s="16">
        <v>1.0</v>
      </c>
      <c r="I1428" s="23">
        <v>22.0</v>
      </c>
      <c r="J1428" s="23">
        <v>22.0</v>
      </c>
      <c r="K1428" s="16"/>
      <c r="L1428" s="23"/>
      <c r="M1428" s="23"/>
      <c r="N1428" s="23"/>
      <c r="O1428" s="16"/>
      <c r="P1428" s="23"/>
      <c r="Q1428" s="23"/>
      <c r="R1428" s="23"/>
      <c r="S1428" s="16"/>
      <c r="T1428" s="23"/>
      <c r="U1428" s="23"/>
      <c r="V1428" s="23"/>
      <c r="W1428" s="16"/>
      <c r="X1428" s="23"/>
      <c r="Y1428" s="23"/>
      <c r="Z1428" s="23"/>
      <c r="AA1428" s="16"/>
      <c r="AB1428" s="23"/>
      <c r="AC1428" s="23"/>
      <c r="AD1428" s="23"/>
      <c r="AE1428" s="16"/>
      <c r="AF1428" s="23"/>
      <c r="AG1428" s="23"/>
      <c r="AH1428" s="23"/>
      <c r="AI1428" s="16"/>
      <c r="AJ1428" s="23"/>
      <c r="AK1428" s="23"/>
      <c r="AL1428" s="23"/>
      <c r="AM1428" s="16"/>
      <c r="AN1428" s="23"/>
      <c r="AO1428" s="23"/>
      <c r="AP1428" s="23"/>
      <c r="AQ1428" s="16"/>
      <c r="AR1428" s="23"/>
      <c r="AS1428" s="23"/>
      <c r="AT1428" s="23"/>
      <c r="AU1428" s="16"/>
      <c r="AV1428" s="23"/>
      <c r="AW1428" s="23"/>
      <c r="AX1428" s="23"/>
      <c r="AY1428" s="16"/>
      <c r="AZ1428" s="23"/>
      <c r="BA1428" s="23"/>
      <c r="BB1428" s="23"/>
      <c r="BC1428" s="16"/>
      <c r="BD1428" s="23"/>
      <c r="BE1428" s="23"/>
      <c r="BF1428" s="23"/>
      <c r="BJ1428" s="23"/>
      <c r="BN1428" s="23"/>
      <c r="BO1428" s="23">
        <v>22.0</v>
      </c>
      <c r="BP1428" s="16"/>
      <c r="BQ1428" s="16"/>
      <c r="BR1428" s="23">
        <v>22.0</v>
      </c>
      <c r="BS1428" s="16"/>
      <c r="BT1428" s="16"/>
      <c r="BU1428" s="16" t="s">
        <v>539</v>
      </c>
      <c r="BV1428" s="16"/>
      <c r="BW1428" s="16"/>
      <c r="BX1428" s="16"/>
      <c r="BY1428" s="16"/>
    </row>
    <row r="1429">
      <c r="A1429" s="16" t="s">
        <v>7893</v>
      </c>
      <c r="B1429" s="16" t="s">
        <v>35</v>
      </c>
      <c r="C1429" s="22">
        <v>45894.0</v>
      </c>
      <c r="D1429" s="16" t="s">
        <v>460</v>
      </c>
      <c r="E1429" s="16"/>
      <c r="F1429" s="16" t="s">
        <v>4979</v>
      </c>
      <c r="G1429" s="16" t="s">
        <v>5973</v>
      </c>
      <c r="H1429" s="16">
        <v>1.0</v>
      </c>
      <c r="I1429" s="23">
        <v>10.0</v>
      </c>
      <c r="J1429" s="23">
        <v>10.0</v>
      </c>
      <c r="K1429" s="16"/>
      <c r="L1429" s="23"/>
      <c r="M1429" s="23"/>
      <c r="N1429" s="23"/>
      <c r="O1429" s="16"/>
      <c r="P1429" s="23"/>
      <c r="Q1429" s="23"/>
      <c r="R1429" s="23"/>
      <c r="S1429" s="16"/>
      <c r="T1429" s="23"/>
      <c r="U1429" s="23"/>
      <c r="V1429" s="23"/>
      <c r="W1429" s="16"/>
      <c r="X1429" s="23"/>
      <c r="Y1429" s="23"/>
      <c r="Z1429" s="23"/>
      <c r="AA1429" s="16"/>
      <c r="AB1429" s="23"/>
      <c r="AC1429" s="23"/>
      <c r="AD1429" s="23"/>
      <c r="AE1429" s="16"/>
      <c r="AF1429" s="23"/>
      <c r="AG1429" s="23"/>
      <c r="AH1429" s="23"/>
      <c r="AI1429" s="16"/>
      <c r="AJ1429" s="23"/>
      <c r="AK1429" s="23"/>
      <c r="AL1429" s="23"/>
      <c r="AM1429" s="16"/>
      <c r="AN1429" s="23"/>
      <c r="AO1429" s="23"/>
      <c r="AP1429" s="23"/>
      <c r="AQ1429" s="16"/>
      <c r="AR1429" s="23"/>
      <c r="AS1429" s="23"/>
      <c r="AT1429" s="23"/>
      <c r="AU1429" s="16"/>
      <c r="AV1429" s="23"/>
      <c r="AW1429" s="23"/>
      <c r="AX1429" s="23"/>
      <c r="AY1429" s="16"/>
      <c r="AZ1429" s="23"/>
      <c r="BA1429" s="23"/>
      <c r="BB1429" s="23"/>
      <c r="BC1429" s="16"/>
      <c r="BD1429" s="23"/>
      <c r="BE1429" s="23"/>
      <c r="BF1429" s="23"/>
      <c r="BJ1429" s="23"/>
      <c r="BN1429" s="23"/>
      <c r="BO1429" s="23">
        <v>10.0</v>
      </c>
      <c r="BP1429" s="16"/>
      <c r="BQ1429" s="16"/>
      <c r="BR1429" s="23">
        <v>10.0</v>
      </c>
      <c r="BS1429" s="16"/>
      <c r="BT1429" s="16"/>
      <c r="BU1429" s="16" t="s">
        <v>539</v>
      </c>
      <c r="BV1429" s="16"/>
      <c r="BW1429" s="16"/>
      <c r="BX1429" s="16"/>
      <c r="BY1429" s="16"/>
    </row>
    <row r="1430">
      <c r="A1430" s="16" t="s">
        <v>7897</v>
      </c>
      <c r="B1430" s="16" t="s">
        <v>35</v>
      </c>
      <c r="C1430" s="22">
        <v>45870.0</v>
      </c>
      <c r="D1430" s="16" t="s">
        <v>1036</v>
      </c>
      <c r="E1430" s="16" t="s">
        <v>8957</v>
      </c>
      <c r="F1430" s="16" t="s">
        <v>5755</v>
      </c>
      <c r="G1430" s="16" t="s">
        <v>1668</v>
      </c>
      <c r="H1430" s="16">
        <v>1.0</v>
      </c>
      <c r="I1430" s="23">
        <v>124.16</v>
      </c>
      <c r="J1430" s="23">
        <v>124.16</v>
      </c>
      <c r="K1430" s="16"/>
      <c r="L1430" s="23"/>
      <c r="M1430" s="23"/>
      <c r="N1430" s="23">
        <v>0.0</v>
      </c>
      <c r="O1430" s="16"/>
      <c r="P1430" s="23"/>
      <c r="Q1430" s="23"/>
      <c r="R1430" s="23">
        <v>0.0</v>
      </c>
      <c r="S1430" s="16"/>
      <c r="T1430" s="23"/>
      <c r="U1430" s="23"/>
      <c r="V1430" s="23">
        <v>0.0</v>
      </c>
      <c r="W1430" s="16"/>
      <c r="X1430" s="23"/>
      <c r="Y1430" s="23"/>
      <c r="Z1430" s="23">
        <v>0.0</v>
      </c>
      <c r="AA1430" s="16"/>
      <c r="AB1430" s="23"/>
      <c r="AC1430" s="23"/>
      <c r="AD1430" s="23">
        <v>0.0</v>
      </c>
      <c r="AE1430" s="16"/>
      <c r="AF1430" s="23"/>
      <c r="AG1430" s="23"/>
      <c r="AH1430" s="23">
        <v>0.0</v>
      </c>
      <c r="AI1430" s="16"/>
      <c r="AJ1430" s="23"/>
      <c r="AK1430" s="23"/>
      <c r="AL1430" s="23">
        <v>0.0</v>
      </c>
      <c r="AM1430" s="16"/>
      <c r="AN1430" s="23"/>
      <c r="AO1430" s="23"/>
      <c r="AP1430" s="23">
        <v>0.0</v>
      </c>
      <c r="AQ1430" s="16"/>
      <c r="AR1430" s="23"/>
      <c r="AS1430" s="23"/>
      <c r="AT1430" s="23">
        <v>0.0</v>
      </c>
      <c r="AU1430" s="16"/>
      <c r="AV1430" s="23"/>
      <c r="AW1430" s="23"/>
      <c r="AX1430" s="23">
        <v>0.0</v>
      </c>
      <c r="AY1430" s="16"/>
      <c r="AZ1430" s="23"/>
      <c r="BA1430" s="23"/>
      <c r="BB1430" s="23"/>
      <c r="BC1430" s="16"/>
      <c r="BD1430" s="23"/>
      <c r="BE1430" s="23"/>
      <c r="BF1430" s="23">
        <v>0.0</v>
      </c>
      <c r="BJ1430" s="23">
        <v>0.0</v>
      </c>
      <c r="BN1430" s="23">
        <v>0.0</v>
      </c>
      <c r="BO1430" s="23">
        <v>124.16</v>
      </c>
      <c r="BP1430" s="16" t="s">
        <v>8959</v>
      </c>
      <c r="BQ1430" s="16" t="b">
        <v>1</v>
      </c>
      <c r="BR1430" s="23">
        <v>124.16</v>
      </c>
      <c r="BS1430" s="16"/>
      <c r="BT1430" s="16" t="b">
        <v>0</v>
      </c>
      <c r="BU1430" s="16" t="s">
        <v>546</v>
      </c>
      <c r="BV1430" s="16"/>
      <c r="BW1430" s="16"/>
      <c r="BX1430" s="16"/>
      <c r="BY1430" s="16"/>
    </row>
    <row r="1431">
      <c r="A1431" s="16" t="s">
        <v>7899</v>
      </c>
      <c r="B1431" s="16" t="s">
        <v>35</v>
      </c>
      <c r="C1431" s="22">
        <v>45894.0</v>
      </c>
      <c r="D1431" s="16" t="s">
        <v>2096</v>
      </c>
      <c r="E1431" s="16" t="s">
        <v>8962</v>
      </c>
      <c r="F1431" s="16" t="s">
        <v>925</v>
      </c>
      <c r="G1431" s="16" t="s">
        <v>1536</v>
      </c>
      <c r="H1431" s="16">
        <v>1.0</v>
      </c>
      <c r="I1431" s="23">
        <v>70.0</v>
      </c>
      <c r="J1431" s="23">
        <v>70.0</v>
      </c>
      <c r="K1431" s="16"/>
      <c r="L1431" s="23"/>
      <c r="M1431" s="23"/>
      <c r="N1431" s="23">
        <v>0.0</v>
      </c>
      <c r="O1431" s="16"/>
      <c r="P1431" s="23"/>
      <c r="Q1431" s="23"/>
      <c r="R1431" s="23">
        <v>0.0</v>
      </c>
      <c r="S1431" s="16"/>
      <c r="T1431" s="23"/>
      <c r="U1431" s="23"/>
      <c r="V1431" s="23">
        <v>0.0</v>
      </c>
      <c r="W1431" s="16"/>
      <c r="X1431" s="23"/>
      <c r="Y1431" s="23"/>
      <c r="Z1431" s="23">
        <v>0.0</v>
      </c>
      <c r="AA1431" s="16"/>
      <c r="AB1431" s="23"/>
      <c r="AC1431" s="23"/>
      <c r="AD1431" s="23">
        <v>0.0</v>
      </c>
      <c r="AE1431" s="16"/>
      <c r="AF1431" s="23"/>
      <c r="AG1431" s="23"/>
      <c r="AH1431" s="23">
        <v>0.0</v>
      </c>
      <c r="AI1431" s="16"/>
      <c r="AJ1431" s="23"/>
      <c r="AK1431" s="23"/>
      <c r="AL1431" s="23">
        <v>0.0</v>
      </c>
      <c r="AM1431" s="16"/>
      <c r="AN1431" s="23"/>
      <c r="AO1431" s="23"/>
      <c r="AP1431" s="23">
        <v>0.0</v>
      </c>
      <c r="AQ1431" s="16"/>
      <c r="AR1431" s="23"/>
      <c r="AS1431" s="23"/>
      <c r="AT1431" s="23">
        <v>0.0</v>
      </c>
      <c r="AU1431" s="16"/>
      <c r="AV1431" s="23"/>
      <c r="AW1431" s="23"/>
      <c r="AX1431" s="23">
        <v>0.0</v>
      </c>
      <c r="AY1431" s="16"/>
      <c r="AZ1431" s="23"/>
      <c r="BA1431" s="23"/>
      <c r="BB1431" s="23"/>
      <c r="BC1431" s="16"/>
      <c r="BD1431" s="23"/>
      <c r="BE1431" s="23"/>
      <c r="BF1431" s="23">
        <v>0.0</v>
      </c>
      <c r="BJ1431" s="23">
        <v>0.0</v>
      </c>
      <c r="BN1431" s="23">
        <v>0.0</v>
      </c>
      <c r="BO1431" s="23">
        <v>70.0</v>
      </c>
      <c r="BP1431" s="16" t="s">
        <v>8963</v>
      </c>
      <c r="BQ1431" s="16" t="b">
        <v>1</v>
      </c>
      <c r="BR1431" s="23">
        <v>70.0</v>
      </c>
      <c r="BS1431" s="16">
        <v>1643810.0</v>
      </c>
      <c r="BT1431" s="16" t="b">
        <v>1</v>
      </c>
      <c r="BU1431" s="16" t="s">
        <v>546</v>
      </c>
      <c r="BV1431" s="16"/>
      <c r="BW1431" s="16"/>
      <c r="BX1431" s="16"/>
      <c r="BY1431" s="16"/>
    </row>
    <row r="1432">
      <c r="A1432" s="16" t="s">
        <v>7903</v>
      </c>
      <c r="B1432" s="16" t="s">
        <v>35</v>
      </c>
      <c r="C1432" s="22">
        <v>45895.0</v>
      </c>
      <c r="D1432" s="16"/>
      <c r="E1432" s="16"/>
      <c r="F1432" s="16" t="s">
        <v>1329</v>
      </c>
      <c r="G1432" s="16" t="s">
        <v>1168</v>
      </c>
      <c r="H1432" s="16">
        <v>1.0</v>
      </c>
      <c r="I1432" s="23">
        <v>500.0</v>
      </c>
      <c r="J1432" s="23">
        <v>500.0</v>
      </c>
      <c r="K1432" s="16"/>
      <c r="L1432" s="23"/>
      <c r="M1432" s="23"/>
      <c r="N1432" s="23"/>
      <c r="O1432" s="16"/>
      <c r="P1432" s="23"/>
      <c r="Q1432" s="23"/>
      <c r="R1432" s="23"/>
      <c r="S1432" s="16"/>
      <c r="T1432" s="23"/>
      <c r="U1432" s="23"/>
      <c r="V1432" s="23"/>
      <c r="W1432" s="16"/>
      <c r="X1432" s="23"/>
      <c r="Y1432" s="23"/>
      <c r="Z1432" s="23"/>
      <c r="AA1432" s="16"/>
      <c r="AB1432" s="23"/>
      <c r="AC1432" s="23"/>
      <c r="AD1432" s="23"/>
      <c r="AE1432" s="16"/>
      <c r="AF1432" s="23"/>
      <c r="AG1432" s="23"/>
      <c r="AH1432" s="23"/>
      <c r="AI1432" s="16"/>
      <c r="AJ1432" s="23"/>
      <c r="AK1432" s="23"/>
      <c r="AL1432" s="23"/>
      <c r="AM1432" s="16"/>
      <c r="AN1432" s="23"/>
      <c r="AO1432" s="23"/>
      <c r="AP1432" s="23"/>
      <c r="AQ1432" s="16"/>
      <c r="AR1432" s="23"/>
      <c r="AS1432" s="23"/>
      <c r="AT1432" s="23"/>
      <c r="AU1432" s="16"/>
      <c r="AV1432" s="23"/>
      <c r="AW1432" s="23"/>
      <c r="AX1432" s="23"/>
      <c r="AY1432" s="16"/>
      <c r="AZ1432" s="23"/>
      <c r="BA1432" s="23"/>
      <c r="BB1432" s="23"/>
      <c r="BC1432" s="16"/>
      <c r="BD1432" s="23"/>
      <c r="BE1432" s="23"/>
      <c r="BF1432" s="23"/>
      <c r="BJ1432" s="23"/>
      <c r="BN1432" s="23"/>
      <c r="BO1432" s="23">
        <v>500.0</v>
      </c>
      <c r="BP1432" s="16"/>
      <c r="BQ1432" s="16"/>
      <c r="BR1432" s="23">
        <v>500.0</v>
      </c>
      <c r="BS1432" s="16"/>
      <c r="BT1432" s="16"/>
      <c r="BU1432" s="16" t="s">
        <v>539</v>
      </c>
      <c r="BV1432" s="16" t="s">
        <v>6062</v>
      </c>
      <c r="BW1432" s="16"/>
      <c r="BX1432" s="16"/>
      <c r="BY1432" s="16"/>
    </row>
    <row r="1433">
      <c r="A1433" s="16" t="s">
        <v>7905</v>
      </c>
      <c r="B1433" s="16" t="s">
        <v>35</v>
      </c>
      <c r="C1433" s="22">
        <v>45895.0</v>
      </c>
      <c r="D1433" s="16"/>
      <c r="E1433" s="16"/>
      <c r="F1433" s="16" t="s">
        <v>1329</v>
      </c>
      <c r="G1433" s="16" t="s">
        <v>1168</v>
      </c>
      <c r="H1433" s="16">
        <v>1.0</v>
      </c>
      <c r="I1433" s="23">
        <v>500.0</v>
      </c>
      <c r="J1433" s="23">
        <v>500.0</v>
      </c>
      <c r="K1433" s="16"/>
      <c r="L1433" s="23"/>
      <c r="M1433" s="23"/>
      <c r="N1433" s="23"/>
      <c r="O1433" s="16"/>
      <c r="P1433" s="23"/>
      <c r="Q1433" s="23"/>
      <c r="R1433" s="23"/>
      <c r="S1433" s="16"/>
      <c r="T1433" s="23"/>
      <c r="U1433" s="23"/>
      <c r="V1433" s="23"/>
      <c r="W1433" s="16"/>
      <c r="X1433" s="23"/>
      <c r="Y1433" s="23"/>
      <c r="Z1433" s="23"/>
      <c r="AA1433" s="16"/>
      <c r="AB1433" s="23"/>
      <c r="AC1433" s="23"/>
      <c r="AD1433" s="23"/>
      <c r="AE1433" s="16"/>
      <c r="AF1433" s="23"/>
      <c r="AG1433" s="23"/>
      <c r="AH1433" s="23"/>
      <c r="AI1433" s="16"/>
      <c r="AJ1433" s="23"/>
      <c r="AK1433" s="23"/>
      <c r="AL1433" s="23"/>
      <c r="AM1433" s="16"/>
      <c r="AN1433" s="23"/>
      <c r="AO1433" s="23"/>
      <c r="AP1433" s="23"/>
      <c r="AQ1433" s="16"/>
      <c r="AR1433" s="23"/>
      <c r="AS1433" s="23"/>
      <c r="AT1433" s="23"/>
      <c r="AU1433" s="16"/>
      <c r="AV1433" s="23"/>
      <c r="AW1433" s="23"/>
      <c r="AX1433" s="23"/>
      <c r="AY1433" s="16"/>
      <c r="AZ1433" s="23"/>
      <c r="BA1433" s="23"/>
      <c r="BB1433" s="23"/>
      <c r="BC1433" s="16"/>
      <c r="BD1433" s="23"/>
      <c r="BE1433" s="23"/>
      <c r="BF1433" s="23"/>
      <c r="BJ1433" s="23"/>
      <c r="BN1433" s="23"/>
      <c r="BO1433" s="23">
        <v>500.0</v>
      </c>
      <c r="BP1433" s="16"/>
      <c r="BQ1433" s="16"/>
      <c r="BR1433" s="23">
        <v>500.0</v>
      </c>
      <c r="BS1433" s="16"/>
      <c r="BT1433" s="16"/>
      <c r="BU1433" s="16" t="s">
        <v>539</v>
      </c>
      <c r="BV1433" s="16" t="s">
        <v>2052</v>
      </c>
      <c r="BW1433" s="16"/>
      <c r="BX1433" s="16"/>
      <c r="BY1433" s="16"/>
    </row>
    <row r="1434">
      <c r="A1434" s="16" t="s">
        <v>7907</v>
      </c>
      <c r="B1434" s="16" t="s">
        <v>35</v>
      </c>
      <c r="C1434" s="22">
        <v>45896.0</v>
      </c>
      <c r="D1434" s="16" t="s">
        <v>7095</v>
      </c>
      <c r="E1434" s="16" t="s">
        <v>8970</v>
      </c>
      <c r="F1434" s="16" t="s">
        <v>195</v>
      </c>
      <c r="G1434" s="16" t="s">
        <v>1777</v>
      </c>
      <c r="H1434" s="16">
        <v>2.0</v>
      </c>
      <c r="I1434" s="23">
        <v>30.96</v>
      </c>
      <c r="J1434" s="23">
        <v>61.92</v>
      </c>
      <c r="K1434" s="16" t="s">
        <v>7086</v>
      </c>
      <c r="L1434" s="23">
        <v>2.0</v>
      </c>
      <c r="M1434" s="23">
        <v>30.84</v>
      </c>
      <c r="N1434" s="23">
        <v>61.68</v>
      </c>
      <c r="O1434" s="16"/>
      <c r="P1434" s="23"/>
      <c r="Q1434" s="23"/>
      <c r="R1434" s="23">
        <v>0.0</v>
      </c>
      <c r="S1434" s="16"/>
      <c r="T1434" s="23"/>
      <c r="U1434" s="23"/>
      <c r="V1434" s="23">
        <v>0.0</v>
      </c>
      <c r="W1434" s="16"/>
      <c r="X1434" s="23"/>
      <c r="Y1434" s="23"/>
      <c r="Z1434" s="23">
        <v>0.0</v>
      </c>
      <c r="AA1434" s="16"/>
      <c r="AB1434" s="23"/>
      <c r="AC1434" s="23"/>
      <c r="AD1434" s="23">
        <v>0.0</v>
      </c>
      <c r="AE1434" s="16"/>
      <c r="AF1434" s="23"/>
      <c r="AG1434" s="23"/>
      <c r="AH1434" s="23">
        <v>0.0</v>
      </c>
      <c r="AI1434" s="16"/>
      <c r="AJ1434" s="23"/>
      <c r="AK1434" s="23"/>
      <c r="AL1434" s="23">
        <v>0.0</v>
      </c>
      <c r="AM1434" s="16"/>
      <c r="AN1434" s="23"/>
      <c r="AO1434" s="23"/>
      <c r="AP1434" s="23">
        <v>0.0</v>
      </c>
      <c r="AQ1434" s="16"/>
      <c r="AR1434" s="23"/>
      <c r="AS1434" s="23"/>
      <c r="AT1434" s="23">
        <v>0.0</v>
      </c>
      <c r="AU1434" s="16"/>
      <c r="AV1434" s="23"/>
      <c r="AW1434" s="23"/>
      <c r="AX1434" s="23">
        <v>0.0</v>
      </c>
      <c r="AY1434" s="16"/>
      <c r="AZ1434" s="23"/>
      <c r="BA1434" s="23"/>
      <c r="BB1434" s="23"/>
      <c r="BC1434" s="16"/>
      <c r="BD1434" s="23"/>
      <c r="BE1434" s="23"/>
      <c r="BF1434" s="23">
        <v>0.0</v>
      </c>
      <c r="BJ1434" s="23">
        <v>0.0</v>
      </c>
      <c r="BN1434" s="23">
        <v>0.0</v>
      </c>
      <c r="BO1434" s="23">
        <v>123.6</v>
      </c>
      <c r="BP1434" s="16" t="s">
        <v>8971</v>
      </c>
      <c r="BQ1434" s="16" t="b">
        <v>1</v>
      </c>
      <c r="BR1434" s="23">
        <v>123.6</v>
      </c>
      <c r="BS1434" s="16"/>
      <c r="BT1434" s="16" t="b">
        <v>0</v>
      </c>
      <c r="BU1434" s="16" t="s">
        <v>546</v>
      </c>
      <c r="BV1434" s="16"/>
      <c r="BW1434" s="16"/>
      <c r="BX1434" s="16"/>
      <c r="BY1434" s="16"/>
    </row>
    <row r="1435">
      <c r="A1435" s="16" t="s">
        <v>7910</v>
      </c>
      <c r="B1435" s="16" t="s">
        <v>35</v>
      </c>
      <c r="C1435" s="22">
        <v>45897.0</v>
      </c>
      <c r="D1435" s="16" t="s">
        <v>764</v>
      </c>
      <c r="E1435" s="16" t="s">
        <v>8974</v>
      </c>
      <c r="F1435" s="16" t="s">
        <v>195</v>
      </c>
      <c r="G1435" s="16" t="s">
        <v>1074</v>
      </c>
      <c r="H1435" s="16">
        <v>4.0</v>
      </c>
      <c r="I1435" s="23">
        <v>40.0</v>
      </c>
      <c r="J1435" s="23">
        <v>160.0</v>
      </c>
      <c r="K1435" s="16" t="s">
        <v>1075</v>
      </c>
      <c r="L1435" s="23">
        <v>4.0</v>
      </c>
      <c r="M1435" s="23">
        <v>20.0</v>
      </c>
      <c r="N1435" s="23">
        <v>80.0</v>
      </c>
      <c r="O1435" s="16" t="s">
        <v>1077</v>
      </c>
      <c r="P1435" s="23">
        <v>2.0</v>
      </c>
      <c r="Q1435" s="23">
        <v>24.0</v>
      </c>
      <c r="R1435" s="23">
        <v>48.0</v>
      </c>
      <c r="S1435" s="16" t="s">
        <v>1079</v>
      </c>
      <c r="T1435" s="23">
        <v>10.0</v>
      </c>
      <c r="U1435" s="23">
        <v>18.0</v>
      </c>
      <c r="V1435" s="23">
        <v>180.0</v>
      </c>
      <c r="W1435" s="16" t="s">
        <v>1081</v>
      </c>
      <c r="X1435" s="23">
        <v>3.0</v>
      </c>
      <c r="Y1435" s="23">
        <v>50.0</v>
      </c>
      <c r="Z1435" s="23">
        <v>150.0</v>
      </c>
      <c r="AA1435" s="16" t="s">
        <v>1074</v>
      </c>
      <c r="AB1435" s="23">
        <v>1.0</v>
      </c>
      <c r="AC1435" s="23">
        <v>80.0</v>
      </c>
      <c r="AD1435" s="23">
        <v>80.0</v>
      </c>
      <c r="AE1435" s="16"/>
      <c r="AF1435" s="23"/>
      <c r="AG1435" s="23"/>
      <c r="AH1435" s="23">
        <v>0.0</v>
      </c>
      <c r="AI1435" s="16"/>
      <c r="AJ1435" s="23"/>
      <c r="AK1435" s="23"/>
      <c r="AL1435" s="23">
        <v>0.0</v>
      </c>
      <c r="AM1435" s="16"/>
      <c r="AN1435" s="23"/>
      <c r="AO1435" s="23"/>
      <c r="AP1435" s="23">
        <v>0.0</v>
      </c>
      <c r="AQ1435" s="16"/>
      <c r="AR1435" s="23"/>
      <c r="AS1435" s="23"/>
      <c r="AT1435" s="23">
        <v>0.0</v>
      </c>
      <c r="AU1435" s="16"/>
      <c r="AV1435" s="23"/>
      <c r="AW1435" s="23"/>
      <c r="AX1435" s="23">
        <v>0.0</v>
      </c>
      <c r="AY1435" s="16"/>
      <c r="AZ1435" s="23"/>
      <c r="BA1435" s="23"/>
      <c r="BB1435" s="23"/>
      <c r="BC1435" s="16"/>
      <c r="BD1435" s="23"/>
      <c r="BE1435" s="23"/>
      <c r="BF1435" s="23">
        <v>0.0</v>
      </c>
      <c r="BJ1435" s="23">
        <v>0.0</v>
      </c>
      <c r="BN1435" s="23">
        <v>0.0</v>
      </c>
      <c r="BO1435" s="23">
        <v>698.0</v>
      </c>
      <c r="BP1435" s="16" t="s">
        <v>8975</v>
      </c>
      <c r="BQ1435" s="16" t="b">
        <v>1</v>
      </c>
      <c r="BR1435" s="23">
        <v>698.0</v>
      </c>
      <c r="BS1435" s="16"/>
      <c r="BT1435" s="16" t="b">
        <v>0</v>
      </c>
      <c r="BU1435" s="16" t="s">
        <v>546</v>
      </c>
      <c r="BV1435" s="16"/>
      <c r="BW1435" s="16"/>
      <c r="BX1435" s="16"/>
      <c r="BY1435" s="16"/>
    </row>
    <row r="1436">
      <c r="A1436" s="16" t="s">
        <v>7917</v>
      </c>
      <c r="B1436" s="16" t="s">
        <v>35</v>
      </c>
      <c r="C1436" s="22">
        <v>45898.0</v>
      </c>
      <c r="D1436" s="16" t="s">
        <v>8980</v>
      </c>
      <c r="E1436" s="16"/>
      <c r="F1436" s="22">
        <v>45689.0</v>
      </c>
      <c r="G1436" s="16">
        <v>2.3273172E7</v>
      </c>
      <c r="H1436" s="16">
        <v>1.0</v>
      </c>
      <c r="I1436" s="23">
        <v>350.0</v>
      </c>
      <c r="J1436" s="23">
        <v>350.0</v>
      </c>
      <c r="K1436" s="16"/>
      <c r="L1436" s="23"/>
      <c r="M1436" s="23"/>
      <c r="N1436" s="23"/>
      <c r="O1436" s="16"/>
      <c r="P1436" s="23"/>
      <c r="Q1436" s="23"/>
      <c r="R1436" s="23"/>
      <c r="S1436" s="16"/>
      <c r="T1436" s="23"/>
      <c r="U1436" s="23"/>
      <c r="V1436" s="23"/>
      <c r="W1436" s="16"/>
      <c r="X1436" s="23"/>
      <c r="Y1436" s="23"/>
      <c r="Z1436" s="23"/>
      <c r="AA1436" s="16"/>
      <c r="AB1436" s="23"/>
      <c r="AC1436" s="23"/>
      <c r="AD1436" s="23"/>
      <c r="AE1436" s="16"/>
      <c r="AF1436" s="23"/>
      <c r="AG1436" s="23"/>
      <c r="AH1436" s="23"/>
      <c r="AI1436" s="16"/>
      <c r="AJ1436" s="23"/>
      <c r="AK1436" s="23"/>
      <c r="AL1436" s="23"/>
      <c r="AM1436" s="16"/>
      <c r="AN1436" s="23"/>
      <c r="AO1436" s="23"/>
      <c r="AP1436" s="23"/>
      <c r="AQ1436" s="16"/>
      <c r="AR1436" s="23"/>
      <c r="AS1436" s="23"/>
      <c r="AT1436" s="23"/>
      <c r="AU1436" s="16"/>
      <c r="AV1436" s="23"/>
      <c r="AW1436" s="23"/>
      <c r="AX1436" s="23"/>
      <c r="AY1436" s="16"/>
      <c r="AZ1436" s="23"/>
      <c r="BA1436" s="23"/>
      <c r="BB1436" s="23"/>
      <c r="BC1436" s="16"/>
      <c r="BD1436" s="23"/>
      <c r="BE1436" s="23"/>
      <c r="BF1436" s="23"/>
      <c r="BJ1436" s="23"/>
      <c r="BN1436" s="23"/>
      <c r="BO1436" s="23">
        <v>350.0</v>
      </c>
      <c r="BP1436" s="16"/>
      <c r="BQ1436" s="16"/>
      <c r="BR1436" s="23">
        <v>350.0</v>
      </c>
      <c r="BS1436" s="16"/>
      <c r="BT1436" s="16"/>
      <c r="BU1436" s="16" t="s">
        <v>539</v>
      </c>
      <c r="BV1436" s="16"/>
      <c r="BW1436" s="16"/>
      <c r="BX1436" s="16"/>
      <c r="BY1436" s="16"/>
    </row>
    <row r="1437">
      <c r="A1437" s="16" t="s">
        <v>7921</v>
      </c>
      <c r="B1437" s="16" t="s">
        <v>35</v>
      </c>
      <c r="C1437" s="22">
        <v>45898.0</v>
      </c>
      <c r="D1437" s="16"/>
      <c r="E1437" s="16"/>
      <c r="F1437" s="16" t="s">
        <v>1329</v>
      </c>
      <c r="G1437" s="16" t="s">
        <v>1168</v>
      </c>
      <c r="H1437" s="16">
        <v>1.0</v>
      </c>
      <c r="I1437" s="23">
        <v>300.0</v>
      </c>
      <c r="J1437" s="23">
        <v>300.0</v>
      </c>
      <c r="K1437" s="16"/>
      <c r="L1437" s="23"/>
      <c r="M1437" s="23"/>
      <c r="N1437" s="23"/>
      <c r="O1437" s="16"/>
      <c r="P1437" s="23"/>
      <c r="Q1437" s="23"/>
      <c r="R1437" s="23"/>
      <c r="S1437" s="16"/>
      <c r="T1437" s="23"/>
      <c r="U1437" s="23"/>
      <c r="V1437" s="23"/>
      <c r="W1437" s="16"/>
      <c r="X1437" s="23"/>
      <c r="Y1437" s="23"/>
      <c r="Z1437" s="23"/>
      <c r="AA1437" s="16"/>
      <c r="AB1437" s="23"/>
      <c r="AC1437" s="23"/>
      <c r="AD1437" s="23"/>
      <c r="AE1437" s="16"/>
      <c r="AF1437" s="23"/>
      <c r="AG1437" s="23"/>
      <c r="AH1437" s="23"/>
      <c r="AI1437" s="16"/>
      <c r="AJ1437" s="23"/>
      <c r="AK1437" s="23"/>
      <c r="AL1437" s="23"/>
      <c r="AM1437" s="16"/>
      <c r="AN1437" s="23"/>
      <c r="AO1437" s="23"/>
      <c r="AP1437" s="23"/>
      <c r="AQ1437" s="16"/>
      <c r="AR1437" s="23"/>
      <c r="AS1437" s="23"/>
      <c r="AT1437" s="23"/>
      <c r="AU1437" s="16"/>
      <c r="AV1437" s="23"/>
      <c r="AW1437" s="23"/>
      <c r="AX1437" s="23"/>
      <c r="AY1437" s="16"/>
      <c r="AZ1437" s="23"/>
      <c r="BA1437" s="23"/>
      <c r="BB1437" s="23"/>
      <c r="BC1437" s="16"/>
      <c r="BD1437" s="23"/>
      <c r="BE1437" s="23"/>
      <c r="BF1437" s="23"/>
      <c r="BJ1437" s="23"/>
      <c r="BN1437" s="23"/>
      <c r="BO1437" s="23">
        <v>300.0</v>
      </c>
      <c r="BP1437" s="16"/>
      <c r="BQ1437" s="16"/>
      <c r="BR1437" s="23">
        <v>300.0</v>
      </c>
      <c r="BS1437" s="16"/>
      <c r="BT1437" s="16"/>
      <c r="BU1437" s="16" t="s">
        <v>539</v>
      </c>
      <c r="BV1437" s="16" t="s">
        <v>227</v>
      </c>
      <c r="BW1437" s="16"/>
      <c r="BX1437" s="16"/>
      <c r="BY1437" s="16"/>
    </row>
    <row r="1438">
      <c r="A1438" s="16" t="s">
        <v>7923</v>
      </c>
      <c r="B1438" s="16" t="s">
        <v>35</v>
      </c>
      <c r="C1438" s="22">
        <v>45899.0</v>
      </c>
      <c r="D1438" s="16"/>
      <c r="E1438" s="16"/>
      <c r="F1438" s="16" t="s">
        <v>1329</v>
      </c>
      <c r="G1438" s="16" t="s">
        <v>1168</v>
      </c>
      <c r="H1438" s="16">
        <v>1.0</v>
      </c>
      <c r="I1438" s="23">
        <v>500.0</v>
      </c>
      <c r="J1438" s="23">
        <v>500.0</v>
      </c>
      <c r="K1438" s="16"/>
      <c r="L1438" s="23"/>
      <c r="M1438" s="23"/>
      <c r="N1438" s="23"/>
      <c r="O1438" s="16"/>
      <c r="P1438" s="23"/>
      <c r="Q1438" s="23"/>
      <c r="R1438" s="23"/>
      <c r="S1438" s="16"/>
      <c r="T1438" s="23"/>
      <c r="U1438" s="23"/>
      <c r="V1438" s="23"/>
      <c r="W1438" s="16"/>
      <c r="X1438" s="23"/>
      <c r="Y1438" s="23"/>
      <c r="Z1438" s="23"/>
      <c r="AA1438" s="16"/>
      <c r="AB1438" s="23"/>
      <c r="AC1438" s="23"/>
      <c r="AD1438" s="23"/>
      <c r="AE1438" s="16"/>
      <c r="AF1438" s="23"/>
      <c r="AG1438" s="23"/>
      <c r="AH1438" s="23"/>
      <c r="AI1438" s="16"/>
      <c r="AJ1438" s="23"/>
      <c r="AK1438" s="23"/>
      <c r="AL1438" s="23"/>
      <c r="AM1438" s="16"/>
      <c r="AN1438" s="23"/>
      <c r="AO1438" s="23"/>
      <c r="AP1438" s="23"/>
      <c r="AQ1438" s="16"/>
      <c r="AR1438" s="23"/>
      <c r="AS1438" s="23"/>
      <c r="AT1438" s="23"/>
      <c r="AU1438" s="16"/>
      <c r="AV1438" s="23"/>
      <c r="AW1438" s="23"/>
      <c r="AX1438" s="23"/>
      <c r="AY1438" s="16"/>
      <c r="AZ1438" s="23"/>
      <c r="BA1438" s="23"/>
      <c r="BB1438" s="23"/>
      <c r="BC1438" s="16"/>
      <c r="BD1438" s="23"/>
      <c r="BE1438" s="23"/>
      <c r="BF1438" s="23"/>
      <c r="BJ1438" s="23"/>
      <c r="BN1438" s="23"/>
      <c r="BO1438" s="23">
        <v>500.0</v>
      </c>
      <c r="BP1438" s="16"/>
      <c r="BQ1438" s="16"/>
      <c r="BR1438" s="23">
        <v>500.0</v>
      </c>
      <c r="BS1438" s="16"/>
      <c r="BT1438" s="16"/>
      <c r="BU1438" s="16" t="s">
        <v>539</v>
      </c>
      <c r="BV1438" s="16" t="s">
        <v>624</v>
      </c>
      <c r="BW1438" s="16"/>
      <c r="BX1438" s="16"/>
      <c r="BY1438" s="16"/>
    </row>
    <row r="1439">
      <c r="A1439" s="16" t="s">
        <v>7925</v>
      </c>
      <c r="B1439" s="16" t="s">
        <v>35</v>
      </c>
      <c r="C1439" s="22">
        <v>45898.0</v>
      </c>
      <c r="D1439" s="16" t="s">
        <v>543</v>
      </c>
      <c r="E1439" s="16" t="s">
        <v>8989</v>
      </c>
      <c r="F1439" s="16" t="s">
        <v>171</v>
      </c>
      <c r="G1439" s="16">
        <v>1.2539885E7</v>
      </c>
      <c r="H1439" s="16">
        <v>1.0</v>
      </c>
      <c r="I1439" s="23">
        <v>175.0</v>
      </c>
      <c r="J1439" s="23">
        <v>175.0</v>
      </c>
      <c r="K1439" s="16"/>
      <c r="L1439" s="23"/>
      <c r="M1439" s="23"/>
      <c r="N1439" s="23">
        <v>0.0</v>
      </c>
      <c r="O1439" s="16"/>
      <c r="P1439" s="23"/>
      <c r="Q1439" s="23"/>
      <c r="R1439" s="23">
        <v>0.0</v>
      </c>
      <c r="S1439" s="16"/>
      <c r="T1439" s="23"/>
      <c r="U1439" s="23"/>
      <c r="V1439" s="23">
        <v>0.0</v>
      </c>
      <c r="W1439" s="16"/>
      <c r="X1439" s="23"/>
      <c r="Y1439" s="23"/>
      <c r="Z1439" s="23">
        <v>0.0</v>
      </c>
      <c r="AA1439" s="16"/>
      <c r="AB1439" s="23"/>
      <c r="AC1439" s="23"/>
      <c r="AD1439" s="23">
        <v>0.0</v>
      </c>
      <c r="AE1439" s="16"/>
      <c r="AF1439" s="23"/>
      <c r="AG1439" s="23"/>
      <c r="AH1439" s="23">
        <v>0.0</v>
      </c>
      <c r="AI1439" s="16"/>
      <c r="AJ1439" s="23"/>
      <c r="AK1439" s="23"/>
      <c r="AL1439" s="23">
        <v>0.0</v>
      </c>
      <c r="AM1439" s="16"/>
      <c r="AN1439" s="23"/>
      <c r="AO1439" s="23"/>
      <c r="AP1439" s="23">
        <v>0.0</v>
      </c>
      <c r="AQ1439" s="16"/>
      <c r="AR1439" s="23"/>
      <c r="AS1439" s="23"/>
      <c r="AT1439" s="23">
        <v>0.0</v>
      </c>
      <c r="AU1439" s="16"/>
      <c r="AV1439" s="23"/>
      <c r="AW1439" s="23"/>
      <c r="AX1439" s="23">
        <v>0.0</v>
      </c>
      <c r="AY1439" s="16"/>
      <c r="AZ1439" s="23"/>
      <c r="BA1439" s="23"/>
      <c r="BB1439" s="23"/>
      <c r="BC1439" s="16"/>
      <c r="BD1439" s="23"/>
      <c r="BE1439" s="23"/>
      <c r="BF1439" s="23">
        <v>0.0</v>
      </c>
      <c r="BJ1439" s="23">
        <v>0.0</v>
      </c>
      <c r="BN1439" s="23">
        <v>0.0</v>
      </c>
      <c r="BO1439" s="23">
        <v>175.0</v>
      </c>
      <c r="BP1439" s="16" t="s">
        <v>8991</v>
      </c>
      <c r="BQ1439" s="16" t="b">
        <v>1</v>
      </c>
      <c r="BR1439" s="23">
        <v>175.0</v>
      </c>
      <c r="BS1439" s="16"/>
      <c r="BT1439" s="16" t="b">
        <v>0</v>
      </c>
      <c r="BU1439" s="16" t="s">
        <v>546</v>
      </c>
      <c r="BV1439" s="16"/>
      <c r="BW1439" s="16"/>
      <c r="BX1439" s="16"/>
      <c r="BY1439" s="16"/>
    </row>
    <row r="1440">
      <c r="A1440" s="16" t="s">
        <v>7929</v>
      </c>
      <c r="B1440" s="16" t="s">
        <v>35</v>
      </c>
      <c r="C1440" s="22">
        <v>45899.0</v>
      </c>
      <c r="D1440" s="16" t="s">
        <v>112</v>
      </c>
      <c r="E1440" s="16" t="s">
        <v>8996</v>
      </c>
      <c r="F1440" s="16" t="s">
        <v>157</v>
      </c>
      <c r="G1440" s="16" t="s">
        <v>159</v>
      </c>
      <c r="H1440" s="16">
        <v>1.0</v>
      </c>
      <c r="I1440" s="23">
        <v>89.9</v>
      </c>
      <c r="J1440" s="23">
        <v>89.9</v>
      </c>
      <c r="K1440" s="16" t="s">
        <v>152</v>
      </c>
      <c r="L1440" s="23">
        <v>1.0</v>
      </c>
      <c r="M1440" s="23">
        <v>8.44</v>
      </c>
      <c r="N1440" s="23">
        <v>8.44</v>
      </c>
      <c r="O1440" s="16" t="s">
        <v>226</v>
      </c>
      <c r="P1440" s="23">
        <v>1.0</v>
      </c>
      <c r="Q1440" s="23">
        <v>40.0</v>
      </c>
      <c r="R1440" s="23">
        <v>40.0</v>
      </c>
      <c r="S1440" s="16"/>
      <c r="T1440" s="23"/>
      <c r="U1440" s="23"/>
      <c r="V1440" s="23">
        <v>0.0</v>
      </c>
      <c r="W1440" s="16"/>
      <c r="X1440" s="23"/>
      <c r="Y1440" s="23"/>
      <c r="Z1440" s="23">
        <v>0.0</v>
      </c>
      <c r="AA1440" s="16"/>
      <c r="AB1440" s="23"/>
      <c r="AC1440" s="23"/>
      <c r="AD1440" s="23">
        <v>0.0</v>
      </c>
      <c r="AE1440" s="16"/>
      <c r="AF1440" s="23"/>
      <c r="AG1440" s="23"/>
      <c r="AH1440" s="23">
        <v>0.0</v>
      </c>
      <c r="AI1440" s="16"/>
      <c r="AJ1440" s="23"/>
      <c r="AK1440" s="23"/>
      <c r="AL1440" s="23">
        <v>0.0</v>
      </c>
      <c r="AM1440" s="16"/>
      <c r="AN1440" s="23"/>
      <c r="AO1440" s="23"/>
      <c r="AP1440" s="23">
        <v>0.0</v>
      </c>
      <c r="AQ1440" s="16"/>
      <c r="AR1440" s="23"/>
      <c r="AS1440" s="23"/>
      <c r="AT1440" s="23">
        <v>0.0</v>
      </c>
      <c r="AU1440" s="16"/>
      <c r="AV1440" s="23"/>
      <c r="AW1440" s="23"/>
      <c r="AX1440" s="23">
        <v>0.0</v>
      </c>
      <c r="AY1440" s="16"/>
      <c r="AZ1440" s="23"/>
      <c r="BA1440" s="23"/>
      <c r="BB1440" s="23"/>
      <c r="BC1440" s="16"/>
      <c r="BD1440" s="23"/>
      <c r="BE1440" s="23"/>
      <c r="BF1440" s="23">
        <v>0.0</v>
      </c>
      <c r="BJ1440" s="23">
        <v>0.0</v>
      </c>
      <c r="BN1440" s="23">
        <v>0.0</v>
      </c>
      <c r="BO1440" s="23">
        <v>138.34</v>
      </c>
      <c r="BP1440" s="16" t="s">
        <v>8997</v>
      </c>
      <c r="BQ1440" s="16" t="b">
        <v>1</v>
      </c>
      <c r="BR1440" s="23">
        <v>138.94</v>
      </c>
      <c r="BS1440" s="16"/>
      <c r="BT1440" s="16" t="b">
        <v>0</v>
      </c>
      <c r="BU1440" s="16" t="s">
        <v>546</v>
      </c>
      <c r="BV1440" s="16"/>
      <c r="BW1440" s="16"/>
      <c r="BX1440" s="16"/>
      <c r="BY1440" s="16"/>
    </row>
    <row r="1441">
      <c r="A1441" s="16" t="s">
        <v>7933</v>
      </c>
      <c r="B1441" s="16" t="s">
        <v>35</v>
      </c>
      <c r="C1441" s="22">
        <v>45900.0</v>
      </c>
      <c r="D1441" s="16" t="s">
        <v>543</v>
      </c>
      <c r="E1441" s="16" t="s">
        <v>9000</v>
      </c>
      <c r="F1441" s="16" t="s">
        <v>171</v>
      </c>
      <c r="G1441" s="16">
        <v>1.2539885E7</v>
      </c>
      <c r="H1441" s="16">
        <v>1.0</v>
      </c>
      <c r="I1441" s="23">
        <v>490.0</v>
      </c>
      <c r="J1441" s="23">
        <v>490.0</v>
      </c>
      <c r="K1441" s="16"/>
      <c r="L1441" s="23"/>
      <c r="M1441" s="23"/>
      <c r="N1441" s="23">
        <v>0.0</v>
      </c>
      <c r="O1441" s="16"/>
      <c r="P1441" s="23"/>
      <c r="Q1441" s="23"/>
      <c r="R1441" s="23">
        <v>0.0</v>
      </c>
      <c r="S1441" s="16"/>
      <c r="T1441" s="23"/>
      <c r="U1441" s="23"/>
      <c r="V1441" s="23">
        <v>0.0</v>
      </c>
      <c r="W1441" s="16"/>
      <c r="X1441" s="23"/>
      <c r="Y1441" s="23"/>
      <c r="Z1441" s="23">
        <v>0.0</v>
      </c>
      <c r="AA1441" s="16"/>
      <c r="AB1441" s="23"/>
      <c r="AC1441" s="23"/>
      <c r="AD1441" s="23">
        <v>0.0</v>
      </c>
      <c r="AE1441" s="16"/>
      <c r="AF1441" s="23"/>
      <c r="AG1441" s="23"/>
      <c r="AH1441" s="23">
        <v>0.0</v>
      </c>
      <c r="AI1441" s="16"/>
      <c r="AJ1441" s="23"/>
      <c r="AK1441" s="23"/>
      <c r="AL1441" s="23">
        <v>0.0</v>
      </c>
      <c r="AM1441" s="16"/>
      <c r="AN1441" s="23"/>
      <c r="AO1441" s="23"/>
      <c r="AP1441" s="23">
        <v>0.0</v>
      </c>
      <c r="AQ1441" s="16"/>
      <c r="AR1441" s="23"/>
      <c r="AS1441" s="23"/>
      <c r="AT1441" s="23">
        <v>0.0</v>
      </c>
      <c r="AU1441" s="16"/>
      <c r="AV1441" s="23"/>
      <c r="AW1441" s="23"/>
      <c r="AX1441" s="23">
        <v>0.0</v>
      </c>
      <c r="AY1441" s="16"/>
      <c r="AZ1441" s="23"/>
      <c r="BA1441" s="23"/>
      <c r="BB1441" s="23"/>
      <c r="BC1441" s="16"/>
      <c r="BD1441" s="23"/>
      <c r="BE1441" s="23"/>
      <c r="BF1441" s="23">
        <v>0.0</v>
      </c>
      <c r="BJ1441" s="23">
        <v>0.0</v>
      </c>
      <c r="BN1441" s="23">
        <v>0.0</v>
      </c>
      <c r="BO1441" s="23">
        <v>490.0</v>
      </c>
      <c r="BP1441" s="16" t="s">
        <v>9002</v>
      </c>
      <c r="BQ1441" s="16" t="b">
        <v>1</v>
      </c>
      <c r="BR1441" s="23">
        <v>490.0</v>
      </c>
      <c r="BS1441" s="16"/>
      <c r="BT1441" s="16" t="b">
        <v>0</v>
      </c>
      <c r="BU1441" s="16" t="s">
        <v>546</v>
      </c>
      <c r="BV1441" s="16"/>
      <c r="BW1441" s="16"/>
      <c r="BX1441" s="16"/>
      <c r="BY1441" s="16"/>
    </row>
    <row r="1442">
      <c r="A1442" s="16" t="s">
        <v>7935</v>
      </c>
      <c r="B1442" s="16" t="s">
        <v>35</v>
      </c>
      <c r="C1442" s="22">
        <v>45903.0</v>
      </c>
      <c r="D1442" s="16"/>
      <c r="E1442" s="16"/>
      <c r="F1442" s="16" t="s">
        <v>9006</v>
      </c>
      <c r="G1442" s="16" t="s">
        <v>1239</v>
      </c>
      <c r="H1442" s="16">
        <v>1.0</v>
      </c>
      <c r="I1442" s="23">
        <v>2081.77</v>
      </c>
      <c r="J1442" s="23">
        <v>2081.77</v>
      </c>
      <c r="K1442" s="16"/>
      <c r="L1442" s="23"/>
      <c r="M1442" s="23"/>
      <c r="N1442" s="23"/>
      <c r="O1442" s="16"/>
      <c r="P1442" s="23"/>
      <c r="Q1442" s="23"/>
      <c r="R1442" s="23"/>
      <c r="S1442" s="16"/>
      <c r="T1442" s="23"/>
      <c r="U1442" s="23"/>
      <c r="V1442" s="23"/>
      <c r="W1442" s="16"/>
      <c r="X1442" s="23"/>
      <c r="Y1442" s="23"/>
      <c r="Z1442" s="23"/>
      <c r="AA1442" s="16"/>
      <c r="AB1442" s="23"/>
      <c r="AC1442" s="23"/>
      <c r="AD1442" s="23"/>
      <c r="AE1442" s="16"/>
      <c r="AF1442" s="23"/>
      <c r="AG1442" s="23"/>
      <c r="AH1442" s="23"/>
      <c r="AI1442" s="16"/>
      <c r="AJ1442" s="23"/>
      <c r="AK1442" s="23"/>
      <c r="AL1442" s="23"/>
      <c r="AM1442" s="16"/>
      <c r="AN1442" s="23"/>
      <c r="AO1442" s="23"/>
      <c r="AP1442" s="23"/>
      <c r="AQ1442" s="16"/>
      <c r="AR1442" s="23"/>
      <c r="AS1442" s="23"/>
      <c r="AT1442" s="23"/>
      <c r="AU1442" s="16"/>
      <c r="AV1442" s="23"/>
      <c r="AW1442" s="23"/>
      <c r="AX1442" s="23"/>
      <c r="AY1442" s="16"/>
      <c r="AZ1442" s="23"/>
      <c r="BA1442" s="23"/>
      <c r="BB1442" s="23"/>
      <c r="BC1442" s="16"/>
      <c r="BD1442" s="23"/>
      <c r="BE1442" s="23"/>
      <c r="BF1442" s="23"/>
      <c r="BJ1442" s="23"/>
      <c r="BN1442" s="23"/>
      <c r="BO1442" s="23">
        <v>2081.77</v>
      </c>
      <c r="BP1442" s="16"/>
      <c r="BQ1442" s="16"/>
      <c r="BR1442" s="23">
        <v>2081.77</v>
      </c>
      <c r="BS1442" s="16"/>
      <c r="BT1442" s="16"/>
      <c r="BU1442" s="16" t="s">
        <v>539</v>
      </c>
      <c r="BV1442" s="16" t="s">
        <v>624</v>
      </c>
      <c r="BW1442" s="16"/>
      <c r="BX1442" s="16"/>
      <c r="BY1442" s="16"/>
    </row>
    <row r="1443">
      <c r="A1443" s="16" t="s">
        <v>7938</v>
      </c>
      <c r="B1443" s="16" t="s">
        <v>35</v>
      </c>
      <c r="C1443" s="22">
        <v>45903.0</v>
      </c>
      <c r="D1443" s="16"/>
      <c r="E1443" s="16"/>
      <c r="F1443" s="16" t="s">
        <v>9006</v>
      </c>
      <c r="G1443" s="16" t="s">
        <v>1239</v>
      </c>
      <c r="H1443" s="16">
        <v>1.0</v>
      </c>
      <c r="I1443" s="23">
        <v>1804.88</v>
      </c>
      <c r="J1443" s="23">
        <v>1804.88</v>
      </c>
      <c r="K1443" s="16"/>
      <c r="L1443" s="23"/>
      <c r="M1443" s="23"/>
      <c r="N1443" s="23"/>
      <c r="O1443" s="16"/>
      <c r="P1443" s="23"/>
      <c r="Q1443" s="23"/>
      <c r="R1443" s="23"/>
      <c r="S1443" s="16"/>
      <c r="T1443" s="23"/>
      <c r="U1443" s="23"/>
      <c r="V1443" s="23"/>
      <c r="W1443" s="16"/>
      <c r="X1443" s="23"/>
      <c r="Y1443" s="23"/>
      <c r="Z1443" s="23"/>
      <c r="AA1443" s="16"/>
      <c r="AB1443" s="23"/>
      <c r="AC1443" s="23"/>
      <c r="AD1443" s="23"/>
      <c r="AE1443" s="16"/>
      <c r="AF1443" s="23"/>
      <c r="AG1443" s="23"/>
      <c r="AH1443" s="23"/>
      <c r="AI1443" s="16"/>
      <c r="AJ1443" s="23"/>
      <c r="AK1443" s="23"/>
      <c r="AL1443" s="23"/>
      <c r="AM1443" s="16"/>
      <c r="AN1443" s="23"/>
      <c r="AO1443" s="23"/>
      <c r="AP1443" s="23"/>
      <c r="AQ1443" s="16"/>
      <c r="AR1443" s="23"/>
      <c r="AS1443" s="23"/>
      <c r="AT1443" s="23"/>
      <c r="AU1443" s="16"/>
      <c r="AV1443" s="23"/>
      <c r="AW1443" s="23"/>
      <c r="AX1443" s="23"/>
      <c r="AY1443" s="16"/>
      <c r="AZ1443" s="23"/>
      <c r="BA1443" s="23"/>
      <c r="BB1443" s="23"/>
      <c r="BC1443" s="16"/>
      <c r="BD1443" s="23"/>
      <c r="BE1443" s="23"/>
      <c r="BF1443" s="23"/>
      <c r="BJ1443" s="23"/>
      <c r="BN1443" s="23"/>
      <c r="BO1443" s="23">
        <v>1804.88</v>
      </c>
      <c r="BP1443" s="16"/>
      <c r="BQ1443" s="16"/>
      <c r="BR1443" s="23">
        <v>1804.88</v>
      </c>
      <c r="BS1443" s="16"/>
      <c r="BT1443" s="16"/>
      <c r="BU1443" s="16" t="s">
        <v>539</v>
      </c>
      <c r="BV1443" s="16" t="s">
        <v>2052</v>
      </c>
      <c r="BW1443" s="16"/>
      <c r="BX1443" s="16"/>
      <c r="BY1443" s="16"/>
    </row>
    <row r="1444">
      <c r="A1444" s="16" t="s">
        <v>7940</v>
      </c>
      <c r="B1444" s="16" t="s">
        <v>35</v>
      </c>
      <c r="C1444" s="22">
        <v>45903.0</v>
      </c>
      <c r="D1444" s="16"/>
      <c r="E1444" s="16"/>
      <c r="F1444" s="16" t="s">
        <v>9006</v>
      </c>
      <c r="G1444" s="16" t="s">
        <v>1239</v>
      </c>
      <c r="H1444" s="16">
        <v>1.0</v>
      </c>
      <c r="I1444" s="23">
        <v>2285.14</v>
      </c>
      <c r="J1444" s="23">
        <v>2285.14</v>
      </c>
      <c r="K1444" s="16"/>
      <c r="L1444" s="23"/>
      <c r="M1444" s="23"/>
      <c r="N1444" s="23"/>
      <c r="O1444" s="16"/>
      <c r="P1444" s="23"/>
      <c r="Q1444" s="23"/>
      <c r="R1444" s="23"/>
      <c r="S1444" s="16"/>
      <c r="T1444" s="23"/>
      <c r="U1444" s="23"/>
      <c r="V1444" s="23"/>
      <c r="W1444" s="16"/>
      <c r="X1444" s="23"/>
      <c r="Y1444" s="23"/>
      <c r="Z1444" s="23"/>
      <c r="AA1444" s="16"/>
      <c r="AB1444" s="23"/>
      <c r="AC1444" s="23"/>
      <c r="AD1444" s="23"/>
      <c r="AE1444" s="16"/>
      <c r="AF1444" s="23"/>
      <c r="AG1444" s="23"/>
      <c r="AH1444" s="23"/>
      <c r="AI1444" s="16"/>
      <c r="AJ1444" s="23"/>
      <c r="AK1444" s="23"/>
      <c r="AL1444" s="23"/>
      <c r="AM1444" s="16"/>
      <c r="AN1444" s="23"/>
      <c r="AO1444" s="23"/>
      <c r="AP1444" s="23"/>
      <c r="AQ1444" s="16"/>
      <c r="AR1444" s="23"/>
      <c r="AS1444" s="23"/>
      <c r="AT1444" s="23"/>
      <c r="AU1444" s="16"/>
      <c r="AV1444" s="23"/>
      <c r="AW1444" s="23"/>
      <c r="AX1444" s="23"/>
      <c r="AY1444" s="16"/>
      <c r="AZ1444" s="23"/>
      <c r="BA1444" s="23"/>
      <c r="BB1444" s="23"/>
      <c r="BC1444" s="16"/>
      <c r="BD1444" s="23"/>
      <c r="BE1444" s="23"/>
      <c r="BF1444" s="23"/>
      <c r="BJ1444" s="23"/>
      <c r="BN1444" s="23"/>
      <c r="BO1444" s="23">
        <v>2285.14</v>
      </c>
      <c r="BP1444" s="16"/>
      <c r="BQ1444" s="16"/>
      <c r="BR1444" s="23">
        <v>2285.14</v>
      </c>
      <c r="BS1444" s="16"/>
      <c r="BT1444" s="16"/>
      <c r="BU1444" s="16" t="s">
        <v>539</v>
      </c>
      <c r="BV1444" s="16" t="s">
        <v>227</v>
      </c>
      <c r="BW1444" s="16"/>
      <c r="BX1444" s="16"/>
      <c r="BY1444" s="16"/>
    </row>
    <row r="1445">
      <c r="A1445" s="16" t="s">
        <v>7942</v>
      </c>
      <c r="B1445" s="16" t="s">
        <v>35</v>
      </c>
      <c r="C1445" s="22">
        <v>45903.0</v>
      </c>
      <c r="D1445" s="16"/>
      <c r="E1445" s="16"/>
      <c r="F1445" s="16" t="s">
        <v>9006</v>
      </c>
      <c r="G1445" s="16" t="s">
        <v>1239</v>
      </c>
      <c r="H1445" s="16">
        <v>1.0</v>
      </c>
      <c r="I1445" s="23">
        <v>1625.25</v>
      </c>
      <c r="J1445" s="23">
        <v>1625.25</v>
      </c>
      <c r="K1445" s="16"/>
      <c r="L1445" s="23"/>
      <c r="M1445" s="23"/>
      <c r="N1445" s="23"/>
      <c r="O1445" s="16"/>
      <c r="P1445" s="23"/>
      <c r="Q1445" s="23"/>
      <c r="R1445" s="23"/>
      <c r="S1445" s="16"/>
      <c r="T1445" s="23"/>
      <c r="U1445" s="23"/>
      <c r="V1445" s="23"/>
      <c r="W1445" s="16"/>
      <c r="X1445" s="23"/>
      <c r="Y1445" s="23"/>
      <c r="Z1445" s="23"/>
      <c r="AA1445" s="16"/>
      <c r="AB1445" s="23"/>
      <c r="AC1445" s="23"/>
      <c r="AD1445" s="23"/>
      <c r="AE1445" s="16"/>
      <c r="AF1445" s="23"/>
      <c r="AG1445" s="23"/>
      <c r="AH1445" s="23"/>
      <c r="AI1445" s="16"/>
      <c r="AJ1445" s="23"/>
      <c r="AK1445" s="23"/>
      <c r="AL1445" s="23"/>
      <c r="AM1445" s="16"/>
      <c r="AN1445" s="23"/>
      <c r="AO1445" s="23"/>
      <c r="AP1445" s="23"/>
      <c r="AQ1445" s="16"/>
      <c r="AR1445" s="23"/>
      <c r="AS1445" s="23"/>
      <c r="AT1445" s="23"/>
      <c r="AU1445" s="16"/>
      <c r="AV1445" s="23"/>
      <c r="AW1445" s="23"/>
      <c r="AX1445" s="23"/>
      <c r="AY1445" s="16"/>
      <c r="AZ1445" s="23"/>
      <c r="BA1445" s="23"/>
      <c r="BB1445" s="23"/>
      <c r="BC1445" s="16"/>
      <c r="BD1445" s="23"/>
      <c r="BE1445" s="23"/>
      <c r="BF1445" s="23"/>
      <c r="BJ1445" s="23"/>
      <c r="BN1445" s="23"/>
      <c r="BO1445" s="23">
        <v>1625.25</v>
      </c>
      <c r="BP1445" s="16"/>
      <c r="BQ1445" s="16"/>
      <c r="BR1445" s="23">
        <v>1625.25</v>
      </c>
      <c r="BS1445" s="16"/>
      <c r="BT1445" s="16"/>
      <c r="BU1445" s="16" t="s">
        <v>539</v>
      </c>
      <c r="BV1445" s="16" t="s">
        <v>6062</v>
      </c>
      <c r="BW1445" s="16"/>
      <c r="BX1445" s="16"/>
      <c r="BY1445" s="16"/>
    </row>
    <row r="1446">
      <c r="A1446" s="16" t="s">
        <v>7944</v>
      </c>
      <c r="B1446" s="16" t="s">
        <v>35</v>
      </c>
      <c r="C1446" s="22">
        <v>45903.0</v>
      </c>
      <c r="D1446" s="16"/>
      <c r="E1446" s="16"/>
      <c r="F1446" s="16" t="s">
        <v>9006</v>
      </c>
      <c r="G1446" s="16" t="s">
        <v>1239</v>
      </c>
      <c r="H1446" s="16">
        <v>1.0</v>
      </c>
      <c r="I1446" s="23">
        <v>1460.67</v>
      </c>
      <c r="J1446" s="23">
        <v>1460.67</v>
      </c>
      <c r="K1446" s="16"/>
      <c r="L1446" s="23"/>
      <c r="M1446" s="23"/>
      <c r="N1446" s="23"/>
      <c r="O1446" s="16"/>
      <c r="P1446" s="23"/>
      <c r="Q1446" s="23"/>
      <c r="R1446" s="23"/>
      <c r="S1446" s="16"/>
      <c r="T1446" s="23"/>
      <c r="U1446" s="23"/>
      <c r="V1446" s="23"/>
      <c r="W1446" s="16"/>
      <c r="X1446" s="23"/>
      <c r="Y1446" s="23"/>
      <c r="Z1446" s="23"/>
      <c r="AA1446" s="16"/>
      <c r="AB1446" s="23"/>
      <c r="AC1446" s="23"/>
      <c r="AD1446" s="23"/>
      <c r="AE1446" s="16"/>
      <c r="AF1446" s="23"/>
      <c r="AG1446" s="23"/>
      <c r="AH1446" s="23"/>
      <c r="AI1446" s="16"/>
      <c r="AJ1446" s="23"/>
      <c r="AK1446" s="23"/>
      <c r="AL1446" s="23"/>
      <c r="AM1446" s="16"/>
      <c r="AN1446" s="23"/>
      <c r="AO1446" s="23"/>
      <c r="AP1446" s="23"/>
      <c r="AQ1446" s="16"/>
      <c r="AR1446" s="23"/>
      <c r="AS1446" s="23"/>
      <c r="AT1446" s="23"/>
      <c r="AU1446" s="16"/>
      <c r="AV1446" s="23"/>
      <c r="AW1446" s="23"/>
      <c r="AX1446" s="23"/>
      <c r="AY1446" s="16"/>
      <c r="AZ1446" s="23"/>
      <c r="BA1446" s="23"/>
      <c r="BB1446" s="23"/>
      <c r="BC1446" s="16"/>
      <c r="BD1446" s="23"/>
      <c r="BE1446" s="23"/>
      <c r="BF1446" s="23"/>
      <c r="BJ1446" s="23"/>
      <c r="BN1446" s="23"/>
      <c r="BO1446" s="23">
        <v>1460.67</v>
      </c>
      <c r="BP1446" s="16"/>
      <c r="BQ1446" s="16"/>
      <c r="BR1446" s="23">
        <v>1460.67</v>
      </c>
      <c r="BS1446" s="16"/>
      <c r="BT1446" s="16"/>
      <c r="BU1446" s="16" t="s">
        <v>539</v>
      </c>
      <c r="BV1446" s="16" t="s">
        <v>3795</v>
      </c>
      <c r="BW1446" s="16"/>
      <c r="BX1446" s="16"/>
      <c r="BY1446" s="16"/>
    </row>
    <row r="1447">
      <c r="A1447" s="16" t="s">
        <v>7946</v>
      </c>
      <c r="B1447" s="16" t="s">
        <v>35</v>
      </c>
      <c r="C1447" s="22">
        <v>45902.0</v>
      </c>
      <c r="D1447" s="16" t="s">
        <v>890</v>
      </c>
      <c r="E1447" s="16" t="s">
        <v>9023</v>
      </c>
      <c r="F1447" s="16" t="s">
        <v>2894</v>
      </c>
      <c r="G1447" s="16" t="s">
        <v>1510</v>
      </c>
      <c r="H1447" s="16">
        <v>1.0</v>
      </c>
      <c r="I1447" s="23">
        <v>387.35</v>
      </c>
      <c r="J1447" s="23">
        <v>387.35</v>
      </c>
      <c r="K1447" s="16"/>
      <c r="L1447" s="23"/>
      <c r="M1447" s="23"/>
      <c r="N1447" s="23">
        <v>0.0</v>
      </c>
      <c r="O1447" s="16"/>
      <c r="P1447" s="23"/>
      <c r="Q1447" s="23"/>
      <c r="R1447" s="23">
        <v>0.0</v>
      </c>
      <c r="S1447" s="16"/>
      <c r="T1447" s="23"/>
      <c r="U1447" s="23"/>
      <c r="V1447" s="23">
        <v>0.0</v>
      </c>
      <c r="W1447" s="16"/>
      <c r="X1447" s="23"/>
      <c r="Y1447" s="23"/>
      <c r="Z1447" s="23">
        <v>0.0</v>
      </c>
      <c r="AA1447" s="16"/>
      <c r="AB1447" s="23"/>
      <c r="AC1447" s="23"/>
      <c r="AD1447" s="23">
        <v>0.0</v>
      </c>
      <c r="AE1447" s="16"/>
      <c r="AF1447" s="23"/>
      <c r="AG1447" s="23"/>
      <c r="AH1447" s="23">
        <v>0.0</v>
      </c>
      <c r="AI1447" s="16"/>
      <c r="AJ1447" s="23"/>
      <c r="AK1447" s="23"/>
      <c r="AL1447" s="23">
        <v>0.0</v>
      </c>
      <c r="AM1447" s="16"/>
      <c r="AN1447" s="23"/>
      <c r="AO1447" s="23"/>
      <c r="AP1447" s="23">
        <v>0.0</v>
      </c>
      <c r="AQ1447" s="16"/>
      <c r="AR1447" s="23"/>
      <c r="AS1447" s="23"/>
      <c r="AT1447" s="23">
        <v>0.0</v>
      </c>
      <c r="AU1447" s="16"/>
      <c r="AV1447" s="23"/>
      <c r="AW1447" s="23"/>
      <c r="AX1447" s="23">
        <v>0.0</v>
      </c>
      <c r="AY1447" s="16"/>
      <c r="AZ1447" s="23"/>
      <c r="BA1447" s="23"/>
      <c r="BB1447" s="23"/>
      <c r="BC1447" s="16"/>
      <c r="BD1447" s="23"/>
      <c r="BE1447" s="23"/>
      <c r="BF1447" s="23">
        <v>0.0</v>
      </c>
      <c r="BJ1447" s="23">
        <v>0.0</v>
      </c>
      <c r="BN1447" s="23">
        <v>0.0</v>
      </c>
      <c r="BO1447" s="23">
        <v>387.35</v>
      </c>
      <c r="BP1447" s="16" t="s">
        <v>9024</v>
      </c>
      <c r="BQ1447" s="16" t="b">
        <v>1</v>
      </c>
      <c r="BR1447" s="23">
        <v>387.35</v>
      </c>
      <c r="BS1447" s="16"/>
      <c r="BT1447" s="16" t="b">
        <v>0</v>
      </c>
      <c r="BU1447" s="16" t="s">
        <v>546</v>
      </c>
      <c r="BV1447" s="16"/>
      <c r="BW1447" s="16"/>
      <c r="BX1447" s="16"/>
      <c r="BY1447" s="16"/>
    </row>
    <row r="1448">
      <c r="A1448" s="16" t="s">
        <v>7948</v>
      </c>
      <c r="B1448" s="16" t="s">
        <v>35</v>
      </c>
      <c r="C1448" s="22">
        <v>45902.0</v>
      </c>
      <c r="D1448" s="16" t="s">
        <v>890</v>
      </c>
      <c r="E1448" s="16" t="s">
        <v>9023</v>
      </c>
      <c r="F1448" s="16" t="s">
        <v>2894</v>
      </c>
      <c r="G1448" s="16" t="s">
        <v>1510</v>
      </c>
      <c r="H1448" s="16">
        <v>1.0</v>
      </c>
      <c r="I1448" s="23">
        <v>19950.5</v>
      </c>
      <c r="J1448" s="23">
        <v>19950.5</v>
      </c>
      <c r="K1448" s="16"/>
      <c r="L1448" s="23"/>
      <c r="M1448" s="23"/>
      <c r="N1448" s="23">
        <v>0.0</v>
      </c>
      <c r="O1448" s="16"/>
      <c r="P1448" s="23"/>
      <c r="Q1448" s="23"/>
      <c r="R1448" s="23">
        <v>0.0</v>
      </c>
      <c r="S1448" s="16"/>
      <c r="T1448" s="23"/>
      <c r="U1448" s="23"/>
      <c r="V1448" s="23">
        <v>0.0</v>
      </c>
      <c r="W1448" s="16"/>
      <c r="X1448" s="23"/>
      <c r="Y1448" s="23"/>
      <c r="Z1448" s="23">
        <v>0.0</v>
      </c>
      <c r="AA1448" s="16"/>
      <c r="AB1448" s="23"/>
      <c r="AC1448" s="23"/>
      <c r="AD1448" s="23">
        <v>0.0</v>
      </c>
      <c r="AE1448" s="16"/>
      <c r="AF1448" s="23"/>
      <c r="AG1448" s="23"/>
      <c r="AH1448" s="23">
        <v>0.0</v>
      </c>
      <c r="AI1448" s="16"/>
      <c r="AJ1448" s="23"/>
      <c r="AK1448" s="23"/>
      <c r="AL1448" s="23">
        <v>0.0</v>
      </c>
      <c r="AM1448" s="16"/>
      <c r="AN1448" s="23"/>
      <c r="AO1448" s="23"/>
      <c r="AP1448" s="23">
        <v>0.0</v>
      </c>
      <c r="AQ1448" s="16"/>
      <c r="AR1448" s="23"/>
      <c r="AS1448" s="23"/>
      <c r="AT1448" s="23">
        <v>0.0</v>
      </c>
      <c r="AU1448" s="16"/>
      <c r="AV1448" s="23"/>
      <c r="AW1448" s="23"/>
      <c r="AX1448" s="23">
        <v>0.0</v>
      </c>
      <c r="AY1448" s="16"/>
      <c r="AZ1448" s="23"/>
      <c r="BA1448" s="23"/>
      <c r="BB1448" s="23"/>
      <c r="BC1448" s="16"/>
      <c r="BD1448" s="23"/>
      <c r="BE1448" s="23"/>
      <c r="BF1448" s="23">
        <v>0.0</v>
      </c>
      <c r="BJ1448" s="23">
        <v>0.0</v>
      </c>
      <c r="BN1448" s="23">
        <v>0.0</v>
      </c>
      <c r="BO1448" s="23">
        <v>19950.5</v>
      </c>
      <c r="BP1448" s="16" t="s">
        <v>9029</v>
      </c>
      <c r="BQ1448" s="16" t="b">
        <v>1</v>
      </c>
      <c r="BR1448" s="23">
        <v>19950.5</v>
      </c>
      <c r="BS1448" s="16"/>
      <c r="BT1448" s="16" t="b">
        <v>0</v>
      </c>
      <c r="BU1448" s="16" t="s">
        <v>546</v>
      </c>
      <c r="BV1448" s="16"/>
      <c r="BW1448" s="16" t="s">
        <v>9030</v>
      </c>
      <c r="BX1448" s="16" t="s">
        <v>9032</v>
      </c>
      <c r="BY1448" s="16"/>
    </row>
    <row r="1449">
      <c r="A1449" s="16" t="s">
        <v>7950</v>
      </c>
      <c r="B1449" s="16" t="s">
        <v>35</v>
      </c>
      <c r="C1449" s="22">
        <v>45903.0</v>
      </c>
      <c r="D1449" s="16" t="s">
        <v>112</v>
      </c>
      <c r="E1449" s="16" t="s">
        <v>9035</v>
      </c>
      <c r="F1449" s="16" t="s">
        <v>157</v>
      </c>
      <c r="G1449" s="16" t="s">
        <v>159</v>
      </c>
      <c r="H1449" s="16">
        <v>1.0</v>
      </c>
      <c r="I1449" s="23">
        <v>157.5</v>
      </c>
      <c r="J1449" s="23">
        <v>157.5</v>
      </c>
      <c r="K1449" s="16" t="s">
        <v>155</v>
      </c>
      <c r="L1449" s="23">
        <v>1.0</v>
      </c>
      <c r="M1449" s="23">
        <v>97.5</v>
      </c>
      <c r="N1449" s="23">
        <v>97.5</v>
      </c>
      <c r="O1449" s="16" t="s">
        <v>152</v>
      </c>
      <c r="P1449" s="23">
        <v>1.0</v>
      </c>
      <c r="Q1449" s="23">
        <v>13.2</v>
      </c>
      <c r="R1449" s="23">
        <v>13.2</v>
      </c>
      <c r="S1449" s="16" t="s">
        <v>226</v>
      </c>
      <c r="T1449" s="23">
        <v>1.0</v>
      </c>
      <c r="U1449" s="23">
        <v>60.0</v>
      </c>
      <c r="V1449" s="23">
        <v>60.0</v>
      </c>
      <c r="W1449" s="16"/>
      <c r="X1449" s="23"/>
      <c r="Y1449" s="23"/>
      <c r="Z1449" s="23">
        <v>0.0</v>
      </c>
      <c r="AA1449" s="16"/>
      <c r="AB1449" s="23"/>
      <c r="AC1449" s="23"/>
      <c r="AD1449" s="23">
        <v>0.0</v>
      </c>
      <c r="AE1449" s="16"/>
      <c r="AF1449" s="23"/>
      <c r="AG1449" s="23"/>
      <c r="AH1449" s="23">
        <v>0.0</v>
      </c>
      <c r="AI1449" s="16"/>
      <c r="AJ1449" s="23"/>
      <c r="AK1449" s="23"/>
      <c r="AL1449" s="23">
        <v>0.0</v>
      </c>
      <c r="AM1449" s="16"/>
      <c r="AN1449" s="23"/>
      <c r="AO1449" s="23"/>
      <c r="AP1449" s="23">
        <v>0.0</v>
      </c>
      <c r="AQ1449" s="16"/>
      <c r="AR1449" s="23"/>
      <c r="AS1449" s="23"/>
      <c r="AT1449" s="23">
        <v>0.0</v>
      </c>
      <c r="AU1449" s="16"/>
      <c r="AV1449" s="23"/>
      <c r="AW1449" s="23"/>
      <c r="AX1449" s="23">
        <v>0.0</v>
      </c>
      <c r="AY1449" s="16"/>
      <c r="AZ1449" s="23"/>
      <c r="BA1449" s="23"/>
      <c r="BB1449" s="23"/>
      <c r="BC1449" s="16"/>
      <c r="BD1449" s="23"/>
      <c r="BE1449" s="23"/>
      <c r="BF1449" s="23">
        <v>0.0</v>
      </c>
      <c r="BJ1449" s="23">
        <v>0.0</v>
      </c>
      <c r="BN1449" s="23">
        <v>0.0</v>
      </c>
      <c r="BO1449" s="23">
        <v>328.2</v>
      </c>
      <c r="BP1449" s="16" t="s">
        <v>9037</v>
      </c>
      <c r="BQ1449" s="16" t="b">
        <v>1</v>
      </c>
      <c r="BR1449" s="23">
        <v>328.2</v>
      </c>
      <c r="BS1449" s="16"/>
      <c r="BT1449" s="16" t="b">
        <v>0</v>
      </c>
      <c r="BU1449" s="16" t="s">
        <v>546</v>
      </c>
      <c r="BV1449" s="16"/>
      <c r="BW1449" s="16"/>
      <c r="BX1449" s="16"/>
      <c r="BY1449" s="16"/>
    </row>
    <row r="1450">
      <c r="A1450" s="16" t="s">
        <v>7961</v>
      </c>
      <c r="B1450" s="16" t="s">
        <v>35</v>
      </c>
      <c r="C1450" s="22">
        <v>45904.0</v>
      </c>
      <c r="D1450" s="16" t="s">
        <v>8864</v>
      </c>
      <c r="E1450" s="16" t="s">
        <v>9040</v>
      </c>
      <c r="F1450" s="16" t="s">
        <v>195</v>
      </c>
      <c r="G1450" s="16">
        <v>7.5375964E7</v>
      </c>
      <c r="H1450" s="16">
        <v>1.0</v>
      </c>
      <c r="I1450" s="23">
        <v>19.0</v>
      </c>
      <c r="J1450" s="23">
        <v>19.0</v>
      </c>
      <c r="K1450" s="16" t="s">
        <v>1074</v>
      </c>
      <c r="L1450" s="23">
        <v>4.0</v>
      </c>
      <c r="M1450" s="23">
        <v>40.0</v>
      </c>
      <c r="N1450" s="23">
        <v>160.0</v>
      </c>
      <c r="O1450" s="16" t="s">
        <v>1075</v>
      </c>
      <c r="P1450" s="23">
        <v>3.0</v>
      </c>
      <c r="Q1450" s="23">
        <v>20.0</v>
      </c>
      <c r="R1450" s="23">
        <v>60.0</v>
      </c>
      <c r="S1450" s="16" t="s">
        <v>1077</v>
      </c>
      <c r="T1450" s="23">
        <v>1.0</v>
      </c>
      <c r="U1450" s="23">
        <v>25.8</v>
      </c>
      <c r="V1450" s="23">
        <v>25.8</v>
      </c>
      <c r="W1450" s="16" t="s">
        <v>1079</v>
      </c>
      <c r="X1450" s="23">
        <v>20.0</v>
      </c>
      <c r="Y1450" s="23">
        <v>18.0</v>
      </c>
      <c r="Z1450" s="23">
        <v>360.0</v>
      </c>
      <c r="AA1450" s="16" t="s">
        <v>1081</v>
      </c>
      <c r="AB1450" s="23">
        <v>3.0</v>
      </c>
      <c r="AC1450" s="23">
        <v>48.0</v>
      </c>
      <c r="AD1450" s="23">
        <v>144.0</v>
      </c>
      <c r="AE1450" s="16"/>
      <c r="AF1450" s="23"/>
      <c r="AG1450" s="23"/>
      <c r="AH1450" s="23">
        <v>0.0</v>
      </c>
      <c r="AI1450" s="16"/>
      <c r="AJ1450" s="23"/>
      <c r="AK1450" s="23"/>
      <c r="AL1450" s="23">
        <v>0.0</v>
      </c>
      <c r="AM1450" s="16"/>
      <c r="AN1450" s="23"/>
      <c r="AO1450" s="23"/>
      <c r="AP1450" s="23">
        <v>0.0</v>
      </c>
      <c r="AQ1450" s="16"/>
      <c r="AR1450" s="23"/>
      <c r="AS1450" s="23"/>
      <c r="AT1450" s="23">
        <v>0.0</v>
      </c>
      <c r="AU1450" s="16"/>
      <c r="AV1450" s="23"/>
      <c r="AW1450" s="23"/>
      <c r="AX1450" s="23">
        <v>0.0</v>
      </c>
      <c r="AY1450" s="16"/>
      <c r="AZ1450" s="23"/>
      <c r="BA1450" s="23"/>
      <c r="BB1450" s="23"/>
      <c r="BC1450" s="16"/>
      <c r="BD1450" s="23"/>
      <c r="BE1450" s="23"/>
      <c r="BF1450" s="23">
        <v>0.0</v>
      </c>
      <c r="BJ1450" s="23">
        <v>0.0</v>
      </c>
      <c r="BN1450" s="23">
        <v>0.0</v>
      </c>
      <c r="BO1450" s="23">
        <v>768.8</v>
      </c>
      <c r="BP1450" s="16" t="s">
        <v>9041</v>
      </c>
      <c r="BQ1450" s="16" t="b">
        <v>1</v>
      </c>
      <c r="BR1450" s="23">
        <v>768.8</v>
      </c>
      <c r="BS1450" s="16"/>
      <c r="BT1450" s="16" t="b">
        <v>0</v>
      </c>
      <c r="BU1450" s="16" t="s">
        <v>546</v>
      </c>
      <c r="BV1450" s="16"/>
      <c r="BW1450" s="16"/>
      <c r="BX1450" s="16"/>
      <c r="BY1450" s="16"/>
    </row>
    <row r="1451">
      <c r="A1451" s="16" t="s">
        <v>7973</v>
      </c>
      <c r="B1451" s="16" t="s">
        <v>35</v>
      </c>
      <c r="C1451" s="22">
        <v>45904.0</v>
      </c>
      <c r="D1451" s="16" t="s">
        <v>890</v>
      </c>
      <c r="E1451" s="16" t="s">
        <v>9045</v>
      </c>
      <c r="F1451" s="16" t="s">
        <v>9048</v>
      </c>
      <c r="G1451" s="16" t="s">
        <v>1517</v>
      </c>
      <c r="H1451" s="16">
        <v>1.0</v>
      </c>
      <c r="I1451" s="23">
        <v>7319.06</v>
      </c>
      <c r="J1451" s="23">
        <v>7319.06</v>
      </c>
      <c r="K1451" s="16"/>
      <c r="L1451" s="23"/>
      <c r="M1451" s="23"/>
      <c r="N1451" s="23">
        <v>0.0</v>
      </c>
      <c r="O1451" s="16"/>
      <c r="P1451" s="23"/>
      <c r="Q1451" s="23"/>
      <c r="R1451" s="23">
        <v>0.0</v>
      </c>
      <c r="S1451" s="16"/>
      <c r="T1451" s="23"/>
      <c r="U1451" s="23"/>
      <c r="V1451" s="23">
        <v>0.0</v>
      </c>
      <c r="W1451" s="16"/>
      <c r="X1451" s="23"/>
      <c r="Y1451" s="23"/>
      <c r="Z1451" s="23">
        <v>0.0</v>
      </c>
      <c r="AA1451" s="16"/>
      <c r="AB1451" s="23"/>
      <c r="AC1451" s="23"/>
      <c r="AD1451" s="23">
        <v>0.0</v>
      </c>
      <c r="AE1451" s="16"/>
      <c r="AF1451" s="23"/>
      <c r="AG1451" s="23"/>
      <c r="AH1451" s="23">
        <v>0.0</v>
      </c>
      <c r="AI1451" s="16"/>
      <c r="AJ1451" s="23"/>
      <c r="AK1451" s="23"/>
      <c r="AL1451" s="23">
        <v>0.0</v>
      </c>
      <c r="AM1451" s="16"/>
      <c r="AN1451" s="23"/>
      <c r="AO1451" s="23"/>
      <c r="AP1451" s="23">
        <v>0.0</v>
      </c>
      <c r="AQ1451" s="16"/>
      <c r="AR1451" s="23"/>
      <c r="AS1451" s="23"/>
      <c r="AT1451" s="23">
        <v>0.0</v>
      </c>
      <c r="AU1451" s="16"/>
      <c r="AV1451" s="23"/>
      <c r="AW1451" s="23"/>
      <c r="AX1451" s="23">
        <v>0.0</v>
      </c>
      <c r="AY1451" s="16"/>
      <c r="AZ1451" s="23"/>
      <c r="BA1451" s="23"/>
      <c r="BB1451" s="23"/>
      <c r="BC1451" s="16"/>
      <c r="BD1451" s="23"/>
      <c r="BE1451" s="23"/>
      <c r="BF1451" s="23">
        <v>0.0</v>
      </c>
      <c r="BJ1451" s="23">
        <v>0.0</v>
      </c>
      <c r="BN1451" s="23">
        <v>0.0</v>
      </c>
      <c r="BO1451" s="23">
        <v>7319.06</v>
      </c>
      <c r="BP1451" s="16" t="s">
        <v>9046</v>
      </c>
      <c r="BQ1451" s="16" t="b">
        <v>1</v>
      </c>
      <c r="BR1451" s="23">
        <v>7319.06</v>
      </c>
      <c r="BS1451" s="16"/>
      <c r="BT1451" s="16" t="b">
        <v>0</v>
      </c>
      <c r="BU1451" s="16" t="s">
        <v>546</v>
      </c>
      <c r="BV1451" s="16"/>
      <c r="BW1451" s="16" t="s">
        <v>9049</v>
      </c>
      <c r="BX1451" s="16"/>
      <c r="BY1451" s="16"/>
    </row>
    <row r="1452">
      <c r="A1452" s="16" t="s">
        <v>7976</v>
      </c>
      <c r="B1452" s="16" t="s">
        <v>35</v>
      </c>
      <c r="C1452" s="22">
        <v>45905.0</v>
      </c>
      <c r="D1452" s="16" t="s">
        <v>112</v>
      </c>
      <c r="E1452" s="16" t="s">
        <v>9051</v>
      </c>
      <c r="F1452" s="16" t="s">
        <v>157</v>
      </c>
      <c r="G1452" s="16" t="s">
        <v>159</v>
      </c>
      <c r="H1452" s="16">
        <v>15.0</v>
      </c>
      <c r="I1452" s="23">
        <v>10.0</v>
      </c>
      <c r="J1452" s="23">
        <v>150.0</v>
      </c>
      <c r="K1452" s="16" t="s">
        <v>155</v>
      </c>
      <c r="L1452" s="23">
        <v>1.0</v>
      </c>
      <c r="M1452" s="23">
        <v>34.78</v>
      </c>
      <c r="N1452" s="23">
        <v>34.78</v>
      </c>
      <c r="O1452" s="16" t="s">
        <v>226</v>
      </c>
      <c r="P1452" s="23">
        <v>5.0</v>
      </c>
      <c r="Q1452" s="23">
        <v>9.0</v>
      </c>
      <c r="R1452" s="23">
        <v>45.0</v>
      </c>
      <c r="S1452" s="16" t="s">
        <v>152</v>
      </c>
      <c r="T1452" s="23">
        <v>1.0</v>
      </c>
      <c r="U1452" s="23">
        <v>17.64</v>
      </c>
      <c r="V1452" s="23">
        <v>17.64</v>
      </c>
      <c r="W1452" s="16"/>
      <c r="X1452" s="23"/>
      <c r="Y1452" s="23"/>
      <c r="Z1452" s="23">
        <v>0.0</v>
      </c>
      <c r="AA1452" s="16"/>
      <c r="AB1452" s="23"/>
      <c r="AC1452" s="23"/>
      <c r="AD1452" s="23">
        <v>0.0</v>
      </c>
      <c r="AE1452" s="16"/>
      <c r="AF1452" s="23"/>
      <c r="AG1452" s="23"/>
      <c r="AH1452" s="23">
        <v>0.0</v>
      </c>
      <c r="AI1452" s="16"/>
      <c r="AJ1452" s="23"/>
      <c r="AK1452" s="23"/>
      <c r="AL1452" s="23">
        <v>0.0</v>
      </c>
      <c r="AM1452" s="16"/>
      <c r="AN1452" s="23"/>
      <c r="AO1452" s="23"/>
      <c r="AP1452" s="23">
        <v>0.0</v>
      </c>
      <c r="AQ1452" s="16"/>
      <c r="AR1452" s="23"/>
      <c r="AS1452" s="23"/>
      <c r="AT1452" s="23">
        <v>0.0</v>
      </c>
      <c r="AU1452" s="16"/>
      <c r="AV1452" s="23"/>
      <c r="AW1452" s="23"/>
      <c r="AX1452" s="23">
        <v>0.0</v>
      </c>
      <c r="AY1452" s="16"/>
      <c r="AZ1452" s="23"/>
      <c r="BA1452" s="23"/>
      <c r="BB1452" s="23"/>
      <c r="BC1452" s="16"/>
      <c r="BD1452" s="23"/>
      <c r="BE1452" s="23"/>
      <c r="BF1452" s="23">
        <v>0.0</v>
      </c>
      <c r="BJ1452" s="23">
        <v>0.0</v>
      </c>
      <c r="BN1452" s="23">
        <v>0.0</v>
      </c>
      <c r="BO1452" s="23">
        <v>247.42</v>
      </c>
      <c r="BP1452" s="16" t="s">
        <v>9052</v>
      </c>
      <c r="BQ1452" s="16" t="b">
        <v>1</v>
      </c>
      <c r="BR1452" s="23">
        <v>247.42</v>
      </c>
      <c r="BS1452" s="16"/>
      <c r="BT1452" s="16" t="b">
        <v>0</v>
      </c>
      <c r="BU1452" s="16" t="s">
        <v>546</v>
      </c>
      <c r="BV1452" s="16"/>
      <c r="BW1452" s="16"/>
      <c r="BX1452" s="16"/>
      <c r="BY1452" s="16"/>
    </row>
    <row r="1453">
      <c r="A1453" s="16" t="s">
        <v>7985</v>
      </c>
      <c r="B1453" s="16" t="s">
        <v>35</v>
      </c>
      <c r="C1453" s="22">
        <v>45905.0</v>
      </c>
      <c r="D1453" s="16" t="s">
        <v>543</v>
      </c>
      <c r="E1453" s="16" t="s">
        <v>9054</v>
      </c>
      <c r="F1453" s="16" t="s">
        <v>171</v>
      </c>
      <c r="G1453" s="16">
        <v>1.2539885E7</v>
      </c>
      <c r="H1453" s="16">
        <v>1.0</v>
      </c>
      <c r="I1453" s="23">
        <v>490.0</v>
      </c>
      <c r="J1453" s="23">
        <v>490.0</v>
      </c>
      <c r="K1453" s="16"/>
      <c r="L1453" s="23"/>
      <c r="M1453" s="23"/>
      <c r="N1453" s="23">
        <v>0.0</v>
      </c>
      <c r="O1453" s="16"/>
      <c r="P1453" s="23"/>
      <c r="Q1453" s="23"/>
      <c r="R1453" s="23">
        <v>0.0</v>
      </c>
      <c r="S1453" s="16"/>
      <c r="T1453" s="23"/>
      <c r="U1453" s="23"/>
      <c r="V1453" s="23">
        <v>0.0</v>
      </c>
      <c r="W1453" s="16"/>
      <c r="X1453" s="23"/>
      <c r="Y1453" s="23"/>
      <c r="Z1453" s="23">
        <v>0.0</v>
      </c>
      <c r="AA1453" s="16"/>
      <c r="AB1453" s="23"/>
      <c r="AC1453" s="23"/>
      <c r="AD1453" s="23">
        <v>0.0</v>
      </c>
      <c r="AE1453" s="16"/>
      <c r="AF1453" s="23"/>
      <c r="AG1453" s="23"/>
      <c r="AH1453" s="23">
        <v>0.0</v>
      </c>
      <c r="AI1453" s="16"/>
      <c r="AJ1453" s="23"/>
      <c r="AK1453" s="23"/>
      <c r="AL1453" s="23">
        <v>0.0</v>
      </c>
      <c r="AM1453" s="16"/>
      <c r="AN1453" s="23"/>
      <c r="AO1453" s="23"/>
      <c r="AP1453" s="23">
        <v>0.0</v>
      </c>
      <c r="AQ1453" s="16"/>
      <c r="AR1453" s="23"/>
      <c r="AS1453" s="23"/>
      <c r="AT1453" s="23">
        <v>0.0</v>
      </c>
      <c r="AU1453" s="16"/>
      <c r="AV1453" s="23"/>
      <c r="AW1453" s="23"/>
      <c r="AX1453" s="23">
        <v>0.0</v>
      </c>
      <c r="AY1453" s="16"/>
      <c r="AZ1453" s="23"/>
      <c r="BA1453" s="23"/>
      <c r="BB1453" s="23"/>
      <c r="BC1453" s="16"/>
      <c r="BD1453" s="23"/>
      <c r="BE1453" s="23"/>
      <c r="BF1453" s="23">
        <v>0.0</v>
      </c>
      <c r="BJ1453" s="23">
        <v>0.0</v>
      </c>
      <c r="BN1453" s="23">
        <v>0.0</v>
      </c>
      <c r="BO1453" s="23">
        <v>490.0</v>
      </c>
      <c r="BP1453" s="16" t="s">
        <v>9056</v>
      </c>
      <c r="BQ1453" s="16" t="b">
        <v>1</v>
      </c>
      <c r="BR1453" s="23">
        <v>490.0</v>
      </c>
      <c r="BS1453" s="16"/>
      <c r="BT1453" s="16" t="b">
        <v>0</v>
      </c>
      <c r="BU1453" s="16" t="s">
        <v>546</v>
      </c>
      <c r="BV1453" s="16"/>
      <c r="BW1453" s="16"/>
      <c r="BX1453" s="16"/>
      <c r="BY1453" s="16"/>
    </row>
    <row r="1454">
      <c r="A1454" s="16" t="s">
        <v>7988</v>
      </c>
      <c r="B1454" s="16" t="s">
        <v>35</v>
      </c>
      <c r="C1454" s="22">
        <v>45910.0</v>
      </c>
      <c r="D1454" s="16" t="s">
        <v>890</v>
      </c>
      <c r="E1454" s="16"/>
      <c r="F1454" s="16" t="s">
        <v>4010</v>
      </c>
      <c r="G1454" s="16" t="s">
        <v>4831</v>
      </c>
      <c r="H1454" s="16">
        <v>1.0</v>
      </c>
      <c r="I1454" s="23">
        <v>375.0</v>
      </c>
      <c r="J1454" s="23">
        <v>375.0</v>
      </c>
      <c r="K1454" s="16"/>
      <c r="L1454" s="23"/>
      <c r="M1454" s="23"/>
      <c r="N1454" s="23"/>
      <c r="O1454" s="16"/>
      <c r="P1454" s="23"/>
      <c r="Q1454" s="23"/>
      <c r="R1454" s="23"/>
      <c r="S1454" s="16"/>
      <c r="T1454" s="23"/>
      <c r="U1454" s="23"/>
      <c r="V1454" s="23"/>
      <c r="W1454" s="16"/>
      <c r="X1454" s="23"/>
      <c r="Y1454" s="23"/>
      <c r="Z1454" s="23"/>
      <c r="AA1454" s="16"/>
      <c r="AB1454" s="23"/>
      <c r="AC1454" s="23"/>
      <c r="AD1454" s="23"/>
      <c r="AE1454" s="16"/>
      <c r="AF1454" s="23"/>
      <c r="AG1454" s="23"/>
      <c r="AH1454" s="23"/>
      <c r="AI1454" s="16"/>
      <c r="AJ1454" s="23"/>
      <c r="AK1454" s="23"/>
      <c r="AL1454" s="23"/>
      <c r="AM1454" s="16"/>
      <c r="AN1454" s="23"/>
      <c r="AO1454" s="23"/>
      <c r="AP1454" s="23"/>
      <c r="AQ1454" s="16"/>
      <c r="AR1454" s="23"/>
      <c r="AS1454" s="23"/>
      <c r="AT1454" s="23"/>
      <c r="AU1454" s="16"/>
      <c r="AV1454" s="23"/>
      <c r="AW1454" s="23"/>
      <c r="AX1454" s="23"/>
      <c r="AY1454" s="16"/>
      <c r="AZ1454" s="23"/>
      <c r="BA1454" s="23"/>
      <c r="BB1454" s="23"/>
      <c r="BC1454" s="16"/>
      <c r="BD1454" s="23"/>
      <c r="BE1454" s="23"/>
      <c r="BF1454" s="23"/>
      <c r="BJ1454" s="23"/>
      <c r="BN1454" s="23"/>
      <c r="BO1454" s="23">
        <v>375.0</v>
      </c>
      <c r="BP1454" s="16"/>
      <c r="BQ1454" s="16"/>
      <c r="BR1454" s="23">
        <v>375.0</v>
      </c>
      <c r="BS1454" s="16"/>
      <c r="BT1454" s="16"/>
      <c r="BU1454" s="16" t="s">
        <v>539</v>
      </c>
      <c r="BV1454" s="16"/>
      <c r="BW1454" s="16"/>
      <c r="BX1454" s="16"/>
      <c r="BY1454" s="16"/>
    </row>
    <row r="1455">
      <c r="A1455" s="16" t="s">
        <v>7991</v>
      </c>
      <c r="B1455" s="16" t="s">
        <v>35</v>
      </c>
      <c r="C1455" s="22">
        <v>45910.0</v>
      </c>
      <c r="D1455" s="16" t="s">
        <v>2248</v>
      </c>
      <c r="E1455" s="16"/>
      <c r="F1455" s="16" t="s">
        <v>8055</v>
      </c>
      <c r="G1455" s="16" t="s">
        <v>3218</v>
      </c>
      <c r="H1455" s="16">
        <v>1.0</v>
      </c>
      <c r="I1455" s="23">
        <v>185.0</v>
      </c>
      <c r="J1455" s="23">
        <v>185.0</v>
      </c>
      <c r="K1455" s="16"/>
      <c r="L1455" s="23"/>
      <c r="M1455" s="23"/>
      <c r="N1455" s="23"/>
      <c r="O1455" s="16"/>
      <c r="P1455" s="23"/>
      <c r="Q1455" s="23"/>
      <c r="R1455" s="23"/>
      <c r="S1455" s="16"/>
      <c r="T1455" s="23"/>
      <c r="U1455" s="23"/>
      <c r="V1455" s="23"/>
      <c r="W1455" s="16"/>
      <c r="X1455" s="23"/>
      <c r="Y1455" s="23"/>
      <c r="Z1455" s="23"/>
      <c r="AA1455" s="16"/>
      <c r="AB1455" s="23"/>
      <c r="AC1455" s="23"/>
      <c r="AD1455" s="23"/>
      <c r="AE1455" s="16"/>
      <c r="AF1455" s="23"/>
      <c r="AG1455" s="23"/>
      <c r="AH1455" s="23"/>
      <c r="AI1455" s="16"/>
      <c r="AJ1455" s="23"/>
      <c r="AK1455" s="23"/>
      <c r="AL1455" s="23"/>
      <c r="AM1455" s="16"/>
      <c r="AN1455" s="23"/>
      <c r="AO1455" s="23"/>
      <c r="AP1455" s="23"/>
      <c r="AQ1455" s="16"/>
      <c r="AR1455" s="23"/>
      <c r="AS1455" s="23"/>
      <c r="AT1455" s="23"/>
      <c r="AU1455" s="16"/>
      <c r="AV1455" s="23"/>
      <c r="AW1455" s="23"/>
      <c r="AX1455" s="23"/>
      <c r="AY1455" s="16"/>
      <c r="AZ1455" s="23"/>
      <c r="BA1455" s="23"/>
      <c r="BB1455" s="23"/>
      <c r="BC1455" s="16"/>
      <c r="BD1455" s="23"/>
      <c r="BE1455" s="23"/>
      <c r="BF1455" s="23"/>
      <c r="BJ1455" s="23"/>
      <c r="BN1455" s="23"/>
      <c r="BO1455" s="23">
        <v>185.0</v>
      </c>
      <c r="BP1455" s="16"/>
      <c r="BQ1455" s="16"/>
      <c r="BR1455" s="23">
        <v>185.0</v>
      </c>
      <c r="BS1455" s="16"/>
      <c r="BT1455" s="16"/>
      <c r="BU1455" s="16" t="s">
        <v>539</v>
      </c>
      <c r="BV1455" s="16"/>
      <c r="BW1455" s="16"/>
      <c r="BX1455" s="16"/>
      <c r="BY1455" s="16"/>
    </row>
    <row r="1456">
      <c r="A1456" s="16">
        <v>1.8355004E7</v>
      </c>
      <c r="B1456" s="16" t="s">
        <v>35</v>
      </c>
      <c r="C1456" s="22">
        <v>45901.0</v>
      </c>
      <c r="D1456" s="16" t="s">
        <v>7740</v>
      </c>
      <c r="E1456" s="16" t="s">
        <v>9059</v>
      </c>
      <c r="F1456" s="16" t="s">
        <v>5136</v>
      </c>
      <c r="G1456" s="16" t="s">
        <v>6322</v>
      </c>
      <c r="H1456" s="16">
        <v>1.0</v>
      </c>
      <c r="I1456" s="23">
        <v>12.38</v>
      </c>
      <c r="J1456" s="23">
        <v>12.38</v>
      </c>
      <c r="K1456" s="16"/>
      <c r="L1456" s="23"/>
      <c r="M1456" s="23"/>
      <c r="N1456" s="23">
        <v>0.0</v>
      </c>
      <c r="O1456" s="16"/>
      <c r="P1456" s="23"/>
      <c r="Q1456" s="23"/>
      <c r="R1456" s="23">
        <v>0.0</v>
      </c>
      <c r="S1456" s="16"/>
      <c r="T1456" s="23"/>
      <c r="U1456" s="23"/>
      <c r="V1456" s="23">
        <v>0.0</v>
      </c>
      <c r="W1456" s="16"/>
      <c r="X1456" s="23"/>
      <c r="Y1456" s="23"/>
      <c r="Z1456" s="23">
        <v>0.0</v>
      </c>
      <c r="AA1456" s="16"/>
      <c r="AB1456" s="23"/>
      <c r="AC1456" s="23"/>
      <c r="AD1456" s="23">
        <v>0.0</v>
      </c>
      <c r="AE1456" s="16"/>
      <c r="AF1456" s="23"/>
      <c r="AG1456" s="23"/>
      <c r="AH1456" s="23">
        <v>0.0</v>
      </c>
      <c r="AI1456" s="16"/>
      <c r="AJ1456" s="23"/>
      <c r="AK1456" s="23"/>
      <c r="AL1456" s="23">
        <v>0.0</v>
      </c>
      <c r="AM1456" s="16"/>
      <c r="AN1456" s="23"/>
      <c r="AO1456" s="23"/>
      <c r="AP1456" s="23">
        <v>0.0</v>
      </c>
      <c r="AQ1456" s="16"/>
      <c r="AR1456" s="23"/>
      <c r="AS1456" s="23"/>
      <c r="AT1456" s="23">
        <v>0.0</v>
      </c>
      <c r="AU1456" s="16"/>
      <c r="AV1456" s="23"/>
      <c r="AW1456" s="23"/>
      <c r="AX1456" s="23">
        <v>0.0</v>
      </c>
      <c r="AY1456" s="16"/>
      <c r="AZ1456" s="23"/>
      <c r="BA1456" s="23"/>
      <c r="BB1456" s="23"/>
      <c r="BC1456" s="16"/>
      <c r="BD1456" s="23"/>
      <c r="BE1456" s="23"/>
      <c r="BF1456" s="23">
        <v>0.0</v>
      </c>
      <c r="BJ1456" s="23">
        <v>0.0</v>
      </c>
      <c r="BN1456" s="23">
        <v>0.0</v>
      </c>
      <c r="BO1456" s="23">
        <v>12.38</v>
      </c>
      <c r="BP1456" s="16" t="s">
        <v>9060</v>
      </c>
      <c r="BQ1456" s="16" t="b">
        <v>1</v>
      </c>
      <c r="BR1456" s="23">
        <v>12.38</v>
      </c>
      <c r="BS1456" s="16"/>
      <c r="BT1456" s="16" t="b">
        <v>0</v>
      </c>
      <c r="BU1456" s="16" t="s">
        <v>546</v>
      </c>
      <c r="BV1456" s="16"/>
      <c r="BW1456" s="16"/>
      <c r="BX1456" s="16"/>
      <c r="BY1456" s="16"/>
    </row>
    <row r="1457">
      <c r="A1457" s="16" t="s">
        <v>7996</v>
      </c>
      <c r="B1457" s="16" t="s">
        <v>35</v>
      </c>
      <c r="C1457" s="22">
        <v>45909.0</v>
      </c>
      <c r="D1457" s="16" t="s">
        <v>286</v>
      </c>
      <c r="E1457" s="16" t="s">
        <v>9063</v>
      </c>
      <c r="F1457" s="16" t="s">
        <v>9067</v>
      </c>
      <c r="G1457" s="16" t="s">
        <v>854</v>
      </c>
      <c r="H1457" s="16">
        <v>1.0</v>
      </c>
      <c r="I1457" s="23">
        <v>5.0</v>
      </c>
      <c r="J1457" s="23">
        <v>5.0</v>
      </c>
      <c r="K1457" s="16" t="s">
        <v>570</v>
      </c>
      <c r="L1457" s="23">
        <v>1.0</v>
      </c>
      <c r="M1457" s="23">
        <v>12.99</v>
      </c>
      <c r="N1457" s="23">
        <v>12.99</v>
      </c>
      <c r="O1457" s="16"/>
      <c r="P1457" s="23"/>
      <c r="Q1457" s="23"/>
      <c r="R1457" s="23">
        <v>0.0</v>
      </c>
      <c r="S1457" s="16"/>
      <c r="T1457" s="23"/>
      <c r="U1457" s="23"/>
      <c r="V1457" s="23">
        <v>0.0</v>
      </c>
      <c r="W1457" s="16"/>
      <c r="X1457" s="23"/>
      <c r="Y1457" s="23"/>
      <c r="Z1457" s="23">
        <v>0.0</v>
      </c>
      <c r="AA1457" s="16"/>
      <c r="AB1457" s="23"/>
      <c r="AC1457" s="23"/>
      <c r="AD1457" s="23">
        <v>0.0</v>
      </c>
      <c r="AE1457" s="16"/>
      <c r="AF1457" s="23"/>
      <c r="AG1457" s="23"/>
      <c r="AH1457" s="23">
        <v>0.0</v>
      </c>
      <c r="AI1457" s="16"/>
      <c r="AJ1457" s="23"/>
      <c r="AK1457" s="23"/>
      <c r="AL1457" s="23">
        <v>0.0</v>
      </c>
      <c r="AM1457" s="16"/>
      <c r="AN1457" s="23"/>
      <c r="AO1457" s="23"/>
      <c r="AP1457" s="23">
        <v>0.0</v>
      </c>
      <c r="AQ1457" s="16"/>
      <c r="AR1457" s="23"/>
      <c r="AS1457" s="23"/>
      <c r="AT1457" s="23">
        <v>0.0</v>
      </c>
      <c r="AU1457" s="16"/>
      <c r="AV1457" s="23"/>
      <c r="AW1457" s="23"/>
      <c r="AX1457" s="23">
        <v>0.0</v>
      </c>
      <c r="AY1457" s="16"/>
      <c r="AZ1457" s="23"/>
      <c r="BA1457" s="23"/>
      <c r="BB1457" s="23"/>
      <c r="BC1457" s="16"/>
      <c r="BD1457" s="23"/>
      <c r="BE1457" s="23"/>
      <c r="BF1457" s="23">
        <v>0.0</v>
      </c>
      <c r="BJ1457" s="23">
        <v>0.0</v>
      </c>
      <c r="BN1457" s="23">
        <v>0.0</v>
      </c>
      <c r="BO1457" s="23">
        <v>17.99</v>
      </c>
      <c r="BP1457" s="16" t="s">
        <v>9065</v>
      </c>
      <c r="BQ1457" s="16" t="b">
        <v>1</v>
      </c>
      <c r="BR1457" s="23">
        <v>17.99</v>
      </c>
      <c r="BS1457" s="16">
        <v>1670757.0</v>
      </c>
      <c r="BT1457" s="16" t="b">
        <v>1</v>
      </c>
      <c r="BU1457" s="16" t="s">
        <v>546</v>
      </c>
      <c r="BV1457" s="16"/>
      <c r="BW1457" s="16"/>
      <c r="BX1457" s="16"/>
      <c r="BY1457" s="16"/>
    </row>
    <row r="1458">
      <c r="A1458" s="16" t="s">
        <v>8000</v>
      </c>
      <c r="B1458" s="16" t="s">
        <v>35</v>
      </c>
      <c r="C1458" s="22">
        <v>45909.0</v>
      </c>
      <c r="D1458" s="16">
        <v>2.6065919E7</v>
      </c>
      <c r="E1458" s="16" t="s">
        <v>9072</v>
      </c>
      <c r="F1458" s="16" t="s">
        <v>5885</v>
      </c>
      <c r="G1458" s="16" t="s">
        <v>1022</v>
      </c>
      <c r="H1458" s="16">
        <v>1.0</v>
      </c>
      <c r="I1458" s="23">
        <v>160.0</v>
      </c>
      <c r="J1458" s="23">
        <v>160.0</v>
      </c>
      <c r="K1458" s="16"/>
      <c r="L1458" s="23"/>
      <c r="M1458" s="23"/>
      <c r="N1458" s="23">
        <v>0.0</v>
      </c>
      <c r="O1458" s="16"/>
      <c r="P1458" s="23"/>
      <c r="Q1458" s="23"/>
      <c r="R1458" s="23">
        <v>0.0</v>
      </c>
      <c r="S1458" s="16"/>
      <c r="T1458" s="23"/>
      <c r="U1458" s="23"/>
      <c r="V1458" s="23">
        <v>0.0</v>
      </c>
      <c r="W1458" s="16"/>
      <c r="X1458" s="23"/>
      <c r="Y1458" s="23"/>
      <c r="Z1458" s="23">
        <v>0.0</v>
      </c>
      <c r="AA1458" s="16"/>
      <c r="AB1458" s="23"/>
      <c r="AC1458" s="23"/>
      <c r="AD1458" s="23">
        <v>0.0</v>
      </c>
      <c r="AE1458" s="16"/>
      <c r="AF1458" s="23"/>
      <c r="AG1458" s="23"/>
      <c r="AH1458" s="23">
        <v>0.0</v>
      </c>
      <c r="AI1458" s="16"/>
      <c r="AJ1458" s="23"/>
      <c r="AK1458" s="23"/>
      <c r="AL1458" s="23">
        <v>0.0</v>
      </c>
      <c r="AM1458" s="16"/>
      <c r="AN1458" s="23"/>
      <c r="AO1458" s="23"/>
      <c r="AP1458" s="23">
        <v>0.0</v>
      </c>
      <c r="AQ1458" s="16"/>
      <c r="AR1458" s="23"/>
      <c r="AS1458" s="23"/>
      <c r="AT1458" s="23">
        <v>0.0</v>
      </c>
      <c r="AU1458" s="16"/>
      <c r="AV1458" s="23"/>
      <c r="AW1458" s="23"/>
      <c r="AX1458" s="23">
        <v>0.0</v>
      </c>
      <c r="AY1458" s="16"/>
      <c r="AZ1458" s="23"/>
      <c r="BA1458" s="23"/>
      <c r="BB1458" s="23"/>
      <c r="BC1458" s="16"/>
      <c r="BD1458" s="23"/>
      <c r="BE1458" s="23"/>
      <c r="BF1458" s="23">
        <v>0.0</v>
      </c>
      <c r="BJ1458" s="23">
        <v>0.0</v>
      </c>
      <c r="BN1458" s="23">
        <v>0.0</v>
      </c>
      <c r="BO1458" s="23">
        <v>160.0</v>
      </c>
      <c r="BP1458" s="16" t="s">
        <v>9073</v>
      </c>
      <c r="BQ1458" s="16" t="b">
        <v>1</v>
      </c>
      <c r="BR1458" s="23">
        <v>160.0</v>
      </c>
      <c r="BS1458" s="16">
        <v>1670931.0</v>
      </c>
      <c r="BT1458" s="16" t="b">
        <v>1</v>
      </c>
      <c r="BU1458" s="16" t="s">
        <v>546</v>
      </c>
      <c r="BV1458" s="16"/>
      <c r="BW1458" s="16"/>
      <c r="BX1458" s="16"/>
      <c r="BY1458" s="16"/>
    </row>
    <row r="1459">
      <c r="A1459" s="16">
        <v>4.417835E7</v>
      </c>
      <c r="B1459" s="16" t="s">
        <v>35</v>
      </c>
      <c r="C1459" s="22">
        <v>45910.0</v>
      </c>
      <c r="D1459" s="16" t="s">
        <v>112</v>
      </c>
      <c r="E1459" s="16" t="s">
        <v>9077</v>
      </c>
      <c r="F1459" s="16" t="s">
        <v>157</v>
      </c>
      <c r="G1459" s="16" t="s">
        <v>152</v>
      </c>
      <c r="H1459" s="16">
        <v>1.0</v>
      </c>
      <c r="I1459" s="23">
        <v>13.28</v>
      </c>
      <c r="J1459" s="23">
        <v>13.28</v>
      </c>
      <c r="K1459" s="16"/>
      <c r="L1459" s="23"/>
      <c r="M1459" s="23"/>
      <c r="N1459" s="23">
        <v>0.0</v>
      </c>
      <c r="O1459" s="16"/>
      <c r="P1459" s="23"/>
      <c r="Q1459" s="23"/>
      <c r="R1459" s="23">
        <v>0.0</v>
      </c>
      <c r="S1459" s="16"/>
      <c r="T1459" s="23"/>
      <c r="U1459" s="23"/>
      <c r="V1459" s="23">
        <v>0.0</v>
      </c>
      <c r="W1459" s="16"/>
      <c r="X1459" s="23"/>
      <c r="Y1459" s="23"/>
      <c r="Z1459" s="23">
        <v>0.0</v>
      </c>
      <c r="AA1459" s="16"/>
      <c r="AB1459" s="23"/>
      <c r="AC1459" s="23"/>
      <c r="AD1459" s="23">
        <v>0.0</v>
      </c>
      <c r="AE1459" s="16"/>
      <c r="AF1459" s="23"/>
      <c r="AG1459" s="23"/>
      <c r="AH1459" s="23">
        <v>0.0</v>
      </c>
      <c r="AI1459" s="16"/>
      <c r="AJ1459" s="23"/>
      <c r="AK1459" s="23"/>
      <c r="AL1459" s="23">
        <v>0.0</v>
      </c>
      <c r="AM1459" s="16"/>
      <c r="AN1459" s="23"/>
      <c r="AO1459" s="23"/>
      <c r="AP1459" s="23">
        <v>0.0</v>
      </c>
      <c r="AQ1459" s="16"/>
      <c r="AR1459" s="23"/>
      <c r="AS1459" s="23"/>
      <c r="AT1459" s="23">
        <v>0.0</v>
      </c>
      <c r="AU1459" s="16"/>
      <c r="AV1459" s="23"/>
      <c r="AW1459" s="23"/>
      <c r="AX1459" s="23">
        <v>0.0</v>
      </c>
      <c r="AY1459" s="16"/>
      <c r="AZ1459" s="23"/>
      <c r="BA1459" s="23"/>
      <c r="BB1459" s="23"/>
      <c r="BC1459" s="16"/>
      <c r="BD1459" s="23"/>
      <c r="BE1459" s="23"/>
      <c r="BF1459" s="23">
        <v>0.0</v>
      </c>
      <c r="BJ1459" s="23">
        <v>0.0</v>
      </c>
      <c r="BN1459" s="23">
        <v>0.0</v>
      </c>
      <c r="BO1459" s="23">
        <v>13.28</v>
      </c>
      <c r="BP1459" s="16" t="s">
        <v>9078</v>
      </c>
      <c r="BQ1459" s="16" t="b">
        <v>1</v>
      </c>
      <c r="BR1459" s="23">
        <v>13.28</v>
      </c>
      <c r="BS1459" s="16"/>
      <c r="BT1459" s="16" t="b">
        <v>0</v>
      </c>
      <c r="BU1459" s="16" t="s">
        <v>546</v>
      </c>
      <c r="BV1459" s="16"/>
      <c r="BW1459" s="16"/>
      <c r="BX1459" s="16"/>
      <c r="BY1459" s="16"/>
    </row>
    <row r="1460">
      <c r="A1460" s="16" t="s">
        <v>8004</v>
      </c>
      <c r="B1460" s="16" t="s">
        <v>35</v>
      </c>
      <c r="C1460" s="22">
        <v>45910.0</v>
      </c>
      <c r="D1460" s="16" t="s">
        <v>145</v>
      </c>
      <c r="E1460" s="16" t="s">
        <v>9081</v>
      </c>
      <c r="F1460" s="16" t="s">
        <v>9084</v>
      </c>
      <c r="G1460" s="16" t="s">
        <v>1046</v>
      </c>
      <c r="H1460" s="16">
        <v>1.0</v>
      </c>
      <c r="I1460" s="23">
        <v>100.0</v>
      </c>
      <c r="J1460" s="23">
        <v>100.0</v>
      </c>
      <c r="K1460" s="16" t="s">
        <v>1683</v>
      </c>
      <c r="L1460" s="23">
        <v>1.0</v>
      </c>
      <c r="M1460" s="23">
        <v>128.0</v>
      </c>
      <c r="N1460" s="23">
        <v>128.0</v>
      </c>
      <c r="O1460" s="16"/>
      <c r="P1460" s="23"/>
      <c r="Q1460" s="23"/>
      <c r="R1460" s="23">
        <v>0.0</v>
      </c>
      <c r="S1460" s="16"/>
      <c r="T1460" s="23"/>
      <c r="U1460" s="23"/>
      <c r="V1460" s="23">
        <v>0.0</v>
      </c>
      <c r="W1460" s="16"/>
      <c r="X1460" s="23"/>
      <c r="Y1460" s="23"/>
      <c r="Z1460" s="23">
        <v>0.0</v>
      </c>
      <c r="AA1460" s="16"/>
      <c r="AB1460" s="23"/>
      <c r="AC1460" s="23"/>
      <c r="AD1460" s="23">
        <v>0.0</v>
      </c>
      <c r="AE1460" s="16"/>
      <c r="AF1460" s="23"/>
      <c r="AG1460" s="23"/>
      <c r="AH1460" s="23">
        <v>0.0</v>
      </c>
      <c r="AI1460" s="16"/>
      <c r="AJ1460" s="23"/>
      <c r="AK1460" s="23"/>
      <c r="AL1460" s="23">
        <v>0.0</v>
      </c>
      <c r="AM1460" s="16"/>
      <c r="AN1460" s="23"/>
      <c r="AO1460" s="23"/>
      <c r="AP1460" s="23">
        <v>0.0</v>
      </c>
      <c r="AQ1460" s="16"/>
      <c r="AR1460" s="23"/>
      <c r="AS1460" s="23"/>
      <c r="AT1460" s="23">
        <v>0.0</v>
      </c>
      <c r="AU1460" s="16"/>
      <c r="AV1460" s="23"/>
      <c r="AW1460" s="23"/>
      <c r="AX1460" s="23">
        <v>0.0</v>
      </c>
      <c r="AY1460" s="16"/>
      <c r="AZ1460" s="23"/>
      <c r="BA1460" s="23"/>
      <c r="BB1460" s="23"/>
      <c r="BC1460" s="16"/>
      <c r="BD1460" s="23"/>
      <c r="BE1460" s="23"/>
      <c r="BF1460" s="23">
        <v>0.0</v>
      </c>
      <c r="BJ1460" s="23">
        <v>0.0</v>
      </c>
      <c r="BN1460" s="23">
        <v>0.0</v>
      </c>
      <c r="BO1460" s="23">
        <v>228.0</v>
      </c>
      <c r="BP1460" s="16" t="s">
        <v>9083</v>
      </c>
      <c r="BQ1460" s="16" t="b">
        <v>1</v>
      </c>
      <c r="BR1460" s="23">
        <v>228.0</v>
      </c>
      <c r="BS1460" s="16"/>
      <c r="BT1460" s="16" t="b">
        <v>0</v>
      </c>
      <c r="BU1460" s="16" t="s">
        <v>546</v>
      </c>
      <c r="BV1460" s="16"/>
      <c r="BW1460" s="16"/>
      <c r="BX1460" s="16"/>
      <c r="BY1460" s="16"/>
    </row>
    <row r="1461">
      <c r="A1461" s="16" t="s">
        <v>8009</v>
      </c>
      <c r="B1461" s="16" t="s">
        <v>35</v>
      </c>
      <c r="C1461" s="22">
        <v>45911.0</v>
      </c>
      <c r="D1461" s="16" t="s">
        <v>353</v>
      </c>
      <c r="E1461" s="16" t="s">
        <v>9089</v>
      </c>
      <c r="F1461" s="16" t="s">
        <v>9092</v>
      </c>
      <c r="G1461" s="16" t="s">
        <v>8010</v>
      </c>
      <c r="H1461" s="16">
        <v>2.0</v>
      </c>
      <c r="I1461" s="23">
        <v>107.5</v>
      </c>
      <c r="J1461" s="23">
        <v>215.0</v>
      </c>
      <c r="K1461" s="16" t="s">
        <v>688</v>
      </c>
      <c r="L1461" s="23">
        <v>1.0</v>
      </c>
      <c r="M1461" s="23">
        <v>374.32</v>
      </c>
      <c r="N1461" s="23">
        <v>374.32</v>
      </c>
      <c r="O1461" s="16"/>
      <c r="P1461" s="23"/>
      <c r="Q1461" s="23"/>
      <c r="R1461" s="23">
        <v>0.0</v>
      </c>
      <c r="S1461" s="16"/>
      <c r="T1461" s="23"/>
      <c r="U1461" s="23"/>
      <c r="V1461" s="23">
        <v>0.0</v>
      </c>
      <c r="W1461" s="16"/>
      <c r="X1461" s="23"/>
      <c r="Y1461" s="23"/>
      <c r="Z1461" s="23">
        <v>0.0</v>
      </c>
      <c r="AA1461" s="16"/>
      <c r="AB1461" s="23"/>
      <c r="AC1461" s="23"/>
      <c r="AD1461" s="23">
        <v>0.0</v>
      </c>
      <c r="AE1461" s="16"/>
      <c r="AF1461" s="23"/>
      <c r="AG1461" s="23"/>
      <c r="AH1461" s="23">
        <v>0.0</v>
      </c>
      <c r="AI1461" s="16"/>
      <c r="AJ1461" s="23"/>
      <c r="AK1461" s="23"/>
      <c r="AL1461" s="23">
        <v>0.0</v>
      </c>
      <c r="AM1461" s="16"/>
      <c r="AN1461" s="23"/>
      <c r="AO1461" s="23"/>
      <c r="AP1461" s="23">
        <v>0.0</v>
      </c>
      <c r="AQ1461" s="16"/>
      <c r="AR1461" s="23"/>
      <c r="AS1461" s="23"/>
      <c r="AT1461" s="23">
        <v>0.0</v>
      </c>
      <c r="AU1461" s="16"/>
      <c r="AV1461" s="23"/>
      <c r="AW1461" s="23"/>
      <c r="AX1461" s="23">
        <v>0.0</v>
      </c>
      <c r="AY1461" s="16"/>
      <c r="AZ1461" s="23"/>
      <c r="BA1461" s="23"/>
      <c r="BB1461" s="23"/>
      <c r="BC1461" s="16"/>
      <c r="BD1461" s="23"/>
      <c r="BE1461" s="23"/>
      <c r="BF1461" s="23">
        <v>0.0</v>
      </c>
      <c r="BJ1461" s="23">
        <v>0.0</v>
      </c>
      <c r="BN1461" s="23">
        <v>0.0</v>
      </c>
      <c r="BO1461" s="23">
        <v>589.32</v>
      </c>
      <c r="BP1461" s="16" t="s">
        <v>9090</v>
      </c>
      <c r="BQ1461" s="16" t="b">
        <v>1</v>
      </c>
      <c r="BR1461" s="23">
        <v>589.32</v>
      </c>
      <c r="BS1461" s="16">
        <v>1674296.0</v>
      </c>
      <c r="BT1461" s="16" t="b">
        <v>1</v>
      </c>
      <c r="BU1461" s="16" t="s">
        <v>546</v>
      </c>
      <c r="BV1461" s="16"/>
      <c r="BW1461" s="16"/>
      <c r="BX1461" s="16"/>
      <c r="BY1461" s="16"/>
    </row>
    <row r="1462">
      <c r="A1462" s="16" t="s">
        <v>8015</v>
      </c>
      <c r="B1462" s="16" t="s">
        <v>35</v>
      </c>
      <c r="C1462" s="22">
        <v>45911.0</v>
      </c>
      <c r="D1462" s="16" t="s">
        <v>764</v>
      </c>
      <c r="E1462" s="16" t="s">
        <v>9097</v>
      </c>
      <c r="F1462" s="16" t="s">
        <v>195</v>
      </c>
      <c r="G1462" s="16" t="s">
        <v>1073</v>
      </c>
      <c r="H1462" s="16">
        <v>1.0</v>
      </c>
      <c r="I1462" s="23">
        <v>21.0</v>
      </c>
      <c r="J1462" s="23">
        <v>21.0</v>
      </c>
      <c r="K1462" s="16" t="s">
        <v>1077</v>
      </c>
      <c r="L1462" s="23">
        <v>1.0</v>
      </c>
      <c r="M1462" s="23">
        <v>25.8</v>
      </c>
      <c r="N1462" s="23">
        <v>25.8</v>
      </c>
      <c r="O1462" s="16" t="s">
        <v>1079</v>
      </c>
      <c r="P1462" s="23">
        <v>10.0</v>
      </c>
      <c r="Q1462" s="23">
        <v>18.0</v>
      </c>
      <c r="R1462" s="23">
        <v>180.0</v>
      </c>
      <c r="S1462" s="16" t="s">
        <v>1081</v>
      </c>
      <c r="T1462" s="23">
        <v>1.0</v>
      </c>
      <c r="U1462" s="23">
        <v>48.0</v>
      </c>
      <c r="V1462" s="23">
        <v>48.0</v>
      </c>
      <c r="W1462" s="16">
        <v>7.5375964E7</v>
      </c>
      <c r="X1462" s="23">
        <v>2.0</v>
      </c>
      <c r="Y1462" s="23">
        <v>40.2</v>
      </c>
      <c r="Z1462" s="23">
        <v>80.4</v>
      </c>
      <c r="AA1462" s="16"/>
      <c r="AB1462" s="23"/>
      <c r="AC1462" s="23"/>
      <c r="AD1462" s="23">
        <v>0.0</v>
      </c>
      <c r="AE1462" s="16"/>
      <c r="AF1462" s="23"/>
      <c r="AG1462" s="23"/>
      <c r="AH1462" s="23">
        <v>0.0</v>
      </c>
      <c r="AI1462" s="16"/>
      <c r="AJ1462" s="23"/>
      <c r="AK1462" s="23"/>
      <c r="AL1462" s="23">
        <v>0.0</v>
      </c>
      <c r="AM1462" s="16"/>
      <c r="AN1462" s="23"/>
      <c r="AO1462" s="23"/>
      <c r="AP1462" s="23">
        <v>0.0</v>
      </c>
      <c r="AQ1462" s="16"/>
      <c r="AR1462" s="23"/>
      <c r="AS1462" s="23"/>
      <c r="AT1462" s="23">
        <v>0.0</v>
      </c>
      <c r="AU1462" s="16"/>
      <c r="AV1462" s="23"/>
      <c r="AW1462" s="23"/>
      <c r="AX1462" s="23">
        <v>0.0</v>
      </c>
      <c r="AY1462" s="16"/>
      <c r="AZ1462" s="23"/>
      <c r="BA1462" s="23"/>
      <c r="BB1462" s="23"/>
      <c r="BC1462" s="16"/>
      <c r="BD1462" s="23"/>
      <c r="BE1462" s="23"/>
      <c r="BF1462" s="23">
        <v>0.0</v>
      </c>
      <c r="BJ1462" s="23">
        <v>0.0</v>
      </c>
      <c r="BN1462" s="23">
        <v>0.0</v>
      </c>
      <c r="BO1462" s="23">
        <v>355.2</v>
      </c>
      <c r="BP1462" s="16" t="s">
        <v>9098</v>
      </c>
      <c r="BQ1462" s="16" t="b">
        <v>1</v>
      </c>
      <c r="BR1462" s="23">
        <v>355.2</v>
      </c>
      <c r="BS1462" s="16"/>
      <c r="BT1462" s="16" t="b">
        <v>0</v>
      </c>
      <c r="BU1462" s="16" t="s">
        <v>546</v>
      </c>
      <c r="BV1462" s="16"/>
      <c r="BW1462" s="16"/>
      <c r="BX1462" s="16"/>
      <c r="BY1462" s="16"/>
    </row>
    <row r="1463">
      <c r="A1463" s="16" t="s">
        <v>8022</v>
      </c>
      <c r="B1463" s="16" t="s">
        <v>35</v>
      </c>
      <c r="C1463" s="22">
        <v>45912.0</v>
      </c>
      <c r="D1463" s="16" t="s">
        <v>2613</v>
      </c>
      <c r="E1463" s="16" t="s">
        <v>9103</v>
      </c>
      <c r="F1463" s="16" t="s">
        <v>482</v>
      </c>
      <c r="G1463" s="16" t="s">
        <v>981</v>
      </c>
      <c r="H1463" s="16">
        <v>6.0</v>
      </c>
      <c r="I1463" s="23">
        <v>4.9</v>
      </c>
      <c r="J1463" s="23">
        <v>29.4</v>
      </c>
      <c r="K1463" s="16" t="s">
        <v>238</v>
      </c>
      <c r="L1463" s="23">
        <v>12.0</v>
      </c>
      <c r="M1463" s="23">
        <v>5.2</v>
      </c>
      <c r="N1463" s="23">
        <v>62.4</v>
      </c>
      <c r="O1463" s="16" t="s">
        <v>240</v>
      </c>
      <c r="P1463" s="23">
        <v>5.0</v>
      </c>
      <c r="Q1463" s="23">
        <v>5.4</v>
      </c>
      <c r="R1463" s="23">
        <v>27.0</v>
      </c>
      <c r="S1463" s="16" t="s">
        <v>242</v>
      </c>
      <c r="T1463" s="23">
        <v>6.0</v>
      </c>
      <c r="U1463" s="23">
        <v>5.4</v>
      </c>
      <c r="V1463" s="23">
        <v>32.4</v>
      </c>
      <c r="W1463" s="16" t="s">
        <v>243</v>
      </c>
      <c r="X1463" s="23">
        <v>5.0</v>
      </c>
      <c r="Y1463" s="23">
        <v>6.2</v>
      </c>
      <c r="Z1463" s="23">
        <v>31.0</v>
      </c>
      <c r="AA1463" s="16"/>
      <c r="AB1463" s="23"/>
      <c r="AC1463" s="23"/>
      <c r="AD1463" s="23">
        <v>0.0</v>
      </c>
      <c r="AE1463" s="16"/>
      <c r="AF1463" s="23"/>
      <c r="AG1463" s="23"/>
      <c r="AH1463" s="23">
        <v>0.0</v>
      </c>
      <c r="AI1463" s="16"/>
      <c r="AJ1463" s="23"/>
      <c r="AK1463" s="23"/>
      <c r="AL1463" s="23">
        <v>0.0</v>
      </c>
      <c r="AM1463" s="16"/>
      <c r="AN1463" s="23"/>
      <c r="AO1463" s="23"/>
      <c r="AP1463" s="23">
        <v>0.0</v>
      </c>
      <c r="AQ1463" s="16"/>
      <c r="AR1463" s="23"/>
      <c r="AS1463" s="23"/>
      <c r="AT1463" s="23">
        <v>0.0</v>
      </c>
      <c r="AU1463" s="16"/>
      <c r="AV1463" s="23"/>
      <c r="AW1463" s="23"/>
      <c r="AX1463" s="23">
        <v>0.0</v>
      </c>
      <c r="AY1463" s="16"/>
      <c r="AZ1463" s="23"/>
      <c r="BA1463" s="23"/>
      <c r="BB1463" s="23"/>
      <c r="BC1463" s="16"/>
      <c r="BD1463" s="23"/>
      <c r="BE1463" s="23"/>
      <c r="BF1463" s="23">
        <v>0.0</v>
      </c>
      <c r="BJ1463" s="23">
        <v>0.0</v>
      </c>
      <c r="BN1463" s="23">
        <v>0.0</v>
      </c>
      <c r="BO1463" s="23">
        <v>182.2</v>
      </c>
      <c r="BP1463" s="16" t="s">
        <v>9106</v>
      </c>
      <c r="BQ1463" s="16" t="b">
        <v>1</v>
      </c>
      <c r="BR1463" s="23">
        <v>182.2</v>
      </c>
      <c r="BS1463" s="16">
        <v>1676161.0</v>
      </c>
      <c r="BT1463" s="16" t="b">
        <v>1</v>
      </c>
      <c r="BU1463" s="16" t="s">
        <v>546</v>
      </c>
      <c r="BV1463" s="16"/>
      <c r="BW1463" s="16"/>
      <c r="BX1463" s="16"/>
      <c r="BY1463" s="16"/>
    </row>
    <row r="1464">
      <c r="A1464" s="16" t="s">
        <v>8037</v>
      </c>
      <c r="B1464" s="16" t="s">
        <v>35</v>
      </c>
      <c r="C1464" s="22">
        <v>45912.0</v>
      </c>
      <c r="D1464" s="16" t="s">
        <v>3493</v>
      </c>
      <c r="E1464" s="16" t="s">
        <v>9111</v>
      </c>
      <c r="F1464" s="16" t="s">
        <v>9114</v>
      </c>
      <c r="G1464" s="16" t="s">
        <v>305</v>
      </c>
      <c r="H1464" s="16">
        <v>1.0</v>
      </c>
      <c r="I1464" s="23">
        <v>127.55</v>
      </c>
      <c r="J1464" s="23">
        <v>127.55</v>
      </c>
      <c r="K1464" s="16"/>
      <c r="L1464" s="23"/>
      <c r="M1464" s="23"/>
      <c r="N1464" s="23">
        <v>0.0</v>
      </c>
      <c r="O1464" s="16"/>
      <c r="P1464" s="23"/>
      <c r="Q1464" s="23"/>
      <c r="R1464" s="23">
        <v>0.0</v>
      </c>
      <c r="S1464" s="16"/>
      <c r="T1464" s="23"/>
      <c r="U1464" s="23"/>
      <c r="V1464" s="23">
        <v>0.0</v>
      </c>
      <c r="W1464" s="16"/>
      <c r="X1464" s="23"/>
      <c r="Y1464" s="23"/>
      <c r="Z1464" s="23">
        <v>0.0</v>
      </c>
      <c r="AA1464" s="16"/>
      <c r="AB1464" s="23"/>
      <c r="AC1464" s="23"/>
      <c r="AD1464" s="23">
        <v>0.0</v>
      </c>
      <c r="AE1464" s="16"/>
      <c r="AF1464" s="23"/>
      <c r="AG1464" s="23"/>
      <c r="AH1464" s="23">
        <v>0.0</v>
      </c>
      <c r="AI1464" s="16"/>
      <c r="AJ1464" s="23"/>
      <c r="AK1464" s="23"/>
      <c r="AL1464" s="23">
        <v>0.0</v>
      </c>
      <c r="AM1464" s="16"/>
      <c r="AN1464" s="23"/>
      <c r="AO1464" s="23"/>
      <c r="AP1464" s="23">
        <v>0.0</v>
      </c>
      <c r="AQ1464" s="16"/>
      <c r="AR1464" s="23"/>
      <c r="AS1464" s="23"/>
      <c r="AT1464" s="23">
        <v>0.0</v>
      </c>
      <c r="AU1464" s="16"/>
      <c r="AV1464" s="23"/>
      <c r="AW1464" s="23"/>
      <c r="AX1464" s="23">
        <v>0.0</v>
      </c>
      <c r="AY1464" s="16"/>
      <c r="AZ1464" s="23"/>
      <c r="BA1464" s="23"/>
      <c r="BB1464" s="23"/>
      <c r="BC1464" s="16"/>
      <c r="BD1464" s="23"/>
      <c r="BE1464" s="23"/>
      <c r="BF1464" s="23">
        <v>0.0</v>
      </c>
      <c r="BJ1464" s="23">
        <v>0.0</v>
      </c>
      <c r="BN1464" s="23">
        <v>0.0</v>
      </c>
      <c r="BO1464" s="23">
        <v>127.55</v>
      </c>
      <c r="BP1464" s="16" t="s">
        <v>9113</v>
      </c>
      <c r="BQ1464" s="16" t="b">
        <v>1</v>
      </c>
      <c r="BR1464" s="23">
        <v>127.55</v>
      </c>
      <c r="BS1464" s="16">
        <v>1675945.0</v>
      </c>
      <c r="BT1464" s="16" t="b">
        <v>1</v>
      </c>
      <c r="BU1464" s="16" t="s">
        <v>546</v>
      </c>
      <c r="BV1464" s="16"/>
      <c r="BW1464" s="16"/>
      <c r="BX1464" s="16"/>
      <c r="BY1464" s="16"/>
    </row>
    <row r="1465">
      <c r="A1465" s="16" t="s">
        <v>8039</v>
      </c>
      <c r="B1465" s="16" t="s">
        <v>35</v>
      </c>
      <c r="C1465" s="22">
        <v>45912.0</v>
      </c>
      <c r="D1465" s="16" t="s">
        <v>112</v>
      </c>
      <c r="E1465" s="16" t="s">
        <v>9117</v>
      </c>
      <c r="F1465" s="16" t="s">
        <v>157</v>
      </c>
      <c r="G1465" s="16" t="s">
        <v>159</v>
      </c>
      <c r="H1465" s="16">
        <v>20.0</v>
      </c>
      <c r="I1465" s="23">
        <v>10.0</v>
      </c>
      <c r="J1465" s="23">
        <v>200.0</v>
      </c>
      <c r="K1465" s="16" t="s">
        <v>155</v>
      </c>
      <c r="L1465" s="23">
        <v>1.0</v>
      </c>
      <c r="M1465" s="23">
        <v>49.5</v>
      </c>
      <c r="N1465" s="23">
        <v>49.5</v>
      </c>
      <c r="O1465" s="16" t="s">
        <v>226</v>
      </c>
      <c r="P1465" s="23">
        <v>5.0</v>
      </c>
      <c r="Q1465" s="23">
        <v>9.5</v>
      </c>
      <c r="R1465" s="23">
        <v>47.5</v>
      </c>
      <c r="S1465" s="16"/>
      <c r="T1465" s="23"/>
      <c r="U1465" s="23"/>
      <c r="V1465" s="23">
        <v>0.0</v>
      </c>
      <c r="W1465" s="16"/>
      <c r="X1465" s="23"/>
      <c r="Y1465" s="23"/>
      <c r="Z1465" s="23">
        <v>0.0</v>
      </c>
      <c r="AA1465" s="16"/>
      <c r="AB1465" s="23"/>
      <c r="AC1465" s="23"/>
      <c r="AD1465" s="23">
        <v>0.0</v>
      </c>
      <c r="AE1465" s="16"/>
      <c r="AF1465" s="23"/>
      <c r="AG1465" s="23"/>
      <c r="AH1465" s="23">
        <v>0.0</v>
      </c>
      <c r="AI1465" s="16"/>
      <c r="AJ1465" s="23"/>
      <c r="AK1465" s="23"/>
      <c r="AL1465" s="23">
        <v>0.0</v>
      </c>
      <c r="AM1465" s="16"/>
      <c r="AN1465" s="23"/>
      <c r="AO1465" s="23"/>
      <c r="AP1465" s="23">
        <v>0.0</v>
      </c>
      <c r="AQ1465" s="16"/>
      <c r="AR1465" s="23"/>
      <c r="AS1465" s="23"/>
      <c r="AT1465" s="23">
        <v>0.0</v>
      </c>
      <c r="AU1465" s="16"/>
      <c r="AV1465" s="23"/>
      <c r="AW1465" s="23"/>
      <c r="AX1465" s="23">
        <v>0.0</v>
      </c>
      <c r="AY1465" s="16"/>
      <c r="AZ1465" s="23"/>
      <c r="BA1465" s="23"/>
      <c r="BB1465" s="23"/>
      <c r="BC1465" s="16"/>
      <c r="BD1465" s="23"/>
      <c r="BE1465" s="23"/>
      <c r="BF1465" s="23">
        <v>0.0</v>
      </c>
      <c r="BJ1465" s="23">
        <v>0.0</v>
      </c>
      <c r="BN1465" s="23">
        <v>0.0</v>
      </c>
      <c r="BO1465" s="23">
        <v>297.0</v>
      </c>
      <c r="BP1465" s="16" t="s">
        <v>9119</v>
      </c>
      <c r="BQ1465" s="16" t="b">
        <v>1</v>
      </c>
      <c r="BR1465" s="23">
        <v>297.0</v>
      </c>
      <c r="BS1465" s="16"/>
      <c r="BT1465" s="16" t="b">
        <v>0</v>
      </c>
      <c r="BU1465" s="16" t="s">
        <v>546</v>
      </c>
      <c r="BV1465" s="16"/>
      <c r="BW1465" s="16"/>
      <c r="BX1465" s="16"/>
      <c r="BY1465" s="16"/>
    </row>
    <row r="1466">
      <c r="A1466" s="16" t="s">
        <v>8045</v>
      </c>
      <c r="B1466" s="16" t="s">
        <v>35</v>
      </c>
      <c r="C1466" s="22">
        <v>45912.0</v>
      </c>
      <c r="D1466" s="16" t="s">
        <v>543</v>
      </c>
      <c r="E1466" s="16" t="s">
        <v>9122</v>
      </c>
      <c r="F1466" s="16" t="s">
        <v>171</v>
      </c>
      <c r="G1466" s="16">
        <v>1.2539885E7</v>
      </c>
      <c r="H1466" s="16">
        <v>1.0</v>
      </c>
      <c r="I1466" s="23">
        <v>490.0</v>
      </c>
      <c r="J1466" s="23">
        <v>490.0</v>
      </c>
      <c r="K1466" s="16"/>
      <c r="L1466" s="23"/>
      <c r="M1466" s="23"/>
      <c r="N1466" s="23">
        <v>0.0</v>
      </c>
      <c r="O1466" s="16"/>
      <c r="P1466" s="23"/>
      <c r="Q1466" s="23"/>
      <c r="R1466" s="23">
        <v>0.0</v>
      </c>
      <c r="S1466" s="16"/>
      <c r="T1466" s="23"/>
      <c r="U1466" s="23"/>
      <c r="V1466" s="23">
        <v>0.0</v>
      </c>
      <c r="W1466" s="16"/>
      <c r="X1466" s="23"/>
      <c r="Y1466" s="23"/>
      <c r="Z1466" s="23">
        <v>0.0</v>
      </c>
      <c r="AA1466" s="16"/>
      <c r="AB1466" s="23"/>
      <c r="AC1466" s="23"/>
      <c r="AD1466" s="23">
        <v>0.0</v>
      </c>
      <c r="AE1466" s="16"/>
      <c r="AF1466" s="23"/>
      <c r="AG1466" s="23"/>
      <c r="AH1466" s="23">
        <v>0.0</v>
      </c>
      <c r="AI1466" s="16"/>
      <c r="AJ1466" s="23"/>
      <c r="AK1466" s="23"/>
      <c r="AL1466" s="23">
        <v>0.0</v>
      </c>
      <c r="AM1466" s="16"/>
      <c r="AN1466" s="23"/>
      <c r="AO1466" s="23"/>
      <c r="AP1466" s="23">
        <v>0.0</v>
      </c>
      <c r="AQ1466" s="16"/>
      <c r="AR1466" s="23"/>
      <c r="AS1466" s="23"/>
      <c r="AT1466" s="23">
        <v>0.0</v>
      </c>
      <c r="AU1466" s="16"/>
      <c r="AV1466" s="23"/>
      <c r="AW1466" s="23"/>
      <c r="AX1466" s="23">
        <v>0.0</v>
      </c>
      <c r="AY1466" s="16"/>
      <c r="AZ1466" s="23"/>
      <c r="BA1466" s="23"/>
      <c r="BB1466" s="23"/>
      <c r="BC1466" s="16"/>
      <c r="BD1466" s="23"/>
      <c r="BE1466" s="23"/>
      <c r="BF1466" s="23">
        <v>0.0</v>
      </c>
      <c r="BJ1466" s="23">
        <v>0.0</v>
      </c>
      <c r="BN1466" s="23">
        <v>0.0</v>
      </c>
      <c r="BO1466" s="23">
        <v>490.0</v>
      </c>
      <c r="BP1466" s="16" t="s">
        <v>9123</v>
      </c>
      <c r="BQ1466" s="16" t="b">
        <v>1</v>
      </c>
      <c r="BR1466" s="23">
        <v>490.0</v>
      </c>
      <c r="BS1466" s="16"/>
      <c r="BT1466" s="16" t="b">
        <v>0</v>
      </c>
      <c r="BU1466" s="16" t="s">
        <v>546</v>
      </c>
      <c r="BV1466" s="16"/>
      <c r="BW1466" s="16"/>
      <c r="BX1466" s="16"/>
      <c r="BY1466" s="16"/>
    </row>
    <row r="1467">
      <c r="A1467" s="16" t="s">
        <v>8048</v>
      </c>
      <c r="B1467" s="16" t="s">
        <v>35</v>
      </c>
      <c r="C1467" s="22">
        <v>45913.0</v>
      </c>
      <c r="D1467" s="16" t="s">
        <v>3493</v>
      </c>
      <c r="E1467" s="16" t="s">
        <v>9126</v>
      </c>
      <c r="F1467" s="16" t="s">
        <v>9129</v>
      </c>
      <c r="G1467" s="16" t="s">
        <v>6306</v>
      </c>
      <c r="H1467" s="16">
        <v>1.0</v>
      </c>
      <c r="I1467" s="23">
        <v>118.93</v>
      </c>
      <c r="J1467" s="23">
        <v>118.93</v>
      </c>
      <c r="K1467" s="16"/>
      <c r="L1467" s="23"/>
      <c r="M1467" s="23"/>
      <c r="N1467" s="23">
        <v>0.0</v>
      </c>
      <c r="O1467" s="16"/>
      <c r="P1467" s="23"/>
      <c r="Q1467" s="23"/>
      <c r="R1467" s="23">
        <v>0.0</v>
      </c>
      <c r="S1467" s="16"/>
      <c r="T1467" s="23"/>
      <c r="U1467" s="23"/>
      <c r="V1467" s="23">
        <v>0.0</v>
      </c>
      <c r="W1467" s="16"/>
      <c r="X1467" s="23"/>
      <c r="Y1467" s="23"/>
      <c r="Z1467" s="23">
        <v>0.0</v>
      </c>
      <c r="AA1467" s="16"/>
      <c r="AB1467" s="23"/>
      <c r="AC1467" s="23"/>
      <c r="AD1467" s="23">
        <v>0.0</v>
      </c>
      <c r="AE1467" s="16"/>
      <c r="AF1467" s="23"/>
      <c r="AG1467" s="23"/>
      <c r="AH1467" s="23">
        <v>0.0</v>
      </c>
      <c r="AI1467" s="16"/>
      <c r="AJ1467" s="23"/>
      <c r="AK1467" s="23"/>
      <c r="AL1467" s="23">
        <v>0.0</v>
      </c>
      <c r="AM1467" s="16"/>
      <c r="AN1467" s="23"/>
      <c r="AO1467" s="23"/>
      <c r="AP1467" s="23">
        <v>0.0</v>
      </c>
      <c r="AQ1467" s="16"/>
      <c r="AR1467" s="23"/>
      <c r="AS1467" s="23"/>
      <c r="AT1467" s="23">
        <v>0.0</v>
      </c>
      <c r="AU1467" s="16"/>
      <c r="AV1467" s="23"/>
      <c r="AW1467" s="23"/>
      <c r="AX1467" s="23">
        <v>0.0</v>
      </c>
      <c r="AY1467" s="16"/>
      <c r="AZ1467" s="23"/>
      <c r="BA1467" s="23"/>
      <c r="BB1467" s="23"/>
      <c r="BC1467" s="16"/>
      <c r="BD1467" s="23"/>
      <c r="BE1467" s="23"/>
      <c r="BF1467" s="23">
        <v>0.0</v>
      </c>
      <c r="BJ1467" s="23">
        <v>0.0</v>
      </c>
      <c r="BN1467" s="23">
        <v>0.0</v>
      </c>
      <c r="BO1467" s="23">
        <v>118.93</v>
      </c>
      <c r="BP1467" s="16" t="s">
        <v>9127</v>
      </c>
      <c r="BQ1467" s="16" t="b">
        <v>1</v>
      </c>
      <c r="BR1467" s="23">
        <v>118.93</v>
      </c>
      <c r="BS1467" s="16">
        <v>1677905.0</v>
      </c>
      <c r="BT1467" s="16" t="b">
        <v>1</v>
      </c>
      <c r="BU1467" s="16" t="s">
        <v>546</v>
      </c>
      <c r="BV1467" s="16"/>
      <c r="BW1467" s="16"/>
      <c r="BX1467" s="16"/>
      <c r="BY1467" s="16"/>
    </row>
    <row r="1468">
      <c r="A1468" s="16">
        <v>1.81119315E8</v>
      </c>
      <c r="B1468" s="16" t="s">
        <v>35</v>
      </c>
      <c r="C1468" s="22">
        <v>45915.0</v>
      </c>
      <c r="D1468" s="16" t="s">
        <v>890</v>
      </c>
      <c r="E1468" s="16"/>
      <c r="F1468" s="16" t="s">
        <v>9132</v>
      </c>
      <c r="G1468" s="16" t="s">
        <v>3833</v>
      </c>
      <c r="H1468" s="16">
        <v>1.0</v>
      </c>
      <c r="I1468" s="23">
        <v>4257.0</v>
      </c>
      <c r="J1468" s="23">
        <v>4257.0</v>
      </c>
      <c r="K1468" s="16"/>
      <c r="L1468" s="23"/>
      <c r="M1468" s="23"/>
      <c r="N1468" s="23"/>
      <c r="O1468" s="16"/>
      <c r="P1468" s="23"/>
      <c r="Q1468" s="23"/>
      <c r="R1468" s="23"/>
      <c r="S1468" s="16"/>
      <c r="T1468" s="23"/>
      <c r="U1468" s="23"/>
      <c r="V1468" s="23"/>
      <c r="W1468" s="16"/>
      <c r="X1468" s="23"/>
      <c r="Y1468" s="23"/>
      <c r="Z1468" s="23"/>
      <c r="AA1468" s="16"/>
      <c r="AB1468" s="23"/>
      <c r="AC1468" s="23"/>
      <c r="AD1468" s="23"/>
      <c r="AE1468" s="16"/>
      <c r="AF1468" s="23"/>
      <c r="AG1468" s="23"/>
      <c r="AH1468" s="23"/>
      <c r="AI1468" s="16"/>
      <c r="AJ1468" s="23"/>
      <c r="AK1468" s="23"/>
      <c r="AL1468" s="23"/>
      <c r="AM1468" s="16"/>
      <c r="AN1468" s="23"/>
      <c r="AO1468" s="23"/>
      <c r="AP1468" s="23"/>
      <c r="AQ1468" s="16"/>
      <c r="AR1468" s="23"/>
      <c r="AS1468" s="23"/>
      <c r="AT1468" s="23"/>
      <c r="AU1468" s="16"/>
      <c r="AV1468" s="23"/>
      <c r="AW1468" s="23"/>
      <c r="AX1468" s="23"/>
      <c r="AY1468" s="16"/>
      <c r="AZ1468" s="23"/>
      <c r="BA1468" s="23"/>
      <c r="BB1468" s="23"/>
      <c r="BC1468" s="16"/>
      <c r="BD1468" s="23"/>
      <c r="BE1468" s="23"/>
      <c r="BF1468" s="23"/>
      <c r="BJ1468" s="23"/>
      <c r="BN1468" s="23"/>
      <c r="BO1468" s="23">
        <v>4257.0</v>
      </c>
      <c r="BP1468" s="16"/>
      <c r="BQ1468" s="16"/>
      <c r="BR1468" s="23">
        <v>4257.0</v>
      </c>
      <c r="BS1468" s="16"/>
      <c r="BT1468" s="16"/>
      <c r="BU1468" s="16" t="s">
        <v>539</v>
      </c>
      <c r="BV1468" s="16"/>
      <c r="BW1468" s="16"/>
      <c r="BX1468" s="16"/>
      <c r="BY1468" s="16"/>
    </row>
    <row r="1469">
      <c r="A1469" s="16" t="s">
        <v>8052</v>
      </c>
      <c r="B1469" s="16" t="s">
        <v>35</v>
      </c>
      <c r="C1469" s="22">
        <v>45915.0</v>
      </c>
      <c r="D1469" s="16" t="s">
        <v>890</v>
      </c>
      <c r="E1469" s="16"/>
      <c r="F1469" s="16" t="s">
        <v>9137</v>
      </c>
      <c r="G1469" s="16" t="s">
        <v>3833</v>
      </c>
      <c r="H1469" s="16">
        <v>1.0</v>
      </c>
      <c r="I1469" s="23">
        <v>84.0</v>
      </c>
      <c r="J1469" s="23">
        <v>84.0</v>
      </c>
      <c r="K1469" s="16"/>
      <c r="L1469" s="23"/>
      <c r="M1469" s="23"/>
      <c r="N1469" s="23"/>
      <c r="O1469" s="16"/>
      <c r="P1469" s="23"/>
      <c r="Q1469" s="23"/>
      <c r="R1469" s="23"/>
      <c r="S1469" s="16"/>
      <c r="T1469" s="23"/>
      <c r="U1469" s="23"/>
      <c r="V1469" s="23"/>
      <c r="W1469" s="16"/>
      <c r="X1469" s="23"/>
      <c r="Y1469" s="23"/>
      <c r="Z1469" s="23"/>
      <c r="AA1469" s="16"/>
      <c r="AB1469" s="23"/>
      <c r="AC1469" s="23"/>
      <c r="AD1469" s="23"/>
      <c r="AE1469" s="16"/>
      <c r="AF1469" s="23"/>
      <c r="AG1469" s="23"/>
      <c r="AH1469" s="23"/>
      <c r="AI1469" s="16"/>
      <c r="AJ1469" s="23"/>
      <c r="AK1469" s="23"/>
      <c r="AL1469" s="23"/>
      <c r="AM1469" s="16"/>
      <c r="AN1469" s="23"/>
      <c r="AO1469" s="23"/>
      <c r="AP1469" s="23"/>
      <c r="AQ1469" s="16"/>
      <c r="AR1469" s="23"/>
      <c r="AS1469" s="23"/>
      <c r="AT1469" s="23"/>
      <c r="AU1469" s="16"/>
      <c r="AV1469" s="23"/>
      <c r="AW1469" s="23"/>
      <c r="AX1469" s="23"/>
      <c r="AY1469" s="16"/>
      <c r="AZ1469" s="23"/>
      <c r="BA1469" s="23"/>
      <c r="BB1469" s="23"/>
      <c r="BC1469" s="16"/>
      <c r="BD1469" s="23"/>
      <c r="BE1469" s="23"/>
      <c r="BF1469" s="23"/>
      <c r="BJ1469" s="23"/>
      <c r="BN1469" s="23"/>
      <c r="BO1469" s="23">
        <v>84.0</v>
      </c>
      <c r="BP1469" s="16"/>
      <c r="BQ1469" s="16"/>
      <c r="BR1469" s="23">
        <v>84.0</v>
      </c>
      <c r="BS1469" s="16"/>
      <c r="BT1469" s="16"/>
      <c r="BU1469" s="16" t="s">
        <v>539</v>
      </c>
      <c r="BV1469" s="16"/>
      <c r="BW1469" s="16"/>
      <c r="BX1469" s="16"/>
      <c r="BY1469" s="16"/>
    </row>
    <row r="1470">
      <c r="A1470" s="16" t="s">
        <v>8054</v>
      </c>
      <c r="B1470" s="16" t="s">
        <v>35</v>
      </c>
      <c r="C1470" s="22">
        <v>45915.0</v>
      </c>
      <c r="D1470" s="16" t="s">
        <v>890</v>
      </c>
      <c r="E1470" s="16"/>
      <c r="F1470" s="16" t="s">
        <v>9142</v>
      </c>
      <c r="G1470" s="16" t="s">
        <v>3833</v>
      </c>
      <c r="H1470" s="16">
        <v>1.0</v>
      </c>
      <c r="I1470" s="23">
        <v>1587.22</v>
      </c>
      <c r="J1470" s="23">
        <v>1587.22</v>
      </c>
      <c r="K1470" s="16"/>
      <c r="L1470" s="23"/>
      <c r="M1470" s="23"/>
      <c r="N1470" s="23"/>
      <c r="O1470" s="16"/>
      <c r="P1470" s="23"/>
      <c r="Q1470" s="23"/>
      <c r="R1470" s="23"/>
      <c r="S1470" s="16"/>
      <c r="T1470" s="23"/>
      <c r="U1470" s="23"/>
      <c r="V1470" s="23"/>
      <c r="W1470" s="16"/>
      <c r="X1470" s="23"/>
      <c r="Y1470" s="23"/>
      <c r="Z1470" s="23"/>
      <c r="AA1470" s="16"/>
      <c r="AB1470" s="23"/>
      <c r="AC1470" s="23"/>
      <c r="AD1470" s="23"/>
      <c r="AE1470" s="16"/>
      <c r="AF1470" s="23"/>
      <c r="AG1470" s="23"/>
      <c r="AH1470" s="23"/>
      <c r="AI1470" s="16"/>
      <c r="AJ1470" s="23"/>
      <c r="AK1470" s="23"/>
      <c r="AL1470" s="23"/>
      <c r="AM1470" s="16"/>
      <c r="AN1470" s="23"/>
      <c r="AO1470" s="23"/>
      <c r="AP1470" s="23"/>
      <c r="AQ1470" s="16"/>
      <c r="AR1470" s="23"/>
      <c r="AS1470" s="23"/>
      <c r="AT1470" s="23"/>
      <c r="AU1470" s="16"/>
      <c r="AV1470" s="23"/>
      <c r="AW1470" s="23"/>
      <c r="AX1470" s="23"/>
      <c r="AY1470" s="16"/>
      <c r="AZ1470" s="23"/>
      <c r="BA1470" s="23"/>
      <c r="BB1470" s="23"/>
      <c r="BC1470" s="16"/>
      <c r="BD1470" s="23"/>
      <c r="BE1470" s="23"/>
      <c r="BF1470" s="23"/>
      <c r="BJ1470" s="23"/>
      <c r="BN1470" s="23"/>
      <c r="BO1470" s="23">
        <v>1587.22</v>
      </c>
      <c r="BP1470" s="16"/>
      <c r="BQ1470" s="16"/>
      <c r="BR1470" s="23">
        <v>1587.22</v>
      </c>
      <c r="BS1470" s="16"/>
      <c r="BT1470" s="16"/>
      <c r="BU1470" s="16" t="s">
        <v>539</v>
      </c>
      <c r="BV1470" s="16"/>
      <c r="BW1470" s="16"/>
      <c r="BX1470" s="16"/>
      <c r="BY1470" s="16"/>
    </row>
    <row r="1471">
      <c r="A1471" s="16">
        <v>6.8031711E7</v>
      </c>
      <c r="B1471" s="16" t="s">
        <v>35</v>
      </c>
      <c r="C1471" s="22">
        <v>45915.0</v>
      </c>
      <c r="D1471" s="16" t="s">
        <v>112</v>
      </c>
      <c r="E1471" s="16" t="s">
        <v>9145</v>
      </c>
      <c r="F1471" s="16" t="s">
        <v>157</v>
      </c>
      <c r="G1471" s="16" t="s">
        <v>159</v>
      </c>
      <c r="H1471" s="16">
        <v>1.0</v>
      </c>
      <c r="I1471" s="23">
        <v>150.0</v>
      </c>
      <c r="J1471" s="23">
        <v>150.0</v>
      </c>
      <c r="K1471" s="16" t="s">
        <v>155</v>
      </c>
      <c r="L1471" s="23">
        <v>1.0</v>
      </c>
      <c r="M1471" s="23">
        <v>32.12</v>
      </c>
      <c r="N1471" s="23">
        <v>32.12</v>
      </c>
      <c r="O1471" s="16" t="s">
        <v>226</v>
      </c>
      <c r="P1471" s="23">
        <v>1.0</v>
      </c>
      <c r="Q1471" s="23">
        <v>40.0</v>
      </c>
      <c r="R1471" s="23">
        <v>40.0</v>
      </c>
      <c r="S1471" s="16"/>
      <c r="T1471" s="23"/>
      <c r="U1471" s="23"/>
      <c r="V1471" s="23">
        <v>0.0</v>
      </c>
      <c r="W1471" s="16"/>
      <c r="X1471" s="23"/>
      <c r="Y1471" s="23"/>
      <c r="Z1471" s="23">
        <v>0.0</v>
      </c>
      <c r="AA1471" s="16"/>
      <c r="AB1471" s="23"/>
      <c r="AC1471" s="23"/>
      <c r="AD1471" s="23">
        <v>0.0</v>
      </c>
      <c r="AE1471" s="16"/>
      <c r="AF1471" s="23"/>
      <c r="AG1471" s="23"/>
      <c r="AH1471" s="23">
        <v>0.0</v>
      </c>
      <c r="AI1471" s="16"/>
      <c r="AJ1471" s="23"/>
      <c r="AK1471" s="23"/>
      <c r="AL1471" s="23">
        <v>0.0</v>
      </c>
      <c r="AM1471" s="16"/>
      <c r="AN1471" s="23"/>
      <c r="AO1471" s="23"/>
      <c r="AP1471" s="23">
        <v>0.0</v>
      </c>
      <c r="AQ1471" s="16"/>
      <c r="AR1471" s="23"/>
      <c r="AS1471" s="23"/>
      <c r="AT1471" s="23">
        <v>0.0</v>
      </c>
      <c r="AU1471" s="16"/>
      <c r="AV1471" s="23"/>
      <c r="AW1471" s="23"/>
      <c r="AX1471" s="23">
        <v>0.0</v>
      </c>
      <c r="AY1471" s="16"/>
      <c r="AZ1471" s="23"/>
      <c r="BA1471" s="23"/>
      <c r="BB1471" s="23"/>
      <c r="BC1471" s="16"/>
      <c r="BD1471" s="23"/>
      <c r="BE1471" s="23"/>
      <c r="BF1471" s="23">
        <v>0.0</v>
      </c>
      <c r="BJ1471" s="23">
        <v>0.0</v>
      </c>
      <c r="BN1471" s="23">
        <v>0.0</v>
      </c>
      <c r="BO1471" s="23">
        <v>222.12</v>
      </c>
      <c r="BP1471" s="16" t="s">
        <v>9146</v>
      </c>
      <c r="BQ1471" s="16" t="b">
        <v>1</v>
      </c>
      <c r="BR1471" s="23">
        <v>222.12</v>
      </c>
      <c r="BS1471" s="16"/>
      <c r="BT1471" s="16" t="b">
        <v>0</v>
      </c>
      <c r="BU1471" s="16" t="s">
        <v>546</v>
      </c>
      <c r="BV1471" s="16"/>
      <c r="BW1471" s="16"/>
      <c r="BX1471" s="16"/>
      <c r="BY1471" s="16"/>
    </row>
    <row r="1472">
      <c r="A1472" s="16" t="s">
        <v>8061</v>
      </c>
      <c r="B1472" s="16" t="s">
        <v>35</v>
      </c>
      <c r="C1472" s="22">
        <v>45917.0</v>
      </c>
      <c r="D1472" s="16" t="s">
        <v>2096</v>
      </c>
      <c r="E1472" s="16" t="s">
        <v>9151</v>
      </c>
      <c r="F1472" s="16" t="s">
        <v>925</v>
      </c>
      <c r="G1472" s="16" t="s">
        <v>1536</v>
      </c>
      <c r="H1472" s="16">
        <v>1.0</v>
      </c>
      <c r="I1472" s="23">
        <v>90.0</v>
      </c>
      <c r="J1472" s="23">
        <v>90.0</v>
      </c>
      <c r="K1472" s="16"/>
      <c r="L1472" s="23"/>
      <c r="M1472" s="23"/>
      <c r="N1472" s="23">
        <v>0.0</v>
      </c>
      <c r="O1472" s="16"/>
      <c r="P1472" s="23"/>
      <c r="Q1472" s="23"/>
      <c r="R1472" s="23">
        <v>0.0</v>
      </c>
      <c r="S1472" s="16"/>
      <c r="T1472" s="23"/>
      <c r="U1472" s="23"/>
      <c r="V1472" s="23">
        <v>0.0</v>
      </c>
      <c r="W1472" s="16"/>
      <c r="X1472" s="23"/>
      <c r="Y1472" s="23"/>
      <c r="Z1472" s="23">
        <v>0.0</v>
      </c>
      <c r="AA1472" s="16"/>
      <c r="AB1472" s="23"/>
      <c r="AC1472" s="23"/>
      <c r="AD1472" s="23">
        <v>0.0</v>
      </c>
      <c r="AE1472" s="16"/>
      <c r="AF1472" s="23"/>
      <c r="AG1472" s="23"/>
      <c r="AH1472" s="23">
        <v>0.0</v>
      </c>
      <c r="AI1472" s="16"/>
      <c r="AJ1472" s="23"/>
      <c r="AK1472" s="23"/>
      <c r="AL1472" s="23">
        <v>0.0</v>
      </c>
      <c r="AM1472" s="16"/>
      <c r="AN1472" s="23"/>
      <c r="AO1472" s="23"/>
      <c r="AP1472" s="23">
        <v>0.0</v>
      </c>
      <c r="AQ1472" s="16"/>
      <c r="AR1472" s="23"/>
      <c r="AS1472" s="23"/>
      <c r="AT1472" s="23">
        <v>0.0</v>
      </c>
      <c r="AU1472" s="16"/>
      <c r="AV1472" s="23"/>
      <c r="AW1472" s="23"/>
      <c r="AX1472" s="23">
        <v>0.0</v>
      </c>
      <c r="AY1472" s="16"/>
      <c r="AZ1472" s="23"/>
      <c r="BA1472" s="23"/>
      <c r="BB1472" s="23"/>
      <c r="BC1472" s="16"/>
      <c r="BD1472" s="23"/>
      <c r="BE1472" s="23"/>
      <c r="BF1472" s="23">
        <v>0.0</v>
      </c>
      <c r="BJ1472" s="23">
        <v>0.0</v>
      </c>
      <c r="BN1472" s="23">
        <v>0.0</v>
      </c>
      <c r="BO1472" s="23">
        <v>90.0</v>
      </c>
      <c r="BP1472" s="16" t="s">
        <v>9152</v>
      </c>
      <c r="BQ1472" s="16" t="b">
        <v>1</v>
      </c>
      <c r="BR1472" s="23">
        <v>90.0</v>
      </c>
      <c r="BS1472" s="16">
        <v>1686530.0</v>
      </c>
      <c r="BT1472" s="16" t="b">
        <v>1</v>
      </c>
      <c r="BU1472" s="16" t="s">
        <v>546</v>
      </c>
      <c r="BV1472" s="16"/>
      <c r="BW1472" s="16"/>
      <c r="BX1472" s="16"/>
      <c r="BY1472" s="16"/>
    </row>
    <row r="1473">
      <c r="A1473" s="16" t="s">
        <v>8063</v>
      </c>
      <c r="B1473" s="16" t="s">
        <v>35</v>
      </c>
      <c r="C1473" s="22">
        <v>45917.0</v>
      </c>
      <c r="D1473" s="16" t="s">
        <v>112</v>
      </c>
      <c r="E1473" s="16" t="s">
        <v>9159</v>
      </c>
      <c r="F1473" s="16" t="s">
        <v>157</v>
      </c>
      <c r="G1473" s="16" t="s">
        <v>159</v>
      </c>
      <c r="H1473" s="16">
        <v>1.0</v>
      </c>
      <c r="I1473" s="23">
        <v>100.0</v>
      </c>
      <c r="J1473" s="23">
        <v>100.0</v>
      </c>
      <c r="K1473" s="16" t="s">
        <v>155</v>
      </c>
      <c r="L1473" s="23">
        <v>1.0</v>
      </c>
      <c r="M1473" s="23">
        <v>38.69</v>
      </c>
      <c r="N1473" s="23">
        <v>38.69</v>
      </c>
      <c r="O1473" s="16"/>
      <c r="P1473" s="23"/>
      <c r="Q1473" s="23"/>
      <c r="R1473" s="23">
        <v>0.0</v>
      </c>
      <c r="S1473" s="16"/>
      <c r="T1473" s="23"/>
      <c r="U1473" s="23"/>
      <c r="V1473" s="23">
        <v>0.0</v>
      </c>
      <c r="W1473" s="16"/>
      <c r="X1473" s="23"/>
      <c r="Y1473" s="23"/>
      <c r="Z1473" s="23">
        <v>0.0</v>
      </c>
      <c r="AA1473" s="16"/>
      <c r="AB1473" s="23"/>
      <c r="AC1473" s="23"/>
      <c r="AD1473" s="23">
        <v>0.0</v>
      </c>
      <c r="AE1473" s="16"/>
      <c r="AF1473" s="23"/>
      <c r="AG1473" s="23"/>
      <c r="AH1473" s="23">
        <v>0.0</v>
      </c>
      <c r="AI1473" s="16"/>
      <c r="AJ1473" s="23"/>
      <c r="AK1473" s="23"/>
      <c r="AL1473" s="23">
        <v>0.0</v>
      </c>
      <c r="AM1473" s="16"/>
      <c r="AN1473" s="23"/>
      <c r="AO1473" s="23"/>
      <c r="AP1473" s="23">
        <v>0.0</v>
      </c>
      <c r="AQ1473" s="16"/>
      <c r="AR1473" s="23"/>
      <c r="AS1473" s="23"/>
      <c r="AT1473" s="23">
        <v>0.0</v>
      </c>
      <c r="AU1473" s="16"/>
      <c r="AV1473" s="23"/>
      <c r="AW1473" s="23"/>
      <c r="AX1473" s="23">
        <v>0.0</v>
      </c>
      <c r="AY1473" s="16"/>
      <c r="AZ1473" s="23"/>
      <c r="BA1473" s="23"/>
      <c r="BB1473" s="23"/>
      <c r="BC1473" s="16"/>
      <c r="BD1473" s="23"/>
      <c r="BE1473" s="23"/>
      <c r="BF1473" s="23">
        <v>0.0</v>
      </c>
      <c r="BJ1473" s="23">
        <v>0.0</v>
      </c>
      <c r="BN1473" s="23">
        <v>0.0</v>
      </c>
      <c r="BO1473" s="23">
        <v>138.69</v>
      </c>
      <c r="BP1473" s="16" t="s">
        <v>9160</v>
      </c>
      <c r="BQ1473" s="16" t="b">
        <v>1</v>
      </c>
      <c r="BR1473" s="23">
        <v>138.69</v>
      </c>
      <c r="BS1473" s="16"/>
      <c r="BT1473" s="16" t="b">
        <v>0</v>
      </c>
      <c r="BU1473" s="16" t="s">
        <v>546</v>
      </c>
      <c r="BV1473" s="16"/>
      <c r="BW1473" s="16"/>
      <c r="BX1473" s="16"/>
      <c r="BY1473" s="16"/>
    </row>
    <row r="1474">
      <c r="A1474" s="16" t="s">
        <v>8066</v>
      </c>
      <c r="B1474" s="16" t="s">
        <v>35</v>
      </c>
      <c r="C1474" s="22">
        <v>45916.0</v>
      </c>
      <c r="D1474" s="16" t="s">
        <v>890</v>
      </c>
      <c r="E1474" s="16" t="s">
        <v>9167</v>
      </c>
      <c r="F1474" s="16" t="s">
        <v>9170</v>
      </c>
      <c r="G1474" s="16" t="s">
        <v>8067</v>
      </c>
      <c r="H1474" s="16">
        <v>1.0</v>
      </c>
      <c r="I1474" s="23">
        <v>36.91</v>
      </c>
      <c r="J1474" s="23">
        <v>36.91</v>
      </c>
      <c r="K1474" s="16"/>
      <c r="L1474" s="23"/>
      <c r="M1474" s="23"/>
      <c r="N1474" s="23">
        <v>0.0</v>
      </c>
      <c r="O1474" s="16"/>
      <c r="P1474" s="23"/>
      <c r="Q1474" s="23"/>
      <c r="R1474" s="23">
        <v>0.0</v>
      </c>
      <c r="S1474" s="16"/>
      <c r="T1474" s="23"/>
      <c r="U1474" s="23"/>
      <c r="V1474" s="23">
        <v>0.0</v>
      </c>
      <c r="W1474" s="16"/>
      <c r="X1474" s="23"/>
      <c r="Y1474" s="23"/>
      <c r="Z1474" s="23">
        <v>0.0</v>
      </c>
      <c r="AA1474" s="16"/>
      <c r="AB1474" s="23"/>
      <c r="AC1474" s="23"/>
      <c r="AD1474" s="23">
        <v>0.0</v>
      </c>
      <c r="AE1474" s="16"/>
      <c r="AF1474" s="23"/>
      <c r="AG1474" s="23"/>
      <c r="AH1474" s="23">
        <v>0.0</v>
      </c>
      <c r="AI1474" s="16"/>
      <c r="AJ1474" s="23"/>
      <c r="AK1474" s="23"/>
      <c r="AL1474" s="23">
        <v>0.0</v>
      </c>
      <c r="AM1474" s="16"/>
      <c r="AN1474" s="23"/>
      <c r="AO1474" s="23"/>
      <c r="AP1474" s="23">
        <v>0.0</v>
      </c>
      <c r="AQ1474" s="16"/>
      <c r="AR1474" s="23"/>
      <c r="AS1474" s="23"/>
      <c r="AT1474" s="23">
        <v>0.0</v>
      </c>
      <c r="AU1474" s="16"/>
      <c r="AV1474" s="23"/>
      <c r="AW1474" s="23"/>
      <c r="AX1474" s="23">
        <v>0.0</v>
      </c>
      <c r="AY1474" s="16"/>
      <c r="AZ1474" s="23"/>
      <c r="BA1474" s="23"/>
      <c r="BB1474" s="23"/>
      <c r="BC1474" s="16"/>
      <c r="BD1474" s="23"/>
      <c r="BE1474" s="23"/>
      <c r="BF1474" s="23">
        <v>0.0</v>
      </c>
      <c r="BJ1474" s="23">
        <v>0.0</v>
      </c>
      <c r="BN1474" s="23">
        <v>0.0</v>
      </c>
      <c r="BO1474" s="23">
        <v>36.91</v>
      </c>
      <c r="BP1474" s="16" t="s">
        <v>9169</v>
      </c>
      <c r="BQ1474" s="16" t="b">
        <v>1</v>
      </c>
      <c r="BR1474" s="23">
        <v>36.91</v>
      </c>
      <c r="BS1474" s="16"/>
      <c r="BT1474" s="16" t="b">
        <v>0</v>
      </c>
      <c r="BU1474" s="16" t="s">
        <v>546</v>
      </c>
      <c r="BV1474" s="16"/>
      <c r="BW1474" s="16"/>
      <c r="BX1474" s="16"/>
      <c r="BY1474" s="16"/>
    </row>
    <row r="1475">
      <c r="A1475" s="16" t="s">
        <v>8069</v>
      </c>
      <c r="B1475" s="16" t="s">
        <v>35</v>
      </c>
      <c r="C1475" s="22">
        <v>45916.0</v>
      </c>
      <c r="D1475" s="16" t="s">
        <v>890</v>
      </c>
      <c r="E1475" s="16" t="s">
        <v>9179</v>
      </c>
      <c r="F1475" s="16" t="s">
        <v>2894</v>
      </c>
      <c r="G1475" s="16" t="s">
        <v>1510</v>
      </c>
      <c r="H1475" s="16">
        <v>1.0</v>
      </c>
      <c r="I1475" s="23">
        <v>21429.78</v>
      </c>
      <c r="J1475" s="23">
        <v>21429.78</v>
      </c>
      <c r="K1475" s="16"/>
      <c r="L1475" s="23"/>
      <c r="M1475" s="23"/>
      <c r="N1475" s="23">
        <v>0.0</v>
      </c>
      <c r="O1475" s="16"/>
      <c r="P1475" s="23"/>
      <c r="Q1475" s="23"/>
      <c r="R1475" s="23">
        <v>0.0</v>
      </c>
      <c r="S1475" s="16"/>
      <c r="T1475" s="23"/>
      <c r="U1475" s="23"/>
      <c r="V1475" s="23">
        <v>0.0</v>
      </c>
      <c r="W1475" s="16"/>
      <c r="X1475" s="23"/>
      <c r="Y1475" s="23"/>
      <c r="Z1475" s="23">
        <v>0.0</v>
      </c>
      <c r="AA1475" s="16"/>
      <c r="AB1475" s="23"/>
      <c r="AC1475" s="23"/>
      <c r="AD1475" s="23">
        <v>0.0</v>
      </c>
      <c r="AE1475" s="16"/>
      <c r="AF1475" s="23"/>
      <c r="AG1475" s="23"/>
      <c r="AH1475" s="23">
        <v>0.0</v>
      </c>
      <c r="AI1475" s="16"/>
      <c r="AJ1475" s="23"/>
      <c r="AK1475" s="23"/>
      <c r="AL1475" s="23">
        <v>0.0</v>
      </c>
      <c r="AM1475" s="16"/>
      <c r="AN1475" s="23"/>
      <c r="AO1475" s="23"/>
      <c r="AP1475" s="23">
        <v>0.0</v>
      </c>
      <c r="AQ1475" s="16"/>
      <c r="AR1475" s="23"/>
      <c r="AS1475" s="23"/>
      <c r="AT1475" s="23">
        <v>0.0</v>
      </c>
      <c r="AU1475" s="16"/>
      <c r="AV1475" s="23"/>
      <c r="AW1475" s="23"/>
      <c r="AX1475" s="23">
        <v>0.0</v>
      </c>
      <c r="AY1475" s="16"/>
      <c r="AZ1475" s="23"/>
      <c r="BA1475" s="23"/>
      <c r="BB1475" s="23"/>
      <c r="BC1475" s="16"/>
      <c r="BD1475" s="23"/>
      <c r="BE1475" s="23"/>
      <c r="BF1475" s="23">
        <v>0.0</v>
      </c>
      <c r="BJ1475" s="23">
        <v>0.0</v>
      </c>
      <c r="BN1475" s="23">
        <v>0.0</v>
      </c>
      <c r="BO1475" s="23">
        <v>21429.78</v>
      </c>
      <c r="BP1475" s="16" t="s">
        <v>9182</v>
      </c>
      <c r="BQ1475" s="16" t="b">
        <v>1</v>
      </c>
      <c r="BR1475" s="23">
        <v>21429.78</v>
      </c>
      <c r="BS1475" s="16"/>
      <c r="BT1475" s="16" t="b">
        <v>0</v>
      </c>
      <c r="BU1475" s="16" t="s">
        <v>546</v>
      </c>
      <c r="BV1475" s="16"/>
      <c r="BW1475" s="16" t="s">
        <v>9184</v>
      </c>
      <c r="BX1475" s="16" t="s">
        <v>9186</v>
      </c>
      <c r="BY1475" s="16"/>
    </row>
    <row r="1476">
      <c r="A1476" s="16" t="s">
        <v>8071</v>
      </c>
      <c r="B1476" s="16" t="s">
        <v>35</v>
      </c>
      <c r="C1476" s="22">
        <v>45917.0</v>
      </c>
      <c r="D1476" s="16" t="s">
        <v>9189</v>
      </c>
      <c r="E1476" s="16" t="s">
        <v>9190</v>
      </c>
      <c r="F1476" s="16" t="s">
        <v>5815</v>
      </c>
      <c r="G1476" s="16" t="s">
        <v>6306</v>
      </c>
      <c r="H1476" s="16">
        <v>1.0</v>
      </c>
      <c r="I1476" s="23">
        <v>94.95</v>
      </c>
      <c r="J1476" s="23">
        <v>94.95</v>
      </c>
      <c r="K1476" s="16"/>
      <c r="L1476" s="23"/>
      <c r="M1476" s="23"/>
      <c r="N1476" s="23">
        <v>0.0</v>
      </c>
      <c r="O1476" s="16"/>
      <c r="P1476" s="23"/>
      <c r="Q1476" s="23"/>
      <c r="R1476" s="23">
        <v>0.0</v>
      </c>
      <c r="S1476" s="16"/>
      <c r="T1476" s="23"/>
      <c r="U1476" s="23"/>
      <c r="V1476" s="23">
        <v>0.0</v>
      </c>
      <c r="W1476" s="16"/>
      <c r="X1476" s="23"/>
      <c r="Y1476" s="23"/>
      <c r="Z1476" s="23">
        <v>0.0</v>
      </c>
      <c r="AA1476" s="16"/>
      <c r="AB1476" s="23"/>
      <c r="AC1476" s="23"/>
      <c r="AD1476" s="23">
        <v>0.0</v>
      </c>
      <c r="AE1476" s="16"/>
      <c r="AF1476" s="23"/>
      <c r="AG1476" s="23"/>
      <c r="AH1476" s="23">
        <v>0.0</v>
      </c>
      <c r="AI1476" s="16"/>
      <c r="AJ1476" s="23"/>
      <c r="AK1476" s="23"/>
      <c r="AL1476" s="23">
        <v>0.0</v>
      </c>
      <c r="AM1476" s="16"/>
      <c r="AN1476" s="23"/>
      <c r="AO1476" s="23"/>
      <c r="AP1476" s="23">
        <v>0.0</v>
      </c>
      <c r="AQ1476" s="16"/>
      <c r="AR1476" s="23"/>
      <c r="AS1476" s="23"/>
      <c r="AT1476" s="23">
        <v>0.0</v>
      </c>
      <c r="AU1476" s="16"/>
      <c r="AV1476" s="23"/>
      <c r="AW1476" s="23"/>
      <c r="AX1476" s="23">
        <v>0.0</v>
      </c>
      <c r="AY1476" s="16"/>
      <c r="AZ1476" s="23"/>
      <c r="BA1476" s="23"/>
      <c r="BB1476" s="23"/>
      <c r="BC1476" s="16"/>
      <c r="BD1476" s="23"/>
      <c r="BE1476" s="23"/>
      <c r="BF1476" s="23">
        <v>0.0</v>
      </c>
      <c r="BJ1476" s="23">
        <v>0.0</v>
      </c>
      <c r="BN1476" s="23">
        <v>0.0</v>
      </c>
      <c r="BO1476" s="23">
        <v>94.95</v>
      </c>
      <c r="BP1476" s="16" t="s">
        <v>9192</v>
      </c>
      <c r="BQ1476" s="16" t="b">
        <v>1</v>
      </c>
      <c r="BR1476" s="23">
        <v>94.95</v>
      </c>
      <c r="BS1476" s="16">
        <v>1686865.0</v>
      </c>
      <c r="BT1476" s="16" t="b">
        <v>1</v>
      </c>
      <c r="BU1476" s="16" t="s">
        <v>546</v>
      </c>
      <c r="BV1476" s="16"/>
      <c r="BW1476" s="16"/>
      <c r="BX1476" s="16"/>
      <c r="BY1476" s="16"/>
    </row>
    <row r="1477">
      <c r="A1477" s="16" t="s">
        <v>8073</v>
      </c>
      <c r="B1477" s="16" t="s">
        <v>35</v>
      </c>
      <c r="C1477" s="22">
        <v>45918.0</v>
      </c>
      <c r="D1477" s="16" t="s">
        <v>764</v>
      </c>
      <c r="E1477" s="16" t="s">
        <v>9200</v>
      </c>
      <c r="F1477" s="16" t="s">
        <v>195</v>
      </c>
      <c r="G1477" s="16" t="s">
        <v>1384</v>
      </c>
      <c r="H1477" s="16">
        <v>1.0</v>
      </c>
      <c r="I1477" s="23">
        <v>19.8</v>
      </c>
      <c r="J1477" s="23">
        <v>19.8</v>
      </c>
      <c r="K1477" s="16" t="s">
        <v>1384</v>
      </c>
      <c r="L1477" s="23">
        <v>1.0</v>
      </c>
      <c r="M1477" s="23">
        <v>60.0</v>
      </c>
      <c r="N1477" s="23">
        <v>60.0</v>
      </c>
      <c r="O1477" s="16" t="s">
        <v>1074</v>
      </c>
      <c r="P1477" s="23">
        <v>5.0</v>
      </c>
      <c r="Q1477" s="23">
        <v>40.0</v>
      </c>
      <c r="R1477" s="23">
        <v>200.0</v>
      </c>
      <c r="S1477" s="16" t="s">
        <v>1387</v>
      </c>
      <c r="T1477" s="23">
        <v>1.0</v>
      </c>
      <c r="U1477" s="23">
        <v>45.0</v>
      </c>
      <c r="V1477" s="23">
        <v>45.0</v>
      </c>
      <c r="W1477" s="16" t="s">
        <v>1077</v>
      </c>
      <c r="X1477" s="23">
        <v>2.0</v>
      </c>
      <c r="Y1477" s="23">
        <v>25.8</v>
      </c>
      <c r="Z1477" s="23">
        <v>51.6</v>
      </c>
      <c r="AA1477" s="16" t="s">
        <v>1079</v>
      </c>
      <c r="AB1477" s="23">
        <v>15.0</v>
      </c>
      <c r="AC1477" s="23">
        <v>18.0</v>
      </c>
      <c r="AD1477" s="23">
        <v>270.0</v>
      </c>
      <c r="AE1477" s="16" t="s">
        <v>1085</v>
      </c>
      <c r="AF1477" s="23">
        <v>2.0</v>
      </c>
      <c r="AG1477" s="23">
        <v>40.2</v>
      </c>
      <c r="AH1477" s="23">
        <v>80.4</v>
      </c>
      <c r="AI1477" s="16" t="s">
        <v>5605</v>
      </c>
      <c r="AJ1477" s="23">
        <v>1.0</v>
      </c>
      <c r="AK1477" s="23">
        <v>19.57</v>
      </c>
      <c r="AL1477" s="23">
        <v>19.57</v>
      </c>
      <c r="AM1477" s="16" t="s">
        <v>1081</v>
      </c>
      <c r="AN1477" s="23">
        <v>4.0</v>
      </c>
      <c r="AO1477" s="23">
        <v>48.0</v>
      </c>
      <c r="AP1477" s="23">
        <v>192.0</v>
      </c>
      <c r="AQ1477" s="16" t="s">
        <v>1091</v>
      </c>
      <c r="AR1477" s="23">
        <v>1.0</v>
      </c>
      <c r="AS1477" s="23">
        <v>37.25</v>
      </c>
      <c r="AT1477" s="23">
        <v>37.25</v>
      </c>
      <c r="AU1477" s="16"/>
      <c r="AV1477" s="23"/>
      <c r="AW1477" s="23"/>
      <c r="AX1477" s="23">
        <v>0.0</v>
      </c>
      <c r="AY1477" s="16"/>
      <c r="AZ1477" s="23"/>
      <c r="BA1477" s="23"/>
      <c r="BB1477" s="23"/>
      <c r="BC1477" s="16"/>
      <c r="BD1477" s="23"/>
      <c r="BE1477" s="23"/>
      <c r="BF1477" s="23">
        <v>0.0</v>
      </c>
      <c r="BJ1477" s="23">
        <v>0.0</v>
      </c>
      <c r="BN1477" s="23">
        <v>0.0</v>
      </c>
      <c r="BO1477" s="23">
        <v>975.62</v>
      </c>
      <c r="BP1477" s="16" t="s">
        <v>9203</v>
      </c>
      <c r="BQ1477" s="16" t="b">
        <v>1</v>
      </c>
      <c r="BR1477" s="23">
        <v>975.62</v>
      </c>
      <c r="BS1477" s="16"/>
      <c r="BT1477" s="16" t="b">
        <v>0</v>
      </c>
      <c r="BU1477" s="16" t="s">
        <v>546</v>
      </c>
      <c r="BV1477" s="16"/>
      <c r="BW1477" s="16" t="s">
        <v>9206</v>
      </c>
      <c r="BX1477" s="16"/>
      <c r="BY1477" s="16"/>
    </row>
    <row r="1478">
      <c r="A1478" s="16" t="s">
        <v>8092</v>
      </c>
      <c r="B1478" s="16" t="s">
        <v>35</v>
      </c>
      <c r="C1478" s="22">
        <v>45919.0</v>
      </c>
      <c r="D1478" s="16" t="s">
        <v>112</v>
      </c>
      <c r="E1478" s="16" t="s">
        <v>9209</v>
      </c>
      <c r="F1478" s="16" t="s">
        <v>157</v>
      </c>
      <c r="G1478" s="16" t="s">
        <v>155</v>
      </c>
      <c r="H1478" s="16">
        <v>1.0</v>
      </c>
      <c r="I1478" s="23">
        <v>28.0</v>
      </c>
      <c r="J1478" s="23">
        <v>28.0</v>
      </c>
      <c r="K1478" s="16" t="s">
        <v>152</v>
      </c>
      <c r="L1478" s="23">
        <v>1.0</v>
      </c>
      <c r="M1478" s="23">
        <v>9.0</v>
      </c>
      <c r="N1478" s="23">
        <v>9.0</v>
      </c>
      <c r="O1478" s="16" t="s">
        <v>226</v>
      </c>
      <c r="P1478" s="23">
        <v>1.0</v>
      </c>
      <c r="Q1478" s="23">
        <v>47.5</v>
      </c>
      <c r="R1478" s="23">
        <v>47.5</v>
      </c>
      <c r="S1478" s="16"/>
      <c r="T1478" s="23"/>
      <c r="U1478" s="23"/>
      <c r="V1478" s="23">
        <v>0.0</v>
      </c>
      <c r="W1478" s="16"/>
      <c r="X1478" s="23"/>
      <c r="Y1478" s="23"/>
      <c r="Z1478" s="23">
        <v>0.0</v>
      </c>
      <c r="AA1478" s="16"/>
      <c r="AB1478" s="23"/>
      <c r="AC1478" s="23"/>
      <c r="AD1478" s="23">
        <v>0.0</v>
      </c>
      <c r="AE1478" s="16"/>
      <c r="AF1478" s="23"/>
      <c r="AG1478" s="23"/>
      <c r="AH1478" s="23">
        <v>0.0</v>
      </c>
      <c r="AI1478" s="16"/>
      <c r="AJ1478" s="23"/>
      <c r="AK1478" s="23"/>
      <c r="AL1478" s="23">
        <v>0.0</v>
      </c>
      <c r="AM1478" s="16"/>
      <c r="AN1478" s="23"/>
      <c r="AO1478" s="23"/>
      <c r="AP1478" s="23">
        <v>0.0</v>
      </c>
      <c r="AQ1478" s="16"/>
      <c r="AR1478" s="23"/>
      <c r="AS1478" s="23"/>
      <c r="AT1478" s="23">
        <v>0.0</v>
      </c>
      <c r="AU1478" s="16"/>
      <c r="AV1478" s="23"/>
      <c r="AW1478" s="23"/>
      <c r="AX1478" s="23">
        <v>0.0</v>
      </c>
      <c r="AY1478" s="16"/>
      <c r="AZ1478" s="23"/>
      <c r="BA1478" s="23"/>
      <c r="BB1478" s="23"/>
      <c r="BC1478" s="16"/>
      <c r="BD1478" s="23"/>
      <c r="BE1478" s="23"/>
      <c r="BF1478" s="23">
        <v>0.0</v>
      </c>
      <c r="BJ1478" s="23">
        <v>0.0</v>
      </c>
      <c r="BN1478" s="23">
        <v>0.0</v>
      </c>
      <c r="BO1478" s="23">
        <v>84.5</v>
      </c>
      <c r="BP1478" s="16" t="s">
        <v>9212</v>
      </c>
      <c r="BQ1478" s="16" t="b">
        <v>1</v>
      </c>
      <c r="BR1478" s="23">
        <v>83.5</v>
      </c>
      <c r="BS1478" s="16"/>
      <c r="BT1478" s="16" t="b">
        <v>0</v>
      </c>
      <c r="BU1478" s="16" t="s">
        <v>546</v>
      </c>
      <c r="BV1478" s="16"/>
      <c r="BW1478" s="16"/>
      <c r="BX1478" s="16"/>
      <c r="BY1478" s="16"/>
    </row>
    <row r="1479">
      <c r="A1479" s="16" t="s">
        <v>8098</v>
      </c>
      <c r="B1479" s="16" t="s">
        <v>35</v>
      </c>
      <c r="C1479" s="22">
        <v>45919.0</v>
      </c>
      <c r="D1479" s="16" t="s">
        <v>543</v>
      </c>
      <c r="E1479" s="16" t="s">
        <v>9219</v>
      </c>
      <c r="F1479" s="16" t="s">
        <v>171</v>
      </c>
      <c r="G1479" s="16">
        <v>1.2539885E7</v>
      </c>
      <c r="H1479" s="16">
        <v>1.0</v>
      </c>
      <c r="I1479" s="23">
        <v>630.0</v>
      </c>
      <c r="J1479" s="23">
        <v>630.0</v>
      </c>
      <c r="K1479" s="16"/>
      <c r="L1479" s="23"/>
      <c r="M1479" s="23"/>
      <c r="N1479" s="23">
        <v>0.0</v>
      </c>
      <c r="O1479" s="16"/>
      <c r="P1479" s="23"/>
      <c r="Q1479" s="23"/>
      <c r="R1479" s="23">
        <v>0.0</v>
      </c>
      <c r="S1479" s="16"/>
      <c r="T1479" s="23"/>
      <c r="U1479" s="23"/>
      <c r="V1479" s="23">
        <v>0.0</v>
      </c>
      <c r="W1479" s="16"/>
      <c r="X1479" s="23"/>
      <c r="Y1479" s="23"/>
      <c r="Z1479" s="23">
        <v>0.0</v>
      </c>
      <c r="AA1479" s="16"/>
      <c r="AB1479" s="23"/>
      <c r="AC1479" s="23"/>
      <c r="AD1479" s="23">
        <v>0.0</v>
      </c>
      <c r="AE1479" s="16"/>
      <c r="AF1479" s="23"/>
      <c r="AG1479" s="23"/>
      <c r="AH1479" s="23">
        <v>0.0</v>
      </c>
      <c r="AI1479" s="16"/>
      <c r="AJ1479" s="23"/>
      <c r="AK1479" s="23"/>
      <c r="AL1479" s="23">
        <v>0.0</v>
      </c>
      <c r="AM1479" s="16"/>
      <c r="AN1479" s="23"/>
      <c r="AO1479" s="23"/>
      <c r="AP1479" s="23">
        <v>0.0</v>
      </c>
      <c r="AQ1479" s="16"/>
      <c r="AR1479" s="23"/>
      <c r="AS1479" s="23"/>
      <c r="AT1479" s="23">
        <v>0.0</v>
      </c>
      <c r="AU1479" s="16"/>
      <c r="AV1479" s="23"/>
      <c r="AW1479" s="23"/>
      <c r="AX1479" s="23">
        <v>0.0</v>
      </c>
      <c r="AY1479" s="16"/>
      <c r="AZ1479" s="23"/>
      <c r="BA1479" s="23"/>
      <c r="BB1479" s="23"/>
      <c r="BC1479" s="16"/>
      <c r="BD1479" s="23"/>
      <c r="BE1479" s="23"/>
      <c r="BF1479" s="23">
        <v>0.0</v>
      </c>
      <c r="BJ1479" s="23">
        <v>0.0</v>
      </c>
      <c r="BN1479" s="23">
        <v>0.0</v>
      </c>
      <c r="BO1479" s="23">
        <v>630.0</v>
      </c>
      <c r="BP1479" s="16" t="s">
        <v>9222</v>
      </c>
      <c r="BQ1479" s="16" t="b">
        <v>1</v>
      </c>
      <c r="BR1479" s="23">
        <v>630.0</v>
      </c>
      <c r="BS1479" s="16"/>
      <c r="BT1479" s="16" t="b">
        <v>0</v>
      </c>
      <c r="BU1479" s="16" t="s">
        <v>546</v>
      </c>
      <c r="BV1479" s="16"/>
      <c r="BW1479" s="16"/>
      <c r="BX1479" s="16"/>
      <c r="BY1479" s="16"/>
    </row>
    <row r="1480">
      <c r="A1480" s="16" t="s">
        <v>8100</v>
      </c>
      <c r="B1480" s="16" t="s">
        <v>35</v>
      </c>
      <c r="C1480" s="22">
        <v>45919.0</v>
      </c>
      <c r="D1480" s="16" t="s">
        <v>112</v>
      </c>
      <c r="E1480" s="16" t="s">
        <v>9209</v>
      </c>
      <c r="F1480" s="16" t="s">
        <v>157</v>
      </c>
      <c r="G1480" s="16" t="s">
        <v>159</v>
      </c>
      <c r="H1480" s="16">
        <v>1.0</v>
      </c>
      <c r="I1480" s="23">
        <v>249.75</v>
      </c>
      <c r="J1480" s="23">
        <v>249.75</v>
      </c>
      <c r="K1480" s="16" t="s">
        <v>155</v>
      </c>
      <c r="L1480" s="23">
        <v>1.0</v>
      </c>
      <c r="M1480" s="23">
        <v>49.7</v>
      </c>
      <c r="N1480" s="23">
        <v>49.7</v>
      </c>
      <c r="O1480" s="16" t="s">
        <v>226</v>
      </c>
      <c r="P1480" s="23">
        <v>1.0</v>
      </c>
      <c r="Q1480" s="23">
        <v>85.5</v>
      </c>
      <c r="R1480" s="23">
        <v>85.5</v>
      </c>
      <c r="S1480" s="16"/>
      <c r="T1480" s="23"/>
      <c r="U1480" s="23"/>
      <c r="V1480" s="23">
        <v>0.0</v>
      </c>
      <c r="W1480" s="16"/>
      <c r="X1480" s="23"/>
      <c r="Y1480" s="23"/>
      <c r="Z1480" s="23">
        <v>0.0</v>
      </c>
      <c r="AA1480" s="16"/>
      <c r="AB1480" s="23"/>
      <c r="AC1480" s="23"/>
      <c r="AD1480" s="23">
        <v>0.0</v>
      </c>
      <c r="AE1480" s="16"/>
      <c r="AF1480" s="23"/>
      <c r="AG1480" s="23"/>
      <c r="AH1480" s="23">
        <v>0.0</v>
      </c>
      <c r="AI1480" s="16"/>
      <c r="AJ1480" s="23"/>
      <c r="AK1480" s="23"/>
      <c r="AL1480" s="23">
        <v>0.0</v>
      </c>
      <c r="AM1480" s="16"/>
      <c r="AN1480" s="23"/>
      <c r="AO1480" s="23"/>
      <c r="AP1480" s="23">
        <v>0.0</v>
      </c>
      <c r="AQ1480" s="16"/>
      <c r="AR1480" s="23"/>
      <c r="AS1480" s="23"/>
      <c r="AT1480" s="23">
        <v>0.0</v>
      </c>
      <c r="AU1480" s="16"/>
      <c r="AV1480" s="23"/>
      <c r="AW1480" s="23"/>
      <c r="AX1480" s="23">
        <v>0.0</v>
      </c>
      <c r="AY1480" s="16"/>
      <c r="AZ1480" s="23"/>
      <c r="BA1480" s="23"/>
      <c r="BB1480" s="23"/>
      <c r="BC1480" s="16"/>
      <c r="BD1480" s="23"/>
      <c r="BE1480" s="23"/>
      <c r="BF1480" s="23">
        <v>0.0</v>
      </c>
      <c r="BJ1480" s="23">
        <v>0.0</v>
      </c>
      <c r="BN1480" s="23">
        <v>0.0</v>
      </c>
      <c r="BO1480" s="23">
        <v>384.95</v>
      </c>
      <c r="BP1480" s="16" t="s">
        <v>9228</v>
      </c>
      <c r="BQ1480" s="16" t="b">
        <v>1</v>
      </c>
      <c r="BR1480" s="23">
        <v>384.95</v>
      </c>
      <c r="BS1480" s="16"/>
      <c r="BT1480" s="16" t="b">
        <v>0</v>
      </c>
      <c r="BU1480" s="16" t="s">
        <v>546</v>
      </c>
      <c r="BV1480" s="16"/>
      <c r="BW1480" s="16"/>
      <c r="BX1480" s="16"/>
      <c r="BY1480" s="16"/>
    </row>
    <row r="1481">
      <c r="A1481" s="16" t="s">
        <v>8107</v>
      </c>
      <c r="B1481" s="16" t="s">
        <v>35</v>
      </c>
      <c r="C1481" s="22">
        <v>45922.0</v>
      </c>
      <c r="D1481" s="16" t="s">
        <v>3516</v>
      </c>
      <c r="E1481" s="16"/>
      <c r="F1481" s="16" t="s">
        <v>9234</v>
      </c>
      <c r="G1481" s="16" t="s">
        <v>5020</v>
      </c>
      <c r="H1481" s="16">
        <v>1.0</v>
      </c>
      <c r="I1481" s="23">
        <v>179.0</v>
      </c>
      <c r="J1481" s="23">
        <v>179.0</v>
      </c>
      <c r="K1481" s="16"/>
      <c r="L1481" s="23"/>
      <c r="M1481" s="23"/>
      <c r="N1481" s="23"/>
      <c r="O1481" s="16"/>
      <c r="P1481" s="23"/>
      <c r="Q1481" s="23"/>
      <c r="R1481" s="23"/>
      <c r="S1481" s="16"/>
      <c r="T1481" s="23"/>
      <c r="U1481" s="23"/>
      <c r="V1481" s="23"/>
      <c r="W1481" s="16"/>
      <c r="X1481" s="23"/>
      <c r="Y1481" s="23"/>
      <c r="Z1481" s="23"/>
      <c r="AA1481" s="16"/>
      <c r="AB1481" s="23"/>
      <c r="AC1481" s="23"/>
      <c r="AD1481" s="23"/>
      <c r="AE1481" s="16"/>
      <c r="AF1481" s="23"/>
      <c r="AG1481" s="23"/>
      <c r="AH1481" s="23"/>
      <c r="AI1481" s="16"/>
      <c r="AJ1481" s="23"/>
      <c r="AK1481" s="23"/>
      <c r="AL1481" s="23"/>
      <c r="AM1481" s="16"/>
      <c r="AN1481" s="23"/>
      <c r="AO1481" s="23"/>
      <c r="AP1481" s="23"/>
      <c r="AQ1481" s="16"/>
      <c r="AR1481" s="23"/>
      <c r="AS1481" s="23"/>
      <c r="AT1481" s="23"/>
      <c r="AU1481" s="16"/>
      <c r="AV1481" s="23"/>
      <c r="AW1481" s="23"/>
      <c r="AX1481" s="23"/>
      <c r="AY1481" s="16"/>
      <c r="AZ1481" s="23"/>
      <c r="BA1481" s="23"/>
      <c r="BB1481" s="23"/>
      <c r="BC1481" s="16"/>
      <c r="BD1481" s="23"/>
      <c r="BE1481" s="23"/>
      <c r="BF1481" s="23"/>
      <c r="BJ1481" s="23"/>
      <c r="BN1481" s="23"/>
      <c r="BO1481" s="23">
        <v>179.0</v>
      </c>
      <c r="BP1481" s="16"/>
      <c r="BQ1481" s="16"/>
      <c r="BR1481" s="23">
        <v>179.0</v>
      </c>
      <c r="BS1481" s="16"/>
      <c r="BT1481" s="16"/>
      <c r="BU1481" s="16" t="s">
        <v>539</v>
      </c>
      <c r="BV1481" s="16"/>
      <c r="BW1481" s="16"/>
      <c r="BX1481" s="16"/>
      <c r="BY1481" s="16"/>
    </row>
    <row r="1482">
      <c r="A1482" s="16" t="s">
        <v>8111</v>
      </c>
      <c r="B1482" s="16" t="s">
        <v>35</v>
      </c>
      <c r="C1482" s="22">
        <v>45922.0</v>
      </c>
      <c r="D1482" s="16" t="s">
        <v>8980</v>
      </c>
      <c r="E1482" s="16"/>
      <c r="F1482" s="22">
        <v>45690.0</v>
      </c>
      <c r="G1482" s="16">
        <v>2.3273172E7</v>
      </c>
      <c r="H1482" s="16">
        <v>1.0</v>
      </c>
      <c r="I1482" s="23">
        <v>350.0</v>
      </c>
      <c r="J1482" s="23">
        <v>350.0</v>
      </c>
      <c r="K1482" s="16"/>
      <c r="L1482" s="23"/>
      <c r="M1482" s="23"/>
      <c r="N1482" s="23"/>
      <c r="O1482" s="16"/>
      <c r="P1482" s="23"/>
      <c r="Q1482" s="23"/>
      <c r="R1482" s="23"/>
      <c r="S1482" s="16"/>
      <c r="T1482" s="23"/>
      <c r="U1482" s="23"/>
      <c r="V1482" s="23"/>
      <c r="W1482" s="16"/>
      <c r="X1482" s="23"/>
      <c r="Y1482" s="23"/>
      <c r="Z1482" s="23"/>
      <c r="AA1482" s="16"/>
      <c r="AB1482" s="23"/>
      <c r="AC1482" s="23"/>
      <c r="AD1482" s="23"/>
      <c r="AE1482" s="16"/>
      <c r="AF1482" s="23"/>
      <c r="AG1482" s="23"/>
      <c r="AH1482" s="23"/>
      <c r="AI1482" s="16"/>
      <c r="AJ1482" s="23"/>
      <c r="AK1482" s="23"/>
      <c r="AL1482" s="23"/>
      <c r="AM1482" s="16"/>
      <c r="AN1482" s="23"/>
      <c r="AO1482" s="23"/>
      <c r="AP1482" s="23"/>
      <c r="AQ1482" s="16"/>
      <c r="AR1482" s="23"/>
      <c r="AS1482" s="23"/>
      <c r="AT1482" s="23"/>
      <c r="AU1482" s="16"/>
      <c r="AV1482" s="23"/>
      <c r="AW1482" s="23"/>
      <c r="AX1482" s="23"/>
      <c r="AY1482" s="16"/>
      <c r="AZ1482" s="23"/>
      <c r="BA1482" s="23"/>
      <c r="BB1482" s="23"/>
      <c r="BC1482" s="16"/>
      <c r="BD1482" s="23"/>
      <c r="BE1482" s="23"/>
      <c r="BF1482" s="23"/>
      <c r="BJ1482" s="23"/>
      <c r="BN1482" s="23"/>
      <c r="BO1482" s="23">
        <v>350.0</v>
      </c>
      <c r="BP1482" s="16"/>
      <c r="BQ1482" s="16"/>
      <c r="BR1482" s="23">
        <v>350.0</v>
      </c>
      <c r="BS1482" s="16"/>
      <c r="BT1482" s="16"/>
      <c r="BU1482" s="16" t="s">
        <v>539</v>
      </c>
      <c r="BV1482" s="16"/>
      <c r="BW1482" s="16"/>
      <c r="BX1482" s="16"/>
      <c r="BY1482" s="16"/>
    </row>
    <row r="1483">
      <c r="A1483" s="16" t="s">
        <v>8113</v>
      </c>
      <c r="B1483" s="16" t="s">
        <v>35</v>
      </c>
      <c r="C1483" s="22">
        <v>45924.0</v>
      </c>
      <c r="D1483" s="16" t="s">
        <v>9244</v>
      </c>
      <c r="E1483" s="16" t="s">
        <v>9245</v>
      </c>
      <c r="F1483" s="16" t="s">
        <v>9248</v>
      </c>
      <c r="G1483" s="16" t="s">
        <v>8114</v>
      </c>
      <c r="H1483" s="16">
        <v>1.0</v>
      </c>
      <c r="I1483" s="23">
        <v>283.6</v>
      </c>
      <c r="J1483" s="23">
        <v>283.6</v>
      </c>
      <c r="K1483" s="16"/>
      <c r="L1483" s="23"/>
      <c r="M1483" s="23"/>
      <c r="N1483" s="23">
        <v>0.0</v>
      </c>
      <c r="O1483" s="16"/>
      <c r="P1483" s="23"/>
      <c r="Q1483" s="23"/>
      <c r="R1483" s="23">
        <v>0.0</v>
      </c>
      <c r="S1483" s="16"/>
      <c r="T1483" s="23"/>
      <c r="U1483" s="23"/>
      <c r="V1483" s="23">
        <v>0.0</v>
      </c>
      <c r="W1483" s="16"/>
      <c r="X1483" s="23"/>
      <c r="Y1483" s="23"/>
      <c r="Z1483" s="23">
        <v>0.0</v>
      </c>
      <c r="AA1483" s="16"/>
      <c r="AB1483" s="23"/>
      <c r="AC1483" s="23"/>
      <c r="AD1483" s="23">
        <v>0.0</v>
      </c>
      <c r="AE1483" s="16"/>
      <c r="AF1483" s="23"/>
      <c r="AG1483" s="23"/>
      <c r="AH1483" s="23">
        <v>0.0</v>
      </c>
      <c r="AI1483" s="16"/>
      <c r="AJ1483" s="23"/>
      <c r="AK1483" s="23"/>
      <c r="AL1483" s="23">
        <v>0.0</v>
      </c>
      <c r="AM1483" s="16"/>
      <c r="AN1483" s="23"/>
      <c r="AO1483" s="23"/>
      <c r="AP1483" s="23">
        <v>0.0</v>
      </c>
      <c r="AQ1483" s="16"/>
      <c r="AR1483" s="23"/>
      <c r="AS1483" s="23"/>
      <c r="AT1483" s="23">
        <v>0.0</v>
      </c>
      <c r="AU1483" s="16"/>
      <c r="AV1483" s="23"/>
      <c r="AW1483" s="23"/>
      <c r="AX1483" s="23">
        <v>0.0</v>
      </c>
      <c r="AY1483" s="16"/>
      <c r="AZ1483" s="23"/>
      <c r="BA1483" s="23"/>
      <c r="BB1483" s="23"/>
      <c r="BC1483" s="16"/>
      <c r="BD1483" s="23"/>
      <c r="BE1483" s="23"/>
      <c r="BF1483" s="23">
        <v>0.0</v>
      </c>
      <c r="BJ1483" s="23">
        <v>0.0</v>
      </c>
      <c r="BN1483" s="23">
        <v>0.0</v>
      </c>
      <c r="BO1483" s="23">
        <v>283.6</v>
      </c>
      <c r="BP1483" s="16" t="s">
        <v>9247</v>
      </c>
      <c r="BQ1483" s="16" t="b">
        <v>1</v>
      </c>
      <c r="BR1483" s="23">
        <v>283.6</v>
      </c>
      <c r="BS1483" s="16"/>
      <c r="BT1483" s="16" t="b">
        <v>0</v>
      </c>
      <c r="BU1483" s="16" t="s">
        <v>546</v>
      </c>
      <c r="BV1483" s="16"/>
      <c r="BW1483" s="16"/>
      <c r="BX1483" s="16"/>
      <c r="BY1483" s="16"/>
    </row>
    <row r="1484">
      <c r="A1484" s="16" t="s">
        <v>8116</v>
      </c>
      <c r="B1484" s="16" t="s">
        <v>35</v>
      </c>
      <c r="C1484" s="22">
        <v>45926.0</v>
      </c>
      <c r="D1484" s="16"/>
      <c r="E1484" s="16"/>
      <c r="F1484" s="16" t="s">
        <v>1329</v>
      </c>
      <c r="G1484" s="16" t="s">
        <v>1168</v>
      </c>
      <c r="H1484" s="16">
        <v>1.0</v>
      </c>
      <c r="I1484" s="23">
        <v>500.0</v>
      </c>
      <c r="J1484" s="23">
        <v>500.0</v>
      </c>
      <c r="K1484" s="16"/>
      <c r="L1484" s="23"/>
      <c r="M1484" s="23"/>
      <c r="N1484" s="23"/>
      <c r="O1484" s="16"/>
      <c r="P1484" s="23"/>
      <c r="Q1484" s="23"/>
      <c r="R1484" s="23"/>
      <c r="S1484" s="16"/>
      <c r="T1484" s="23"/>
      <c r="U1484" s="23"/>
      <c r="V1484" s="23"/>
      <c r="W1484" s="16"/>
      <c r="X1484" s="23"/>
      <c r="Y1484" s="23"/>
      <c r="Z1484" s="23"/>
      <c r="AA1484" s="16"/>
      <c r="AB1484" s="23"/>
      <c r="AC1484" s="23"/>
      <c r="AD1484" s="23"/>
      <c r="AE1484" s="16"/>
      <c r="AF1484" s="23"/>
      <c r="AG1484" s="23"/>
      <c r="AH1484" s="23"/>
      <c r="AI1484" s="16"/>
      <c r="AJ1484" s="23"/>
      <c r="AK1484" s="23"/>
      <c r="AL1484" s="23"/>
      <c r="AM1484" s="16"/>
      <c r="AN1484" s="23"/>
      <c r="AO1484" s="23"/>
      <c r="AP1484" s="23"/>
      <c r="AQ1484" s="16"/>
      <c r="AR1484" s="23"/>
      <c r="AS1484" s="23"/>
      <c r="AT1484" s="23"/>
      <c r="AU1484" s="16"/>
      <c r="AV1484" s="23"/>
      <c r="AW1484" s="23"/>
      <c r="AX1484" s="23"/>
      <c r="AY1484" s="16"/>
      <c r="AZ1484" s="23"/>
      <c r="BA1484" s="23"/>
      <c r="BB1484" s="23"/>
      <c r="BC1484" s="16"/>
      <c r="BD1484" s="23"/>
      <c r="BE1484" s="23"/>
      <c r="BF1484" s="23"/>
      <c r="BJ1484" s="23"/>
      <c r="BN1484" s="23"/>
      <c r="BO1484" s="23">
        <v>500.0</v>
      </c>
      <c r="BP1484" s="16"/>
      <c r="BQ1484" s="16"/>
      <c r="BR1484" s="23">
        <v>500.0</v>
      </c>
      <c r="BS1484" s="16"/>
      <c r="BT1484" s="16"/>
      <c r="BU1484" s="16" t="s">
        <v>539</v>
      </c>
      <c r="BV1484" s="16" t="s">
        <v>6062</v>
      </c>
      <c r="BW1484" s="16"/>
      <c r="BX1484" s="16"/>
      <c r="BY1484" s="16"/>
    </row>
    <row r="1485">
      <c r="A1485" s="16" t="s">
        <v>8119</v>
      </c>
      <c r="B1485" s="16" t="s">
        <v>35</v>
      </c>
      <c r="C1485" s="22">
        <v>45929.0</v>
      </c>
      <c r="D1485" s="16" t="s">
        <v>9260</v>
      </c>
      <c r="E1485" s="16"/>
      <c r="F1485" s="16" t="s">
        <v>9265</v>
      </c>
      <c r="G1485" s="16" t="s">
        <v>3833</v>
      </c>
      <c r="H1485" s="16">
        <v>1.0</v>
      </c>
      <c r="I1485" s="23">
        <v>4067.85</v>
      </c>
      <c r="J1485" s="23">
        <v>4067.85</v>
      </c>
      <c r="K1485" s="16"/>
      <c r="L1485" s="23"/>
      <c r="M1485" s="23"/>
      <c r="N1485" s="23"/>
      <c r="O1485" s="16"/>
      <c r="P1485" s="23"/>
      <c r="Q1485" s="23"/>
      <c r="R1485" s="23"/>
      <c r="S1485" s="16"/>
      <c r="T1485" s="23"/>
      <c r="U1485" s="23"/>
      <c r="V1485" s="23"/>
      <c r="W1485" s="16"/>
      <c r="X1485" s="23"/>
      <c r="Y1485" s="23"/>
      <c r="Z1485" s="23"/>
      <c r="AA1485" s="16"/>
      <c r="AB1485" s="23"/>
      <c r="AC1485" s="23"/>
      <c r="AD1485" s="23"/>
      <c r="AE1485" s="16"/>
      <c r="AF1485" s="23"/>
      <c r="AG1485" s="23"/>
      <c r="AH1485" s="23"/>
      <c r="AI1485" s="16"/>
      <c r="AJ1485" s="23"/>
      <c r="AK1485" s="23"/>
      <c r="AL1485" s="23"/>
      <c r="AM1485" s="16"/>
      <c r="AN1485" s="23"/>
      <c r="AO1485" s="23"/>
      <c r="AP1485" s="23"/>
      <c r="AQ1485" s="16"/>
      <c r="AR1485" s="23"/>
      <c r="AS1485" s="23"/>
      <c r="AT1485" s="23"/>
      <c r="AU1485" s="16"/>
      <c r="AV1485" s="23"/>
      <c r="AW1485" s="23"/>
      <c r="AX1485" s="23"/>
      <c r="AY1485" s="16"/>
      <c r="AZ1485" s="23"/>
      <c r="BA1485" s="23"/>
      <c r="BB1485" s="23"/>
      <c r="BC1485" s="16"/>
      <c r="BD1485" s="23"/>
      <c r="BE1485" s="23"/>
      <c r="BF1485" s="23"/>
      <c r="BJ1485" s="23"/>
      <c r="BN1485" s="23"/>
      <c r="BO1485" s="23">
        <v>4067.85</v>
      </c>
      <c r="BP1485" s="16"/>
      <c r="BQ1485" s="16"/>
      <c r="BR1485" s="23">
        <v>4067.85</v>
      </c>
      <c r="BS1485" s="16"/>
      <c r="BT1485" s="16"/>
      <c r="BU1485" s="16" t="s">
        <v>539</v>
      </c>
      <c r="BV1485" s="16"/>
      <c r="BW1485" s="16"/>
      <c r="BX1485" s="16"/>
      <c r="BY1485" s="16"/>
    </row>
    <row r="1486">
      <c r="A1486" s="16" t="s">
        <v>8123</v>
      </c>
      <c r="B1486" s="16" t="s">
        <v>35</v>
      </c>
      <c r="C1486" s="22">
        <v>45929.0</v>
      </c>
      <c r="D1486" s="16" t="s">
        <v>890</v>
      </c>
      <c r="E1486" s="16"/>
      <c r="F1486" s="16" t="s">
        <v>9272</v>
      </c>
      <c r="G1486" s="16" t="s">
        <v>8067</v>
      </c>
      <c r="H1486" s="16">
        <v>1.0</v>
      </c>
      <c r="I1486" s="23">
        <v>8.0</v>
      </c>
      <c r="J1486" s="23">
        <v>8.0</v>
      </c>
      <c r="K1486" s="16"/>
      <c r="L1486" s="23"/>
      <c r="M1486" s="23"/>
      <c r="N1486" s="23"/>
      <c r="O1486" s="16"/>
      <c r="P1486" s="23"/>
      <c r="Q1486" s="23"/>
      <c r="R1486" s="23"/>
      <c r="S1486" s="16"/>
      <c r="T1486" s="23"/>
      <c r="U1486" s="23"/>
      <c r="V1486" s="23"/>
      <c r="W1486" s="16"/>
      <c r="X1486" s="23"/>
      <c r="Y1486" s="23"/>
      <c r="Z1486" s="23"/>
      <c r="AA1486" s="16"/>
      <c r="AB1486" s="23"/>
      <c r="AC1486" s="23"/>
      <c r="AD1486" s="23"/>
      <c r="AE1486" s="16"/>
      <c r="AF1486" s="23"/>
      <c r="AG1486" s="23"/>
      <c r="AH1486" s="23"/>
      <c r="AI1486" s="16"/>
      <c r="AJ1486" s="23"/>
      <c r="AK1486" s="23"/>
      <c r="AL1486" s="23"/>
      <c r="AM1486" s="16"/>
      <c r="AN1486" s="23"/>
      <c r="AO1486" s="23"/>
      <c r="AP1486" s="23"/>
      <c r="AQ1486" s="16"/>
      <c r="AR1486" s="23"/>
      <c r="AS1486" s="23"/>
      <c r="AT1486" s="23"/>
      <c r="AU1486" s="16"/>
      <c r="AV1486" s="23"/>
      <c r="AW1486" s="23"/>
      <c r="AX1486" s="23"/>
      <c r="AY1486" s="16"/>
      <c r="AZ1486" s="23"/>
      <c r="BA1486" s="23"/>
      <c r="BB1486" s="23"/>
      <c r="BC1486" s="16"/>
      <c r="BD1486" s="23"/>
      <c r="BE1486" s="23"/>
      <c r="BF1486" s="23"/>
      <c r="BJ1486" s="23"/>
      <c r="BN1486" s="23"/>
      <c r="BO1486" s="23">
        <v>8.0</v>
      </c>
      <c r="BP1486" s="16"/>
      <c r="BQ1486" s="16"/>
      <c r="BR1486" s="23">
        <v>8.0</v>
      </c>
      <c r="BS1486" s="16"/>
      <c r="BT1486" s="16"/>
      <c r="BU1486" s="16" t="s">
        <v>539</v>
      </c>
      <c r="BV1486" s="16"/>
      <c r="BW1486" s="16"/>
      <c r="BX1486" s="16"/>
      <c r="BY1486" s="16"/>
    </row>
    <row r="1487">
      <c r="A1487" s="16" t="s">
        <v>8126</v>
      </c>
      <c r="B1487" s="16" t="s">
        <v>35</v>
      </c>
      <c r="C1487" s="22">
        <v>45929.0</v>
      </c>
      <c r="D1487" s="16" t="s">
        <v>890</v>
      </c>
      <c r="E1487" s="16"/>
      <c r="F1487" s="16" t="s">
        <v>9278</v>
      </c>
      <c r="G1487" s="16" t="s">
        <v>3833</v>
      </c>
      <c r="H1487" s="16">
        <v>1.0</v>
      </c>
      <c r="I1487" s="23">
        <v>2221.95</v>
      </c>
      <c r="J1487" s="23">
        <v>2221.95</v>
      </c>
      <c r="K1487" s="16"/>
      <c r="L1487" s="23"/>
      <c r="M1487" s="23"/>
      <c r="N1487" s="23"/>
      <c r="O1487" s="16"/>
      <c r="P1487" s="23"/>
      <c r="Q1487" s="23"/>
      <c r="R1487" s="23"/>
      <c r="S1487" s="16"/>
      <c r="T1487" s="23"/>
      <c r="U1487" s="23"/>
      <c r="V1487" s="23"/>
      <c r="W1487" s="16"/>
      <c r="X1487" s="23"/>
      <c r="Y1487" s="23"/>
      <c r="Z1487" s="23"/>
      <c r="AA1487" s="16"/>
      <c r="AB1487" s="23"/>
      <c r="AC1487" s="23"/>
      <c r="AD1487" s="23"/>
      <c r="AE1487" s="16"/>
      <c r="AF1487" s="23"/>
      <c r="AG1487" s="23"/>
      <c r="AH1487" s="23"/>
      <c r="AI1487" s="16"/>
      <c r="AJ1487" s="23"/>
      <c r="AK1487" s="23"/>
      <c r="AL1487" s="23"/>
      <c r="AM1487" s="16"/>
      <c r="AN1487" s="23"/>
      <c r="AO1487" s="23"/>
      <c r="AP1487" s="23"/>
      <c r="AQ1487" s="16"/>
      <c r="AR1487" s="23"/>
      <c r="AS1487" s="23"/>
      <c r="AT1487" s="23"/>
      <c r="AU1487" s="16"/>
      <c r="AV1487" s="23"/>
      <c r="AW1487" s="23"/>
      <c r="AX1487" s="23"/>
      <c r="AY1487" s="16"/>
      <c r="AZ1487" s="23"/>
      <c r="BA1487" s="23"/>
      <c r="BB1487" s="23"/>
      <c r="BC1487" s="16"/>
      <c r="BD1487" s="23"/>
      <c r="BE1487" s="23"/>
      <c r="BF1487" s="23"/>
      <c r="BJ1487" s="23"/>
      <c r="BN1487" s="23"/>
      <c r="BO1487" s="23">
        <v>2221.95</v>
      </c>
      <c r="BP1487" s="16"/>
      <c r="BQ1487" s="16"/>
      <c r="BR1487" s="23">
        <v>2221.95</v>
      </c>
      <c r="BS1487" s="16"/>
      <c r="BT1487" s="16"/>
      <c r="BU1487" s="16" t="s">
        <v>539</v>
      </c>
      <c r="BV1487" s="16"/>
      <c r="BW1487" s="16"/>
      <c r="BX1487" s="16"/>
      <c r="BY1487" s="16"/>
    </row>
    <row r="1488">
      <c r="A1488" s="16" t="s">
        <v>8129</v>
      </c>
      <c r="B1488" s="16" t="s">
        <v>35</v>
      </c>
      <c r="C1488" s="22">
        <v>45929.0</v>
      </c>
      <c r="D1488" s="16" t="s">
        <v>460</v>
      </c>
      <c r="E1488" s="16"/>
      <c r="F1488" s="16" t="s">
        <v>931</v>
      </c>
      <c r="G1488" s="16" t="s">
        <v>1126</v>
      </c>
      <c r="H1488" s="16">
        <v>1.0</v>
      </c>
      <c r="I1488" s="23">
        <v>40.0</v>
      </c>
      <c r="J1488" s="23">
        <v>40.0</v>
      </c>
      <c r="K1488" s="16"/>
      <c r="L1488" s="23"/>
      <c r="M1488" s="23"/>
      <c r="N1488" s="23"/>
      <c r="O1488" s="16"/>
      <c r="P1488" s="23"/>
      <c r="Q1488" s="23"/>
      <c r="R1488" s="23"/>
      <c r="S1488" s="16"/>
      <c r="T1488" s="23"/>
      <c r="U1488" s="23"/>
      <c r="V1488" s="23"/>
      <c r="W1488" s="16"/>
      <c r="X1488" s="23"/>
      <c r="Y1488" s="23"/>
      <c r="Z1488" s="23"/>
      <c r="AA1488" s="16"/>
      <c r="AB1488" s="23"/>
      <c r="AC1488" s="23"/>
      <c r="AD1488" s="23"/>
      <c r="AE1488" s="16"/>
      <c r="AF1488" s="23"/>
      <c r="AG1488" s="23"/>
      <c r="AH1488" s="23"/>
      <c r="AI1488" s="16"/>
      <c r="AJ1488" s="23"/>
      <c r="AK1488" s="23"/>
      <c r="AL1488" s="23"/>
      <c r="AM1488" s="16"/>
      <c r="AN1488" s="23"/>
      <c r="AO1488" s="23"/>
      <c r="AP1488" s="23"/>
      <c r="AQ1488" s="16"/>
      <c r="AR1488" s="23"/>
      <c r="AS1488" s="23"/>
      <c r="AT1488" s="23"/>
      <c r="AU1488" s="16"/>
      <c r="AV1488" s="23"/>
      <c r="AW1488" s="23"/>
      <c r="AX1488" s="23"/>
      <c r="AY1488" s="16"/>
      <c r="AZ1488" s="23"/>
      <c r="BA1488" s="23"/>
      <c r="BB1488" s="23"/>
      <c r="BC1488" s="16"/>
      <c r="BD1488" s="23"/>
      <c r="BE1488" s="23"/>
      <c r="BF1488" s="23"/>
      <c r="BJ1488" s="23"/>
      <c r="BN1488" s="23"/>
      <c r="BO1488" s="23">
        <v>40.0</v>
      </c>
      <c r="BP1488" s="16"/>
      <c r="BQ1488" s="16"/>
      <c r="BR1488" s="23">
        <v>40.0</v>
      </c>
      <c r="BS1488" s="16"/>
      <c r="BT1488" s="16"/>
      <c r="BU1488" s="16" t="s">
        <v>539</v>
      </c>
      <c r="BV1488" s="16"/>
      <c r="BW1488" s="16"/>
      <c r="BX1488" s="16"/>
      <c r="BY1488" s="16"/>
    </row>
    <row r="1489">
      <c r="A1489" s="16" t="s">
        <v>8133</v>
      </c>
      <c r="B1489" s="16" t="s">
        <v>35</v>
      </c>
      <c r="C1489" s="22">
        <v>45929.0</v>
      </c>
      <c r="D1489" s="16" t="s">
        <v>460</v>
      </c>
      <c r="E1489" s="16"/>
      <c r="F1489" s="16" t="s">
        <v>9293</v>
      </c>
      <c r="G1489" s="16" t="s">
        <v>5636</v>
      </c>
      <c r="H1489" s="16">
        <v>1.0</v>
      </c>
      <c r="I1489" s="23">
        <v>200.0</v>
      </c>
      <c r="J1489" s="23">
        <v>200.0</v>
      </c>
      <c r="K1489" s="16"/>
      <c r="L1489" s="23"/>
      <c r="M1489" s="23"/>
      <c r="N1489" s="23"/>
      <c r="O1489" s="16"/>
      <c r="P1489" s="23"/>
      <c r="Q1489" s="23"/>
      <c r="R1489" s="23"/>
      <c r="S1489" s="16"/>
      <c r="T1489" s="23"/>
      <c r="U1489" s="23"/>
      <c r="V1489" s="23"/>
      <c r="W1489" s="16"/>
      <c r="X1489" s="23"/>
      <c r="Y1489" s="23"/>
      <c r="Z1489" s="23"/>
      <c r="AA1489" s="16"/>
      <c r="AB1489" s="23"/>
      <c r="AC1489" s="23"/>
      <c r="AD1489" s="23"/>
      <c r="AE1489" s="16"/>
      <c r="AF1489" s="23"/>
      <c r="AG1489" s="23"/>
      <c r="AH1489" s="23"/>
      <c r="AI1489" s="16"/>
      <c r="AJ1489" s="23"/>
      <c r="AK1489" s="23"/>
      <c r="AL1489" s="23"/>
      <c r="AM1489" s="16"/>
      <c r="AN1489" s="23"/>
      <c r="AO1489" s="23"/>
      <c r="AP1489" s="23"/>
      <c r="AQ1489" s="16"/>
      <c r="AR1489" s="23"/>
      <c r="AS1489" s="23"/>
      <c r="AT1489" s="23"/>
      <c r="AU1489" s="16"/>
      <c r="AV1489" s="23"/>
      <c r="AW1489" s="23"/>
      <c r="AX1489" s="23"/>
      <c r="AY1489" s="16"/>
      <c r="AZ1489" s="23"/>
      <c r="BA1489" s="23"/>
      <c r="BB1489" s="23"/>
      <c r="BC1489" s="16"/>
      <c r="BD1489" s="23"/>
      <c r="BE1489" s="23"/>
      <c r="BF1489" s="23"/>
      <c r="BJ1489" s="23"/>
      <c r="BN1489" s="23"/>
      <c r="BO1489" s="23">
        <v>200.0</v>
      </c>
      <c r="BP1489" s="16"/>
      <c r="BQ1489" s="16"/>
      <c r="BR1489" s="23">
        <v>200.0</v>
      </c>
      <c r="BS1489" s="16"/>
      <c r="BT1489" s="16"/>
      <c r="BU1489" s="16" t="s">
        <v>539</v>
      </c>
      <c r="BV1489" s="16"/>
      <c r="BW1489" s="16"/>
      <c r="BX1489" s="16"/>
      <c r="BY1489" s="16"/>
    </row>
    <row r="1490">
      <c r="A1490" s="16" t="s">
        <v>8135</v>
      </c>
      <c r="B1490" s="16" t="s">
        <v>35</v>
      </c>
      <c r="C1490" s="22">
        <v>45929.0</v>
      </c>
      <c r="D1490" s="16" t="s">
        <v>460</v>
      </c>
      <c r="E1490" s="16"/>
      <c r="F1490" s="16" t="s">
        <v>4972</v>
      </c>
      <c r="G1490" s="16" t="s">
        <v>5640</v>
      </c>
      <c r="H1490" s="16">
        <v>1.0</v>
      </c>
      <c r="I1490" s="23">
        <v>22.0</v>
      </c>
      <c r="J1490" s="23">
        <v>22.0</v>
      </c>
      <c r="K1490" s="16"/>
      <c r="L1490" s="23"/>
      <c r="M1490" s="23"/>
      <c r="N1490" s="23"/>
      <c r="O1490" s="16"/>
      <c r="P1490" s="23"/>
      <c r="Q1490" s="23"/>
      <c r="R1490" s="23"/>
      <c r="S1490" s="16"/>
      <c r="T1490" s="23"/>
      <c r="U1490" s="23"/>
      <c r="V1490" s="23"/>
      <c r="W1490" s="16"/>
      <c r="X1490" s="23"/>
      <c r="Y1490" s="23"/>
      <c r="Z1490" s="23"/>
      <c r="AA1490" s="16"/>
      <c r="AB1490" s="23"/>
      <c r="AC1490" s="23"/>
      <c r="AD1490" s="23"/>
      <c r="AE1490" s="16"/>
      <c r="AF1490" s="23"/>
      <c r="AG1490" s="23"/>
      <c r="AH1490" s="23"/>
      <c r="AI1490" s="16"/>
      <c r="AJ1490" s="23"/>
      <c r="AK1490" s="23"/>
      <c r="AL1490" s="23"/>
      <c r="AM1490" s="16"/>
      <c r="AN1490" s="23"/>
      <c r="AO1490" s="23"/>
      <c r="AP1490" s="23"/>
      <c r="AQ1490" s="16"/>
      <c r="AR1490" s="23"/>
      <c r="AS1490" s="23"/>
      <c r="AT1490" s="23"/>
      <c r="AU1490" s="16"/>
      <c r="AV1490" s="23"/>
      <c r="AW1490" s="23"/>
      <c r="AX1490" s="23"/>
      <c r="AY1490" s="16"/>
      <c r="AZ1490" s="23"/>
      <c r="BA1490" s="23"/>
      <c r="BB1490" s="23"/>
      <c r="BC1490" s="16"/>
      <c r="BD1490" s="23"/>
      <c r="BE1490" s="23"/>
      <c r="BF1490" s="23"/>
      <c r="BJ1490" s="23"/>
      <c r="BN1490" s="23"/>
      <c r="BO1490" s="23">
        <v>22.0</v>
      </c>
      <c r="BP1490" s="16"/>
      <c r="BQ1490" s="16"/>
      <c r="BR1490" s="23">
        <v>22.0</v>
      </c>
      <c r="BS1490" s="16"/>
      <c r="BT1490" s="16"/>
      <c r="BU1490" s="16" t="s">
        <v>539</v>
      </c>
      <c r="BV1490" s="16"/>
      <c r="BW1490" s="16"/>
      <c r="BX1490" s="16"/>
      <c r="BY1490" s="16"/>
    </row>
    <row r="1491">
      <c r="A1491" s="16" t="s">
        <v>8137</v>
      </c>
      <c r="B1491" s="16" t="s">
        <v>35</v>
      </c>
      <c r="C1491" s="22">
        <v>45929.0</v>
      </c>
      <c r="D1491" s="16" t="s">
        <v>460</v>
      </c>
      <c r="E1491" s="16"/>
      <c r="F1491" s="16" t="s">
        <v>4979</v>
      </c>
      <c r="G1491" s="16" t="s">
        <v>5973</v>
      </c>
      <c r="H1491" s="16">
        <v>1.0</v>
      </c>
      <c r="I1491" s="23">
        <v>10.0</v>
      </c>
      <c r="J1491" s="23">
        <v>10.0</v>
      </c>
      <c r="K1491" s="16"/>
      <c r="L1491" s="23"/>
      <c r="M1491" s="23"/>
      <c r="N1491" s="23"/>
      <c r="O1491" s="16"/>
      <c r="P1491" s="23"/>
      <c r="Q1491" s="23"/>
      <c r="R1491" s="23"/>
      <c r="S1491" s="16"/>
      <c r="T1491" s="23"/>
      <c r="U1491" s="23"/>
      <c r="V1491" s="23"/>
      <c r="W1491" s="16"/>
      <c r="X1491" s="23"/>
      <c r="Y1491" s="23"/>
      <c r="Z1491" s="23"/>
      <c r="AA1491" s="16"/>
      <c r="AB1491" s="23"/>
      <c r="AC1491" s="23"/>
      <c r="AD1491" s="23"/>
      <c r="AE1491" s="16"/>
      <c r="AF1491" s="23"/>
      <c r="AG1491" s="23"/>
      <c r="AH1491" s="23"/>
      <c r="AI1491" s="16"/>
      <c r="AJ1491" s="23"/>
      <c r="AK1491" s="23"/>
      <c r="AL1491" s="23"/>
      <c r="AM1491" s="16"/>
      <c r="AN1491" s="23"/>
      <c r="AO1491" s="23"/>
      <c r="AP1491" s="23"/>
      <c r="AQ1491" s="16"/>
      <c r="AR1491" s="23"/>
      <c r="AS1491" s="23"/>
      <c r="AT1491" s="23"/>
      <c r="AU1491" s="16"/>
      <c r="AV1491" s="23"/>
      <c r="AW1491" s="23"/>
      <c r="AX1491" s="23"/>
      <c r="AY1491" s="16"/>
      <c r="AZ1491" s="23"/>
      <c r="BA1491" s="23"/>
      <c r="BB1491" s="23"/>
      <c r="BC1491" s="16"/>
      <c r="BD1491" s="23"/>
      <c r="BE1491" s="23"/>
      <c r="BF1491" s="23"/>
      <c r="BJ1491" s="23"/>
      <c r="BN1491" s="23"/>
      <c r="BO1491" s="23">
        <v>10.0</v>
      </c>
      <c r="BP1491" s="16"/>
      <c r="BQ1491" s="16"/>
      <c r="BR1491" s="23">
        <v>10.0</v>
      </c>
      <c r="BS1491" s="16"/>
      <c r="BT1491" s="16"/>
      <c r="BU1491" s="16" t="s">
        <v>539</v>
      </c>
      <c r="BV1491" s="16"/>
      <c r="BW1491" s="16"/>
      <c r="BX1491" s="16"/>
      <c r="BY1491" s="16"/>
    </row>
    <row r="1492">
      <c r="A1492" s="16" t="s">
        <v>8142</v>
      </c>
      <c r="B1492" s="16" t="s">
        <v>35</v>
      </c>
      <c r="C1492" s="22">
        <v>45901.0</v>
      </c>
      <c r="D1492" s="16" t="s">
        <v>1036</v>
      </c>
      <c r="E1492" s="16" t="s">
        <v>9306</v>
      </c>
      <c r="F1492" s="16" t="s">
        <v>7568</v>
      </c>
      <c r="G1492" s="16" t="s">
        <v>1668</v>
      </c>
      <c r="H1492" s="16">
        <v>1.0</v>
      </c>
      <c r="I1492" s="23">
        <v>124.16</v>
      </c>
      <c r="J1492" s="23">
        <v>124.16</v>
      </c>
      <c r="K1492" s="16"/>
      <c r="L1492" s="23"/>
      <c r="M1492" s="23"/>
      <c r="N1492" s="23">
        <v>0.0</v>
      </c>
      <c r="O1492" s="16"/>
      <c r="P1492" s="23"/>
      <c r="Q1492" s="23"/>
      <c r="R1492" s="23">
        <v>0.0</v>
      </c>
      <c r="S1492" s="16"/>
      <c r="T1492" s="23"/>
      <c r="U1492" s="23"/>
      <c r="V1492" s="23">
        <v>0.0</v>
      </c>
      <c r="W1492" s="16"/>
      <c r="X1492" s="23"/>
      <c r="Y1492" s="23"/>
      <c r="Z1492" s="23">
        <v>0.0</v>
      </c>
      <c r="AA1492" s="16"/>
      <c r="AB1492" s="23"/>
      <c r="AC1492" s="23"/>
      <c r="AD1492" s="23">
        <v>0.0</v>
      </c>
      <c r="AE1492" s="16"/>
      <c r="AF1492" s="23"/>
      <c r="AG1492" s="23"/>
      <c r="AH1492" s="23">
        <v>0.0</v>
      </c>
      <c r="AI1492" s="16"/>
      <c r="AJ1492" s="23"/>
      <c r="AK1492" s="23"/>
      <c r="AL1492" s="23">
        <v>0.0</v>
      </c>
      <c r="AM1492" s="16"/>
      <c r="AN1492" s="23"/>
      <c r="AO1492" s="23"/>
      <c r="AP1492" s="23">
        <v>0.0</v>
      </c>
      <c r="AQ1492" s="16"/>
      <c r="AR1492" s="23"/>
      <c r="AS1492" s="23"/>
      <c r="AT1492" s="23">
        <v>0.0</v>
      </c>
      <c r="AU1492" s="16"/>
      <c r="AV1492" s="23"/>
      <c r="AW1492" s="23"/>
      <c r="AX1492" s="23">
        <v>0.0</v>
      </c>
      <c r="AY1492" s="16"/>
      <c r="AZ1492" s="23"/>
      <c r="BA1492" s="23"/>
      <c r="BB1492" s="23"/>
      <c r="BC1492" s="16"/>
      <c r="BD1492" s="23"/>
      <c r="BE1492" s="23"/>
      <c r="BF1492" s="23">
        <v>0.0</v>
      </c>
      <c r="BJ1492" s="23">
        <v>0.0</v>
      </c>
      <c r="BN1492" s="23">
        <v>0.0</v>
      </c>
      <c r="BO1492" s="23">
        <v>124.16</v>
      </c>
      <c r="BP1492" s="16" t="s">
        <v>9307</v>
      </c>
      <c r="BQ1492" s="16" t="b">
        <v>1</v>
      </c>
      <c r="BR1492" s="23">
        <v>124.16</v>
      </c>
      <c r="BS1492" s="16"/>
      <c r="BT1492" s="16" t="b">
        <v>0</v>
      </c>
      <c r="BU1492" s="16" t="s">
        <v>546</v>
      </c>
      <c r="BV1492" s="16"/>
      <c r="BW1492" s="16"/>
      <c r="BX1492" s="16"/>
      <c r="BY1492" s="16"/>
    </row>
    <row r="1493">
      <c r="A1493" s="16" t="s">
        <v>8144</v>
      </c>
      <c r="B1493" s="16" t="s">
        <v>35</v>
      </c>
      <c r="C1493" s="22">
        <v>45901.0</v>
      </c>
      <c r="D1493" s="16" t="s">
        <v>1557</v>
      </c>
      <c r="E1493" s="16" t="s">
        <v>9314</v>
      </c>
      <c r="F1493" s="16" t="s">
        <v>9316</v>
      </c>
      <c r="G1493" s="16" t="s">
        <v>6423</v>
      </c>
      <c r="H1493" s="16">
        <v>1.0</v>
      </c>
      <c r="I1493" s="23">
        <v>110.0</v>
      </c>
      <c r="J1493" s="23">
        <v>110.0</v>
      </c>
      <c r="K1493" s="16"/>
      <c r="L1493" s="23"/>
      <c r="M1493" s="23"/>
      <c r="N1493" s="23">
        <v>0.0</v>
      </c>
      <c r="O1493" s="16"/>
      <c r="P1493" s="23"/>
      <c r="Q1493" s="23"/>
      <c r="R1493" s="23">
        <v>0.0</v>
      </c>
      <c r="S1493" s="16"/>
      <c r="T1493" s="23"/>
      <c r="U1493" s="23"/>
      <c r="V1493" s="23">
        <v>0.0</v>
      </c>
      <c r="W1493" s="16"/>
      <c r="X1493" s="23"/>
      <c r="Y1493" s="23"/>
      <c r="Z1493" s="23">
        <v>0.0</v>
      </c>
      <c r="AA1493" s="16"/>
      <c r="AB1493" s="23"/>
      <c r="AC1493" s="23"/>
      <c r="AD1493" s="23">
        <v>0.0</v>
      </c>
      <c r="AE1493" s="16"/>
      <c r="AF1493" s="23"/>
      <c r="AG1493" s="23"/>
      <c r="AH1493" s="23">
        <v>0.0</v>
      </c>
      <c r="AI1493" s="16"/>
      <c r="AJ1493" s="23"/>
      <c r="AK1493" s="23"/>
      <c r="AL1493" s="23">
        <v>0.0</v>
      </c>
      <c r="AM1493" s="16"/>
      <c r="AN1493" s="23"/>
      <c r="AO1493" s="23"/>
      <c r="AP1493" s="23">
        <v>0.0</v>
      </c>
      <c r="AQ1493" s="16"/>
      <c r="AR1493" s="23"/>
      <c r="AS1493" s="23"/>
      <c r="AT1493" s="23">
        <v>0.0</v>
      </c>
      <c r="AU1493" s="16"/>
      <c r="AV1493" s="23"/>
      <c r="AW1493" s="23"/>
      <c r="AX1493" s="23">
        <v>0.0</v>
      </c>
      <c r="AY1493" s="16"/>
      <c r="AZ1493" s="23"/>
      <c r="BA1493" s="23"/>
      <c r="BB1493" s="23"/>
      <c r="BC1493" s="16"/>
      <c r="BD1493" s="23"/>
      <c r="BE1493" s="23"/>
      <c r="BF1493" s="23">
        <v>0.0</v>
      </c>
      <c r="BJ1493" s="23">
        <v>0.0</v>
      </c>
      <c r="BN1493" s="23">
        <v>0.0</v>
      </c>
      <c r="BO1493" s="23">
        <v>110.0</v>
      </c>
      <c r="BP1493" s="16" t="s">
        <v>9315</v>
      </c>
      <c r="BQ1493" s="16" t="b">
        <v>1</v>
      </c>
      <c r="BR1493" s="23">
        <v>110.0</v>
      </c>
      <c r="BS1493" s="16"/>
      <c r="BT1493" s="16" t="b">
        <v>0</v>
      </c>
      <c r="BU1493" s="16" t="s">
        <v>546</v>
      </c>
      <c r="BV1493" s="16"/>
      <c r="BW1493" s="16"/>
      <c r="BX1493" s="16"/>
      <c r="BY1493" s="16"/>
    </row>
    <row r="1494">
      <c r="A1494" s="16" t="s">
        <v>8147</v>
      </c>
      <c r="B1494" s="16" t="s">
        <v>35</v>
      </c>
      <c r="C1494" s="22">
        <v>45917.0</v>
      </c>
      <c r="D1494" s="16" t="s">
        <v>890</v>
      </c>
      <c r="E1494" s="16" t="s">
        <v>9322</v>
      </c>
      <c r="F1494" s="16" t="s">
        <v>1511</v>
      </c>
      <c r="G1494" s="16" t="s">
        <v>1517</v>
      </c>
      <c r="H1494" s="16">
        <v>1.0</v>
      </c>
      <c r="I1494" s="23">
        <v>10245.98</v>
      </c>
      <c r="J1494" s="23">
        <v>10245.98</v>
      </c>
      <c r="K1494" s="16"/>
      <c r="L1494" s="23"/>
      <c r="M1494" s="23"/>
      <c r="N1494" s="23">
        <v>0.0</v>
      </c>
      <c r="O1494" s="16"/>
      <c r="P1494" s="23"/>
      <c r="Q1494" s="23"/>
      <c r="R1494" s="23">
        <v>0.0</v>
      </c>
      <c r="S1494" s="16"/>
      <c r="T1494" s="23"/>
      <c r="U1494" s="23"/>
      <c r="V1494" s="23">
        <v>0.0</v>
      </c>
      <c r="W1494" s="16"/>
      <c r="X1494" s="23"/>
      <c r="Y1494" s="23"/>
      <c r="Z1494" s="23">
        <v>0.0</v>
      </c>
      <c r="AA1494" s="16"/>
      <c r="AB1494" s="23"/>
      <c r="AC1494" s="23"/>
      <c r="AD1494" s="23">
        <v>0.0</v>
      </c>
      <c r="AE1494" s="16"/>
      <c r="AF1494" s="23"/>
      <c r="AG1494" s="23"/>
      <c r="AH1494" s="23">
        <v>0.0</v>
      </c>
      <c r="AI1494" s="16"/>
      <c r="AJ1494" s="23"/>
      <c r="AK1494" s="23"/>
      <c r="AL1494" s="23">
        <v>0.0</v>
      </c>
      <c r="AM1494" s="16"/>
      <c r="AN1494" s="23"/>
      <c r="AO1494" s="23"/>
      <c r="AP1494" s="23">
        <v>0.0</v>
      </c>
      <c r="AQ1494" s="16"/>
      <c r="AR1494" s="23"/>
      <c r="AS1494" s="23"/>
      <c r="AT1494" s="23">
        <v>0.0</v>
      </c>
      <c r="AU1494" s="16"/>
      <c r="AV1494" s="23"/>
      <c r="AW1494" s="23"/>
      <c r="AX1494" s="23">
        <v>0.0</v>
      </c>
      <c r="AY1494" s="16"/>
      <c r="AZ1494" s="23"/>
      <c r="BA1494" s="23"/>
      <c r="BB1494" s="23"/>
      <c r="BC1494" s="16"/>
      <c r="BD1494" s="23"/>
      <c r="BE1494" s="23"/>
      <c r="BF1494" s="23">
        <v>0.0</v>
      </c>
      <c r="BJ1494" s="23">
        <v>0.0</v>
      </c>
      <c r="BN1494" s="23">
        <v>0.0</v>
      </c>
      <c r="BO1494" s="23">
        <v>10245.98</v>
      </c>
      <c r="BP1494" s="16" t="s">
        <v>9323</v>
      </c>
      <c r="BQ1494" s="16" t="b">
        <v>1</v>
      </c>
      <c r="BR1494" s="23">
        <v>10245.98</v>
      </c>
      <c r="BS1494" s="16"/>
      <c r="BT1494" s="16" t="b">
        <v>0</v>
      </c>
      <c r="BU1494" s="16" t="s">
        <v>546</v>
      </c>
      <c r="BV1494" s="16"/>
      <c r="BW1494" s="16" t="s">
        <v>9326</v>
      </c>
      <c r="BX1494" s="16"/>
      <c r="BY1494" s="16"/>
    </row>
    <row r="1495">
      <c r="A1495" s="16" t="s">
        <v>8150</v>
      </c>
      <c r="B1495" s="16" t="s">
        <v>35</v>
      </c>
      <c r="C1495" s="22">
        <v>45925.0</v>
      </c>
      <c r="D1495" s="16" t="s">
        <v>3716</v>
      </c>
      <c r="E1495" s="16" t="s">
        <v>9330</v>
      </c>
      <c r="F1495" s="16" t="s">
        <v>6025</v>
      </c>
      <c r="G1495" s="16" t="s">
        <v>1080</v>
      </c>
      <c r="H1495" s="16">
        <v>1.0</v>
      </c>
      <c r="I1495" s="23">
        <v>278.0</v>
      </c>
      <c r="J1495" s="23">
        <v>278.0</v>
      </c>
      <c r="K1495" s="16"/>
      <c r="L1495" s="23"/>
      <c r="M1495" s="23"/>
      <c r="N1495" s="23">
        <v>0.0</v>
      </c>
      <c r="O1495" s="16"/>
      <c r="P1495" s="23"/>
      <c r="Q1495" s="23"/>
      <c r="R1495" s="23">
        <v>0.0</v>
      </c>
      <c r="S1495" s="16"/>
      <c r="T1495" s="23"/>
      <c r="U1495" s="23"/>
      <c r="V1495" s="23">
        <v>0.0</v>
      </c>
      <c r="W1495" s="16"/>
      <c r="X1495" s="23"/>
      <c r="Y1495" s="23"/>
      <c r="Z1495" s="23">
        <v>0.0</v>
      </c>
      <c r="AA1495" s="16"/>
      <c r="AB1495" s="23"/>
      <c r="AC1495" s="23"/>
      <c r="AD1495" s="23">
        <v>0.0</v>
      </c>
      <c r="AE1495" s="16"/>
      <c r="AF1495" s="23"/>
      <c r="AG1495" s="23"/>
      <c r="AH1495" s="23">
        <v>0.0</v>
      </c>
      <c r="AI1495" s="16"/>
      <c r="AJ1495" s="23"/>
      <c r="AK1495" s="23"/>
      <c r="AL1495" s="23">
        <v>0.0</v>
      </c>
      <c r="AM1495" s="16"/>
      <c r="AN1495" s="23"/>
      <c r="AO1495" s="23"/>
      <c r="AP1495" s="23">
        <v>0.0</v>
      </c>
      <c r="AQ1495" s="16"/>
      <c r="AR1495" s="23"/>
      <c r="AS1495" s="23"/>
      <c r="AT1495" s="23">
        <v>0.0</v>
      </c>
      <c r="AU1495" s="16"/>
      <c r="AV1495" s="23"/>
      <c r="AW1495" s="23"/>
      <c r="AX1495" s="23">
        <v>0.0</v>
      </c>
      <c r="AY1495" s="16"/>
      <c r="AZ1495" s="23"/>
      <c r="BA1495" s="23"/>
      <c r="BB1495" s="23"/>
      <c r="BC1495" s="16"/>
      <c r="BD1495" s="23"/>
      <c r="BE1495" s="23"/>
      <c r="BF1495" s="23">
        <v>0.0</v>
      </c>
      <c r="BJ1495" s="23">
        <v>0.0</v>
      </c>
      <c r="BN1495" s="23">
        <v>0.0</v>
      </c>
      <c r="BO1495" s="23">
        <v>278.0</v>
      </c>
      <c r="BP1495" s="16" t="s">
        <v>9332</v>
      </c>
      <c r="BQ1495" s="16" t="b">
        <v>1</v>
      </c>
      <c r="BR1495" s="23">
        <v>278.0</v>
      </c>
      <c r="BS1495" s="16">
        <v>1703290.0</v>
      </c>
      <c r="BT1495" s="16" t="b">
        <v>1</v>
      </c>
      <c r="BU1495" s="16" t="s">
        <v>546</v>
      </c>
      <c r="BV1495" s="16"/>
      <c r="BW1495" s="16"/>
      <c r="BX1495" s="16"/>
      <c r="BY1495" s="16"/>
    </row>
    <row r="1496">
      <c r="A1496" s="16" t="s">
        <v>8152</v>
      </c>
      <c r="B1496" s="16" t="s">
        <v>35</v>
      </c>
      <c r="C1496" s="22">
        <v>45926.0</v>
      </c>
      <c r="D1496" s="16" t="s">
        <v>543</v>
      </c>
      <c r="E1496" s="16" t="s">
        <v>9338</v>
      </c>
      <c r="F1496" s="16" t="s">
        <v>171</v>
      </c>
      <c r="G1496" s="16">
        <v>1.2539885E7</v>
      </c>
      <c r="H1496" s="16">
        <v>1.0</v>
      </c>
      <c r="I1496" s="23">
        <v>500.0</v>
      </c>
      <c r="J1496" s="23">
        <v>500.0</v>
      </c>
      <c r="K1496" s="16"/>
      <c r="L1496" s="23"/>
      <c r="M1496" s="23"/>
      <c r="N1496" s="23">
        <v>0.0</v>
      </c>
      <c r="O1496" s="16"/>
      <c r="P1496" s="23"/>
      <c r="Q1496" s="23"/>
      <c r="R1496" s="23">
        <v>0.0</v>
      </c>
      <c r="S1496" s="16"/>
      <c r="T1496" s="23"/>
      <c r="U1496" s="23"/>
      <c r="V1496" s="23">
        <v>0.0</v>
      </c>
      <c r="W1496" s="16"/>
      <c r="X1496" s="23"/>
      <c r="Y1496" s="23"/>
      <c r="Z1496" s="23">
        <v>0.0</v>
      </c>
      <c r="AA1496" s="16"/>
      <c r="AB1496" s="23"/>
      <c r="AC1496" s="23"/>
      <c r="AD1496" s="23">
        <v>0.0</v>
      </c>
      <c r="AE1496" s="16"/>
      <c r="AF1496" s="23"/>
      <c r="AG1496" s="23"/>
      <c r="AH1496" s="23">
        <v>0.0</v>
      </c>
      <c r="AI1496" s="16"/>
      <c r="AJ1496" s="23"/>
      <c r="AK1496" s="23"/>
      <c r="AL1496" s="23">
        <v>0.0</v>
      </c>
      <c r="AM1496" s="16"/>
      <c r="AN1496" s="23"/>
      <c r="AO1496" s="23"/>
      <c r="AP1496" s="23">
        <v>0.0</v>
      </c>
      <c r="AQ1496" s="16"/>
      <c r="AR1496" s="23"/>
      <c r="AS1496" s="23"/>
      <c r="AT1496" s="23">
        <v>0.0</v>
      </c>
      <c r="AU1496" s="16"/>
      <c r="AV1496" s="23"/>
      <c r="AW1496" s="23"/>
      <c r="AX1496" s="23">
        <v>0.0</v>
      </c>
      <c r="AY1496" s="16"/>
      <c r="AZ1496" s="23"/>
      <c r="BA1496" s="23"/>
      <c r="BB1496" s="23"/>
      <c r="BC1496" s="16"/>
      <c r="BD1496" s="23"/>
      <c r="BE1496" s="23"/>
      <c r="BF1496" s="23">
        <v>0.0</v>
      </c>
      <c r="BJ1496" s="23">
        <v>0.0</v>
      </c>
      <c r="BN1496" s="23">
        <v>0.0</v>
      </c>
      <c r="BO1496" s="23">
        <v>500.0</v>
      </c>
      <c r="BP1496" s="16" t="s">
        <v>9340</v>
      </c>
      <c r="BQ1496" s="16" t="b">
        <v>1</v>
      </c>
      <c r="BR1496" s="23">
        <v>500.0</v>
      </c>
      <c r="BS1496" s="16"/>
      <c r="BT1496" s="16" t="b">
        <v>0</v>
      </c>
      <c r="BU1496" s="16" t="s">
        <v>546</v>
      </c>
      <c r="BV1496" s="16"/>
      <c r="BW1496" s="16"/>
      <c r="BX1496" s="16"/>
      <c r="BY1496" s="16"/>
    </row>
    <row r="1497">
      <c r="A1497" s="16" t="s">
        <v>8155</v>
      </c>
      <c r="B1497" s="16" t="s">
        <v>35</v>
      </c>
      <c r="C1497" s="22">
        <v>45926.0</v>
      </c>
      <c r="D1497" s="16" t="s">
        <v>112</v>
      </c>
      <c r="E1497" s="16" t="s">
        <v>9347</v>
      </c>
      <c r="F1497" s="16" t="s">
        <v>157</v>
      </c>
      <c r="G1497" s="16" t="s">
        <v>159</v>
      </c>
      <c r="H1497" s="16">
        <v>1.0</v>
      </c>
      <c r="I1497" s="23">
        <v>247.5</v>
      </c>
      <c r="J1497" s="23">
        <v>247.5</v>
      </c>
      <c r="K1497" s="16" t="s">
        <v>152</v>
      </c>
      <c r="L1497" s="23">
        <v>1.0</v>
      </c>
      <c r="M1497" s="23">
        <v>18.9</v>
      </c>
      <c r="N1497" s="23">
        <v>18.9</v>
      </c>
      <c r="O1497" s="16" t="s">
        <v>226</v>
      </c>
      <c r="P1497" s="23">
        <v>1.0</v>
      </c>
      <c r="Q1497" s="23">
        <v>66.5</v>
      </c>
      <c r="R1497" s="23">
        <v>66.5</v>
      </c>
      <c r="S1497" s="16" t="s">
        <v>155</v>
      </c>
      <c r="T1497" s="23">
        <v>1.0</v>
      </c>
      <c r="U1497" s="23">
        <v>52.5</v>
      </c>
      <c r="V1497" s="23">
        <v>52.5</v>
      </c>
      <c r="W1497" s="16"/>
      <c r="X1497" s="23"/>
      <c r="Y1497" s="23"/>
      <c r="Z1497" s="23">
        <v>0.0</v>
      </c>
      <c r="AA1497" s="16"/>
      <c r="AB1497" s="23"/>
      <c r="AC1497" s="23"/>
      <c r="AD1497" s="23">
        <v>0.0</v>
      </c>
      <c r="AE1497" s="16"/>
      <c r="AF1497" s="23"/>
      <c r="AG1497" s="23"/>
      <c r="AH1497" s="23">
        <v>0.0</v>
      </c>
      <c r="AI1497" s="16"/>
      <c r="AJ1497" s="23"/>
      <c r="AK1497" s="23"/>
      <c r="AL1497" s="23">
        <v>0.0</v>
      </c>
      <c r="AM1497" s="16"/>
      <c r="AN1497" s="23"/>
      <c r="AO1497" s="23"/>
      <c r="AP1497" s="23">
        <v>0.0</v>
      </c>
      <c r="AQ1497" s="16"/>
      <c r="AR1497" s="23"/>
      <c r="AS1497" s="23"/>
      <c r="AT1497" s="23">
        <v>0.0</v>
      </c>
      <c r="AU1497" s="16"/>
      <c r="AV1497" s="23"/>
      <c r="AW1497" s="23"/>
      <c r="AX1497" s="23">
        <v>0.0</v>
      </c>
      <c r="AY1497" s="16"/>
      <c r="AZ1497" s="23"/>
      <c r="BA1497" s="23"/>
      <c r="BB1497" s="23"/>
      <c r="BC1497" s="16"/>
      <c r="BD1497" s="23"/>
      <c r="BE1497" s="23"/>
      <c r="BF1497" s="23">
        <v>0.0</v>
      </c>
      <c r="BJ1497" s="23">
        <v>0.0</v>
      </c>
      <c r="BN1497" s="23">
        <v>0.0</v>
      </c>
      <c r="BO1497" s="23">
        <v>385.4</v>
      </c>
      <c r="BP1497" s="16" t="s">
        <v>9349</v>
      </c>
      <c r="BQ1497" s="16" t="b">
        <v>1</v>
      </c>
      <c r="BR1497" s="23">
        <v>385.4</v>
      </c>
      <c r="BS1497" s="16"/>
      <c r="BT1497" s="16" t="b">
        <v>0</v>
      </c>
      <c r="BU1497" s="16" t="s">
        <v>546</v>
      </c>
      <c r="BV1497" s="16"/>
      <c r="BW1497" s="16"/>
      <c r="BX1497" s="16"/>
      <c r="BY1497" s="16"/>
    </row>
    <row r="1498">
      <c r="A1498" s="16" t="s">
        <v>8161</v>
      </c>
      <c r="B1498" s="16" t="s">
        <v>35</v>
      </c>
      <c r="C1498" s="22">
        <v>45926.0</v>
      </c>
      <c r="D1498" s="16" t="s">
        <v>9359</v>
      </c>
      <c r="E1498" s="16" t="s">
        <v>9361</v>
      </c>
      <c r="F1498" s="16" t="s">
        <v>482</v>
      </c>
      <c r="G1498" s="16" t="s">
        <v>247</v>
      </c>
      <c r="H1498" s="16">
        <v>1.0</v>
      </c>
      <c r="I1498" s="23">
        <v>19.8</v>
      </c>
      <c r="J1498" s="23">
        <v>19.8</v>
      </c>
      <c r="K1498" s="16"/>
      <c r="L1498" s="23"/>
      <c r="M1498" s="23"/>
      <c r="N1498" s="23">
        <v>0.0</v>
      </c>
      <c r="O1498" s="16"/>
      <c r="P1498" s="23"/>
      <c r="Q1498" s="23"/>
      <c r="R1498" s="23">
        <v>0.0</v>
      </c>
      <c r="S1498" s="16"/>
      <c r="T1498" s="23"/>
      <c r="U1498" s="23"/>
      <c r="V1498" s="23">
        <v>0.0</v>
      </c>
      <c r="W1498" s="16"/>
      <c r="X1498" s="23"/>
      <c r="Y1498" s="23"/>
      <c r="Z1498" s="23">
        <v>0.0</v>
      </c>
      <c r="AA1498" s="16"/>
      <c r="AB1498" s="23"/>
      <c r="AC1498" s="23"/>
      <c r="AD1498" s="23">
        <v>0.0</v>
      </c>
      <c r="AE1498" s="16"/>
      <c r="AF1498" s="23"/>
      <c r="AG1498" s="23"/>
      <c r="AH1498" s="23">
        <v>0.0</v>
      </c>
      <c r="AI1498" s="16"/>
      <c r="AJ1498" s="23"/>
      <c r="AK1498" s="23"/>
      <c r="AL1498" s="23">
        <v>0.0</v>
      </c>
      <c r="AM1498" s="16"/>
      <c r="AN1498" s="23"/>
      <c r="AO1498" s="23"/>
      <c r="AP1498" s="23">
        <v>0.0</v>
      </c>
      <c r="AQ1498" s="16"/>
      <c r="AR1498" s="23"/>
      <c r="AS1498" s="23"/>
      <c r="AT1498" s="23">
        <v>0.0</v>
      </c>
      <c r="AU1498" s="16"/>
      <c r="AV1498" s="23"/>
      <c r="AW1498" s="23"/>
      <c r="AX1498" s="23">
        <v>0.0</v>
      </c>
      <c r="AY1498" s="16"/>
      <c r="AZ1498" s="23"/>
      <c r="BA1498" s="23"/>
      <c r="BB1498" s="23"/>
      <c r="BC1498" s="16"/>
      <c r="BD1498" s="23"/>
      <c r="BE1498" s="23"/>
      <c r="BF1498" s="23">
        <v>0.0</v>
      </c>
      <c r="BJ1498" s="23">
        <v>0.0</v>
      </c>
      <c r="BN1498" s="23">
        <v>0.0</v>
      </c>
      <c r="BO1498" s="23">
        <v>19.8</v>
      </c>
      <c r="BP1498" s="16" t="s">
        <v>9363</v>
      </c>
      <c r="BQ1498" s="16" t="b">
        <v>1</v>
      </c>
      <c r="BR1498" s="23">
        <v>19.8</v>
      </c>
      <c r="BS1498" s="16">
        <v>1703083.0</v>
      </c>
      <c r="BT1498" s="16" t="b">
        <v>1</v>
      </c>
      <c r="BU1498" s="16" t="s">
        <v>546</v>
      </c>
      <c r="BV1498" s="16"/>
      <c r="BW1498" s="16"/>
      <c r="BX1498" s="16"/>
      <c r="BY1498" s="16"/>
    </row>
    <row r="1499">
      <c r="A1499" s="16" t="s">
        <v>8164</v>
      </c>
      <c r="B1499" s="16" t="s">
        <v>35</v>
      </c>
      <c r="C1499" s="22">
        <v>45926.0</v>
      </c>
      <c r="D1499" s="16" t="s">
        <v>3493</v>
      </c>
      <c r="E1499" s="16" t="s">
        <v>9369</v>
      </c>
      <c r="F1499" s="16" t="s">
        <v>236</v>
      </c>
      <c r="G1499" s="16" t="s">
        <v>305</v>
      </c>
      <c r="H1499" s="16">
        <v>1.0</v>
      </c>
      <c r="I1499" s="23">
        <v>233.17</v>
      </c>
      <c r="J1499" s="23">
        <v>233.17</v>
      </c>
      <c r="K1499" s="16"/>
      <c r="L1499" s="23"/>
      <c r="M1499" s="23"/>
      <c r="N1499" s="23">
        <v>0.0</v>
      </c>
      <c r="O1499" s="16"/>
      <c r="P1499" s="23"/>
      <c r="Q1499" s="23"/>
      <c r="R1499" s="23">
        <v>0.0</v>
      </c>
      <c r="S1499" s="16"/>
      <c r="T1499" s="23"/>
      <c r="U1499" s="23"/>
      <c r="V1499" s="23">
        <v>0.0</v>
      </c>
      <c r="W1499" s="16"/>
      <c r="X1499" s="23"/>
      <c r="Y1499" s="23"/>
      <c r="Z1499" s="23">
        <v>0.0</v>
      </c>
      <c r="AA1499" s="16"/>
      <c r="AB1499" s="23"/>
      <c r="AC1499" s="23"/>
      <c r="AD1499" s="23">
        <v>0.0</v>
      </c>
      <c r="AE1499" s="16"/>
      <c r="AF1499" s="23"/>
      <c r="AG1499" s="23"/>
      <c r="AH1499" s="23">
        <v>0.0</v>
      </c>
      <c r="AI1499" s="16"/>
      <c r="AJ1499" s="23"/>
      <c r="AK1499" s="23"/>
      <c r="AL1499" s="23">
        <v>0.0</v>
      </c>
      <c r="AM1499" s="16"/>
      <c r="AN1499" s="23"/>
      <c r="AO1499" s="23"/>
      <c r="AP1499" s="23">
        <v>0.0</v>
      </c>
      <c r="AQ1499" s="16"/>
      <c r="AR1499" s="23"/>
      <c r="AS1499" s="23"/>
      <c r="AT1499" s="23">
        <v>0.0</v>
      </c>
      <c r="AU1499" s="16"/>
      <c r="AV1499" s="23"/>
      <c r="AW1499" s="23"/>
      <c r="AX1499" s="23">
        <v>0.0</v>
      </c>
      <c r="AY1499" s="16"/>
      <c r="AZ1499" s="23"/>
      <c r="BA1499" s="23"/>
      <c r="BB1499" s="23"/>
      <c r="BC1499" s="16"/>
      <c r="BD1499" s="23"/>
      <c r="BE1499" s="23"/>
      <c r="BF1499" s="23">
        <v>0.0</v>
      </c>
      <c r="BJ1499" s="23">
        <v>0.0</v>
      </c>
      <c r="BN1499" s="23">
        <v>0.0</v>
      </c>
      <c r="BO1499" s="23">
        <v>233.17</v>
      </c>
      <c r="BP1499" s="16" t="s">
        <v>9370</v>
      </c>
      <c r="BQ1499" s="16" t="b">
        <v>1</v>
      </c>
      <c r="BR1499" s="23">
        <v>233.17</v>
      </c>
      <c r="BS1499" s="16">
        <v>1703064.0</v>
      </c>
      <c r="BT1499" s="16" t="b">
        <v>1</v>
      </c>
      <c r="BU1499" s="16" t="s">
        <v>546</v>
      </c>
      <c r="BV1499" s="16"/>
      <c r="BW1499" s="16"/>
      <c r="BX1499" s="16"/>
      <c r="BY1499" s="16"/>
    </row>
    <row r="1500">
      <c r="A1500" s="16" t="s">
        <v>8167</v>
      </c>
      <c r="B1500" s="16" t="s">
        <v>35</v>
      </c>
      <c r="C1500" s="22">
        <v>45925.0</v>
      </c>
      <c r="D1500" s="16" t="s">
        <v>764</v>
      </c>
      <c r="E1500" s="16" t="s">
        <v>9375</v>
      </c>
      <c r="F1500" s="16" t="s">
        <v>195</v>
      </c>
      <c r="G1500" s="16" t="s">
        <v>1081</v>
      </c>
      <c r="H1500" s="16">
        <v>5.0</v>
      </c>
      <c r="I1500" s="23">
        <v>48.0</v>
      </c>
      <c r="J1500" s="23">
        <v>240.0</v>
      </c>
      <c r="K1500" s="16" t="s">
        <v>1077</v>
      </c>
      <c r="L1500" s="23">
        <v>3.0</v>
      </c>
      <c r="M1500" s="23">
        <v>25.8</v>
      </c>
      <c r="N1500" s="23">
        <v>77.4</v>
      </c>
      <c r="O1500" s="16" t="s">
        <v>1075</v>
      </c>
      <c r="P1500" s="23">
        <v>3.0</v>
      </c>
      <c r="Q1500" s="23">
        <v>20.0</v>
      </c>
      <c r="R1500" s="23">
        <v>60.0</v>
      </c>
      <c r="S1500" s="16" t="s">
        <v>1074</v>
      </c>
      <c r="T1500" s="23">
        <v>5.0</v>
      </c>
      <c r="U1500" s="23">
        <v>40.0</v>
      </c>
      <c r="V1500" s="23">
        <v>200.0</v>
      </c>
      <c r="W1500" s="16" t="s">
        <v>1404</v>
      </c>
      <c r="X1500" s="23">
        <v>1.0</v>
      </c>
      <c r="Y1500" s="23">
        <v>19.8</v>
      </c>
      <c r="Z1500" s="23">
        <v>19.8</v>
      </c>
      <c r="AA1500" s="16">
        <v>7.5375964E7</v>
      </c>
      <c r="AB1500" s="23">
        <v>1.0</v>
      </c>
      <c r="AC1500" s="23">
        <v>19.8</v>
      </c>
      <c r="AD1500" s="23">
        <v>19.8</v>
      </c>
      <c r="AE1500" s="16" t="s">
        <v>1073</v>
      </c>
      <c r="AF1500" s="23">
        <v>1.0</v>
      </c>
      <c r="AG1500" s="23">
        <v>21.0</v>
      </c>
      <c r="AH1500" s="23">
        <v>21.0</v>
      </c>
      <c r="AI1500" s="16" t="s">
        <v>5605</v>
      </c>
      <c r="AJ1500" s="23">
        <v>1.0</v>
      </c>
      <c r="AK1500" s="23">
        <v>19.57</v>
      </c>
      <c r="AL1500" s="23">
        <v>19.57</v>
      </c>
      <c r="AM1500" s="16"/>
      <c r="AN1500" s="23"/>
      <c r="AO1500" s="23"/>
      <c r="AP1500" s="23">
        <v>0.0</v>
      </c>
      <c r="AQ1500" s="16"/>
      <c r="AR1500" s="23"/>
      <c r="AS1500" s="23"/>
      <c r="AT1500" s="23">
        <v>0.0</v>
      </c>
      <c r="AU1500" s="16"/>
      <c r="AV1500" s="23"/>
      <c r="AW1500" s="23"/>
      <c r="AX1500" s="23">
        <v>0.0</v>
      </c>
      <c r="AY1500" s="16"/>
      <c r="AZ1500" s="23"/>
      <c r="BA1500" s="23"/>
      <c r="BB1500" s="23"/>
      <c r="BC1500" s="16"/>
      <c r="BD1500" s="23"/>
      <c r="BE1500" s="23"/>
      <c r="BF1500" s="23">
        <v>0.0</v>
      </c>
      <c r="BJ1500" s="23">
        <v>0.0</v>
      </c>
      <c r="BN1500" s="23">
        <v>0.0</v>
      </c>
      <c r="BO1500" s="23">
        <v>657.57</v>
      </c>
      <c r="BP1500" s="16" t="s">
        <v>9378</v>
      </c>
      <c r="BQ1500" s="16" t="b">
        <v>1</v>
      </c>
      <c r="BR1500" s="23">
        <v>657.57</v>
      </c>
      <c r="BS1500" s="16"/>
      <c r="BT1500" s="16" t="b">
        <v>0</v>
      </c>
      <c r="BU1500" s="16" t="s">
        <v>546</v>
      </c>
      <c r="BV1500" s="16"/>
      <c r="BW1500" s="16" t="s">
        <v>9380</v>
      </c>
      <c r="BX1500" s="16"/>
      <c r="BY1500" s="16"/>
    </row>
    <row r="1501">
      <c r="A1501" s="16" t="s">
        <v>8180</v>
      </c>
      <c r="B1501" s="16" t="s">
        <v>35</v>
      </c>
      <c r="C1501" s="22">
        <v>45929.0</v>
      </c>
      <c r="D1501" s="16" t="s">
        <v>890</v>
      </c>
      <c r="E1501" s="16" t="s">
        <v>9383</v>
      </c>
      <c r="F1501" s="16" t="s">
        <v>8728</v>
      </c>
      <c r="G1501" s="16" t="s">
        <v>1510</v>
      </c>
      <c r="H1501" s="16">
        <v>1.0</v>
      </c>
      <c r="I1501" s="23">
        <v>25874.96</v>
      </c>
      <c r="J1501" s="23">
        <v>25874.96</v>
      </c>
      <c r="K1501" s="16"/>
      <c r="L1501" s="23"/>
      <c r="M1501" s="23"/>
      <c r="N1501" s="23">
        <v>0.0</v>
      </c>
      <c r="O1501" s="16"/>
      <c r="P1501" s="23"/>
      <c r="Q1501" s="23"/>
      <c r="R1501" s="23">
        <v>0.0</v>
      </c>
      <c r="S1501" s="16"/>
      <c r="T1501" s="23"/>
      <c r="U1501" s="23"/>
      <c r="V1501" s="23">
        <v>0.0</v>
      </c>
      <c r="W1501" s="16"/>
      <c r="X1501" s="23"/>
      <c r="Y1501" s="23"/>
      <c r="Z1501" s="23">
        <v>0.0</v>
      </c>
      <c r="AA1501" s="16"/>
      <c r="AB1501" s="23"/>
      <c r="AC1501" s="23"/>
      <c r="AD1501" s="23">
        <v>0.0</v>
      </c>
      <c r="AE1501" s="16"/>
      <c r="AF1501" s="23"/>
      <c r="AG1501" s="23"/>
      <c r="AH1501" s="23">
        <v>0.0</v>
      </c>
      <c r="AI1501" s="16"/>
      <c r="AJ1501" s="23"/>
      <c r="AK1501" s="23"/>
      <c r="AL1501" s="23">
        <v>0.0</v>
      </c>
      <c r="AM1501" s="16"/>
      <c r="AN1501" s="23"/>
      <c r="AO1501" s="23"/>
      <c r="AP1501" s="23">
        <v>0.0</v>
      </c>
      <c r="AQ1501" s="16"/>
      <c r="AR1501" s="23"/>
      <c r="AS1501" s="23"/>
      <c r="AT1501" s="23">
        <v>0.0</v>
      </c>
      <c r="AU1501" s="16"/>
      <c r="AV1501" s="23"/>
      <c r="AW1501" s="23"/>
      <c r="AX1501" s="23">
        <v>0.0</v>
      </c>
      <c r="AY1501" s="16"/>
      <c r="AZ1501" s="23"/>
      <c r="BA1501" s="23"/>
      <c r="BB1501" s="23"/>
      <c r="BC1501" s="16"/>
      <c r="BD1501" s="23"/>
      <c r="BE1501" s="23"/>
      <c r="BF1501" s="23">
        <v>0.0</v>
      </c>
      <c r="BJ1501" s="23">
        <v>0.0</v>
      </c>
      <c r="BN1501" s="23">
        <v>0.0</v>
      </c>
      <c r="BO1501" s="23">
        <v>25874.96</v>
      </c>
      <c r="BP1501" s="16" t="s">
        <v>9384</v>
      </c>
      <c r="BQ1501" s="16" t="b">
        <v>1</v>
      </c>
      <c r="BR1501" s="23">
        <v>25874.96</v>
      </c>
      <c r="BS1501" s="16"/>
      <c r="BT1501" s="16" t="b">
        <v>0</v>
      </c>
      <c r="BU1501" s="16" t="s">
        <v>546</v>
      </c>
      <c r="BV1501" s="16"/>
      <c r="BW1501" s="16" t="s">
        <v>9386</v>
      </c>
      <c r="BX1501" s="16" t="s">
        <v>9387</v>
      </c>
      <c r="BY1501" s="16"/>
    </row>
    <row r="1502">
      <c r="A1502" s="16" t="s">
        <v>8182</v>
      </c>
      <c r="B1502" s="16" t="s">
        <v>35</v>
      </c>
      <c r="C1502" s="22">
        <v>45931.0</v>
      </c>
      <c r="D1502" s="16" t="s">
        <v>890</v>
      </c>
      <c r="E1502" s="16" t="s">
        <v>9392</v>
      </c>
      <c r="F1502" s="16" t="s">
        <v>1511</v>
      </c>
      <c r="G1502" s="16" t="s">
        <v>1517</v>
      </c>
      <c r="H1502" s="16">
        <v>1.0</v>
      </c>
      <c r="I1502" s="23">
        <v>598.94</v>
      </c>
      <c r="J1502" s="23">
        <v>598.94</v>
      </c>
      <c r="K1502" s="16"/>
      <c r="L1502" s="23"/>
      <c r="M1502" s="23"/>
      <c r="N1502" s="23">
        <v>0.0</v>
      </c>
      <c r="O1502" s="16"/>
      <c r="P1502" s="23"/>
      <c r="Q1502" s="23"/>
      <c r="R1502" s="23">
        <v>0.0</v>
      </c>
      <c r="S1502" s="16"/>
      <c r="T1502" s="23"/>
      <c r="U1502" s="23"/>
      <c r="V1502" s="23">
        <v>0.0</v>
      </c>
      <c r="W1502" s="16"/>
      <c r="X1502" s="23"/>
      <c r="Y1502" s="23"/>
      <c r="Z1502" s="23">
        <v>0.0</v>
      </c>
      <c r="AA1502" s="16"/>
      <c r="AB1502" s="23"/>
      <c r="AC1502" s="23"/>
      <c r="AD1502" s="23">
        <v>0.0</v>
      </c>
      <c r="AE1502" s="16"/>
      <c r="AF1502" s="23"/>
      <c r="AG1502" s="23"/>
      <c r="AH1502" s="23">
        <v>0.0</v>
      </c>
      <c r="AI1502" s="16"/>
      <c r="AJ1502" s="23"/>
      <c r="AK1502" s="23"/>
      <c r="AL1502" s="23">
        <v>0.0</v>
      </c>
      <c r="AM1502" s="16"/>
      <c r="AN1502" s="23"/>
      <c r="AO1502" s="23"/>
      <c r="AP1502" s="23">
        <v>0.0</v>
      </c>
      <c r="AQ1502" s="16"/>
      <c r="AR1502" s="23"/>
      <c r="AS1502" s="23"/>
      <c r="AT1502" s="23">
        <v>0.0</v>
      </c>
      <c r="AU1502" s="16"/>
      <c r="AV1502" s="23"/>
      <c r="AW1502" s="23"/>
      <c r="AX1502" s="23">
        <v>0.0</v>
      </c>
      <c r="AY1502" s="16"/>
      <c r="AZ1502" s="23"/>
      <c r="BA1502" s="23"/>
      <c r="BB1502" s="23"/>
      <c r="BC1502" s="16"/>
      <c r="BD1502" s="23"/>
      <c r="BE1502" s="23"/>
      <c r="BF1502" s="23">
        <v>0.0</v>
      </c>
      <c r="BJ1502" s="23">
        <v>0.0</v>
      </c>
      <c r="BN1502" s="23">
        <v>0.0</v>
      </c>
      <c r="BO1502" s="23">
        <v>598.94</v>
      </c>
      <c r="BP1502" s="16" t="s">
        <v>9393</v>
      </c>
      <c r="BQ1502" s="16" t="b">
        <v>1</v>
      </c>
      <c r="BR1502" s="23">
        <v>598.94</v>
      </c>
      <c r="BS1502" s="16"/>
      <c r="BT1502" s="16" t="b">
        <v>0</v>
      </c>
      <c r="BU1502" s="16" t="s">
        <v>546</v>
      </c>
      <c r="BV1502" s="16"/>
      <c r="BW1502" s="16"/>
      <c r="BX1502" s="16"/>
      <c r="BY1502" s="16"/>
    </row>
    <row r="1503">
      <c r="A1503" s="16" t="s">
        <v>8184</v>
      </c>
      <c r="B1503" s="16" t="s">
        <v>35</v>
      </c>
      <c r="C1503" s="22">
        <v>45931.0</v>
      </c>
      <c r="D1503" s="16" t="s">
        <v>890</v>
      </c>
      <c r="E1503" s="16" t="s">
        <v>9399</v>
      </c>
      <c r="F1503" s="16" t="s">
        <v>3813</v>
      </c>
      <c r="G1503" s="16" t="s">
        <v>1517</v>
      </c>
      <c r="H1503" s="16">
        <v>1.0</v>
      </c>
      <c r="I1503" s="23">
        <v>5535.47</v>
      </c>
      <c r="J1503" s="23">
        <v>5535.47</v>
      </c>
      <c r="K1503" s="16"/>
      <c r="L1503" s="23"/>
      <c r="M1503" s="23"/>
      <c r="N1503" s="23">
        <v>0.0</v>
      </c>
      <c r="O1503" s="16"/>
      <c r="P1503" s="23"/>
      <c r="Q1503" s="23"/>
      <c r="R1503" s="23">
        <v>0.0</v>
      </c>
      <c r="S1503" s="16"/>
      <c r="T1503" s="23"/>
      <c r="U1503" s="23"/>
      <c r="V1503" s="23">
        <v>0.0</v>
      </c>
      <c r="W1503" s="16"/>
      <c r="X1503" s="23"/>
      <c r="Y1503" s="23"/>
      <c r="Z1503" s="23">
        <v>0.0</v>
      </c>
      <c r="AA1503" s="16"/>
      <c r="AB1503" s="23"/>
      <c r="AC1503" s="23"/>
      <c r="AD1503" s="23">
        <v>0.0</v>
      </c>
      <c r="AE1503" s="16"/>
      <c r="AF1503" s="23"/>
      <c r="AG1503" s="23"/>
      <c r="AH1503" s="23">
        <v>0.0</v>
      </c>
      <c r="AI1503" s="16"/>
      <c r="AJ1503" s="23"/>
      <c r="AK1503" s="23"/>
      <c r="AL1503" s="23">
        <v>0.0</v>
      </c>
      <c r="AM1503" s="16"/>
      <c r="AN1503" s="23"/>
      <c r="AO1503" s="23"/>
      <c r="AP1503" s="23">
        <v>0.0</v>
      </c>
      <c r="AQ1503" s="16"/>
      <c r="AR1503" s="23"/>
      <c r="AS1503" s="23"/>
      <c r="AT1503" s="23">
        <v>0.0</v>
      </c>
      <c r="AU1503" s="16"/>
      <c r="AV1503" s="23"/>
      <c r="AW1503" s="23"/>
      <c r="AX1503" s="23">
        <v>0.0</v>
      </c>
      <c r="AY1503" s="16"/>
      <c r="AZ1503" s="23"/>
      <c r="BA1503" s="23"/>
      <c r="BB1503" s="23"/>
      <c r="BC1503" s="16"/>
      <c r="BD1503" s="23"/>
      <c r="BE1503" s="23"/>
      <c r="BF1503" s="23">
        <v>0.0</v>
      </c>
      <c r="BJ1503" s="23">
        <v>0.0</v>
      </c>
      <c r="BN1503" s="23">
        <v>0.0</v>
      </c>
      <c r="BO1503" s="23">
        <v>5535.47</v>
      </c>
      <c r="BP1503" s="16" t="s">
        <v>9401</v>
      </c>
      <c r="BQ1503" s="16" t="b">
        <v>1</v>
      </c>
      <c r="BR1503" s="23">
        <v>5535.47</v>
      </c>
      <c r="BS1503" s="16"/>
      <c r="BT1503" s="16" t="b">
        <v>0</v>
      </c>
      <c r="BU1503" s="16" t="s">
        <v>546</v>
      </c>
      <c r="BV1503" s="16"/>
      <c r="BW1503" s="16" t="s">
        <v>9404</v>
      </c>
      <c r="BX1503" s="16"/>
      <c r="BY1503" s="16"/>
    </row>
    <row r="1504">
      <c r="A1504" s="16" t="s">
        <v>8188</v>
      </c>
      <c r="B1504" s="16" t="s">
        <v>35</v>
      </c>
      <c r="C1504" s="22">
        <v>45933.0</v>
      </c>
      <c r="D1504" s="16" t="s">
        <v>112</v>
      </c>
      <c r="E1504" s="16" t="s">
        <v>9410</v>
      </c>
      <c r="F1504" s="16" t="s">
        <v>157</v>
      </c>
      <c r="G1504" s="16" t="s">
        <v>159</v>
      </c>
      <c r="H1504" s="16">
        <v>25.0</v>
      </c>
      <c r="I1504" s="23">
        <v>12.0</v>
      </c>
      <c r="J1504" s="23">
        <v>300.0</v>
      </c>
      <c r="K1504" s="16" t="s">
        <v>155</v>
      </c>
      <c r="L1504" s="23">
        <v>1.0</v>
      </c>
      <c r="M1504" s="23">
        <v>55.91</v>
      </c>
      <c r="N1504" s="23">
        <v>55.91</v>
      </c>
      <c r="O1504" s="16" t="s">
        <v>152</v>
      </c>
      <c r="P1504" s="23">
        <v>1.0</v>
      </c>
      <c r="Q1504" s="23">
        <v>20.35</v>
      </c>
      <c r="R1504" s="23">
        <v>20.35</v>
      </c>
      <c r="S1504" s="16"/>
      <c r="T1504" s="23"/>
      <c r="U1504" s="23"/>
      <c r="V1504" s="23">
        <v>0.0</v>
      </c>
      <c r="W1504" s="16"/>
      <c r="X1504" s="23"/>
      <c r="Y1504" s="23"/>
      <c r="Z1504" s="23">
        <v>0.0</v>
      </c>
      <c r="AA1504" s="16"/>
      <c r="AB1504" s="23"/>
      <c r="AC1504" s="23"/>
      <c r="AD1504" s="23">
        <v>0.0</v>
      </c>
      <c r="AE1504" s="16"/>
      <c r="AF1504" s="23"/>
      <c r="AG1504" s="23"/>
      <c r="AH1504" s="23">
        <v>0.0</v>
      </c>
      <c r="AI1504" s="16"/>
      <c r="AJ1504" s="23"/>
      <c r="AK1504" s="23"/>
      <c r="AL1504" s="23">
        <v>0.0</v>
      </c>
      <c r="AM1504" s="16"/>
      <c r="AN1504" s="23"/>
      <c r="AO1504" s="23"/>
      <c r="AP1504" s="23">
        <v>0.0</v>
      </c>
      <c r="AQ1504" s="16"/>
      <c r="AR1504" s="23"/>
      <c r="AS1504" s="23"/>
      <c r="AT1504" s="23">
        <v>0.0</v>
      </c>
      <c r="AU1504" s="16"/>
      <c r="AV1504" s="23"/>
      <c r="AW1504" s="23"/>
      <c r="AX1504" s="23">
        <v>0.0</v>
      </c>
      <c r="AY1504" s="16"/>
      <c r="AZ1504" s="23"/>
      <c r="BA1504" s="23"/>
      <c r="BB1504" s="23"/>
      <c r="BC1504" s="16"/>
      <c r="BD1504" s="23"/>
      <c r="BE1504" s="23"/>
      <c r="BF1504" s="23">
        <v>0.0</v>
      </c>
      <c r="BJ1504" s="23">
        <v>0.0</v>
      </c>
      <c r="BN1504" s="23">
        <v>0.0</v>
      </c>
      <c r="BO1504" s="23">
        <v>376.26</v>
      </c>
      <c r="BP1504" s="16" t="s">
        <v>9411</v>
      </c>
      <c r="BQ1504" s="16" t="b">
        <v>1</v>
      </c>
      <c r="BR1504" s="23">
        <v>376.24</v>
      </c>
      <c r="BS1504" s="16"/>
      <c r="BT1504" s="16" t="b">
        <v>0</v>
      </c>
      <c r="BU1504" s="16" t="s">
        <v>546</v>
      </c>
      <c r="BV1504" s="16"/>
      <c r="BW1504" s="16"/>
      <c r="BX1504" s="16"/>
      <c r="BY1504" s="16"/>
    </row>
    <row r="1505">
      <c r="A1505" s="16" t="s">
        <v>8194</v>
      </c>
      <c r="B1505" s="16" t="s">
        <v>35</v>
      </c>
      <c r="C1505" s="22">
        <v>45933.0</v>
      </c>
      <c r="D1505" s="16" t="s">
        <v>9416</v>
      </c>
      <c r="E1505" s="16" t="s">
        <v>9418</v>
      </c>
      <c r="F1505" s="16" t="s">
        <v>236</v>
      </c>
      <c r="G1505" s="16" t="s">
        <v>305</v>
      </c>
      <c r="H1505" s="16">
        <v>1.0</v>
      </c>
      <c r="I1505" s="23">
        <v>73.99</v>
      </c>
      <c r="J1505" s="23">
        <v>73.99</v>
      </c>
      <c r="K1505" s="16"/>
      <c r="L1505" s="23"/>
      <c r="M1505" s="23"/>
      <c r="N1505" s="23">
        <v>0.0</v>
      </c>
      <c r="O1505" s="16"/>
      <c r="P1505" s="23"/>
      <c r="Q1505" s="23"/>
      <c r="R1505" s="23">
        <v>0.0</v>
      </c>
      <c r="S1505" s="16"/>
      <c r="T1505" s="23"/>
      <c r="U1505" s="23"/>
      <c r="V1505" s="23">
        <v>0.0</v>
      </c>
      <c r="W1505" s="16"/>
      <c r="X1505" s="23"/>
      <c r="Y1505" s="23"/>
      <c r="Z1505" s="23">
        <v>0.0</v>
      </c>
      <c r="AA1505" s="16"/>
      <c r="AB1505" s="23"/>
      <c r="AC1505" s="23"/>
      <c r="AD1505" s="23">
        <v>0.0</v>
      </c>
      <c r="AE1505" s="16"/>
      <c r="AF1505" s="23"/>
      <c r="AG1505" s="23"/>
      <c r="AH1505" s="23">
        <v>0.0</v>
      </c>
      <c r="AI1505" s="16"/>
      <c r="AJ1505" s="23"/>
      <c r="AK1505" s="23"/>
      <c r="AL1505" s="23">
        <v>0.0</v>
      </c>
      <c r="AM1505" s="16"/>
      <c r="AN1505" s="23"/>
      <c r="AO1505" s="23"/>
      <c r="AP1505" s="23">
        <v>0.0</v>
      </c>
      <c r="AQ1505" s="16"/>
      <c r="AR1505" s="23"/>
      <c r="AS1505" s="23"/>
      <c r="AT1505" s="23">
        <v>0.0</v>
      </c>
      <c r="AU1505" s="16"/>
      <c r="AV1505" s="23"/>
      <c r="AW1505" s="23"/>
      <c r="AX1505" s="23">
        <v>0.0</v>
      </c>
      <c r="AY1505" s="16"/>
      <c r="AZ1505" s="23"/>
      <c r="BA1505" s="23"/>
      <c r="BB1505" s="23"/>
      <c r="BC1505" s="16"/>
      <c r="BD1505" s="23"/>
      <c r="BE1505" s="23"/>
      <c r="BF1505" s="23">
        <v>0.0</v>
      </c>
      <c r="BJ1505" s="23">
        <v>0.0</v>
      </c>
      <c r="BN1505" s="23">
        <v>0.0</v>
      </c>
      <c r="BO1505" s="23">
        <v>73.99</v>
      </c>
      <c r="BP1505" s="16" t="s">
        <v>9419</v>
      </c>
      <c r="BQ1505" s="16" t="b">
        <v>1</v>
      </c>
      <c r="BR1505" s="23">
        <v>73.99</v>
      </c>
      <c r="BS1505" s="16">
        <v>1716271.0</v>
      </c>
      <c r="BT1505" s="16" t="b">
        <v>1</v>
      </c>
      <c r="BU1505" s="16" t="s">
        <v>546</v>
      </c>
      <c r="BV1505" s="16"/>
      <c r="BW1505" s="16"/>
      <c r="BX1505" s="16"/>
      <c r="BY1505" s="16"/>
    </row>
    <row r="1506">
      <c r="A1506" s="16" t="s">
        <v>8196</v>
      </c>
      <c r="B1506" s="16" t="s">
        <v>35</v>
      </c>
      <c r="C1506" s="22">
        <v>45933.0</v>
      </c>
      <c r="D1506" s="16" t="s">
        <v>8582</v>
      </c>
      <c r="E1506" s="16" t="s">
        <v>9426</v>
      </c>
      <c r="F1506" s="16" t="s">
        <v>605</v>
      </c>
      <c r="G1506" s="16" t="s">
        <v>1725</v>
      </c>
      <c r="H1506" s="16">
        <v>1.0</v>
      </c>
      <c r="I1506" s="23">
        <v>2535.23</v>
      </c>
      <c r="J1506" s="23">
        <v>2535.23</v>
      </c>
      <c r="K1506" s="16"/>
      <c r="L1506" s="23"/>
      <c r="M1506" s="23"/>
      <c r="N1506" s="23">
        <v>0.0</v>
      </c>
      <c r="O1506" s="16"/>
      <c r="P1506" s="23"/>
      <c r="Q1506" s="23"/>
      <c r="R1506" s="23">
        <v>0.0</v>
      </c>
      <c r="S1506" s="16"/>
      <c r="T1506" s="23"/>
      <c r="U1506" s="23"/>
      <c r="V1506" s="23">
        <v>0.0</v>
      </c>
      <c r="W1506" s="16"/>
      <c r="X1506" s="23"/>
      <c r="Y1506" s="23"/>
      <c r="Z1506" s="23">
        <v>0.0</v>
      </c>
      <c r="AA1506" s="16"/>
      <c r="AB1506" s="23"/>
      <c r="AC1506" s="23"/>
      <c r="AD1506" s="23">
        <v>0.0</v>
      </c>
      <c r="AE1506" s="16"/>
      <c r="AF1506" s="23"/>
      <c r="AG1506" s="23"/>
      <c r="AH1506" s="23">
        <v>0.0</v>
      </c>
      <c r="AI1506" s="16"/>
      <c r="AJ1506" s="23"/>
      <c r="AK1506" s="23"/>
      <c r="AL1506" s="23">
        <v>0.0</v>
      </c>
      <c r="AM1506" s="16"/>
      <c r="AN1506" s="23"/>
      <c r="AO1506" s="23"/>
      <c r="AP1506" s="23">
        <v>0.0</v>
      </c>
      <c r="AQ1506" s="16"/>
      <c r="AR1506" s="23"/>
      <c r="AS1506" s="23"/>
      <c r="AT1506" s="23">
        <v>0.0</v>
      </c>
      <c r="AU1506" s="16"/>
      <c r="AV1506" s="23"/>
      <c r="AW1506" s="23"/>
      <c r="AX1506" s="23">
        <v>0.0</v>
      </c>
      <c r="AY1506" s="16"/>
      <c r="AZ1506" s="23"/>
      <c r="BA1506" s="23"/>
      <c r="BB1506" s="23"/>
      <c r="BC1506" s="16"/>
      <c r="BD1506" s="23"/>
      <c r="BE1506" s="23"/>
      <c r="BF1506" s="23">
        <v>0.0</v>
      </c>
      <c r="BJ1506" s="23">
        <v>0.0</v>
      </c>
      <c r="BN1506" s="23">
        <v>0.0</v>
      </c>
      <c r="BO1506" s="23">
        <v>2535.23</v>
      </c>
      <c r="BP1506" s="16" t="s">
        <v>9429</v>
      </c>
      <c r="BQ1506" s="16" t="b">
        <v>1</v>
      </c>
      <c r="BR1506" s="23">
        <v>2535.23</v>
      </c>
      <c r="BS1506" s="16"/>
      <c r="BT1506" s="16" t="b">
        <v>0</v>
      </c>
      <c r="BU1506" s="16" t="s">
        <v>546</v>
      </c>
      <c r="BV1506" s="16"/>
      <c r="BW1506" s="16"/>
      <c r="BX1506" s="16"/>
      <c r="BY1506" s="16"/>
    </row>
    <row r="1507">
      <c r="A1507" s="16" t="s">
        <v>8198</v>
      </c>
      <c r="B1507" s="16" t="s">
        <v>35</v>
      </c>
      <c r="C1507" s="22">
        <v>45933.0</v>
      </c>
      <c r="D1507" s="16" t="s">
        <v>9435</v>
      </c>
      <c r="E1507" s="16" t="s">
        <v>9436</v>
      </c>
      <c r="F1507" s="16" t="s">
        <v>9438</v>
      </c>
      <c r="G1507" s="16" t="s">
        <v>8199</v>
      </c>
      <c r="H1507" s="16">
        <v>1.0</v>
      </c>
      <c r="I1507" s="23">
        <v>50.0</v>
      </c>
      <c r="J1507" s="23">
        <v>50.0</v>
      </c>
      <c r="K1507" s="16"/>
      <c r="L1507" s="23"/>
      <c r="M1507" s="23"/>
      <c r="N1507" s="23">
        <v>0.0</v>
      </c>
      <c r="O1507" s="16"/>
      <c r="P1507" s="23"/>
      <c r="Q1507" s="23"/>
      <c r="R1507" s="23">
        <v>0.0</v>
      </c>
      <c r="S1507" s="16"/>
      <c r="T1507" s="23"/>
      <c r="U1507" s="23"/>
      <c r="V1507" s="23">
        <v>0.0</v>
      </c>
      <c r="W1507" s="16"/>
      <c r="X1507" s="23"/>
      <c r="Y1507" s="23"/>
      <c r="Z1507" s="23">
        <v>0.0</v>
      </c>
      <c r="AA1507" s="16"/>
      <c r="AB1507" s="23"/>
      <c r="AC1507" s="23"/>
      <c r="AD1507" s="23">
        <v>0.0</v>
      </c>
      <c r="AE1507" s="16"/>
      <c r="AF1507" s="23"/>
      <c r="AG1507" s="23"/>
      <c r="AH1507" s="23">
        <v>0.0</v>
      </c>
      <c r="AI1507" s="16"/>
      <c r="AJ1507" s="23"/>
      <c r="AK1507" s="23"/>
      <c r="AL1507" s="23">
        <v>0.0</v>
      </c>
      <c r="AM1507" s="16"/>
      <c r="AN1507" s="23"/>
      <c r="AO1507" s="23"/>
      <c r="AP1507" s="23">
        <v>0.0</v>
      </c>
      <c r="AQ1507" s="16"/>
      <c r="AR1507" s="23"/>
      <c r="AS1507" s="23"/>
      <c r="AT1507" s="23">
        <v>0.0</v>
      </c>
      <c r="AU1507" s="16"/>
      <c r="AV1507" s="23"/>
      <c r="AW1507" s="23"/>
      <c r="AX1507" s="23">
        <v>0.0</v>
      </c>
      <c r="AY1507" s="16"/>
      <c r="AZ1507" s="23"/>
      <c r="BA1507" s="23"/>
      <c r="BB1507" s="23"/>
      <c r="BC1507" s="16"/>
      <c r="BD1507" s="23"/>
      <c r="BE1507" s="23"/>
      <c r="BF1507" s="23">
        <v>0.0</v>
      </c>
      <c r="BJ1507" s="23">
        <v>0.0</v>
      </c>
      <c r="BN1507" s="23">
        <v>0.0</v>
      </c>
      <c r="BO1507" s="23">
        <v>50.0</v>
      </c>
      <c r="BP1507" s="16" t="s">
        <v>9437</v>
      </c>
      <c r="BQ1507" s="16" t="b">
        <v>1</v>
      </c>
      <c r="BR1507" s="23">
        <v>50.0</v>
      </c>
      <c r="BS1507" s="16">
        <v>1716576.0</v>
      </c>
      <c r="BT1507" s="16" t="b">
        <v>1</v>
      </c>
      <c r="BU1507" s="16" t="s">
        <v>546</v>
      </c>
      <c r="BV1507" s="16"/>
      <c r="BW1507" s="16"/>
      <c r="BX1507" s="16"/>
      <c r="BY1507" s="16"/>
    </row>
    <row r="1508">
      <c r="A1508" s="16" t="s">
        <v>8201</v>
      </c>
      <c r="B1508" s="16" t="s">
        <v>35</v>
      </c>
      <c r="C1508" s="22">
        <v>45935.0</v>
      </c>
      <c r="D1508" s="16">
        <v>8.627274E7</v>
      </c>
      <c r="E1508" s="16" t="s">
        <v>9444</v>
      </c>
      <c r="F1508" s="16" t="s">
        <v>236</v>
      </c>
      <c r="G1508" s="16" t="s">
        <v>305</v>
      </c>
      <c r="H1508" s="16">
        <v>1.0</v>
      </c>
      <c r="I1508" s="23">
        <v>26.97</v>
      </c>
      <c r="J1508" s="23">
        <v>26.97</v>
      </c>
      <c r="K1508" s="16"/>
      <c r="L1508" s="23"/>
      <c r="M1508" s="23"/>
      <c r="N1508" s="23">
        <v>0.0</v>
      </c>
      <c r="O1508" s="16"/>
      <c r="P1508" s="23"/>
      <c r="Q1508" s="23"/>
      <c r="R1508" s="23">
        <v>0.0</v>
      </c>
      <c r="S1508" s="16"/>
      <c r="T1508" s="23"/>
      <c r="U1508" s="23"/>
      <c r="V1508" s="23">
        <v>0.0</v>
      </c>
      <c r="W1508" s="16"/>
      <c r="X1508" s="23"/>
      <c r="Y1508" s="23"/>
      <c r="Z1508" s="23">
        <v>0.0</v>
      </c>
      <c r="AA1508" s="16"/>
      <c r="AB1508" s="23"/>
      <c r="AC1508" s="23"/>
      <c r="AD1508" s="23">
        <v>0.0</v>
      </c>
      <c r="AE1508" s="16"/>
      <c r="AF1508" s="23"/>
      <c r="AG1508" s="23"/>
      <c r="AH1508" s="23">
        <v>0.0</v>
      </c>
      <c r="AI1508" s="16"/>
      <c r="AJ1508" s="23"/>
      <c r="AK1508" s="23"/>
      <c r="AL1508" s="23">
        <v>0.0</v>
      </c>
      <c r="AM1508" s="16"/>
      <c r="AN1508" s="23"/>
      <c r="AO1508" s="23"/>
      <c r="AP1508" s="23">
        <v>0.0</v>
      </c>
      <c r="AQ1508" s="16"/>
      <c r="AR1508" s="23"/>
      <c r="AS1508" s="23"/>
      <c r="AT1508" s="23">
        <v>0.0</v>
      </c>
      <c r="AU1508" s="16"/>
      <c r="AV1508" s="23"/>
      <c r="AW1508" s="23"/>
      <c r="AX1508" s="23">
        <v>0.0</v>
      </c>
      <c r="AY1508" s="16"/>
      <c r="AZ1508" s="23"/>
      <c r="BA1508" s="23"/>
      <c r="BB1508" s="23"/>
      <c r="BC1508" s="16"/>
      <c r="BD1508" s="23"/>
      <c r="BE1508" s="23"/>
      <c r="BF1508" s="23">
        <v>0.0</v>
      </c>
      <c r="BJ1508" s="23">
        <v>0.0</v>
      </c>
      <c r="BN1508" s="23">
        <v>0.0</v>
      </c>
      <c r="BO1508" s="23">
        <v>26.97</v>
      </c>
      <c r="BP1508" s="16" t="s">
        <v>9445</v>
      </c>
      <c r="BQ1508" s="16" t="b">
        <v>1</v>
      </c>
      <c r="BR1508" s="23">
        <v>26.97</v>
      </c>
      <c r="BS1508" s="16">
        <v>1722164.0</v>
      </c>
      <c r="BT1508" s="16" t="b">
        <v>1</v>
      </c>
      <c r="BU1508" s="16" t="s">
        <v>546</v>
      </c>
      <c r="BV1508" s="16"/>
      <c r="BW1508" s="16"/>
      <c r="BX1508" s="16"/>
      <c r="BY1508" s="16"/>
    </row>
    <row r="1509">
      <c r="A1509" s="16" t="s">
        <v>8203</v>
      </c>
      <c r="B1509" s="16" t="s">
        <v>35</v>
      </c>
      <c r="C1509" s="22">
        <v>45935.0</v>
      </c>
      <c r="D1509" s="16">
        <v>8.627274E7</v>
      </c>
      <c r="E1509" s="16" t="s">
        <v>9451</v>
      </c>
      <c r="F1509" s="16" t="s">
        <v>157</v>
      </c>
      <c r="G1509" s="16" t="s">
        <v>226</v>
      </c>
      <c r="H1509" s="16">
        <v>3.0</v>
      </c>
      <c r="I1509" s="23">
        <v>5.99</v>
      </c>
      <c r="J1509" s="23">
        <v>17.97</v>
      </c>
      <c r="K1509" s="16" t="s">
        <v>159</v>
      </c>
      <c r="L1509" s="23">
        <v>4.0</v>
      </c>
      <c r="M1509" s="23">
        <v>8.99</v>
      </c>
      <c r="N1509" s="23">
        <v>35.96</v>
      </c>
      <c r="O1509" s="16" t="s">
        <v>305</v>
      </c>
      <c r="P1509" s="23">
        <v>1.0</v>
      </c>
      <c r="Q1509" s="23">
        <v>68.95</v>
      </c>
      <c r="R1509" s="23">
        <v>68.95</v>
      </c>
      <c r="S1509" s="16"/>
      <c r="T1509" s="23"/>
      <c r="U1509" s="23"/>
      <c r="V1509" s="23">
        <v>0.0</v>
      </c>
      <c r="W1509" s="16"/>
      <c r="X1509" s="23"/>
      <c r="Y1509" s="23"/>
      <c r="Z1509" s="23">
        <v>0.0</v>
      </c>
      <c r="AA1509" s="16"/>
      <c r="AB1509" s="23"/>
      <c r="AC1509" s="23"/>
      <c r="AD1509" s="23">
        <v>0.0</v>
      </c>
      <c r="AE1509" s="16"/>
      <c r="AF1509" s="23"/>
      <c r="AG1509" s="23"/>
      <c r="AH1509" s="23">
        <v>0.0</v>
      </c>
      <c r="AI1509" s="16"/>
      <c r="AJ1509" s="23"/>
      <c r="AK1509" s="23"/>
      <c r="AL1509" s="23">
        <v>0.0</v>
      </c>
      <c r="AM1509" s="16"/>
      <c r="AN1509" s="23"/>
      <c r="AO1509" s="23"/>
      <c r="AP1509" s="23">
        <v>0.0</v>
      </c>
      <c r="AQ1509" s="16"/>
      <c r="AR1509" s="23"/>
      <c r="AS1509" s="23"/>
      <c r="AT1509" s="23">
        <v>0.0</v>
      </c>
      <c r="AU1509" s="16"/>
      <c r="AV1509" s="23"/>
      <c r="AW1509" s="23"/>
      <c r="AX1509" s="23">
        <v>0.0</v>
      </c>
      <c r="AY1509" s="16"/>
      <c r="AZ1509" s="23"/>
      <c r="BA1509" s="23"/>
      <c r="BB1509" s="23"/>
      <c r="BC1509" s="16"/>
      <c r="BD1509" s="23"/>
      <c r="BE1509" s="23"/>
      <c r="BF1509" s="23">
        <v>0.0</v>
      </c>
      <c r="BJ1509" s="23">
        <v>0.0</v>
      </c>
      <c r="BN1509" s="23">
        <v>0.0</v>
      </c>
      <c r="BO1509" s="23">
        <v>122.88</v>
      </c>
      <c r="BP1509" s="16" t="s">
        <v>9453</v>
      </c>
      <c r="BQ1509" s="16" t="b">
        <v>1</v>
      </c>
      <c r="BR1509" s="23">
        <v>122.88</v>
      </c>
      <c r="BS1509" s="16">
        <v>1722168.0</v>
      </c>
      <c r="BT1509" s="16" t="b">
        <v>1</v>
      </c>
      <c r="BU1509" s="16" t="s">
        <v>546</v>
      </c>
      <c r="BV1509" s="16"/>
      <c r="BW1509" s="16"/>
      <c r="BX1509" s="16"/>
      <c r="BY1509" s="16"/>
    </row>
    <row r="1510">
      <c r="A1510" s="16" t="s">
        <v>8208</v>
      </c>
      <c r="B1510" s="16" t="s">
        <v>35</v>
      </c>
      <c r="C1510" s="22">
        <v>45937.0</v>
      </c>
      <c r="D1510" s="16" t="s">
        <v>112</v>
      </c>
      <c r="E1510" s="16" t="s">
        <v>9462</v>
      </c>
      <c r="F1510" s="16" t="s">
        <v>157</v>
      </c>
      <c r="G1510" s="16" t="s">
        <v>226</v>
      </c>
      <c r="H1510" s="16">
        <v>2.0</v>
      </c>
      <c r="I1510" s="23">
        <v>9.0</v>
      </c>
      <c r="J1510" s="23">
        <v>18.0</v>
      </c>
      <c r="K1510" s="16" t="s">
        <v>159</v>
      </c>
      <c r="L1510" s="23">
        <v>10.0</v>
      </c>
      <c r="M1510" s="23">
        <v>10.0</v>
      </c>
      <c r="N1510" s="23">
        <v>100.0</v>
      </c>
      <c r="O1510" s="16" t="s">
        <v>155</v>
      </c>
      <c r="P1510" s="23">
        <v>1.0</v>
      </c>
      <c r="Q1510" s="23">
        <v>36.4</v>
      </c>
      <c r="R1510" s="23">
        <v>36.4</v>
      </c>
      <c r="S1510" s="16" t="s">
        <v>152</v>
      </c>
      <c r="T1510" s="23">
        <v>1.0</v>
      </c>
      <c r="U1510" s="23">
        <v>11.22</v>
      </c>
      <c r="V1510" s="23">
        <v>11.22</v>
      </c>
      <c r="W1510" s="16"/>
      <c r="X1510" s="23"/>
      <c r="Y1510" s="23"/>
      <c r="Z1510" s="23">
        <v>0.0</v>
      </c>
      <c r="AA1510" s="16"/>
      <c r="AB1510" s="23"/>
      <c r="AC1510" s="23"/>
      <c r="AD1510" s="23">
        <v>0.0</v>
      </c>
      <c r="AE1510" s="16"/>
      <c r="AF1510" s="23"/>
      <c r="AG1510" s="23"/>
      <c r="AH1510" s="23">
        <v>0.0</v>
      </c>
      <c r="AI1510" s="16"/>
      <c r="AJ1510" s="23"/>
      <c r="AK1510" s="23"/>
      <c r="AL1510" s="23">
        <v>0.0</v>
      </c>
      <c r="AM1510" s="16"/>
      <c r="AN1510" s="23"/>
      <c r="AO1510" s="23"/>
      <c r="AP1510" s="23">
        <v>0.0</v>
      </c>
      <c r="AQ1510" s="16"/>
      <c r="AR1510" s="23"/>
      <c r="AS1510" s="23"/>
      <c r="AT1510" s="23">
        <v>0.0</v>
      </c>
      <c r="AU1510" s="16"/>
      <c r="AV1510" s="23"/>
      <c r="AW1510" s="23"/>
      <c r="AX1510" s="23">
        <v>0.0</v>
      </c>
      <c r="AY1510" s="16"/>
      <c r="AZ1510" s="23"/>
      <c r="BA1510" s="23"/>
      <c r="BB1510" s="23"/>
      <c r="BC1510" s="16"/>
      <c r="BD1510" s="23"/>
      <c r="BE1510" s="23"/>
      <c r="BF1510" s="23">
        <v>0.0</v>
      </c>
      <c r="BJ1510" s="23">
        <v>0.0</v>
      </c>
      <c r="BN1510" s="23">
        <v>0.0</v>
      </c>
      <c r="BO1510" s="23">
        <v>165.62</v>
      </c>
      <c r="BP1510" s="16" t="s">
        <v>9464</v>
      </c>
      <c r="BQ1510" s="16" t="b">
        <v>1</v>
      </c>
      <c r="BR1510" s="23">
        <v>165.62</v>
      </c>
      <c r="BS1510" s="16"/>
      <c r="BT1510" s="16" t="b">
        <v>0</v>
      </c>
      <c r="BU1510" s="16" t="s">
        <v>546</v>
      </c>
      <c r="BV1510" s="16"/>
      <c r="BW1510" s="16"/>
      <c r="BX1510" s="16"/>
      <c r="BY1510" s="16"/>
    </row>
    <row r="1511">
      <c r="A1511" s="16" t="s">
        <v>8217</v>
      </c>
      <c r="B1511" s="16" t="s">
        <v>35</v>
      </c>
      <c r="C1511" s="22">
        <v>45937.0</v>
      </c>
      <c r="D1511" s="16" t="s">
        <v>2613</v>
      </c>
      <c r="E1511" s="16" t="s">
        <v>9471</v>
      </c>
      <c r="F1511" s="16" t="s">
        <v>482</v>
      </c>
      <c r="G1511" s="16" t="s">
        <v>981</v>
      </c>
      <c r="H1511" s="16">
        <v>6.0</v>
      </c>
      <c r="I1511" s="23">
        <v>4.9</v>
      </c>
      <c r="J1511" s="23">
        <v>29.4</v>
      </c>
      <c r="K1511" s="16" t="s">
        <v>238</v>
      </c>
      <c r="L1511" s="23">
        <v>12.0</v>
      </c>
      <c r="M1511" s="23">
        <v>5.2</v>
      </c>
      <c r="N1511" s="23">
        <v>62.4</v>
      </c>
      <c r="O1511" s="16" t="s">
        <v>243</v>
      </c>
      <c r="P1511" s="23">
        <v>6.0</v>
      </c>
      <c r="Q1511" s="23">
        <v>6.2</v>
      </c>
      <c r="R1511" s="23">
        <v>37.2</v>
      </c>
      <c r="S1511" s="16"/>
      <c r="T1511" s="23"/>
      <c r="U1511" s="23"/>
      <c r="V1511" s="23">
        <v>0.0</v>
      </c>
      <c r="W1511" s="16"/>
      <c r="X1511" s="23"/>
      <c r="Y1511" s="23"/>
      <c r="Z1511" s="23">
        <v>0.0</v>
      </c>
      <c r="AA1511" s="16"/>
      <c r="AB1511" s="23"/>
      <c r="AC1511" s="23"/>
      <c r="AD1511" s="23">
        <v>0.0</v>
      </c>
      <c r="AE1511" s="16"/>
      <c r="AF1511" s="23"/>
      <c r="AG1511" s="23"/>
      <c r="AH1511" s="23">
        <v>0.0</v>
      </c>
      <c r="AI1511" s="16"/>
      <c r="AJ1511" s="23"/>
      <c r="AK1511" s="23"/>
      <c r="AL1511" s="23">
        <v>0.0</v>
      </c>
      <c r="AM1511" s="16"/>
      <c r="AN1511" s="23"/>
      <c r="AO1511" s="23"/>
      <c r="AP1511" s="23">
        <v>0.0</v>
      </c>
      <c r="AQ1511" s="16"/>
      <c r="AR1511" s="23"/>
      <c r="AS1511" s="23"/>
      <c r="AT1511" s="23">
        <v>0.0</v>
      </c>
      <c r="AU1511" s="16"/>
      <c r="AV1511" s="23"/>
      <c r="AW1511" s="23"/>
      <c r="AX1511" s="23">
        <v>0.0</v>
      </c>
      <c r="AY1511" s="16"/>
      <c r="AZ1511" s="23"/>
      <c r="BA1511" s="23"/>
      <c r="BB1511" s="23"/>
      <c r="BC1511" s="16"/>
      <c r="BD1511" s="23"/>
      <c r="BE1511" s="23"/>
      <c r="BF1511" s="23">
        <v>0.0</v>
      </c>
      <c r="BJ1511" s="23">
        <v>0.0</v>
      </c>
      <c r="BN1511" s="23">
        <v>0.0</v>
      </c>
      <c r="BO1511" s="23">
        <v>129.0</v>
      </c>
      <c r="BP1511" s="16" t="s">
        <v>9473</v>
      </c>
      <c r="BQ1511" s="16" t="b">
        <v>1</v>
      </c>
      <c r="BR1511" s="23">
        <v>129.0</v>
      </c>
      <c r="BS1511" s="16">
        <v>1726269.0</v>
      </c>
      <c r="BT1511" s="16" t="b">
        <v>1</v>
      </c>
      <c r="BU1511" s="16" t="s">
        <v>546</v>
      </c>
      <c r="BV1511" s="16"/>
      <c r="BW1511" s="16"/>
      <c r="BX1511" s="16"/>
      <c r="BY1511" s="16"/>
    </row>
    <row r="1512">
      <c r="A1512" s="16" t="s">
        <v>8224</v>
      </c>
      <c r="B1512" s="16" t="s">
        <v>35</v>
      </c>
      <c r="C1512" s="22">
        <v>45938.0</v>
      </c>
      <c r="D1512" s="16" t="s">
        <v>145</v>
      </c>
      <c r="E1512" s="16" t="s">
        <v>9480</v>
      </c>
      <c r="F1512" s="16" t="s">
        <v>4200</v>
      </c>
      <c r="G1512" s="16" t="s">
        <v>1195</v>
      </c>
      <c r="H1512" s="16">
        <v>5.0</v>
      </c>
      <c r="I1512" s="23">
        <v>24.0</v>
      </c>
      <c r="J1512" s="23">
        <v>120.0</v>
      </c>
      <c r="K1512" s="16" t="s">
        <v>1197</v>
      </c>
      <c r="L1512" s="23">
        <v>5.0</v>
      </c>
      <c r="M1512" s="23">
        <v>22.0</v>
      </c>
      <c r="N1512" s="23">
        <v>110.0</v>
      </c>
      <c r="O1512" s="16" t="s">
        <v>2305</v>
      </c>
      <c r="P1512" s="23">
        <v>2.0</v>
      </c>
      <c r="Q1512" s="23">
        <v>32.0</v>
      </c>
      <c r="R1512" s="23">
        <v>64.0</v>
      </c>
      <c r="S1512" s="16">
        <v>7.9788768E7</v>
      </c>
      <c r="T1512" s="23">
        <v>4.0</v>
      </c>
      <c r="U1512" s="23">
        <v>5.5</v>
      </c>
      <c r="V1512" s="23">
        <v>22.0</v>
      </c>
      <c r="W1512" s="16"/>
      <c r="X1512" s="23"/>
      <c r="Y1512" s="23"/>
      <c r="Z1512" s="23">
        <v>0.0</v>
      </c>
      <c r="AA1512" s="16"/>
      <c r="AB1512" s="23"/>
      <c r="AC1512" s="23"/>
      <c r="AD1512" s="23">
        <v>0.0</v>
      </c>
      <c r="AE1512" s="16"/>
      <c r="AF1512" s="23"/>
      <c r="AG1512" s="23"/>
      <c r="AH1512" s="23">
        <v>0.0</v>
      </c>
      <c r="AI1512" s="16"/>
      <c r="AJ1512" s="23"/>
      <c r="AK1512" s="23"/>
      <c r="AL1512" s="23">
        <v>0.0</v>
      </c>
      <c r="AM1512" s="16"/>
      <c r="AN1512" s="23"/>
      <c r="AO1512" s="23"/>
      <c r="AP1512" s="23">
        <v>0.0</v>
      </c>
      <c r="AQ1512" s="16"/>
      <c r="AR1512" s="23"/>
      <c r="AS1512" s="23"/>
      <c r="AT1512" s="23">
        <v>0.0</v>
      </c>
      <c r="AU1512" s="16"/>
      <c r="AV1512" s="23"/>
      <c r="AW1512" s="23"/>
      <c r="AX1512" s="23">
        <v>0.0</v>
      </c>
      <c r="AY1512" s="16"/>
      <c r="AZ1512" s="23"/>
      <c r="BA1512" s="23"/>
      <c r="BB1512" s="23"/>
      <c r="BC1512" s="16"/>
      <c r="BD1512" s="23"/>
      <c r="BE1512" s="23"/>
      <c r="BF1512" s="23">
        <v>0.0</v>
      </c>
      <c r="BJ1512" s="23">
        <v>0.0</v>
      </c>
      <c r="BN1512" s="23">
        <v>0.0</v>
      </c>
      <c r="BO1512" s="23">
        <v>316.0</v>
      </c>
      <c r="BP1512" s="16" t="s">
        <v>9497</v>
      </c>
      <c r="BQ1512" s="16" t="b">
        <v>1</v>
      </c>
      <c r="BR1512" s="23">
        <v>316.0</v>
      </c>
      <c r="BS1512" s="16"/>
      <c r="BT1512" s="16" t="b">
        <v>0</v>
      </c>
      <c r="BU1512" s="16" t="s">
        <v>546</v>
      </c>
      <c r="BV1512" s="16"/>
      <c r="BW1512" s="16"/>
      <c r="BX1512" s="16"/>
      <c r="BY1512" s="16"/>
    </row>
    <row r="1513">
      <c r="A1513" s="16">
        <v>7.1382169E7</v>
      </c>
      <c r="B1513" s="16" t="s">
        <v>35</v>
      </c>
      <c r="C1513" s="22">
        <v>45939.0</v>
      </c>
      <c r="D1513" s="16" t="s">
        <v>112</v>
      </c>
      <c r="E1513" s="16" t="s">
        <v>9505</v>
      </c>
      <c r="F1513" s="16" t="s">
        <v>157</v>
      </c>
      <c r="G1513" s="16" t="s">
        <v>159</v>
      </c>
      <c r="H1513" s="16">
        <v>25.0</v>
      </c>
      <c r="I1513" s="23">
        <v>10.5</v>
      </c>
      <c r="J1513" s="23">
        <v>262.5</v>
      </c>
      <c r="K1513" s="16" t="s">
        <v>155</v>
      </c>
      <c r="L1513" s="23">
        <v>1.0</v>
      </c>
      <c r="M1513" s="23">
        <v>63.7</v>
      </c>
      <c r="N1513" s="23">
        <v>63.7</v>
      </c>
      <c r="O1513" s="16" t="s">
        <v>152</v>
      </c>
      <c r="P1513" s="23">
        <v>1.0</v>
      </c>
      <c r="Q1513" s="23">
        <v>14.4</v>
      </c>
      <c r="R1513" s="23">
        <v>14.4</v>
      </c>
      <c r="S1513" s="16" t="s">
        <v>226</v>
      </c>
      <c r="T1513" s="23">
        <v>7.0</v>
      </c>
      <c r="U1513" s="23">
        <v>9.0</v>
      </c>
      <c r="V1513" s="23">
        <v>63.0</v>
      </c>
      <c r="W1513" s="16"/>
      <c r="X1513" s="23"/>
      <c r="Y1513" s="23"/>
      <c r="Z1513" s="23">
        <v>0.0</v>
      </c>
      <c r="AA1513" s="16"/>
      <c r="AB1513" s="23"/>
      <c r="AC1513" s="23"/>
      <c r="AD1513" s="23">
        <v>0.0</v>
      </c>
      <c r="AE1513" s="16"/>
      <c r="AF1513" s="23"/>
      <c r="AG1513" s="23"/>
      <c r="AH1513" s="23">
        <v>0.0</v>
      </c>
      <c r="AI1513" s="16"/>
      <c r="AJ1513" s="23"/>
      <c r="AK1513" s="23"/>
      <c r="AL1513" s="23">
        <v>0.0</v>
      </c>
      <c r="AM1513" s="16"/>
      <c r="AN1513" s="23"/>
      <c r="AO1513" s="23"/>
      <c r="AP1513" s="23">
        <v>0.0</v>
      </c>
      <c r="AQ1513" s="16"/>
      <c r="AR1513" s="23"/>
      <c r="AS1513" s="23"/>
      <c r="AT1513" s="23">
        <v>0.0</v>
      </c>
      <c r="AU1513" s="16"/>
      <c r="AV1513" s="23"/>
      <c r="AW1513" s="23"/>
      <c r="AX1513" s="23">
        <v>0.0</v>
      </c>
      <c r="AY1513" s="16"/>
      <c r="AZ1513" s="23"/>
      <c r="BA1513" s="23"/>
      <c r="BB1513" s="23"/>
      <c r="BC1513" s="16"/>
      <c r="BD1513" s="23"/>
      <c r="BE1513" s="23"/>
      <c r="BF1513" s="23">
        <v>0.0</v>
      </c>
      <c r="BJ1513" s="23">
        <v>0.0</v>
      </c>
      <c r="BN1513" s="23">
        <v>0.0</v>
      </c>
      <c r="BO1513" s="23">
        <v>403.6</v>
      </c>
      <c r="BP1513" s="16" t="s">
        <v>9507</v>
      </c>
      <c r="BQ1513" s="16" t="b">
        <v>1</v>
      </c>
      <c r="BR1513" s="23">
        <v>403.6</v>
      </c>
      <c r="BS1513" s="16"/>
      <c r="BT1513" s="16" t="b">
        <v>0</v>
      </c>
      <c r="BU1513" s="16" t="s">
        <v>546</v>
      </c>
      <c r="BV1513" s="16"/>
      <c r="BW1513" s="16"/>
      <c r="BX1513" s="16"/>
      <c r="BY1513" s="16"/>
    </row>
    <row r="1514">
      <c r="A1514" s="16" t="s">
        <v>8237</v>
      </c>
      <c r="B1514" s="16" t="s">
        <v>35</v>
      </c>
      <c r="C1514" s="22">
        <v>45939.0</v>
      </c>
      <c r="D1514" s="16" t="s">
        <v>3716</v>
      </c>
      <c r="E1514" s="16" t="s">
        <v>9514</v>
      </c>
      <c r="F1514" s="16" t="s">
        <v>9517</v>
      </c>
      <c r="G1514" s="16" t="s">
        <v>1404</v>
      </c>
      <c r="H1514" s="16">
        <v>1.0</v>
      </c>
      <c r="I1514" s="23">
        <v>34.0</v>
      </c>
      <c r="J1514" s="23">
        <v>34.0</v>
      </c>
      <c r="K1514" s="16" t="s">
        <v>1080</v>
      </c>
      <c r="L1514" s="23">
        <v>15.0</v>
      </c>
      <c r="M1514" s="23">
        <v>13.9</v>
      </c>
      <c r="N1514" s="23">
        <v>208.5</v>
      </c>
      <c r="O1514" s="16"/>
      <c r="P1514" s="23"/>
      <c r="Q1514" s="23"/>
      <c r="R1514" s="23">
        <v>0.0</v>
      </c>
      <c r="S1514" s="16"/>
      <c r="T1514" s="23"/>
      <c r="U1514" s="23"/>
      <c r="V1514" s="23">
        <v>0.0</v>
      </c>
      <c r="W1514" s="16"/>
      <c r="X1514" s="23"/>
      <c r="Y1514" s="23"/>
      <c r="Z1514" s="23">
        <v>0.0</v>
      </c>
      <c r="AA1514" s="16"/>
      <c r="AB1514" s="23"/>
      <c r="AC1514" s="23"/>
      <c r="AD1514" s="23">
        <v>0.0</v>
      </c>
      <c r="AE1514" s="16"/>
      <c r="AF1514" s="23"/>
      <c r="AG1514" s="23"/>
      <c r="AH1514" s="23">
        <v>0.0</v>
      </c>
      <c r="AI1514" s="16"/>
      <c r="AJ1514" s="23"/>
      <c r="AK1514" s="23"/>
      <c r="AL1514" s="23">
        <v>0.0</v>
      </c>
      <c r="AM1514" s="16"/>
      <c r="AN1514" s="23"/>
      <c r="AO1514" s="23"/>
      <c r="AP1514" s="23">
        <v>0.0</v>
      </c>
      <c r="AQ1514" s="16"/>
      <c r="AR1514" s="23"/>
      <c r="AS1514" s="23"/>
      <c r="AT1514" s="23">
        <v>0.0</v>
      </c>
      <c r="AU1514" s="16"/>
      <c r="AV1514" s="23"/>
      <c r="AW1514" s="23"/>
      <c r="AX1514" s="23">
        <v>0.0</v>
      </c>
      <c r="AY1514" s="16"/>
      <c r="AZ1514" s="23"/>
      <c r="BA1514" s="23"/>
      <c r="BB1514" s="23"/>
      <c r="BC1514" s="16"/>
      <c r="BD1514" s="23"/>
      <c r="BE1514" s="23"/>
      <c r="BF1514" s="23">
        <v>0.0</v>
      </c>
      <c r="BJ1514" s="23">
        <v>0.0</v>
      </c>
      <c r="BN1514" s="23">
        <v>0.0</v>
      </c>
      <c r="BO1514" s="23">
        <v>242.5</v>
      </c>
      <c r="BP1514" s="16" t="s">
        <v>9516</v>
      </c>
      <c r="BQ1514" s="16" t="b">
        <v>1</v>
      </c>
      <c r="BR1514" s="23">
        <v>242.5</v>
      </c>
      <c r="BS1514" s="16">
        <v>1728951.0</v>
      </c>
      <c r="BT1514" s="16" t="b">
        <v>1</v>
      </c>
      <c r="BU1514" s="16" t="s">
        <v>546</v>
      </c>
      <c r="BV1514" s="16"/>
      <c r="BW1514" s="16"/>
      <c r="BX1514" s="16"/>
      <c r="BY1514" s="16"/>
    </row>
    <row r="1515">
      <c r="A1515" s="16" t="s">
        <v>8240</v>
      </c>
      <c r="B1515" s="16" t="s">
        <v>35</v>
      </c>
      <c r="C1515" s="22">
        <v>45940.0</v>
      </c>
      <c r="D1515" s="16" t="s">
        <v>543</v>
      </c>
      <c r="E1515" s="16" t="s">
        <v>9523</v>
      </c>
      <c r="F1515" s="16" t="s">
        <v>171</v>
      </c>
      <c r="G1515" s="16">
        <v>1.2539885E7</v>
      </c>
      <c r="H1515" s="16">
        <v>1.0</v>
      </c>
      <c r="I1515" s="23">
        <v>500.0</v>
      </c>
      <c r="J1515" s="23">
        <v>500.0</v>
      </c>
      <c r="K1515" s="16"/>
      <c r="L1515" s="23"/>
      <c r="M1515" s="23"/>
      <c r="N1515" s="23">
        <v>0.0</v>
      </c>
      <c r="O1515" s="16"/>
      <c r="P1515" s="23"/>
      <c r="Q1515" s="23"/>
      <c r="R1515" s="23">
        <v>0.0</v>
      </c>
      <c r="S1515" s="16"/>
      <c r="T1515" s="23"/>
      <c r="U1515" s="23"/>
      <c r="V1515" s="23">
        <v>0.0</v>
      </c>
      <c r="W1515" s="16"/>
      <c r="X1515" s="23"/>
      <c r="Y1515" s="23"/>
      <c r="Z1515" s="23">
        <v>0.0</v>
      </c>
      <c r="AA1515" s="16"/>
      <c r="AB1515" s="23"/>
      <c r="AC1515" s="23"/>
      <c r="AD1515" s="23">
        <v>0.0</v>
      </c>
      <c r="AE1515" s="16"/>
      <c r="AF1515" s="23"/>
      <c r="AG1515" s="23"/>
      <c r="AH1515" s="23">
        <v>0.0</v>
      </c>
      <c r="AI1515" s="16"/>
      <c r="AJ1515" s="23"/>
      <c r="AK1515" s="23"/>
      <c r="AL1515" s="23">
        <v>0.0</v>
      </c>
      <c r="AM1515" s="16"/>
      <c r="AN1515" s="23"/>
      <c r="AO1515" s="23"/>
      <c r="AP1515" s="23">
        <v>0.0</v>
      </c>
      <c r="AQ1515" s="16"/>
      <c r="AR1515" s="23"/>
      <c r="AS1515" s="23"/>
      <c r="AT1515" s="23">
        <v>0.0</v>
      </c>
      <c r="AU1515" s="16"/>
      <c r="AV1515" s="23"/>
      <c r="AW1515" s="23"/>
      <c r="AX1515" s="23">
        <v>0.0</v>
      </c>
      <c r="AY1515" s="16"/>
      <c r="AZ1515" s="23"/>
      <c r="BA1515" s="23"/>
      <c r="BB1515" s="23"/>
      <c r="BC1515" s="16"/>
      <c r="BD1515" s="23"/>
      <c r="BE1515" s="23"/>
      <c r="BF1515" s="23">
        <v>0.0</v>
      </c>
      <c r="BJ1515" s="23">
        <v>0.0</v>
      </c>
      <c r="BN1515" s="23">
        <v>0.0</v>
      </c>
      <c r="BO1515" s="23">
        <v>500.0</v>
      </c>
      <c r="BP1515" s="16" t="s">
        <v>9524</v>
      </c>
      <c r="BQ1515" s="16" t="b">
        <v>1</v>
      </c>
      <c r="BR1515" s="23">
        <v>500.0</v>
      </c>
      <c r="BS1515" s="16"/>
      <c r="BT1515" s="16" t="b">
        <v>0</v>
      </c>
      <c r="BU1515" s="16" t="s">
        <v>546</v>
      </c>
      <c r="BV1515" s="16"/>
      <c r="BW1515" s="16"/>
      <c r="BX1515" s="16"/>
      <c r="BY1515" s="16"/>
    </row>
    <row r="1516">
      <c r="A1516" s="16" t="s">
        <v>8242</v>
      </c>
      <c r="B1516" s="16" t="s">
        <v>35</v>
      </c>
      <c r="C1516" s="22">
        <v>45940.0</v>
      </c>
      <c r="D1516" s="16" t="s">
        <v>353</v>
      </c>
      <c r="E1516" s="16" t="s">
        <v>9531</v>
      </c>
      <c r="F1516" s="16" t="s">
        <v>9533</v>
      </c>
      <c r="G1516" s="16" t="s">
        <v>691</v>
      </c>
      <c r="H1516" s="16">
        <v>1.0</v>
      </c>
      <c r="I1516" s="23">
        <v>86.29</v>
      </c>
      <c r="J1516" s="23">
        <v>86.29</v>
      </c>
      <c r="K1516" s="16" t="s">
        <v>1394</v>
      </c>
      <c r="L1516" s="23">
        <v>1.0</v>
      </c>
      <c r="M1516" s="23">
        <v>30.8</v>
      </c>
      <c r="N1516" s="23">
        <v>30.8</v>
      </c>
      <c r="O1516" s="16"/>
      <c r="P1516" s="23"/>
      <c r="Q1516" s="23"/>
      <c r="R1516" s="23">
        <v>0.0</v>
      </c>
      <c r="S1516" s="16"/>
      <c r="T1516" s="23"/>
      <c r="U1516" s="23"/>
      <c r="V1516" s="23">
        <v>0.0</v>
      </c>
      <c r="W1516" s="16"/>
      <c r="X1516" s="23"/>
      <c r="Y1516" s="23"/>
      <c r="Z1516" s="23">
        <v>0.0</v>
      </c>
      <c r="AA1516" s="16"/>
      <c r="AB1516" s="23"/>
      <c r="AC1516" s="23"/>
      <c r="AD1516" s="23">
        <v>0.0</v>
      </c>
      <c r="AE1516" s="16"/>
      <c r="AF1516" s="23"/>
      <c r="AG1516" s="23"/>
      <c r="AH1516" s="23">
        <v>0.0</v>
      </c>
      <c r="AI1516" s="16"/>
      <c r="AJ1516" s="23"/>
      <c r="AK1516" s="23"/>
      <c r="AL1516" s="23">
        <v>0.0</v>
      </c>
      <c r="AM1516" s="16"/>
      <c r="AN1516" s="23"/>
      <c r="AO1516" s="23"/>
      <c r="AP1516" s="23">
        <v>0.0</v>
      </c>
      <c r="AQ1516" s="16"/>
      <c r="AR1516" s="23"/>
      <c r="AS1516" s="23"/>
      <c r="AT1516" s="23">
        <v>0.0</v>
      </c>
      <c r="AU1516" s="16"/>
      <c r="AV1516" s="23"/>
      <c r="AW1516" s="23"/>
      <c r="AX1516" s="23">
        <v>0.0</v>
      </c>
      <c r="AY1516" s="16"/>
      <c r="AZ1516" s="23"/>
      <c r="BA1516" s="23"/>
      <c r="BB1516" s="23"/>
      <c r="BC1516" s="16"/>
      <c r="BD1516" s="23"/>
      <c r="BE1516" s="23"/>
      <c r="BF1516" s="23">
        <v>0.0</v>
      </c>
      <c r="BJ1516" s="23">
        <v>0.0</v>
      </c>
      <c r="BN1516" s="23">
        <v>0.0</v>
      </c>
      <c r="BO1516" s="23">
        <v>117.09</v>
      </c>
      <c r="BP1516" s="16" t="s">
        <v>9532</v>
      </c>
      <c r="BQ1516" s="16" t="b">
        <v>1</v>
      </c>
      <c r="BR1516" s="23">
        <v>117.09</v>
      </c>
      <c r="BS1516" s="16">
        <v>1730303.0</v>
      </c>
      <c r="BT1516" s="16" t="b">
        <v>1</v>
      </c>
      <c r="BU1516" s="16" t="s">
        <v>546</v>
      </c>
      <c r="BV1516" s="16"/>
      <c r="BW1516" s="16"/>
      <c r="BX1516" s="16"/>
      <c r="BY1516" s="16"/>
    </row>
    <row r="1517">
      <c r="A1517" s="16" t="s">
        <v>8245</v>
      </c>
      <c r="B1517" s="16" t="s">
        <v>35</v>
      </c>
      <c r="C1517" s="22">
        <v>45939.0</v>
      </c>
      <c r="D1517" s="16" t="s">
        <v>764</v>
      </c>
      <c r="E1517" s="16" t="s">
        <v>9539</v>
      </c>
      <c r="F1517" s="16" t="s">
        <v>195</v>
      </c>
      <c r="G1517" s="16" t="s">
        <v>1073</v>
      </c>
      <c r="H1517" s="16">
        <v>1.0</v>
      </c>
      <c r="I1517" s="23">
        <v>21.0</v>
      </c>
      <c r="J1517" s="23">
        <v>21.0</v>
      </c>
      <c r="K1517" s="16">
        <v>7.5375964E7</v>
      </c>
      <c r="L1517" s="23">
        <v>1.0</v>
      </c>
      <c r="M1517" s="23">
        <v>19.8</v>
      </c>
      <c r="N1517" s="23">
        <v>19.8</v>
      </c>
      <c r="O1517" s="16" t="s">
        <v>1384</v>
      </c>
      <c r="P1517" s="23">
        <v>1.0</v>
      </c>
      <c r="Q1517" s="23">
        <v>19.8</v>
      </c>
      <c r="R1517" s="23">
        <v>19.8</v>
      </c>
      <c r="S1517" s="16" t="s">
        <v>1404</v>
      </c>
      <c r="T1517" s="23">
        <v>1.0</v>
      </c>
      <c r="U1517" s="23">
        <v>19.8</v>
      </c>
      <c r="V1517" s="23">
        <v>19.8</v>
      </c>
      <c r="W1517" s="16">
        <v>7.5375964E7</v>
      </c>
      <c r="X1517" s="23">
        <v>1.0</v>
      </c>
      <c r="Y1517" s="23">
        <v>64.0</v>
      </c>
      <c r="Z1517" s="23">
        <v>64.0</v>
      </c>
      <c r="AA1517" s="16" t="s">
        <v>1074</v>
      </c>
      <c r="AB1517" s="23">
        <v>5.0</v>
      </c>
      <c r="AC1517" s="23">
        <v>42.6</v>
      </c>
      <c r="AD1517" s="23">
        <v>213.0</v>
      </c>
      <c r="AE1517" s="16" t="s">
        <v>1075</v>
      </c>
      <c r="AF1517" s="23">
        <v>4.0</v>
      </c>
      <c r="AG1517" s="23">
        <v>21.3</v>
      </c>
      <c r="AH1517" s="23">
        <v>85.2</v>
      </c>
      <c r="AI1517" s="16" t="s">
        <v>1081</v>
      </c>
      <c r="AJ1517" s="23">
        <v>8.0</v>
      </c>
      <c r="AK1517" s="23">
        <v>48.0</v>
      </c>
      <c r="AL1517" s="23">
        <v>384.0</v>
      </c>
      <c r="AM1517" s="16" t="s">
        <v>1077</v>
      </c>
      <c r="AN1517" s="23">
        <v>6.0</v>
      </c>
      <c r="AO1517" s="23">
        <v>25.8</v>
      </c>
      <c r="AP1517" s="23">
        <v>154.8</v>
      </c>
      <c r="AQ1517" s="16" t="s">
        <v>1079</v>
      </c>
      <c r="AR1517" s="23">
        <v>25.0</v>
      </c>
      <c r="AS1517" s="23">
        <v>18.0</v>
      </c>
      <c r="AT1517" s="23">
        <v>450.0</v>
      </c>
      <c r="AU1517" s="16" t="s">
        <v>1083</v>
      </c>
      <c r="AV1517" s="23">
        <v>1.0</v>
      </c>
      <c r="AW1517" s="23">
        <v>18.9</v>
      </c>
      <c r="AX1517" s="23">
        <v>18.9</v>
      </c>
      <c r="AY1517" s="16" t="s">
        <v>1074</v>
      </c>
      <c r="AZ1517" s="23">
        <v>1.0</v>
      </c>
      <c r="BA1517" s="23">
        <v>75.0</v>
      </c>
      <c r="BB1517" s="23">
        <v>75.0</v>
      </c>
      <c r="BC1517" s="16" t="s">
        <v>5605</v>
      </c>
      <c r="BD1517" s="23">
        <v>1.0</v>
      </c>
      <c r="BE1517" s="23">
        <v>19.57</v>
      </c>
      <c r="BF1517" s="23">
        <v>19.57</v>
      </c>
      <c r="BG1517" s="16" t="s">
        <v>1085</v>
      </c>
      <c r="BH1517" s="23">
        <v>4.0</v>
      </c>
      <c r="BI1517" s="23">
        <v>40.2</v>
      </c>
      <c r="BJ1517" s="23">
        <v>160.8</v>
      </c>
      <c r="BN1517" s="23">
        <v>0.0</v>
      </c>
      <c r="BO1517" s="23">
        <v>1705.67</v>
      </c>
      <c r="BP1517" s="16" t="s">
        <v>9540</v>
      </c>
      <c r="BQ1517" s="16" t="b">
        <v>1</v>
      </c>
      <c r="BR1517" s="23">
        <v>1705.67</v>
      </c>
      <c r="BS1517" s="16"/>
      <c r="BT1517" s="16" t="b">
        <v>0</v>
      </c>
      <c r="BU1517" s="16" t="s">
        <v>546</v>
      </c>
      <c r="BV1517" s="16"/>
      <c r="BW1517" s="16" t="s">
        <v>9543</v>
      </c>
      <c r="BX1517" s="16"/>
      <c r="BY1517" s="16"/>
    </row>
    <row r="1518">
      <c r="A1518" s="16" t="s">
        <v>8263</v>
      </c>
      <c r="B1518" s="16" t="s">
        <v>35</v>
      </c>
      <c r="C1518" s="22">
        <v>45941.0</v>
      </c>
      <c r="D1518" s="16" t="s">
        <v>4142</v>
      </c>
      <c r="E1518" s="16" t="s">
        <v>9546</v>
      </c>
      <c r="F1518" s="16" t="s">
        <v>4614</v>
      </c>
      <c r="G1518" s="16" t="s">
        <v>305</v>
      </c>
      <c r="H1518" s="16">
        <v>1.0</v>
      </c>
      <c r="I1518" s="23">
        <v>125.74</v>
      </c>
      <c r="J1518" s="23">
        <v>125.74</v>
      </c>
      <c r="K1518" s="16"/>
      <c r="L1518" s="23"/>
      <c r="M1518" s="23"/>
      <c r="N1518" s="23">
        <v>0.0</v>
      </c>
      <c r="O1518" s="16"/>
      <c r="P1518" s="23"/>
      <c r="Q1518" s="23"/>
      <c r="R1518" s="23">
        <v>0.0</v>
      </c>
      <c r="S1518" s="16"/>
      <c r="T1518" s="23"/>
      <c r="U1518" s="23"/>
      <c r="V1518" s="23">
        <v>0.0</v>
      </c>
      <c r="W1518" s="16"/>
      <c r="X1518" s="23"/>
      <c r="Y1518" s="23"/>
      <c r="Z1518" s="23">
        <v>0.0</v>
      </c>
      <c r="AA1518" s="16"/>
      <c r="AB1518" s="23"/>
      <c r="AC1518" s="23"/>
      <c r="AD1518" s="23">
        <v>0.0</v>
      </c>
      <c r="AE1518" s="16"/>
      <c r="AF1518" s="23"/>
      <c r="AG1518" s="23"/>
      <c r="AH1518" s="23">
        <v>0.0</v>
      </c>
      <c r="AI1518" s="16"/>
      <c r="AJ1518" s="23"/>
      <c r="AK1518" s="23"/>
      <c r="AL1518" s="23">
        <v>0.0</v>
      </c>
      <c r="AM1518" s="16"/>
      <c r="AN1518" s="23"/>
      <c r="AO1518" s="23"/>
      <c r="AP1518" s="23">
        <v>0.0</v>
      </c>
      <c r="AQ1518" s="16"/>
      <c r="AR1518" s="23"/>
      <c r="AS1518" s="23"/>
      <c r="AT1518" s="23">
        <v>0.0</v>
      </c>
      <c r="AU1518" s="16"/>
      <c r="AV1518" s="23"/>
      <c r="AW1518" s="23"/>
      <c r="AX1518" s="23">
        <v>0.0</v>
      </c>
      <c r="AY1518" s="16"/>
      <c r="AZ1518" s="23"/>
      <c r="BA1518" s="23"/>
      <c r="BB1518" s="23"/>
      <c r="BC1518" s="16"/>
      <c r="BD1518" s="23"/>
      <c r="BE1518" s="23"/>
      <c r="BF1518" s="23">
        <v>0.0</v>
      </c>
      <c r="BG1518" s="16"/>
      <c r="BH1518" s="23"/>
      <c r="BI1518" s="23"/>
      <c r="BJ1518" s="23">
        <v>0.0</v>
      </c>
      <c r="BN1518" s="23">
        <v>0.0</v>
      </c>
      <c r="BO1518" s="23">
        <v>125.74</v>
      </c>
      <c r="BP1518" s="16" t="s">
        <v>9549</v>
      </c>
      <c r="BQ1518" s="16" t="b">
        <v>1</v>
      </c>
      <c r="BR1518" s="23">
        <v>125.74</v>
      </c>
      <c r="BS1518" s="16">
        <v>1732201.0</v>
      </c>
      <c r="BT1518" s="16" t="b">
        <v>1</v>
      </c>
      <c r="BU1518" s="16" t="s">
        <v>546</v>
      </c>
      <c r="BV1518" s="16"/>
      <c r="BW1518" s="16"/>
      <c r="BX1518" s="16"/>
      <c r="BY1518" s="16"/>
    </row>
    <row r="1519">
      <c r="A1519" s="16" t="s">
        <v>8267</v>
      </c>
      <c r="B1519" s="16" t="s">
        <v>35</v>
      </c>
      <c r="C1519" s="22">
        <v>45944.0</v>
      </c>
      <c r="D1519" s="16" t="s">
        <v>890</v>
      </c>
      <c r="E1519" s="16" t="s">
        <v>9551</v>
      </c>
      <c r="F1519" s="16" t="s">
        <v>2894</v>
      </c>
      <c r="G1519" s="16" t="s">
        <v>1510</v>
      </c>
      <c r="H1519" s="16">
        <v>1.0</v>
      </c>
      <c r="I1519" s="23">
        <v>11783.34</v>
      </c>
      <c r="J1519" s="23">
        <v>11783.34</v>
      </c>
      <c r="K1519" s="16"/>
      <c r="L1519" s="23"/>
      <c r="M1519" s="23"/>
      <c r="N1519" s="23">
        <v>0.0</v>
      </c>
      <c r="O1519" s="16"/>
      <c r="P1519" s="23"/>
      <c r="Q1519" s="23"/>
      <c r="R1519" s="23">
        <v>0.0</v>
      </c>
      <c r="S1519" s="16"/>
      <c r="T1519" s="23"/>
      <c r="U1519" s="23"/>
      <c r="V1519" s="23">
        <v>0.0</v>
      </c>
      <c r="W1519" s="16"/>
      <c r="X1519" s="23"/>
      <c r="Y1519" s="23"/>
      <c r="Z1519" s="23">
        <v>0.0</v>
      </c>
      <c r="AA1519" s="16"/>
      <c r="AB1519" s="23"/>
      <c r="AC1519" s="23"/>
      <c r="AD1519" s="23">
        <v>0.0</v>
      </c>
      <c r="AE1519" s="16"/>
      <c r="AF1519" s="23"/>
      <c r="AG1519" s="23"/>
      <c r="AH1519" s="23">
        <v>0.0</v>
      </c>
      <c r="AI1519" s="16"/>
      <c r="AJ1519" s="23"/>
      <c r="AK1519" s="23"/>
      <c r="AL1519" s="23">
        <v>0.0</v>
      </c>
      <c r="AM1519" s="16"/>
      <c r="AN1519" s="23"/>
      <c r="AO1519" s="23"/>
      <c r="AP1519" s="23">
        <v>0.0</v>
      </c>
      <c r="AQ1519" s="16"/>
      <c r="AR1519" s="23"/>
      <c r="AS1519" s="23"/>
      <c r="AT1519" s="23">
        <v>0.0</v>
      </c>
      <c r="AU1519" s="16"/>
      <c r="AV1519" s="23"/>
      <c r="AW1519" s="23"/>
      <c r="AX1519" s="23">
        <v>0.0</v>
      </c>
      <c r="AY1519" s="16"/>
      <c r="AZ1519" s="23"/>
      <c r="BA1519" s="23"/>
      <c r="BB1519" s="23"/>
      <c r="BC1519" s="16"/>
      <c r="BD1519" s="23"/>
      <c r="BE1519" s="23"/>
      <c r="BF1519" s="23">
        <v>0.0</v>
      </c>
      <c r="BG1519" s="16"/>
      <c r="BH1519" s="23"/>
      <c r="BI1519" s="23"/>
      <c r="BJ1519" s="23">
        <v>0.0</v>
      </c>
      <c r="BN1519" s="23">
        <v>0.0</v>
      </c>
      <c r="BO1519" s="23">
        <v>11783.34</v>
      </c>
      <c r="BP1519" s="16" t="s">
        <v>9553</v>
      </c>
      <c r="BQ1519" s="16" t="b">
        <v>1</v>
      </c>
      <c r="BR1519" s="23">
        <v>11783.34</v>
      </c>
      <c r="BS1519" s="16"/>
      <c r="BT1519" s="16" t="b">
        <v>0</v>
      </c>
      <c r="BU1519" s="16" t="s">
        <v>546</v>
      </c>
      <c r="BV1519" s="16"/>
      <c r="BW1519" s="16" t="s">
        <v>9554</v>
      </c>
      <c r="BX1519" s="16" t="s">
        <v>9555</v>
      </c>
      <c r="BY1519" s="16"/>
    </row>
    <row r="1520">
      <c r="A1520" s="16" t="s">
        <v>8269</v>
      </c>
      <c r="B1520" s="16" t="s">
        <v>35</v>
      </c>
      <c r="C1520" s="22">
        <v>45945.0</v>
      </c>
      <c r="D1520" s="16" t="s">
        <v>112</v>
      </c>
      <c r="E1520" s="16" t="s">
        <v>9560</v>
      </c>
      <c r="F1520" s="16" t="s">
        <v>157</v>
      </c>
      <c r="G1520" s="16" t="s">
        <v>152</v>
      </c>
      <c r="H1520" s="16">
        <v>1.0</v>
      </c>
      <c r="I1520" s="23">
        <v>15.63</v>
      </c>
      <c r="J1520" s="23">
        <v>15.63</v>
      </c>
      <c r="K1520" s="16" t="s">
        <v>226</v>
      </c>
      <c r="L1520" s="23">
        <v>1.0</v>
      </c>
      <c r="M1520" s="23">
        <v>45.0</v>
      </c>
      <c r="N1520" s="23">
        <v>45.0</v>
      </c>
      <c r="O1520" s="16"/>
      <c r="P1520" s="23"/>
      <c r="Q1520" s="23"/>
      <c r="R1520" s="23">
        <v>0.0</v>
      </c>
      <c r="S1520" s="16"/>
      <c r="T1520" s="23"/>
      <c r="U1520" s="23"/>
      <c r="V1520" s="23">
        <v>0.0</v>
      </c>
      <c r="W1520" s="16"/>
      <c r="X1520" s="23"/>
      <c r="Y1520" s="23"/>
      <c r="Z1520" s="23">
        <v>0.0</v>
      </c>
      <c r="AA1520" s="16"/>
      <c r="AB1520" s="23"/>
      <c r="AC1520" s="23"/>
      <c r="AD1520" s="23">
        <v>0.0</v>
      </c>
      <c r="AE1520" s="16"/>
      <c r="AF1520" s="23"/>
      <c r="AG1520" s="23"/>
      <c r="AH1520" s="23">
        <v>0.0</v>
      </c>
      <c r="AI1520" s="16"/>
      <c r="AJ1520" s="23"/>
      <c r="AK1520" s="23"/>
      <c r="AL1520" s="23">
        <v>0.0</v>
      </c>
      <c r="AM1520" s="16"/>
      <c r="AN1520" s="23"/>
      <c r="AO1520" s="23"/>
      <c r="AP1520" s="23">
        <v>0.0</v>
      </c>
      <c r="AQ1520" s="16"/>
      <c r="AR1520" s="23"/>
      <c r="AS1520" s="23"/>
      <c r="AT1520" s="23">
        <v>0.0</v>
      </c>
      <c r="AU1520" s="16"/>
      <c r="AV1520" s="23"/>
      <c r="AW1520" s="23"/>
      <c r="AX1520" s="23">
        <v>0.0</v>
      </c>
      <c r="AY1520" s="16"/>
      <c r="AZ1520" s="23"/>
      <c r="BA1520" s="23"/>
      <c r="BB1520" s="23"/>
      <c r="BC1520" s="16"/>
      <c r="BD1520" s="23"/>
      <c r="BE1520" s="23"/>
      <c r="BF1520" s="23">
        <v>0.0</v>
      </c>
      <c r="BG1520" s="16"/>
      <c r="BH1520" s="23"/>
      <c r="BI1520" s="23"/>
      <c r="BJ1520" s="23">
        <v>0.0</v>
      </c>
      <c r="BN1520" s="23">
        <v>0.0</v>
      </c>
      <c r="BO1520" s="23">
        <v>60.63</v>
      </c>
      <c r="BP1520" s="16" t="s">
        <v>9561</v>
      </c>
      <c r="BQ1520" s="16" t="b">
        <v>1</v>
      </c>
      <c r="BR1520" s="23">
        <v>60.63</v>
      </c>
      <c r="BS1520" s="16"/>
      <c r="BT1520" s="16" t="b">
        <v>0</v>
      </c>
      <c r="BU1520" s="16" t="s">
        <v>546</v>
      </c>
      <c r="BV1520" s="16"/>
      <c r="BW1520" s="16"/>
      <c r="BX1520" s="16"/>
      <c r="BY1520" s="16"/>
    </row>
    <row r="1521">
      <c r="A1521" s="16" t="s">
        <v>8273</v>
      </c>
      <c r="B1521" s="16" t="s">
        <v>35</v>
      </c>
      <c r="C1521" s="22">
        <v>45945.0</v>
      </c>
      <c r="D1521" s="16" t="s">
        <v>890</v>
      </c>
      <c r="E1521" s="16" t="s">
        <v>9566</v>
      </c>
      <c r="F1521" s="16" t="s">
        <v>3813</v>
      </c>
      <c r="G1521" s="16" t="s">
        <v>1517</v>
      </c>
      <c r="H1521" s="16">
        <v>1.0</v>
      </c>
      <c r="I1521" s="23">
        <v>5708.16</v>
      </c>
      <c r="J1521" s="23">
        <v>5708.16</v>
      </c>
      <c r="K1521" s="16"/>
      <c r="L1521" s="23"/>
      <c r="M1521" s="23"/>
      <c r="N1521" s="23">
        <v>0.0</v>
      </c>
      <c r="O1521" s="16"/>
      <c r="P1521" s="23"/>
      <c r="Q1521" s="23"/>
      <c r="R1521" s="23">
        <v>0.0</v>
      </c>
      <c r="S1521" s="16"/>
      <c r="T1521" s="23"/>
      <c r="U1521" s="23"/>
      <c r="V1521" s="23">
        <v>0.0</v>
      </c>
      <c r="W1521" s="16"/>
      <c r="X1521" s="23"/>
      <c r="Y1521" s="23"/>
      <c r="Z1521" s="23">
        <v>0.0</v>
      </c>
      <c r="AA1521" s="16"/>
      <c r="AB1521" s="23"/>
      <c r="AC1521" s="23"/>
      <c r="AD1521" s="23">
        <v>0.0</v>
      </c>
      <c r="AE1521" s="16"/>
      <c r="AF1521" s="23"/>
      <c r="AG1521" s="23"/>
      <c r="AH1521" s="23">
        <v>0.0</v>
      </c>
      <c r="AI1521" s="16"/>
      <c r="AJ1521" s="23"/>
      <c r="AK1521" s="23"/>
      <c r="AL1521" s="23">
        <v>0.0</v>
      </c>
      <c r="AM1521" s="16"/>
      <c r="AN1521" s="23"/>
      <c r="AO1521" s="23"/>
      <c r="AP1521" s="23">
        <v>0.0</v>
      </c>
      <c r="AQ1521" s="16"/>
      <c r="AR1521" s="23"/>
      <c r="AS1521" s="23"/>
      <c r="AT1521" s="23">
        <v>0.0</v>
      </c>
      <c r="AU1521" s="16"/>
      <c r="AV1521" s="23"/>
      <c r="AW1521" s="23"/>
      <c r="AX1521" s="23">
        <v>0.0</v>
      </c>
      <c r="AY1521" s="16"/>
      <c r="AZ1521" s="23"/>
      <c r="BA1521" s="23"/>
      <c r="BB1521" s="23"/>
      <c r="BC1521" s="16"/>
      <c r="BD1521" s="23"/>
      <c r="BE1521" s="23"/>
      <c r="BF1521" s="23">
        <v>0.0</v>
      </c>
      <c r="BG1521" s="16"/>
      <c r="BH1521" s="23"/>
      <c r="BI1521" s="23"/>
      <c r="BJ1521" s="23">
        <v>0.0</v>
      </c>
      <c r="BN1521" s="23">
        <v>0.0</v>
      </c>
      <c r="BO1521" s="23">
        <v>5708.16</v>
      </c>
      <c r="BP1521" s="16" t="s">
        <v>9567</v>
      </c>
      <c r="BQ1521" s="16" t="b">
        <v>1</v>
      </c>
      <c r="BR1521" s="23">
        <v>5708.16</v>
      </c>
      <c r="BS1521" s="16"/>
      <c r="BT1521" s="16" t="b">
        <v>0</v>
      </c>
      <c r="BU1521" s="16" t="s">
        <v>546</v>
      </c>
      <c r="BV1521" s="16"/>
      <c r="BW1521" s="16" t="s">
        <v>9571</v>
      </c>
      <c r="BX1521" s="16"/>
      <c r="BY1521" s="16"/>
    </row>
    <row r="1522">
      <c r="A1522" s="16" t="s">
        <v>8277</v>
      </c>
      <c r="B1522" s="16" t="s">
        <v>35</v>
      </c>
      <c r="C1522" s="22">
        <v>45945.0</v>
      </c>
      <c r="D1522" s="16" t="s">
        <v>890</v>
      </c>
      <c r="E1522" s="16" t="s">
        <v>9577</v>
      </c>
      <c r="F1522" s="16" t="s">
        <v>9579</v>
      </c>
      <c r="G1522" s="16" t="s">
        <v>5720</v>
      </c>
      <c r="H1522" s="16">
        <v>1.0</v>
      </c>
      <c r="I1522" s="23">
        <v>1045.83</v>
      </c>
      <c r="J1522" s="23">
        <v>1045.83</v>
      </c>
      <c r="K1522" s="16"/>
      <c r="L1522" s="23"/>
      <c r="M1522" s="23"/>
      <c r="N1522" s="23">
        <v>0.0</v>
      </c>
      <c r="O1522" s="16"/>
      <c r="P1522" s="23"/>
      <c r="Q1522" s="23"/>
      <c r="R1522" s="23">
        <v>0.0</v>
      </c>
      <c r="S1522" s="16"/>
      <c r="T1522" s="23"/>
      <c r="U1522" s="23"/>
      <c r="V1522" s="23">
        <v>0.0</v>
      </c>
      <c r="W1522" s="16"/>
      <c r="X1522" s="23"/>
      <c r="Y1522" s="23"/>
      <c r="Z1522" s="23">
        <v>0.0</v>
      </c>
      <c r="AA1522" s="16"/>
      <c r="AB1522" s="23"/>
      <c r="AC1522" s="23"/>
      <c r="AD1522" s="23">
        <v>0.0</v>
      </c>
      <c r="AE1522" s="16"/>
      <c r="AF1522" s="23"/>
      <c r="AG1522" s="23"/>
      <c r="AH1522" s="23">
        <v>0.0</v>
      </c>
      <c r="AI1522" s="16"/>
      <c r="AJ1522" s="23"/>
      <c r="AK1522" s="23"/>
      <c r="AL1522" s="23">
        <v>0.0</v>
      </c>
      <c r="AM1522" s="16"/>
      <c r="AN1522" s="23"/>
      <c r="AO1522" s="23"/>
      <c r="AP1522" s="23">
        <v>0.0</v>
      </c>
      <c r="AQ1522" s="16"/>
      <c r="AR1522" s="23"/>
      <c r="AS1522" s="23"/>
      <c r="AT1522" s="23">
        <v>0.0</v>
      </c>
      <c r="AU1522" s="16"/>
      <c r="AV1522" s="23"/>
      <c r="AW1522" s="23"/>
      <c r="AX1522" s="23">
        <v>0.0</v>
      </c>
      <c r="AY1522" s="16"/>
      <c r="AZ1522" s="23"/>
      <c r="BA1522" s="23"/>
      <c r="BB1522" s="23"/>
      <c r="BC1522" s="16"/>
      <c r="BD1522" s="23"/>
      <c r="BE1522" s="23"/>
      <c r="BF1522" s="23">
        <v>0.0</v>
      </c>
      <c r="BG1522" s="16"/>
      <c r="BH1522" s="23"/>
      <c r="BI1522" s="23"/>
      <c r="BJ1522" s="23">
        <v>0.0</v>
      </c>
      <c r="BN1522" s="23">
        <v>0.0</v>
      </c>
      <c r="BO1522" s="23">
        <v>1045.83</v>
      </c>
      <c r="BP1522" s="16" t="s">
        <v>9578</v>
      </c>
      <c r="BQ1522" s="16" t="b">
        <v>1</v>
      </c>
      <c r="BR1522" s="23">
        <v>1045.83</v>
      </c>
      <c r="BS1522" s="16"/>
      <c r="BT1522" s="16" t="b">
        <v>0</v>
      </c>
      <c r="BU1522" s="16" t="s">
        <v>546</v>
      </c>
      <c r="BV1522" s="16"/>
      <c r="BW1522" s="16"/>
      <c r="BX1522" s="16"/>
      <c r="BY1522" s="16"/>
    </row>
    <row r="1523">
      <c r="A1523" s="16" t="s">
        <v>8279</v>
      </c>
      <c r="B1523" s="16" t="s">
        <v>35</v>
      </c>
      <c r="C1523" s="22">
        <v>45946.0</v>
      </c>
      <c r="D1523" s="16" t="s">
        <v>764</v>
      </c>
      <c r="E1523" s="16" t="s">
        <v>9588</v>
      </c>
      <c r="F1523" s="16" t="s">
        <v>195</v>
      </c>
      <c r="G1523" s="16" t="s">
        <v>1073</v>
      </c>
      <c r="H1523" s="16">
        <v>1.0</v>
      </c>
      <c r="I1523" s="23">
        <v>21.0</v>
      </c>
      <c r="J1523" s="23">
        <v>21.0</v>
      </c>
      <c r="K1523" s="16" t="s">
        <v>1074</v>
      </c>
      <c r="L1523" s="23">
        <v>3.0</v>
      </c>
      <c r="M1523" s="23">
        <v>40.0</v>
      </c>
      <c r="N1523" s="23">
        <v>120.0</v>
      </c>
      <c r="O1523" s="16" t="s">
        <v>1075</v>
      </c>
      <c r="P1523" s="23">
        <v>3.0</v>
      </c>
      <c r="Q1523" s="23">
        <v>20.0</v>
      </c>
      <c r="R1523" s="23">
        <v>60.0</v>
      </c>
      <c r="S1523" s="16" t="s">
        <v>1079</v>
      </c>
      <c r="T1523" s="23">
        <v>20.0</v>
      </c>
      <c r="U1523" s="23">
        <v>18.0</v>
      </c>
      <c r="V1523" s="23">
        <v>360.0</v>
      </c>
      <c r="W1523" s="16" t="s">
        <v>1081</v>
      </c>
      <c r="X1523" s="23">
        <v>3.0</v>
      </c>
      <c r="Y1523" s="23">
        <v>48.0</v>
      </c>
      <c r="Z1523" s="23">
        <v>144.0</v>
      </c>
      <c r="AA1523" s="16">
        <v>7.5375964E7</v>
      </c>
      <c r="AB1523" s="23">
        <v>2.0</v>
      </c>
      <c r="AC1523" s="23">
        <v>40.2</v>
      </c>
      <c r="AD1523" s="23">
        <v>80.4</v>
      </c>
      <c r="AE1523" s="16" t="s">
        <v>1081</v>
      </c>
      <c r="AF1523" s="23">
        <v>3.0</v>
      </c>
      <c r="AG1523" s="23">
        <v>48.0</v>
      </c>
      <c r="AH1523" s="23">
        <v>144.0</v>
      </c>
      <c r="AI1523" s="16"/>
      <c r="AJ1523" s="23"/>
      <c r="AK1523" s="23"/>
      <c r="AL1523" s="23">
        <v>0.0</v>
      </c>
      <c r="AM1523" s="16"/>
      <c r="AN1523" s="23"/>
      <c r="AO1523" s="23"/>
      <c r="AP1523" s="23">
        <v>0.0</v>
      </c>
      <c r="AQ1523" s="16"/>
      <c r="AR1523" s="23"/>
      <c r="AS1523" s="23"/>
      <c r="AT1523" s="23">
        <v>0.0</v>
      </c>
      <c r="AU1523" s="16"/>
      <c r="AV1523" s="23"/>
      <c r="AW1523" s="23"/>
      <c r="AX1523" s="23">
        <v>0.0</v>
      </c>
      <c r="AY1523" s="16"/>
      <c r="AZ1523" s="23"/>
      <c r="BA1523" s="23"/>
      <c r="BB1523" s="23"/>
      <c r="BC1523" s="16"/>
      <c r="BD1523" s="23"/>
      <c r="BE1523" s="23"/>
      <c r="BF1523" s="23">
        <v>0.0</v>
      </c>
      <c r="BG1523" s="16"/>
      <c r="BH1523" s="23"/>
      <c r="BI1523" s="23"/>
      <c r="BJ1523" s="23">
        <v>0.0</v>
      </c>
      <c r="BN1523" s="23">
        <v>0.0</v>
      </c>
      <c r="BO1523" s="23">
        <v>929.4</v>
      </c>
      <c r="BP1523" s="16" t="s">
        <v>9592</v>
      </c>
      <c r="BQ1523" s="16" t="b">
        <v>1</v>
      </c>
      <c r="BR1523" s="23">
        <v>929.4</v>
      </c>
      <c r="BS1523" s="16"/>
      <c r="BT1523" s="16" t="b">
        <v>0</v>
      </c>
      <c r="BU1523" s="16" t="s">
        <v>546</v>
      </c>
      <c r="BV1523" s="16"/>
      <c r="BW1523" s="16" t="s">
        <v>9596</v>
      </c>
      <c r="BX1523" s="16"/>
      <c r="BY1523" s="16"/>
    </row>
    <row r="1524">
      <c r="A1524" s="16" t="s">
        <v>8292</v>
      </c>
      <c r="B1524" s="16" t="s">
        <v>35</v>
      </c>
      <c r="C1524" s="22">
        <v>45947.0</v>
      </c>
      <c r="D1524" s="16" t="s">
        <v>112</v>
      </c>
      <c r="E1524" s="16" t="s">
        <v>9600</v>
      </c>
      <c r="F1524" s="16" t="s">
        <v>5545</v>
      </c>
      <c r="G1524" s="16" t="s">
        <v>159</v>
      </c>
      <c r="H1524" s="16">
        <v>10.0</v>
      </c>
      <c r="I1524" s="23">
        <v>20.0</v>
      </c>
      <c r="J1524" s="23">
        <v>200.0</v>
      </c>
      <c r="K1524" s="16" t="s">
        <v>155</v>
      </c>
      <c r="L1524" s="23">
        <v>1.0</v>
      </c>
      <c r="M1524" s="23">
        <v>40.34</v>
      </c>
      <c r="N1524" s="23">
        <v>40.34</v>
      </c>
      <c r="O1524" s="16" t="s">
        <v>152</v>
      </c>
      <c r="P1524" s="23">
        <v>1.0</v>
      </c>
      <c r="Q1524" s="23">
        <v>20.24</v>
      </c>
      <c r="R1524" s="23">
        <v>20.24</v>
      </c>
      <c r="S1524" s="16" t="s">
        <v>226</v>
      </c>
      <c r="T1524" s="23">
        <v>1.0</v>
      </c>
      <c r="U1524" s="23">
        <v>63.0</v>
      </c>
      <c r="V1524" s="23">
        <v>63.0</v>
      </c>
      <c r="W1524" s="16"/>
      <c r="X1524" s="23"/>
      <c r="Y1524" s="23"/>
      <c r="Z1524" s="23">
        <v>0.0</v>
      </c>
      <c r="AA1524" s="16"/>
      <c r="AB1524" s="23"/>
      <c r="AC1524" s="23"/>
      <c r="AD1524" s="23">
        <v>0.0</v>
      </c>
      <c r="AE1524" s="16"/>
      <c r="AF1524" s="23"/>
      <c r="AG1524" s="23"/>
      <c r="AH1524" s="23">
        <v>0.0</v>
      </c>
      <c r="AI1524" s="16"/>
      <c r="AJ1524" s="23"/>
      <c r="AK1524" s="23"/>
      <c r="AL1524" s="23">
        <v>0.0</v>
      </c>
      <c r="AM1524" s="16"/>
      <c r="AN1524" s="23"/>
      <c r="AO1524" s="23"/>
      <c r="AP1524" s="23">
        <v>0.0</v>
      </c>
      <c r="AQ1524" s="16"/>
      <c r="AR1524" s="23"/>
      <c r="AS1524" s="23"/>
      <c r="AT1524" s="23">
        <v>0.0</v>
      </c>
      <c r="AU1524" s="16"/>
      <c r="AV1524" s="23"/>
      <c r="AW1524" s="23"/>
      <c r="AX1524" s="23">
        <v>0.0</v>
      </c>
      <c r="AY1524" s="16"/>
      <c r="AZ1524" s="23"/>
      <c r="BA1524" s="23"/>
      <c r="BB1524" s="23"/>
      <c r="BC1524" s="16"/>
      <c r="BD1524" s="23"/>
      <c r="BE1524" s="23"/>
      <c r="BF1524" s="23">
        <v>0.0</v>
      </c>
      <c r="BG1524" s="16"/>
      <c r="BH1524" s="23"/>
      <c r="BI1524" s="23"/>
      <c r="BJ1524" s="23">
        <v>0.0</v>
      </c>
      <c r="BN1524" s="23">
        <v>0.0</v>
      </c>
      <c r="BO1524" s="23">
        <v>323.58</v>
      </c>
      <c r="BP1524" s="16" t="s">
        <v>9601</v>
      </c>
      <c r="BQ1524" s="16" t="b">
        <v>1</v>
      </c>
      <c r="BR1524" s="23">
        <v>323.58</v>
      </c>
      <c r="BS1524" s="16"/>
      <c r="BT1524" s="16" t="b">
        <v>0</v>
      </c>
      <c r="BU1524" s="16" t="s">
        <v>546</v>
      </c>
      <c r="BV1524" s="16"/>
      <c r="BW1524" s="16"/>
      <c r="BX1524" s="16"/>
      <c r="BY1524" s="16"/>
    </row>
    <row r="1525">
      <c r="A1525" s="16" t="s">
        <v>8299</v>
      </c>
      <c r="B1525" s="16" t="s">
        <v>35</v>
      </c>
      <c r="C1525" s="22">
        <v>45947.0</v>
      </c>
      <c r="D1525" s="16" t="s">
        <v>543</v>
      </c>
      <c r="E1525" s="16" t="s">
        <v>9608</v>
      </c>
      <c r="F1525" s="16" t="s">
        <v>171</v>
      </c>
      <c r="G1525" s="16">
        <v>1.2539885E7</v>
      </c>
      <c r="H1525" s="16">
        <v>1.0</v>
      </c>
      <c r="I1525" s="23">
        <v>225.0</v>
      </c>
      <c r="J1525" s="23">
        <v>225.0</v>
      </c>
      <c r="K1525" s="16"/>
      <c r="L1525" s="23"/>
      <c r="M1525" s="23"/>
      <c r="N1525" s="23">
        <v>0.0</v>
      </c>
      <c r="O1525" s="16"/>
      <c r="P1525" s="23"/>
      <c r="Q1525" s="23"/>
      <c r="R1525" s="23">
        <v>0.0</v>
      </c>
      <c r="S1525" s="16"/>
      <c r="T1525" s="23"/>
      <c r="U1525" s="23"/>
      <c r="V1525" s="23">
        <v>0.0</v>
      </c>
      <c r="W1525" s="16"/>
      <c r="X1525" s="23"/>
      <c r="Y1525" s="23"/>
      <c r="Z1525" s="23">
        <v>0.0</v>
      </c>
      <c r="AA1525" s="16"/>
      <c r="AB1525" s="23"/>
      <c r="AC1525" s="23"/>
      <c r="AD1525" s="23">
        <v>0.0</v>
      </c>
      <c r="AE1525" s="16"/>
      <c r="AF1525" s="23"/>
      <c r="AG1525" s="23"/>
      <c r="AH1525" s="23">
        <v>0.0</v>
      </c>
      <c r="AI1525" s="16"/>
      <c r="AJ1525" s="23"/>
      <c r="AK1525" s="23"/>
      <c r="AL1525" s="23">
        <v>0.0</v>
      </c>
      <c r="AM1525" s="16"/>
      <c r="AN1525" s="23"/>
      <c r="AO1525" s="23"/>
      <c r="AP1525" s="23">
        <v>0.0</v>
      </c>
      <c r="AQ1525" s="16"/>
      <c r="AR1525" s="23"/>
      <c r="AS1525" s="23"/>
      <c r="AT1525" s="23">
        <v>0.0</v>
      </c>
      <c r="AU1525" s="16"/>
      <c r="AV1525" s="23"/>
      <c r="AW1525" s="23"/>
      <c r="AX1525" s="23">
        <v>0.0</v>
      </c>
      <c r="AY1525" s="16"/>
      <c r="AZ1525" s="23"/>
      <c r="BA1525" s="23"/>
      <c r="BB1525" s="23"/>
      <c r="BC1525" s="16"/>
      <c r="BD1525" s="23"/>
      <c r="BE1525" s="23"/>
      <c r="BF1525" s="23">
        <v>0.0</v>
      </c>
      <c r="BG1525" s="16"/>
      <c r="BH1525" s="23"/>
      <c r="BI1525" s="23"/>
      <c r="BJ1525" s="23">
        <v>0.0</v>
      </c>
      <c r="BN1525" s="23">
        <v>0.0</v>
      </c>
      <c r="BO1525" s="23">
        <v>225.0</v>
      </c>
      <c r="BP1525" s="16" t="s">
        <v>9610</v>
      </c>
      <c r="BQ1525" s="16" t="b">
        <v>1</v>
      </c>
      <c r="BR1525" s="23">
        <v>225.0</v>
      </c>
      <c r="BS1525" s="16"/>
      <c r="BT1525" s="16" t="b">
        <v>0</v>
      </c>
      <c r="BU1525" s="16" t="s">
        <v>546</v>
      </c>
      <c r="BV1525" s="16"/>
      <c r="BW1525" s="16"/>
      <c r="BX1525" s="16"/>
      <c r="BY1525" s="16"/>
    </row>
    <row r="1526">
      <c r="A1526" s="16" t="s">
        <v>8301</v>
      </c>
      <c r="B1526" s="16" t="s">
        <v>35</v>
      </c>
      <c r="C1526" s="22">
        <v>45944.0</v>
      </c>
      <c r="D1526" s="16" t="s">
        <v>193</v>
      </c>
      <c r="E1526" s="16" t="s">
        <v>9617</v>
      </c>
      <c r="F1526" s="16" t="s">
        <v>195</v>
      </c>
      <c r="G1526" s="16" t="s">
        <v>7086</v>
      </c>
      <c r="H1526" s="16">
        <v>1.0</v>
      </c>
      <c r="I1526" s="23">
        <v>3.08</v>
      </c>
      <c r="J1526" s="23">
        <v>3.08</v>
      </c>
      <c r="K1526" s="16" t="s">
        <v>1777</v>
      </c>
      <c r="L1526" s="23">
        <v>2.0</v>
      </c>
      <c r="M1526" s="23">
        <v>33.0</v>
      </c>
      <c r="N1526" s="23">
        <v>66.0</v>
      </c>
      <c r="O1526" s="16" t="s">
        <v>338</v>
      </c>
      <c r="P1526" s="23">
        <v>1.0</v>
      </c>
      <c r="Q1526" s="23">
        <v>29.16</v>
      </c>
      <c r="R1526" s="23">
        <v>29.16</v>
      </c>
      <c r="S1526" s="16" t="s">
        <v>338</v>
      </c>
      <c r="T1526" s="23">
        <v>1.0</v>
      </c>
      <c r="U1526" s="23">
        <v>60.72</v>
      </c>
      <c r="V1526" s="23">
        <v>60.72</v>
      </c>
      <c r="W1526" s="16" t="s">
        <v>335</v>
      </c>
      <c r="X1526" s="23">
        <v>2.0</v>
      </c>
      <c r="Y1526" s="23">
        <v>47.04</v>
      </c>
      <c r="Z1526" s="23">
        <v>94.08</v>
      </c>
      <c r="AA1526" s="16" t="s">
        <v>7086</v>
      </c>
      <c r="AB1526" s="23">
        <v>5.0</v>
      </c>
      <c r="AC1526" s="23">
        <v>33.0</v>
      </c>
      <c r="AD1526" s="23">
        <v>165.0</v>
      </c>
      <c r="AE1526" s="16" t="s">
        <v>1777</v>
      </c>
      <c r="AF1526" s="23">
        <v>2.0</v>
      </c>
      <c r="AG1526" s="23">
        <v>33.0</v>
      </c>
      <c r="AH1526" s="23">
        <v>66.0</v>
      </c>
      <c r="AI1526" s="16" t="s">
        <v>335</v>
      </c>
      <c r="AJ1526" s="23">
        <v>1.0</v>
      </c>
      <c r="AK1526" s="23">
        <v>89.61</v>
      </c>
      <c r="AL1526" s="23">
        <v>89.61</v>
      </c>
      <c r="AM1526" s="16" t="s">
        <v>338</v>
      </c>
      <c r="AN1526" s="23">
        <v>1.0</v>
      </c>
      <c r="AO1526" s="23">
        <v>25.56</v>
      </c>
      <c r="AP1526" s="23">
        <v>25.56</v>
      </c>
      <c r="AQ1526" s="16"/>
      <c r="AR1526" s="23"/>
      <c r="AS1526" s="23"/>
      <c r="AT1526" s="23">
        <v>0.0</v>
      </c>
      <c r="AU1526" s="16"/>
      <c r="AV1526" s="23"/>
      <c r="AW1526" s="23"/>
      <c r="AX1526" s="23">
        <v>0.0</v>
      </c>
      <c r="AY1526" s="16"/>
      <c r="AZ1526" s="23"/>
      <c r="BA1526" s="23"/>
      <c r="BB1526" s="23"/>
      <c r="BC1526" s="16"/>
      <c r="BD1526" s="23"/>
      <c r="BE1526" s="23"/>
      <c r="BF1526" s="23">
        <v>0.0</v>
      </c>
      <c r="BG1526" s="16"/>
      <c r="BH1526" s="23"/>
      <c r="BI1526" s="23"/>
      <c r="BJ1526" s="23">
        <v>0.0</v>
      </c>
      <c r="BN1526" s="23">
        <v>0.0</v>
      </c>
      <c r="BO1526" s="23">
        <v>599.21</v>
      </c>
      <c r="BP1526" s="16" t="s">
        <v>9618</v>
      </c>
      <c r="BQ1526" s="16" t="b">
        <v>1</v>
      </c>
      <c r="BR1526" s="23">
        <v>599.21</v>
      </c>
      <c r="BS1526" s="16"/>
      <c r="BT1526" s="16" t="b">
        <v>0</v>
      </c>
      <c r="BU1526" s="16" t="s">
        <v>546</v>
      </c>
      <c r="BV1526" s="16"/>
      <c r="BW1526" s="16" t="s">
        <v>9621</v>
      </c>
      <c r="BX1526" s="16" t="s">
        <v>9622</v>
      </c>
      <c r="BY1526" s="16"/>
    </row>
    <row r="1527">
      <c r="A1527" s="16" t="s">
        <v>9625</v>
      </c>
      <c r="B1527" s="16" t="s">
        <v>35</v>
      </c>
      <c r="C1527" s="20">
        <v>45920.0</v>
      </c>
      <c r="D1527" s="16" t="s">
        <v>7095</v>
      </c>
      <c r="E1527" s="16" t="s">
        <v>9628</v>
      </c>
      <c r="F1527" s="16" t="s">
        <v>195</v>
      </c>
      <c r="G1527" s="16"/>
      <c r="H1527" s="16"/>
      <c r="I1527" s="16"/>
      <c r="J1527" s="16"/>
      <c r="K1527" s="16"/>
      <c r="L1527" s="16"/>
      <c r="M1527" s="16"/>
      <c r="N1527" s="16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16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16"/>
      <c r="AP1527" s="16"/>
      <c r="AQ1527" s="16"/>
      <c r="AR1527" s="16"/>
      <c r="AS1527" s="16"/>
      <c r="AT1527" s="16"/>
      <c r="AU1527" s="16"/>
      <c r="AV1527" s="16"/>
      <c r="AW1527" s="16"/>
      <c r="AX1527" s="16"/>
      <c r="AY1527" s="16"/>
      <c r="AZ1527" s="16"/>
      <c r="BA1527" s="16"/>
      <c r="BB1527" s="16"/>
      <c r="BF1527" s="16"/>
      <c r="BJ1527" s="16"/>
      <c r="BN1527" s="16"/>
      <c r="BO1527" s="16"/>
      <c r="BP1527" s="16" t="s">
        <v>9629</v>
      </c>
      <c r="BQ1527" s="16" t="b">
        <v>0</v>
      </c>
      <c r="BR1527" s="16"/>
      <c r="BS1527" s="16"/>
      <c r="BT1527" s="16" t="b">
        <v>0</v>
      </c>
      <c r="BU1527" s="16" t="s">
        <v>11118</v>
      </c>
      <c r="BV1527" s="16"/>
      <c r="BW1527" s="16"/>
      <c r="BX1527" s="16"/>
      <c r="BY1527" s="16"/>
    </row>
    <row r="1528">
      <c r="A1528" s="16" t="s">
        <v>8316</v>
      </c>
      <c r="B1528" s="16" t="s">
        <v>35</v>
      </c>
      <c r="C1528" s="201">
        <v>45946.0</v>
      </c>
      <c r="D1528" s="16" t="s">
        <v>3427</v>
      </c>
      <c r="E1528" s="16" t="s">
        <v>9638</v>
      </c>
      <c r="F1528" s="16" t="s">
        <v>7340</v>
      </c>
      <c r="G1528" s="16" t="s">
        <v>6931</v>
      </c>
      <c r="H1528" s="16">
        <v>1.0</v>
      </c>
      <c r="I1528" s="16">
        <v>1280.8</v>
      </c>
      <c r="J1528" s="16">
        <v>1280.8</v>
      </c>
      <c r="K1528" s="16" t="s">
        <v>4874</v>
      </c>
      <c r="L1528" s="16">
        <v>1.0</v>
      </c>
      <c r="M1528" s="16">
        <v>558.0</v>
      </c>
      <c r="N1528" s="16">
        <v>558.0</v>
      </c>
      <c r="O1528" s="16" t="s">
        <v>1394</v>
      </c>
      <c r="P1528" s="16">
        <v>1.0</v>
      </c>
      <c r="Q1528" s="16">
        <v>83.0</v>
      </c>
      <c r="R1528" s="16">
        <v>83.0</v>
      </c>
      <c r="S1528" s="16"/>
      <c r="T1528" s="16"/>
      <c r="U1528" s="16"/>
      <c r="V1528" s="16">
        <v>0.0</v>
      </c>
      <c r="W1528" s="16"/>
      <c r="X1528" s="16"/>
      <c r="Y1528" s="16"/>
      <c r="Z1528" s="16">
        <v>0.0</v>
      </c>
      <c r="AA1528" s="16"/>
      <c r="AB1528" s="16"/>
      <c r="AC1528" s="16"/>
      <c r="AD1528" s="16">
        <v>0.0</v>
      </c>
      <c r="AE1528" s="16"/>
      <c r="AF1528" s="16"/>
      <c r="AG1528" s="16"/>
      <c r="AH1528" s="16">
        <v>0.0</v>
      </c>
      <c r="AI1528" s="16"/>
      <c r="AJ1528" s="16"/>
      <c r="AK1528" s="16"/>
      <c r="AL1528" s="16">
        <v>0.0</v>
      </c>
      <c r="AM1528" s="16"/>
      <c r="AN1528" s="16"/>
      <c r="AO1528" s="16"/>
      <c r="AP1528" s="16">
        <v>0.0</v>
      </c>
      <c r="AQ1528" s="16"/>
      <c r="AR1528" s="16"/>
      <c r="AS1528" s="16"/>
      <c r="AT1528" s="16">
        <v>0.0</v>
      </c>
      <c r="AU1528" s="16"/>
      <c r="AV1528" s="16"/>
      <c r="AW1528" s="16"/>
      <c r="AX1528" s="16">
        <v>0.0</v>
      </c>
      <c r="AY1528" s="16"/>
      <c r="AZ1528" s="16"/>
      <c r="BA1528" s="16"/>
      <c r="BB1528" s="16"/>
      <c r="BC1528" s="16"/>
      <c r="BD1528" s="16"/>
      <c r="BE1528" s="16"/>
      <c r="BF1528" s="16">
        <v>0.0</v>
      </c>
      <c r="BG1528" s="16"/>
      <c r="BH1528" s="16"/>
      <c r="BI1528" s="16"/>
      <c r="BJ1528" s="16">
        <v>0.0</v>
      </c>
      <c r="BN1528" s="16">
        <v>0.0</v>
      </c>
      <c r="BO1528" s="16">
        <v>1921.8</v>
      </c>
      <c r="BP1528" s="16" t="s">
        <v>9639</v>
      </c>
      <c r="BQ1528" s="16" t="b">
        <v>1</v>
      </c>
      <c r="BR1528" s="16">
        <v>2045.47</v>
      </c>
      <c r="BS1528" s="16"/>
      <c r="BT1528" s="16" t="b">
        <v>0</v>
      </c>
      <c r="BU1528" s="16" t="s">
        <v>546</v>
      </c>
      <c r="BV1528" s="16"/>
      <c r="BW1528" s="16"/>
      <c r="BX1528" s="16"/>
      <c r="BY1528" s="16"/>
    </row>
    <row r="1529">
      <c r="A1529" s="16" t="s">
        <v>8323</v>
      </c>
      <c r="B1529" s="16" t="s">
        <v>35</v>
      </c>
      <c r="C1529" s="201">
        <v>45953.0</v>
      </c>
      <c r="D1529" s="16" t="s">
        <v>764</v>
      </c>
      <c r="E1529" s="16" t="s">
        <v>9647</v>
      </c>
      <c r="F1529" s="16" t="s">
        <v>195</v>
      </c>
      <c r="G1529" s="16" t="s">
        <v>1073</v>
      </c>
      <c r="H1529" s="16">
        <v>1.0</v>
      </c>
      <c r="I1529" s="16">
        <v>21.0</v>
      </c>
      <c r="J1529" s="16">
        <v>21.0</v>
      </c>
      <c r="K1529" s="21" t="s">
        <v>10459</v>
      </c>
      <c r="L1529" s="16">
        <v>1.0</v>
      </c>
      <c r="M1529" s="16">
        <v>19.8</v>
      </c>
      <c r="N1529" s="16">
        <v>19.8</v>
      </c>
      <c r="O1529" s="16" t="s">
        <v>1074</v>
      </c>
      <c r="P1529" s="16">
        <v>4.0</v>
      </c>
      <c r="Q1529" s="16">
        <v>38.0</v>
      </c>
      <c r="R1529" s="16">
        <v>152.0</v>
      </c>
      <c r="S1529" s="16" t="s">
        <v>1075</v>
      </c>
      <c r="T1529" s="16">
        <v>4.0</v>
      </c>
      <c r="U1529" s="16">
        <v>19.0</v>
      </c>
      <c r="V1529" s="16">
        <v>76.0</v>
      </c>
      <c r="W1529" s="16" t="s">
        <v>1081</v>
      </c>
      <c r="X1529" s="16">
        <v>1.0</v>
      </c>
      <c r="Y1529" s="16">
        <v>48.0</v>
      </c>
      <c r="Z1529" s="16">
        <v>48.0</v>
      </c>
      <c r="AA1529" s="16" t="s">
        <v>1081</v>
      </c>
      <c r="AB1529" s="16">
        <v>2.0</v>
      </c>
      <c r="AC1529" s="16">
        <v>47.0</v>
      </c>
      <c r="AD1529" s="16">
        <v>94.0</v>
      </c>
      <c r="AE1529" s="16"/>
      <c r="AF1529" s="16"/>
      <c r="AG1529" s="16"/>
      <c r="AH1529" s="16">
        <v>0.0</v>
      </c>
      <c r="AI1529" s="16"/>
      <c r="AJ1529" s="16"/>
      <c r="AK1529" s="16"/>
      <c r="AL1529" s="16">
        <v>0.0</v>
      </c>
      <c r="AM1529" s="16"/>
      <c r="AN1529" s="16"/>
      <c r="AO1529" s="16"/>
      <c r="AP1529" s="16">
        <v>0.0</v>
      </c>
      <c r="AQ1529" s="16"/>
      <c r="AR1529" s="16"/>
      <c r="AS1529" s="16"/>
      <c r="AT1529" s="16">
        <v>0.0</v>
      </c>
      <c r="AU1529" s="16"/>
      <c r="AV1529" s="16"/>
      <c r="AW1529" s="16"/>
      <c r="AX1529" s="16">
        <v>0.0</v>
      </c>
      <c r="AY1529" s="16"/>
      <c r="AZ1529" s="16"/>
      <c r="BA1529" s="16"/>
      <c r="BB1529" s="16"/>
      <c r="BC1529" s="16"/>
      <c r="BD1529" s="16"/>
      <c r="BE1529" s="16"/>
      <c r="BF1529" s="16">
        <v>0.0</v>
      </c>
      <c r="BG1529" s="16"/>
      <c r="BH1529" s="16"/>
      <c r="BI1529" s="16"/>
      <c r="BJ1529" s="16">
        <v>0.0</v>
      </c>
      <c r="BN1529" s="16">
        <v>0.0</v>
      </c>
      <c r="BO1529" s="16">
        <v>410.8</v>
      </c>
      <c r="BP1529" s="16" t="s">
        <v>9649</v>
      </c>
      <c r="BQ1529" s="16" t="b">
        <v>1</v>
      </c>
      <c r="BR1529" s="16">
        <v>410.8</v>
      </c>
      <c r="BS1529" s="16"/>
      <c r="BT1529" s="16" t="b">
        <v>0</v>
      </c>
      <c r="BU1529" s="16" t="s">
        <v>546</v>
      </c>
      <c r="BV1529" s="16"/>
      <c r="BW1529" s="16"/>
      <c r="BX1529" s="16"/>
      <c r="BY1529" s="16"/>
    </row>
    <row r="1530">
      <c r="A1530" s="16" t="s">
        <v>8332</v>
      </c>
      <c r="B1530" s="16" t="s">
        <v>35</v>
      </c>
      <c r="C1530" s="201">
        <v>45953.0</v>
      </c>
      <c r="D1530" s="16" t="s">
        <v>420</v>
      </c>
      <c r="E1530" s="16" t="s">
        <v>9655</v>
      </c>
      <c r="F1530" s="16" t="s">
        <v>6054</v>
      </c>
      <c r="G1530" s="16" t="s">
        <v>794</v>
      </c>
      <c r="H1530" s="16">
        <v>1.0</v>
      </c>
      <c r="I1530" s="16">
        <v>2121.22</v>
      </c>
      <c r="J1530" s="16">
        <v>2121.22</v>
      </c>
      <c r="K1530" s="16"/>
      <c r="L1530" s="16"/>
      <c r="M1530" s="16"/>
      <c r="N1530" s="16">
        <v>0.0</v>
      </c>
      <c r="O1530" s="16"/>
      <c r="P1530" s="16"/>
      <c r="Q1530" s="16"/>
      <c r="R1530" s="16">
        <v>0.0</v>
      </c>
      <c r="S1530" s="16"/>
      <c r="T1530" s="16"/>
      <c r="U1530" s="16"/>
      <c r="V1530" s="16">
        <v>0.0</v>
      </c>
      <c r="W1530" s="16"/>
      <c r="X1530" s="16"/>
      <c r="Y1530" s="16"/>
      <c r="Z1530" s="16">
        <v>0.0</v>
      </c>
      <c r="AA1530" s="16"/>
      <c r="AB1530" s="16"/>
      <c r="AC1530" s="16"/>
      <c r="AD1530" s="16">
        <v>0.0</v>
      </c>
      <c r="AE1530" s="16"/>
      <c r="AF1530" s="16"/>
      <c r="AG1530" s="16"/>
      <c r="AH1530" s="16">
        <v>0.0</v>
      </c>
      <c r="AI1530" s="16"/>
      <c r="AJ1530" s="16"/>
      <c r="AK1530" s="16"/>
      <c r="AL1530" s="16">
        <v>0.0</v>
      </c>
      <c r="AM1530" s="16"/>
      <c r="AN1530" s="16"/>
      <c r="AO1530" s="16"/>
      <c r="AP1530" s="16">
        <v>0.0</v>
      </c>
      <c r="AQ1530" s="16"/>
      <c r="AR1530" s="16"/>
      <c r="AS1530" s="16"/>
      <c r="AT1530" s="16">
        <v>0.0</v>
      </c>
      <c r="AU1530" s="16"/>
      <c r="AV1530" s="16"/>
      <c r="AW1530" s="16"/>
      <c r="AX1530" s="16">
        <v>0.0</v>
      </c>
      <c r="AY1530" s="16"/>
      <c r="AZ1530" s="16"/>
      <c r="BA1530" s="16"/>
      <c r="BB1530" s="16"/>
      <c r="BC1530" s="16"/>
      <c r="BD1530" s="16"/>
      <c r="BE1530" s="16"/>
      <c r="BF1530" s="16">
        <v>0.0</v>
      </c>
      <c r="BG1530" s="16"/>
      <c r="BH1530" s="16"/>
      <c r="BI1530" s="16"/>
      <c r="BJ1530" s="16">
        <v>0.0</v>
      </c>
      <c r="BN1530" s="16">
        <v>0.0</v>
      </c>
      <c r="BO1530" s="16">
        <v>2121.22</v>
      </c>
      <c r="BP1530" s="16" t="s">
        <v>9657</v>
      </c>
      <c r="BQ1530" s="16" t="b">
        <v>1</v>
      </c>
      <c r="BR1530" s="16">
        <v>2121.22</v>
      </c>
      <c r="BS1530" s="16"/>
      <c r="BT1530" s="16" t="b">
        <v>0</v>
      </c>
      <c r="BU1530" s="16" t="s">
        <v>546</v>
      </c>
      <c r="BV1530" s="16"/>
      <c r="BW1530" s="16"/>
      <c r="BX1530" s="16"/>
      <c r="BY1530" s="16"/>
    </row>
    <row r="1531">
      <c r="A1531" s="16" t="s">
        <v>8335</v>
      </c>
      <c r="B1531" s="16" t="s">
        <v>35</v>
      </c>
      <c r="C1531" s="201">
        <v>45954.0</v>
      </c>
      <c r="D1531" s="16" t="s">
        <v>112</v>
      </c>
      <c r="E1531" s="16" t="s">
        <v>9661</v>
      </c>
      <c r="F1531" s="16" t="s">
        <v>157</v>
      </c>
      <c r="G1531" s="16" t="s">
        <v>226</v>
      </c>
      <c r="H1531" s="16">
        <v>7.0</v>
      </c>
      <c r="I1531" s="16">
        <v>9.0</v>
      </c>
      <c r="J1531" s="16">
        <v>63.0</v>
      </c>
      <c r="K1531" s="16" t="s">
        <v>152</v>
      </c>
      <c r="L1531" s="16">
        <v>1.0</v>
      </c>
      <c r="M1531" s="16">
        <v>9.8</v>
      </c>
      <c r="N1531" s="16">
        <v>9.8</v>
      </c>
      <c r="O1531" s="16" t="s">
        <v>155</v>
      </c>
      <c r="P1531" s="16">
        <v>1.0</v>
      </c>
      <c r="Q1531" s="16">
        <v>53.82</v>
      </c>
      <c r="R1531" s="16">
        <v>53.82</v>
      </c>
      <c r="S1531" s="16" t="s">
        <v>159</v>
      </c>
      <c r="T1531" s="16">
        <v>20.0</v>
      </c>
      <c r="U1531" s="16">
        <v>12.0</v>
      </c>
      <c r="V1531" s="16">
        <v>240.0</v>
      </c>
      <c r="W1531" s="16"/>
      <c r="X1531" s="16"/>
      <c r="Y1531" s="16"/>
      <c r="Z1531" s="16">
        <v>0.0</v>
      </c>
      <c r="AA1531" s="16"/>
      <c r="AB1531" s="16"/>
      <c r="AC1531" s="16"/>
      <c r="AD1531" s="16">
        <v>0.0</v>
      </c>
      <c r="AE1531" s="16"/>
      <c r="AF1531" s="16"/>
      <c r="AG1531" s="16"/>
      <c r="AH1531" s="16">
        <v>0.0</v>
      </c>
      <c r="AI1531" s="16"/>
      <c r="AJ1531" s="16"/>
      <c r="AK1531" s="16"/>
      <c r="AL1531" s="16">
        <v>0.0</v>
      </c>
      <c r="AM1531" s="16"/>
      <c r="AN1531" s="16"/>
      <c r="AO1531" s="16"/>
      <c r="AP1531" s="16">
        <v>0.0</v>
      </c>
      <c r="AQ1531" s="16"/>
      <c r="AR1531" s="16"/>
      <c r="AS1531" s="16"/>
      <c r="AT1531" s="16">
        <v>0.0</v>
      </c>
      <c r="AU1531" s="16"/>
      <c r="AV1531" s="16"/>
      <c r="AW1531" s="16"/>
      <c r="AX1531" s="16">
        <v>0.0</v>
      </c>
      <c r="AY1531" s="16"/>
      <c r="AZ1531" s="16"/>
      <c r="BA1531" s="16"/>
      <c r="BB1531" s="16"/>
      <c r="BC1531" s="16"/>
      <c r="BD1531" s="16"/>
      <c r="BE1531" s="16"/>
      <c r="BF1531" s="16">
        <v>0.0</v>
      </c>
      <c r="BG1531" s="16"/>
      <c r="BH1531" s="16"/>
      <c r="BI1531" s="16"/>
      <c r="BJ1531" s="16">
        <v>0.0</v>
      </c>
      <c r="BN1531" s="16">
        <v>0.0</v>
      </c>
      <c r="BO1531" s="16">
        <v>366.62</v>
      </c>
      <c r="BP1531" s="16" t="s">
        <v>9662</v>
      </c>
      <c r="BQ1531" s="16" t="b">
        <v>1</v>
      </c>
      <c r="BR1531" s="16">
        <v>366.62</v>
      </c>
      <c r="BS1531" s="16"/>
      <c r="BT1531" s="16" t="b">
        <v>0</v>
      </c>
      <c r="BU1531" s="16" t="s">
        <v>546</v>
      </c>
      <c r="BV1531" s="16"/>
      <c r="BW1531" s="16"/>
      <c r="BX1531" s="16"/>
      <c r="BY1531" s="16"/>
    </row>
    <row r="1532">
      <c r="A1532" s="16" t="s">
        <v>8340</v>
      </c>
      <c r="B1532" s="16" t="s">
        <v>35</v>
      </c>
      <c r="C1532" s="201">
        <v>45955.0</v>
      </c>
      <c r="D1532" s="16" t="s">
        <v>543</v>
      </c>
      <c r="E1532" s="16" t="s">
        <v>9666</v>
      </c>
      <c r="F1532" s="16" t="s">
        <v>171</v>
      </c>
      <c r="G1532" s="21" t="s">
        <v>10424</v>
      </c>
      <c r="H1532" s="16">
        <v>1.0</v>
      </c>
      <c r="I1532" s="16">
        <v>525.0</v>
      </c>
      <c r="J1532" s="16">
        <v>525.0</v>
      </c>
      <c r="K1532" s="16"/>
      <c r="L1532" s="16"/>
      <c r="M1532" s="16"/>
      <c r="N1532" s="16">
        <v>0.0</v>
      </c>
      <c r="O1532" s="16"/>
      <c r="P1532" s="16"/>
      <c r="Q1532" s="16"/>
      <c r="R1532" s="16">
        <v>0.0</v>
      </c>
      <c r="S1532" s="16"/>
      <c r="T1532" s="16"/>
      <c r="U1532" s="16"/>
      <c r="V1532" s="16">
        <v>0.0</v>
      </c>
      <c r="W1532" s="16"/>
      <c r="X1532" s="16"/>
      <c r="Y1532" s="16"/>
      <c r="Z1532" s="16">
        <v>0.0</v>
      </c>
      <c r="AA1532" s="16"/>
      <c r="AB1532" s="16"/>
      <c r="AC1532" s="16"/>
      <c r="AD1532" s="16">
        <v>0.0</v>
      </c>
      <c r="AE1532" s="16"/>
      <c r="AF1532" s="16"/>
      <c r="AG1532" s="16"/>
      <c r="AH1532" s="16">
        <v>0.0</v>
      </c>
      <c r="AI1532" s="16"/>
      <c r="AJ1532" s="16"/>
      <c r="AK1532" s="16"/>
      <c r="AL1532" s="16">
        <v>0.0</v>
      </c>
      <c r="AM1532" s="16"/>
      <c r="AN1532" s="16"/>
      <c r="AO1532" s="16"/>
      <c r="AP1532" s="16">
        <v>0.0</v>
      </c>
      <c r="AQ1532" s="16"/>
      <c r="AR1532" s="16"/>
      <c r="AS1532" s="16"/>
      <c r="AT1532" s="16">
        <v>0.0</v>
      </c>
      <c r="AU1532" s="16"/>
      <c r="AV1532" s="16"/>
      <c r="AW1532" s="16"/>
      <c r="AX1532" s="16">
        <v>0.0</v>
      </c>
      <c r="AY1532" s="16"/>
      <c r="AZ1532" s="16"/>
      <c r="BA1532" s="16"/>
      <c r="BB1532" s="16"/>
      <c r="BC1532" s="16"/>
      <c r="BD1532" s="16"/>
      <c r="BE1532" s="16"/>
      <c r="BF1532" s="16">
        <v>0.0</v>
      </c>
      <c r="BG1532" s="16"/>
      <c r="BH1532" s="16"/>
      <c r="BI1532" s="16"/>
      <c r="BJ1532" s="16">
        <v>0.0</v>
      </c>
      <c r="BN1532" s="16">
        <v>0.0</v>
      </c>
      <c r="BO1532" s="16">
        <v>525.0</v>
      </c>
      <c r="BP1532" s="16" t="s">
        <v>9667</v>
      </c>
      <c r="BQ1532" s="16" t="b">
        <v>1</v>
      </c>
      <c r="BR1532" s="16">
        <v>525.0</v>
      </c>
      <c r="BS1532" s="16"/>
      <c r="BT1532" s="16" t="b">
        <v>0</v>
      </c>
      <c r="BU1532" s="16" t="s">
        <v>546</v>
      </c>
      <c r="BV1532" s="16"/>
      <c r="BW1532" s="16"/>
      <c r="BX1532" s="16"/>
      <c r="BY1532" s="16"/>
    </row>
    <row r="1533">
      <c r="A1533" s="16" t="s">
        <v>8342</v>
      </c>
      <c r="B1533" s="16" t="s">
        <v>35</v>
      </c>
      <c r="C1533" s="201">
        <v>45957.0</v>
      </c>
      <c r="D1533" s="21" t="s">
        <v>12869</v>
      </c>
      <c r="E1533" s="16" t="s">
        <v>9671</v>
      </c>
      <c r="F1533" s="16" t="s">
        <v>9674</v>
      </c>
      <c r="G1533" s="16" t="s">
        <v>1022</v>
      </c>
      <c r="H1533" s="16">
        <v>1.0</v>
      </c>
      <c r="I1533" s="16">
        <v>40.0</v>
      </c>
      <c r="J1533" s="16">
        <v>40.0</v>
      </c>
      <c r="K1533" s="16"/>
      <c r="L1533" s="16"/>
      <c r="M1533" s="16"/>
      <c r="N1533" s="16">
        <v>0.0</v>
      </c>
      <c r="O1533" s="16"/>
      <c r="P1533" s="16"/>
      <c r="Q1533" s="16"/>
      <c r="R1533" s="16">
        <v>0.0</v>
      </c>
      <c r="S1533" s="16"/>
      <c r="T1533" s="16"/>
      <c r="U1533" s="16"/>
      <c r="V1533" s="16">
        <v>0.0</v>
      </c>
      <c r="W1533" s="16"/>
      <c r="X1533" s="16"/>
      <c r="Y1533" s="16"/>
      <c r="Z1533" s="16">
        <v>0.0</v>
      </c>
      <c r="AA1533" s="16"/>
      <c r="AB1533" s="16"/>
      <c r="AC1533" s="16"/>
      <c r="AD1533" s="16">
        <v>0.0</v>
      </c>
      <c r="AE1533" s="16"/>
      <c r="AF1533" s="16"/>
      <c r="AG1533" s="16"/>
      <c r="AH1533" s="16">
        <v>0.0</v>
      </c>
      <c r="AI1533" s="16"/>
      <c r="AJ1533" s="16"/>
      <c r="AK1533" s="16"/>
      <c r="AL1533" s="16">
        <v>0.0</v>
      </c>
      <c r="AM1533" s="16"/>
      <c r="AN1533" s="16"/>
      <c r="AO1533" s="16"/>
      <c r="AP1533" s="16">
        <v>0.0</v>
      </c>
      <c r="AQ1533" s="16"/>
      <c r="AR1533" s="16"/>
      <c r="AS1533" s="16"/>
      <c r="AT1533" s="16">
        <v>0.0</v>
      </c>
      <c r="AU1533" s="16"/>
      <c r="AV1533" s="16"/>
      <c r="AW1533" s="16"/>
      <c r="AX1533" s="16">
        <v>0.0</v>
      </c>
      <c r="AY1533" s="16"/>
      <c r="AZ1533" s="16"/>
      <c r="BA1533" s="16"/>
      <c r="BB1533" s="16"/>
      <c r="BC1533" s="16"/>
      <c r="BD1533" s="16"/>
      <c r="BE1533" s="16"/>
      <c r="BF1533" s="16">
        <v>0.0</v>
      </c>
      <c r="BG1533" s="16"/>
      <c r="BH1533" s="16"/>
      <c r="BI1533" s="16"/>
      <c r="BJ1533" s="16">
        <v>0.0</v>
      </c>
      <c r="BN1533" s="16">
        <v>0.0</v>
      </c>
      <c r="BO1533" s="16">
        <v>40.0</v>
      </c>
      <c r="BP1533" s="16" t="s">
        <v>9673</v>
      </c>
      <c r="BQ1533" s="16" t="b">
        <v>1</v>
      </c>
      <c r="BR1533" s="16">
        <v>40.0</v>
      </c>
      <c r="BS1533" s="21" t="s">
        <v>13380</v>
      </c>
      <c r="BT1533" s="16" t="b">
        <v>1</v>
      </c>
      <c r="BU1533" s="16" t="s">
        <v>8596</v>
      </c>
      <c r="BV1533" s="16"/>
      <c r="BW1533" s="16"/>
      <c r="BX1533" s="16"/>
      <c r="BY1533" s="16"/>
    </row>
    <row r="1534">
      <c r="A1534" s="16" t="s">
        <v>8345</v>
      </c>
      <c r="B1534" s="16" t="s">
        <v>35</v>
      </c>
      <c r="C1534" s="201">
        <v>45955.0</v>
      </c>
      <c r="D1534" s="21" t="s">
        <v>12789</v>
      </c>
      <c r="E1534" s="16" t="s">
        <v>9678</v>
      </c>
      <c r="F1534" s="16" t="s">
        <v>236</v>
      </c>
      <c r="G1534" s="16" t="s">
        <v>305</v>
      </c>
      <c r="H1534" s="16">
        <v>1.0</v>
      </c>
      <c r="I1534" s="16">
        <v>96.9</v>
      </c>
      <c r="J1534" s="16">
        <v>96.9</v>
      </c>
      <c r="K1534" s="16"/>
      <c r="L1534" s="16"/>
      <c r="M1534" s="16"/>
      <c r="N1534" s="16">
        <v>0.0</v>
      </c>
      <c r="O1534" s="16"/>
      <c r="P1534" s="16"/>
      <c r="Q1534" s="16"/>
      <c r="R1534" s="16">
        <v>0.0</v>
      </c>
      <c r="S1534" s="16"/>
      <c r="T1534" s="16"/>
      <c r="U1534" s="16"/>
      <c r="V1534" s="16">
        <v>0.0</v>
      </c>
      <c r="W1534" s="16"/>
      <c r="X1534" s="16"/>
      <c r="Y1534" s="16"/>
      <c r="Z1534" s="16">
        <v>0.0</v>
      </c>
      <c r="AA1534" s="16"/>
      <c r="AB1534" s="16"/>
      <c r="AC1534" s="16"/>
      <c r="AD1534" s="16">
        <v>0.0</v>
      </c>
      <c r="AE1534" s="16"/>
      <c r="AF1534" s="16"/>
      <c r="AG1534" s="16"/>
      <c r="AH1534" s="16">
        <v>0.0</v>
      </c>
      <c r="AI1534" s="16"/>
      <c r="AJ1534" s="16"/>
      <c r="AK1534" s="16"/>
      <c r="AL1534" s="16">
        <v>0.0</v>
      </c>
      <c r="AM1534" s="16"/>
      <c r="AN1534" s="16"/>
      <c r="AO1534" s="16"/>
      <c r="AP1534" s="16">
        <v>0.0</v>
      </c>
      <c r="AQ1534" s="16"/>
      <c r="AR1534" s="16"/>
      <c r="AS1534" s="16"/>
      <c r="AT1534" s="16">
        <v>0.0</v>
      </c>
      <c r="AU1534" s="16"/>
      <c r="AV1534" s="16"/>
      <c r="AW1534" s="16"/>
      <c r="AX1534" s="16">
        <v>0.0</v>
      </c>
      <c r="AY1534" s="16"/>
      <c r="AZ1534" s="16"/>
      <c r="BA1534" s="16"/>
      <c r="BB1534" s="16"/>
      <c r="BC1534" s="16"/>
      <c r="BD1534" s="16"/>
      <c r="BE1534" s="16"/>
      <c r="BF1534" s="16">
        <v>0.0</v>
      </c>
      <c r="BG1534" s="16"/>
      <c r="BH1534" s="16"/>
      <c r="BI1534" s="16"/>
      <c r="BJ1534" s="16">
        <v>0.0</v>
      </c>
      <c r="BN1534" s="16">
        <v>0.0</v>
      </c>
      <c r="BO1534" s="16">
        <v>96.9</v>
      </c>
      <c r="BP1534" s="16" t="s">
        <v>9679</v>
      </c>
      <c r="BQ1534" s="16" t="b">
        <v>1</v>
      </c>
      <c r="BR1534" s="16">
        <v>96.9</v>
      </c>
      <c r="BS1534" s="21" t="s">
        <v>13381</v>
      </c>
      <c r="BT1534" s="16" t="b">
        <v>1</v>
      </c>
      <c r="BU1534" s="16" t="s">
        <v>546</v>
      </c>
      <c r="BV1534" s="16"/>
      <c r="BW1534" s="16"/>
      <c r="BX1534" s="16"/>
      <c r="BY1534" s="16"/>
    </row>
    <row r="1535">
      <c r="A1535" s="16" t="s">
        <v>8347</v>
      </c>
      <c r="B1535" s="16" t="s">
        <v>35</v>
      </c>
      <c r="C1535" s="201">
        <v>45954.0</v>
      </c>
      <c r="D1535" s="21" t="s">
        <v>12789</v>
      </c>
      <c r="E1535" s="16" t="s">
        <v>9683</v>
      </c>
      <c r="F1535" s="16" t="s">
        <v>4248</v>
      </c>
      <c r="G1535" s="16" t="s">
        <v>305</v>
      </c>
      <c r="H1535" s="16">
        <v>1.0</v>
      </c>
      <c r="I1535" s="16">
        <v>92.87</v>
      </c>
      <c r="J1535" s="16">
        <v>92.87</v>
      </c>
      <c r="K1535" s="16"/>
      <c r="L1535" s="16"/>
      <c r="M1535" s="16"/>
      <c r="N1535" s="16">
        <v>0.0</v>
      </c>
      <c r="O1535" s="16"/>
      <c r="P1535" s="16"/>
      <c r="Q1535" s="16"/>
      <c r="R1535" s="16">
        <v>0.0</v>
      </c>
      <c r="S1535" s="16"/>
      <c r="T1535" s="16"/>
      <c r="U1535" s="16"/>
      <c r="V1535" s="16">
        <v>0.0</v>
      </c>
      <c r="W1535" s="16"/>
      <c r="X1535" s="16"/>
      <c r="Y1535" s="16"/>
      <c r="Z1535" s="16">
        <v>0.0</v>
      </c>
      <c r="AA1535" s="16"/>
      <c r="AB1535" s="16"/>
      <c r="AC1535" s="16"/>
      <c r="AD1535" s="16">
        <v>0.0</v>
      </c>
      <c r="AE1535" s="16"/>
      <c r="AF1535" s="16"/>
      <c r="AG1535" s="16"/>
      <c r="AH1535" s="16">
        <v>0.0</v>
      </c>
      <c r="AI1535" s="16"/>
      <c r="AJ1535" s="16"/>
      <c r="AK1535" s="16"/>
      <c r="AL1535" s="16">
        <v>0.0</v>
      </c>
      <c r="AM1535" s="16"/>
      <c r="AN1535" s="16"/>
      <c r="AO1535" s="16"/>
      <c r="AP1535" s="16">
        <v>0.0</v>
      </c>
      <c r="AQ1535" s="16"/>
      <c r="AR1535" s="16"/>
      <c r="AS1535" s="16"/>
      <c r="AT1535" s="16">
        <v>0.0</v>
      </c>
      <c r="AU1535" s="16"/>
      <c r="AV1535" s="16"/>
      <c r="AW1535" s="16"/>
      <c r="AX1535" s="16">
        <v>0.0</v>
      </c>
      <c r="AY1535" s="16"/>
      <c r="AZ1535" s="16"/>
      <c r="BA1535" s="16"/>
      <c r="BB1535" s="16"/>
      <c r="BC1535" s="16"/>
      <c r="BD1535" s="16"/>
      <c r="BE1535" s="16"/>
      <c r="BF1535" s="16">
        <v>0.0</v>
      </c>
      <c r="BG1535" s="16"/>
      <c r="BH1535" s="16"/>
      <c r="BI1535" s="16"/>
      <c r="BJ1535" s="16">
        <v>0.0</v>
      </c>
      <c r="BN1535" s="16">
        <v>0.0</v>
      </c>
      <c r="BO1535" s="16">
        <v>92.87</v>
      </c>
      <c r="BP1535" s="16" t="s">
        <v>9684</v>
      </c>
      <c r="BQ1535" s="16" t="b">
        <v>1</v>
      </c>
      <c r="BR1535" s="16">
        <v>92.87</v>
      </c>
      <c r="BS1535" s="21" t="s">
        <v>13383</v>
      </c>
      <c r="BT1535" s="16" t="b">
        <v>1</v>
      </c>
      <c r="BU1535" s="16" t="s">
        <v>546</v>
      </c>
      <c r="BV1535" s="16"/>
      <c r="BW1535" s="16"/>
      <c r="BX1535" s="16"/>
      <c r="BY1535" s="16"/>
    </row>
    <row r="1536">
      <c r="A1536" s="16" t="s">
        <v>8350</v>
      </c>
      <c r="B1536" s="16" t="s">
        <v>35</v>
      </c>
      <c r="C1536" s="201">
        <v>45957.0</v>
      </c>
      <c r="D1536" s="16" t="s">
        <v>112</v>
      </c>
      <c r="E1536" s="16" t="s">
        <v>9691</v>
      </c>
      <c r="F1536" s="16" t="s">
        <v>157</v>
      </c>
      <c r="G1536" s="16" t="s">
        <v>155</v>
      </c>
      <c r="H1536" s="16">
        <v>1.0</v>
      </c>
      <c r="I1536" s="16">
        <v>14.56</v>
      </c>
      <c r="J1536" s="16">
        <v>14.56</v>
      </c>
      <c r="K1536" s="16" t="s">
        <v>152</v>
      </c>
      <c r="L1536" s="16">
        <v>1.0</v>
      </c>
      <c r="M1536" s="16">
        <v>10.53</v>
      </c>
      <c r="N1536" s="16">
        <v>10.53</v>
      </c>
      <c r="O1536" s="16"/>
      <c r="P1536" s="16"/>
      <c r="Q1536" s="16"/>
      <c r="R1536" s="16">
        <v>0.0</v>
      </c>
      <c r="S1536" s="16"/>
      <c r="T1536" s="16"/>
      <c r="U1536" s="16"/>
      <c r="V1536" s="16">
        <v>0.0</v>
      </c>
      <c r="W1536" s="16"/>
      <c r="X1536" s="16"/>
      <c r="Y1536" s="16"/>
      <c r="Z1536" s="16">
        <v>0.0</v>
      </c>
      <c r="AA1536" s="16"/>
      <c r="AB1536" s="16"/>
      <c r="AC1536" s="16"/>
      <c r="AD1536" s="16">
        <v>0.0</v>
      </c>
      <c r="AE1536" s="16"/>
      <c r="AF1536" s="16"/>
      <c r="AG1536" s="16"/>
      <c r="AH1536" s="16">
        <v>0.0</v>
      </c>
      <c r="AI1536" s="16"/>
      <c r="AJ1536" s="16"/>
      <c r="AK1536" s="16"/>
      <c r="AL1536" s="16">
        <v>0.0</v>
      </c>
      <c r="AM1536" s="16"/>
      <c r="AN1536" s="16"/>
      <c r="AO1536" s="16"/>
      <c r="AP1536" s="16">
        <v>0.0</v>
      </c>
      <c r="AQ1536" s="16"/>
      <c r="AR1536" s="16"/>
      <c r="AS1536" s="16"/>
      <c r="AT1536" s="16">
        <v>0.0</v>
      </c>
      <c r="AU1536" s="16"/>
      <c r="AV1536" s="16"/>
      <c r="AW1536" s="16"/>
      <c r="AX1536" s="16">
        <v>0.0</v>
      </c>
      <c r="AY1536" s="16"/>
      <c r="AZ1536" s="16"/>
      <c r="BA1536" s="16"/>
      <c r="BB1536" s="16"/>
      <c r="BC1536" s="16"/>
      <c r="BD1536" s="16"/>
      <c r="BE1536" s="16"/>
      <c r="BF1536" s="16">
        <v>0.0</v>
      </c>
      <c r="BG1536" s="16"/>
      <c r="BH1536" s="16"/>
      <c r="BI1536" s="16"/>
      <c r="BJ1536" s="16">
        <v>0.0</v>
      </c>
      <c r="BN1536" s="16">
        <v>0.0</v>
      </c>
      <c r="BO1536" s="16">
        <v>25.09</v>
      </c>
      <c r="BP1536" s="16" t="s">
        <v>9693</v>
      </c>
      <c r="BQ1536" s="16" t="b">
        <v>1</v>
      </c>
      <c r="BR1536" s="16">
        <v>25.09</v>
      </c>
      <c r="BS1536" s="16"/>
      <c r="BT1536" s="16" t="b">
        <v>0</v>
      </c>
      <c r="BU1536" s="16" t="s">
        <v>546</v>
      </c>
      <c r="BV1536" s="16"/>
      <c r="BW1536" s="16"/>
      <c r="BX1536" s="16"/>
      <c r="BY1536" s="16"/>
    </row>
    <row r="1537">
      <c r="A1537" s="16" t="s">
        <v>8356</v>
      </c>
      <c r="B1537" s="16" t="s">
        <v>35</v>
      </c>
      <c r="C1537" s="201">
        <v>45931.0</v>
      </c>
      <c r="D1537" s="16" t="s">
        <v>1036</v>
      </c>
      <c r="E1537" s="16" t="s">
        <v>9697</v>
      </c>
      <c r="F1537" s="16" t="s">
        <v>5755</v>
      </c>
      <c r="G1537" s="16" t="s">
        <v>1668</v>
      </c>
      <c r="H1537" s="16">
        <v>1.0</v>
      </c>
      <c r="I1537" s="16">
        <v>124.16</v>
      </c>
      <c r="J1537" s="16">
        <v>124.16</v>
      </c>
      <c r="K1537" s="16"/>
      <c r="L1537" s="16"/>
      <c r="M1537" s="16"/>
      <c r="N1537" s="16">
        <v>0.0</v>
      </c>
      <c r="O1537" s="16"/>
      <c r="P1537" s="16"/>
      <c r="Q1537" s="16"/>
      <c r="R1537" s="16">
        <v>0.0</v>
      </c>
      <c r="S1537" s="16"/>
      <c r="T1537" s="16"/>
      <c r="U1537" s="16"/>
      <c r="V1537" s="16">
        <v>0.0</v>
      </c>
      <c r="W1537" s="16"/>
      <c r="X1537" s="16"/>
      <c r="Y1537" s="16"/>
      <c r="Z1537" s="16">
        <v>0.0</v>
      </c>
      <c r="AA1537" s="16"/>
      <c r="AB1537" s="16"/>
      <c r="AC1537" s="16"/>
      <c r="AD1537" s="16">
        <v>0.0</v>
      </c>
      <c r="AE1537" s="16"/>
      <c r="AF1537" s="16"/>
      <c r="AG1537" s="16"/>
      <c r="AH1537" s="16">
        <v>0.0</v>
      </c>
      <c r="AI1537" s="16"/>
      <c r="AJ1537" s="16"/>
      <c r="AK1537" s="16"/>
      <c r="AL1537" s="16">
        <v>0.0</v>
      </c>
      <c r="AM1537" s="16"/>
      <c r="AN1537" s="16"/>
      <c r="AO1537" s="16"/>
      <c r="AP1537" s="16">
        <v>0.0</v>
      </c>
      <c r="AQ1537" s="16"/>
      <c r="AR1537" s="16"/>
      <c r="AS1537" s="16"/>
      <c r="AT1537" s="16">
        <v>0.0</v>
      </c>
      <c r="AU1537" s="16"/>
      <c r="AV1537" s="16"/>
      <c r="AW1537" s="16"/>
      <c r="AX1537" s="16">
        <v>0.0</v>
      </c>
      <c r="AY1537" s="16"/>
      <c r="AZ1537" s="16"/>
      <c r="BA1537" s="16"/>
      <c r="BB1537" s="16"/>
      <c r="BC1537" s="16"/>
      <c r="BD1537" s="16"/>
      <c r="BE1537" s="16"/>
      <c r="BF1537" s="16">
        <v>0.0</v>
      </c>
      <c r="BG1537" s="16"/>
      <c r="BH1537" s="16"/>
      <c r="BI1537" s="16"/>
      <c r="BJ1537" s="16">
        <v>0.0</v>
      </c>
      <c r="BN1537" s="16">
        <v>0.0</v>
      </c>
      <c r="BO1537" s="16">
        <v>124.16</v>
      </c>
      <c r="BP1537" s="16" t="s">
        <v>9698</v>
      </c>
      <c r="BQ1537" s="16" t="b">
        <v>1</v>
      </c>
      <c r="BR1537" s="16">
        <v>124.16</v>
      </c>
      <c r="BS1537" s="16"/>
      <c r="BT1537" s="16" t="b">
        <v>0</v>
      </c>
      <c r="BU1537" s="16" t="s">
        <v>546</v>
      </c>
      <c r="BV1537" s="16"/>
      <c r="BW1537" s="16"/>
      <c r="BX1537" s="16"/>
      <c r="BY1537" s="16"/>
    </row>
    <row r="1538">
      <c r="A1538" s="16" t="s">
        <v>8359</v>
      </c>
      <c r="B1538" s="16" t="s">
        <v>35</v>
      </c>
      <c r="C1538" s="201">
        <v>45957.0</v>
      </c>
      <c r="D1538" s="16" t="s">
        <v>8582</v>
      </c>
      <c r="E1538" s="16" t="s">
        <v>9701</v>
      </c>
      <c r="F1538" s="16" t="s">
        <v>9703</v>
      </c>
      <c r="G1538" s="16" t="s">
        <v>1725</v>
      </c>
      <c r="H1538" s="16">
        <v>1.0</v>
      </c>
      <c r="I1538" s="16">
        <v>1810.88</v>
      </c>
      <c r="J1538" s="16">
        <v>1810.88</v>
      </c>
      <c r="K1538" s="16"/>
      <c r="L1538" s="16"/>
      <c r="M1538" s="16"/>
      <c r="N1538" s="16">
        <v>0.0</v>
      </c>
      <c r="O1538" s="16"/>
      <c r="P1538" s="16"/>
      <c r="Q1538" s="16"/>
      <c r="R1538" s="16">
        <v>0.0</v>
      </c>
      <c r="S1538" s="16"/>
      <c r="T1538" s="16"/>
      <c r="U1538" s="16"/>
      <c r="V1538" s="16">
        <v>0.0</v>
      </c>
      <c r="W1538" s="16"/>
      <c r="X1538" s="16"/>
      <c r="Y1538" s="16"/>
      <c r="Z1538" s="16">
        <v>0.0</v>
      </c>
      <c r="AA1538" s="16"/>
      <c r="AB1538" s="16"/>
      <c r="AC1538" s="16"/>
      <c r="AD1538" s="16">
        <v>0.0</v>
      </c>
      <c r="AE1538" s="16"/>
      <c r="AF1538" s="16"/>
      <c r="AG1538" s="16"/>
      <c r="AH1538" s="16">
        <v>0.0</v>
      </c>
      <c r="AI1538" s="16"/>
      <c r="AJ1538" s="16"/>
      <c r="AK1538" s="16"/>
      <c r="AL1538" s="16">
        <v>0.0</v>
      </c>
      <c r="AM1538" s="16"/>
      <c r="AN1538" s="16"/>
      <c r="AO1538" s="16"/>
      <c r="AP1538" s="16">
        <v>0.0</v>
      </c>
      <c r="AQ1538" s="16"/>
      <c r="AR1538" s="16"/>
      <c r="AS1538" s="16"/>
      <c r="AT1538" s="16">
        <v>0.0</v>
      </c>
      <c r="AU1538" s="16"/>
      <c r="AV1538" s="16"/>
      <c r="AW1538" s="16"/>
      <c r="AX1538" s="16">
        <v>0.0</v>
      </c>
      <c r="AY1538" s="16"/>
      <c r="AZ1538" s="16"/>
      <c r="BA1538" s="16"/>
      <c r="BB1538" s="16"/>
      <c r="BC1538" s="16"/>
      <c r="BD1538" s="16"/>
      <c r="BE1538" s="16"/>
      <c r="BF1538" s="16">
        <v>0.0</v>
      </c>
      <c r="BG1538" s="16"/>
      <c r="BH1538" s="16"/>
      <c r="BI1538" s="16"/>
      <c r="BJ1538" s="16">
        <v>0.0</v>
      </c>
      <c r="BN1538" s="16">
        <v>0.0</v>
      </c>
      <c r="BO1538" s="16">
        <v>1810.88</v>
      </c>
      <c r="BP1538" s="16" t="s">
        <v>9702</v>
      </c>
      <c r="BQ1538" s="16" t="b">
        <v>1</v>
      </c>
      <c r="BR1538" s="16">
        <v>1810.88</v>
      </c>
      <c r="BS1538" s="16"/>
      <c r="BT1538" s="16" t="b">
        <v>0</v>
      </c>
      <c r="BU1538" s="16" t="s">
        <v>546</v>
      </c>
      <c r="BV1538" s="16"/>
      <c r="BW1538" s="16"/>
      <c r="BX1538" s="16"/>
      <c r="BY1538" s="16"/>
    </row>
    <row r="1539">
      <c r="A1539" s="16" t="s">
        <v>8362</v>
      </c>
      <c r="B1539" s="16" t="s">
        <v>35</v>
      </c>
      <c r="C1539" s="201">
        <v>45932.0</v>
      </c>
      <c r="D1539" s="16"/>
      <c r="E1539" s="16"/>
      <c r="F1539" s="16" t="s">
        <v>8658</v>
      </c>
      <c r="G1539" s="16" t="s">
        <v>1239</v>
      </c>
      <c r="H1539" s="16">
        <v>1.0</v>
      </c>
      <c r="I1539" s="16">
        <v>2508.85</v>
      </c>
      <c r="J1539" s="16">
        <v>2508.85</v>
      </c>
      <c r="K1539" s="16"/>
      <c r="L1539" s="16"/>
      <c r="M1539" s="16"/>
      <c r="N1539" s="16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16"/>
      <c r="AP1539" s="16"/>
      <c r="AQ1539" s="16"/>
      <c r="AR1539" s="16"/>
      <c r="AS1539" s="16"/>
      <c r="AT1539" s="16"/>
      <c r="AU1539" s="16"/>
      <c r="AV1539" s="16"/>
      <c r="AW1539" s="16"/>
      <c r="AX1539" s="16"/>
      <c r="AY1539" s="16"/>
      <c r="AZ1539" s="16"/>
      <c r="BA1539" s="16"/>
      <c r="BB1539" s="16"/>
      <c r="BC1539" s="16"/>
      <c r="BD1539" s="16"/>
      <c r="BE1539" s="16"/>
      <c r="BF1539" s="16"/>
      <c r="BG1539" s="16"/>
      <c r="BH1539" s="16"/>
      <c r="BI1539" s="16"/>
      <c r="BJ1539" s="16"/>
      <c r="BN1539" s="16"/>
      <c r="BO1539" s="16">
        <v>2508.85</v>
      </c>
      <c r="BP1539" s="16"/>
      <c r="BQ1539" s="16" t="b">
        <v>1</v>
      </c>
      <c r="BR1539" s="16">
        <v>2508.85</v>
      </c>
      <c r="BS1539" s="16"/>
      <c r="BT1539" s="16"/>
      <c r="BU1539" s="16" t="s">
        <v>539</v>
      </c>
      <c r="BV1539" s="16" t="s">
        <v>624</v>
      </c>
      <c r="BW1539" s="16"/>
      <c r="BX1539" s="16"/>
      <c r="BY1539" s="16"/>
    </row>
    <row r="1540">
      <c r="A1540" s="16" t="s">
        <v>8365</v>
      </c>
      <c r="B1540" s="16" t="s">
        <v>35</v>
      </c>
      <c r="C1540" s="201">
        <v>45932.0</v>
      </c>
      <c r="D1540" s="16"/>
      <c r="E1540" s="16"/>
      <c r="F1540" s="16" t="s">
        <v>8658</v>
      </c>
      <c r="G1540" s="16" t="s">
        <v>1239</v>
      </c>
      <c r="H1540" s="16">
        <v>1.0</v>
      </c>
      <c r="I1540" s="16">
        <v>1893.64</v>
      </c>
      <c r="J1540" s="16">
        <v>1893.64</v>
      </c>
      <c r="K1540" s="16"/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16"/>
      <c r="AP1540" s="16"/>
      <c r="AQ1540" s="16"/>
      <c r="AR1540" s="16"/>
      <c r="AS1540" s="16"/>
      <c r="AT1540" s="16"/>
      <c r="AU1540" s="16"/>
      <c r="AV1540" s="16"/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N1540" s="16"/>
      <c r="BO1540" s="16">
        <v>1893.64</v>
      </c>
      <c r="BP1540" s="16"/>
      <c r="BQ1540" s="16" t="b">
        <v>1</v>
      </c>
      <c r="BR1540" s="16">
        <v>1893.64</v>
      </c>
      <c r="BS1540" s="16"/>
      <c r="BT1540" s="16"/>
      <c r="BU1540" s="16" t="s">
        <v>539</v>
      </c>
      <c r="BV1540" s="16" t="s">
        <v>2052</v>
      </c>
      <c r="BW1540" s="16"/>
      <c r="BX1540" s="16"/>
      <c r="BY1540" s="16"/>
    </row>
    <row r="1541">
      <c r="A1541" s="16" t="s">
        <v>8368</v>
      </c>
      <c r="B1541" s="16" t="s">
        <v>35</v>
      </c>
      <c r="C1541" s="201">
        <v>45932.0</v>
      </c>
      <c r="D1541" s="16"/>
      <c r="E1541" s="16"/>
      <c r="F1541" s="16" t="s">
        <v>8658</v>
      </c>
      <c r="G1541" s="16" t="s">
        <v>1239</v>
      </c>
      <c r="H1541" s="16">
        <v>1.0</v>
      </c>
      <c r="I1541" s="16">
        <v>2220.73</v>
      </c>
      <c r="J1541" s="16">
        <v>2220.73</v>
      </c>
      <c r="K1541" s="16"/>
      <c r="L1541" s="16"/>
      <c r="M1541" s="16"/>
      <c r="N1541" s="16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16"/>
      <c r="AP1541" s="16"/>
      <c r="AQ1541" s="16"/>
      <c r="AR1541" s="16"/>
      <c r="AS1541" s="16"/>
      <c r="AT1541" s="16"/>
      <c r="AU1541" s="16"/>
      <c r="AV1541" s="16"/>
      <c r="AW1541" s="16"/>
      <c r="AX1541" s="16"/>
      <c r="AY1541" s="16"/>
      <c r="AZ1541" s="16"/>
      <c r="BA1541" s="16"/>
      <c r="BB1541" s="16"/>
      <c r="BC1541" s="16"/>
      <c r="BD1541" s="16"/>
      <c r="BE1541" s="16"/>
      <c r="BF1541" s="16"/>
      <c r="BG1541" s="16"/>
      <c r="BH1541" s="16"/>
      <c r="BI1541" s="16"/>
      <c r="BJ1541" s="16"/>
      <c r="BN1541" s="16"/>
      <c r="BO1541" s="16">
        <v>2220.73</v>
      </c>
      <c r="BP1541" s="16"/>
      <c r="BQ1541" s="16" t="b">
        <v>1</v>
      </c>
      <c r="BR1541" s="16">
        <v>2220.73</v>
      </c>
      <c r="BS1541" s="16"/>
      <c r="BT1541" s="16"/>
      <c r="BU1541" s="16" t="s">
        <v>539</v>
      </c>
      <c r="BV1541" s="16" t="s">
        <v>227</v>
      </c>
      <c r="BW1541" s="16"/>
      <c r="BX1541" s="16"/>
      <c r="BY1541" s="16"/>
    </row>
    <row r="1542">
      <c r="A1542" s="16" t="s">
        <v>8371</v>
      </c>
      <c r="B1542" s="16" t="s">
        <v>35</v>
      </c>
      <c r="C1542" s="201">
        <v>45932.0</v>
      </c>
      <c r="D1542" s="16"/>
      <c r="E1542" s="16"/>
      <c r="F1542" s="16" t="s">
        <v>8658</v>
      </c>
      <c r="G1542" s="16" t="s">
        <v>1239</v>
      </c>
      <c r="H1542" s="16">
        <v>1.0</v>
      </c>
      <c r="I1542" s="16">
        <v>1400.01</v>
      </c>
      <c r="J1542" s="16">
        <v>1400.01</v>
      </c>
      <c r="K1542" s="16"/>
      <c r="L1542" s="16"/>
      <c r="M1542" s="16"/>
      <c r="N1542" s="16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16"/>
      <c r="AP1542" s="16"/>
      <c r="AQ1542" s="16"/>
      <c r="AR1542" s="16"/>
      <c r="AS1542" s="16"/>
      <c r="AT1542" s="16"/>
      <c r="AU1542" s="16"/>
      <c r="AV1542" s="16"/>
      <c r="AW1542" s="16"/>
      <c r="AX1542" s="16"/>
      <c r="AY1542" s="16"/>
      <c r="AZ1542" s="16"/>
      <c r="BA1542" s="16"/>
      <c r="BB1542" s="16"/>
      <c r="BC1542" s="16"/>
      <c r="BD1542" s="16"/>
      <c r="BE1542" s="16"/>
      <c r="BF1542" s="16"/>
      <c r="BG1542" s="16"/>
      <c r="BH1542" s="16"/>
      <c r="BI1542" s="16"/>
      <c r="BJ1542" s="16"/>
      <c r="BN1542" s="16"/>
      <c r="BO1542" s="16">
        <v>1400.01</v>
      </c>
      <c r="BP1542" s="16"/>
      <c r="BQ1542" s="16" t="b">
        <v>1</v>
      </c>
      <c r="BR1542" s="16">
        <v>1400.01</v>
      </c>
      <c r="BS1542" s="16"/>
      <c r="BT1542" s="16"/>
      <c r="BU1542" s="16" t="s">
        <v>539</v>
      </c>
      <c r="BV1542" s="16" t="s">
        <v>6062</v>
      </c>
      <c r="BW1542" s="16"/>
      <c r="BX1542" s="16"/>
      <c r="BY1542" s="16"/>
    </row>
    <row r="1543">
      <c r="A1543" s="16" t="s">
        <v>8373</v>
      </c>
      <c r="B1543" s="16" t="s">
        <v>35</v>
      </c>
      <c r="C1543" s="201">
        <v>45932.0</v>
      </c>
      <c r="D1543" s="16"/>
      <c r="E1543" s="16"/>
      <c r="F1543" s="16" t="s">
        <v>8658</v>
      </c>
      <c r="G1543" s="16" t="s">
        <v>1239</v>
      </c>
      <c r="H1543" s="16">
        <v>1.0</v>
      </c>
      <c r="I1543" s="16">
        <v>1421.63</v>
      </c>
      <c r="J1543" s="16">
        <v>1421.63</v>
      </c>
      <c r="K1543" s="16"/>
      <c r="L1543" s="16"/>
      <c r="M1543" s="16"/>
      <c r="N1543" s="16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16"/>
      <c r="AP1543" s="16"/>
      <c r="AQ1543" s="16"/>
      <c r="AR1543" s="16"/>
      <c r="AS1543" s="16"/>
      <c r="AT1543" s="16"/>
      <c r="AU1543" s="16"/>
      <c r="AV1543" s="16"/>
      <c r="AW1543" s="16"/>
      <c r="AX1543" s="16"/>
      <c r="AY1543" s="16"/>
      <c r="AZ1543" s="16"/>
      <c r="BA1543" s="16"/>
      <c r="BB1543" s="16"/>
      <c r="BC1543" s="16"/>
      <c r="BD1543" s="16"/>
      <c r="BE1543" s="16"/>
      <c r="BF1543" s="16"/>
      <c r="BG1543" s="16"/>
      <c r="BH1543" s="16"/>
      <c r="BI1543" s="16"/>
      <c r="BJ1543" s="16"/>
      <c r="BN1543" s="16"/>
      <c r="BO1543" s="16">
        <v>1421.63</v>
      </c>
      <c r="BP1543" s="16"/>
      <c r="BQ1543" s="16" t="b">
        <v>1</v>
      </c>
      <c r="BR1543" s="16">
        <v>1421.63</v>
      </c>
      <c r="BS1543" s="16"/>
      <c r="BT1543" s="16"/>
      <c r="BU1543" s="16" t="s">
        <v>539</v>
      </c>
      <c r="BV1543" s="16" t="s">
        <v>3795</v>
      </c>
      <c r="BW1543" s="16"/>
      <c r="BX1543" s="16"/>
      <c r="BY1543" s="16"/>
    </row>
    <row r="1544">
      <c r="A1544" s="16" t="s">
        <v>8375</v>
      </c>
      <c r="B1544" s="16" t="s">
        <v>35</v>
      </c>
      <c r="C1544" s="201">
        <v>45934.0</v>
      </c>
      <c r="D1544" s="16" t="s">
        <v>8771</v>
      </c>
      <c r="E1544" s="16"/>
      <c r="F1544" s="16" t="s">
        <v>788</v>
      </c>
      <c r="G1544" s="16" t="s">
        <v>3822</v>
      </c>
      <c r="H1544" s="16">
        <v>1.0</v>
      </c>
      <c r="I1544" s="16">
        <v>1000.0</v>
      </c>
      <c r="J1544" s="16">
        <v>1000.0</v>
      </c>
      <c r="K1544" s="16"/>
      <c r="L1544" s="16"/>
      <c r="M1544" s="16"/>
      <c r="N1544" s="16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16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16"/>
      <c r="AP1544" s="16"/>
      <c r="AQ1544" s="16"/>
      <c r="AR1544" s="16"/>
      <c r="AS1544" s="16"/>
      <c r="AT1544" s="16"/>
      <c r="AU1544" s="16"/>
      <c r="AV1544" s="16"/>
      <c r="AW1544" s="16"/>
      <c r="AX1544" s="16"/>
      <c r="AY1544" s="16"/>
      <c r="AZ1544" s="16"/>
      <c r="BA1544" s="16"/>
      <c r="BB1544" s="16"/>
      <c r="BC1544" s="16"/>
      <c r="BD1544" s="16"/>
      <c r="BE1544" s="16"/>
      <c r="BF1544" s="16"/>
      <c r="BG1544" s="16"/>
      <c r="BH1544" s="16"/>
      <c r="BI1544" s="16"/>
      <c r="BJ1544" s="16"/>
      <c r="BN1544" s="16"/>
      <c r="BO1544" s="16">
        <v>1000.0</v>
      </c>
      <c r="BP1544" s="16"/>
      <c r="BQ1544" s="16" t="b">
        <v>1</v>
      </c>
      <c r="BR1544" s="16">
        <v>1000.0</v>
      </c>
      <c r="BS1544" s="16"/>
      <c r="BT1544" s="16"/>
      <c r="BU1544" s="16" t="s">
        <v>539</v>
      </c>
      <c r="BV1544" s="16"/>
      <c r="BW1544" s="16"/>
      <c r="BX1544" s="16"/>
      <c r="BY1544" s="16"/>
    </row>
    <row r="1545">
      <c r="A1545" s="16" t="s">
        <v>8380</v>
      </c>
      <c r="B1545" s="16" t="s">
        <v>35</v>
      </c>
      <c r="C1545" s="201">
        <v>45936.0</v>
      </c>
      <c r="D1545" s="16" t="s">
        <v>1160</v>
      </c>
      <c r="E1545" s="16"/>
      <c r="F1545" s="16" t="s">
        <v>9734</v>
      </c>
      <c r="G1545" s="16" t="s">
        <v>8381</v>
      </c>
      <c r="H1545" s="16">
        <v>1.0</v>
      </c>
      <c r="I1545" s="16">
        <v>1304.3</v>
      </c>
      <c r="J1545" s="16">
        <v>1304.3</v>
      </c>
      <c r="K1545" s="16"/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16"/>
      <c r="AP1545" s="16"/>
      <c r="AQ1545" s="16"/>
      <c r="AR1545" s="16"/>
      <c r="AS1545" s="16"/>
      <c r="AT1545" s="16"/>
      <c r="AU1545" s="16"/>
      <c r="AV1545" s="16"/>
      <c r="AW1545" s="16"/>
      <c r="AX1545" s="16"/>
      <c r="AY1545" s="16"/>
      <c r="AZ1545" s="16"/>
      <c r="BA1545" s="16"/>
      <c r="BB1545" s="16"/>
      <c r="BC1545" s="16"/>
      <c r="BD1545" s="16"/>
      <c r="BE1545" s="16"/>
      <c r="BF1545" s="16"/>
      <c r="BG1545" s="16"/>
      <c r="BH1545" s="16"/>
      <c r="BI1545" s="16"/>
      <c r="BJ1545" s="16"/>
      <c r="BN1545" s="16"/>
      <c r="BO1545" s="16">
        <v>1304.3</v>
      </c>
      <c r="BP1545" s="16"/>
      <c r="BQ1545" s="16" t="b">
        <v>1</v>
      </c>
      <c r="BR1545" s="16">
        <v>1304.3</v>
      </c>
      <c r="BS1545" s="16"/>
      <c r="BT1545" s="16"/>
      <c r="BU1545" s="16" t="s">
        <v>539</v>
      </c>
      <c r="BV1545" s="16"/>
      <c r="BW1545" s="16"/>
      <c r="BX1545" s="16"/>
      <c r="BY1545" s="16"/>
    </row>
    <row r="1546">
      <c r="A1546" s="16" t="s">
        <v>8383</v>
      </c>
      <c r="B1546" s="16" t="s">
        <v>35</v>
      </c>
      <c r="C1546" s="201">
        <v>45941.0</v>
      </c>
      <c r="D1546" s="16"/>
      <c r="E1546" s="16"/>
      <c r="F1546" s="16" t="s">
        <v>1329</v>
      </c>
      <c r="G1546" s="16" t="s">
        <v>1168</v>
      </c>
      <c r="H1546" s="16">
        <v>1.0</v>
      </c>
      <c r="I1546" s="16">
        <v>500.0</v>
      </c>
      <c r="J1546" s="16">
        <v>500.0</v>
      </c>
      <c r="K1546" s="16"/>
      <c r="L1546" s="16"/>
      <c r="M1546" s="16"/>
      <c r="N1546" s="16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16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16"/>
      <c r="AP1546" s="16"/>
      <c r="AQ1546" s="16"/>
      <c r="AR1546" s="16"/>
      <c r="AS1546" s="16"/>
      <c r="AT1546" s="16"/>
      <c r="AU1546" s="16"/>
      <c r="AV1546" s="16"/>
      <c r="AW1546" s="16"/>
      <c r="AX1546" s="16"/>
      <c r="AY1546" s="16"/>
      <c r="AZ1546" s="16"/>
      <c r="BA1546" s="16"/>
      <c r="BB1546" s="16"/>
      <c r="BC1546" s="16"/>
      <c r="BD1546" s="16"/>
      <c r="BE1546" s="16"/>
      <c r="BF1546" s="16"/>
      <c r="BG1546" s="16"/>
      <c r="BH1546" s="16"/>
      <c r="BI1546" s="16"/>
      <c r="BJ1546" s="16"/>
      <c r="BN1546" s="16"/>
      <c r="BO1546" s="16">
        <v>500.0</v>
      </c>
      <c r="BP1546" s="16"/>
      <c r="BQ1546" s="16" t="b">
        <v>1</v>
      </c>
      <c r="BR1546" s="16">
        <v>500.0</v>
      </c>
      <c r="BS1546" s="16"/>
      <c r="BT1546" s="16"/>
      <c r="BU1546" s="16" t="s">
        <v>539</v>
      </c>
      <c r="BV1546" s="16" t="s">
        <v>227</v>
      </c>
      <c r="BW1546" s="16"/>
      <c r="BX1546" s="16"/>
      <c r="BY1546" s="16"/>
    </row>
    <row r="1547">
      <c r="A1547" s="16">
        <v>1.305661391E9</v>
      </c>
      <c r="B1547" s="16" t="s">
        <v>35</v>
      </c>
      <c r="C1547" s="201">
        <v>45936.0</v>
      </c>
      <c r="D1547" s="16" t="s">
        <v>9260</v>
      </c>
      <c r="E1547" s="16"/>
      <c r="F1547" s="16" t="s">
        <v>9740</v>
      </c>
      <c r="G1547" s="16" t="s">
        <v>3833</v>
      </c>
      <c r="H1547" s="16">
        <v>1.0</v>
      </c>
      <c r="I1547" s="16">
        <v>5469.42</v>
      </c>
      <c r="J1547" s="16">
        <v>5469.42</v>
      </c>
      <c r="K1547" s="16"/>
      <c r="L1547" s="16"/>
      <c r="M1547" s="16"/>
      <c r="N1547" s="16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6"/>
      <c r="BB1547" s="16"/>
      <c r="BC1547" s="16"/>
      <c r="BD1547" s="16"/>
      <c r="BE1547" s="16"/>
      <c r="BF1547" s="16"/>
      <c r="BG1547" s="16"/>
      <c r="BH1547" s="16"/>
      <c r="BI1547" s="16"/>
      <c r="BJ1547" s="16"/>
      <c r="BN1547" s="16"/>
      <c r="BO1547" s="16">
        <v>5469.42</v>
      </c>
      <c r="BP1547" s="16"/>
      <c r="BQ1547" s="16" t="b">
        <v>1</v>
      </c>
      <c r="BR1547" s="16">
        <v>5469.42</v>
      </c>
      <c r="BS1547" s="16"/>
      <c r="BT1547" s="16"/>
      <c r="BU1547" s="16" t="s">
        <v>539</v>
      </c>
      <c r="BV1547" s="16"/>
      <c r="BW1547" s="16"/>
      <c r="BX1547" s="16"/>
      <c r="BY1547" s="16"/>
    </row>
    <row r="1548">
      <c r="A1548" s="16" t="s">
        <v>8388</v>
      </c>
      <c r="B1548" s="16" t="s">
        <v>35</v>
      </c>
      <c r="C1548" s="201">
        <v>45943.0</v>
      </c>
      <c r="D1548" s="16" t="s">
        <v>2248</v>
      </c>
      <c r="E1548" s="16"/>
      <c r="F1548" s="16" t="s">
        <v>8055</v>
      </c>
      <c r="G1548" s="16" t="s">
        <v>3218</v>
      </c>
      <c r="H1548" s="16">
        <v>1.0</v>
      </c>
      <c r="I1548" s="16">
        <v>185.0</v>
      </c>
      <c r="J1548" s="16">
        <v>185.0</v>
      </c>
      <c r="K1548" s="16"/>
      <c r="L1548" s="16"/>
      <c r="M1548" s="16"/>
      <c r="N1548" s="16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16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16"/>
      <c r="AP1548" s="16"/>
      <c r="AQ1548" s="16"/>
      <c r="AR1548" s="16"/>
      <c r="AS1548" s="16"/>
      <c r="AT1548" s="16"/>
      <c r="AU1548" s="16"/>
      <c r="AV1548" s="16"/>
      <c r="AW1548" s="16"/>
      <c r="AX1548" s="16"/>
      <c r="AY1548" s="16"/>
      <c r="AZ1548" s="16"/>
      <c r="BA1548" s="16"/>
      <c r="BB1548" s="16"/>
      <c r="BC1548" s="16"/>
      <c r="BD1548" s="16"/>
      <c r="BE1548" s="16"/>
      <c r="BF1548" s="16"/>
      <c r="BG1548" s="16"/>
      <c r="BH1548" s="16"/>
      <c r="BI1548" s="16"/>
      <c r="BJ1548" s="16"/>
      <c r="BN1548" s="16"/>
      <c r="BO1548" s="16">
        <v>185.0</v>
      </c>
      <c r="BP1548" s="16"/>
      <c r="BQ1548" s="16" t="b">
        <v>1</v>
      </c>
      <c r="BR1548" s="16">
        <v>185.0</v>
      </c>
      <c r="BS1548" s="16"/>
      <c r="BT1548" s="16"/>
      <c r="BU1548" s="16" t="s">
        <v>539</v>
      </c>
      <c r="BV1548" s="16"/>
      <c r="BW1548" s="16"/>
      <c r="BX1548" s="16"/>
      <c r="BY1548" s="16"/>
    </row>
    <row r="1549">
      <c r="A1549" s="16" t="s">
        <v>8390</v>
      </c>
      <c r="B1549" s="16" t="s">
        <v>35</v>
      </c>
      <c r="C1549" s="201">
        <v>45943.0</v>
      </c>
      <c r="D1549" s="16" t="s">
        <v>890</v>
      </c>
      <c r="E1549" s="16"/>
      <c r="F1549" s="16" t="s">
        <v>4010</v>
      </c>
      <c r="G1549" s="16" t="s">
        <v>4831</v>
      </c>
      <c r="H1549" s="16">
        <v>1.0</v>
      </c>
      <c r="I1549" s="16">
        <v>375.0</v>
      </c>
      <c r="J1549" s="16">
        <v>375.0</v>
      </c>
      <c r="K1549" s="16"/>
      <c r="L1549" s="16"/>
      <c r="M1549" s="16"/>
      <c r="N1549" s="16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16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16"/>
      <c r="AP1549" s="16"/>
      <c r="AQ1549" s="16"/>
      <c r="AR1549" s="16"/>
      <c r="AS1549" s="16"/>
      <c r="AT1549" s="16"/>
      <c r="AU1549" s="16"/>
      <c r="AV1549" s="16"/>
      <c r="AW1549" s="16"/>
      <c r="AX1549" s="16"/>
      <c r="AY1549" s="16"/>
      <c r="AZ1549" s="16"/>
      <c r="BA1549" s="16"/>
      <c r="BB1549" s="16"/>
      <c r="BC1549" s="16"/>
      <c r="BD1549" s="16"/>
      <c r="BE1549" s="16"/>
      <c r="BF1549" s="16"/>
      <c r="BG1549" s="16"/>
      <c r="BH1549" s="16"/>
      <c r="BI1549" s="16"/>
      <c r="BJ1549" s="16"/>
      <c r="BN1549" s="16"/>
      <c r="BO1549" s="16">
        <v>375.0</v>
      </c>
      <c r="BP1549" s="16"/>
      <c r="BQ1549" s="16" t="b">
        <v>1</v>
      </c>
      <c r="BR1549" s="16">
        <v>375.0</v>
      </c>
      <c r="BS1549" s="16"/>
      <c r="BT1549" s="16"/>
      <c r="BU1549" s="16" t="s">
        <v>539</v>
      </c>
      <c r="BV1549" s="16"/>
      <c r="BW1549" s="16"/>
      <c r="BX1549" s="16"/>
      <c r="BY1549" s="16"/>
    </row>
    <row r="1550">
      <c r="A1550" s="16" t="s">
        <v>8392</v>
      </c>
      <c r="B1550" s="16" t="s">
        <v>35</v>
      </c>
      <c r="C1550" s="201">
        <v>45943.0</v>
      </c>
      <c r="D1550" s="16" t="s">
        <v>890</v>
      </c>
      <c r="E1550" s="16"/>
      <c r="F1550" s="16" t="s">
        <v>9752</v>
      </c>
      <c r="G1550" s="16" t="s">
        <v>2348</v>
      </c>
      <c r="H1550" s="16">
        <v>1.0</v>
      </c>
      <c r="I1550" s="16">
        <v>129.89</v>
      </c>
      <c r="J1550" s="16">
        <v>129.89</v>
      </c>
      <c r="K1550" s="16"/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16"/>
      <c r="AP1550" s="16"/>
      <c r="AQ1550" s="16"/>
      <c r="AR1550" s="16"/>
      <c r="AS1550" s="16"/>
      <c r="AT1550" s="16"/>
      <c r="AU1550" s="16"/>
      <c r="AV1550" s="16"/>
      <c r="AW1550" s="16"/>
      <c r="AX1550" s="16"/>
      <c r="AY1550" s="16"/>
      <c r="AZ1550" s="16"/>
      <c r="BA1550" s="16"/>
      <c r="BB1550" s="16"/>
      <c r="BC1550" s="16"/>
      <c r="BD1550" s="16"/>
      <c r="BE1550" s="16"/>
      <c r="BF1550" s="16"/>
      <c r="BG1550" s="16"/>
      <c r="BH1550" s="16"/>
      <c r="BI1550" s="16"/>
      <c r="BJ1550" s="16"/>
      <c r="BN1550" s="16"/>
      <c r="BO1550" s="16">
        <v>129.89</v>
      </c>
      <c r="BP1550" s="16"/>
      <c r="BQ1550" s="16" t="b">
        <v>1</v>
      </c>
      <c r="BR1550" s="16">
        <v>129.89</v>
      </c>
      <c r="BS1550" s="16"/>
      <c r="BT1550" s="16"/>
      <c r="BU1550" s="16" t="s">
        <v>539</v>
      </c>
      <c r="BV1550" s="16"/>
      <c r="BW1550" s="16"/>
      <c r="BX1550" s="16"/>
      <c r="BY1550" s="16"/>
    </row>
    <row r="1551">
      <c r="A1551" s="16" t="s">
        <v>8396</v>
      </c>
      <c r="B1551" s="16" t="s">
        <v>35</v>
      </c>
      <c r="C1551" s="201">
        <v>45943.0</v>
      </c>
      <c r="D1551" s="16" t="s">
        <v>890</v>
      </c>
      <c r="E1551" s="16"/>
      <c r="F1551" s="16" t="s">
        <v>9755</v>
      </c>
      <c r="G1551" s="16" t="s">
        <v>3833</v>
      </c>
      <c r="H1551" s="16">
        <v>1.0</v>
      </c>
      <c r="I1551" s="16">
        <v>1200.43</v>
      </c>
      <c r="J1551" s="16">
        <v>1200.43</v>
      </c>
      <c r="K1551" s="16"/>
      <c r="L1551" s="16"/>
      <c r="M1551" s="16"/>
      <c r="N1551" s="16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16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16"/>
      <c r="AP1551" s="16"/>
      <c r="AQ1551" s="16"/>
      <c r="AR1551" s="16"/>
      <c r="AS1551" s="16"/>
      <c r="AT1551" s="16"/>
      <c r="AU1551" s="16"/>
      <c r="AV1551" s="16"/>
      <c r="AW1551" s="16"/>
      <c r="AX1551" s="16"/>
      <c r="AY1551" s="16"/>
      <c r="AZ1551" s="16"/>
      <c r="BA1551" s="16"/>
      <c r="BB1551" s="16"/>
      <c r="BC1551" s="16"/>
      <c r="BD1551" s="16"/>
      <c r="BE1551" s="16"/>
      <c r="BF1551" s="16"/>
      <c r="BG1551" s="16"/>
      <c r="BH1551" s="16"/>
      <c r="BI1551" s="16"/>
      <c r="BJ1551" s="16"/>
      <c r="BN1551" s="16"/>
      <c r="BO1551" s="16">
        <v>1200.43</v>
      </c>
      <c r="BP1551" s="16"/>
      <c r="BQ1551" s="16" t="b">
        <v>1</v>
      </c>
      <c r="BR1551" s="16">
        <v>1200.43</v>
      </c>
      <c r="BS1551" s="16"/>
      <c r="BT1551" s="16"/>
      <c r="BU1551" s="16" t="s">
        <v>539</v>
      </c>
      <c r="BV1551" s="16"/>
      <c r="BW1551" s="16"/>
      <c r="BX1551" s="16"/>
      <c r="BY1551" s="16"/>
    </row>
    <row r="1552">
      <c r="A1552" s="16">
        <v>11501.0</v>
      </c>
      <c r="B1552" s="16" t="s">
        <v>35</v>
      </c>
      <c r="C1552" s="201">
        <v>45943.0</v>
      </c>
      <c r="D1552" s="16" t="s">
        <v>3516</v>
      </c>
      <c r="E1552" s="16"/>
      <c r="F1552" s="16" t="s">
        <v>9759</v>
      </c>
      <c r="G1552" s="16" t="s">
        <v>2448</v>
      </c>
      <c r="H1552" s="16">
        <v>1.0</v>
      </c>
      <c r="I1552" s="16">
        <v>1601.97</v>
      </c>
      <c r="J1552" s="16">
        <v>1601.97</v>
      </c>
      <c r="K1552" s="16"/>
      <c r="L1552" s="16"/>
      <c r="M1552" s="16"/>
      <c r="N1552" s="16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16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16"/>
      <c r="AP1552" s="16"/>
      <c r="AQ1552" s="16"/>
      <c r="AR1552" s="16"/>
      <c r="AS1552" s="16"/>
      <c r="AT1552" s="16"/>
      <c r="AU1552" s="16"/>
      <c r="AV1552" s="16"/>
      <c r="AW1552" s="16"/>
      <c r="AX1552" s="16"/>
      <c r="AY1552" s="16"/>
      <c r="AZ1552" s="16"/>
      <c r="BA1552" s="16"/>
      <c r="BB1552" s="16"/>
      <c r="BC1552" s="16"/>
      <c r="BD1552" s="16"/>
      <c r="BE1552" s="16"/>
      <c r="BF1552" s="16"/>
      <c r="BG1552" s="16"/>
      <c r="BH1552" s="16"/>
      <c r="BI1552" s="16"/>
      <c r="BJ1552" s="16"/>
      <c r="BN1552" s="16"/>
      <c r="BO1552" s="16">
        <v>1601.97</v>
      </c>
      <c r="BP1552" s="16"/>
      <c r="BQ1552" s="16" t="b">
        <v>1</v>
      </c>
      <c r="BR1552" s="16">
        <v>1601.97</v>
      </c>
      <c r="BS1552" s="16"/>
      <c r="BT1552" s="16"/>
      <c r="BU1552" s="16" t="s">
        <v>539</v>
      </c>
      <c r="BV1552" s="16"/>
      <c r="BW1552" s="16"/>
      <c r="BX1552" s="16"/>
      <c r="BY1552" s="16"/>
    </row>
    <row r="1553">
      <c r="A1553" s="16">
        <v>11502.0</v>
      </c>
      <c r="B1553" s="16" t="s">
        <v>35</v>
      </c>
      <c r="C1553" s="201">
        <v>45947.0</v>
      </c>
      <c r="D1553" s="16" t="s">
        <v>3516</v>
      </c>
      <c r="E1553" s="16"/>
      <c r="F1553" s="16" t="s">
        <v>9762</v>
      </c>
      <c r="G1553" s="16" t="s">
        <v>2662</v>
      </c>
      <c r="H1553" s="16">
        <v>1.0</v>
      </c>
      <c r="I1553" s="16">
        <v>14378.5</v>
      </c>
      <c r="J1553" s="16">
        <v>14378.5</v>
      </c>
      <c r="K1553" s="16"/>
      <c r="L1553" s="16"/>
      <c r="M1553" s="16"/>
      <c r="N1553" s="16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16"/>
      <c r="AP1553" s="16"/>
      <c r="AQ1553" s="16"/>
      <c r="AR1553" s="16"/>
      <c r="AS1553" s="16"/>
      <c r="AT1553" s="16"/>
      <c r="AU1553" s="16"/>
      <c r="AV1553" s="16"/>
      <c r="AW1553" s="16"/>
      <c r="AX1553" s="16"/>
      <c r="AY1553" s="16"/>
      <c r="AZ1553" s="16"/>
      <c r="BA1553" s="16"/>
      <c r="BB1553" s="16"/>
      <c r="BC1553" s="16"/>
      <c r="BD1553" s="16"/>
      <c r="BE1553" s="16"/>
      <c r="BF1553" s="16"/>
      <c r="BG1553" s="16"/>
      <c r="BH1553" s="16"/>
      <c r="BI1553" s="16"/>
      <c r="BJ1553" s="16"/>
      <c r="BN1553" s="16"/>
      <c r="BO1553" s="16">
        <v>14378.5</v>
      </c>
      <c r="BP1553" s="16"/>
      <c r="BQ1553" s="16" t="b">
        <v>1</v>
      </c>
      <c r="BR1553" s="16">
        <v>14378.5</v>
      </c>
      <c r="BS1553" s="16"/>
      <c r="BT1553" s="16"/>
      <c r="BU1553" s="16" t="s">
        <v>539</v>
      </c>
      <c r="BV1553" s="16"/>
      <c r="BW1553" s="16"/>
      <c r="BX1553" s="16"/>
      <c r="BY1553" s="16"/>
    </row>
    <row r="1554">
      <c r="A1554" s="16" t="s">
        <v>8401</v>
      </c>
      <c r="B1554" s="16" t="s">
        <v>35</v>
      </c>
      <c r="C1554" s="201">
        <v>45943.0</v>
      </c>
      <c r="D1554" s="16" t="s">
        <v>1864</v>
      </c>
      <c r="E1554" s="16"/>
      <c r="F1554" s="16" t="s">
        <v>8399</v>
      </c>
      <c r="G1554" s="16" t="s">
        <v>7522</v>
      </c>
      <c r="H1554" s="16">
        <v>1.0</v>
      </c>
      <c r="I1554" s="16">
        <v>31.65</v>
      </c>
      <c r="J1554" s="16">
        <v>31.65</v>
      </c>
      <c r="K1554" s="16"/>
      <c r="L1554" s="16"/>
      <c r="M1554" s="16"/>
      <c r="N1554" s="16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16"/>
      <c r="AP1554" s="16"/>
      <c r="AQ1554" s="16"/>
      <c r="AR1554" s="16"/>
      <c r="AS1554" s="16"/>
      <c r="AT1554" s="16"/>
      <c r="AU1554" s="16"/>
      <c r="AV1554" s="16"/>
      <c r="AW1554" s="16"/>
      <c r="AX1554" s="16"/>
      <c r="AY1554" s="16"/>
      <c r="AZ1554" s="16"/>
      <c r="BA1554" s="16"/>
      <c r="BB1554" s="16"/>
      <c r="BC1554" s="16"/>
      <c r="BD1554" s="16"/>
      <c r="BE1554" s="16"/>
      <c r="BF1554" s="16"/>
      <c r="BG1554" s="16"/>
      <c r="BH1554" s="16"/>
      <c r="BI1554" s="16"/>
      <c r="BJ1554" s="16"/>
      <c r="BN1554" s="16"/>
      <c r="BO1554" s="16">
        <v>31.65</v>
      </c>
      <c r="BP1554" s="16"/>
      <c r="BQ1554" s="16" t="b">
        <v>1</v>
      </c>
      <c r="BR1554" s="16">
        <v>31.65</v>
      </c>
      <c r="BS1554" s="16"/>
      <c r="BT1554" s="16"/>
      <c r="BU1554" s="16" t="s">
        <v>539</v>
      </c>
      <c r="BV1554" s="16"/>
      <c r="BW1554" s="16"/>
      <c r="BX1554" s="16"/>
      <c r="BY1554" s="16"/>
    </row>
    <row r="1555">
      <c r="A1555" s="16" t="s">
        <v>8403</v>
      </c>
      <c r="B1555" s="16" t="s">
        <v>35</v>
      </c>
      <c r="C1555" s="201">
        <v>45950.0</v>
      </c>
      <c r="D1555" s="16" t="s">
        <v>460</v>
      </c>
      <c r="E1555" s="16"/>
      <c r="F1555" s="16" t="s">
        <v>9771</v>
      </c>
      <c r="G1555" s="16" t="s">
        <v>8404</v>
      </c>
      <c r="H1555" s="16">
        <v>1.0</v>
      </c>
      <c r="I1555" s="16">
        <v>415.52</v>
      </c>
      <c r="J1555" s="16">
        <v>415.52</v>
      </c>
      <c r="K1555" s="16"/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16"/>
      <c r="AP1555" s="16"/>
      <c r="AQ1555" s="16"/>
      <c r="AR1555" s="16"/>
      <c r="AS1555" s="16"/>
      <c r="AT1555" s="16"/>
      <c r="AU1555" s="16"/>
      <c r="AV1555" s="16"/>
      <c r="AW1555" s="16"/>
      <c r="AX1555" s="16"/>
      <c r="AY1555" s="16"/>
      <c r="AZ1555" s="16"/>
      <c r="BA1555" s="16"/>
      <c r="BB1555" s="16"/>
      <c r="BC1555" s="16"/>
      <c r="BD1555" s="16"/>
      <c r="BE1555" s="16"/>
      <c r="BF1555" s="16"/>
      <c r="BG1555" s="16"/>
      <c r="BH1555" s="16"/>
      <c r="BI1555" s="16"/>
      <c r="BJ1555" s="16"/>
      <c r="BN1555" s="16"/>
      <c r="BO1555" s="16">
        <v>415.52</v>
      </c>
      <c r="BP1555" s="16"/>
      <c r="BQ1555" s="16" t="b">
        <v>1</v>
      </c>
      <c r="BR1555" s="16">
        <v>415.52</v>
      </c>
      <c r="BS1555" s="16"/>
      <c r="BT1555" s="16"/>
      <c r="BU1555" s="16" t="s">
        <v>539</v>
      </c>
      <c r="BV1555" s="16"/>
      <c r="BW1555" s="16"/>
      <c r="BX1555" s="16"/>
      <c r="BY1555" s="16"/>
    </row>
    <row r="1556">
      <c r="A1556" s="16" t="s">
        <v>8407</v>
      </c>
      <c r="B1556" s="16" t="s">
        <v>35</v>
      </c>
      <c r="C1556" s="201">
        <v>45950.0</v>
      </c>
      <c r="D1556" s="16" t="s">
        <v>1160</v>
      </c>
      <c r="E1556" s="16"/>
      <c r="F1556" s="16" t="s">
        <v>9771</v>
      </c>
      <c r="G1556" s="16" t="s">
        <v>8404</v>
      </c>
      <c r="H1556" s="16">
        <v>1.0</v>
      </c>
      <c r="I1556" s="16">
        <v>486.48</v>
      </c>
      <c r="J1556" s="16">
        <v>486.48</v>
      </c>
      <c r="K1556" s="16"/>
      <c r="L1556" s="16"/>
      <c r="M1556" s="16"/>
      <c r="N1556" s="16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16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16"/>
      <c r="AP1556" s="16"/>
      <c r="AQ1556" s="16"/>
      <c r="AR1556" s="16"/>
      <c r="AS1556" s="16"/>
      <c r="AT1556" s="16"/>
      <c r="AU1556" s="16"/>
      <c r="AV1556" s="16"/>
      <c r="AW1556" s="16"/>
      <c r="AX1556" s="16"/>
      <c r="AY1556" s="16"/>
      <c r="AZ1556" s="16"/>
      <c r="BA1556" s="16"/>
      <c r="BB1556" s="16"/>
      <c r="BC1556" s="16"/>
      <c r="BD1556" s="16"/>
      <c r="BE1556" s="16"/>
      <c r="BF1556" s="16"/>
      <c r="BG1556" s="16"/>
      <c r="BH1556" s="16"/>
      <c r="BI1556" s="16"/>
      <c r="BJ1556" s="16"/>
      <c r="BN1556" s="16"/>
      <c r="BO1556" s="16">
        <v>486.48</v>
      </c>
      <c r="BP1556" s="16"/>
      <c r="BQ1556" s="16" t="b">
        <v>1</v>
      </c>
      <c r="BR1556" s="16">
        <v>486.48</v>
      </c>
      <c r="BS1556" s="16"/>
      <c r="BT1556" s="16"/>
      <c r="BU1556" s="16" t="s">
        <v>539</v>
      </c>
      <c r="BV1556" s="16"/>
      <c r="BW1556" s="16"/>
      <c r="BX1556" s="16"/>
      <c r="BY1556" s="16"/>
    </row>
    <row r="1557">
      <c r="A1557" s="16" t="s">
        <v>8410</v>
      </c>
      <c r="B1557" s="16" t="s">
        <v>35</v>
      </c>
      <c r="C1557" s="201">
        <v>45954.0</v>
      </c>
      <c r="D1557" s="16" t="s">
        <v>1864</v>
      </c>
      <c r="E1557" s="16"/>
      <c r="F1557" s="16" t="s">
        <v>9780</v>
      </c>
      <c r="G1557" s="16" t="s">
        <v>2662</v>
      </c>
      <c r="H1557" s="16">
        <v>1.0</v>
      </c>
      <c r="I1557" s="16">
        <v>209.66</v>
      </c>
      <c r="J1557" s="16">
        <v>209.66</v>
      </c>
      <c r="K1557" s="16"/>
      <c r="L1557" s="16"/>
      <c r="M1557" s="16"/>
      <c r="N1557" s="16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16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16"/>
      <c r="AP1557" s="16"/>
      <c r="AQ1557" s="16"/>
      <c r="AR1557" s="16"/>
      <c r="AS1557" s="16"/>
      <c r="AT1557" s="16"/>
      <c r="AU1557" s="16"/>
      <c r="AV1557" s="16"/>
      <c r="AW1557" s="16"/>
      <c r="AX1557" s="16"/>
      <c r="AY1557" s="16"/>
      <c r="AZ1557" s="16"/>
      <c r="BA1557" s="16"/>
      <c r="BB1557" s="16"/>
      <c r="BC1557" s="16"/>
      <c r="BD1557" s="16"/>
      <c r="BE1557" s="16"/>
      <c r="BF1557" s="16"/>
      <c r="BG1557" s="16"/>
      <c r="BH1557" s="16"/>
      <c r="BI1557" s="16"/>
      <c r="BJ1557" s="16"/>
      <c r="BN1557" s="16"/>
      <c r="BO1557" s="16">
        <v>209.66</v>
      </c>
      <c r="BP1557" s="16"/>
      <c r="BQ1557" s="16" t="b">
        <v>1</v>
      </c>
      <c r="BR1557" s="16">
        <v>209.66</v>
      </c>
      <c r="BS1557" s="16"/>
      <c r="BT1557" s="16"/>
      <c r="BU1557" s="16" t="s">
        <v>539</v>
      </c>
      <c r="BV1557" s="16"/>
      <c r="BW1557" s="16"/>
      <c r="BX1557" s="16"/>
      <c r="BY1557" s="16"/>
    </row>
    <row r="1558">
      <c r="A1558" s="16">
        <v>11515.0</v>
      </c>
      <c r="B1558" s="16" t="s">
        <v>35</v>
      </c>
      <c r="C1558" s="201">
        <v>45950.0</v>
      </c>
      <c r="D1558" s="16" t="s">
        <v>460</v>
      </c>
      <c r="E1558" s="16"/>
      <c r="F1558" s="22">
        <v>45931.0</v>
      </c>
      <c r="G1558" s="16" t="s">
        <v>8404</v>
      </c>
      <c r="H1558" s="16">
        <v>1.0</v>
      </c>
      <c r="I1558" s="16">
        <v>249.23</v>
      </c>
      <c r="J1558" s="16">
        <v>249.23</v>
      </c>
      <c r="K1558" s="16"/>
      <c r="L1558" s="16"/>
      <c r="M1558" s="16"/>
      <c r="N1558" s="16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16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16"/>
      <c r="AP1558" s="16"/>
      <c r="AQ1558" s="16"/>
      <c r="AR1558" s="16"/>
      <c r="AS1558" s="16"/>
      <c r="AT1558" s="16"/>
      <c r="AU1558" s="16"/>
      <c r="AV1558" s="16"/>
      <c r="AW1558" s="16"/>
      <c r="AX1558" s="16"/>
      <c r="AY1558" s="16"/>
      <c r="AZ1558" s="16"/>
      <c r="BA1558" s="16"/>
      <c r="BB1558" s="16"/>
      <c r="BC1558" s="16"/>
      <c r="BD1558" s="16"/>
      <c r="BE1558" s="16"/>
      <c r="BF1558" s="16"/>
      <c r="BG1558" s="16"/>
      <c r="BH1558" s="16"/>
      <c r="BI1558" s="16"/>
      <c r="BJ1558" s="16"/>
      <c r="BN1558" s="16"/>
      <c r="BO1558" s="16">
        <v>249.23</v>
      </c>
      <c r="BP1558" s="16"/>
      <c r="BQ1558" s="16" t="b">
        <v>1</v>
      </c>
      <c r="BR1558" s="16">
        <v>249.23</v>
      </c>
      <c r="BS1558" s="16"/>
      <c r="BT1558" s="16"/>
      <c r="BU1558" s="16" t="s">
        <v>539</v>
      </c>
      <c r="BV1558" s="16"/>
      <c r="BW1558" s="16"/>
      <c r="BX1558" s="16"/>
      <c r="BY1558" s="16"/>
    </row>
    <row r="1559">
      <c r="A1559" s="16">
        <v>11516.0</v>
      </c>
      <c r="B1559" s="16" t="s">
        <v>35</v>
      </c>
      <c r="C1559" s="201">
        <v>45950.0</v>
      </c>
      <c r="D1559" s="16" t="s">
        <v>1160</v>
      </c>
      <c r="E1559" s="16"/>
      <c r="F1559" s="22">
        <v>45717.0</v>
      </c>
      <c r="G1559" s="16" t="s">
        <v>8404</v>
      </c>
      <c r="H1559" s="16">
        <v>1.0</v>
      </c>
      <c r="I1559" s="16">
        <v>68.56</v>
      </c>
      <c r="J1559" s="16">
        <v>68.56</v>
      </c>
      <c r="K1559" s="16"/>
      <c r="L1559" s="16"/>
      <c r="M1559" s="16"/>
      <c r="N1559" s="16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16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16"/>
      <c r="AP1559" s="16"/>
      <c r="AQ1559" s="16"/>
      <c r="AR1559" s="16"/>
      <c r="AS1559" s="16"/>
      <c r="AT1559" s="16"/>
      <c r="AU1559" s="16"/>
      <c r="AV1559" s="16"/>
      <c r="AW1559" s="16"/>
      <c r="AX1559" s="16"/>
      <c r="AY1559" s="16"/>
      <c r="AZ1559" s="16"/>
      <c r="BA1559" s="16"/>
      <c r="BB1559" s="16"/>
      <c r="BC1559" s="16"/>
      <c r="BD1559" s="16"/>
      <c r="BE1559" s="16"/>
      <c r="BF1559" s="16"/>
      <c r="BG1559" s="16"/>
      <c r="BH1559" s="16"/>
      <c r="BI1559" s="16"/>
      <c r="BJ1559" s="16"/>
      <c r="BN1559" s="16"/>
      <c r="BO1559" s="16">
        <v>68.56</v>
      </c>
      <c r="BP1559" s="16"/>
      <c r="BQ1559" s="16" t="b">
        <v>1</v>
      </c>
      <c r="BR1559" s="16">
        <v>68.56</v>
      </c>
      <c r="BS1559" s="16"/>
      <c r="BT1559" s="16"/>
      <c r="BU1559" s="16" t="s">
        <v>539</v>
      </c>
      <c r="BV1559" s="16"/>
      <c r="BW1559" s="16"/>
      <c r="BX1559" s="16"/>
      <c r="BY1559" s="16"/>
    </row>
    <row r="1560">
      <c r="A1560" s="16" t="s">
        <v>8416</v>
      </c>
      <c r="B1560" s="16" t="s">
        <v>35</v>
      </c>
      <c r="C1560" s="201">
        <v>45956.0</v>
      </c>
      <c r="D1560" s="16"/>
      <c r="E1560" s="16"/>
      <c r="F1560" s="16" t="s">
        <v>1329</v>
      </c>
      <c r="G1560" s="16" t="s">
        <v>1168</v>
      </c>
      <c r="H1560" s="16">
        <v>1.0</v>
      </c>
      <c r="I1560" s="16">
        <v>500.0</v>
      </c>
      <c r="J1560" s="16">
        <v>500.0</v>
      </c>
      <c r="K1560" s="16"/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16"/>
      <c r="AP1560" s="16"/>
      <c r="AQ1560" s="16"/>
      <c r="AR1560" s="16"/>
      <c r="AS1560" s="16"/>
      <c r="AT1560" s="16"/>
      <c r="AU1560" s="16"/>
      <c r="AV1560" s="16"/>
      <c r="AW1560" s="16"/>
      <c r="AX1560" s="16"/>
      <c r="AY1560" s="16"/>
      <c r="AZ1560" s="16"/>
      <c r="BA1560" s="16"/>
      <c r="BB1560" s="16"/>
      <c r="BC1560" s="16"/>
      <c r="BD1560" s="16"/>
      <c r="BE1560" s="16"/>
      <c r="BF1560" s="16"/>
      <c r="BG1560" s="16"/>
      <c r="BH1560" s="16"/>
      <c r="BI1560" s="16"/>
      <c r="BJ1560" s="16"/>
      <c r="BN1560" s="16"/>
      <c r="BO1560" s="16">
        <v>500.0</v>
      </c>
      <c r="BP1560" s="16"/>
      <c r="BQ1560" s="16" t="b">
        <v>1</v>
      </c>
      <c r="BR1560" s="16">
        <v>500.0</v>
      </c>
      <c r="BS1560" s="16"/>
      <c r="BT1560" s="16"/>
      <c r="BU1560" s="16" t="s">
        <v>539</v>
      </c>
      <c r="BV1560" s="16" t="s">
        <v>624</v>
      </c>
      <c r="BW1560" s="16"/>
      <c r="BX1560" s="16"/>
      <c r="BY1560" s="16"/>
    </row>
    <row r="1561">
      <c r="A1561" s="16" t="s">
        <v>8420</v>
      </c>
      <c r="B1561" s="16" t="s">
        <v>35</v>
      </c>
      <c r="C1561" s="201">
        <v>45956.0</v>
      </c>
      <c r="D1561" s="16"/>
      <c r="E1561" s="16"/>
      <c r="F1561" s="16" t="s">
        <v>1329</v>
      </c>
      <c r="G1561" s="16" t="s">
        <v>1168</v>
      </c>
      <c r="H1561" s="16">
        <v>1.0</v>
      </c>
      <c r="I1561" s="16">
        <v>600.0</v>
      </c>
      <c r="J1561" s="16">
        <v>600.0</v>
      </c>
      <c r="K1561" s="16"/>
      <c r="L1561" s="16"/>
      <c r="M1561" s="16"/>
      <c r="N1561" s="16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16"/>
      <c r="AP1561" s="16"/>
      <c r="AQ1561" s="16"/>
      <c r="AR1561" s="16"/>
      <c r="AS1561" s="16"/>
      <c r="AT1561" s="16"/>
      <c r="AU1561" s="16"/>
      <c r="AV1561" s="16"/>
      <c r="AW1561" s="16"/>
      <c r="AX1561" s="16"/>
      <c r="AY1561" s="16"/>
      <c r="AZ1561" s="16"/>
      <c r="BA1561" s="16"/>
      <c r="BB1561" s="16"/>
      <c r="BC1561" s="16"/>
      <c r="BD1561" s="16"/>
      <c r="BE1561" s="16"/>
      <c r="BF1561" s="16"/>
      <c r="BG1561" s="16"/>
      <c r="BH1561" s="16"/>
      <c r="BI1561" s="16"/>
      <c r="BJ1561" s="16"/>
      <c r="BN1561" s="16"/>
      <c r="BO1561" s="16">
        <v>600.0</v>
      </c>
      <c r="BP1561" s="16"/>
      <c r="BQ1561" s="16" t="b">
        <v>1</v>
      </c>
      <c r="BR1561" s="16">
        <v>600.0</v>
      </c>
      <c r="BS1561" s="16"/>
      <c r="BT1561" s="16"/>
      <c r="BU1561" s="16" t="s">
        <v>539</v>
      </c>
      <c r="BV1561" s="16" t="s">
        <v>2052</v>
      </c>
      <c r="BW1561" s="16"/>
      <c r="BX1561" s="16"/>
      <c r="BY1561" s="16"/>
    </row>
    <row r="1562">
      <c r="A1562" s="16" t="s">
        <v>8422</v>
      </c>
      <c r="B1562" s="16" t="s">
        <v>35</v>
      </c>
      <c r="C1562" s="201">
        <v>45956.0</v>
      </c>
      <c r="D1562" s="16"/>
      <c r="E1562" s="16"/>
      <c r="F1562" s="16" t="s">
        <v>1329</v>
      </c>
      <c r="G1562" s="16" t="s">
        <v>1168</v>
      </c>
      <c r="H1562" s="16">
        <v>1.0</v>
      </c>
      <c r="I1562" s="16">
        <v>500.0</v>
      </c>
      <c r="J1562" s="16">
        <v>500.0</v>
      </c>
      <c r="K1562" s="16"/>
      <c r="L1562" s="16"/>
      <c r="M1562" s="16"/>
      <c r="N1562" s="16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16"/>
      <c r="AP1562" s="16"/>
      <c r="AQ1562" s="16"/>
      <c r="AR1562" s="16"/>
      <c r="AS1562" s="16"/>
      <c r="AT1562" s="16"/>
      <c r="AU1562" s="16"/>
      <c r="AV1562" s="16"/>
      <c r="AW1562" s="16"/>
      <c r="AX1562" s="16"/>
      <c r="AY1562" s="16"/>
      <c r="AZ1562" s="16"/>
      <c r="BA1562" s="16"/>
      <c r="BB1562" s="16"/>
      <c r="BC1562" s="16"/>
      <c r="BD1562" s="16"/>
      <c r="BE1562" s="16"/>
      <c r="BF1562" s="16"/>
      <c r="BG1562" s="16"/>
      <c r="BH1562" s="16"/>
      <c r="BI1562" s="16"/>
      <c r="BJ1562" s="16"/>
      <c r="BN1562" s="16"/>
      <c r="BO1562" s="16">
        <v>500.0</v>
      </c>
      <c r="BP1562" s="16"/>
      <c r="BQ1562" s="16" t="b">
        <v>1</v>
      </c>
      <c r="BR1562" s="16">
        <v>500.0</v>
      </c>
      <c r="BS1562" s="16"/>
      <c r="BT1562" s="16"/>
      <c r="BU1562" s="16" t="s">
        <v>539</v>
      </c>
      <c r="BV1562" s="16" t="s">
        <v>3795</v>
      </c>
      <c r="BW1562" s="16"/>
      <c r="BX1562" s="16"/>
      <c r="BY1562" s="16"/>
    </row>
    <row r="1563">
      <c r="A1563" s="16" t="s">
        <v>8426</v>
      </c>
      <c r="B1563" s="16" t="s">
        <v>35</v>
      </c>
      <c r="C1563" s="201">
        <v>45956.0</v>
      </c>
      <c r="D1563" s="16"/>
      <c r="E1563" s="16"/>
      <c r="F1563" s="16" t="s">
        <v>1329</v>
      </c>
      <c r="G1563" s="16" t="s">
        <v>1168</v>
      </c>
      <c r="H1563" s="16">
        <v>1.0</v>
      </c>
      <c r="I1563" s="16">
        <v>500.0</v>
      </c>
      <c r="J1563" s="16">
        <v>500.0</v>
      </c>
      <c r="K1563" s="16"/>
      <c r="L1563" s="16"/>
      <c r="M1563" s="16"/>
      <c r="N1563" s="16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16"/>
      <c r="AP1563" s="16"/>
      <c r="AQ1563" s="16"/>
      <c r="AR1563" s="16"/>
      <c r="AS1563" s="16"/>
      <c r="AT1563" s="16"/>
      <c r="AU1563" s="16"/>
      <c r="AV1563" s="16"/>
      <c r="AW1563" s="16"/>
      <c r="AX1563" s="16"/>
      <c r="AY1563" s="16"/>
      <c r="AZ1563" s="16"/>
      <c r="BA1563" s="16"/>
      <c r="BB1563" s="16"/>
      <c r="BC1563" s="16"/>
      <c r="BD1563" s="16"/>
      <c r="BE1563" s="16"/>
      <c r="BF1563" s="16"/>
      <c r="BG1563" s="16"/>
      <c r="BH1563" s="16"/>
      <c r="BI1563" s="16"/>
      <c r="BJ1563" s="16"/>
      <c r="BN1563" s="16"/>
      <c r="BO1563" s="16">
        <v>500.0</v>
      </c>
      <c r="BP1563" s="16"/>
      <c r="BQ1563" s="16" t="b">
        <v>1</v>
      </c>
      <c r="BR1563" s="16">
        <v>500.0</v>
      </c>
      <c r="BS1563" s="16"/>
      <c r="BT1563" s="16"/>
      <c r="BU1563" s="16" t="s">
        <v>539</v>
      </c>
      <c r="BV1563" s="16" t="s">
        <v>6062</v>
      </c>
      <c r="BW1563" s="16"/>
      <c r="BX1563" s="16"/>
      <c r="BY1563" s="16"/>
    </row>
    <row r="1564">
      <c r="A1564" s="16" t="s">
        <v>8429</v>
      </c>
      <c r="B1564" s="16" t="s">
        <v>35</v>
      </c>
      <c r="C1564" s="201">
        <v>45958.0</v>
      </c>
      <c r="D1564" s="16" t="s">
        <v>890</v>
      </c>
      <c r="E1564" s="16"/>
      <c r="F1564" s="16" t="s">
        <v>9811</v>
      </c>
      <c r="G1564" s="16" t="s">
        <v>3833</v>
      </c>
      <c r="H1564" s="16">
        <v>1.0</v>
      </c>
      <c r="I1564" s="16">
        <v>2509.94</v>
      </c>
      <c r="J1564" s="16">
        <v>2509.94</v>
      </c>
      <c r="K1564" s="16"/>
      <c r="L1564" s="16"/>
      <c r="M1564" s="16"/>
      <c r="N1564" s="16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16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16"/>
      <c r="AP1564" s="16"/>
      <c r="AQ1564" s="16"/>
      <c r="AR1564" s="16"/>
      <c r="AS1564" s="16"/>
      <c r="AT1564" s="16"/>
      <c r="AU1564" s="16"/>
      <c r="AV1564" s="16"/>
      <c r="AW1564" s="16"/>
      <c r="AX1564" s="16"/>
      <c r="AY1564" s="16"/>
      <c r="AZ1564" s="16"/>
      <c r="BA1564" s="16"/>
      <c r="BB1564" s="16"/>
      <c r="BC1564" s="16"/>
      <c r="BD1564" s="16"/>
      <c r="BE1564" s="16"/>
      <c r="BF1564" s="16"/>
      <c r="BG1564" s="16"/>
      <c r="BH1564" s="16"/>
      <c r="BI1564" s="16"/>
      <c r="BJ1564" s="16"/>
      <c r="BN1564" s="16"/>
      <c r="BO1564" s="16">
        <v>2509.94</v>
      </c>
      <c r="BP1564" s="16"/>
      <c r="BQ1564" s="16" t="b">
        <v>1</v>
      </c>
      <c r="BR1564" s="16">
        <v>2509.94</v>
      </c>
      <c r="BS1564" s="16"/>
      <c r="BT1564" s="16"/>
      <c r="BU1564" s="16" t="s">
        <v>539</v>
      </c>
      <c r="BV1564" s="16"/>
      <c r="BW1564" s="16"/>
      <c r="BX1564" s="16"/>
      <c r="BY1564" s="16"/>
    </row>
    <row r="1565">
      <c r="A1565" s="16" t="s">
        <v>8431</v>
      </c>
      <c r="B1565" s="16" t="s">
        <v>35</v>
      </c>
      <c r="C1565" s="201">
        <v>45958.0</v>
      </c>
      <c r="D1565" s="16" t="s">
        <v>890</v>
      </c>
      <c r="E1565" s="16"/>
      <c r="F1565" s="16" t="s">
        <v>9816</v>
      </c>
      <c r="G1565" s="16" t="s">
        <v>3833</v>
      </c>
      <c r="H1565" s="16">
        <v>1.0</v>
      </c>
      <c r="I1565" s="16">
        <v>1237.88</v>
      </c>
      <c r="J1565" s="16">
        <v>1237.88</v>
      </c>
      <c r="K1565" s="16"/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6"/>
      <c r="AT1565" s="16"/>
      <c r="AU1565" s="16"/>
      <c r="AV1565" s="16"/>
      <c r="AW1565" s="16"/>
      <c r="AX1565" s="16"/>
      <c r="AY1565" s="16"/>
      <c r="AZ1565" s="16"/>
      <c r="BA1565" s="16"/>
      <c r="BB1565" s="16"/>
      <c r="BC1565" s="16"/>
      <c r="BD1565" s="16"/>
      <c r="BE1565" s="16"/>
      <c r="BF1565" s="16"/>
      <c r="BG1565" s="16"/>
      <c r="BH1565" s="16"/>
      <c r="BI1565" s="16"/>
      <c r="BJ1565" s="16"/>
      <c r="BN1565" s="16"/>
      <c r="BO1565" s="16">
        <v>1237.88</v>
      </c>
      <c r="BP1565" s="16"/>
      <c r="BQ1565" s="16" t="b">
        <v>1</v>
      </c>
      <c r="BR1565" s="16">
        <v>1237.88</v>
      </c>
      <c r="BS1565" s="16"/>
      <c r="BT1565" s="16"/>
      <c r="BU1565" s="16" t="s">
        <v>539</v>
      </c>
      <c r="BV1565" s="16"/>
      <c r="BW1565" s="16"/>
      <c r="BX1565" s="16"/>
      <c r="BY1565" s="16"/>
    </row>
    <row r="1566">
      <c r="A1566" s="16" t="s">
        <v>8435</v>
      </c>
      <c r="B1566" s="16" t="s">
        <v>35</v>
      </c>
      <c r="C1566" s="201">
        <v>45958.0</v>
      </c>
      <c r="D1566" s="16" t="s">
        <v>890</v>
      </c>
      <c r="E1566" s="16"/>
      <c r="F1566" s="16" t="s">
        <v>9823</v>
      </c>
      <c r="G1566" s="16" t="s">
        <v>3833</v>
      </c>
      <c r="H1566" s="16">
        <v>1.0</v>
      </c>
      <c r="I1566" s="16">
        <v>226.8</v>
      </c>
      <c r="J1566" s="16">
        <v>226.8</v>
      </c>
      <c r="K1566" s="16"/>
      <c r="L1566" s="16"/>
      <c r="M1566" s="16"/>
      <c r="N1566" s="16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16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16"/>
      <c r="AP1566" s="16"/>
      <c r="AQ1566" s="16"/>
      <c r="AR1566" s="16"/>
      <c r="AS1566" s="16"/>
      <c r="AT1566" s="16"/>
      <c r="AU1566" s="16"/>
      <c r="AV1566" s="16"/>
      <c r="AW1566" s="16"/>
      <c r="AX1566" s="16"/>
      <c r="AY1566" s="16"/>
      <c r="AZ1566" s="16"/>
      <c r="BA1566" s="16"/>
      <c r="BB1566" s="16"/>
      <c r="BC1566" s="16"/>
      <c r="BD1566" s="16"/>
      <c r="BE1566" s="16"/>
      <c r="BF1566" s="16"/>
      <c r="BG1566" s="16"/>
      <c r="BH1566" s="16"/>
      <c r="BI1566" s="16"/>
      <c r="BJ1566" s="16"/>
      <c r="BN1566" s="16"/>
      <c r="BO1566" s="16">
        <v>226.8</v>
      </c>
      <c r="BP1566" s="16"/>
      <c r="BQ1566" s="16" t="b">
        <v>1</v>
      </c>
      <c r="BR1566" s="16">
        <v>226.8</v>
      </c>
      <c r="BS1566" s="16"/>
      <c r="BT1566" s="16"/>
      <c r="BU1566" s="16" t="s">
        <v>539</v>
      </c>
      <c r="BV1566" s="16"/>
      <c r="BW1566" s="16"/>
      <c r="BX1566" s="16"/>
      <c r="BY1566" s="16"/>
    </row>
    <row r="1567">
      <c r="A1567" s="16">
        <v>11526.0</v>
      </c>
      <c r="B1567" s="16" t="s">
        <v>35</v>
      </c>
      <c r="C1567" s="201">
        <v>45958.0</v>
      </c>
      <c r="D1567" s="16" t="s">
        <v>9825</v>
      </c>
      <c r="E1567" s="16"/>
      <c r="F1567" s="16" t="s">
        <v>9826</v>
      </c>
      <c r="G1567" s="16" t="s">
        <v>2870</v>
      </c>
      <c r="H1567" s="16">
        <v>1.0</v>
      </c>
      <c r="I1567" s="16">
        <v>343.11</v>
      </c>
      <c r="J1567" s="16">
        <v>343.11</v>
      </c>
      <c r="K1567" s="16"/>
      <c r="L1567" s="16"/>
      <c r="M1567" s="16"/>
      <c r="N1567" s="16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16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16"/>
      <c r="AP1567" s="16"/>
      <c r="AQ1567" s="16"/>
      <c r="AR1567" s="16"/>
      <c r="AS1567" s="16"/>
      <c r="AT1567" s="16"/>
      <c r="AU1567" s="16"/>
      <c r="AV1567" s="16"/>
      <c r="AW1567" s="16"/>
      <c r="AX1567" s="16"/>
      <c r="AY1567" s="16"/>
      <c r="AZ1567" s="16"/>
      <c r="BA1567" s="16"/>
      <c r="BB1567" s="16"/>
      <c r="BC1567" s="16"/>
      <c r="BD1567" s="16"/>
      <c r="BE1567" s="16"/>
      <c r="BF1567" s="16"/>
      <c r="BG1567" s="16"/>
      <c r="BH1567" s="16"/>
      <c r="BI1567" s="16"/>
      <c r="BJ1567" s="16"/>
      <c r="BN1567" s="16"/>
      <c r="BO1567" s="16">
        <v>343.11</v>
      </c>
      <c r="BP1567" s="16"/>
      <c r="BQ1567" s="16" t="b">
        <v>1</v>
      </c>
      <c r="BR1567" s="16">
        <v>343.11</v>
      </c>
      <c r="BS1567" s="16"/>
      <c r="BT1567" s="16"/>
      <c r="BU1567" s="16" t="s">
        <v>539</v>
      </c>
      <c r="BV1567" s="16"/>
      <c r="BW1567" s="16"/>
      <c r="BX1567" s="16"/>
      <c r="BY1567" s="16"/>
    </row>
    <row r="1568">
      <c r="A1568" s="16">
        <v>11527.0</v>
      </c>
      <c r="B1568" s="16" t="s">
        <v>35</v>
      </c>
      <c r="C1568" s="201">
        <v>45958.0</v>
      </c>
      <c r="D1568" s="16" t="s">
        <v>9825</v>
      </c>
      <c r="E1568" s="16"/>
      <c r="F1568" s="16" t="s">
        <v>9835</v>
      </c>
      <c r="G1568" s="16" t="s">
        <v>2870</v>
      </c>
      <c r="H1568" s="16">
        <v>1.0</v>
      </c>
      <c r="I1568" s="16">
        <v>82.62</v>
      </c>
      <c r="J1568" s="16">
        <v>82.62</v>
      </c>
      <c r="K1568" s="16"/>
      <c r="L1568" s="16"/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16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16"/>
      <c r="AP1568" s="16"/>
      <c r="AQ1568" s="16"/>
      <c r="AR1568" s="16"/>
      <c r="AS1568" s="16"/>
      <c r="AT1568" s="16"/>
      <c r="AU1568" s="16"/>
      <c r="AV1568" s="16"/>
      <c r="AW1568" s="16"/>
      <c r="AX1568" s="16"/>
      <c r="AY1568" s="16"/>
      <c r="AZ1568" s="16"/>
      <c r="BA1568" s="16"/>
      <c r="BB1568" s="16"/>
      <c r="BC1568" s="16"/>
      <c r="BD1568" s="16"/>
      <c r="BE1568" s="16"/>
      <c r="BF1568" s="16"/>
      <c r="BG1568" s="16"/>
      <c r="BH1568" s="16"/>
      <c r="BI1568" s="16"/>
      <c r="BJ1568" s="16"/>
      <c r="BN1568" s="16"/>
      <c r="BO1568" s="16">
        <v>82.62</v>
      </c>
      <c r="BP1568" s="16"/>
      <c r="BQ1568" s="16" t="b">
        <v>1</v>
      </c>
      <c r="BR1568" s="16">
        <v>82.62</v>
      </c>
      <c r="BS1568" s="16"/>
      <c r="BT1568" s="16"/>
      <c r="BU1568" s="16" t="s">
        <v>539</v>
      </c>
      <c r="BV1568" s="16"/>
      <c r="BW1568" s="16"/>
      <c r="BX1568" s="16"/>
      <c r="BY1568" s="16"/>
    </row>
    <row r="1569">
      <c r="A1569" s="16">
        <v>11528.0</v>
      </c>
      <c r="B1569" s="16" t="s">
        <v>35</v>
      </c>
      <c r="C1569" s="201"/>
      <c r="D1569" s="16" t="s">
        <v>460</v>
      </c>
      <c r="E1569" s="16"/>
      <c r="F1569" s="16" t="s">
        <v>9839</v>
      </c>
      <c r="G1569" s="16" t="s">
        <v>1239</v>
      </c>
      <c r="H1569" s="16">
        <v>1.0</v>
      </c>
      <c r="I1569" s="16">
        <v>4082.0</v>
      </c>
      <c r="J1569" s="16">
        <v>4082.0</v>
      </c>
      <c r="K1569" s="16"/>
      <c r="L1569" s="16"/>
      <c r="M1569" s="16"/>
      <c r="N1569" s="16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16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16"/>
      <c r="AP1569" s="16"/>
      <c r="AQ1569" s="16"/>
      <c r="AR1569" s="16"/>
      <c r="AS1569" s="16"/>
      <c r="AT1569" s="16"/>
      <c r="AU1569" s="16"/>
      <c r="AV1569" s="16"/>
      <c r="AW1569" s="16"/>
      <c r="AX1569" s="16"/>
      <c r="AY1569" s="16"/>
      <c r="AZ1569" s="16"/>
      <c r="BA1569" s="16"/>
      <c r="BB1569" s="16"/>
      <c r="BC1569" s="16"/>
      <c r="BD1569" s="16"/>
      <c r="BE1569" s="16"/>
      <c r="BF1569" s="16"/>
      <c r="BG1569" s="16"/>
      <c r="BH1569" s="16"/>
      <c r="BI1569" s="16"/>
      <c r="BJ1569" s="16"/>
      <c r="BN1569" s="16"/>
      <c r="BO1569" s="16">
        <v>4082.0</v>
      </c>
      <c r="BP1569" s="16"/>
      <c r="BQ1569" s="16" t="b">
        <v>1</v>
      </c>
      <c r="BR1569" s="16">
        <v>4082.0</v>
      </c>
      <c r="BS1569" s="16"/>
      <c r="BT1569" s="16"/>
      <c r="BU1569" s="16" t="s">
        <v>539</v>
      </c>
      <c r="BV1569" s="16"/>
      <c r="BW1569" s="16"/>
      <c r="BX1569" s="16"/>
      <c r="BY1569" s="16"/>
    </row>
    <row r="1570">
      <c r="A1570" s="16">
        <v>11529.0</v>
      </c>
      <c r="B1570" s="16" t="s">
        <v>35</v>
      </c>
      <c r="C1570" s="201">
        <v>45958.0</v>
      </c>
      <c r="D1570" s="16" t="s">
        <v>460</v>
      </c>
      <c r="E1570" s="16"/>
      <c r="F1570" s="16" t="s">
        <v>931</v>
      </c>
      <c r="G1570" s="16" t="s">
        <v>1126</v>
      </c>
      <c r="H1570" s="16">
        <v>1.0</v>
      </c>
      <c r="I1570" s="16">
        <v>40.0</v>
      </c>
      <c r="J1570" s="16">
        <v>40.0</v>
      </c>
      <c r="K1570" s="16"/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16"/>
      <c r="AP1570" s="16"/>
      <c r="AQ1570" s="16"/>
      <c r="AR1570" s="16"/>
      <c r="AS1570" s="16"/>
      <c r="AT1570" s="16"/>
      <c r="AU1570" s="16"/>
      <c r="AV1570" s="16"/>
      <c r="AW1570" s="16"/>
      <c r="AX1570" s="16"/>
      <c r="AY1570" s="16"/>
      <c r="AZ1570" s="16"/>
      <c r="BA1570" s="16"/>
      <c r="BB1570" s="16"/>
      <c r="BC1570" s="16"/>
      <c r="BD1570" s="16"/>
      <c r="BE1570" s="16"/>
      <c r="BF1570" s="16"/>
      <c r="BG1570" s="16"/>
      <c r="BH1570" s="16"/>
      <c r="BI1570" s="16"/>
      <c r="BJ1570" s="16"/>
      <c r="BN1570" s="16"/>
      <c r="BO1570" s="16">
        <v>40.0</v>
      </c>
      <c r="BP1570" s="16"/>
      <c r="BQ1570" s="16" t="b">
        <v>1</v>
      </c>
      <c r="BR1570" s="16">
        <v>40.0</v>
      </c>
      <c r="BS1570" s="16"/>
      <c r="BT1570" s="16"/>
      <c r="BU1570" s="16" t="s">
        <v>539</v>
      </c>
      <c r="BV1570" s="16"/>
      <c r="BW1570" s="16"/>
      <c r="BX1570" s="16"/>
      <c r="BY1570" s="16"/>
    </row>
    <row r="1571">
      <c r="A1571" s="16">
        <v>11530.0</v>
      </c>
      <c r="B1571" s="16" t="s">
        <v>35</v>
      </c>
      <c r="C1571" s="201">
        <v>45958.0</v>
      </c>
      <c r="D1571" s="16" t="s">
        <v>460</v>
      </c>
      <c r="E1571" s="16"/>
      <c r="F1571" s="16" t="s">
        <v>9853</v>
      </c>
      <c r="G1571" s="16" t="s">
        <v>5636</v>
      </c>
      <c r="H1571" s="16">
        <v>1.0</v>
      </c>
      <c r="I1571" s="16">
        <v>200.0</v>
      </c>
      <c r="J1571" s="16">
        <v>200.0</v>
      </c>
      <c r="K1571" s="16"/>
      <c r="L1571" s="16"/>
      <c r="M1571" s="16"/>
      <c r="N1571" s="16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16"/>
      <c r="AP1571" s="16"/>
      <c r="AQ1571" s="16"/>
      <c r="AR1571" s="16"/>
      <c r="AS1571" s="16"/>
      <c r="AT1571" s="16"/>
      <c r="AU1571" s="16"/>
      <c r="AV1571" s="16"/>
      <c r="AW1571" s="16"/>
      <c r="AX1571" s="16"/>
      <c r="AY1571" s="16"/>
      <c r="AZ1571" s="16"/>
      <c r="BA1571" s="16"/>
      <c r="BB1571" s="16"/>
      <c r="BC1571" s="16"/>
      <c r="BD1571" s="16"/>
      <c r="BE1571" s="16"/>
      <c r="BF1571" s="16"/>
      <c r="BG1571" s="16"/>
      <c r="BH1571" s="16"/>
      <c r="BI1571" s="16"/>
      <c r="BJ1571" s="16"/>
      <c r="BN1571" s="16"/>
      <c r="BO1571" s="16">
        <v>200.0</v>
      </c>
      <c r="BP1571" s="16"/>
      <c r="BQ1571" s="16" t="b">
        <v>1</v>
      </c>
      <c r="BR1571" s="16">
        <v>200.0</v>
      </c>
      <c r="BS1571" s="16"/>
      <c r="BT1571" s="16"/>
      <c r="BU1571" s="16" t="s">
        <v>539</v>
      </c>
      <c r="BV1571" s="16"/>
      <c r="BW1571" s="16"/>
      <c r="BX1571" s="16"/>
      <c r="BY1571" s="16"/>
    </row>
    <row r="1572">
      <c r="A1572" s="16">
        <v>11531.0</v>
      </c>
      <c r="B1572" s="16" t="s">
        <v>35</v>
      </c>
      <c r="C1572" s="201">
        <v>45958.0</v>
      </c>
      <c r="D1572" s="16" t="s">
        <v>460</v>
      </c>
      <c r="E1572" s="16"/>
      <c r="F1572" s="16" t="s">
        <v>4972</v>
      </c>
      <c r="G1572" s="16" t="s">
        <v>5640</v>
      </c>
      <c r="H1572" s="16">
        <v>1.0</v>
      </c>
      <c r="I1572" s="16">
        <v>22.0</v>
      </c>
      <c r="J1572" s="16">
        <v>22.0</v>
      </c>
      <c r="K1572" s="16"/>
      <c r="L1572" s="16"/>
      <c r="M1572" s="16"/>
      <c r="N1572" s="16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16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16"/>
      <c r="AP1572" s="16"/>
      <c r="AQ1572" s="16"/>
      <c r="AR1572" s="16"/>
      <c r="AS1572" s="16"/>
      <c r="AT1572" s="16"/>
      <c r="AU1572" s="16"/>
      <c r="AV1572" s="16"/>
      <c r="AW1572" s="16"/>
      <c r="AX1572" s="16"/>
      <c r="AY1572" s="16"/>
      <c r="AZ1572" s="16"/>
      <c r="BA1572" s="16"/>
      <c r="BB1572" s="16"/>
      <c r="BC1572" s="16"/>
      <c r="BD1572" s="16"/>
      <c r="BE1572" s="16"/>
      <c r="BF1572" s="16"/>
      <c r="BG1572" s="16"/>
      <c r="BH1572" s="16"/>
      <c r="BI1572" s="16"/>
      <c r="BJ1572" s="16"/>
      <c r="BN1572" s="16"/>
      <c r="BO1572" s="16">
        <v>22.0</v>
      </c>
      <c r="BP1572" s="16"/>
      <c r="BQ1572" s="16" t="b">
        <v>1</v>
      </c>
      <c r="BR1572" s="16">
        <v>22.0</v>
      </c>
      <c r="BS1572" s="16"/>
      <c r="BT1572" s="16"/>
      <c r="BU1572" s="16" t="s">
        <v>539</v>
      </c>
      <c r="BV1572" s="16"/>
      <c r="BW1572" s="16"/>
      <c r="BX1572" s="16"/>
      <c r="BY1572" s="16"/>
    </row>
    <row r="1573">
      <c r="A1573" s="16">
        <v>11532.0</v>
      </c>
      <c r="B1573" s="16" t="s">
        <v>35</v>
      </c>
      <c r="C1573" s="201">
        <v>45958.0</v>
      </c>
      <c r="D1573" s="16" t="s">
        <v>460</v>
      </c>
      <c r="E1573" s="16"/>
      <c r="F1573" s="16" t="s">
        <v>4979</v>
      </c>
      <c r="G1573" s="16" t="s">
        <v>5973</v>
      </c>
      <c r="H1573" s="16">
        <v>1.0</v>
      </c>
      <c r="I1573" s="16">
        <v>10.0</v>
      </c>
      <c r="J1573" s="16">
        <v>10.0</v>
      </c>
      <c r="K1573" s="16"/>
      <c r="L1573" s="16"/>
      <c r="M1573" s="16"/>
      <c r="N1573" s="16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16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16"/>
      <c r="AP1573" s="16"/>
      <c r="AQ1573" s="16"/>
      <c r="AR1573" s="16"/>
      <c r="AS1573" s="16"/>
      <c r="AT1573" s="16"/>
      <c r="AU1573" s="16"/>
      <c r="AV1573" s="16"/>
      <c r="AW1573" s="16"/>
      <c r="AX1573" s="16"/>
      <c r="AY1573" s="16"/>
      <c r="AZ1573" s="16"/>
      <c r="BA1573" s="16"/>
      <c r="BB1573" s="16"/>
      <c r="BC1573" s="16"/>
      <c r="BD1573" s="16"/>
      <c r="BE1573" s="16"/>
      <c r="BF1573" s="16"/>
      <c r="BG1573" s="16"/>
      <c r="BH1573" s="16"/>
      <c r="BI1573" s="16"/>
      <c r="BJ1573" s="16"/>
      <c r="BN1573" s="16"/>
      <c r="BO1573" s="16">
        <v>10.0</v>
      </c>
      <c r="BP1573" s="16"/>
      <c r="BQ1573" s="16" t="b">
        <v>1</v>
      </c>
      <c r="BR1573" s="16">
        <v>10.0</v>
      </c>
      <c r="BS1573" s="16"/>
      <c r="BT1573" s="16"/>
      <c r="BU1573" s="16" t="s">
        <v>539</v>
      </c>
      <c r="BV1573" s="16"/>
      <c r="BW1573" s="16"/>
      <c r="BX1573" s="16"/>
      <c r="BY1573" s="16"/>
    </row>
    <row r="1574">
      <c r="A1574" s="16">
        <v>11533.0</v>
      </c>
      <c r="B1574" s="16" t="s">
        <v>35</v>
      </c>
      <c r="C1574" s="201"/>
      <c r="D1574" s="16"/>
      <c r="E1574" s="16"/>
      <c r="F1574" s="16" t="s">
        <v>8658</v>
      </c>
      <c r="G1574" s="16" t="s">
        <v>1239</v>
      </c>
      <c r="H1574" s="16">
        <v>1.0</v>
      </c>
      <c r="I1574" s="16">
        <v>1.0</v>
      </c>
      <c r="J1574" s="16">
        <v>1.0</v>
      </c>
      <c r="K1574" s="16"/>
      <c r="L1574" s="16"/>
      <c r="M1574" s="16"/>
      <c r="N1574" s="16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16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16"/>
      <c r="AP1574" s="16"/>
      <c r="AQ1574" s="16"/>
      <c r="AR1574" s="16"/>
      <c r="AS1574" s="16"/>
      <c r="AT1574" s="16"/>
      <c r="AU1574" s="16"/>
      <c r="AV1574" s="16"/>
      <c r="AW1574" s="16"/>
      <c r="AX1574" s="16"/>
      <c r="AY1574" s="16"/>
      <c r="AZ1574" s="16"/>
      <c r="BA1574" s="16"/>
      <c r="BB1574" s="16"/>
      <c r="BC1574" s="16"/>
      <c r="BD1574" s="16"/>
      <c r="BE1574" s="16"/>
      <c r="BF1574" s="16"/>
      <c r="BG1574" s="16"/>
      <c r="BH1574" s="16"/>
      <c r="BI1574" s="16"/>
      <c r="BJ1574" s="16"/>
      <c r="BN1574" s="16"/>
      <c r="BO1574" s="16">
        <v>1.0</v>
      </c>
      <c r="BP1574" s="16"/>
      <c r="BQ1574" s="16" t="b">
        <v>1</v>
      </c>
      <c r="BR1574" s="16">
        <v>1.0</v>
      </c>
      <c r="BS1574" s="16"/>
      <c r="BT1574" s="16"/>
      <c r="BU1574" s="16" t="s">
        <v>539</v>
      </c>
      <c r="BV1574" s="16" t="s">
        <v>624</v>
      </c>
      <c r="BW1574" s="16"/>
      <c r="BX1574" s="16"/>
      <c r="BY1574" s="16"/>
    </row>
    <row r="1575">
      <c r="A1575" s="16">
        <v>11534.0</v>
      </c>
      <c r="B1575" s="16" t="s">
        <v>35</v>
      </c>
      <c r="C1575" s="201"/>
      <c r="D1575" s="16"/>
      <c r="E1575" s="16"/>
      <c r="F1575" s="16" t="s">
        <v>8658</v>
      </c>
      <c r="G1575" s="16" t="s">
        <v>1239</v>
      </c>
      <c r="H1575" s="16">
        <v>1.0</v>
      </c>
      <c r="I1575" s="16">
        <v>1.0</v>
      </c>
      <c r="J1575" s="16">
        <v>1.0</v>
      </c>
      <c r="K1575" s="16"/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16"/>
      <c r="AP1575" s="16"/>
      <c r="AQ1575" s="16"/>
      <c r="AR1575" s="16"/>
      <c r="AS1575" s="16"/>
      <c r="AT1575" s="16"/>
      <c r="AU1575" s="16"/>
      <c r="AV1575" s="16"/>
      <c r="AW1575" s="16"/>
      <c r="AX1575" s="16"/>
      <c r="AY1575" s="16"/>
      <c r="AZ1575" s="16"/>
      <c r="BA1575" s="16"/>
      <c r="BB1575" s="16"/>
      <c r="BC1575" s="16"/>
      <c r="BD1575" s="16"/>
      <c r="BE1575" s="16"/>
      <c r="BF1575" s="16"/>
      <c r="BG1575" s="16"/>
      <c r="BH1575" s="16"/>
      <c r="BI1575" s="16"/>
      <c r="BJ1575" s="16"/>
      <c r="BN1575" s="16"/>
      <c r="BO1575" s="16">
        <v>1.0</v>
      </c>
      <c r="BP1575" s="16"/>
      <c r="BQ1575" s="16" t="b">
        <v>1</v>
      </c>
      <c r="BR1575" s="16">
        <v>1.0</v>
      </c>
      <c r="BS1575" s="16"/>
      <c r="BT1575" s="16"/>
      <c r="BU1575" s="16" t="s">
        <v>539</v>
      </c>
      <c r="BV1575" s="16" t="s">
        <v>2052</v>
      </c>
      <c r="BW1575" s="16"/>
      <c r="BX1575" s="16"/>
      <c r="BY1575" s="16"/>
    </row>
    <row r="1576">
      <c r="A1576" s="16">
        <v>11535.0</v>
      </c>
      <c r="B1576" s="16" t="s">
        <v>35</v>
      </c>
      <c r="C1576" s="201"/>
      <c r="D1576" s="16"/>
      <c r="E1576" s="16"/>
      <c r="F1576" s="16" t="s">
        <v>8658</v>
      </c>
      <c r="G1576" s="16" t="s">
        <v>1239</v>
      </c>
      <c r="H1576" s="16">
        <v>1.0</v>
      </c>
      <c r="I1576" s="16">
        <v>1.0</v>
      </c>
      <c r="J1576" s="16">
        <v>1.0</v>
      </c>
      <c r="K1576" s="16"/>
      <c r="L1576" s="16"/>
      <c r="M1576" s="16"/>
      <c r="N1576" s="16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16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16"/>
      <c r="AP1576" s="16"/>
      <c r="AQ1576" s="16"/>
      <c r="AR1576" s="16"/>
      <c r="AS1576" s="16"/>
      <c r="AT1576" s="16"/>
      <c r="AU1576" s="16"/>
      <c r="AV1576" s="16"/>
      <c r="AW1576" s="16"/>
      <c r="AX1576" s="16"/>
      <c r="AY1576" s="16"/>
      <c r="AZ1576" s="16"/>
      <c r="BA1576" s="16"/>
      <c r="BB1576" s="16"/>
      <c r="BC1576" s="16"/>
      <c r="BD1576" s="16"/>
      <c r="BE1576" s="16"/>
      <c r="BF1576" s="16"/>
      <c r="BG1576" s="16"/>
      <c r="BH1576" s="16"/>
      <c r="BI1576" s="16"/>
      <c r="BJ1576" s="16"/>
      <c r="BN1576" s="16"/>
      <c r="BO1576" s="16">
        <v>1.0</v>
      </c>
      <c r="BP1576" s="16"/>
      <c r="BQ1576" s="16" t="b">
        <v>1</v>
      </c>
      <c r="BR1576" s="16">
        <v>1.0</v>
      </c>
      <c r="BS1576" s="16"/>
      <c r="BT1576" s="16"/>
      <c r="BU1576" s="16" t="s">
        <v>539</v>
      </c>
      <c r="BV1576" s="16" t="s">
        <v>227</v>
      </c>
      <c r="BW1576" s="16"/>
      <c r="BX1576" s="16"/>
      <c r="BY1576" s="16"/>
    </row>
    <row r="1577">
      <c r="A1577" s="16">
        <v>11536.0</v>
      </c>
      <c r="B1577" s="16" t="s">
        <v>35</v>
      </c>
      <c r="C1577" s="201"/>
      <c r="D1577" s="16"/>
      <c r="E1577" s="16"/>
      <c r="F1577" s="16" t="s">
        <v>8658</v>
      </c>
      <c r="G1577" s="16" t="s">
        <v>1239</v>
      </c>
      <c r="H1577" s="16">
        <v>1.0</v>
      </c>
      <c r="I1577" s="16">
        <v>1.0</v>
      </c>
      <c r="J1577" s="16">
        <v>1.0</v>
      </c>
      <c r="K1577" s="16"/>
      <c r="L1577" s="16"/>
      <c r="M1577" s="16"/>
      <c r="N1577" s="16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16"/>
      <c r="AP1577" s="16"/>
      <c r="AQ1577" s="16"/>
      <c r="AR1577" s="16"/>
      <c r="AS1577" s="16"/>
      <c r="AT1577" s="16"/>
      <c r="AU1577" s="16"/>
      <c r="AV1577" s="16"/>
      <c r="AW1577" s="16"/>
      <c r="AX1577" s="16"/>
      <c r="AY1577" s="16"/>
      <c r="AZ1577" s="16"/>
      <c r="BA1577" s="16"/>
      <c r="BB1577" s="16"/>
      <c r="BC1577" s="16"/>
      <c r="BD1577" s="16"/>
      <c r="BE1577" s="16"/>
      <c r="BF1577" s="16"/>
      <c r="BG1577" s="16"/>
      <c r="BH1577" s="16"/>
      <c r="BI1577" s="16"/>
      <c r="BJ1577" s="16"/>
      <c r="BN1577" s="16"/>
      <c r="BO1577" s="16">
        <v>1.0</v>
      </c>
      <c r="BP1577" s="16"/>
      <c r="BQ1577" s="16" t="b">
        <v>1</v>
      </c>
      <c r="BR1577" s="16">
        <v>1.0</v>
      </c>
      <c r="BS1577" s="16"/>
      <c r="BT1577" s="16"/>
      <c r="BU1577" s="16" t="s">
        <v>539</v>
      </c>
      <c r="BV1577" s="16" t="s">
        <v>6062</v>
      </c>
      <c r="BW1577" s="16"/>
      <c r="BX1577" s="16"/>
      <c r="BY1577" s="16"/>
    </row>
    <row r="1578">
      <c r="A1578" s="16">
        <v>11537.0</v>
      </c>
      <c r="B1578" s="16" t="s">
        <v>35</v>
      </c>
      <c r="C1578" s="201"/>
      <c r="D1578" s="16"/>
      <c r="E1578" s="16"/>
      <c r="F1578" s="16" t="s">
        <v>8658</v>
      </c>
      <c r="G1578" s="16" t="s">
        <v>1239</v>
      </c>
      <c r="H1578" s="16">
        <v>1.0</v>
      </c>
      <c r="I1578" s="16">
        <v>1.0</v>
      </c>
      <c r="J1578" s="16">
        <v>1.0</v>
      </c>
      <c r="K1578" s="16"/>
      <c r="L1578" s="16"/>
      <c r="M1578" s="16"/>
      <c r="N1578" s="16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16"/>
      <c r="AP1578" s="16"/>
      <c r="AQ1578" s="16"/>
      <c r="AR1578" s="16"/>
      <c r="AS1578" s="16"/>
      <c r="AT1578" s="16"/>
      <c r="AU1578" s="16"/>
      <c r="AV1578" s="16"/>
      <c r="AW1578" s="16"/>
      <c r="AX1578" s="16"/>
      <c r="AY1578" s="16"/>
      <c r="AZ1578" s="16"/>
      <c r="BA1578" s="16"/>
      <c r="BB1578" s="16"/>
      <c r="BC1578" s="16"/>
      <c r="BD1578" s="16"/>
      <c r="BE1578" s="16"/>
      <c r="BF1578" s="16"/>
      <c r="BG1578" s="16"/>
      <c r="BH1578" s="16"/>
      <c r="BI1578" s="16"/>
      <c r="BJ1578" s="16"/>
      <c r="BN1578" s="16"/>
      <c r="BO1578" s="16">
        <v>1.0</v>
      </c>
      <c r="BP1578" s="16"/>
      <c r="BQ1578" s="16" t="b">
        <v>1</v>
      </c>
      <c r="BR1578" s="16">
        <v>1.0</v>
      </c>
      <c r="BS1578" s="16"/>
      <c r="BT1578" s="16"/>
      <c r="BU1578" s="16" t="s">
        <v>539</v>
      </c>
      <c r="BV1578" s="16" t="s">
        <v>3795</v>
      </c>
      <c r="BW1578" s="16"/>
      <c r="BX1578" s="16"/>
      <c r="BY1578" s="16"/>
    </row>
    <row r="1579">
      <c r="A1579" s="16" t="s">
        <v>8454</v>
      </c>
      <c r="B1579" s="16" t="s">
        <v>35</v>
      </c>
      <c r="C1579" s="201">
        <v>45959.0</v>
      </c>
      <c r="D1579" s="16"/>
      <c r="E1579" s="16"/>
      <c r="F1579" s="16" t="s">
        <v>3676</v>
      </c>
      <c r="G1579" s="16" t="s">
        <v>1168</v>
      </c>
      <c r="H1579" s="16">
        <v>1.0</v>
      </c>
      <c r="I1579" s="16">
        <v>500.0</v>
      </c>
      <c r="J1579" s="16">
        <v>500.0</v>
      </c>
      <c r="K1579" s="16"/>
      <c r="L1579" s="16"/>
      <c r="M1579" s="16"/>
      <c r="N1579" s="16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16"/>
      <c r="AP1579" s="16"/>
      <c r="AQ1579" s="16"/>
      <c r="AR1579" s="16"/>
      <c r="AS1579" s="16"/>
      <c r="AT1579" s="16"/>
      <c r="AU1579" s="16"/>
      <c r="AV1579" s="16"/>
      <c r="AW1579" s="16"/>
      <c r="AX1579" s="16"/>
      <c r="AY1579" s="16"/>
      <c r="AZ1579" s="16"/>
      <c r="BA1579" s="16"/>
      <c r="BB1579" s="16"/>
      <c r="BC1579" s="16"/>
      <c r="BD1579" s="16"/>
      <c r="BE1579" s="16"/>
      <c r="BF1579" s="16"/>
      <c r="BG1579" s="16"/>
      <c r="BH1579" s="16"/>
      <c r="BI1579" s="16"/>
      <c r="BJ1579" s="16"/>
      <c r="BN1579" s="16"/>
      <c r="BO1579" s="16">
        <v>500.0</v>
      </c>
      <c r="BP1579" s="16"/>
      <c r="BQ1579" s="16" t="b">
        <v>1</v>
      </c>
      <c r="BR1579" s="16">
        <v>500.0</v>
      </c>
      <c r="BS1579" s="16"/>
      <c r="BT1579" s="16"/>
      <c r="BU1579" s="16" t="s">
        <v>539</v>
      </c>
      <c r="BV1579" s="16" t="s">
        <v>227</v>
      </c>
      <c r="BW1579" s="16"/>
      <c r="BX1579" s="16"/>
      <c r="BY1579" s="16"/>
    </row>
    <row r="1580">
      <c r="A1580" s="16" t="s">
        <v>8457</v>
      </c>
      <c r="B1580" s="16" t="s">
        <v>35</v>
      </c>
      <c r="C1580" s="201"/>
      <c r="D1580" s="16" t="s">
        <v>890</v>
      </c>
      <c r="E1580" s="16"/>
      <c r="F1580" s="16" t="s">
        <v>9883</v>
      </c>
      <c r="G1580" s="16" t="s">
        <v>8458</v>
      </c>
      <c r="H1580" s="16">
        <v>1.0</v>
      </c>
      <c r="I1580" s="16">
        <v>3474.96</v>
      </c>
      <c r="J1580" s="16">
        <v>3474.96</v>
      </c>
      <c r="K1580" s="16"/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16"/>
      <c r="AP1580" s="16"/>
      <c r="AQ1580" s="16"/>
      <c r="AR1580" s="16"/>
      <c r="AS1580" s="16"/>
      <c r="AT1580" s="16"/>
      <c r="AU1580" s="16"/>
      <c r="AV1580" s="16"/>
      <c r="AW1580" s="16"/>
      <c r="AX1580" s="16"/>
      <c r="AY1580" s="16"/>
      <c r="AZ1580" s="16"/>
      <c r="BA1580" s="16"/>
      <c r="BB1580" s="16"/>
      <c r="BC1580" s="16"/>
      <c r="BD1580" s="16"/>
      <c r="BE1580" s="16"/>
      <c r="BF1580" s="16"/>
      <c r="BG1580" s="16"/>
      <c r="BH1580" s="16"/>
      <c r="BI1580" s="16"/>
      <c r="BJ1580" s="16"/>
      <c r="BN1580" s="16"/>
      <c r="BO1580" s="16">
        <v>3474.96</v>
      </c>
      <c r="BP1580" s="16"/>
      <c r="BQ1580" s="16" t="b">
        <v>1</v>
      </c>
      <c r="BR1580" s="16">
        <v>3474.96</v>
      </c>
      <c r="BS1580" s="16"/>
      <c r="BT1580" s="16"/>
      <c r="BU1580" s="16" t="s">
        <v>8596</v>
      </c>
      <c r="BV1580" s="16"/>
      <c r="BW1580" s="16"/>
      <c r="BX1580" s="16"/>
      <c r="BY1580" s="16"/>
    </row>
    <row r="1581">
      <c r="A1581" s="16" t="s">
        <v>8460</v>
      </c>
      <c r="B1581" s="16" t="s">
        <v>35</v>
      </c>
      <c r="C1581" s="201"/>
      <c r="D1581" s="16" t="s">
        <v>890</v>
      </c>
      <c r="E1581" s="16"/>
      <c r="F1581" s="16" t="s">
        <v>9888</v>
      </c>
      <c r="G1581" s="16" t="s">
        <v>8458</v>
      </c>
      <c r="H1581" s="16">
        <v>1.0</v>
      </c>
      <c r="I1581" s="16">
        <v>16284.86</v>
      </c>
      <c r="J1581" s="16">
        <v>16284.86</v>
      </c>
      <c r="K1581" s="16"/>
      <c r="L1581" s="16"/>
      <c r="M1581" s="16"/>
      <c r="N1581" s="16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16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16"/>
      <c r="AP1581" s="16"/>
      <c r="AQ1581" s="16"/>
      <c r="AR1581" s="16"/>
      <c r="AS1581" s="16"/>
      <c r="AT1581" s="16"/>
      <c r="AU1581" s="16"/>
      <c r="AV1581" s="16"/>
      <c r="AW1581" s="16"/>
      <c r="AX1581" s="16"/>
      <c r="AY1581" s="16"/>
      <c r="AZ1581" s="16"/>
      <c r="BA1581" s="16"/>
      <c r="BB1581" s="16"/>
      <c r="BC1581" s="16"/>
      <c r="BD1581" s="16"/>
      <c r="BE1581" s="16"/>
      <c r="BF1581" s="16"/>
      <c r="BG1581" s="16"/>
      <c r="BH1581" s="16"/>
      <c r="BI1581" s="16"/>
      <c r="BJ1581" s="16"/>
      <c r="BN1581" s="16"/>
      <c r="BO1581" s="16">
        <v>16284.86</v>
      </c>
      <c r="BP1581" s="16"/>
      <c r="BQ1581" s="16" t="b">
        <v>1</v>
      </c>
      <c r="BR1581" s="16">
        <v>16284.86</v>
      </c>
      <c r="BS1581" s="16"/>
      <c r="BT1581" s="16"/>
      <c r="BU1581" s="16" t="s">
        <v>8596</v>
      </c>
      <c r="BV1581" s="16"/>
      <c r="BW1581" s="16"/>
      <c r="BX1581" s="16"/>
      <c r="BY1581" s="16"/>
    </row>
    <row r="1582">
      <c r="A1582" s="16" t="s">
        <v>8462</v>
      </c>
      <c r="B1582" s="16" t="s">
        <v>35</v>
      </c>
      <c r="C1582" s="201">
        <v>45958.0</v>
      </c>
      <c r="D1582" s="16" t="s">
        <v>890</v>
      </c>
      <c r="E1582" s="16" t="s">
        <v>9891</v>
      </c>
      <c r="F1582" s="16" t="s">
        <v>9894</v>
      </c>
      <c r="G1582" s="16" t="s">
        <v>8463</v>
      </c>
      <c r="H1582" s="16">
        <v>1.0</v>
      </c>
      <c r="I1582" s="16">
        <v>46.13</v>
      </c>
      <c r="J1582" s="16">
        <v>46.13</v>
      </c>
      <c r="K1582" s="16"/>
      <c r="L1582" s="16"/>
      <c r="M1582" s="16"/>
      <c r="N1582" s="16">
        <v>0.0</v>
      </c>
      <c r="O1582" s="16"/>
      <c r="P1582" s="16"/>
      <c r="Q1582" s="16"/>
      <c r="R1582" s="16">
        <v>0.0</v>
      </c>
      <c r="S1582" s="16"/>
      <c r="T1582" s="16"/>
      <c r="U1582" s="16"/>
      <c r="V1582" s="16">
        <v>0.0</v>
      </c>
      <c r="W1582" s="16"/>
      <c r="X1582" s="16"/>
      <c r="Y1582" s="16"/>
      <c r="Z1582" s="16">
        <v>0.0</v>
      </c>
      <c r="AA1582" s="16"/>
      <c r="AB1582" s="16"/>
      <c r="AC1582" s="16"/>
      <c r="AD1582" s="16">
        <v>0.0</v>
      </c>
      <c r="AE1582" s="16"/>
      <c r="AF1582" s="16"/>
      <c r="AG1582" s="16"/>
      <c r="AH1582" s="16">
        <v>0.0</v>
      </c>
      <c r="AI1582" s="16"/>
      <c r="AJ1582" s="16"/>
      <c r="AK1582" s="16"/>
      <c r="AL1582" s="16">
        <v>0.0</v>
      </c>
      <c r="AM1582" s="16"/>
      <c r="AN1582" s="16"/>
      <c r="AO1582" s="16"/>
      <c r="AP1582" s="16">
        <v>0.0</v>
      </c>
      <c r="AQ1582" s="16"/>
      <c r="AR1582" s="16"/>
      <c r="AS1582" s="16"/>
      <c r="AT1582" s="16">
        <v>0.0</v>
      </c>
      <c r="AU1582" s="16"/>
      <c r="AV1582" s="16"/>
      <c r="AW1582" s="16"/>
      <c r="AX1582" s="16">
        <v>0.0</v>
      </c>
      <c r="AY1582" s="16"/>
      <c r="AZ1582" s="16"/>
      <c r="BA1582" s="16"/>
      <c r="BB1582" s="16"/>
      <c r="BC1582" s="16"/>
      <c r="BD1582" s="16"/>
      <c r="BE1582" s="16"/>
      <c r="BF1582" s="16">
        <v>0.0</v>
      </c>
      <c r="BG1582" s="16"/>
      <c r="BH1582" s="16"/>
      <c r="BI1582" s="16"/>
      <c r="BJ1582" s="16">
        <v>0.0</v>
      </c>
      <c r="BN1582" s="16">
        <v>0.0</v>
      </c>
      <c r="BO1582" s="16">
        <v>46.13</v>
      </c>
      <c r="BP1582" s="16" t="s">
        <v>9893</v>
      </c>
      <c r="BQ1582" s="16" t="b">
        <v>1</v>
      </c>
      <c r="BR1582" s="16">
        <v>46.13</v>
      </c>
      <c r="BS1582" s="16"/>
      <c r="BT1582" s="16" t="b">
        <v>0</v>
      </c>
      <c r="BU1582" s="16" t="s">
        <v>546</v>
      </c>
      <c r="BV1582" s="16"/>
      <c r="BW1582" s="16"/>
      <c r="BX1582" s="16"/>
      <c r="BY1582" s="16"/>
    </row>
    <row r="1583">
      <c r="A1583" s="16" t="s">
        <v>8465</v>
      </c>
      <c r="B1583" s="16" t="s">
        <v>35</v>
      </c>
      <c r="C1583" s="201">
        <v>45958.0</v>
      </c>
      <c r="D1583" s="16" t="s">
        <v>890</v>
      </c>
      <c r="E1583" s="16" t="s">
        <v>9898</v>
      </c>
      <c r="F1583" s="16" t="s">
        <v>2894</v>
      </c>
      <c r="G1583" s="16" t="s">
        <v>1510</v>
      </c>
      <c r="H1583" s="16">
        <v>1.0</v>
      </c>
      <c r="I1583" s="16">
        <v>16284.86</v>
      </c>
      <c r="J1583" s="16">
        <v>16284.86</v>
      </c>
      <c r="K1583" s="16"/>
      <c r="L1583" s="16"/>
      <c r="M1583" s="16"/>
      <c r="N1583" s="16">
        <v>0.0</v>
      </c>
      <c r="O1583" s="16"/>
      <c r="P1583" s="16"/>
      <c r="Q1583" s="16"/>
      <c r="R1583" s="16">
        <v>0.0</v>
      </c>
      <c r="S1583" s="16"/>
      <c r="T1583" s="16"/>
      <c r="U1583" s="16"/>
      <c r="V1583" s="16">
        <v>0.0</v>
      </c>
      <c r="W1583" s="16"/>
      <c r="X1583" s="16"/>
      <c r="Y1583" s="16"/>
      <c r="Z1583" s="16">
        <v>0.0</v>
      </c>
      <c r="AA1583" s="16"/>
      <c r="AB1583" s="16"/>
      <c r="AC1583" s="16"/>
      <c r="AD1583" s="16">
        <v>0.0</v>
      </c>
      <c r="AE1583" s="16"/>
      <c r="AF1583" s="16"/>
      <c r="AG1583" s="16"/>
      <c r="AH1583" s="16">
        <v>0.0</v>
      </c>
      <c r="AI1583" s="16"/>
      <c r="AJ1583" s="16"/>
      <c r="AK1583" s="16"/>
      <c r="AL1583" s="16">
        <v>0.0</v>
      </c>
      <c r="AM1583" s="16"/>
      <c r="AN1583" s="16"/>
      <c r="AO1583" s="16"/>
      <c r="AP1583" s="16">
        <v>0.0</v>
      </c>
      <c r="AQ1583" s="16"/>
      <c r="AR1583" s="16"/>
      <c r="AS1583" s="16"/>
      <c r="AT1583" s="16">
        <v>0.0</v>
      </c>
      <c r="AU1583" s="16"/>
      <c r="AV1583" s="16"/>
      <c r="AW1583" s="16"/>
      <c r="AX1583" s="16">
        <v>0.0</v>
      </c>
      <c r="AY1583" s="16"/>
      <c r="AZ1583" s="16"/>
      <c r="BA1583" s="16"/>
      <c r="BB1583" s="16"/>
      <c r="BC1583" s="16"/>
      <c r="BD1583" s="16"/>
      <c r="BE1583" s="16"/>
      <c r="BF1583" s="16">
        <v>0.0</v>
      </c>
      <c r="BG1583" s="16"/>
      <c r="BH1583" s="16"/>
      <c r="BI1583" s="16"/>
      <c r="BJ1583" s="16">
        <v>0.0</v>
      </c>
      <c r="BN1583" s="16">
        <v>0.0</v>
      </c>
      <c r="BO1583" s="16">
        <v>16284.86</v>
      </c>
      <c r="BP1583" s="16" t="s">
        <v>9900</v>
      </c>
      <c r="BQ1583" s="16" t="b">
        <v>1</v>
      </c>
      <c r="BR1583" s="16">
        <v>16284.86</v>
      </c>
      <c r="BS1583" s="16"/>
      <c r="BT1583" s="16" t="b">
        <v>0</v>
      </c>
      <c r="BU1583" s="16" t="s">
        <v>546</v>
      </c>
      <c r="BV1583" s="16"/>
      <c r="BW1583" s="16" t="s">
        <v>9901</v>
      </c>
      <c r="BX1583" s="16"/>
      <c r="BY1583" s="16"/>
    </row>
    <row r="1584">
      <c r="A1584" s="16" t="s">
        <v>8471</v>
      </c>
      <c r="B1584" s="16" t="s">
        <v>35</v>
      </c>
      <c r="C1584" s="201">
        <v>45960.0</v>
      </c>
      <c r="D1584" s="16" t="s">
        <v>764</v>
      </c>
      <c r="E1584" s="16" t="s">
        <v>9903</v>
      </c>
      <c r="F1584" s="16" t="s">
        <v>195</v>
      </c>
      <c r="G1584" s="16" t="s">
        <v>1074</v>
      </c>
      <c r="H1584" s="16">
        <v>2.0</v>
      </c>
      <c r="I1584" s="16">
        <v>20.0</v>
      </c>
      <c r="J1584" s="16">
        <v>40.0</v>
      </c>
      <c r="K1584" s="16" t="s">
        <v>1079</v>
      </c>
      <c r="L1584" s="16">
        <v>10.0</v>
      </c>
      <c r="M1584" s="16">
        <v>18.0</v>
      </c>
      <c r="N1584" s="16">
        <v>180.0</v>
      </c>
      <c r="O1584" s="16" t="s">
        <v>1077</v>
      </c>
      <c r="P1584" s="16">
        <v>2.0</v>
      </c>
      <c r="Q1584" s="16">
        <v>25.8</v>
      </c>
      <c r="R1584" s="16">
        <v>51.6</v>
      </c>
      <c r="S1584" s="16"/>
      <c r="T1584" s="16"/>
      <c r="U1584" s="16"/>
      <c r="V1584" s="16">
        <v>0.0</v>
      </c>
      <c r="W1584" s="16"/>
      <c r="X1584" s="16"/>
      <c r="Y1584" s="16"/>
      <c r="Z1584" s="16">
        <v>0.0</v>
      </c>
      <c r="AA1584" s="16"/>
      <c r="AB1584" s="16"/>
      <c r="AC1584" s="16"/>
      <c r="AD1584" s="16">
        <v>0.0</v>
      </c>
      <c r="AE1584" s="16"/>
      <c r="AF1584" s="16"/>
      <c r="AG1584" s="16"/>
      <c r="AH1584" s="16">
        <v>0.0</v>
      </c>
      <c r="AI1584" s="16"/>
      <c r="AJ1584" s="16"/>
      <c r="AK1584" s="16"/>
      <c r="AL1584" s="16">
        <v>0.0</v>
      </c>
      <c r="AM1584" s="16"/>
      <c r="AN1584" s="16"/>
      <c r="AO1584" s="16"/>
      <c r="AP1584" s="16">
        <v>0.0</v>
      </c>
      <c r="AQ1584" s="16"/>
      <c r="AR1584" s="16"/>
      <c r="AS1584" s="16"/>
      <c r="AT1584" s="16">
        <v>0.0</v>
      </c>
      <c r="AU1584" s="16"/>
      <c r="AV1584" s="16"/>
      <c r="AW1584" s="16"/>
      <c r="AX1584" s="16">
        <v>0.0</v>
      </c>
      <c r="AY1584" s="16"/>
      <c r="AZ1584" s="16"/>
      <c r="BA1584" s="16"/>
      <c r="BB1584" s="16"/>
      <c r="BC1584" s="16"/>
      <c r="BD1584" s="16"/>
      <c r="BE1584" s="16"/>
      <c r="BF1584" s="16">
        <v>0.0</v>
      </c>
      <c r="BG1584" s="16"/>
      <c r="BH1584" s="16"/>
      <c r="BI1584" s="16"/>
      <c r="BJ1584" s="16">
        <v>0.0</v>
      </c>
      <c r="BN1584" s="16">
        <v>0.0</v>
      </c>
      <c r="BO1584" s="16">
        <v>271.6</v>
      </c>
      <c r="BP1584" s="16" t="s">
        <v>9904</v>
      </c>
      <c r="BQ1584" s="16" t="b">
        <v>1</v>
      </c>
      <c r="BR1584" s="16">
        <v>271.6</v>
      </c>
      <c r="BS1584" s="16"/>
      <c r="BT1584" s="16" t="b">
        <v>0</v>
      </c>
      <c r="BU1584" s="16" t="s">
        <v>546</v>
      </c>
      <c r="BV1584" s="16"/>
      <c r="BW1584" s="16"/>
      <c r="BX1584" s="16"/>
      <c r="BY1584" s="16"/>
    </row>
    <row r="1585">
      <c r="A1585" s="16" t="s">
        <v>8480</v>
      </c>
      <c r="B1585" s="16" t="s">
        <v>35</v>
      </c>
      <c r="C1585" s="201">
        <v>45960.0</v>
      </c>
      <c r="D1585" s="16" t="s">
        <v>3716</v>
      </c>
      <c r="E1585" s="16" t="s">
        <v>9907</v>
      </c>
      <c r="F1585" s="16" t="s">
        <v>9909</v>
      </c>
      <c r="G1585" s="16" t="s">
        <v>1080</v>
      </c>
      <c r="H1585" s="16">
        <v>15.0</v>
      </c>
      <c r="I1585" s="16">
        <v>13.9</v>
      </c>
      <c r="J1585" s="16">
        <v>208.5</v>
      </c>
      <c r="K1585" s="16" t="s">
        <v>338</v>
      </c>
      <c r="L1585" s="16">
        <v>1.0</v>
      </c>
      <c r="M1585" s="16">
        <v>32.9</v>
      </c>
      <c r="N1585" s="16">
        <v>32.9</v>
      </c>
      <c r="O1585" s="16"/>
      <c r="P1585" s="16"/>
      <c r="Q1585" s="16"/>
      <c r="R1585" s="16">
        <v>0.0</v>
      </c>
      <c r="S1585" s="16"/>
      <c r="T1585" s="16"/>
      <c r="U1585" s="16"/>
      <c r="V1585" s="16">
        <v>0.0</v>
      </c>
      <c r="W1585" s="16"/>
      <c r="X1585" s="16"/>
      <c r="Y1585" s="16"/>
      <c r="Z1585" s="16">
        <v>0.0</v>
      </c>
      <c r="AA1585" s="16"/>
      <c r="AB1585" s="16"/>
      <c r="AC1585" s="16"/>
      <c r="AD1585" s="16">
        <v>0.0</v>
      </c>
      <c r="AE1585" s="16"/>
      <c r="AF1585" s="16"/>
      <c r="AG1585" s="16"/>
      <c r="AH1585" s="16">
        <v>0.0</v>
      </c>
      <c r="AI1585" s="16"/>
      <c r="AJ1585" s="16"/>
      <c r="AK1585" s="16"/>
      <c r="AL1585" s="16">
        <v>0.0</v>
      </c>
      <c r="AM1585" s="16"/>
      <c r="AN1585" s="16"/>
      <c r="AO1585" s="16"/>
      <c r="AP1585" s="16">
        <v>0.0</v>
      </c>
      <c r="AQ1585" s="16"/>
      <c r="AR1585" s="16"/>
      <c r="AS1585" s="16"/>
      <c r="AT1585" s="16">
        <v>0.0</v>
      </c>
      <c r="AU1585" s="16"/>
      <c r="AV1585" s="16"/>
      <c r="AW1585" s="16"/>
      <c r="AX1585" s="16">
        <v>0.0</v>
      </c>
      <c r="AY1585" s="16"/>
      <c r="AZ1585" s="16"/>
      <c r="BA1585" s="16"/>
      <c r="BB1585" s="16"/>
      <c r="BC1585" s="16"/>
      <c r="BD1585" s="16"/>
      <c r="BE1585" s="16"/>
      <c r="BF1585" s="16">
        <v>0.0</v>
      </c>
      <c r="BG1585" s="16"/>
      <c r="BH1585" s="16"/>
      <c r="BI1585" s="16"/>
      <c r="BJ1585" s="16">
        <v>0.0</v>
      </c>
      <c r="BN1585" s="16">
        <v>0.0</v>
      </c>
      <c r="BO1585" s="16">
        <v>241.4</v>
      </c>
      <c r="BP1585" s="16" t="s">
        <v>9908</v>
      </c>
      <c r="BQ1585" s="16" t="b">
        <v>1</v>
      </c>
      <c r="BR1585" s="16">
        <v>241.4</v>
      </c>
      <c r="BS1585" s="21" t="s">
        <v>13417</v>
      </c>
      <c r="BT1585" s="16" t="b">
        <v>1</v>
      </c>
      <c r="BU1585" s="16" t="s">
        <v>546</v>
      </c>
      <c r="BV1585" s="16"/>
      <c r="BW1585" s="16"/>
      <c r="BX1585" s="16"/>
      <c r="BY1585" s="16"/>
    </row>
    <row r="1586">
      <c r="A1586" s="16" t="s">
        <v>8485</v>
      </c>
      <c r="B1586" s="16" t="s">
        <v>35</v>
      </c>
      <c r="C1586" s="201">
        <v>45960.0</v>
      </c>
      <c r="D1586" s="16" t="s">
        <v>3716</v>
      </c>
      <c r="E1586" s="16" t="s">
        <v>9912</v>
      </c>
      <c r="F1586" s="16" t="s">
        <v>9915</v>
      </c>
      <c r="G1586" s="16" t="s">
        <v>8486</v>
      </c>
      <c r="H1586" s="16">
        <v>1.0</v>
      </c>
      <c r="I1586" s="16">
        <v>59.8</v>
      </c>
      <c r="J1586" s="16">
        <v>59.8</v>
      </c>
      <c r="K1586" s="16"/>
      <c r="L1586" s="16"/>
      <c r="M1586" s="16"/>
      <c r="N1586" s="16">
        <v>0.0</v>
      </c>
      <c r="O1586" s="16"/>
      <c r="P1586" s="16"/>
      <c r="Q1586" s="16"/>
      <c r="R1586" s="16">
        <v>0.0</v>
      </c>
      <c r="S1586" s="16"/>
      <c r="T1586" s="16"/>
      <c r="U1586" s="16"/>
      <c r="V1586" s="16">
        <v>0.0</v>
      </c>
      <c r="W1586" s="16"/>
      <c r="X1586" s="16"/>
      <c r="Y1586" s="16"/>
      <c r="Z1586" s="16">
        <v>0.0</v>
      </c>
      <c r="AA1586" s="16"/>
      <c r="AB1586" s="16"/>
      <c r="AC1586" s="16"/>
      <c r="AD1586" s="16">
        <v>0.0</v>
      </c>
      <c r="AE1586" s="16"/>
      <c r="AF1586" s="16"/>
      <c r="AG1586" s="16"/>
      <c r="AH1586" s="16">
        <v>0.0</v>
      </c>
      <c r="AI1586" s="16"/>
      <c r="AJ1586" s="16"/>
      <c r="AK1586" s="16"/>
      <c r="AL1586" s="16">
        <v>0.0</v>
      </c>
      <c r="AM1586" s="16"/>
      <c r="AN1586" s="16"/>
      <c r="AO1586" s="16"/>
      <c r="AP1586" s="16">
        <v>0.0</v>
      </c>
      <c r="AQ1586" s="16"/>
      <c r="AR1586" s="16"/>
      <c r="AS1586" s="16"/>
      <c r="AT1586" s="16">
        <v>0.0</v>
      </c>
      <c r="AU1586" s="16"/>
      <c r="AV1586" s="16"/>
      <c r="AW1586" s="16"/>
      <c r="AX1586" s="16">
        <v>0.0</v>
      </c>
      <c r="AY1586" s="16"/>
      <c r="AZ1586" s="16"/>
      <c r="BA1586" s="16"/>
      <c r="BB1586" s="16"/>
      <c r="BC1586" s="16"/>
      <c r="BD1586" s="16"/>
      <c r="BE1586" s="16"/>
      <c r="BF1586" s="16">
        <v>0.0</v>
      </c>
      <c r="BG1586" s="16"/>
      <c r="BH1586" s="16"/>
      <c r="BI1586" s="16"/>
      <c r="BJ1586" s="16">
        <v>0.0</v>
      </c>
      <c r="BN1586" s="16">
        <v>0.0</v>
      </c>
      <c r="BO1586" s="16">
        <v>59.8</v>
      </c>
      <c r="BP1586" s="16" t="s">
        <v>9913</v>
      </c>
      <c r="BQ1586" s="16" t="b">
        <v>1</v>
      </c>
      <c r="BR1586" s="16">
        <v>59.8</v>
      </c>
      <c r="BS1586" s="21" t="s">
        <v>13419</v>
      </c>
      <c r="BT1586" s="16" t="b">
        <v>1</v>
      </c>
      <c r="BU1586" s="16" t="s">
        <v>546</v>
      </c>
      <c r="BV1586" s="16"/>
      <c r="BW1586" s="16"/>
      <c r="BX1586" s="16"/>
      <c r="BY1586" s="16"/>
    </row>
    <row r="1587">
      <c r="A1587" s="16" t="s">
        <v>8488</v>
      </c>
      <c r="B1587" s="16" t="s">
        <v>35</v>
      </c>
      <c r="C1587" s="201">
        <v>45926.0</v>
      </c>
      <c r="D1587" s="16"/>
      <c r="E1587" s="16"/>
      <c r="F1587" s="16" t="s">
        <v>3676</v>
      </c>
      <c r="G1587" s="16" t="s">
        <v>1168</v>
      </c>
      <c r="H1587" s="16">
        <v>1.0</v>
      </c>
      <c r="I1587" s="16">
        <v>500.0</v>
      </c>
      <c r="J1587" s="16">
        <v>500.0</v>
      </c>
      <c r="K1587" s="16"/>
      <c r="L1587" s="16"/>
      <c r="M1587" s="16"/>
      <c r="N1587" s="16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16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16"/>
      <c r="AP1587" s="16"/>
      <c r="AQ1587" s="16"/>
      <c r="AR1587" s="16"/>
      <c r="AS1587" s="16"/>
      <c r="AT1587" s="16"/>
      <c r="AU1587" s="16"/>
      <c r="AV1587" s="16"/>
      <c r="AW1587" s="16"/>
      <c r="AX1587" s="16"/>
      <c r="AY1587" s="16"/>
      <c r="AZ1587" s="16"/>
      <c r="BA1587" s="16"/>
      <c r="BB1587" s="16"/>
      <c r="BC1587" s="16"/>
      <c r="BD1587" s="16"/>
      <c r="BE1587" s="16"/>
      <c r="BF1587" s="16"/>
      <c r="BG1587" s="16"/>
      <c r="BH1587" s="16"/>
      <c r="BI1587" s="16"/>
      <c r="BJ1587" s="16"/>
      <c r="BN1587" s="16"/>
      <c r="BO1587" s="16">
        <v>500.0</v>
      </c>
      <c r="BP1587" s="16"/>
      <c r="BQ1587" s="16" t="b">
        <v>1</v>
      </c>
      <c r="BR1587" s="16">
        <v>500.0</v>
      </c>
      <c r="BS1587" s="16"/>
      <c r="BT1587" s="16"/>
      <c r="BU1587" s="16" t="s">
        <v>539</v>
      </c>
      <c r="BV1587" s="16" t="s">
        <v>624</v>
      </c>
      <c r="BW1587" s="16"/>
      <c r="BX1587" s="16"/>
      <c r="BY1587" s="16"/>
    </row>
    <row r="1588">
      <c r="A1588" s="16" t="s">
        <v>8490</v>
      </c>
      <c r="B1588" s="16" t="s">
        <v>35</v>
      </c>
      <c r="C1588" s="201">
        <v>45926.0</v>
      </c>
      <c r="D1588" s="16"/>
      <c r="E1588" s="16"/>
      <c r="F1588" s="16" t="s">
        <v>3676</v>
      </c>
      <c r="G1588" s="16" t="s">
        <v>1168</v>
      </c>
      <c r="H1588" s="16">
        <v>1.0</v>
      </c>
      <c r="I1588" s="16">
        <v>500.0</v>
      </c>
      <c r="J1588" s="16">
        <v>500.0</v>
      </c>
      <c r="K1588" s="16"/>
      <c r="L1588" s="16"/>
      <c r="M1588" s="16"/>
      <c r="N1588" s="16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16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16"/>
      <c r="AP1588" s="16"/>
      <c r="AQ1588" s="16"/>
      <c r="AR1588" s="16"/>
      <c r="AS1588" s="16"/>
      <c r="AT1588" s="16"/>
      <c r="AU1588" s="16"/>
      <c r="AV1588" s="16"/>
      <c r="AW1588" s="16"/>
      <c r="AX1588" s="16"/>
      <c r="AY1588" s="16"/>
      <c r="AZ1588" s="16"/>
      <c r="BA1588" s="16"/>
      <c r="BB1588" s="16"/>
      <c r="BC1588" s="16"/>
      <c r="BD1588" s="16"/>
      <c r="BE1588" s="16"/>
      <c r="BF1588" s="16"/>
      <c r="BG1588" s="16"/>
      <c r="BH1588" s="16"/>
      <c r="BI1588" s="16"/>
      <c r="BJ1588" s="16"/>
      <c r="BN1588" s="16"/>
      <c r="BO1588" s="16">
        <v>500.0</v>
      </c>
      <c r="BP1588" s="16"/>
      <c r="BQ1588" s="16" t="b">
        <v>1</v>
      </c>
      <c r="BR1588" s="16">
        <v>500.0</v>
      </c>
      <c r="BS1588" s="16"/>
      <c r="BT1588" s="16"/>
      <c r="BU1588" s="16" t="s">
        <v>539</v>
      </c>
      <c r="BV1588" s="16" t="s">
        <v>2052</v>
      </c>
      <c r="BW1588" s="16"/>
      <c r="BX1588" s="16"/>
      <c r="BY1588" s="16"/>
    </row>
    <row r="1589">
      <c r="A1589" s="16" t="s">
        <v>8494</v>
      </c>
      <c r="B1589" s="16" t="s">
        <v>35</v>
      </c>
      <c r="C1589" s="201">
        <v>45929.0</v>
      </c>
      <c r="D1589" s="16"/>
      <c r="E1589" s="16"/>
      <c r="F1589" s="16" t="s">
        <v>3676</v>
      </c>
      <c r="G1589" s="16" t="s">
        <v>1168</v>
      </c>
      <c r="H1589" s="16">
        <v>1.0</v>
      </c>
      <c r="I1589" s="16">
        <v>500.0</v>
      </c>
      <c r="J1589" s="16">
        <v>500.0</v>
      </c>
      <c r="K1589" s="16"/>
      <c r="L1589" s="16"/>
      <c r="M1589" s="16"/>
      <c r="N1589" s="16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16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6"/>
      <c r="BB1589" s="16"/>
      <c r="BC1589" s="16"/>
      <c r="BD1589" s="16"/>
      <c r="BE1589" s="16"/>
      <c r="BF1589" s="16"/>
      <c r="BG1589" s="16"/>
      <c r="BH1589" s="16"/>
      <c r="BI1589" s="16"/>
      <c r="BJ1589" s="16"/>
      <c r="BN1589" s="16"/>
      <c r="BO1589" s="16">
        <v>500.0</v>
      </c>
      <c r="BP1589" s="16"/>
      <c r="BQ1589" s="16" t="b">
        <v>1</v>
      </c>
      <c r="BR1589" s="16">
        <v>500.0</v>
      </c>
      <c r="BS1589" s="16"/>
      <c r="BT1589" s="16"/>
      <c r="BU1589" s="16" t="s">
        <v>539</v>
      </c>
      <c r="BV1589" s="16" t="s">
        <v>3795</v>
      </c>
      <c r="BW1589" s="16"/>
      <c r="BX1589" s="16"/>
      <c r="BY1589" s="16"/>
    </row>
    <row r="1590">
      <c r="A1590" s="16">
        <v>11563.0</v>
      </c>
      <c r="B1590" s="16" t="s">
        <v>35</v>
      </c>
      <c r="C1590" s="201"/>
      <c r="D1590" s="16" t="s">
        <v>1036</v>
      </c>
      <c r="E1590" s="16"/>
      <c r="F1590" s="16" t="s">
        <v>9926</v>
      </c>
      <c r="G1590" s="16" t="s">
        <v>1668</v>
      </c>
      <c r="H1590" s="16">
        <v>1.0</v>
      </c>
      <c r="I1590" s="16">
        <v>124.16</v>
      </c>
      <c r="J1590" s="16">
        <v>124.16</v>
      </c>
      <c r="K1590" s="16"/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16"/>
      <c r="AP1590" s="16"/>
      <c r="AQ1590" s="16"/>
      <c r="AR1590" s="16"/>
      <c r="AS1590" s="16"/>
      <c r="AT1590" s="16"/>
      <c r="AU1590" s="16"/>
      <c r="AV1590" s="16"/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N1590" s="16"/>
      <c r="BO1590" s="16">
        <v>124.16</v>
      </c>
      <c r="BP1590" s="16"/>
      <c r="BQ1590" s="16" t="b">
        <v>1</v>
      </c>
      <c r="BR1590" s="16">
        <v>124.16</v>
      </c>
      <c r="BS1590" s="16"/>
      <c r="BT1590" s="16"/>
      <c r="BU1590" s="16" t="s">
        <v>539</v>
      </c>
      <c r="BV1590" s="16"/>
      <c r="BW1590" s="16"/>
      <c r="BX1590" s="16"/>
      <c r="BY1590" s="16"/>
    </row>
    <row r="1591">
      <c r="A1591" s="16">
        <v>11564.0</v>
      </c>
      <c r="B1591" s="16" t="s">
        <v>35</v>
      </c>
      <c r="C1591" s="201"/>
      <c r="D1591" s="16" t="s">
        <v>9929</v>
      </c>
      <c r="E1591" s="16"/>
      <c r="F1591" s="16" t="s">
        <v>9930</v>
      </c>
      <c r="G1591" s="16" t="s">
        <v>3218</v>
      </c>
      <c r="H1591" s="16">
        <v>1.0</v>
      </c>
      <c r="I1591" s="16">
        <v>8930.0</v>
      </c>
      <c r="J1591" s="16">
        <v>8930.0</v>
      </c>
      <c r="K1591" s="16"/>
      <c r="L1591" s="16"/>
      <c r="M1591" s="16"/>
      <c r="N1591" s="16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16"/>
      <c r="AP1591" s="16"/>
      <c r="AQ1591" s="16"/>
      <c r="AR1591" s="16"/>
      <c r="AS1591" s="16"/>
      <c r="AT1591" s="16"/>
      <c r="AU1591" s="16"/>
      <c r="AV1591" s="16"/>
      <c r="AW1591" s="16"/>
      <c r="AX1591" s="16"/>
      <c r="AY1591" s="16"/>
      <c r="AZ1591" s="16"/>
      <c r="BA1591" s="16"/>
      <c r="BB1591" s="16"/>
      <c r="BC1591" s="16"/>
      <c r="BD1591" s="16"/>
      <c r="BE1591" s="16"/>
      <c r="BF1591" s="16"/>
      <c r="BG1591" s="16"/>
      <c r="BH1591" s="16"/>
      <c r="BI1591" s="16"/>
      <c r="BJ1591" s="16"/>
      <c r="BN1591" s="16"/>
      <c r="BO1591" s="16">
        <v>8930.0</v>
      </c>
      <c r="BP1591" s="16"/>
      <c r="BQ1591" s="16" t="b">
        <v>1</v>
      </c>
      <c r="BR1591" s="16">
        <v>8930.0</v>
      </c>
      <c r="BS1591" s="16"/>
      <c r="BT1591" s="16"/>
      <c r="BU1591" s="16" t="s">
        <v>539</v>
      </c>
      <c r="BV1591" s="16"/>
      <c r="BW1591" s="16"/>
      <c r="BX1591" s="16"/>
      <c r="BY1591" s="16"/>
    </row>
    <row r="1592">
      <c r="A1592" s="16">
        <v>11565.0</v>
      </c>
      <c r="B1592" s="16" t="s">
        <v>35</v>
      </c>
      <c r="C1592" s="201"/>
      <c r="D1592" s="16" t="s">
        <v>3516</v>
      </c>
      <c r="E1592" s="16"/>
      <c r="F1592" s="16" t="s">
        <v>9933</v>
      </c>
      <c r="G1592" s="16" t="s">
        <v>8501</v>
      </c>
      <c r="H1592" s="16">
        <v>1.0</v>
      </c>
      <c r="I1592" s="16">
        <v>550.0</v>
      </c>
      <c r="J1592" s="16">
        <v>550.0</v>
      </c>
      <c r="K1592" s="16"/>
      <c r="L1592" s="16"/>
      <c r="M1592" s="16"/>
      <c r="N1592" s="16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16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16"/>
      <c r="AP1592" s="16"/>
      <c r="AQ1592" s="16"/>
      <c r="AR1592" s="16"/>
      <c r="AS1592" s="16"/>
      <c r="AT1592" s="16"/>
      <c r="AU1592" s="16"/>
      <c r="AV1592" s="16"/>
      <c r="AW1592" s="16"/>
      <c r="AX1592" s="16"/>
      <c r="AY1592" s="16"/>
      <c r="AZ1592" s="16"/>
      <c r="BA1592" s="16"/>
      <c r="BB1592" s="16"/>
      <c r="BC1592" s="16"/>
      <c r="BD1592" s="16"/>
      <c r="BE1592" s="16"/>
      <c r="BF1592" s="16"/>
      <c r="BG1592" s="16"/>
      <c r="BH1592" s="16"/>
      <c r="BI1592" s="16"/>
      <c r="BJ1592" s="16"/>
      <c r="BN1592" s="16"/>
      <c r="BO1592" s="16">
        <v>550.0</v>
      </c>
      <c r="BP1592" s="16"/>
      <c r="BQ1592" s="16" t="b">
        <v>1</v>
      </c>
      <c r="BR1592" s="16">
        <v>550.0</v>
      </c>
      <c r="BS1592" s="16"/>
      <c r="BT1592" s="16"/>
      <c r="BU1592" s="16" t="s">
        <v>539</v>
      </c>
      <c r="BV1592" s="16"/>
      <c r="BW1592" s="16"/>
      <c r="BX1592" s="16"/>
      <c r="BY1592" s="16"/>
    </row>
    <row r="1593">
      <c r="A1593" s="16">
        <v>11566.0</v>
      </c>
      <c r="B1593" s="16" t="s">
        <v>35</v>
      </c>
      <c r="C1593" s="201"/>
      <c r="D1593" s="16" t="s">
        <v>2439</v>
      </c>
      <c r="E1593" s="16"/>
      <c r="F1593" s="16" t="s">
        <v>5136</v>
      </c>
      <c r="G1593" s="16" t="s">
        <v>873</v>
      </c>
      <c r="H1593" s="16">
        <v>1.0</v>
      </c>
      <c r="I1593" s="16">
        <v>0.0</v>
      </c>
      <c r="J1593" s="16">
        <v>0.0</v>
      </c>
      <c r="K1593" s="16"/>
      <c r="L1593" s="16"/>
      <c r="M1593" s="16"/>
      <c r="N1593" s="16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16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16"/>
      <c r="AP1593" s="16"/>
      <c r="AQ1593" s="16"/>
      <c r="AR1593" s="16"/>
      <c r="AS1593" s="16"/>
      <c r="AT1593" s="16"/>
      <c r="AU1593" s="16"/>
      <c r="AV1593" s="16"/>
      <c r="AW1593" s="16"/>
      <c r="AX1593" s="16"/>
      <c r="AY1593" s="16"/>
      <c r="AZ1593" s="16"/>
      <c r="BA1593" s="16"/>
      <c r="BB1593" s="16"/>
      <c r="BC1593" s="16"/>
      <c r="BD1593" s="16"/>
      <c r="BE1593" s="16"/>
      <c r="BF1593" s="16"/>
      <c r="BG1593" s="16"/>
      <c r="BH1593" s="16"/>
      <c r="BI1593" s="16"/>
      <c r="BJ1593" s="16"/>
      <c r="BN1593" s="16"/>
      <c r="BO1593" s="16">
        <v>0.0</v>
      </c>
      <c r="BP1593" s="16"/>
      <c r="BQ1593" s="16" t="b">
        <v>1</v>
      </c>
      <c r="BR1593" s="16">
        <v>0.0</v>
      </c>
      <c r="BS1593" s="16"/>
      <c r="BT1593" s="16"/>
      <c r="BU1593" s="16" t="s">
        <v>539</v>
      </c>
      <c r="BV1593" s="16"/>
      <c r="BW1593" s="16"/>
      <c r="BX1593" s="16"/>
      <c r="BY1593" s="16"/>
    </row>
    <row r="1594">
      <c r="A1594" s="16">
        <v>11567.0</v>
      </c>
      <c r="B1594" s="16" t="s">
        <v>35</v>
      </c>
      <c r="C1594" s="201"/>
      <c r="D1594" s="16" t="s">
        <v>1557</v>
      </c>
      <c r="E1594" s="16"/>
      <c r="F1594" s="16" t="s">
        <v>8658</v>
      </c>
      <c r="G1594" s="16" t="s">
        <v>5325</v>
      </c>
      <c r="H1594" s="16">
        <v>1.0</v>
      </c>
      <c r="I1594" s="16">
        <v>110.0</v>
      </c>
      <c r="J1594" s="16">
        <v>110.0</v>
      </c>
      <c r="K1594" s="16"/>
      <c r="L1594" s="16"/>
      <c r="M1594" s="16"/>
      <c r="N1594" s="16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16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16"/>
      <c r="AP1594" s="16"/>
      <c r="AQ1594" s="16"/>
      <c r="AR1594" s="16"/>
      <c r="AS1594" s="16"/>
      <c r="AT1594" s="16"/>
      <c r="AU1594" s="16"/>
      <c r="AV1594" s="16"/>
      <c r="AW1594" s="16"/>
      <c r="AX1594" s="16"/>
      <c r="AY1594" s="16"/>
      <c r="AZ1594" s="16"/>
      <c r="BA1594" s="16"/>
      <c r="BB1594" s="16"/>
      <c r="BC1594" s="16"/>
      <c r="BD1594" s="16"/>
      <c r="BE1594" s="16"/>
      <c r="BF1594" s="16"/>
      <c r="BG1594" s="16"/>
      <c r="BH1594" s="16"/>
      <c r="BI1594" s="16"/>
      <c r="BJ1594" s="16"/>
      <c r="BN1594" s="16"/>
      <c r="BO1594" s="16">
        <v>110.0</v>
      </c>
      <c r="BP1594" s="16"/>
      <c r="BQ1594" s="16" t="b">
        <v>1</v>
      </c>
      <c r="BR1594" s="16">
        <v>110.0</v>
      </c>
      <c r="BS1594" s="16"/>
      <c r="BT1594" s="16"/>
      <c r="BU1594" s="16" t="s">
        <v>539</v>
      </c>
      <c r="BV1594" s="16"/>
      <c r="BW1594" s="16"/>
      <c r="BX1594" s="16"/>
      <c r="BY1594" s="16"/>
    </row>
    <row r="1595">
      <c r="A1595" s="16" t="s">
        <v>8508</v>
      </c>
      <c r="B1595" s="16" t="s">
        <v>35</v>
      </c>
      <c r="C1595" s="201"/>
      <c r="D1595" s="16" t="s">
        <v>9260</v>
      </c>
      <c r="E1595" s="16"/>
      <c r="F1595" s="16" t="s">
        <v>9941</v>
      </c>
      <c r="G1595" s="16" t="s">
        <v>8067</v>
      </c>
      <c r="H1595" s="16">
        <v>1.0</v>
      </c>
      <c r="I1595" s="16">
        <v>10.0</v>
      </c>
      <c r="J1595" s="16">
        <v>10.0</v>
      </c>
      <c r="K1595" s="16"/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16"/>
      <c r="AP1595" s="16"/>
      <c r="AQ1595" s="16"/>
      <c r="AR1595" s="16"/>
      <c r="AS1595" s="16"/>
      <c r="AT1595" s="16"/>
      <c r="AU1595" s="16"/>
      <c r="AV1595" s="16"/>
      <c r="AW1595" s="16"/>
      <c r="AX1595" s="16"/>
      <c r="AY1595" s="16"/>
      <c r="AZ1595" s="16"/>
      <c r="BA1595" s="16"/>
      <c r="BB1595" s="16"/>
      <c r="BC1595" s="16"/>
      <c r="BD1595" s="16"/>
      <c r="BE1595" s="16"/>
      <c r="BF1595" s="16"/>
      <c r="BG1595" s="16"/>
      <c r="BH1595" s="16"/>
      <c r="BI1595" s="16"/>
      <c r="BJ1595" s="16"/>
      <c r="BN1595" s="16"/>
      <c r="BO1595" s="16">
        <v>10.0</v>
      </c>
      <c r="BP1595" s="16"/>
      <c r="BQ1595" s="16" t="b">
        <v>1</v>
      </c>
      <c r="BR1595" s="16">
        <v>10.0</v>
      </c>
      <c r="BS1595" s="16"/>
      <c r="BT1595" s="16"/>
      <c r="BU1595" s="16" t="s">
        <v>8596</v>
      </c>
      <c r="BV1595" s="16"/>
      <c r="BW1595" s="16"/>
      <c r="BX1595" s="16"/>
      <c r="BY1595" s="16"/>
    </row>
    <row r="1596">
      <c r="A1596" s="16" t="s">
        <v>8512</v>
      </c>
      <c r="B1596" s="16" t="s">
        <v>35</v>
      </c>
      <c r="C1596" s="201"/>
      <c r="D1596" s="16" t="s">
        <v>890</v>
      </c>
      <c r="E1596" s="16"/>
      <c r="F1596" s="16" t="s">
        <v>9946</v>
      </c>
      <c r="G1596" s="16" t="s">
        <v>1517</v>
      </c>
      <c r="H1596" s="16">
        <v>1.0</v>
      </c>
      <c r="I1596" s="16">
        <v>1202.77</v>
      </c>
      <c r="J1596" s="16">
        <v>1202.77</v>
      </c>
      <c r="K1596" s="16"/>
      <c r="L1596" s="16"/>
      <c r="M1596" s="16"/>
      <c r="N1596" s="16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16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16"/>
      <c r="AP1596" s="16"/>
      <c r="AQ1596" s="16"/>
      <c r="AR1596" s="16"/>
      <c r="AS1596" s="16"/>
      <c r="AT1596" s="16"/>
      <c r="AU1596" s="16"/>
      <c r="AV1596" s="16"/>
      <c r="AW1596" s="16"/>
      <c r="AX1596" s="16"/>
      <c r="AY1596" s="16"/>
      <c r="AZ1596" s="16"/>
      <c r="BA1596" s="16"/>
      <c r="BB1596" s="16"/>
      <c r="BC1596" s="16"/>
      <c r="BD1596" s="16"/>
      <c r="BE1596" s="16"/>
      <c r="BF1596" s="16"/>
      <c r="BG1596" s="16"/>
      <c r="BH1596" s="16"/>
      <c r="BI1596" s="16"/>
      <c r="BJ1596" s="16"/>
      <c r="BN1596" s="16"/>
      <c r="BO1596" s="16">
        <v>1202.77</v>
      </c>
      <c r="BP1596" s="16"/>
      <c r="BQ1596" s="16" t="b">
        <v>1</v>
      </c>
      <c r="BR1596" s="16">
        <v>1202.77</v>
      </c>
      <c r="BS1596" s="16"/>
      <c r="BT1596" s="16"/>
      <c r="BU1596" s="16" t="s">
        <v>8596</v>
      </c>
      <c r="BV1596" s="16"/>
      <c r="BW1596" s="16"/>
      <c r="BX1596" s="16"/>
      <c r="BY1596" s="16"/>
    </row>
    <row r="1597">
      <c r="A1597" s="16" t="s">
        <v>8514</v>
      </c>
      <c r="B1597" s="16" t="s">
        <v>35</v>
      </c>
      <c r="C1597" s="201"/>
      <c r="D1597" s="16" t="s">
        <v>9260</v>
      </c>
      <c r="E1597" s="16"/>
      <c r="F1597" s="16" t="s">
        <v>9949</v>
      </c>
      <c r="G1597" s="16" t="s">
        <v>5713</v>
      </c>
      <c r="H1597" s="16">
        <v>1.0</v>
      </c>
      <c r="I1597" s="16">
        <v>120.62</v>
      </c>
      <c r="J1597" s="16">
        <v>120.62</v>
      </c>
      <c r="K1597" s="16"/>
      <c r="L1597" s="16"/>
      <c r="M1597" s="16"/>
      <c r="N1597" s="16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16"/>
      <c r="AP1597" s="16"/>
      <c r="AQ1597" s="16"/>
      <c r="AR1597" s="16"/>
      <c r="AS1597" s="16"/>
      <c r="AT1597" s="16"/>
      <c r="AU1597" s="16"/>
      <c r="AV1597" s="16"/>
      <c r="AW1597" s="16"/>
      <c r="AX1597" s="16"/>
      <c r="AY1597" s="16"/>
      <c r="AZ1597" s="16"/>
      <c r="BA1597" s="16"/>
      <c r="BB1597" s="16"/>
      <c r="BC1597" s="16"/>
      <c r="BD1597" s="16"/>
      <c r="BE1597" s="16"/>
      <c r="BF1597" s="16"/>
      <c r="BG1597" s="16"/>
      <c r="BH1597" s="16"/>
      <c r="BI1597" s="16"/>
      <c r="BJ1597" s="16"/>
      <c r="BN1597" s="16"/>
      <c r="BO1597" s="16">
        <v>120.62</v>
      </c>
      <c r="BP1597" s="16"/>
      <c r="BQ1597" s="16" t="b">
        <v>1</v>
      </c>
      <c r="BR1597" s="16">
        <v>120.62</v>
      </c>
      <c r="BS1597" s="16"/>
      <c r="BT1597" s="16"/>
      <c r="BU1597" s="16" t="s">
        <v>8596</v>
      </c>
      <c r="BV1597" s="16"/>
      <c r="BW1597" s="16"/>
      <c r="BX1597" s="16"/>
      <c r="BY1597" s="16"/>
    </row>
    <row r="1598">
      <c r="A1598" s="16" t="s">
        <v>8518</v>
      </c>
      <c r="B1598" s="16" t="s">
        <v>35</v>
      </c>
      <c r="C1598" s="201">
        <v>45959.0</v>
      </c>
      <c r="D1598" s="16" t="s">
        <v>890</v>
      </c>
      <c r="E1598" s="16" t="s">
        <v>9953</v>
      </c>
      <c r="F1598" s="16" t="s">
        <v>9956</v>
      </c>
      <c r="G1598" s="16" t="s">
        <v>5713</v>
      </c>
      <c r="H1598" s="16">
        <v>1.0</v>
      </c>
      <c r="I1598" s="16">
        <v>556.21</v>
      </c>
      <c r="J1598" s="16">
        <v>556.21</v>
      </c>
      <c r="K1598" s="16"/>
      <c r="L1598" s="16"/>
      <c r="M1598" s="16"/>
      <c r="N1598" s="16">
        <v>0.0</v>
      </c>
      <c r="O1598" s="16"/>
      <c r="P1598" s="16"/>
      <c r="Q1598" s="16"/>
      <c r="R1598" s="16">
        <v>0.0</v>
      </c>
      <c r="S1598" s="16"/>
      <c r="T1598" s="16"/>
      <c r="U1598" s="16"/>
      <c r="V1598" s="16">
        <v>0.0</v>
      </c>
      <c r="W1598" s="16"/>
      <c r="X1598" s="16"/>
      <c r="Y1598" s="16"/>
      <c r="Z1598" s="16">
        <v>0.0</v>
      </c>
      <c r="AA1598" s="16"/>
      <c r="AB1598" s="16"/>
      <c r="AC1598" s="16"/>
      <c r="AD1598" s="16">
        <v>0.0</v>
      </c>
      <c r="AE1598" s="16"/>
      <c r="AF1598" s="16"/>
      <c r="AG1598" s="16"/>
      <c r="AH1598" s="16">
        <v>0.0</v>
      </c>
      <c r="AI1598" s="16"/>
      <c r="AJ1598" s="16"/>
      <c r="AK1598" s="16"/>
      <c r="AL1598" s="16">
        <v>0.0</v>
      </c>
      <c r="AM1598" s="16"/>
      <c r="AN1598" s="16"/>
      <c r="AO1598" s="16"/>
      <c r="AP1598" s="16">
        <v>0.0</v>
      </c>
      <c r="AQ1598" s="16"/>
      <c r="AR1598" s="16"/>
      <c r="AS1598" s="16"/>
      <c r="AT1598" s="16">
        <v>0.0</v>
      </c>
      <c r="AU1598" s="16"/>
      <c r="AV1598" s="16"/>
      <c r="AW1598" s="16"/>
      <c r="AX1598" s="16">
        <v>0.0</v>
      </c>
      <c r="AY1598" s="16"/>
      <c r="AZ1598" s="16"/>
      <c r="BA1598" s="16"/>
      <c r="BB1598" s="16"/>
      <c r="BC1598" s="16"/>
      <c r="BD1598" s="16"/>
      <c r="BE1598" s="16"/>
      <c r="BF1598" s="16">
        <v>0.0</v>
      </c>
      <c r="BG1598" s="16"/>
      <c r="BH1598" s="16"/>
      <c r="BI1598" s="16"/>
      <c r="BJ1598" s="16">
        <v>0.0</v>
      </c>
      <c r="BN1598" s="16">
        <v>0.0</v>
      </c>
      <c r="BO1598" s="16">
        <v>556.21</v>
      </c>
      <c r="BP1598" s="16" t="s">
        <v>9954</v>
      </c>
      <c r="BQ1598" s="16" t="b">
        <v>1</v>
      </c>
      <c r="BR1598" s="16">
        <v>556.21</v>
      </c>
      <c r="BS1598" s="16"/>
      <c r="BT1598" s="16" t="b">
        <v>0</v>
      </c>
      <c r="BU1598" s="16" t="s">
        <v>546</v>
      </c>
      <c r="BV1598" s="16"/>
      <c r="BW1598" s="16"/>
      <c r="BX1598" s="16"/>
      <c r="BY1598" s="16"/>
    </row>
    <row r="1599">
      <c r="A1599" s="16" t="s">
        <v>8520</v>
      </c>
      <c r="B1599" s="16" t="s">
        <v>35</v>
      </c>
      <c r="C1599" s="201">
        <v>45959.0</v>
      </c>
      <c r="D1599" s="16" t="s">
        <v>890</v>
      </c>
      <c r="E1599" s="16" t="s">
        <v>9959</v>
      </c>
      <c r="F1599" s="16" t="s">
        <v>1511</v>
      </c>
      <c r="G1599" s="16" t="s">
        <v>1517</v>
      </c>
      <c r="H1599" s="16">
        <v>1.0</v>
      </c>
      <c r="I1599" s="16">
        <v>5546.29</v>
      </c>
      <c r="J1599" s="16">
        <v>5546.29</v>
      </c>
      <c r="K1599" s="16"/>
      <c r="L1599" s="16"/>
      <c r="M1599" s="16"/>
      <c r="N1599" s="16">
        <v>0.0</v>
      </c>
      <c r="O1599" s="16"/>
      <c r="P1599" s="16"/>
      <c r="Q1599" s="16"/>
      <c r="R1599" s="16">
        <v>0.0</v>
      </c>
      <c r="S1599" s="16"/>
      <c r="T1599" s="16"/>
      <c r="U1599" s="16"/>
      <c r="V1599" s="16">
        <v>0.0</v>
      </c>
      <c r="W1599" s="16"/>
      <c r="X1599" s="16"/>
      <c r="Y1599" s="16"/>
      <c r="Z1599" s="16">
        <v>0.0</v>
      </c>
      <c r="AA1599" s="16"/>
      <c r="AB1599" s="16"/>
      <c r="AC1599" s="16"/>
      <c r="AD1599" s="16">
        <v>0.0</v>
      </c>
      <c r="AE1599" s="16"/>
      <c r="AF1599" s="16"/>
      <c r="AG1599" s="16"/>
      <c r="AH1599" s="16">
        <v>0.0</v>
      </c>
      <c r="AI1599" s="16"/>
      <c r="AJ1599" s="16"/>
      <c r="AK1599" s="16"/>
      <c r="AL1599" s="16">
        <v>0.0</v>
      </c>
      <c r="AM1599" s="16"/>
      <c r="AN1599" s="16"/>
      <c r="AO1599" s="16"/>
      <c r="AP1599" s="16">
        <v>0.0</v>
      </c>
      <c r="AQ1599" s="16"/>
      <c r="AR1599" s="16"/>
      <c r="AS1599" s="16"/>
      <c r="AT1599" s="16">
        <v>0.0</v>
      </c>
      <c r="AU1599" s="16"/>
      <c r="AV1599" s="16"/>
      <c r="AW1599" s="16"/>
      <c r="AX1599" s="16">
        <v>0.0</v>
      </c>
      <c r="AY1599" s="16"/>
      <c r="AZ1599" s="16"/>
      <c r="BA1599" s="16"/>
      <c r="BB1599" s="16"/>
      <c r="BC1599" s="16"/>
      <c r="BD1599" s="16"/>
      <c r="BE1599" s="16"/>
      <c r="BF1599" s="16">
        <v>0.0</v>
      </c>
      <c r="BG1599" s="16"/>
      <c r="BH1599" s="16"/>
      <c r="BI1599" s="16"/>
      <c r="BJ1599" s="16">
        <v>0.0</v>
      </c>
      <c r="BN1599" s="16">
        <v>0.0</v>
      </c>
      <c r="BO1599" s="16">
        <v>5546.29</v>
      </c>
      <c r="BP1599" s="16" t="s">
        <v>9960</v>
      </c>
      <c r="BQ1599" s="16" t="b">
        <v>1</v>
      </c>
      <c r="BR1599" s="16">
        <v>5546.29</v>
      </c>
      <c r="BS1599" s="16"/>
      <c r="BT1599" s="16" t="b">
        <v>0</v>
      </c>
      <c r="BU1599" s="16" t="s">
        <v>546</v>
      </c>
      <c r="BV1599" s="16"/>
      <c r="BW1599" s="16" t="s">
        <v>9963</v>
      </c>
      <c r="BX1599" s="16"/>
      <c r="BY1599" s="16"/>
    </row>
    <row r="1600">
      <c r="A1600" s="16" t="s">
        <v>8522</v>
      </c>
      <c r="B1600" s="16" t="s">
        <v>35</v>
      </c>
      <c r="C1600" s="201">
        <v>45961.0</v>
      </c>
      <c r="D1600" s="16" t="s">
        <v>112</v>
      </c>
      <c r="E1600" s="16" t="s">
        <v>9965</v>
      </c>
      <c r="F1600" s="16" t="s">
        <v>157</v>
      </c>
      <c r="G1600" s="16" t="s">
        <v>159</v>
      </c>
      <c r="H1600" s="16">
        <v>1.0</v>
      </c>
      <c r="I1600" s="16">
        <v>300.0</v>
      </c>
      <c r="J1600" s="16">
        <v>300.0</v>
      </c>
      <c r="K1600" s="16" t="s">
        <v>155</v>
      </c>
      <c r="L1600" s="16">
        <v>1.0</v>
      </c>
      <c r="M1600" s="16">
        <v>54.63</v>
      </c>
      <c r="N1600" s="16">
        <v>54.63</v>
      </c>
      <c r="O1600" s="16" t="s">
        <v>226</v>
      </c>
      <c r="P1600" s="16">
        <v>1.0</v>
      </c>
      <c r="Q1600" s="16">
        <v>72.0</v>
      </c>
      <c r="R1600" s="16">
        <v>72.0</v>
      </c>
      <c r="S1600" s="16"/>
      <c r="T1600" s="16"/>
      <c r="U1600" s="16"/>
      <c r="V1600" s="16">
        <v>0.0</v>
      </c>
      <c r="W1600" s="16"/>
      <c r="X1600" s="16"/>
      <c r="Y1600" s="16"/>
      <c r="Z1600" s="16">
        <v>0.0</v>
      </c>
      <c r="AA1600" s="16"/>
      <c r="AB1600" s="16"/>
      <c r="AC1600" s="16"/>
      <c r="AD1600" s="16">
        <v>0.0</v>
      </c>
      <c r="AE1600" s="16"/>
      <c r="AF1600" s="16"/>
      <c r="AG1600" s="16"/>
      <c r="AH1600" s="16">
        <v>0.0</v>
      </c>
      <c r="AI1600" s="16"/>
      <c r="AJ1600" s="16"/>
      <c r="AK1600" s="16"/>
      <c r="AL1600" s="16">
        <v>0.0</v>
      </c>
      <c r="AM1600" s="16"/>
      <c r="AN1600" s="16"/>
      <c r="AO1600" s="16"/>
      <c r="AP1600" s="16">
        <v>0.0</v>
      </c>
      <c r="AQ1600" s="16"/>
      <c r="AR1600" s="16"/>
      <c r="AS1600" s="16"/>
      <c r="AT1600" s="16">
        <v>0.0</v>
      </c>
      <c r="AU1600" s="16"/>
      <c r="AV1600" s="16"/>
      <c r="AW1600" s="16"/>
      <c r="AX1600" s="16">
        <v>0.0</v>
      </c>
      <c r="AY1600" s="16"/>
      <c r="AZ1600" s="16"/>
      <c r="BA1600" s="16"/>
      <c r="BB1600" s="16"/>
      <c r="BC1600" s="16"/>
      <c r="BD1600" s="16"/>
      <c r="BE1600" s="16"/>
      <c r="BF1600" s="16">
        <v>0.0</v>
      </c>
      <c r="BG1600" s="16"/>
      <c r="BH1600" s="16"/>
      <c r="BI1600" s="16"/>
      <c r="BJ1600" s="16">
        <v>0.0</v>
      </c>
      <c r="BN1600" s="16">
        <v>0.0</v>
      </c>
      <c r="BO1600" s="16">
        <v>426.63</v>
      </c>
      <c r="BP1600" s="16" t="s">
        <v>9967</v>
      </c>
      <c r="BQ1600" s="16" t="b">
        <v>1</v>
      </c>
      <c r="BR1600" s="16">
        <v>426.63</v>
      </c>
      <c r="BS1600" s="16"/>
      <c r="BT1600" s="16" t="b">
        <v>0</v>
      </c>
      <c r="BU1600" s="16" t="s">
        <v>546</v>
      </c>
      <c r="BV1600" s="16"/>
      <c r="BW1600" s="16"/>
      <c r="BX1600" s="16"/>
      <c r="BY1600" s="16"/>
    </row>
    <row r="1601">
      <c r="A1601" s="16" t="s">
        <v>8530</v>
      </c>
      <c r="B1601" s="16" t="s">
        <v>35</v>
      </c>
      <c r="C1601" s="201">
        <v>45961.0</v>
      </c>
      <c r="D1601" s="21" t="s">
        <v>12789</v>
      </c>
      <c r="E1601" s="16" t="s">
        <v>9970</v>
      </c>
      <c r="F1601" s="16" t="s">
        <v>236</v>
      </c>
      <c r="G1601" s="16" t="s">
        <v>305</v>
      </c>
      <c r="H1601" s="16">
        <v>1.0</v>
      </c>
      <c r="I1601" s="16">
        <v>153.31</v>
      </c>
      <c r="J1601" s="16">
        <v>153.31</v>
      </c>
      <c r="K1601" s="16"/>
      <c r="L1601" s="16"/>
      <c r="M1601" s="16"/>
      <c r="N1601" s="16">
        <v>0.0</v>
      </c>
      <c r="O1601" s="16"/>
      <c r="P1601" s="16"/>
      <c r="Q1601" s="16"/>
      <c r="R1601" s="16">
        <v>0.0</v>
      </c>
      <c r="S1601" s="16"/>
      <c r="T1601" s="16"/>
      <c r="U1601" s="16"/>
      <c r="V1601" s="16">
        <v>0.0</v>
      </c>
      <c r="W1601" s="16"/>
      <c r="X1601" s="16"/>
      <c r="Y1601" s="16"/>
      <c r="Z1601" s="16">
        <v>0.0</v>
      </c>
      <c r="AA1601" s="16"/>
      <c r="AB1601" s="16"/>
      <c r="AC1601" s="16"/>
      <c r="AD1601" s="16">
        <v>0.0</v>
      </c>
      <c r="AE1601" s="16"/>
      <c r="AF1601" s="16"/>
      <c r="AG1601" s="16"/>
      <c r="AH1601" s="16">
        <v>0.0</v>
      </c>
      <c r="AI1601" s="16"/>
      <c r="AJ1601" s="16"/>
      <c r="AK1601" s="16"/>
      <c r="AL1601" s="16">
        <v>0.0</v>
      </c>
      <c r="AM1601" s="16"/>
      <c r="AN1601" s="16"/>
      <c r="AO1601" s="16"/>
      <c r="AP1601" s="16">
        <v>0.0</v>
      </c>
      <c r="AQ1601" s="16"/>
      <c r="AR1601" s="16"/>
      <c r="AS1601" s="16"/>
      <c r="AT1601" s="16">
        <v>0.0</v>
      </c>
      <c r="AU1601" s="16"/>
      <c r="AV1601" s="16"/>
      <c r="AW1601" s="16"/>
      <c r="AX1601" s="16">
        <v>0.0</v>
      </c>
      <c r="AY1601" s="16"/>
      <c r="AZ1601" s="16"/>
      <c r="BA1601" s="16"/>
      <c r="BB1601" s="16"/>
      <c r="BC1601" s="16"/>
      <c r="BD1601" s="16"/>
      <c r="BE1601" s="16"/>
      <c r="BF1601" s="16">
        <v>0.0</v>
      </c>
      <c r="BG1601" s="16"/>
      <c r="BH1601" s="16"/>
      <c r="BI1601" s="16"/>
      <c r="BJ1601" s="16">
        <v>0.0</v>
      </c>
      <c r="BN1601" s="16">
        <v>0.0</v>
      </c>
      <c r="BO1601" s="16">
        <v>153.31</v>
      </c>
      <c r="BP1601" s="16" t="s">
        <v>9972</v>
      </c>
      <c r="BQ1601" s="16" t="b">
        <v>1</v>
      </c>
      <c r="BR1601" s="16">
        <v>153.31</v>
      </c>
      <c r="BS1601" s="21" t="s">
        <v>13433</v>
      </c>
      <c r="BT1601" s="16" t="b">
        <v>1</v>
      </c>
      <c r="BU1601" s="16" t="s">
        <v>546</v>
      </c>
      <c r="BV1601" s="16"/>
      <c r="BW1601" s="16"/>
      <c r="BX1601" s="16"/>
      <c r="BY1601" s="16"/>
    </row>
    <row r="1602">
      <c r="A1602" s="16" t="s">
        <v>8533</v>
      </c>
      <c r="B1602" s="16" t="s">
        <v>35</v>
      </c>
      <c r="C1602" s="201">
        <v>45961.0</v>
      </c>
      <c r="D1602" s="16" t="s">
        <v>286</v>
      </c>
      <c r="E1602" s="16" t="s">
        <v>9977</v>
      </c>
      <c r="F1602" s="16" t="s">
        <v>9979</v>
      </c>
      <c r="G1602" s="16" t="s">
        <v>8534</v>
      </c>
      <c r="H1602" s="16">
        <v>1.0</v>
      </c>
      <c r="I1602" s="16">
        <v>8.0</v>
      </c>
      <c r="J1602" s="16">
        <v>8.0</v>
      </c>
      <c r="K1602" s="16"/>
      <c r="L1602" s="16"/>
      <c r="M1602" s="16"/>
      <c r="N1602" s="16">
        <v>0.0</v>
      </c>
      <c r="O1602" s="16"/>
      <c r="P1602" s="16"/>
      <c r="Q1602" s="16"/>
      <c r="R1602" s="16">
        <v>0.0</v>
      </c>
      <c r="S1602" s="16"/>
      <c r="T1602" s="16"/>
      <c r="U1602" s="16"/>
      <c r="V1602" s="16">
        <v>0.0</v>
      </c>
      <c r="W1602" s="16"/>
      <c r="X1602" s="16"/>
      <c r="Y1602" s="16"/>
      <c r="Z1602" s="16">
        <v>0.0</v>
      </c>
      <c r="AA1602" s="16"/>
      <c r="AB1602" s="16"/>
      <c r="AC1602" s="16"/>
      <c r="AD1602" s="16">
        <v>0.0</v>
      </c>
      <c r="AE1602" s="16"/>
      <c r="AF1602" s="16"/>
      <c r="AG1602" s="16"/>
      <c r="AH1602" s="16">
        <v>0.0</v>
      </c>
      <c r="AI1602" s="16"/>
      <c r="AJ1602" s="16"/>
      <c r="AK1602" s="16"/>
      <c r="AL1602" s="16">
        <v>0.0</v>
      </c>
      <c r="AM1602" s="16"/>
      <c r="AN1602" s="16"/>
      <c r="AO1602" s="16"/>
      <c r="AP1602" s="16">
        <v>0.0</v>
      </c>
      <c r="AQ1602" s="16"/>
      <c r="AR1602" s="16"/>
      <c r="AS1602" s="16"/>
      <c r="AT1602" s="16">
        <v>0.0</v>
      </c>
      <c r="AU1602" s="16"/>
      <c r="AV1602" s="16"/>
      <c r="AW1602" s="16"/>
      <c r="AX1602" s="16">
        <v>0.0</v>
      </c>
      <c r="AY1602" s="16"/>
      <c r="AZ1602" s="16"/>
      <c r="BA1602" s="16"/>
      <c r="BB1602" s="16"/>
      <c r="BC1602" s="16"/>
      <c r="BD1602" s="16"/>
      <c r="BE1602" s="16"/>
      <c r="BF1602" s="16">
        <v>0.0</v>
      </c>
      <c r="BG1602" s="16"/>
      <c r="BH1602" s="16"/>
      <c r="BI1602" s="16"/>
      <c r="BJ1602" s="16">
        <v>0.0</v>
      </c>
      <c r="BN1602" s="16">
        <v>0.0</v>
      </c>
      <c r="BO1602" s="16">
        <v>8.0</v>
      </c>
      <c r="BP1602" s="16" t="s">
        <v>9978</v>
      </c>
      <c r="BQ1602" s="16" t="b">
        <v>1</v>
      </c>
      <c r="BR1602" s="16">
        <v>8.0</v>
      </c>
      <c r="BS1602" s="21" t="s">
        <v>13435</v>
      </c>
      <c r="BT1602" s="16" t="b">
        <v>1</v>
      </c>
      <c r="BU1602" s="16" t="s">
        <v>546</v>
      </c>
      <c r="BV1602" s="16"/>
      <c r="BW1602" s="16"/>
      <c r="BX1602" s="16"/>
      <c r="BY1602" s="16"/>
    </row>
    <row r="1603">
      <c r="A1603" s="16" t="s">
        <v>8537</v>
      </c>
      <c r="B1603" s="16" t="s">
        <v>35</v>
      </c>
      <c r="C1603" s="201">
        <v>45961.0</v>
      </c>
      <c r="D1603" s="21" t="s">
        <v>12869</v>
      </c>
      <c r="E1603" s="16" t="s">
        <v>9984</v>
      </c>
      <c r="F1603" s="16" t="s">
        <v>5885</v>
      </c>
      <c r="G1603" s="16" t="s">
        <v>1022</v>
      </c>
      <c r="H1603" s="16">
        <v>1.0</v>
      </c>
      <c r="I1603" s="16">
        <v>140.0</v>
      </c>
      <c r="J1603" s="16">
        <v>140.0</v>
      </c>
      <c r="K1603" s="16"/>
      <c r="L1603" s="16"/>
      <c r="M1603" s="16"/>
      <c r="N1603" s="16">
        <v>0.0</v>
      </c>
      <c r="O1603" s="16"/>
      <c r="P1603" s="16"/>
      <c r="Q1603" s="16"/>
      <c r="R1603" s="16">
        <v>0.0</v>
      </c>
      <c r="S1603" s="16"/>
      <c r="T1603" s="16"/>
      <c r="U1603" s="16"/>
      <c r="V1603" s="16">
        <v>0.0</v>
      </c>
      <c r="W1603" s="16"/>
      <c r="X1603" s="16"/>
      <c r="Y1603" s="16"/>
      <c r="Z1603" s="16">
        <v>0.0</v>
      </c>
      <c r="AA1603" s="16"/>
      <c r="AB1603" s="16"/>
      <c r="AC1603" s="16"/>
      <c r="AD1603" s="16">
        <v>0.0</v>
      </c>
      <c r="AE1603" s="16"/>
      <c r="AF1603" s="16"/>
      <c r="AG1603" s="16"/>
      <c r="AH1603" s="16">
        <v>0.0</v>
      </c>
      <c r="AI1603" s="16"/>
      <c r="AJ1603" s="16"/>
      <c r="AK1603" s="16"/>
      <c r="AL1603" s="16">
        <v>0.0</v>
      </c>
      <c r="AM1603" s="16"/>
      <c r="AN1603" s="16"/>
      <c r="AO1603" s="16"/>
      <c r="AP1603" s="16">
        <v>0.0</v>
      </c>
      <c r="AQ1603" s="16"/>
      <c r="AR1603" s="16"/>
      <c r="AS1603" s="16"/>
      <c r="AT1603" s="16">
        <v>0.0</v>
      </c>
      <c r="AU1603" s="16"/>
      <c r="AV1603" s="16"/>
      <c r="AW1603" s="16"/>
      <c r="AX1603" s="16">
        <v>0.0</v>
      </c>
      <c r="AY1603" s="16"/>
      <c r="AZ1603" s="16"/>
      <c r="BA1603" s="16"/>
      <c r="BB1603" s="16"/>
      <c r="BC1603" s="16"/>
      <c r="BD1603" s="16"/>
      <c r="BE1603" s="16"/>
      <c r="BF1603" s="16">
        <v>0.0</v>
      </c>
      <c r="BG1603" s="16"/>
      <c r="BH1603" s="16"/>
      <c r="BI1603" s="16"/>
      <c r="BJ1603" s="16">
        <v>0.0</v>
      </c>
      <c r="BN1603" s="16">
        <v>0.0</v>
      </c>
      <c r="BO1603" s="16">
        <v>140.0</v>
      </c>
      <c r="BP1603" s="16" t="s">
        <v>9986</v>
      </c>
      <c r="BQ1603" s="16" t="b">
        <v>1</v>
      </c>
      <c r="BR1603" s="16">
        <v>140.0</v>
      </c>
      <c r="BS1603" s="21" t="s">
        <v>13438</v>
      </c>
      <c r="BT1603" s="16" t="b">
        <v>1</v>
      </c>
      <c r="BU1603" s="16" t="s">
        <v>546</v>
      </c>
      <c r="BV1603" s="16"/>
      <c r="BW1603" s="16"/>
      <c r="BX1603" s="16"/>
      <c r="BY1603" s="16"/>
    </row>
    <row r="1604">
      <c r="A1604" s="16" t="s">
        <v>8540</v>
      </c>
      <c r="B1604" s="16" t="s">
        <v>35</v>
      </c>
      <c r="C1604" s="201">
        <v>45960.0</v>
      </c>
      <c r="D1604" s="16" t="s">
        <v>9989</v>
      </c>
      <c r="E1604" s="16" t="s">
        <v>9990</v>
      </c>
      <c r="F1604" s="16" t="s">
        <v>9993</v>
      </c>
      <c r="G1604" s="16" t="s">
        <v>6720</v>
      </c>
      <c r="H1604" s="16">
        <v>1.0</v>
      </c>
      <c r="I1604" s="16">
        <v>30.0</v>
      </c>
      <c r="J1604" s="16">
        <v>30.0</v>
      </c>
      <c r="K1604" s="16"/>
      <c r="L1604" s="16"/>
      <c r="M1604" s="16"/>
      <c r="N1604" s="16">
        <v>0.0</v>
      </c>
      <c r="O1604" s="16"/>
      <c r="P1604" s="16"/>
      <c r="Q1604" s="16"/>
      <c r="R1604" s="16">
        <v>0.0</v>
      </c>
      <c r="S1604" s="16"/>
      <c r="T1604" s="16"/>
      <c r="U1604" s="16"/>
      <c r="V1604" s="16">
        <v>0.0</v>
      </c>
      <c r="W1604" s="16"/>
      <c r="X1604" s="16"/>
      <c r="Y1604" s="16"/>
      <c r="Z1604" s="16">
        <v>0.0</v>
      </c>
      <c r="AA1604" s="16"/>
      <c r="AB1604" s="16"/>
      <c r="AC1604" s="16"/>
      <c r="AD1604" s="16">
        <v>0.0</v>
      </c>
      <c r="AE1604" s="16"/>
      <c r="AF1604" s="16"/>
      <c r="AG1604" s="16"/>
      <c r="AH1604" s="16">
        <v>0.0</v>
      </c>
      <c r="AI1604" s="16"/>
      <c r="AJ1604" s="16"/>
      <c r="AK1604" s="16"/>
      <c r="AL1604" s="16">
        <v>0.0</v>
      </c>
      <c r="AM1604" s="16"/>
      <c r="AN1604" s="16"/>
      <c r="AO1604" s="16"/>
      <c r="AP1604" s="16">
        <v>0.0</v>
      </c>
      <c r="AQ1604" s="16"/>
      <c r="AR1604" s="16"/>
      <c r="AS1604" s="16"/>
      <c r="AT1604" s="16">
        <v>0.0</v>
      </c>
      <c r="AU1604" s="16"/>
      <c r="AV1604" s="16"/>
      <c r="AW1604" s="16"/>
      <c r="AX1604" s="16">
        <v>0.0</v>
      </c>
      <c r="AY1604" s="16"/>
      <c r="AZ1604" s="16"/>
      <c r="BA1604" s="16"/>
      <c r="BB1604" s="16"/>
      <c r="BC1604" s="16"/>
      <c r="BD1604" s="16"/>
      <c r="BE1604" s="16"/>
      <c r="BF1604" s="16">
        <v>0.0</v>
      </c>
      <c r="BG1604" s="16"/>
      <c r="BH1604" s="16"/>
      <c r="BI1604" s="16"/>
      <c r="BJ1604" s="16">
        <v>0.0</v>
      </c>
      <c r="BN1604" s="16">
        <v>0.0</v>
      </c>
      <c r="BO1604" s="16">
        <v>30.0</v>
      </c>
      <c r="BP1604" s="16" t="s">
        <v>9991</v>
      </c>
      <c r="BQ1604" s="16" t="b">
        <v>1</v>
      </c>
      <c r="BR1604" s="16">
        <v>30.0</v>
      </c>
      <c r="BS1604" s="21" t="s">
        <v>13441</v>
      </c>
      <c r="BT1604" s="16" t="b">
        <v>1</v>
      </c>
      <c r="BU1604" s="16" t="s">
        <v>546</v>
      </c>
      <c r="BV1604" s="16"/>
      <c r="BW1604" s="16"/>
      <c r="BX1604" s="16"/>
      <c r="BY1604" s="16"/>
    </row>
    <row r="1605">
      <c r="A1605" s="16" t="s">
        <v>8542</v>
      </c>
      <c r="B1605" s="16" t="s">
        <v>35</v>
      </c>
      <c r="C1605" s="201">
        <v>45962.0</v>
      </c>
      <c r="D1605" s="16" t="s">
        <v>112</v>
      </c>
      <c r="E1605" s="16" t="s">
        <v>9996</v>
      </c>
      <c r="F1605" s="16" t="s">
        <v>157</v>
      </c>
      <c r="G1605" s="16" t="s">
        <v>226</v>
      </c>
      <c r="H1605" s="16">
        <v>1.0</v>
      </c>
      <c r="I1605" s="16">
        <v>36.0</v>
      </c>
      <c r="J1605" s="16">
        <v>36.0</v>
      </c>
      <c r="K1605" s="16" t="s">
        <v>155</v>
      </c>
      <c r="L1605" s="16">
        <v>1.0</v>
      </c>
      <c r="M1605" s="16">
        <v>42.9</v>
      </c>
      <c r="N1605" s="16">
        <v>42.9</v>
      </c>
      <c r="O1605" s="16"/>
      <c r="P1605" s="16"/>
      <c r="Q1605" s="16"/>
      <c r="R1605" s="16">
        <v>0.0</v>
      </c>
      <c r="S1605" s="16"/>
      <c r="T1605" s="16"/>
      <c r="U1605" s="16"/>
      <c r="V1605" s="16">
        <v>0.0</v>
      </c>
      <c r="W1605" s="16"/>
      <c r="X1605" s="16"/>
      <c r="Y1605" s="16"/>
      <c r="Z1605" s="16">
        <v>0.0</v>
      </c>
      <c r="AA1605" s="16"/>
      <c r="AB1605" s="16"/>
      <c r="AC1605" s="16"/>
      <c r="AD1605" s="16">
        <v>0.0</v>
      </c>
      <c r="AE1605" s="16"/>
      <c r="AF1605" s="16"/>
      <c r="AG1605" s="16"/>
      <c r="AH1605" s="16">
        <v>0.0</v>
      </c>
      <c r="AI1605" s="16"/>
      <c r="AJ1605" s="16"/>
      <c r="AK1605" s="16"/>
      <c r="AL1605" s="16">
        <v>0.0</v>
      </c>
      <c r="AM1605" s="16"/>
      <c r="AN1605" s="16"/>
      <c r="AO1605" s="16"/>
      <c r="AP1605" s="16">
        <v>0.0</v>
      </c>
      <c r="AQ1605" s="16"/>
      <c r="AR1605" s="16"/>
      <c r="AS1605" s="16"/>
      <c r="AT1605" s="16">
        <v>0.0</v>
      </c>
      <c r="AU1605" s="16"/>
      <c r="AV1605" s="16"/>
      <c r="AW1605" s="16"/>
      <c r="AX1605" s="16">
        <v>0.0</v>
      </c>
      <c r="AY1605" s="16"/>
      <c r="AZ1605" s="16"/>
      <c r="BA1605" s="16"/>
      <c r="BB1605" s="16"/>
      <c r="BC1605" s="16"/>
      <c r="BD1605" s="16"/>
      <c r="BE1605" s="16"/>
      <c r="BF1605" s="16">
        <v>0.0</v>
      </c>
      <c r="BG1605" s="16"/>
      <c r="BH1605" s="16"/>
      <c r="BI1605" s="16"/>
      <c r="BJ1605" s="16">
        <v>0.0</v>
      </c>
      <c r="BN1605" s="16">
        <v>0.0</v>
      </c>
      <c r="BO1605" s="16">
        <v>78.9</v>
      </c>
      <c r="BP1605" s="16" t="s">
        <v>9997</v>
      </c>
      <c r="BQ1605" s="16" t="b">
        <v>1</v>
      </c>
      <c r="BR1605" s="16">
        <v>78.9</v>
      </c>
      <c r="BS1605" s="16"/>
      <c r="BT1605" s="16" t="b">
        <v>0</v>
      </c>
      <c r="BU1605" s="16" t="s">
        <v>546</v>
      </c>
      <c r="BV1605" s="16"/>
      <c r="BW1605" s="16"/>
      <c r="BX1605" s="16"/>
      <c r="BY1605" s="16"/>
    </row>
    <row r="1606">
      <c r="A1606" s="16" t="s">
        <v>8549</v>
      </c>
      <c r="B1606" s="16" t="s">
        <v>35</v>
      </c>
      <c r="C1606" s="201">
        <v>45960.0</v>
      </c>
      <c r="D1606" s="16" t="s">
        <v>543</v>
      </c>
      <c r="E1606" s="16" t="s">
        <v>9999</v>
      </c>
      <c r="F1606" s="16" t="s">
        <v>171</v>
      </c>
      <c r="G1606" s="21" t="s">
        <v>10424</v>
      </c>
      <c r="H1606" s="16">
        <v>1.0</v>
      </c>
      <c r="I1606" s="16">
        <v>275.0</v>
      </c>
      <c r="J1606" s="16">
        <v>275.0</v>
      </c>
      <c r="K1606" s="16"/>
      <c r="L1606" s="16"/>
      <c r="M1606" s="16"/>
      <c r="N1606" s="16">
        <v>0.0</v>
      </c>
      <c r="O1606" s="16"/>
      <c r="P1606" s="16"/>
      <c r="Q1606" s="16"/>
      <c r="R1606" s="16">
        <v>0.0</v>
      </c>
      <c r="S1606" s="16"/>
      <c r="T1606" s="16"/>
      <c r="U1606" s="16"/>
      <c r="V1606" s="16">
        <v>0.0</v>
      </c>
      <c r="W1606" s="16"/>
      <c r="X1606" s="16"/>
      <c r="Y1606" s="16"/>
      <c r="Z1606" s="16">
        <v>0.0</v>
      </c>
      <c r="AA1606" s="16"/>
      <c r="AB1606" s="16"/>
      <c r="AC1606" s="16"/>
      <c r="AD1606" s="16">
        <v>0.0</v>
      </c>
      <c r="AE1606" s="16"/>
      <c r="AF1606" s="16"/>
      <c r="AG1606" s="16"/>
      <c r="AH1606" s="16">
        <v>0.0</v>
      </c>
      <c r="AI1606" s="16"/>
      <c r="AJ1606" s="16"/>
      <c r="AK1606" s="16"/>
      <c r="AL1606" s="16">
        <v>0.0</v>
      </c>
      <c r="AM1606" s="16"/>
      <c r="AN1606" s="16"/>
      <c r="AO1606" s="16"/>
      <c r="AP1606" s="16">
        <v>0.0</v>
      </c>
      <c r="AQ1606" s="16"/>
      <c r="AR1606" s="16"/>
      <c r="AS1606" s="16"/>
      <c r="AT1606" s="16">
        <v>0.0</v>
      </c>
      <c r="AU1606" s="16"/>
      <c r="AV1606" s="16"/>
      <c r="AW1606" s="16"/>
      <c r="AX1606" s="16">
        <v>0.0</v>
      </c>
      <c r="AY1606" s="16"/>
      <c r="AZ1606" s="16"/>
      <c r="BA1606" s="16"/>
      <c r="BB1606" s="16"/>
      <c r="BC1606" s="16"/>
      <c r="BD1606" s="16"/>
      <c r="BE1606" s="16"/>
      <c r="BF1606" s="16">
        <v>0.0</v>
      </c>
      <c r="BG1606" s="16"/>
      <c r="BH1606" s="16"/>
      <c r="BI1606" s="16"/>
      <c r="BJ1606" s="16">
        <v>0.0</v>
      </c>
      <c r="BN1606" s="16">
        <v>0.0</v>
      </c>
      <c r="BO1606" s="16">
        <v>275.0</v>
      </c>
      <c r="BP1606" s="16" t="s">
        <v>10001</v>
      </c>
      <c r="BQ1606" s="16" t="b">
        <v>1</v>
      </c>
      <c r="BR1606" s="16">
        <v>275.0</v>
      </c>
      <c r="BS1606" s="16"/>
      <c r="BT1606" s="16" t="b">
        <v>0</v>
      </c>
      <c r="BU1606" s="16" t="s">
        <v>546</v>
      </c>
      <c r="BV1606" s="16"/>
      <c r="BW1606" s="16"/>
      <c r="BX1606" s="16"/>
      <c r="BY1606" s="16"/>
    </row>
    <row r="1607">
      <c r="A1607" s="16">
        <v>11573.0</v>
      </c>
      <c r="B1607" s="16"/>
      <c r="C1607" s="201"/>
      <c r="D1607" s="16" t="s">
        <v>7740</v>
      </c>
      <c r="E1607" s="16"/>
      <c r="F1607" s="16" t="s">
        <v>5136</v>
      </c>
      <c r="G1607" s="16"/>
      <c r="H1607" s="16">
        <v>1.0</v>
      </c>
      <c r="I1607" s="16">
        <v>1.0</v>
      </c>
      <c r="J1607" s="16">
        <v>1.0</v>
      </c>
      <c r="K1607" s="16"/>
      <c r="L1607" s="16"/>
      <c r="M1607" s="16"/>
      <c r="N1607" s="16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16"/>
      <c r="AP1607" s="16"/>
      <c r="AQ1607" s="16"/>
      <c r="AR1607" s="16"/>
      <c r="AS1607" s="16"/>
      <c r="AT1607" s="16"/>
      <c r="AU1607" s="16"/>
      <c r="AV1607" s="16"/>
      <c r="AW1607" s="16"/>
      <c r="AX1607" s="16"/>
      <c r="AY1607" s="16"/>
      <c r="AZ1607" s="16"/>
      <c r="BA1607" s="16"/>
      <c r="BB1607" s="16"/>
      <c r="BC1607" s="16"/>
      <c r="BD1607" s="16"/>
      <c r="BE1607" s="16"/>
      <c r="BF1607" s="16"/>
      <c r="BG1607" s="16"/>
      <c r="BH1607" s="16"/>
      <c r="BI1607" s="16"/>
      <c r="BJ1607" s="16"/>
      <c r="BN1607" s="16"/>
      <c r="BO1607" s="16">
        <v>1.0</v>
      </c>
      <c r="BP1607" s="16"/>
      <c r="BQ1607" s="16" t="b">
        <v>1</v>
      </c>
      <c r="BR1607" s="16">
        <v>1.0</v>
      </c>
      <c r="BS1607" s="16"/>
      <c r="BT1607" s="16"/>
      <c r="BU1607" s="16"/>
      <c r="BV1607" s="16"/>
      <c r="BW1607" s="16"/>
      <c r="BX1607" s="16"/>
      <c r="BY1607" s="16"/>
    </row>
    <row r="1608">
      <c r="A1608" s="16" t="s">
        <v>8553</v>
      </c>
      <c r="B1608" s="16" t="s">
        <v>35</v>
      </c>
      <c r="C1608" s="201">
        <v>45962.0</v>
      </c>
      <c r="D1608" s="16" t="s">
        <v>543</v>
      </c>
      <c r="E1608" s="16" t="s">
        <v>10006</v>
      </c>
      <c r="F1608" s="16" t="s">
        <v>171</v>
      </c>
      <c r="G1608" s="21" t="s">
        <v>10424</v>
      </c>
      <c r="H1608" s="16">
        <v>1.0</v>
      </c>
      <c r="I1608" s="16">
        <v>250.0</v>
      </c>
      <c r="J1608" s="16">
        <v>250.0</v>
      </c>
      <c r="K1608" s="16"/>
      <c r="L1608" s="16"/>
      <c r="M1608" s="16"/>
      <c r="N1608" s="16">
        <v>0.0</v>
      </c>
      <c r="O1608" s="16"/>
      <c r="P1608" s="16"/>
      <c r="Q1608" s="16"/>
      <c r="R1608" s="16">
        <v>0.0</v>
      </c>
      <c r="S1608" s="16"/>
      <c r="T1608" s="16"/>
      <c r="U1608" s="16"/>
      <c r="V1608" s="16">
        <v>0.0</v>
      </c>
      <c r="W1608" s="16"/>
      <c r="X1608" s="16"/>
      <c r="Y1608" s="16"/>
      <c r="Z1608" s="16">
        <v>0.0</v>
      </c>
      <c r="AA1608" s="16"/>
      <c r="AB1608" s="16"/>
      <c r="AC1608" s="16"/>
      <c r="AD1608" s="16">
        <v>0.0</v>
      </c>
      <c r="AE1608" s="16"/>
      <c r="AF1608" s="16"/>
      <c r="AG1608" s="16"/>
      <c r="AH1608" s="16">
        <v>0.0</v>
      </c>
      <c r="AI1608" s="16"/>
      <c r="AJ1608" s="16"/>
      <c r="AK1608" s="16"/>
      <c r="AL1608" s="16">
        <v>0.0</v>
      </c>
      <c r="AM1608" s="16"/>
      <c r="AN1608" s="16"/>
      <c r="AO1608" s="16"/>
      <c r="AP1608" s="16">
        <v>0.0</v>
      </c>
      <c r="AQ1608" s="16"/>
      <c r="AR1608" s="16"/>
      <c r="AS1608" s="16"/>
      <c r="AT1608" s="16">
        <v>0.0</v>
      </c>
      <c r="AU1608" s="16"/>
      <c r="AV1608" s="16"/>
      <c r="AW1608" s="16"/>
      <c r="AX1608" s="16">
        <v>0.0</v>
      </c>
      <c r="AY1608" s="16"/>
      <c r="AZ1608" s="16"/>
      <c r="BA1608" s="16"/>
      <c r="BB1608" s="16"/>
      <c r="BC1608" s="16"/>
      <c r="BD1608" s="16"/>
      <c r="BE1608" s="16"/>
      <c r="BF1608" s="16">
        <v>0.0</v>
      </c>
      <c r="BG1608" s="16"/>
      <c r="BH1608" s="16"/>
      <c r="BI1608" s="16"/>
      <c r="BJ1608" s="16">
        <v>0.0</v>
      </c>
      <c r="BN1608" s="16">
        <v>0.0</v>
      </c>
      <c r="BO1608" s="16">
        <v>250.0</v>
      </c>
      <c r="BP1608" s="16" t="s">
        <v>10007</v>
      </c>
      <c r="BQ1608" s="16" t="b">
        <v>1</v>
      </c>
      <c r="BR1608" s="16">
        <v>250.0</v>
      </c>
      <c r="BS1608" s="16"/>
      <c r="BT1608" s="16" t="b">
        <v>0</v>
      </c>
      <c r="BU1608" s="16" t="s">
        <v>546</v>
      </c>
      <c r="BV1608" s="16"/>
      <c r="BW1608" s="16"/>
      <c r="BX1608" s="16"/>
      <c r="BY1608" s="16"/>
    </row>
    <row r="1609">
      <c r="A1609" s="16" t="s">
        <v>8555</v>
      </c>
      <c r="B1609" s="16" t="s">
        <v>35</v>
      </c>
      <c r="C1609" s="201">
        <v>45960.0</v>
      </c>
      <c r="D1609" s="16" t="s">
        <v>10009</v>
      </c>
      <c r="E1609" s="16" t="s">
        <v>10011</v>
      </c>
      <c r="F1609" s="16" t="s">
        <v>6914</v>
      </c>
      <c r="G1609" s="16" t="s">
        <v>6720</v>
      </c>
      <c r="H1609" s="16">
        <v>1.0</v>
      </c>
      <c r="I1609" s="16">
        <v>20.0</v>
      </c>
      <c r="J1609" s="16">
        <v>20.0</v>
      </c>
      <c r="K1609" s="16"/>
      <c r="L1609" s="16"/>
      <c r="M1609" s="16"/>
      <c r="N1609" s="16">
        <v>0.0</v>
      </c>
      <c r="O1609" s="16"/>
      <c r="P1609" s="16"/>
      <c r="Q1609" s="16"/>
      <c r="R1609" s="16">
        <v>0.0</v>
      </c>
      <c r="S1609" s="16"/>
      <c r="T1609" s="16"/>
      <c r="U1609" s="16"/>
      <c r="V1609" s="16">
        <v>0.0</v>
      </c>
      <c r="W1609" s="16"/>
      <c r="X1609" s="16"/>
      <c r="Y1609" s="16"/>
      <c r="Z1609" s="16">
        <v>0.0</v>
      </c>
      <c r="AA1609" s="16"/>
      <c r="AB1609" s="16"/>
      <c r="AC1609" s="16"/>
      <c r="AD1609" s="16">
        <v>0.0</v>
      </c>
      <c r="AE1609" s="16"/>
      <c r="AF1609" s="16"/>
      <c r="AG1609" s="16"/>
      <c r="AH1609" s="16">
        <v>0.0</v>
      </c>
      <c r="AI1609" s="16"/>
      <c r="AJ1609" s="16"/>
      <c r="AK1609" s="16"/>
      <c r="AL1609" s="16">
        <v>0.0</v>
      </c>
      <c r="AM1609" s="16"/>
      <c r="AN1609" s="16"/>
      <c r="AO1609" s="16"/>
      <c r="AP1609" s="16">
        <v>0.0</v>
      </c>
      <c r="AQ1609" s="16"/>
      <c r="AR1609" s="16"/>
      <c r="AS1609" s="16"/>
      <c r="AT1609" s="16">
        <v>0.0</v>
      </c>
      <c r="AU1609" s="16"/>
      <c r="AV1609" s="16"/>
      <c r="AW1609" s="16"/>
      <c r="AX1609" s="16">
        <v>0.0</v>
      </c>
      <c r="AY1609" s="16"/>
      <c r="AZ1609" s="16"/>
      <c r="BA1609" s="16"/>
      <c r="BB1609" s="16"/>
      <c r="BC1609" s="16"/>
      <c r="BD1609" s="16"/>
      <c r="BE1609" s="16"/>
      <c r="BF1609" s="16">
        <v>0.0</v>
      </c>
      <c r="BG1609" s="16"/>
      <c r="BH1609" s="16"/>
      <c r="BI1609" s="16"/>
      <c r="BJ1609" s="16">
        <v>0.0</v>
      </c>
      <c r="BN1609" s="16">
        <v>0.0</v>
      </c>
      <c r="BO1609" s="16">
        <v>20.0</v>
      </c>
      <c r="BP1609" s="16" t="s">
        <v>10012</v>
      </c>
      <c r="BQ1609" s="16" t="b">
        <v>1</v>
      </c>
      <c r="BR1609" s="16">
        <v>20.0</v>
      </c>
      <c r="BS1609" s="21" t="s">
        <v>13449</v>
      </c>
      <c r="BT1609" s="16" t="b">
        <v>1</v>
      </c>
      <c r="BU1609" s="16" t="s">
        <v>546</v>
      </c>
      <c r="BV1609" s="16"/>
      <c r="BW1609" s="16"/>
      <c r="BX1609" s="16"/>
      <c r="BY1609" s="16"/>
    </row>
    <row r="1610">
      <c r="A1610" s="16" t="s">
        <v>8557</v>
      </c>
      <c r="B1610" s="16" t="s">
        <v>35</v>
      </c>
      <c r="C1610" s="201">
        <v>45961.0</v>
      </c>
      <c r="D1610" s="16" t="s">
        <v>9989</v>
      </c>
      <c r="E1610" s="16" t="s">
        <v>10015</v>
      </c>
      <c r="F1610" s="16" t="s">
        <v>6914</v>
      </c>
      <c r="G1610" s="16" t="s">
        <v>6720</v>
      </c>
      <c r="H1610" s="16">
        <v>1.0</v>
      </c>
      <c r="I1610" s="16">
        <v>100.0</v>
      </c>
      <c r="J1610" s="16">
        <v>100.0</v>
      </c>
      <c r="K1610" s="16"/>
      <c r="L1610" s="16"/>
      <c r="M1610" s="16"/>
      <c r="N1610" s="16">
        <v>0.0</v>
      </c>
      <c r="O1610" s="16"/>
      <c r="P1610" s="16"/>
      <c r="Q1610" s="16"/>
      <c r="R1610" s="16">
        <v>0.0</v>
      </c>
      <c r="S1610" s="16"/>
      <c r="T1610" s="16"/>
      <c r="U1610" s="16"/>
      <c r="V1610" s="16">
        <v>0.0</v>
      </c>
      <c r="W1610" s="16"/>
      <c r="X1610" s="16"/>
      <c r="Y1610" s="16"/>
      <c r="Z1610" s="16">
        <v>0.0</v>
      </c>
      <c r="AA1610" s="16"/>
      <c r="AB1610" s="16"/>
      <c r="AC1610" s="16"/>
      <c r="AD1610" s="16">
        <v>0.0</v>
      </c>
      <c r="AE1610" s="16"/>
      <c r="AF1610" s="16"/>
      <c r="AG1610" s="16"/>
      <c r="AH1610" s="16">
        <v>0.0</v>
      </c>
      <c r="AI1610" s="16"/>
      <c r="AJ1610" s="16"/>
      <c r="AK1610" s="16"/>
      <c r="AL1610" s="16">
        <v>0.0</v>
      </c>
      <c r="AM1610" s="16"/>
      <c r="AN1610" s="16"/>
      <c r="AO1610" s="16"/>
      <c r="AP1610" s="16">
        <v>0.0</v>
      </c>
      <c r="AQ1610" s="16"/>
      <c r="AR1610" s="16"/>
      <c r="AS1610" s="16"/>
      <c r="AT1610" s="16">
        <v>0.0</v>
      </c>
      <c r="AU1610" s="16"/>
      <c r="AV1610" s="16"/>
      <c r="AW1610" s="16"/>
      <c r="AX1610" s="16">
        <v>0.0</v>
      </c>
      <c r="AY1610" s="16"/>
      <c r="AZ1610" s="16"/>
      <c r="BA1610" s="16"/>
      <c r="BB1610" s="16"/>
      <c r="BC1610" s="16"/>
      <c r="BD1610" s="16"/>
      <c r="BE1610" s="16"/>
      <c r="BF1610" s="16">
        <v>0.0</v>
      </c>
      <c r="BG1610" s="16"/>
      <c r="BH1610" s="16"/>
      <c r="BI1610" s="16"/>
      <c r="BJ1610" s="16">
        <v>0.0</v>
      </c>
      <c r="BN1610" s="16">
        <v>0.0</v>
      </c>
      <c r="BO1610" s="16">
        <v>100.0</v>
      </c>
      <c r="BP1610" s="16" t="s">
        <v>10016</v>
      </c>
      <c r="BQ1610" s="16" t="b">
        <v>1</v>
      </c>
      <c r="BR1610" s="16">
        <v>100.0</v>
      </c>
      <c r="BS1610" s="21" t="s">
        <v>13452</v>
      </c>
      <c r="BT1610" s="16" t="b">
        <v>1</v>
      </c>
      <c r="BU1610" s="16" t="s">
        <v>546</v>
      </c>
      <c r="BV1610" s="16"/>
      <c r="BW1610" s="16"/>
      <c r="BX1610" s="16"/>
      <c r="BY1610" s="16"/>
    </row>
    <row r="1611">
      <c r="A1611" s="16" t="s">
        <v>8559</v>
      </c>
      <c r="B1611" s="16" t="s">
        <v>35</v>
      </c>
      <c r="C1611" s="201">
        <v>45961.0</v>
      </c>
      <c r="D1611" s="16" t="s">
        <v>10009</v>
      </c>
      <c r="E1611" s="16" t="s">
        <v>10019</v>
      </c>
      <c r="F1611" s="16" t="s">
        <v>6914</v>
      </c>
      <c r="G1611" s="16" t="s">
        <v>6720</v>
      </c>
      <c r="H1611" s="16">
        <v>1.0</v>
      </c>
      <c r="I1611" s="16">
        <v>12.0</v>
      </c>
      <c r="J1611" s="16">
        <v>12.0</v>
      </c>
      <c r="K1611" s="16"/>
      <c r="L1611" s="16"/>
      <c r="M1611" s="16"/>
      <c r="N1611" s="16">
        <v>0.0</v>
      </c>
      <c r="O1611" s="16"/>
      <c r="P1611" s="16"/>
      <c r="Q1611" s="16"/>
      <c r="R1611" s="16">
        <v>0.0</v>
      </c>
      <c r="S1611" s="16"/>
      <c r="T1611" s="16"/>
      <c r="U1611" s="16"/>
      <c r="V1611" s="16">
        <v>0.0</v>
      </c>
      <c r="W1611" s="16"/>
      <c r="X1611" s="16"/>
      <c r="Y1611" s="16"/>
      <c r="Z1611" s="16">
        <v>0.0</v>
      </c>
      <c r="AA1611" s="16"/>
      <c r="AB1611" s="16"/>
      <c r="AC1611" s="16"/>
      <c r="AD1611" s="16">
        <v>0.0</v>
      </c>
      <c r="AE1611" s="16"/>
      <c r="AF1611" s="16"/>
      <c r="AG1611" s="16"/>
      <c r="AH1611" s="16">
        <v>0.0</v>
      </c>
      <c r="AI1611" s="16"/>
      <c r="AJ1611" s="16"/>
      <c r="AK1611" s="16"/>
      <c r="AL1611" s="16">
        <v>0.0</v>
      </c>
      <c r="AM1611" s="16"/>
      <c r="AN1611" s="16"/>
      <c r="AO1611" s="16"/>
      <c r="AP1611" s="16">
        <v>0.0</v>
      </c>
      <c r="AQ1611" s="16"/>
      <c r="AR1611" s="16"/>
      <c r="AS1611" s="16"/>
      <c r="AT1611" s="16">
        <v>0.0</v>
      </c>
      <c r="AU1611" s="16"/>
      <c r="AV1611" s="16"/>
      <c r="AW1611" s="16"/>
      <c r="AX1611" s="16">
        <v>0.0</v>
      </c>
      <c r="AY1611" s="16"/>
      <c r="AZ1611" s="16"/>
      <c r="BA1611" s="16"/>
      <c r="BB1611" s="16"/>
      <c r="BC1611" s="16"/>
      <c r="BD1611" s="16"/>
      <c r="BE1611" s="16"/>
      <c r="BF1611" s="16">
        <v>0.0</v>
      </c>
      <c r="BG1611" s="16"/>
      <c r="BH1611" s="16"/>
      <c r="BI1611" s="16"/>
      <c r="BJ1611" s="16">
        <v>0.0</v>
      </c>
      <c r="BN1611" s="16">
        <v>0.0</v>
      </c>
      <c r="BO1611" s="16">
        <v>12.0</v>
      </c>
      <c r="BP1611" s="16" t="s">
        <v>10020</v>
      </c>
      <c r="BQ1611" s="16" t="b">
        <v>1</v>
      </c>
      <c r="BR1611" s="16">
        <v>12.0</v>
      </c>
      <c r="BS1611" s="21" t="s">
        <v>13454</v>
      </c>
      <c r="BT1611" s="16" t="b">
        <v>1</v>
      </c>
      <c r="BU1611" s="16" t="s">
        <v>546</v>
      </c>
      <c r="BV1611" s="16"/>
      <c r="BW1611" s="16"/>
      <c r="BX1611" s="16"/>
      <c r="BY1611" s="16"/>
    </row>
    <row r="1612">
      <c r="A1612" s="16" t="s">
        <v>8561</v>
      </c>
      <c r="B1612" s="16" t="s">
        <v>35</v>
      </c>
      <c r="C1612" s="201">
        <v>45962.0</v>
      </c>
      <c r="D1612" s="16" t="s">
        <v>9989</v>
      </c>
      <c r="E1612" s="16" t="s">
        <v>10023</v>
      </c>
      <c r="F1612" s="16" t="s">
        <v>6914</v>
      </c>
      <c r="G1612" s="16" t="s">
        <v>6720</v>
      </c>
      <c r="H1612" s="16">
        <v>1.0</v>
      </c>
      <c r="I1612" s="16">
        <v>75.0</v>
      </c>
      <c r="J1612" s="16">
        <v>75.0</v>
      </c>
      <c r="K1612" s="16"/>
      <c r="L1612" s="16"/>
      <c r="M1612" s="16"/>
      <c r="N1612" s="16">
        <v>0.0</v>
      </c>
      <c r="O1612" s="16"/>
      <c r="P1612" s="16"/>
      <c r="Q1612" s="16"/>
      <c r="R1612" s="16">
        <v>0.0</v>
      </c>
      <c r="S1612" s="16"/>
      <c r="T1612" s="16"/>
      <c r="U1612" s="16"/>
      <c r="V1612" s="16">
        <v>0.0</v>
      </c>
      <c r="W1612" s="16"/>
      <c r="X1612" s="16"/>
      <c r="Y1612" s="16"/>
      <c r="Z1612" s="16">
        <v>0.0</v>
      </c>
      <c r="AA1612" s="16"/>
      <c r="AB1612" s="16"/>
      <c r="AC1612" s="16"/>
      <c r="AD1612" s="16">
        <v>0.0</v>
      </c>
      <c r="AE1612" s="16"/>
      <c r="AF1612" s="16"/>
      <c r="AG1612" s="16"/>
      <c r="AH1612" s="16">
        <v>0.0</v>
      </c>
      <c r="AI1612" s="16"/>
      <c r="AJ1612" s="16"/>
      <c r="AK1612" s="16"/>
      <c r="AL1612" s="16">
        <v>0.0</v>
      </c>
      <c r="AM1612" s="16"/>
      <c r="AN1612" s="16"/>
      <c r="AO1612" s="16"/>
      <c r="AP1612" s="16">
        <v>0.0</v>
      </c>
      <c r="AQ1612" s="16"/>
      <c r="AR1612" s="16"/>
      <c r="AS1612" s="16"/>
      <c r="AT1612" s="16">
        <v>0.0</v>
      </c>
      <c r="AU1612" s="16"/>
      <c r="AV1612" s="16"/>
      <c r="AW1612" s="16"/>
      <c r="AX1612" s="16">
        <v>0.0</v>
      </c>
      <c r="AY1612" s="16"/>
      <c r="AZ1612" s="16"/>
      <c r="BA1612" s="16"/>
      <c r="BB1612" s="16"/>
      <c r="BC1612" s="16"/>
      <c r="BD1612" s="16"/>
      <c r="BE1612" s="16"/>
      <c r="BF1612" s="16">
        <v>0.0</v>
      </c>
      <c r="BG1612" s="16"/>
      <c r="BH1612" s="16"/>
      <c r="BI1612" s="16"/>
      <c r="BJ1612" s="16">
        <v>0.0</v>
      </c>
      <c r="BN1612" s="16">
        <v>0.0</v>
      </c>
      <c r="BO1612" s="16">
        <v>75.0</v>
      </c>
      <c r="BP1612" s="16" t="s">
        <v>10024</v>
      </c>
      <c r="BQ1612" s="16" t="b">
        <v>1</v>
      </c>
      <c r="BR1612" s="16">
        <v>75.0</v>
      </c>
      <c r="BS1612" s="21" t="s">
        <v>13456</v>
      </c>
      <c r="BT1612" s="16" t="b">
        <v>1</v>
      </c>
      <c r="BU1612" s="16" t="s">
        <v>546</v>
      </c>
      <c r="BV1612" s="16"/>
      <c r="BW1612" s="16"/>
      <c r="BX1612" s="16"/>
      <c r="BY1612" s="16"/>
    </row>
    <row r="1613">
      <c r="A1613" s="16" t="s">
        <v>8563</v>
      </c>
      <c r="B1613" s="16" t="s">
        <v>35</v>
      </c>
      <c r="C1613" s="201">
        <v>45962.0</v>
      </c>
      <c r="D1613" s="16" t="s">
        <v>10009</v>
      </c>
      <c r="E1613" s="16" t="s">
        <v>10026</v>
      </c>
      <c r="F1613" s="16" t="s">
        <v>6914</v>
      </c>
      <c r="G1613" s="16" t="s">
        <v>6720</v>
      </c>
      <c r="H1613" s="16">
        <v>1.0</v>
      </c>
      <c r="I1613" s="16">
        <v>54.0</v>
      </c>
      <c r="J1613" s="16">
        <v>54.0</v>
      </c>
      <c r="K1613" s="16"/>
      <c r="L1613" s="16"/>
      <c r="M1613" s="16"/>
      <c r="N1613" s="16">
        <v>0.0</v>
      </c>
      <c r="O1613" s="16"/>
      <c r="P1613" s="16"/>
      <c r="Q1613" s="16"/>
      <c r="R1613" s="16">
        <v>0.0</v>
      </c>
      <c r="S1613" s="16"/>
      <c r="T1613" s="16"/>
      <c r="U1613" s="16"/>
      <c r="V1613" s="16">
        <v>0.0</v>
      </c>
      <c r="W1613" s="16"/>
      <c r="X1613" s="16"/>
      <c r="Y1613" s="16"/>
      <c r="Z1613" s="16">
        <v>0.0</v>
      </c>
      <c r="AA1613" s="16"/>
      <c r="AB1613" s="16"/>
      <c r="AC1613" s="16"/>
      <c r="AD1613" s="16">
        <v>0.0</v>
      </c>
      <c r="AE1613" s="16"/>
      <c r="AF1613" s="16"/>
      <c r="AG1613" s="16"/>
      <c r="AH1613" s="16">
        <v>0.0</v>
      </c>
      <c r="AI1613" s="16"/>
      <c r="AJ1613" s="16"/>
      <c r="AK1613" s="16"/>
      <c r="AL1613" s="16">
        <v>0.0</v>
      </c>
      <c r="AM1613" s="16"/>
      <c r="AN1613" s="16"/>
      <c r="AO1613" s="16"/>
      <c r="AP1613" s="16">
        <v>0.0</v>
      </c>
      <c r="AQ1613" s="16"/>
      <c r="AR1613" s="16"/>
      <c r="AS1613" s="16"/>
      <c r="AT1613" s="16">
        <v>0.0</v>
      </c>
      <c r="AU1613" s="16"/>
      <c r="AV1613" s="16"/>
      <c r="AW1613" s="16"/>
      <c r="AX1613" s="16">
        <v>0.0</v>
      </c>
      <c r="AY1613" s="16"/>
      <c r="AZ1613" s="16"/>
      <c r="BA1613" s="16"/>
      <c r="BB1613" s="16"/>
      <c r="BC1613" s="16"/>
      <c r="BD1613" s="16"/>
      <c r="BE1613" s="16"/>
      <c r="BF1613" s="16">
        <v>0.0</v>
      </c>
      <c r="BG1613" s="16"/>
      <c r="BH1613" s="16"/>
      <c r="BI1613" s="16"/>
      <c r="BJ1613" s="16">
        <v>0.0</v>
      </c>
      <c r="BN1613" s="16">
        <v>0.0</v>
      </c>
      <c r="BO1613" s="16">
        <v>54.0</v>
      </c>
      <c r="BP1613" s="16" t="s">
        <v>10027</v>
      </c>
      <c r="BQ1613" s="16" t="b">
        <v>1</v>
      </c>
      <c r="BR1613" s="16">
        <v>54.0</v>
      </c>
      <c r="BS1613" s="21" t="s">
        <v>13460</v>
      </c>
      <c r="BT1613" s="16" t="b">
        <v>1</v>
      </c>
      <c r="BU1613" s="16" t="s">
        <v>546</v>
      </c>
      <c r="BV1613" s="16"/>
      <c r="BW1613" s="16"/>
      <c r="BX1613" s="16"/>
      <c r="BY1613" s="16"/>
    </row>
    <row r="1614">
      <c r="A1614" s="16" t="s">
        <v>8565</v>
      </c>
      <c r="B1614" s="16" t="s">
        <v>35</v>
      </c>
      <c r="C1614" s="201">
        <v>45963.0</v>
      </c>
      <c r="D1614" s="16" t="s">
        <v>9989</v>
      </c>
      <c r="E1614" s="16" t="s">
        <v>10029</v>
      </c>
      <c r="F1614" s="16" t="s">
        <v>6914</v>
      </c>
      <c r="G1614" s="16" t="s">
        <v>6720</v>
      </c>
      <c r="H1614" s="16">
        <v>1.0</v>
      </c>
      <c r="I1614" s="16">
        <v>353.0</v>
      </c>
      <c r="J1614" s="16">
        <v>353.0</v>
      </c>
      <c r="K1614" s="16"/>
      <c r="L1614" s="16"/>
      <c r="M1614" s="16"/>
      <c r="N1614" s="16">
        <v>0.0</v>
      </c>
      <c r="O1614" s="16"/>
      <c r="P1614" s="16"/>
      <c r="Q1614" s="16"/>
      <c r="R1614" s="16">
        <v>0.0</v>
      </c>
      <c r="S1614" s="16"/>
      <c r="T1614" s="16"/>
      <c r="U1614" s="16"/>
      <c r="V1614" s="16">
        <v>0.0</v>
      </c>
      <c r="W1614" s="16"/>
      <c r="X1614" s="16"/>
      <c r="Y1614" s="16"/>
      <c r="Z1614" s="16">
        <v>0.0</v>
      </c>
      <c r="AA1614" s="16"/>
      <c r="AB1614" s="16"/>
      <c r="AC1614" s="16"/>
      <c r="AD1614" s="16">
        <v>0.0</v>
      </c>
      <c r="AE1614" s="16"/>
      <c r="AF1614" s="16"/>
      <c r="AG1614" s="16"/>
      <c r="AH1614" s="16">
        <v>0.0</v>
      </c>
      <c r="AI1614" s="16"/>
      <c r="AJ1614" s="16"/>
      <c r="AK1614" s="16"/>
      <c r="AL1614" s="16">
        <v>0.0</v>
      </c>
      <c r="AM1614" s="16"/>
      <c r="AN1614" s="16"/>
      <c r="AO1614" s="16"/>
      <c r="AP1614" s="16">
        <v>0.0</v>
      </c>
      <c r="AQ1614" s="16"/>
      <c r="AR1614" s="16"/>
      <c r="AS1614" s="16"/>
      <c r="AT1614" s="16">
        <v>0.0</v>
      </c>
      <c r="AU1614" s="16"/>
      <c r="AV1614" s="16"/>
      <c r="AW1614" s="16"/>
      <c r="AX1614" s="16">
        <v>0.0</v>
      </c>
      <c r="AY1614" s="16"/>
      <c r="AZ1614" s="16"/>
      <c r="BA1614" s="16"/>
      <c r="BB1614" s="16"/>
      <c r="BC1614" s="16"/>
      <c r="BD1614" s="16"/>
      <c r="BE1614" s="16"/>
      <c r="BF1614" s="16">
        <v>0.0</v>
      </c>
      <c r="BG1614" s="16"/>
      <c r="BH1614" s="16"/>
      <c r="BI1614" s="16"/>
      <c r="BJ1614" s="16">
        <v>0.0</v>
      </c>
      <c r="BN1614" s="16">
        <v>0.0</v>
      </c>
      <c r="BO1614" s="16">
        <v>353.0</v>
      </c>
      <c r="BP1614" s="16" t="s">
        <v>10031</v>
      </c>
      <c r="BQ1614" s="16" t="b">
        <v>1</v>
      </c>
      <c r="BR1614" s="16">
        <v>353.0</v>
      </c>
      <c r="BS1614" s="21" t="s">
        <v>13466</v>
      </c>
      <c r="BT1614" s="16" t="b">
        <v>1</v>
      </c>
      <c r="BU1614" s="16" t="s">
        <v>546</v>
      </c>
      <c r="BV1614" s="16"/>
      <c r="BW1614" s="16"/>
      <c r="BX1614" s="16"/>
      <c r="BY1614" s="16"/>
    </row>
    <row r="1615">
      <c r="A1615" s="16" t="s">
        <v>8567</v>
      </c>
      <c r="B1615" s="16" t="s">
        <v>35</v>
      </c>
      <c r="C1615" s="201">
        <v>45962.0</v>
      </c>
      <c r="D1615" s="16" t="s">
        <v>10033</v>
      </c>
      <c r="E1615" s="16" t="s">
        <v>10034</v>
      </c>
      <c r="F1615" s="16" t="s">
        <v>10036</v>
      </c>
      <c r="G1615" s="16" t="s">
        <v>3987</v>
      </c>
      <c r="H1615" s="16">
        <v>1.0</v>
      </c>
      <c r="I1615" s="16">
        <v>130.0</v>
      </c>
      <c r="J1615" s="16">
        <v>130.0</v>
      </c>
      <c r="K1615" s="16"/>
      <c r="L1615" s="16"/>
      <c r="M1615" s="16"/>
      <c r="N1615" s="16">
        <v>0.0</v>
      </c>
      <c r="O1615" s="16"/>
      <c r="P1615" s="16"/>
      <c r="Q1615" s="16"/>
      <c r="R1615" s="16">
        <v>0.0</v>
      </c>
      <c r="S1615" s="16"/>
      <c r="T1615" s="16"/>
      <c r="U1615" s="16"/>
      <c r="V1615" s="16">
        <v>0.0</v>
      </c>
      <c r="W1615" s="16"/>
      <c r="X1615" s="16"/>
      <c r="Y1615" s="16"/>
      <c r="Z1615" s="16">
        <v>0.0</v>
      </c>
      <c r="AA1615" s="16"/>
      <c r="AB1615" s="16"/>
      <c r="AC1615" s="16"/>
      <c r="AD1615" s="16">
        <v>0.0</v>
      </c>
      <c r="AE1615" s="16"/>
      <c r="AF1615" s="16"/>
      <c r="AG1615" s="16"/>
      <c r="AH1615" s="16">
        <v>0.0</v>
      </c>
      <c r="AI1615" s="16"/>
      <c r="AJ1615" s="16"/>
      <c r="AK1615" s="16"/>
      <c r="AL1615" s="16">
        <v>0.0</v>
      </c>
      <c r="AM1615" s="16"/>
      <c r="AN1615" s="16"/>
      <c r="AO1615" s="16"/>
      <c r="AP1615" s="16">
        <v>0.0</v>
      </c>
      <c r="AQ1615" s="16"/>
      <c r="AR1615" s="16"/>
      <c r="AS1615" s="16"/>
      <c r="AT1615" s="16">
        <v>0.0</v>
      </c>
      <c r="AU1615" s="16"/>
      <c r="AV1615" s="16"/>
      <c r="AW1615" s="16"/>
      <c r="AX1615" s="16">
        <v>0.0</v>
      </c>
      <c r="AY1615" s="16"/>
      <c r="AZ1615" s="16"/>
      <c r="BA1615" s="16"/>
      <c r="BB1615" s="16"/>
      <c r="BC1615" s="16"/>
      <c r="BD1615" s="16"/>
      <c r="BE1615" s="16"/>
      <c r="BF1615" s="16">
        <v>0.0</v>
      </c>
      <c r="BG1615" s="16"/>
      <c r="BH1615" s="16"/>
      <c r="BI1615" s="16"/>
      <c r="BJ1615" s="16">
        <v>0.0</v>
      </c>
      <c r="BN1615" s="16">
        <v>0.0</v>
      </c>
      <c r="BO1615" s="16">
        <v>130.0</v>
      </c>
      <c r="BP1615" s="16" t="s">
        <v>10035</v>
      </c>
      <c r="BQ1615" s="16" t="b">
        <v>1</v>
      </c>
      <c r="BR1615" s="16">
        <v>130.0</v>
      </c>
      <c r="BS1615" s="21" t="s">
        <v>13468</v>
      </c>
      <c r="BT1615" s="16" t="b">
        <v>1</v>
      </c>
      <c r="BU1615" s="16" t="s">
        <v>546</v>
      </c>
      <c r="BV1615" s="16"/>
      <c r="BW1615" s="16"/>
      <c r="BX1615" s="16"/>
      <c r="BY1615" s="16"/>
    </row>
    <row r="1616">
      <c r="A1616" s="16" t="s">
        <v>8569</v>
      </c>
      <c r="B1616" s="16" t="s">
        <v>35</v>
      </c>
      <c r="C1616" s="201">
        <v>45962.0</v>
      </c>
      <c r="D1616" s="16" t="s">
        <v>10038</v>
      </c>
      <c r="E1616" s="16" t="s">
        <v>10039</v>
      </c>
      <c r="F1616" s="16" t="s">
        <v>10036</v>
      </c>
      <c r="G1616" s="16" t="s">
        <v>3987</v>
      </c>
      <c r="H1616" s="16">
        <v>1.0</v>
      </c>
      <c r="I1616" s="16">
        <v>130.0</v>
      </c>
      <c r="J1616" s="16">
        <v>130.0</v>
      </c>
      <c r="K1616" s="16"/>
      <c r="L1616" s="16"/>
      <c r="M1616" s="16"/>
      <c r="N1616" s="16">
        <v>0.0</v>
      </c>
      <c r="O1616" s="16"/>
      <c r="P1616" s="16"/>
      <c r="Q1616" s="16"/>
      <c r="R1616" s="16">
        <v>0.0</v>
      </c>
      <c r="S1616" s="16"/>
      <c r="T1616" s="16"/>
      <c r="U1616" s="16"/>
      <c r="V1616" s="16">
        <v>0.0</v>
      </c>
      <c r="W1616" s="16"/>
      <c r="X1616" s="16"/>
      <c r="Y1616" s="16"/>
      <c r="Z1616" s="16">
        <v>0.0</v>
      </c>
      <c r="AA1616" s="16"/>
      <c r="AB1616" s="16"/>
      <c r="AC1616" s="16"/>
      <c r="AD1616" s="16">
        <v>0.0</v>
      </c>
      <c r="AE1616" s="16"/>
      <c r="AF1616" s="16"/>
      <c r="AG1616" s="16"/>
      <c r="AH1616" s="16">
        <v>0.0</v>
      </c>
      <c r="AI1616" s="16"/>
      <c r="AJ1616" s="16"/>
      <c r="AK1616" s="16"/>
      <c r="AL1616" s="16">
        <v>0.0</v>
      </c>
      <c r="AM1616" s="16"/>
      <c r="AN1616" s="16"/>
      <c r="AO1616" s="16"/>
      <c r="AP1616" s="16">
        <v>0.0</v>
      </c>
      <c r="AQ1616" s="16"/>
      <c r="AR1616" s="16"/>
      <c r="AS1616" s="16"/>
      <c r="AT1616" s="16">
        <v>0.0</v>
      </c>
      <c r="AU1616" s="16"/>
      <c r="AV1616" s="16"/>
      <c r="AW1616" s="16"/>
      <c r="AX1616" s="16">
        <v>0.0</v>
      </c>
      <c r="AY1616" s="16"/>
      <c r="AZ1616" s="16"/>
      <c r="BA1616" s="16"/>
      <c r="BB1616" s="16"/>
      <c r="BC1616" s="16"/>
      <c r="BD1616" s="16"/>
      <c r="BE1616" s="16"/>
      <c r="BF1616" s="16">
        <v>0.0</v>
      </c>
      <c r="BG1616" s="16"/>
      <c r="BH1616" s="16"/>
      <c r="BI1616" s="16"/>
      <c r="BJ1616" s="16">
        <v>0.0</v>
      </c>
      <c r="BN1616" s="16">
        <v>0.0</v>
      </c>
      <c r="BO1616" s="16">
        <v>130.0</v>
      </c>
      <c r="BP1616" s="16" t="s">
        <v>10040</v>
      </c>
      <c r="BQ1616" s="16" t="b">
        <v>1</v>
      </c>
      <c r="BR1616" s="16">
        <v>130.0</v>
      </c>
      <c r="BS1616" s="21" t="s">
        <v>13470</v>
      </c>
      <c r="BT1616" s="16" t="b">
        <v>1</v>
      </c>
      <c r="BU1616" s="16" t="s">
        <v>546</v>
      </c>
      <c r="BV1616" s="16"/>
      <c r="BW1616" s="16"/>
      <c r="BX1616" s="16"/>
      <c r="BY1616" s="16"/>
    </row>
    <row r="1617">
      <c r="A1617" s="16" t="s">
        <v>8571</v>
      </c>
      <c r="B1617" s="16" t="s">
        <v>35</v>
      </c>
      <c r="C1617" s="201">
        <v>45962.0</v>
      </c>
      <c r="D1617" s="16" t="s">
        <v>10042</v>
      </c>
      <c r="E1617" s="16" t="s">
        <v>10043</v>
      </c>
      <c r="F1617" s="16" t="s">
        <v>10036</v>
      </c>
      <c r="G1617" s="16" t="s">
        <v>3987</v>
      </c>
      <c r="H1617" s="16">
        <v>1.0</v>
      </c>
      <c r="I1617" s="16">
        <v>130.0</v>
      </c>
      <c r="J1617" s="16">
        <v>130.0</v>
      </c>
      <c r="K1617" s="16"/>
      <c r="L1617" s="16"/>
      <c r="M1617" s="16"/>
      <c r="N1617" s="16">
        <v>0.0</v>
      </c>
      <c r="O1617" s="16"/>
      <c r="P1617" s="16"/>
      <c r="Q1617" s="16"/>
      <c r="R1617" s="16">
        <v>0.0</v>
      </c>
      <c r="S1617" s="16"/>
      <c r="T1617" s="16"/>
      <c r="U1617" s="16"/>
      <c r="V1617" s="16">
        <v>0.0</v>
      </c>
      <c r="W1617" s="16"/>
      <c r="X1617" s="16"/>
      <c r="Y1617" s="16"/>
      <c r="Z1617" s="16">
        <v>0.0</v>
      </c>
      <c r="AA1617" s="16"/>
      <c r="AB1617" s="16"/>
      <c r="AC1617" s="16"/>
      <c r="AD1617" s="16">
        <v>0.0</v>
      </c>
      <c r="AE1617" s="16"/>
      <c r="AF1617" s="16"/>
      <c r="AG1617" s="16"/>
      <c r="AH1617" s="16">
        <v>0.0</v>
      </c>
      <c r="AI1617" s="16"/>
      <c r="AJ1617" s="16"/>
      <c r="AK1617" s="16"/>
      <c r="AL1617" s="16">
        <v>0.0</v>
      </c>
      <c r="AM1617" s="16"/>
      <c r="AN1617" s="16"/>
      <c r="AO1617" s="16"/>
      <c r="AP1617" s="16">
        <v>0.0</v>
      </c>
      <c r="AQ1617" s="16"/>
      <c r="AR1617" s="16"/>
      <c r="AS1617" s="16"/>
      <c r="AT1617" s="16">
        <v>0.0</v>
      </c>
      <c r="AU1617" s="16"/>
      <c r="AV1617" s="16"/>
      <c r="AW1617" s="16"/>
      <c r="AX1617" s="16">
        <v>0.0</v>
      </c>
      <c r="AY1617" s="16"/>
      <c r="AZ1617" s="16"/>
      <c r="BA1617" s="16"/>
      <c r="BB1617" s="16"/>
      <c r="BC1617" s="16"/>
      <c r="BD1617" s="16"/>
      <c r="BE1617" s="16"/>
      <c r="BF1617" s="16">
        <v>0.0</v>
      </c>
      <c r="BG1617" s="16"/>
      <c r="BH1617" s="16"/>
      <c r="BI1617" s="16"/>
      <c r="BJ1617" s="16">
        <v>0.0</v>
      </c>
      <c r="BN1617" s="16">
        <v>0.0</v>
      </c>
      <c r="BO1617" s="16">
        <v>130.0</v>
      </c>
      <c r="BP1617" s="16" t="s">
        <v>10045</v>
      </c>
      <c r="BQ1617" s="16" t="b">
        <v>1</v>
      </c>
      <c r="BR1617" s="16">
        <v>130.0</v>
      </c>
      <c r="BS1617" s="21" t="s">
        <v>13471</v>
      </c>
      <c r="BT1617" s="16" t="b">
        <v>1</v>
      </c>
      <c r="BU1617" s="16" t="s">
        <v>546</v>
      </c>
      <c r="BV1617" s="16"/>
      <c r="BW1617" s="16"/>
      <c r="BX1617" s="16"/>
      <c r="BY1617" s="16"/>
    </row>
    <row r="1618">
      <c r="A1618" s="16" t="s">
        <v>8574</v>
      </c>
      <c r="B1618" s="16" t="s">
        <v>35</v>
      </c>
      <c r="C1618" s="201">
        <v>45962.0</v>
      </c>
      <c r="D1618" s="16" t="s">
        <v>10047</v>
      </c>
      <c r="E1618" s="16" t="s">
        <v>10048</v>
      </c>
      <c r="F1618" s="16" t="s">
        <v>10036</v>
      </c>
      <c r="G1618" s="16" t="s">
        <v>3987</v>
      </c>
      <c r="H1618" s="16">
        <v>1.0</v>
      </c>
      <c r="I1618" s="16">
        <v>100.0</v>
      </c>
      <c r="J1618" s="16">
        <v>100.0</v>
      </c>
      <c r="K1618" s="16"/>
      <c r="L1618" s="16"/>
      <c r="M1618" s="16"/>
      <c r="N1618" s="16">
        <v>0.0</v>
      </c>
      <c r="O1618" s="16"/>
      <c r="P1618" s="16"/>
      <c r="Q1618" s="16"/>
      <c r="R1618" s="16">
        <v>0.0</v>
      </c>
      <c r="S1618" s="16"/>
      <c r="T1618" s="16"/>
      <c r="U1618" s="16"/>
      <c r="V1618" s="16">
        <v>0.0</v>
      </c>
      <c r="W1618" s="16"/>
      <c r="X1618" s="16"/>
      <c r="Y1618" s="16"/>
      <c r="Z1618" s="16">
        <v>0.0</v>
      </c>
      <c r="AA1618" s="16"/>
      <c r="AB1618" s="16"/>
      <c r="AC1618" s="16"/>
      <c r="AD1618" s="16">
        <v>0.0</v>
      </c>
      <c r="AE1618" s="16"/>
      <c r="AF1618" s="16"/>
      <c r="AG1618" s="16"/>
      <c r="AH1618" s="16">
        <v>0.0</v>
      </c>
      <c r="AI1618" s="16"/>
      <c r="AJ1618" s="16"/>
      <c r="AK1618" s="16"/>
      <c r="AL1618" s="16">
        <v>0.0</v>
      </c>
      <c r="AM1618" s="16"/>
      <c r="AN1618" s="16"/>
      <c r="AO1618" s="16"/>
      <c r="AP1618" s="16">
        <v>0.0</v>
      </c>
      <c r="AQ1618" s="16"/>
      <c r="AR1618" s="16"/>
      <c r="AS1618" s="16"/>
      <c r="AT1618" s="16">
        <v>0.0</v>
      </c>
      <c r="AU1618" s="16"/>
      <c r="AV1618" s="16"/>
      <c r="AW1618" s="16"/>
      <c r="AX1618" s="16">
        <v>0.0</v>
      </c>
      <c r="AY1618" s="16"/>
      <c r="AZ1618" s="16"/>
      <c r="BA1618" s="16"/>
      <c r="BB1618" s="16"/>
      <c r="BC1618" s="16"/>
      <c r="BD1618" s="16"/>
      <c r="BE1618" s="16"/>
      <c r="BF1618" s="16">
        <v>0.0</v>
      </c>
      <c r="BG1618" s="16"/>
      <c r="BH1618" s="16"/>
      <c r="BI1618" s="16"/>
      <c r="BJ1618" s="16">
        <v>0.0</v>
      </c>
      <c r="BN1618" s="16">
        <v>0.0</v>
      </c>
      <c r="BO1618" s="16">
        <v>100.0</v>
      </c>
      <c r="BP1618" s="16" t="s">
        <v>10049</v>
      </c>
      <c r="BQ1618" s="16" t="b">
        <v>1</v>
      </c>
      <c r="BR1618" s="16">
        <v>100.0</v>
      </c>
      <c r="BS1618" s="21" t="s">
        <v>13472</v>
      </c>
      <c r="BT1618" s="16" t="b">
        <v>1</v>
      </c>
      <c r="BU1618" s="16" t="s">
        <v>546</v>
      </c>
      <c r="BV1618" s="16"/>
      <c r="BW1618" s="16"/>
      <c r="BX1618" s="16"/>
      <c r="BY1618" s="16"/>
    </row>
    <row r="1619">
      <c r="A1619" s="16" t="s">
        <v>8577</v>
      </c>
      <c r="B1619" s="16" t="s">
        <v>35</v>
      </c>
      <c r="C1619" s="201">
        <v>45963.0</v>
      </c>
      <c r="D1619" s="16" t="s">
        <v>10042</v>
      </c>
      <c r="E1619" s="16" t="s">
        <v>10051</v>
      </c>
      <c r="F1619" s="16" t="s">
        <v>10036</v>
      </c>
      <c r="G1619" s="16" t="s">
        <v>3987</v>
      </c>
      <c r="H1619" s="16">
        <v>1.0</v>
      </c>
      <c r="I1619" s="16">
        <v>130.0</v>
      </c>
      <c r="J1619" s="16">
        <v>130.0</v>
      </c>
      <c r="K1619" s="16"/>
      <c r="L1619" s="16"/>
      <c r="M1619" s="16"/>
      <c r="N1619" s="16">
        <v>0.0</v>
      </c>
      <c r="O1619" s="16"/>
      <c r="P1619" s="16"/>
      <c r="Q1619" s="16"/>
      <c r="R1619" s="16">
        <v>0.0</v>
      </c>
      <c r="S1619" s="16"/>
      <c r="T1619" s="16"/>
      <c r="U1619" s="16"/>
      <c r="V1619" s="16">
        <v>0.0</v>
      </c>
      <c r="W1619" s="16"/>
      <c r="X1619" s="16"/>
      <c r="Y1619" s="16"/>
      <c r="Z1619" s="16">
        <v>0.0</v>
      </c>
      <c r="AA1619" s="16"/>
      <c r="AB1619" s="16"/>
      <c r="AC1619" s="16"/>
      <c r="AD1619" s="16">
        <v>0.0</v>
      </c>
      <c r="AE1619" s="16"/>
      <c r="AF1619" s="16"/>
      <c r="AG1619" s="16"/>
      <c r="AH1619" s="16">
        <v>0.0</v>
      </c>
      <c r="AI1619" s="16"/>
      <c r="AJ1619" s="16"/>
      <c r="AK1619" s="16"/>
      <c r="AL1619" s="16">
        <v>0.0</v>
      </c>
      <c r="AM1619" s="16"/>
      <c r="AN1619" s="16"/>
      <c r="AO1619" s="16"/>
      <c r="AP1619" s="16">
        <v>0.0</v>
      </c>
      <c r="AQ1619" s="16"/>
      <c r="AR1619" s="16"/>
      <c r="AS1619" s="16"/>
      <c r="AT1619" s="16">
        <v>0.0</v>
      </c>
      <c r="AU1619" s="16"/>
      <c r="AV1619" s="16"/>
      <c r="AW1619" s="16"/>
      <c r="AX1619" s="16">
        <v>0.0</v>
      </c>
      <c r="AY1619" s="16"/>
      <c r="AZ1619" s="16"/>
      <c r="BA1619" s="16"/>
      <c r="BB1619" s="16"/>
      <c r="BC1619" s="16"/>
      <c r="BD1619" s="16"/>
      <c r="BE1619" s="16"/>
      <c r="BF1619" s="16">
        <v>0.0</v>
      </c>
      <c r="BG1619" s="16"/>
      <c r="BH1619" s="16"/>
      <c r="BI1619" s="16"/>
      <c r="BJ1619" s="16">
        <v>0.0</v>
      </c>
      <c r="BN1619" s="16">
        <v>0.0</v>
      </c>
      <c r="BO1619" s="16">
        <v>130.0</v>
      </c>
      <c r="BP1619" s="16" t="s">
        <v>10052</v>
      </c>
      <c r="BQ1619" s="16" t="b">
        <v>1</v>
      </c>
      <c r="BR1619" s="16">
        <v>130.0</v>
      </c>
      <c r="BS1619" s="21" t="s">
        <v>13474</v>
      </c>
      <c r="BT1619" s="16" t="b">
        <v>1</v>
      </c>
      <c r="BU1619" s="16" t="s">
        <v>546</v>
      </c>
      <c r="BV1619" s="16"/>
      <c r="BW1619" s="16"/>
      <c r="BX1619" s="16"/>
      <c r="BY1619" s="16"/>
    </row>
    <row r="1620">
      <c r="A1620" s="16" t="s">
        <v>8579</v>
      </c>
      <c r="B1620" s="16" t="s">
        <v>35</v>
      </c>
      <c r="C1620" s="201">
        <v>45963.0</v>
      </c>
      <c r="D1620" s="16" t="s">
        <v>10033</v>
      </c>
      <c r="E1620" s="16" t="s">
        <v>10055</v>
      </c>
      <c r="F1620" s="16" t="s">
        <v>10036</v>
      </c>
      <c r="G1620" s="16" t="s">
        <v>3987</v>
      </c>
      <c r="H1620" s="16">
        <v>1.0</v>
      </c>
      <c r="I1620" s="16">
        <v>130.0</v>
      </c>
      <c r="J1620" s="16">
        <v>130.0</v>
      </c>
      <c r="K1620" s="16"/>
      <c r="L1620" s="16"/>
      <c r="M1620" s="16"/>
      <c r="N1620" s="16">
        <v>0.0</v>
      </c>
      <c r="O1620" s="16"/>
      <c r="P1620" s="16"/>
      <c r="Q1620" s="16"/>
      <c r="R1620" s="16">
        <v>0.0</v>
      </c>
      <c r="S1620" s="16"/>
      <c r="T1620" s="16"/>
      <c r="U1620" s="16"/>
      <c r="V1620" s="16">
        <v>0.0</v>
      </c>
      <c r="W1620" s="16"/>
      <c r="X1620" s="16"/>
      <c r="Y1620" s="16"/>
      <c r="Z1620" s="16">
        <v>0.0</v>
      </c>
      <c r="AA1620" s="16"/>
      <c r="AB1620" s="16"/>
      <c r="AC1620" s="16"/>
      <c r="AD1620" s="16">
        <v>0.0</v>
      </c>
      <c r="AE1620" s="16"/>
      <c r="AF1620" s="16"/>
      <c r="AG1620" s="16"/>
      <c r="AH1620" s="16">
        <v>0.0</v>
      </c>
      <c r="AI1620" s="16"/>
      <c r="AJ1620" s="16"/>
      <c r="AK1620" s="16"/>
      <c r="AL1620" s="16">
        <v>0.0</v>
      </c>
      <c r="AM1620" s="16"/>
      <c r="AN1620" s="16"/>
      <c r="AO1620" s="16"/>
      <c r="AP1620" s="16">
        <v>0.0</v>
      </c>
      <c r="AQ1620" s="16"/>
      <c r="AR1620" s="16"/>
      <c r="AS1620" s="16"/>
      <c r="AT1620" s="16">
        <v>0.0</v>
      </c>
      <c r="AU1620" s="16"/>
      <c r="AV1620" s="16"/>
      <c r="AW1620" s="16"/>
      <c r="AX1620" s="16">
        <v>0.0</v>
      </c>
      <c r="AY1620" s="16"/>
      <c r="AZ1620" s="16"/>
      <c r="BA1620" s="16"/>
      <c r="BB1620" s="16"/>
      <c r="BC1620" s="16"/>
      <c r="BD1620" s="16"/>
      <c r="BE1620" s="16"/>
      <c r="BF1620" s="16">
        <v>0.0</v>
      </c>
      <c r="BG1620" s="16"/>
      <c r="BH1620" s="16"/>
      <c r="BI1620" s="16"/>
      <c r="BJ1620" s="16">
        <v>0.0</v>
      </c>
      <c r="BN1620" s="16">
        <v>0.0</v>
      </c>
      <c r="BO1620" s="16">
        <v>130.0</v>
      </c>
      <c r="BP1620" s="16" t="s">
        <v>10056</v>
      </c>
      <c r="BQ1620" s="16" t="b">
        <v>1</v>
      </c>
      <c r="BR1620" s="16">
        <v>130.0</v>
      </c>
      <c r="BS1620" s="21" t="s">
        <v>13479</v>
      </c>
      <c r="BT1620" s="16" t="b">
        <v>1</v>
      </c>
      <c r="BU1620" s="16" t="s">
        <v>546</v>
      </c>
      <c r="BV1620" s="16"/>
      <c r="BW1620" s="16"/>
      <c r="BX1620" s="16"/>
      <c r="BY1620" s="16"/>
    </row>
    <row r="1621">
      <c r="A1621" s="16" t="s">
        <v>8581</v>
      </c>
      <c r="B1621" s="16" t="s">
        <v>35</v>
      </c>
      <c r="C1621" s="201">
        <v>45931.0</v>
      </c>
      <c r="D1621" s="16" t="s">
        <v>7740</v>
      </c>
      <c r="E1621" s="16" t="s">
        <v>10058</v>
      </c>
      <c r="F1621" s="16" t="s">
        <v>5136</v>
      </c>
      <c r="G1621" s="16" t="s">
        <v>6322</v>
      </c>
      <c r="H1621" s="16">
        <v>1.0</v>
      </c>
      <c r="I1621" s="16">
        <v>17.18</v>
      </c>
      <c r="J1621" s="16">
        <v>17.18</v>
      </c>
      <c r="K1621" s="16"/>
      <c r="L1621" s="16"/>
      <c r="M1621" s="16"/>
      <c r="N1621" s="16">
        <v>0.0</v>
      </c>
      <c r="O1621" s="16"/>
      <c r="P1621" s="16"/>
      <c r="Q1621" s="16"/>
      <c r="R1621" s="16">
        <v>0.0</v>
      </c>
      <c r="S1621" s="16"/>
      <c r="T1621" s="16"/>
      <c r="U1621" s="16"/>
      <c r="V1621" s="16">
        <v>0.0</v>
      </c>
      <c r="W1621" s="16"/>
      <c r="X1621" s="16"/>
      <c r="Y1621" s="16"/>
      <c r="Z1621" s="16">
        <v>0.0</v>
      </c>
      <c r="AA1621" s="16"/>
      <c r="AB1621" s="16"/>
      <c r="AC1621" s="16"/>
      <c r="AD1621" s="16">
        <v>0.0</v>
      </c>
      <c r="AE1621" s="16"/>
      <c r="AF1621" s="16"/>
      <c r="AG1621" s="16"/>
      <c r="AH1621" s="16">
        <v>0.0</v>
      </c>
      <c r="AI1621" s="16"/>
      <c r="AJ1621" s="16"/>
      <c r="AK1621" s="16"/>
      <c r="AL1621" s="16">
        <v>0.0</v>
      </c>
      <c r="AM1621" s="16"/>
      <c r="AN1621" s="16"/>
      <c r="AO1621" s="16"/>
      <c r="AP1621" s="16">
        <v>0.0</v>
      </c>
      <c r="AQ1621" s="16"/>
      <c r="AR1621" s="16"/>
      <c r="AS1621" s="16"/>
      <c r="AT1621" s="16">
        <v>0.0</v>
      </c>
      <c r="AU1621" s="16"/>
      <c r="AV1621" s="16"/>
      <c r="AW1621" s="16"/>
      <c r="AX1621" s="16">
        <v>0.0</v>
      </c>
      <c r="AY1621" s="16"/>
      <c r="AZ1621" s="16"/>
      <c r="BA1621" s="16"/>
      <c r="BB1621" s="16"/>
      <c r="BC1621" s="16"/>
      <c r="BD1621" s="16"/>
      <c r="BE1621" s="16"/>
      <c r="BF1621" s="16">
        <v>0.0</v>
      </c>
      <c r="BG1621" s="16"/>
      <c r="BH1621" s="16"/>
      <c r="BI1621" s="16"/>
      <c r="BJ1621" s="16">
        <v>0.0</v>
      </c>
      <c r="BN1621" s="16">
        <v>0.0</v>
      </c>
      <c r="BO1621" s="16">
        <v>17.18</v>
      </c>
      <c r="BP1621" s="16" t="s">
        <v>10059</v>
      </c>
      <c r="BQ1621" s="16" t="b">
        <v>1</v>
      </c>
      <c r="BR1621" s="16">
        <v>17.18</v>
      </c>
      <c r="BS1621" s="16"/>
      <c r="BT1621" s="16" t="b">
        <v>0</v>
      </c>
      <c r="BU1621" s="16" t="s">
        <v>546</v>
      </c>
      <c r="BV1621" s="16"/>
      <c r="BW1621" s="16"/>
      <c r="BX1621" s="16"/>
      <c r="BY1621" s="16"/>
    </row>
    <row r="1622">
      <c r="A1622" s="16" t="s">
        <v>8585</v>
      </c>
      <c r="B1622" s="16" t="s">
        <v>35</v>
      </c>
      <c r="C1622" s="201">
        <v>45965.0</v>
      </c>
      <c r="D1622" s="16" t="s">
        <v>10063</v>
      </c>
      <c r="E1622" s="16" t="s">
        <v>10064</v>
      </c>
      <c r="F1622" s="16" t="s">
        <v>10067</v>
      </c>
      <c r="G1622" s="16" t="s">
        <v>8587</v>
      </c>
      <c r="H1622" s="16">
        <v>2.0</v>
      </c>
      <c r="I1622" s="16">
        <v>20.0</v>
      </c>
      <c r="J1622" s="16">
        <v>40.0</v>
      </c>
      <c r="K1622" s="16"/>
      <c r="L1622" s="16"/>
      <c r="M1622" s="16"/>
      <c r="N1622" s="16">
        <v>0.0</v>
      </c>
      <c r="O1622" s="16"/>
      <c r="P1622" s="16"/>
      <c r="Q1622" s="16"/>
      <c r="R1622" s="16">
        <v>0.0</v>
      </c>
      <c r="S1622" s="16"/>
      <c r="T1622" s="16"/>
      <c r="U1622" s="16"/>
      <c r="V1622" s="16">
        <v>0.0</v>
      </c>
      <c r="W1622" s="16"/>
      <c r="X1622" s="16"/>
      <c r="Y1622" s="16"/>
      <c r="Z1622" s="16">
        <v>0.0</v>
      </c>
      <c r="AA1622" s="16"/>
      <c r="AB1622" s="16"/>
      <c r="AC1622" s="16"/>
      <c r="AD1622" s="16">
        <v>0.0</v>
      </c>
      <c r="AE1622" s="16"/>
      <c r="AF1622" s="16"/>
      <c r="AG1622" s="16"/>
      <c r="AH1622" s="16">
        <v>0.0</v>
      </c>
      <c r="AI1622" s="16"/>
      <c r="AJ1622" s="16"/>
      <c r="AK1622" s="16"/>
      <c r="AL1622" s="16">
        <v>0.0</v>
      </c>
      <c r="AM1622" s="16"/>
      <c r="AN1622" s="16"/>
      <c r="AO1622" s="16"/>
      <c r="AP1622" s="16">
        <v>0.0</v>
      </c>
      <c r="AQ1622" s="16"/>
      <c r="AR1622" s="16"/>
      <c r="AS1622" s="16"/>
      <c r="AT1622" s="16">
        <v>0.0</v>
      </c>
      <c r="AU1622" s="16"/>
      <c r="AV1622" s="16"/>
      <c r="AW1622" s="16"/>
      <c r="AX1622" s="16">
        <v>0.0</v>
      </c>
      <c r="AY1622" s="16"/>
      <c r="AZ1622" s="16"/>
      <c r="BA1622" s="16"/>
      <c r="BB1622" s="16"/>
      <c r="BC1622" s="16"/>
      <c r="BD1622" s="16"/>
      <c r="BE1622" s="16"/>
      <c r="BF1622" s="16">
        <v>0.0</v>
      </c>
      <c r="BG1622" s="16"/>
      <c r="BH1622" s="16"/>
      <c r="BI1622" s="16"/>
      <c r="BJ1622" s="16">
        <v>0.0</v>
      </c>
      <c r="BN1622" s="16">
        <v>0.0</v>
      </c>
      <c r="BO1622" s="16">
        <v>40.0</v>
      </c>
      <c r="BP1622" s="16" t="s">
        <v>10066</v>
      </c>
      <c r="BQ1622" s="16" t="b">
        <v>1</v>
      </c>
      <c r="BR1622" s="16">
        <v>40.0</v>
      </c>
      <c r="BS1622" s="21" t="s">
        <v>13483</v>
      </c>
      <c r="BT1622" s="16" t="b">
        <v>1</v>
      </c>
      <c r="BU1622" s="16" t="s">
        <v>546</v>
      </c>
      <c r="BV1622" s="16"/>
      <c r="BW1622" s="16"/>
      <c r="BX1622" s="16"/>
      <c r="BY1622" s="16"/>
    </row>
    <row r="1623">
      <c r="A1623" s="16" t="s">
        <v>8589</v>
      </c>
      <c r="B1623" s="16" t="s">
        <v>35</v>
      </c>
      <c r="C1623" s="201">
        <v>45964.0</v>
      </c>
      <c r="D1623" s="16" t="s">
        <v>10070</v>
      </c>
      <c r="E1623" s="16" t="s">
        <v>10071</v>
      </c>
      <c r="F1623" s="16" t="s">
        <v>6914</v>
      </c>
      <c r="G1623" s="16" t="s">
        <v>6720</v>
      </c>
      <c r="H1623" s="16">
        <v>1.0</v>
      </c>
      <c r="I1623" s="16">
        <v>32.0</v>
      </c>
      <c r="J1623" s="16">
        <v>32.0</v>
      </c>
      <c r="K1623" s="16"/>
      <c r="L1623" s="16"/>
      <c r="M1623" s="16"/>
      <c r="N1623" s="16">
        <v>0.0</v>
      </c>
      <c r="O1623" s="16"/>
      <c r="P1623" s="16"/>
      <c r="Q1623" s="16"/>
      <c r="R1623" s="16">
        <v>0.0</v>
      </c>
      <c r="S1623" s="16"/>
      <c r="T1623" s="16"/>
      <c r="U1623" s="16"/>
      <c r="V1623" s="16">
        <v>0.0</v>
      </c>
      <c r="W1623" s="16"/>
      <c r="X1623" s="16"/>
      <c r="Y1623" s="16"/>
      <c r="Z1623" s="16">
        <v>0.0</v>
      </c>
      <c r="AA1623" s="16"/>
      <c r="AB1623" s="16"/>
      <c r="AC1623" s="16"/>
      <c r="AD1623" s="16">
        <v>0.0</v>
      </c>
      <c r="AE1623" s="16"/>
      <c r="AF1623" s="16"/>
      <c r="AG1623" s="16"/>
      <c r="AH1623" s="16">
        <v>0.0</v>
      </c>
      <c r="AI1623" s="16"/>
      <c r="AJ1623" s="16"/>
      <c r="AK1623" s="16"/>
      <c r="AL1623" s="16">
        <v>0.0</v>
      </c>
      <c r="AM1623" s="16"/>
      <c r="AN1623" s="16"/>
      <c r="AO1623" s="16"/>
      <c r="AP1623" s="16">
        <v>0.0</v>
      </c>
      <c r="AQ1623" s="16"/>
      <c r="AR1623" s="16"/>
      <c r="AS1623" s="16"/>
      <c r="AT1623" s="16">
        <v>0.0</v>
      </c>
      <c r="AU1623" s="16"/>
      <c r="AV1623" s="16"/>
      <c r="AW1623" s="16"/>
      <c r="AX1623" s="16">
        <v>0.0</v>
      </c>
      <c r="AY1623" s="16"/>
      <c r="AZ1623" s="16"/>
      <c r="BA1623" s="16"/>
      <c r="BB1623" s="16"/>
      <c r="BC1623" s="16"/>
      <c r="BD1623" s="16"/>
      <c r="BE1623" s="16"/>
      <c r="BF1623" s="16">
        <v>0.0</v>
      </c>
      <c r="BG1623" s="16"/>
      <c r="BH1623" s="16"/>
      <c r="BI1623" s="16"/>
      <c r="BJ1623" s="16">
        <v>0.0</v>
      </c>
      <c r="BN1623" s="16">
        <v>0.0</v>
      </c>
      <c r="BO1623" s="16">
        <v>32.0</v>
      </c>
      <c r="BP1623" s="16" t="s">
        <v>10072</v>
      </c>
      <c r="BQ1623" s="16" t="b">
        <v>1</v>
      </c>
      <c r="BR1623" s="16">
        <v>32.0</v>
      </c>
      <c r="BS1623" s="21" t="s">
        <v>13487</v>
      </c>
      <c r="BT1623" s="16" t="b">
        <v>1</v>
      </c>
      <c r="BU1623" s="16" t="s">
        <v>546</v>
      </c>
      <c r="BV1623" s="16"/>
      <c r="BW1623" s="16"/>
      <c r="BX1623" s="16"/>
      <c r="BY1623" s="16"/>
    </row>
    <row r="1624">
      <c r="A1624" s="16" t="s">
        <v>8591</v>
      </c>
      <c r="B1624" s="16" t="s">
        <v>35</v>
      </c>
      <c r="C1624" s="201">
        <v>45964.0</v>
      </c>
      <c r="D1624" s="16" t="s">
        <v>9989</v>
      </c>
      <c r="E1624" s="16" t="s">
        <v>10074</v>
      </c>
      <c r="F1624" s="16" t="s">
        <v>6914</v>
      </c>
      <c r="G1624" s="16" t="s">
        <v>6720</v>
      </c>
      <c r="H1624" s="16">
        <v>1.0</v>
      </c>
      <c r="I1624" s="16">
        <v>34.0</v>
      </c>
      <c r="J1624" s="16">
        <v>34.0</v>
      </c>
      <c r="K1624" s="16"/>
      <c r="L1624" s="16"/>
      <c r="M1624" s="16"/>
      <c r="N1624" s="16">
        <v>0.0</v>
      </c>
      <c r="O1624" s="16"/>
      <c r="P1624" s="16"/>
      <c r="Q1624" s="16"/>
      <c r="R1624" s="16">
        <v>0.0</v>
      </c>
      <c r="S1624" s="16"/>
      <c r="T1624" s="16"/>
      <c r="U1624" s="16"/>
      <c r="V1624" s="16">
        <v>0.0</v>
      </c>
      <c r="W1624" s="16"/>
      <c r="X1624" s="16"/>
      <c r="Y1624" s="16"/>
      <c r="Z1624" s="16">
        <v>0.0</v>
      </c>
      <c r="AA1624" s="16"/>
      <c r="AB1624" s="16"/>
      <c r="AC1624" s="16"/>
      <c r="AD1624" s="16">
        <v>0.0</v>
      </c>
      <c r="AE1624" s="16"/>
      <c r="AF1624" s="16"/>
      <c r="AG1624" s="16"/>
      <c r="AH1624" s="16">
        <v>0.0</v>
      </c>
      <c r="AI1624" s="16"/>
      <c r="AJ1624" s="16"/>
      <c r="AK1624" s="16"/>
      <c r="AL1624" s="16">
        <v>0.0</v>
      </c>
      <c r="AM1624" s="16"/>
      <c r="AN1624" s="16"/>
      <c r="AO1624" s="16"/>
      <c r="AP1624" s="16">
        <v>0.0</v>
      </c>
      <c r="AQ1624" s="16"/>
      <c r="AR1624" s="16"/>
      <c r="AS1624" s="16"/>
      <c r="AT1624" s="16">
        <v>0.0</v>
      </c>
      <c r="AU1624" s="16"/>
      <c r="AV1624" s="16"/>
      <c r="AW1624" s="16"/>
      <c r="AX1624" s="16">
        <v>0.0</v>
      </c>
      <c r="AY1624" s="16"/>
      <c r="AZ1624" s="16"/>
      <c r="BA1624" s="16"/>
      <c r="BB1624" s="16"/>
      <c r="BC1624" s="16"/>
      <c r="BD1624" s="16"/>
      <c r="BE1624" s="16"/>
      <c r="BF1624" s="16">
        <v>0.0</v>
      </c>
      <c r="BG1624" s="16"/>
      <c r="BH1624" s="16"/>
      <c r="BI1624" s="16"/>
      <c r="BJ1624" s="16">
        <v>0.0</v>
      </c>
      <c r="BN1624" s="16">
        <v>0.0</v>
      </c>
      <c r="BO1624" s="16">
        <v>34.0</v>
      </c>
      <c r="BP1624" s="16" t="s">
        <v>10076</v>
      </c>
      <c r="BQ1624" s="16" t="b">
        <v>1</v>
      </c>
      <c r="BR1624" s="16">
        <v>34.0</v>
      </c>
      <c r="BS1624" s="21" t="s">
        <v>13488</v>
      </c>
      <c r="BT1624" s="16" t="b">
        <v>1</v>
      </c>
      <c r="BU1624" s="16" t="s">
        <v>546</v>
      </c>
      <c r="BV1624" s="16"/>
      <c r="BW1624" s="16"/>
      <c r="BX1624" s="16"/>
      <c r="BY1624" s="16"/>
    </row>
    <row r="1625">
      <c r="A1625" s="16" t="s">
        <v>8595</v>
      </c>
      <c r="B1625" s="16" t="s">
        <v>35</v>
      </c>
      <c r="C1625" s="201"/>
      <c r="D1625" s="16" t="s">
        <v>890</v>
      </c>
      <c r="E1625" s="16"/>
      <c r="F1625" s="16" t="s">
        <v>10081</v>
      </c>
      <c r="G1625" s="16" t="s">
        <v>8067</v>
      </c>
      <c r="H1625" s="16">
        <v>1.0</v>
      </c>
      <c r="I1625" s="16">
        <v>10.0</v>
      </c>
      <c r="J1625" s="16">
        <v>10.0</v>
      </c>
      <c r="K1625" s="16"/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16"/>
      <c r="AP1625" s="16"/>
      <c r="AQ1625" s="16"/>
      <c r="AR1625" s="16"/>
      <c r="AS1625" s="16"/>
      <c r="AT1625" s="16"/>
      <c r="AU1625" s="16"/>
      <c r="AV1625" s="16"/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N1625" s="16"/>
      <c r="BO1625" s="16">
        <v>10.0</v>
      </c>
      <c r="BP1625" s="16"/>
      <c r="BQ1625" s="16" t="b">
        <v>1</v>
      </c>
      <c r="BR1625" s="16">
        <v>10.0</v>
      </c>
      <c r="BS1625" s="16"/>
      <c r="BT1625" s="16"/>
      <c r="BU1625" s="16" t="s">
        <v>8596</v>
      </c>
      <c r="BV1625" s="16"/>
      <c r="BW1625" s="16"/>
      <c r="BX1625" s="16"/>
      <c r="BY1625" s="16"/>
    </row>
    <row r="1626">
      <c r="A1626" s="16">
        <v>11575.0</v>
      </c>
      <c r="B1626" s="16" t="s">
        <v>35</v>
      </c>
      <c r="C1626" s="201"/>
      <c r="D1626" s="16" t="s">
        <v>890</v>
      </c>
      <c r="E1626" s="16"/>
      <c r="F1626" s="16" t="s">
        <v>10085</v>
      </c>
      <c r="G1626" s="16" t="s">
        <v>6956</v>
      </c>
      <c r="H1626" s="16">
        <v>1.0</v>
      </c>
      <c r="I1626" s="16">
        <v>1098.0</v>
      </c>
      <c r="J1626" s="16">
        <v>1098.0</v>
      </c>
      <c r="K1626" s="16"/>
      <c r="L1626" s="16"/>
      <c r="M1626" s="16"/>
      <c r="N1626" s="16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16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16"/>
      <c r="AP1626" s="16"/>
      <c r="AQ1626" s="16"/>
      <c r="AR1626" s="16"/>
      <c r="AS1626" s="16"/>
      <c r="AT1626" s="16"/>
      <c r="AU1626" s="16"/>
      <c r="AV1626" s="16"/>
      <c r="AW1626" s="16"/>
      <c r="AX1626" s="16"/>
      <c r="AY1626" s="16"/>
      <c r="AZ1626" s="16"/>
      <c r="BA1626" s="16"/>
      <c r="BB1626" s="16"/>
      <c r="BC1626" s="16"/>
      <c r="BD1626" s="16"/>
      <c r="BE1626" s="16"/>
      <c r="BF1626" s="16"/>
      <c r="BG1626" s="16"/>
      <c r="BH1626" s="16"/>
      <c r="BI1626" s="16"/>
      <c r="BJ1626" s="16"/>
      <c r="BN1626" s="16"/>
      <c r="BO1626" s="16">
        <v>1098.0</v>
      </c>
      <c r="BP1626" s="16"/>
      <c r="BQ1626" s="16" t="b">
        <v>1</v>
      </c>
      <c r="BR1626" s="16">
        <v>1098.0</v>
      </c>
      <c r="BS1626" s="16"/>
      <c r="BT1626" s="16"/>
      <c r="BU1626" s="16" t="s">
        <v>539</v>
      </c>
      <c r="BV1626" s="16"/>
      <c r="BW1626" s="16"/>
      <c r="BX1626" s="16"/>
      <c r="BY1626" s="16"/>
    </row>
    <row r="1627">
      <c r="A1627" s="16">
        <v>11576.0</v>
      </c>
      <c r="B1627" s="16" t="s">
        <v>35</v>
      </c>
      <c r="C1627" s="201"/>
      <c r="D1627" s="16" t="s">
        <v>890</v>
      </c>
      <c r="E1627" s="16"/>
      <c r="F1627" s="16" t="s">
        <v>10089</v>
      </c>
      <c r="G1627" s="16" t="s">
        <v>7344</v>
      </c>
      <c r="H1627" s="16">
        <v>1.0</v>
      </c>
      <c r="I1627" s="16">
        <v>625.0</v>
      </c>
      <c r="J1627" s="16">
        <v>625.0</v>
      </c>
      <c r="K1627" s="16"/>
      <c r="L1627" s="16"/>
      <c r="M1627" s="16"/>
      <c r="N1627" s="16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16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16"/>
      <c r="AP1627" s="16"/>
      <c r="AQ1627" s="16"/>
      <c r="AR1627" s="16"/>
      <c r="AS1627" s="16"/>
      <c r="AT1627" s="16"/>
      <c r="AU1627" s="16"/>
      <c r="AV1627" s="16"/>
      <c r="AW1627" s="16"/>
      <c r="AX1627" s="16"/>
      <c r="AY1627" s="16"/>
      <c r="AZ1627" s="16"/>
      <c r="BA1627" s="16"/>
      <c r="BB1627" s="16"/>
      <c r="BC1627" s="16"/>
      <c r="BD1627" s="16"/>
      <c r="BE1627" s="16"/>
      <c r="BF1627" s="16"/>
      <c r="BG1627" s="16"/>
      <c r="BH1627" s="16"/>
      <c r="BI1627" s="16"/>
      <c r="BJ1627" s="16"/>
      <c r="BN1627" s="16"/>
      <c r="BO1627" s="16">
        <v>625.0</v>
      </c>
      <c r="BP1627" s="16"/>
      <c r="BQ1627" s="16" t="b">
        <v>1</v>
      </c>
      <c r="BR1627" s="16">
        <v>625.0</v>
      </c>
      <c r="BS1627" s="16"/>
      <c r="BT1627" s="16"/>
      <c r="BU1627" s="16" t="s">
        <v>539</v>
      </c>
      <c r="BV1627" s="16"/>
      <c r="BW1627" s="16"/>
      <c r="BX1627" s="16"/>
      <c r="BY1627" s="16"/>
    </row>
    <row r="1628">
      <c r="A1628" s="16">
        <v>11577.0</v>
      </c>
      <c r="B1628" s="16" t="s">
        <v>35</v>
      </c>
      <c r="C1628" s="201"/>
      <c r="D1628" s="16" t="s">
        <v>10092</v>
      </c>
      <c r="E1628" s="16"/>
      <c r="F1628" s="16" t="s">
        <v>10093</v>
      </c>
      <c r="G1628" s="16" t="s">
        <v>8603</v>
      </c>
      <c r="H1628" s="16">
        <v>1.0</v>
      </c>
      <c r="I1628" s="16">
        <v>181.37</v>
      </c>
      <c r="J1628" s="16">
        <v>181.37</v>
      </c>
      <c r="K1628" s="16"/>
      <c r="L1628" s="16"/>
      <c r="M1628" s="16"/>
      <c r="N1628" s="16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16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16"/>
      <c r="AP1628" s="16"/>
      <c r="AQ1628" s="16"/>
      <c r="AR1628" s="16"/>
      <c r="AS1628" s="16"/>
      <c r="AT1628" s="16"/>
      <c r="AU1628" s="16"/>
      <c r="AV1628" s="16"/>
      <c r="AW1628" s="16"/>
      <c r="AX1628" s="16"/>
      <c r="AY1628" s="16"/>
      <c r="AZ1628" s="16"/>
      <c r="BA1628" s="16"/>
      <c r="BB1628" s="16"/>
      <c r="BC1628" s="16"/>
      <c r="BD1628" s="16"/>
      <c r="BE1628" s="16"/>
      <c r="BF1628" s="16"/>
      <c r="BG1628" s="16"/>
      <c r="BH1628" s="16"/>
      <c r="BI1628" s="16"/>
      <c r="BJ1628" s="16"/>
      <c r="BN1628" s="16"/>
      <c r="BO1628" s="16">
        <v>181.37</v>
      </c>
      <c r="BP1628" s="16"/>
      <c r="BQ1628" s="16" t="b">
        <v>1</v>
      </c>
      <c r="BR1628" s="16">
        <v>181.37</v>
      </c>
      <c r="BS1628" s="16"/>
      <c r="BT1628" s="16"/>
      <c r="BU1628" s="16" t="s">
        <v>539</v>
      </c>
      <c r="BV1628" s="16"/>
      <c r="BW1628" s="16"/>
      <c r="BX1628" s="16"/>
      <c r="BY1628" s="16"/>
    </row>
    <row r="1629">
      <c r="A1629" s="16">
        <v>11578.0</v>
      </c>
      <c r="B1629" s="16"/>
      <c r="C1629" s="201"/>
      <c r="D1629" s="16" t="s">
        <v>2280</v>
      </c>
      <c r="E1629" s="16"/>
      <c r="F1629" s="16" t="s">
        <v>10095</v>
      </c>
      <c r="G1629" s="16"/>
      <c r="H1629" s="16">
        <v>1.0</v>
      </c>
      <c r="I1629" s="16">
        <v>1.0</v>
      </c>
      <c r="J1629" s="16">
        <v>1.0</v>
      </c>
      <c r="K1629" s="16"/>
      <c r="L1629" s="16"/>
      <c r="M1629" s="16"/>
      <c r="N1629" s="16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16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16"/>
      <c r="AP1629" s="16"/>
      <c r="AQ1629" s="16"/>
      <c r="AR1629" s="16"/>
      <c r="AS1629" s="16"/>
      <c r="AT1629" s="16"/>
      <c r="AU1629" s="16"/>
      <c r="AV1629" s="16"/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N1629" s="16"/>
      <c r="BO1629" s="16">
        <v>1.0</v>
      </c>
      <c r="BP1629" s="16"/>
      <c r="BQ1629" s="16" t="b">
        <v>1</v>
      </c>
      <c r="BR1629" s="16">
        <v>1.0</v>
      </c>
      <c r="BS1629" s="16"/>
      <c r="BT1629" s="16"/>
      <c r="BU1629" s="16"/>
      <c r="BV1629" s="16"/>
      <c r="BW1629" s="16"/>
      <c r="BX1629" s="16"/>
      <c r="BY1629" s="16"/>
    </row>
    <row r="1630">
      <c r="A1630" s="16">
        <v>11579.0</v>
      </c>
      <c r="B1630" s="16" t="s">
        <v>35</v>
      </c>
      <c r="C1630" s="201"/>
      <c r="D1630" s="16" t="s">
        <v>2248</v>
      </c>
      <c r="E1630" s="16"/>
      <c r="F1630" s="16" t="s">
        <v>8055</v>
      </c>
      <c r="G1630" s="16" t="s">
        <v>3218</v>
      </c>
      <c r="H1630" s="16">
        <v>1.0</v>
      </c>
      <c r="I1630" s="16">
        <v>185.0</v>
      </c>
      <c r="J1630" s="16">
        <v>185.0</v>
      </c>
      <c r="K1630" s="16"/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16"/>
      <c r="AP1630" s="16"/>
      <c r="AQ1630" s="16"/>
      <c r="AR1630" s="16"/>
      <c r="AS1630" s="16"/>
      <c r="AT1630" s="16"/>
      <c r="AU1630" s="16"/>
      <c r="AV1630" s="16"/>
      <c r="AW1630" s="16"/>
      <c r="AX1630" s="16"/>
      <c r="AY1630" s="16"/>
      <c r="AZ1630" s="16"/>
      <c r="BA1630" s="16"/>
      <c r="BB1630" s="16"/>
      <c r="BC1630" s="16"/>
      <c r="BD1630" s="16"/>
      <c r="BE1630" s="16"/>
      <c r="BF1630" s="16"/>
      <c r="BG1630" s="16"/>
      <c r="BH1630" s="16"/>
      <c r="BI1630" s="16"/>
      <c r="BJ1630" s="16"/>
      <c r="BN1630" s="16"/>
      <c r="BO1630" s="16">
        <v>185.0</v>
      </c>
      <c r="BP1630" s="16"/>
      <c r="BQ1630" s="16" t="b">
        <v>1</v>
      </c>
      <c r="BR1630" s="16">
        <v>185.0</v>
      </c>
      <c r="BS1630" s="16"/>
      <c r="BT1630" s="16"/>
      <c r="BU1630" s="16" t="s">
        <v>539</v>
      </c>
      <c r="BV1630" s="16"/>
      <c r="BW1630" s="16"/>
      <c r="BX1630" s="16"/>
      <c r="BY1630" s="16"/>
    </row>
    <row r="1631">
      <c r="A1631" s="16">
        <v>11580.0</v>
      </c>
      <c r="B1631" s="16" t="s">
        <v>35</v>
      </c>
      <c r="C1631" s="201"/>
      <c r="D1631" s="16" t="s">
        <v>890</v>
      </c>
      <c r="E1631" s="16"/>
      <c r="F1631" s="16" t="s">
        <v>4010</v>
      </c>
      <c r="G1631" s="16" t="s">
        <v>4831</v>
      </c>
      <c r="H1631" s="16">
        <v>1.0</v>
      </c>
      <c r="I1631" s="16">
        <v>375.0</v>
      </c>
      <c r="J1631" s="16">
        <v>375.0</v>
      </c>
      <c r="K1631" s="16"/>
      <c r="L1631" s="16"/>
      <c r="M1631" s="16"/>
      <c r="N1631" s="16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6"/>
      <c r="BB1631" s="16"/>
      <c r="BC1631" s="16"/>
      <c r="BD1631" s="16"/>
      <c r="BE1631" s="16"/>
      <c r="BF1631" s="16"/>
      <c r="BG1631" s="16"/>
      <c r="BH1631" s="16"/>
      <c r="BI1631" s="16"/>
      <c r="BJ1631" s="16"/>
      <c r="BN1631" s="16"/>
      <c r="BO1631" s="16">
        <v>375.0</v>
      </c>
      <c r="BP1631" s="16"/>
      <c r="BQ1631" s="16" t="b">
        <v>1</v>
      </c>
      <c r="BR1631" s="16">
        <v>375.0</v>
      </c>
      <c r="BS1631" s="16"/>
      <c r="BT1631" s="16"/>
      <c r="BU1631" s="16" t="s">
        <v>539</v>
      </c>
      <c r="BV1631" s="16"/>
      <c r="BW1631" s="16"/>
      <c r="BX1631" s="16"/>
      <c r="BY1631" s="16"/>
    </row>
    <row r="1632">
      <c r="A1632" s="16" t="s">
        <v>8614</v>
      </c>
      <c r="B1632" s="16" t="s">
        <v>35</v>
      </c>
      <c r="C1632" s="201">
        <v>45965.0</v>
      </c>
      <c r="D1632" s="16" t="s">
        <v>9989</v>
      </c>
      <c r="E1632" s="16" t="s">
        <v>10101</v>
      </c>
      <c r="F1632" s="16" t="s">
        <v>6914</v>
      </c>
      <c r="G1632" s="16" t="s">
        <v>6720</v>
      </c>
      <c r="H1632" s="16">
        <v>1.0</v>
      </c>
      <c r="I1632" s="16">
        <v>140.0</v>
      </c>
      <c r="J1632" s="16">
        <v>140.0</v>
      </c>
      <c r="K1632" s="16"/>
      <c r="L1632" s="16"/>
      <c r="M1632" s="16"/>
      <c r="N1632" s="16">
        <v>0.0</v>
      </c>
      <c r="O1632" s="16"/>
      <c r="P1632" s="16"/>
      <c r="Q1632" s="16"/>
      <c r="R1632" s="16">
        <v>0.0</v>
      </c>
      <c r="S1632" s="16"/>
      <c r="T1632" s="16"/>
      <c r="U1632" s="16"/>
      <c r="V1632" s="16">
        <v>0.0</v>
      </c>
      <c r="W1632" s="16"/>
      <c r="X1632" s="16"/>
      <c r="Y1632" s="16"/>
      <c r="Z1632" s="16">
        <v>0.0</v>
      </c>
      <c r="AA1632" s="16"/>
      <c r="AB1632" s="16"/>
      <c r="AC1632" s="16"/>
      <c r="AD1632" s="16">
        <v>0.0</v>
      </c>
      <c r="AE1632" s="16"/>
      <c r="AF1632" s="16"/>
      <c r="AG1632" s="16"/>
      <c r="AH1632" s="16">
        <v>0.0</v>
      </c>
      <c r="AI1632" s="16"/>
      <c r="AJ1632" s="16"/>
      <c r="AK1632" s="16"/>
      <c r="AL1632" s="16">
        <v>0.0</v>
      </c>
      <c r="AM1632" s="16"/>
      <c r="AN1632" s="16"/>
      <c r="AO1632" s="16"/>
      <c r="AP1632" s="16">
        <v>0.0</v>
      </c>
      <c r="AQ1632" s="16"/>
      <c r="AR1632" s="16"/>
      <c r="AS1632" s="16"/>
      <c r="AT1632" s="16">
        <v>0.0</v>
      </c>
      <c r="AU1632" s="16"/>
      <c r="AV1632" s="16"/>
      <c r="AW1632" s="16"/>
      <c r="AX1632" s="16">
        <v>0.0</v>
      </c>
      <c r="AY1632" s="16"/>
      <c r="AZ1632" s="16"/>
      <c r="BA1632" s="16"/>
      <c r="BB1632" s="16"/>
      <c r="BC1632" s="16"/>
      <c r="BD1632" s="16"/>
      <c r="BE1632" s="16"/>
      <c r="BF1632" s="16">
        <v>0.0</v>
      </c>
      <c r="BG1632" s="16"/>
      <c r="BH1632" s="16"/>
      <c r="BI1632" s="16"/>
      <c r="BJ1632" s="16">
        <v>0.0</v>
      </c>
      <c r="BN1632" s="16">
        <v>0.0</v>
      </c>
      <c r="BO1632" s="16">
        <v>140.0</v>
      </c>
      <c r="BP1632" s="16" t="s">
        <v>10102</v>
      </c>
      <c r="BQ1632" s="16" t="b">
        <v>1</v>
      </c>
      <c r="BR1632" s="16">
        <v>140.0</v>
      </c>
      <c r="BS1632" s="21" t="s">
        <v>13499</v>
      </c>
      <c r="BT1632" s="16" t="b">
        <v>1</v>
      </c>
      <c r="BU1632" s="16" t="s">
        <v>546</v>
      </c>
      <c r="BV1632" s="16"/>
      <c r="BW1632" s="16"/>
      <c r="BX1632" s="16"/>
      <c r="BY1632" s="16"/>
    </row>
    <row r="1633">
      <c r="A1633" s="16" t="s">
        <v>8616</v>
      </c>
      <c r="B1633" s="16" t="s">
        <v>35</v>
      </c>
      <c r="C1633" s="201">
        <v>45966.0</v>
      </c>
      <c r="D1633" s="16" t="s">
        <v>145</v>
      </c>
      <c r="E1633" s="16" t="s">
        <v>10105</v>
      </c>
      <c r="F1633" s="16" t="s">
        <v>3627</v>
      </c>
      <c r="G1633" s="16" t="s">
        <v>1195</v>
      </c>
      <c r="H1633" s="16">
        <v>5.0</v>
      </c>
      <c r="I1633" s="16">
        <v>24.0</v>
      </c>
      <c r="J1633" s="16">
        <v>120.0</v>
      </c>
      <c r="K1633" s="16" t="s">
        <v>1197</v>
      </c>
      <c r="L1633" s="16">
        <v>5.0</v>
      </c>
      <c r="M1633" s="16">
        <v>22.0</v>
      </c>
      <c r="N1633" s="16">
        <v>110.0</v>
      </c>
      <c r="O1633" s="16" t="s">
        <v>266</v>
      </c>
      <c r="P1633" s="16">
        <v>2.0</v>
      </c>
      <c r="Q1633" s="16">
        <v>20.0</v>
      </c>
      <c r="R1633" s="16">
        <v>40.0</v>
      </c>
      <c r="S1633" s="16" t="s">
        <v>1041</v>
      </c>
      <c r="T1633" s="16">
        <v>1.0</v>
      </c>
      <c r="U1633" s="16">
        <v>24.0</v>
      </c>
      <c r="V1633" s="16">
        <v>24.0</v>
      </c>
      <c r="W1633" s="16"/>
      <c r="X1633" s="16"/>
      <c r="Y1633" s="16"/>
      <c r="Z1633" s="16">
        <v>0.0</v>
      </c>
      <c r="AA1633" s="16"/>
      <c r="AB1633" s="16"/>
      <c r="AC1633" s="16"/>
      <c r="AD1633" s="16">
        <v>0.0</v>
      </c>
      <c r="AE1633" s="16"/>
      <c r="AF1633" s="16"/>
      <c r="AG1633" s="16"/>
      <c r="AH1633" s="16">
        <v>0.0</v>
      </c>
      <c r="AI1633" s="16"/>
      <c r="AJ1633" s="16"/>
      <c r="AK1633" s="16"/>
      <c r="AL1633" s="16">
        <v>0.0</v>
      </c>
      <c r="AM1633" s="16"/>
      <c r="AN1633" s="16"/>
      <c r="AO1633" s="16"/>
      <c r="AP1633" s="16">
        <v>0.0</v>
      </c>
      <c r="AQ1633" s="16"/>
      <c r="AR1633" s="16"/>
      <c r="AS1633" s="16"/>
      <c r="AT1633" s="16">
        <v>0.0</v>
      </c>
      <c r="AU1633" s="16"/>
      <c r="AV1633" s="16"/>
      <c r="AW1633" s="16"/>
      <c r="AX1633" s="16">
        <v>0.0</v>
      </c>
      <c r="AY1633" s="16"/>
      <c r="AZ1633" s="16"/>
      <c r="BA1633" s="16"/>
      <c r="BB1633" s="16"/>
      <c r="BC1633" s="16"/>
      <c r="BD1633" s="16"/>
      <c r="BE1633" s="16"/>
      <c r="BF1633" s="16">
        <v>0.0</v>
      </c>
      <c r="BG1633" s="16"/>
      <c r="BH1633" s="16"/>
      <c r="BI1633" s="16"/>
      <c r="BJ1633" s="16">
        <v>0.0</v>
      </c>
      <c r="BN1633" s="16">
        <v>0.0</v>
      </c>
      <c r="BO1633" s="16">
        <v>294.0</v>
      </c>
      <c r="BP1633" s="16" t="s">
        <v>10106</v>
      </c>
      <c r="BQ1633" s="16" t="b">
        <v>1</v>
      </c>
      <c r="BR1633" s="16">
        <v>294.0</v>
      </c>
      <c r="BS1633" s="16"/>
      <c r="BT1633" s="16" t="b">
        <v>0</v>
      </c>
      <c r="BU1633" s="16" t="s">
        <v>546</v>
      </c>
      <c r="BV1633" s="16"/>
      <c r="BW1633" s="16"/>
      <c r="BX1633" s="16"/>
      <c r="BY1633" s="16"/>
    </row>
    <row r="1634">
      <c r="A1634" s="16" t="s">
        <v>8622</v>
      </c>
      <c r="B1634" s="16" t="s">
        <v>35</v>
      </c>
      <c r="C1634" s="201">
        <v>45966.0</v>
      </c>
      <c r="D1634" s="16" t="s">
        <v>112</v>
      </c>
      <c r="E1634" s="16" t="s">
        <v>10109</v>
      </c>
      <c r="F1634" s="16" t="s">
        <v>157</v>
      </c>
      <c r="G1634" s="16" t="s">
        <v>159</v>
      </c>
      <c r="H1634" s="16">
        <v>10.0</v>
      </c>
      <c r="I1634" s="16">
        <v>12.0</v>
      </c>
      <c r="J1634" s="16">
        <v>120.0</v>
      </c>
      <c r="K1634" s="16" t="s">
        <v>155</v>
      </c>
      <c r="L1634" s="16">
        <v>1.0</v>
      </c>
      <c r="M1634" s="16">
        <v>55.25</v>
      </c>
      <c r="N1634" s="16">
        <v>55.25</v>
      </c>
      <c r="O1634" s="16" t="s">
        <v>152</v>
      </c>
      <c r="P1634" s="16">
        <v>1.0</v>
      </c>
      <c r="Q1634" s="16">
        <v>16.7</v>
      </c>
      <c r="R1634" s="16">
        <v>16.7</v>
      </c>
      <c r="S1634" s="16" t="s">
        <v>226</v>
      </c>
      <c r="T1634" s="16">
        <v>8.0</v>
      </c>
      <c r="U1634" s="16">
        <v>9.0</v>
      </c>
      <c r="V1634" s="16">
        <v>72.0</v>
      </c>
      <c r="W1634" s="16"/>
      <c r="X1634" s="16"/>
      <c r="Y1634" s="16"/>
      <c r="Z1634" s="16">
        <v>0.0</v>
      </c>
      <c r="AA1634" s="16"/>
      <c r="AB1634" s="16"/>
      <c r="AC1634" s="16"/>
      <c r="AD1634" s="16">
        <v>0.0</v>
      </c>
      <c r="AE1634" s="16"/>
      <c r="AF1634" s="16"/>
      <c r="AG1634" s="16"/>
      <c r="AH1634" s="16">
        <v>0.0</v>
      </c>
      <c r="AI1634" s="16"/>
      <c r="AJ1634" s="16"/>
      <c r="AK1634" s="16"/>
      <c r="AL1634" s="16">
        <v>0.0</v>
      </c>
      <c r="AM1634" s="16"/>
      <c r="AN1634" s="16"/>
      <c r="AO1634" s="16"/>
      <c r="AP1634" s="16">
        <v>0.0</v>
      </c>
      <c r="AQ1634" s="16"/>
      <c r="AR1634" s="16"/>
      <c r="AS1634" s="16"/>
      <c r="AT1634" s="16">
        <v>0.0</v>
      </c>
      <c r="AU1634" s="16"/>
      <c r="AV1634" s="16"/>
      <c r="AW1634" s="16"/>
      <c r="AX1634" s="16">
        <v>0.0</v>
      </c>
      <c r="AY1634" s="16"/>
      <c r="AZ1634" s="16"/>
      <c r="BA1634" s="16"/>
      <c r="BB1634" s="16"/>
      <c r="BC1634" s="16"/>
      <c r="BD1634" s="16"/>
      <c r="BE1634" s="16"/>
      <c r="BF1634" s="16">
        <v>0.0</v>
      </c>
      <c r="BG1634" s="16"/>
      <c r="BH1634" s="16"/>
      <c r="BI1634" s="16"/>
      <c r="BJ1634" s="16">
        <v>0.0</v>
      </c>
      <c r="BN1634" s="16">
        <v>0.0</v>
      </c>
      <c r="BO1634" s="16">
        <v>263.95</v>
      </c>
      <c r="BP1634" s="16" t="s">
        <v>10111</v>
      </c>
      <c r="BQ1634" s="16" t="b">
        <v>1</v>
      </c>
      <c r="BR1634" s="16">
        <v>263.95</v>
      </c>
      <c r="BS1634" s="16"/>
      <c r="BT1634" s="16" t="b">
        <v>0</v>
      </c>
      <c r="BU1634" s="16" t="s">
        <v>546</v>
      </c>
      <c r="BV1634" s="16"/>
      <c r="BW1634" s="16"/>
      <c r="BX1634" s="16"/>
      <c r="BY1634" s="16"/>
    </row>
    <row r="1635">
      <c r="A1635" s="16" t="s">
        <v>8627</v>
      </c>
      <c r="B1635" s="16" t="s">
        <v>35</v>
      </c>
      <c r="C1635" s="201">
        <v>45966.0</v>
      </c>
      <c r="D1635" s="16" t="s">
        <v>9989</v>
      </c>
      <c r="E1635" s="16" t="s">
        <v>10115</v>
      </c>
      <c r="F1635" s="16" t="s">
        <v>6914</v>
      </c>
      <c r="G1635" s="16" t="s">
        <v>6720</v>
      </c>
      <c r="H1635" s="16">
        <v>1.0</v>
      </c>
      <c r="I1635" s="16">
        <v>182.0</v>
      </c>
      <c r="J1635" s="16">
        <v>182.0</v>
      </c>
      <c r="K1635" s="16"/>
      <c r="L1635" s="16"/>
      <c r="M1635" s="16"/>
      <c r="N1635" s="16">
        <v>0.0</v>
      </c>
      <c r="O1635" s="16"/>
      <c r="P1635" s="16"/>
      <c r="Q1635" s="16"/>
      <c r="R1635" s="16">
        <v>0.0</v>
      </c>
      <c r="S1635" s="16"/>
      <c r="T1635" s="16"/>
      <c r="U1635" s="16"/>
      <c r="V1635" s="16">
        <v>0.0</v>
      </c>
      <c r="W1635" s="16"/>
      <c r="X1635" s="16"/>
      <c r="Y1635" s="16"/>
      <c r="Z1635" s="16">
        <v>0.0</v>
      </c>
      <c r="AA1635" s="16"/>
      <c r="AB1635" s="16"/>
      <c r="AC1635" s="16"/>
      <c r="AD1635" s="16">
        <v>0.0</v>
      </c>
      <c r="AE1635" s="16"/>
      <c r="AF1635" s="16"/>
      <c r="AG1635" s="16"/>
      <c r="AH1635" s="16">
        <v>0.0</v>
      </c>
      <c r="AI1635" s="16"/>
      <c r="AJ1635" s="16"/>
      <c r="AK1635" s="16"/>
      <c r="AL1635" s="16">
        <v>0.0</v>
      </c>
      <c r="AM1635" s="16"/>
      <c r="AN1635" s="16"/>
      <c r="AO1635" s="16"/>
      <c r="AP1635" s="16">
        <v>0.0</v>
      </c>
      <c r="AQ1635" s="16"/>
      <c r="AR1635" s="16"/>
      <c r="AS1635" s="16"/>
      <c r="AT1635" s="16">
        <v>0.0</v>
      </c>
      <c r="AU1635" s="16"/>
      <c r="AV1635" s="16"/>
      <c r="AW1635" s="16"/>
      <c r="AX1635" s="16">
        <v>0.0</v>
      </c>
      <c r="AY1635" s="16"/>
      <c r="AZ1635" s="16"/>
      <c r="BA1635" s="16"/>
      <c r="BB1635" s="16"/>
      <c r="BC1635" s="16"/>
      <c r="BD1635" s="16"/>
      <c r="BE1635" s="16"/>
      <c r="BF1635" s="16">
        <v>0.0</v>
      </c>
      <c r="BG1635" s="16"/>
      <c r="BH1635" s="16"/>
      <c r="BI1635" s="16"/>
      <c r="BJ1635" s="16">
        <v>0.0</v>
      </c>
      <c r="BN1635" s="16">
        <v>0.0</v>
      </c>
      <c r="BO1635" s="16">
        <v>182.0</v>
      </c>
      <c r="BP1635" s="16" t="s">
        <v>10116</v>
      </c>
      <c r="BQ1635" s="16" t="b">
        <v>1</v>
      </c>
      <c r="BR1635" s="16">
        <v>182.0</v>
      </c>
      <c r="BS1635" s="21" t="s">
        <v>13503</v>
      </c>
      <c r="BT1635" s="16" t="b">
        <v>1</v>
      </c>
      <c r="BU1635" s="16" t="s">
        <v>546</v>
      </c>
      <c r="BV1635" s="16"/>
      <c r="BW1635" s="16"/>
      <c r="BX1635" s="16"/>
      <c r="BY1635" s="16"/>
    </row>
    <row r="1636">
      <c r="A1636" s="16" t="s">
        <v>8629</v>
      </c>
      <c r="B1636" s="16" t="s">
        <v>35</v>
      </c>
      <c r="C1636" s="201">
        <v>45966.0</v>
      </c>
      <c r="D1636" s="16" t="s">
        <v>10009</v>
      </c>
      <c r="E1636" s="16" t="s">
        <v>10120</v>
      </c>
      <c r="F1636" s="16" t="s">
        <v>6914</v>
      </c>
      <c r="G1636" s="16" t="s">
        <v>6720</v>
      </c>
      <c r="H1636" s="16">
        <v>1.0</v>
      </c>
      <c r="I1636" s="16">
        <v>22.0</v>
      </c>
      <c r="J1636" s="16">
        <v>22.0</v>
      </c>
      <c r="K1636" s="16"/>
      <c r="L1636" s="16"/>
      <c r="M1636" s="16"/>
      <c r="N1636" s="16">
        <v>0.0</v>
      </c>
      <c r="O1636" s="16"/>
      <c r="P1636" s="16"/>
      <c r="Q1636" s="16"/>
      <c r="R1636" s="16">
        <v>0.0</v>
      </c>
      <c r="S1636" s="16"/>
      <c r="T1636" s="16"/>
      <c r="U1636" s="16"/>
      <c r="V1636" s="16">
        <v>0.0</v>
      </c>
      <c r="W1636" s="16"/>
      <c r="X1636" s="16"/>
      <c r="Y1636" s="16"/>
      <c r="Z1636" s="16">
        <v>0.0</v>
      </c>
      <c r="AA1636" s="16"/>
      <c r="AB1636" s="16"/>
      <c r="AC1636" s="16"/>
      <c r="AD1636" s="16">
        <v>0.0</v>
      </c>
      <c r="AE1636" s="16"/>
      <c r="AF1636" s="16"/>
      <c r="AG1636" s="16"/>
      <c r="AH1636" s="16">
        <v>0.0</v>
      </c>
      <c r="AI1636" s="16"/>
      <c r="AJ1636" s="16"/>
      <c r="AK1636" s="16"/>
      <c r="AL1636" s="16">
        <v>0.0</v>
      </c>
      <c r="AM1636" s="16"/>
      <c r="AN1636" s="16"/>
      <c r="AO1636" s="16"/>
      <c r="AP1636" s="16">
        <v>0.0</v>
      </c>
      <c r="AQ1636" s="16"/>
      <c r="AR1636" s="16"/>
      <c r="AS1636" s="16"/>
      <c r="AT1636" s="16">
        <v>0.0</v>
      </c>
      <c r="AU1636" s="16"/>
      <c r="AV1636" s="16"/>
      <c r="AW1636" s="16"/>
      <c r="AX1636" s="16">
        <v>0.0</v>
      </c>
      <c r="AY1636" s="16"/>
      <c r="AZ1636" s="16"/>
      <c r="BA1636" s="16"/>
      <c r="BB1636" s="16"/>
      <c r="BC1636" s="16"/>
      <c r="BD1636" s="16"/>
      <c r="BE1636" s="16"/>
      <c r="BF1636" s="16">
        <v>0.0</v>
      </c>
      <c r="BG1636" s="16"/>
      <c r="BH1636" s="16"/>
      <c r="BI1636" s="16"/>
      <c r="BJ1636" s="16">
        <v>0.0</v>
      </c>
      <c r="BN1636" s="16">
        <v>0.0</v>
      </c>
      <c r="BO1636" s="16">
        <v>22.0</v>
      </c>
      <c r="BP1636" s="16" t="s">
        <v>10121</v>
      </c>
      <c r="BQ1636" s="16" t="b">
        <v>1</v>
      </c>
      <c r="BR1636" s="16">
        <v>22.0</v>
      </c>
      <c r="BS1636" s="21" t="s">
        <v>13505</v>
      </c>
      <c r="BT1636" s="16" t="b">
        <v>1</v>
      </c>
      <c r="BU1636" s="16" t="s">
        <v>546</v>
      </c>
      <c r="BV1636" s="16"/>
      <c r="BW1636" s="16"/>
      <c r="BX1636" s="16"/>
      <c r="BY1636" s="16"/>
    </row>
    <row r="1637">
      <c r="A1637" s="16" t="s">
        <v>8631</v>
      </c>
      <c r="B1637" s="16" t="s">
        <v>35</v>
      </c>
      <c r="C1637" s="201">
        <v>45967.0</v>
      </c>
      <c r="D1637" s="16" t="s">
        <v>764</v>
      </c>
      <c r="E1637" s="16" t="s">
        <v>10125</v>
      </c>
      <c r="F1637" s="16" t="s">
        <v>195</v>
      </c>
      <c r="G1637" s="16" t="s">
        <v>1384</v>
      </c>
      <c r="H1637" s="16">
        <v>1.0</v>
      </c>
      <c r="I1637" s="16">
        <v>19.8</v>
      </c>
      <c r="J1637" s="16">
        <v>19.8</v>
      </c>
      <c r="K1637" s="16" t="s">
        <v>1404</v>
      </c>
      <c r="L1637" s="16">
        <v>1.0</v>
      </c>
      <c r="M1637" s="16">
        <v>19.8</v>
      </c>
      <c r="N1637" s="16">
        <v>19.8</v>
      </c>
      <c r="O1637" s="16" t="s">
        <v>1074</v>
      </c>
      <c r="P1637" s="16">
        <v>3.0</v>
      </c>
      <c r="Q1637" s="16">
        <v>40.0</v>
      </c>
      <c r="R1637" s="16">
        <v>120.0</v>
      </c>
      <c r="S1637" s="16" t="s">
        <v>1075</v>
      </c>
      <c r="T1637" s="16">
        <v>3.0</v>
      </c>
      <c r="U1637" s="16">
        <v>20.0</v>
      </c>
      <c r="V1637" s="16">
        <v>60.0</v>
      </c>
      <c r="W1637" s="16" t="s">
        <v>1077</v>
      </c>
      <c r="X1637" s="16">
        <v>2.0</v>
      </c>
      <c r="Y1637" s="16">
        <v>25.8</v>
      </c>
      <c r="Z1637" s="16">
        <v>51.6</v>
      </c>
      <c r="AA1637" s="16" t="s">
        <v>1081</v>
      </c>
      <c r="AB1637" s="16">
        <v>7.0</v>
      </c>
      <c r="AC1637" s="16">
        <v>48.0</v>
      </c>
      <c r="AD1637" s="16">
        <v>336.0</v>
      </c>
      <c r="AE1637" s="16" t="s">
        <v>1083</v>
      </c>
      <c r="AF1637" s="16">
        <v>1.0</v>
      </c>
      <c r="AG1637" s="16">
        <v>18.9</v>
      </c>
      <c r="AH1637" s="16">
        <v>18.9</v>
      </c>
      <c r="AI1637" s="16" t="s">
        <v>1085</v>
      </c>
      <c r="AJ1637" s="16">
        <v>3.0</v>
      </c>
      <c r="AK1637" s="16">
        <v>40.2</v>
      </c>
      <c r="AL1637" s="16">
        <v>120.6</v>
      </c>
      <c r="AM1637" s="16" t="s">
        <v>5605</v>
      </c>
      <c r="AN1637" s="16">
        <v>1.0</v>
      </c>
      <c r="AO1637" s="16">
        <v>19.57</v>
      </c>
      <c r="AP1637" s="16">
        <v>19.57</v>
      </c>
      <c r="AQ1637" s="16" t="s">
        <v>1077</v>
      </c>
      <c r="AR1637" s="16">
        <v>1.0</v>
      </c>
      <c r="AS1637" s="16">
        <v>25.8</v>
      </c>
      <c r="AT1637" s="16">
        <v>25.8</v>
      </c>
      <c r="AU1637" s="16"/>
      <c r="AV1637" s="16"/>
      <c r="AW1637" s="16"/>
      <c r="AX1637" s="16">
        <v>0.0</v>
      </c>
      <c r="AY1637" s="16"/>
      <c r="AZ1637" s="16"/>
      <c r="BA1637" s="16"/>
      <c r="BB1637" s="16"/>
      <c r="BC1637" s="16"/>
      <c r="BD1637" s="16"/>
      <c r="BE1637" s="16"/>
      <c r="BF1637" s="16">
        <v>0.0</v>
      </c>
      <c r="BG1637" s="16"/>
      <c r="BH1637" s="16"/>
      <c r="BI1637" s="16"/>
      <c r="BJ1637" s="16">
        <v>0.0</v>
      </c>
      <c r="BN1637" s="16">
        <v>0.0</v>
      </c>
      <c r="BO1637" s="16">
        <v>792.07</v>
      </c>
      <c r="BP1637" s="16" t="s">
        <v>10126</v>
      </c>
      <c r="BQ1637" s="16" t="b">
        <v>1</v>
      </c>
      <c r="BR1637" s="16">
        <v>792.07</v>
      </c>
      <c r="BS1637" s="16"/>
      <c r="BT1637" s="16" t="b">
        <v>0</v>
      </c>
      <c r="BU1637" s="16" t="s">
        <v>546</v>
      </c>
      <c r="BV1637" s="16"/>
      <c r="BW1637" s="16" t="s">
        <v>10127</v>
      </c>
      <c r="BX1637" s="16"/>
      <c r="BY1637" s="16"/>
    </row>
    <row r="1638">
      <c r="A1638" s="16" t="s">
        <v>8650</v>
      </c>
      <c r="B1638" s="16" t="s">
        <v>35</v>
      </c>
      <c r="C1638" s="201"/>
      <c r="D1638" s="16" t="s">
        <v>1160</v>
      </c>
      <c r="E1638" s="16"/>
      <c r="F1638" s="16" t="s">
        <v>23</v>
      </c>
      <c r="G1638" s="16" t="s">
        <v>8651</v>
      </c>
      <c r="H1638" s="16">
        <v>1.0</v>
      </c>
      <c r="I1638" s="16">
        <v>818.97</v>
      </c>
      <c r="J1638" s="16">
        <v>818.97</v>
      </c>
      <c r="K1638" s="16"/>
      <c r="L1638" s="16"/>
      <c r="M1638" s="16"/>
      <c r="N1638" s="16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16"/>
      <c r="AP1638" s="16"/>
      <c r="AQ1638" s="16"/>
      <c r="AR1638" s="16"/>
      <c r="AS1638" s="16"/>
      <c r="AT1638" s="16"/>
      <c r="AU1638" s="16"/>
      <c r="AV1638" s="16"/>
      <c r="AW1638" s="16"/>
      <c r="AX1638" s="16"/>
      <c r="AY1638" s="16"/>
      <c r="AZ1638" s="16"/>
      <c r="BA1638" s="16"/>
      <c r="BB1638" s="16"/>
      <c r="BC1638" s="16"/>
      <c r="BD1638" s="16"/>
      <c r="BE1638" s="16"/>
      <c r="BF1638" s="16"/>
      <c r="BG1638" s="16"/>
      <c r="BH1638" s="16"/>
      <c r="BI1638" s="16"/>
      <c r="BJ1638" s="16"/>
      <c r="BN1638" s="16"/>
      <c r="BO1638" s="16">
        <v>818.97</v>
      </c>
      <c r="BP1638" s="16"/>
      <c r="BQ1638" s="16" t="b">
        <v>1</v>
      </c>
      <c r="BR1638" s="16">
        <v>818.97</v>
      </c>
      <c r="BS1638" s="16"/>
      <c r="BT1638" s="16"/>
      <c r="BU1638" s="16" t="s">
        <v>8596</v>
      </c>
      <c r="BV1638" s="16"/>
      <c r="BW1638" s="16"/>
      <c r="BX1638" s="16"/>
      <c r="BY1638" s="16"/>
    </row>
    <row r="1639">
      <c r="A1639" s="16">
        <v>11584.0</v>
      </c>
      <c r="B1639" s="16"/>
      <c r="C1639" s="201"/>
      <c r="D1639" s="16" t="s">
        <v>3516</v>
      </c>
      <c r="E1639" s="16"/>
      <c r="F1639" s="16" t="s">
        <v>10131</v>
      </c>
      <c r="G1639" s="16"/>
      <c r="H1639" s="16">
        <v>1.0</v>
      </c>
      <c r="I1639" s="16">
        <v>1.0</v>
      </c>
      <c r="J1639" s="16">
        <v>1.0</v>
      </c>
      <c r="K1639" s="16"/>
      <c r="L1639" s="16"/>
      <c r="M1639" s="16"/>
      <c r="N1639" s="16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16"/>
      <c r="AP1639" s="16"/>
      <c r="AQ1639" s="16"/>
      <c r="AR1639" s="16"/>
      <c r="AS1639" s="16"/>
      <c r="AT1639" s="16"/>
      <c r="AU1639" s="16"/>
      <c r="AV1639" s="16"/>
      <c r="AW1639" s="16"/>
      <c r="AX1639" s="16"/>
      <c r="AY1639" s="16"/>
      <c r="AZ1639" s="16"/>
      <c r="BA1639" s="16"/>
      <c r="BB1639" s="16"/>
      <c r="BC1639" s="16"/>
      <c r="BD1639" s="16"/>
      <c r="BE1639" s="16"/>
      <c r="BF1639" s="16"/>
      <c r="BG1639" s="16"/>
      <c r="BH1639" s="16"/>
      <c r="BI1639" s="16"/>
      <c r="BJ1639" s="16"/>
      <c r="BN1639" s="16"/>
      <c r="BO1639" s="16">
        <v>1.0</v>
      </c>
      <c r="BP1639" s="16"/>
      <c r="BQ1639" s="16" t="b">
        <v>1</v>
      </c>
      <c r="BR1639" s="16">
        <v>1.0</v>
      </c>
      <c r="BS1639" s="16"/>
      <c r="BT1639" s="16"/>
      <c r="BU1639" s="16"/>
      <c r="BV1639" s="16"/>
      <c r="BW1639" s="16"/>
      <c r="BX1639" s="16"/>
      <c r="BY1639" s="16"/>
    </row>
    <row r="1640">
      <c r="A1640" s="16" t="s">
        <v>8655</v>
      </c>
      <c r="B1640" s="16" t="s">
        <v>35</v>
      </c>
      <c r="C1640" s="201">
        <v>45968.0</v>
      </c>
      <c r="D1640" s="16" t="s">
        <v>543</v>
      </c>
      <c r="E1640" s="16" t="s">
        <v>10133</v>
      </c>
      <c r="F1640" s="16" t="s">
        <v>171</v>
      </c>
      <c r="G1640" s="21" t="s">
        <v>10424</v>
      </c>
      <c r="H1640" s="16">
        <v>1.0</v>
      </c>
      <c r="I1640" s="16">
        <v>325.0</v>
      </c>
      <c r="J1640" s="16">
        <v>325.0</v>
      </c>
      <c r="K1640" s="16"/>
      <c r="L1640" s="16"/>
      <c r="M1640" s="16"/>
      <c r="N1640" s="16">
        <v>0.0</v>
      </c>
      <c r="O1640" s="16"/>
      <c r="P1640" s="16"/>
      <c r="Q1640" s="16"/>
      <c r="R1640" s="16">
        <v>0.0</v>
      </c>
      <c r="S1640" s="16"/>
      <c r="T1640" s="16"/>
      <c r="U1640" s="16"/>
      <c r="V1640" s="16">
        <v>0.0</v>
      </c>
      <c r="W1640" s="16"/>
      <c r="X1640" s="16"/>
      <c r="Y1640" s="16"/>
      <c r="Z1640" s="16">
        <v>0.0</v>
      </c>
      <c r="AA1640" s="16"/>
      <c r="AB1640" s="16"/>
      <c r="AC1640" s="16"/>
      <c r="AD1640" s="16">
        <v>0.0</v>
      </c>
      <c r="AE1640" s="16"/>
      <c r="AF1640" s="16"/>
      <c r="AG1640" s="16"/>
      <c r="AH1640" s="16">
        <v>0.0</v>
      </c>
      <c r="AI1640" s="16"/>
      <c r="AJ1640" s="16"/>
      <c r="AK1640" s="16"/>
      <c r="AL1640" s="16">
        <v>0.0</v>
      </c>
      <c r="AM1640" s="16"/>
      <c r="AN1640" s="16"/>
      <c r="AO1640" s="16"/>
      <c r="AP1640" s="16">
        <v>0.0</v>
      </c>
      <c r="AQ1640" s="16"/>
      <c r="AR1640" s="16"/>
      <c r="AS1640" s="16"/>
      <c r="AT1640" s="16">
        <v>0.0</v>
      </c>
      <c r="AU1640" s="16"/>
      <c r="AV1640" s="16"/>
      <c r="AW1640" s="16"/>
      <c r="AX1640" s="16">
        <v>0.0</v>
      </c>
      <c r="AY1640" s="16"/>
      <c r="AZ1640" s="16"/>
      <c r="BA1640" s="16"/>
      <c r="BB1640" s="16"/>
      <c r="BC1640" s="16"/>
      <c r="BD1640" s="16"/>
      <c r="BE1640" s="16"/>
      <c r="BF1640" s="16">
        <v>0.0</v>
      </c>
      <c r="BG1640" s="16"/>
      <c r="BH1640" s="16"/>
      <c r="BI1640" s="16"/>
      <c r="BJ1640" s="16">
        <v>0.0</v>
      </c>
      <c r="BN1640" s="16">
        <v>0.0</v>
      </c>
      <c r="BO1640" s="16">
        <v>325.0</v>
      </c>
      <c r="BP1640" s="16" t="s">
        <v>10135</v>
      </c>
      <c r="BQ1640" s="16" t="b">
        <v>1</v>
      </c>
      <c r="BR1640" s="16">
        <v>325.0</v>
      </c>
      <c r="BS1640" s="16"/>
      <c r="BT1640" s="16" t="b">
        <v>0</v>
      </c>
      <c r="BU1640" s="16" t="s">
        <v>546</v>
      </c>
      <c r="BV1640" s="16"/>
      <c r="BW1640" s="16"/>
      <c r="BX1640" s="16"/>
      <c r="BY1640" s="16"/>
    </row>
    <row r="1641">
      <c r="A1641" s="16" t="s">
        <v>8657</v>
      </c>
      <c r="B1641" s="16" t="s">
        <v>35</v>
      </c>
      <c r="C1641" s="201">
        <v>45968.0</v>
      </c>
      <c r="D1641" s="21" t="s">
        <v>12789</v>
      </c>
      <c r="E1641" s="16" t="s">
        <v>10138</v>
      </c>
      <c r="F1641" s="16" t="s">
        <v>4248</v>
      </c>
      <c r="G1641" s="16" t="s">
        <v>247</v>
      </c>
      <c r="H1641" s="16">
        <v>15.0</v>
      </c>
      <c r="I1641" s="16">
        <v>0.99</v>
      </c>
      <c r="J1641" s="16">
        <v>14.85</v>
      </c>
      <c r="K1641" s="16" t="s">
        <v>305</v>
      </c>
      <c r="L1641" s="16">
        <v>1.0</v>
      </c>
      <c r="M1641" s="16">
        <v>92.16</v>
      </c>
      <c r="N1641" s="16">
        <v>92.16</v>
      </c>
      <c r="O1641" s="16"/>
      <c r="P1641" s="16"/>
      <c r="Q1641" s="16"/>
      <c r="R1641" s="16">
        <v>0.0</v>
      </c>
      <c r="S1641" s="16"/>
      <c r="T1641" s="16"/>
      <c r="U1641" s="16"/>
      <c r="V1641" s="16">
        <v>0.0</v>
      </c>
      <c r="W1641" s="16"/>
      <c r="X1641" s="16"/>
      <c r="Y1641" s="16"/>
      <c r="Z1641" s="16">
        <v>0.0</v>
      </c>
      <c r="AA1641" s="16"/>
      <c r="AB1641" s="16"/>
      <c r="AC1641" s="16"/>
      <c r="AD1641" s="16">
        <v>0.0</v>
      </c>
      <c r="AE1641" s="16"/>
      <c r="AF1641" s="16"/>
      <c r="AG1641" s="16"/>
      <c r="AH1641" s="16">
        <v>0.0</v>
      </c>
      <c r="AI1641" s="16"/>
      <c r="AJ1641" s="16"/>
      <c r="AK1641" s="16"/>
      <c r="AL1641" s="16">
        <v>0.0</v>
      </c>
      <c r="AM1641" s="16"/>
      <c r="AN1641" s="16"/>
      <c r="AO1641" s="16"/>
      <c r="AP1641" s="16">
        <v>0.0</v>
      </c>
      <c r="AQ1641" s="16"/>
      <c r="AR1641" s="16"/>
      <c r="AS1641" s="16"/>
      <c r="AT1641" s="16">
        <v>0.0</v>
      </c>
      <c r="AU1641" s="16"/>
      <c r="AV1641" s="16"/>
      <c r="AW1641" s="16"/>
      <c r="AX1641" s="16">
        <v>0.0</v>
      </c>
      <c r="AY1641" s="16"/>
      <c r="AZ1641" s="16"/>
      <c r="BA1641" s="16"/>
      <c r="BB1641" s="16"/>
      <c r="BC1641" s="16"/>
      <c r="BD1641" s="16"/>
      <c r="BE1641" s="16"/>
      <c r="BF1641" s="16">
        <v>0.0</v>
      </c>
      <c r="BG1641" s="16"/>
      <c r="BH1641" s="16"/>
      <c r="BI1641" s="16"/>
      <c r="BJ1641" s="16">
        <v>0.0</v>
      </c>
      <c r="BN1641" s="16">
        <v>0.0</v>
      </c>
      <c r="BO1641" s="16">
        <v>107.01</v>
      </c>
      <c r="BP1641" s="16" t="s">
        <v>10140</v>
      </c>
      <c r="BQ1641" s="16" t="b">
        <v>1</v>
      </c>
      <c r="BR1641" s="16">
        <v>107.01</v>
      </c>
      <c r="BS1641" s="21" t="s">
        <v>13509</v>
      </c>
      <c r="BT1641" s="16" t="b">
        <v>1</v>
      </c>
      <c r="BU1641" s="16" t="s">
        <v>546</v>
      </c>
      <c r="BV1641" s="16"/>
      <c r="BW1641" s="16"/>
      <c r="BX1641" s="16"/>
      <c r="BY1641" s="16"/>
    </row>
    <row r="1642">
      <c r="A1642" s="16">
        <v>11586.0</v>
      </c>
      <c r="B1642" s="16" t="s">
        <v>35</v>
      </c>
      <c r="C1642" s="201"/>
      <c r="D1642" s="16" t="s">
        <v>3516</v>
      </c>
      <c r="E1642" s="16"/>
      <c r="F1642" s="16" t="s">
        <v>9759</v>
      </c>
      <c r="G1642" s="16" t="s">
        <v>2448</v>
      </c>
      <c r="H1642" s="16">
        <v>1.0</v>
      </c>
      <c r="I1642" s="16">
        <v>1.0</v>
      </c>
      <c r="J1642" s="16">
        <v>1.0</v>
      </c>
      <c r="K1642" s="16"/>
      <c r="L1642" s="16"/>
      <c r="M1642" s="16"/>
      <c r="N1642" s="16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16"/>
      <c r="AP1642" s="16"/>
      <c r="AQ1642" s="16"/>
      <c r="AR1642" s="16"/>
      <c r="AS1642" s="16"/>
      <c r="AT1642" s="16"/>
      <c r="AU1642" s="16"/>
      <c r="AV1642" s="16"/>
      <c r="AW1642" s="16"/>
      <c r="AX1642" s="16"/>
      <c r="AY1642" s="16"/>
      <c r="AZ1642" s="16"/>
      <c r="BA1642" s="16"/>
      <c r="BB1642" s="16"/>
      <c r="BC1642" s="16"/>
      <c r="BD1642" s="16"/>
      <c r="BE1642" s="16"/>
      <c r="BF1642" s="16"/>
      <c r="BG1642" s="16"/>
      <c r="BH1642" s="16"/>
      <c r="BI1642" s="16"/>
      <c r="BJ1642" s="16"/>
      <c r="BN1642" s="16"/>
      <c r="BO1642" s="16">
        <v>1.0</v>
      </c>
      <c r="BP1642" s="16"/>
      <c r="BQ1642" s="16" t="b">
        <v>1</v>
      </c>
      <c r="BR1642" s="16">
        <v>1.0</v>
      </c>
      <c r="BS1642" s="16"/>
      <c r="BT1642" s="16"/>
      <c r="BU1642" s="16" t="s">
        <v>539</v>
      </c>
      <c r="BV1642" s="16"/>
      <c r="BW1642" s="16"/>
      <c r="BX1642" s="16"/>
      <c r="BY1642" s="16"/>
    </row>
    <row r="1643">
      <c r="A1643" s="16">
        <v>11587.0</v>
      </c>
      <c r="B1643" s="16"/>
      <c r="C1643" s="201"/>
      <c r="D1643" s="16" t="s">
        <v>3516</v>
      </c>
      <c r="E1643" s="16"/>
      <c r="F1643" s="16" t="s">
        <v>9762</v>
      </c>
      <c r="G1643" s="16"/>
      <c r="H1643" s="16">
        <v>1.0</v>
      </c>
      <c r="I1643" s="16">
        <v>1.0</v>
      </c>
      <c r="J1643" s="16">
        <v>1.0</v>
      </c>
      <c r="K1643" s="16"/>
      <c r="L1643" s="16"/>
      <c r="M1643" s="16"/>
      <c r="N1643" s="16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16"/>
      <c r="AP1643" s="16"/>
      <c r="AQ1643" s="16"/>
      <c r="AR1643" s="16"/>
      <c r="AS1643" s="16"/>
      <c r="AT1643" s="16"/>
      <c r="AU1643" s="16"/>
      <c r="AV1643" s="16"/>
      <c r="AW1643" s="16"/>
      <c r="AX1643" s="16"/>
      <c r="AY1643" s="16"/>
      <c r="AZ1643" s="16"/>
      <c r="BA1643" s="16"/>
      <c r="BB1643" s="16"/>
      <c r="BC1643" s="16"/>
      <c r="BD1643" s="16"/>
      <c r="BE1643" s="16"/>
      <c r="BF1643" s="16"/>
      <c r="BG1643" s="16"/>
      <c r="BH1643" s="16"/>
      <c r="BI1643" s="16"/>
      <c r="BJ1643" s="16"/>
      <c r="BN1643" s="16"/>
      <c r="BO1643" s="16">
        <v>1.0</v>
      </c>
      <c r="BP1643" s="16"/>
      <c r="BQ1643" s="16" t="b">
        <v>1</v>
      </c>
      <c r="BR1643" s="16">
        <v>1.0</v>
      </c>
      <c r="BS1643" s="16"/>
      <c r="BT1643" s="16"/>
      <c r="BU1643" s="16"/>
      <c r="BV1643" s="16"/>
      <c r="BW1643" s="16"/>
      <c r="BX1643" s="16"/>
      <c r="BY1643" s="16"/>
    </row>
    <row r="1644">
      <c r="A1644" s="16" t="s">
        <v>8663</v>
      </c>
      <c r="B1644" s="16" t="s">
        <v>35</v>
      </c>
      <c r="C1644" s="201">
        <v>45969.0</v>
      </c>
      <c r="D1644" s="16" t="s">
        <v>543</v>
      </c>
      <c r="E1644" s="16" t="s">
        <v>10148</v>
      </c>
      <c r="F1644" s="16" t="s">
        <v>171</v>
      </c>
      <c r="G1644" s="21" t="s">
        <v>10424</v>
      </c>
      <c r="H1644" s="16">
        <v>1.0</v>
      </c>
      <c r="I1644" s="16">
        <v>250.0</v>
      </c>
      <c r="J1644" s="16">
        <v>250.0</v>
      </c>
      <c r="K1644" s="16"/>
      <c r="L1644" s="16"/>
      <c r="M1644" s="16"/>
      <c r="N1644" s="16">
        <v>0.0</v>
      </c>
      <c r="O1644" s="16"/>
      <c r="P1644" s="16"/>
      <c r="Q1644" s="16"/>
      <c r="R1644" s="16">
        <v>0.0</v>
      </c>
      <c r="S1644" s="16"/>
      <c r="T1644" s="16"/>
      <c r="U1644" s="16"/>
      <c r="V1644" s="16">
        <v>0.0</v>
      </c>
      <c r="W1644" s="16"/>
      <c r="X1644" s="16"/>
      <c r="Y1644" s="16"/>
      <c r="Z1644" s="16">
        <v>0.0</v>
      </c>
      <c r="AA1644" s="16"/>
      <c r="AB1644" s="16"/>
      <c r="AC1644" s="16"/>
      <c r="AD1644" s="16">
        <v>0.0</v>
      </c>
      <c r="AE1644" s="16"/>
      <c r="AF1644" s="16"/>
      <c r="AG1644" s="16"/>
      <c r="AH1644" s="16">
        <v>0.0</v>
      </c>
      <c r="AI1644" s="16"/>
      <c r="AJ1644" s="16"/>
      <c r="AK1644" s="16"/>
      <c r="AL1644" s="16">
        <v>0.0</v>
      </c>
      <c r="AM1644" s="16"/>
      <c r="AN1644" s="16"/>
      <c r="AO1644" s="16"/>
      <c r="AP1644" s="16">
        <v>0.0</v>
      </c>
      <c r="AQ1644" s="16"/>
      <c r="AR1644" s="16"/>
      <c r="AS1644" s="16"/>
      <c r="AT1644" s="16">
        <v>0.0</v>
      </c>
      <c r="AU1644" s="16"/>
      <c r="AV1644" s="16"/>
      <c r="AW1644" s="16"/>
      <c r="AX1644" s="16">
        <v>0.0</v>
      </c>
      <c r="AY1644" s="16"/>
      <c r="AZ1644" s="16"/>
      <c r="BA1644" s="16"/>
      <c r="BB1644" s="16"/>
      <c r="BC1644" s="16"/>
      <c r="BD1644" s="16"/>
      <c r="BE1644" s="16"/>
      <c r="BF1644" s="16">
        <v>0.0</v>
      </c>
      <c r="BG1644" s="16"/>
      <c r="BH1644" s="16"/>
      <c r="BI1644" s="16"/>
      <c r="BJ1644" s="16">
        <v>0.0</v>
      </c>
      <c r="BN1644" s="16">
        <v>0.0</v>
      </c>
      <c r="BO1644" s="16">
        <v>250.0</v>
      </c>
      <c r="BP1644" s="16" t="s">
        <v>10149</v>
      </c>
      <c r="BQ1644" s="16" t="b">
        <v>1</v>
      </c>
      <c r="BR1644" s="16">
        <v>250.0</v>
      </c>
      <c r="BS1644" s="16"/>
      <c r="BT1644" s="16" t="b">
        <v>0</v>
      </c>
      <c r="BU1644" s="16" t="s">
        <v>546</v>
      </c>
      <c r="BV1644" s="16"/>
      <c r="BW1644" s="16"/>
      <c r="BX1644" s="16"/>
      <c r="BY1644" s="16"/>
    </row>
    <row r="1645">
      <c r="A1645" s="16" t="s">
        <v>8665</v>
      </c>
      <c r="B1645" s="16" t="s">
        <v>35</v>
      </c>
      <c r="C1645" s="201">
        <v>45968.0</v>
      </c>
      <c r="D1645" s="16" t="s">
        <v>112</v>
      </c>
      <c r="E1645" s="16" t="s">
        <v>10152</v>
      </c>
      <c r="F1645" s="16" t="s">
        <v>157</v>
      </c>
      <c r="G1645" s="16" t="s">
        <v>152</v>
      </c>
      <c r="H1645" s="16">
        <v>1.0</v>
      </c>
      <c r="I1645" s="16">
        <v>10.56</v>
      </c>
      <c r="J1645" s="16">
        <v>10.56</v>
      </c>
      <c r="K1645" s="16" t="s">
        <v>230</v>
      </c>
      <c r="L1645" s="16">
        <v>1.0</v>
      </c>
      <c r="M1645" s="16">
        <v>145.6</v>
      </c>
      <c r="N1645" s="16">
        <v>145.6</v>
      </c>
      <c r="O1645" s="16" t="s">
        <v>155</v>
      </c>
      <c r="P1645" s="16">
        <v>1.0</v>
      </c>
      <c r="Q1645" s="16">
        <v>32.5</v>
      </c>
      <c r="R1645" s="16">
        <v>32.5</v>
      </c>
      <c r="S1645" s="16" t="s">
        <v>159</v>
      </c>
      <c r="T1645" s="16">
        <v>1.0</v>
      </c>
      <c r="U1645" s="16">
        <v>110.0</v>
      </c>
      <c r="V1645" s="16">
        <v>110.0</v>
      </c>
      <c r="W1645" s="16"/>
      <c r="X1645" s="16"/>
      <c r="Y1645" s="16"/>
      <c r="Z1645" s="16">
        <v>0.0</v>
      </c>
      <c r="AA1645" s="16"/>
      <c r="AB1645" s="16"/>
      <c r="AC1645" s="16"/>
      <c r="AD1645" s="16">
        <v>0.0</v>
      </c>
      <c r="AE1645" s="16"/>
      <c r="AF1645" s="16"/>
      <c r="AG1645" s="16"/>
      <c r="AH1645" s="16">
        <v>0.0</v>
      </c>
      <c r="AI1645" s="16"/>
      <c r="AJ1645" s="16"/>
      <c r="AK1645" s="16"/>
      <c r="AL1645" s="16">
        <v>0.0</v>
      </c>
      <c r="AM1645" s="16"/>
      <c r="AN1645" s="16"/>
      <c r="AO1645" s="16"/>
      <c r="AP1645" s="16">
        <v>0.0</v>
      </c>
      <c r="AQ1645" s="16"/>
      <c r="AR1645" s="16"/>
      <c r="AS1645" s="16"/>
      <c r="AT1645" s="16">
        <v>0.0</v>
      </c>
      <c r="AU1645" s="16"/>
      <c r="AV1645" s="16"/>
      <c r="AW1645" s="16"/>
      <c r="AX1645" s="16">
        <v>0.0</v>
      </c>
      <c r="AY1645" s="16"/>
      <c r="AZ1645" s="16"/>
      <c r="BA1645" s="16"/>
      <c r="BB1645" s="16"/>
      <c r="BC1645" s="16"/>
      <c r="BD1645" s="16"/>
      <c r="BE1645" s="16"/>
      <c r="BF1645" s="16">
        <v>0.0</v>
      </c>
      <c r="BG1645" s="16"/>
      <c r="BH1645" s="16"/>
      <c r="BI1645" s="16"/>
      <c r="BJ1645" s="16">
        <v>0.0</v>
      </c>
      <c r="BN1645" s="16">
        <v>0.0</v>
      </c>
      <c r="BO1645" s="16">
        <v>298.66</v>
      </c>
      <c r="BP1645" s="16" t="s">
        <v>10154</v>
      </c>
      <c r="BQ1645" s="16" t="b">
        <v>1</v>
      </c>
      <c r="BR1645" s="16">
        <v>298.66</v>
      </c>
      <c r="BS1645" s="16"/>
      <c r="BT1645" s="16" t="b">
        <v>0</v>
      </c>
      <c r="BU1645" s="16" t="s">
        <v>546</v>
      </c>
      <c r="BV1645" s="16"/>
      <c r="BW1645" s="16"/>
      <c r="BX1645" s="16"/>
      <c r="BY1645" s="16"/>
    </row>
    <row r="1646">
      <c r="A1646" s="16" t="s">
        <v>8670</v>
      </c>
      <c r="B1646" s="16" t="s">
        <v>35</v>
      </c>
      <c r="C1646" s="201">
        <v>45968.0</v>
      </c>
      <c r="D1646" s="16" t="s">
        <v>2613</v>
      </c>
      <c r="E1646" s="16" t="s">
        <v>10157</v>
      </c>
      <c r="F1646" s="16" t="s">
        <v>319</v>
      </c>
      <c r="G1646" s="16" t="s">
        <v>981</v>
      </c>
      <c r="H1646" s="16">
        <v>6.0</v>
      </c>
      <c r="I1646" s="16">
        <v>4.9</v>
      </c>
      <c r="J1646" s="16">
        <v>29.4</v>
      </c>
      <c r="K1646" s="16" t="s">
        <v>238</v>
      </c>
      <c r="L1646" s="16">
        <v>12.0</v>
      </c>
      <c r="M1646" s="16">
        <v>5.2</v>
      </c>
      <c r="N1646" s="16">
        <v>62.4</v>
      </c>
      <c r="O1646" s="16" t="s">
        <v>243</v>
      </c>
      <c r="P1646" s="16">
        <v>6.0</v>
      </c>
      <c r="Q1646" s="16">
        <v>6.2</v>
      </c>
      <c r="R1646" s="16">
        <v>37.2</v>
      </c>
      <c r="S1646" s="16" t="s">
        <v>6604</v>
      </c>
      <c r="T1646" s="16">
        <v>1.0</v>
      </c>
      <c r="U1646" s="16">
        <v>43.2</v>
      </c>
      <c r="V1646" s="16">
        <v>43.2</v>
      </c>
      <c r="W1646" s="16"/>
      <c r="X1646" s="16"/>
      <c r="Y1646" s="16"/>
      <c r="Z1646" s="16">
        <v>0.0</v>
      </c>
      <c r="AA1646" s="16"/>
      <c r="AB1646" s="16"/>
      <c r="AC1646" s="16"/>
      <c r="AD1646" s="16">
        <v>0.0</v>
      </c>
      <c r="AE1646" s="16"/>
      <c r="AF1646" s="16"/>
      <c r="AG1646" s="16"/>
      <c r="AH1646" s="16">
        <v>0.0</v>
      </c>
      <c r="AI1646" s="16"/>
      <c r="AJ1646" s="16"/>
      <c r="AK1646" s="16"/>
      <c r="AL1646" s="16">
        <v>0.0</v>
      </c>
      <c r="AM1646" s="16"/>
      <c r="AN1646" s="16"/>
      <c r="AO1646" s="16"/>
      <c r="AP1646" s="16">
        <v>0.0</v>
      </c>
      <c r="AQ1646" s="16"/>
      <c r="AR1646" s="16"/>
      <c r="AS1646" s="16"/>
      <c r="AT1646" s="16">
        <v>0.0</v>
      </c>
      <c r="AU1646" s="16"/>
      <c r="AV1646" s="16"/>
      <c r="AW1646" s="16"/>
      <c r="AX1646" s="16">
        <v>0.0</v>
      </c>
      <c r="AY1646" s="16"/>
      <c r="AZ1646" s="16"/>
      <c r="BA1646" s="16"/>
      <c r="BB1646" s="16"/>
      <c r="BC1646" s="16"/>
      <c r="BD1646" s="16"/>
      <c r="BE1646" s="16"/>
      <c r="BF1646" s="16">
        <v>0.0</v>
      </c>
      <c r="BG1646" s="16"/>
      <c r="BH1646" s="16"/>
      <c r="BI1646" s="16"/>
      <c r="BJ1646" s="16">
        <v>0.0</v>
      </c>
      <c r="BN1646" s="16">
        <v>0.0</v>
      </c>
      <c r="BO1646" s="16">
        <v>172.2</v>
      </c>
      <c r="BP1646" s="16" t="s">
        <v>10159</v>
      </c>
      <c r="BQ1646" s="16" t="b">
        <v>1</v>
      </c>
      <c r="BR1646" s="16">
        <v>172.2</v>
      </c>
      <c r="BS1646" s="21" t="s">
        <v>13515</v>
      </c>
      <c r="BT1646" s="16" t="b">
        <v>1</v>
      </c>
      <c r="BU1646" s="16" t="s">
        <v>546</v>
      </c>
      <c r="BV1646" s="16"/>
      <c r="BW1646" s="16"/>
      <c r="BX1646" s="16"/>
      <c r="BY1646" s="16"/>
    </row>
    <row r="1647">
      <c r="A1647" s="16" t="s">
        <v>8675</v>
      </c>
      <c r="B1647" s="16" t="s">
        <v>35</v>
      </c>
      <c r="C1647" s="201">
        <v>45968.0</v>
      </c>
      <c r="D1647" s="16" t="s">
        <v>3716</v>
      </c>
      <c r="E1647" s="16" t="s">
        <v>10162</v>
      </c>
      <c r="F1647" s="16" t="s">
        <v>3691</v>
      </c>
      <c r="G1647" s="16" t="s">
        <v>1080</v>
      </c>
      <c r="H1647" s="16">
        <v>15.0</v>
      </c>
      <c r="I1647" s="16">
        <v>13.9</v>
      </c>
      <c r="J1647" s="16">
        <v>208.5</v>
      </c>
      <c r="K1647" s="16" t="s">
        <v>1079</v>
      </c>
      <c r="L1647" s="16">
        <v>10.0</v>
      </c>
      <c r="M1647" s="16">
        <v>12.9</v>
      </c>
      <c r="N1647" s="16">
        <v>129.0</v>
      </c>
      <c r="O1647" s="16" t="s">
        <v>8679</v>
      </c>
      <c r="P1647" s="16">
        <v>2.0</v>
      </c>
      <c r="Q1647" s="16">
        <v>32.9</v>
      </c>
      <c r="R1647" s="16">
        <v>65.8</v>
      </c>
      <c r="S1647" s="16"/>
      <c r="T1647" s="16"/>
      <c r="U1647" s="16"/>
      <c r="V1647" s="16">
        <v>0.0</v>
      </c>
      <c r="W1647" s="16"/>
      <c r="X1647" s="16"/>
      <c r="Y1647" s="16"/>
      <c r="Z1647" s="16">
        <v>0.0</v>
      </c>
      <c r="AA1647" s="16"/>
      <c r="AB1647" s="16"/>
      <c r="AC1647" s="16"/>
      <c r="AD1647" s="16">
        <v>0.0</v>
      </c>
      <c r="AE1647" s="16"/>
      <c r="AF1647" s="16"/>
      <c r="AG1647" s="16"/>
      <c r="AH1647" s="16">
        <v>0.0</v>
      </c>
      <c r="AI1647" s="16"/>
      <c r="AJ1647" s="16"/>
      <c r="AK1647" s="16"/>
      <c r="AL1647" s="16">
        <v>0.0</v>
      </c>
      <c r="AM1647" s="16"/>
      <c r="AN1647" s="16"/>
      <c r="AO1647" s="16"/>
      <c r="AP1647" s="16">
        <v>0.0</v>
      </c>
      <c r="AQ1647" s="16"/>
      <c r="AR1647" s="16"/>
      <c r="AS1647" s="16"/>
      <c r="AT1647" s="16">
        <v>0.0</v>
      </c>
      <c r="AU1647" s="16"/>
      <c r="AV1647" s="16"/>
      <c r="AW1647" s="16"/>
      <c r="AX1647" s="16">
        <v>0.0</v>
      </c>
      <c r="AY1647" s="16"/>
      <c r="AZ1647" s="16"/>
      <c r="BA1647" s="16"/>
      <c r="BB1647" s="16"/>
      <c r="BC1647" s="16"/>
      <c r="BD1647" s="16"/>
      <c r="BE1647" s="16"/>
      <c r="BF1647" s="16">
        <v>0.0</v>
      </c>
      <c r="BG1647" s="16"/>
      <c r="BH1647" s="16"/>
      <c r="BI1647" s="16"/>
      <c r="BJ1647" s="16">
        <v>0.0</v>
      </c>
      <c r="BN1647" s="16">
        <v>0.0</v>
      </c>
      <c r="BO1647" s="16">
        <v>403.3</v>
      </c>
      <c r="BP1647" s="16" t="s">
        <v>10163</v>
      </c>
      <c r="BQ1647" s="16" t="b">
        <v>1</v>
      </c>
      <c r="BR1647" s="16">
        <v>403.3</v>
      </c>
      <c r="BS1647" s="21" t="s">
        <v>13516</v>
      </c>
      <c r="BT1647" s="16" t="b">
        <v>1</v>
      </c>
      <c r="BU1647" s="16" t="s">
        <v>546</v>
      </c>
      <c r="BV1647" s="16"/>
      <c r="BW1647" s="16"/>
      <c r="BX1647" s="16"/>
      <c r="BY1647" s="16"/>
    </row>
    <row r="1648">
      <c r="A1648" s="16" t="s">
        <v>8681</v>
      </c>
      <c r="B1648" s="16" t="s">
        <v>35</v>
      </c>
      <c r="C1648" s="201">
        <v>45970.0</v>
      </c>
      <c r="D1648" s="16" t="s">
        <v>10033</v>
      </c>
      <c r="E1648" s="16" t="s">
        <v>10165</v>
      </c>
      <c r="F1648" s="16" t="s">
        <v>10167</v>
      </c>
      <c r="G1648" s="16" t="s">
        <v>3987</v>
      </c>
      <c r="H1648" s="16">
        <v>1.0</v>
      </c>
      <c r="I1648" s="16">
        <v>130.0</v>
      </c>
      <c r="J1648" s="16">
        <v>130.0</v>
      </c>
      <c r="K1648" s="16"/>
      <c r="L1648" s="16"/>
      <c r="M1648" s="16"/>
      <c r="N1648" s="16">
        <v>0.0</v>
      </c>
      <c r="O1648" s="16"/>
      <c r="P1648" s="16"/>
      <c r="Q1648" s="16"/>
      <c r="R1648" s="16">
        <v>0.0</v>
      </c>
      <c r="S1648" s="16"/>
      <c r="T1648" s="16"/>
      <c r="U1648" s="16"/>
      <c r="V1648" s="16">
        <v>0.0</v>
      </c>
      <c r="W1648" s="16"/>
      <c r="X1648" s="16"/>
      <c r="Y1648" s="16"/>
      <c r="Z1648" s="16">
        <v>0.0</v>
      </c>
      <c r="AA1648" s="16"/>
      <c r="AB1648" s="16"/>
      <c r="AC1648" s="16"/>
      <c r="AD1648" s="16">
        <v>0.0</v>
      </c>
      <c r="AE1648" s="16"/>
      <c r="AF1648" s="16"/>
      <c r="AG1648" s="16"/>
      <c r="AH1648" s="16">
        <v>0.0</v>
      </c>
      <c r="AI1648" s="16"/>
      <c r="AJ1648" s="16"/>
      <c r="AK1648" s="16"/>
      <c r="AL1648" s="16">
        <v>0.0</v>
      </c>
      <c r="AM1648" s="16"/>
      <c r="AN1648" s="16"/>
      <c r="AO1648" s="16"/>
      <c r="AP1648" s="16">
        <v>0.0</v>
      </c>
      <c r="AQ1648" s="16"/>
      <c r="AR1648" s="16"/>
      <c r="AS1648" s="16"/>
      <c r="AT1648" s="16">
        <v>0.0</v>
      </c>
      <c r="AU1648" s="16"/>
      <c r="AV1648" s="16"/>
      <c r="AW1648" s="16"/>
      <c r="AX1648" s="16">
        <v>0.0</v>
      </c>
      <c r="AY1648" s="16"/>
      <c r="AZ1648" s="16"/>
      <c r="BA1648" s="16"/>
      <c r="BB1648" s="16"/>
      <c r="BC1648" s="16"/>
      <c r="BD1648" s="16"/>
      <c r="BE1648" s="16"/>
      <c r="BF1648" s="16">
        <v>0.0</v>
      </c>
      <c r="BG1648" s="16"/>
      <c r="BH1648" s="16"/>
      <c r="BI1648" s="16"/>
      <c r="BJ1648" s="16">
        <v>0.0</v>
      </c>
      <c r="BN1648" s="16">
        <v>0.0</v>
      </c>
      <c r="BO1648" s="16">
        <v>130.0</v>
      </c>
      <c r="BP1648" s="16" t="s">
        <v>10166</v>
      </c>
      <c r="BQ1648" s="16" t="b">
        <v>1</v>
      </c>
      <c r="BR1648" s="16">
        <v>130.0</v>
      </c>
      <c r="BS1648" s="21" t="s">
        <v>13519</v>
      </c>
      <c r="BT1648" s="16" t="b">
        <v>1</v>
      </c>
      <c r="BU1648" s="16" t="s">
        <v>546</v>
      </c>
      <c r="BV1648" s="16"/>
      <c r="BW1648" s="16"/>
      <c r="BX1648" s="16"/>
      <c r="BY1648" s="16"/>
    </row>
    <row r="1649">
      <c r="A1649" s="16" t="s">
        <v>8686</v>
      </c>
      <c r="B1649" s="16" t="s">
        <v>35</v>
      </c>
      <c r="C1649" s="201">
        <v>45970.0</v>
      </c>
      <c r="D1649" s="16" t="s">
        <v>10047</v>
      </c>
      <c r="E1649" s="16" t="s">
        <v>10170</v>
      </c>
      <c r="F1649" s="16" t="s">
        <v>10167</v>
      </c>
      <c r="G1649" s="16" t="s">
        <v>3987</v>
      </c>
      <c r="H1649" s="16">
        <v>1.0</v>
      </c>
      <c r="I1649" s="16">
        <v>130.0</v>
      </c>
      <c r="J1649" s="16">
        <v>130.0</v>
      </c>
      <c r="K1649" s="16"/>
      <c r="L1649" s="16"/>
      <c r="M1649" s="16"/>
      <c r="N1649" s="16">
        <v>0.0</v>
      </c>
      <c r="O1649" s="16"/>
      <c r="P1649" s="16"/>
      <c r="Q1649" s="16"/>
      <c r="R1649" s="16">
        <v>0.0</v>
      </c>
      <c r="S1649" s="16"/>
      <c r="T1649" s="16"/>
      <c r="U1649" s="16"/>
      <c r="V1649" s="16">
        <v>0.0</v>
      </c>
      <c r="W1649" s="16"/>
      <c r="X1649" s="16"/>
      <c r="Y1649" s="16"/>
      <c r="Z1649" s="16">
        <v>0.0</v>
      </c>
      <c r="AA1649" s="16"/>
      <c r="AB1649" s="16"/>
      <c r="AC1649" s="16"/>
      <c r="AD1649" s="16">
        <v>0.0</v>
      </c>
      <c r="AE1649" s="16"/>
      <c r="AF1649" s="16"/>
      <c r="AG1649" s="16"/>
      <c r="AH1649" s="16">
        <v>0.0</v>
      </c>
      <c r="AI1649" s="16"/>
      <c r="AJ1649" s="16"/>
      <c r="AK1649" s="16"/>
      <c r="AL1649" s="16">
        <v>0.0</v>
      </c>
      <c r="AM1649" s="16"/>
      <c r="AN1649" s="16"/>
      <c r="AO1649" s="16"/>
      <c r="AP1649" s="16">
        <v>0.0</v>
      </c>
      <c r="AQ1649" s="16"/>
      <c r="AR1649" s="16"/>
      <c r="AS1649" s="16"/>
      <c r="AT1649" s="16">
        <v>0.0</v>
      </c>
      <c r="AU1649" s="16"/>
      <c r="AV1649" s="16"/>
      <c r="AW1649" s="16"/>
      <c r="AX1649" s="16">
        <v>0.0</v>
      </c>
      <c r="AY1649" s="16"/>
      <c r="AZ1649" s="16"/>
      <c r="BA1649" s="16"/>
      <c r="BB1649" s="16"/>
      <c r="BC1649" s="16"/>
      <c r="BD1649" s="16"/>
      <c r="BE1649" s="16"/>
      <c r="BF1649" s="16">
        <v>0.0</v>
      </c>
      <c r="BG1649" s="16"/>
      <c r="BH1649" s="16"/>
      <c r="BI1649" s="16"/>
      <c r="BJ1649" s="16">
        <v>0.0</v>
      </c>
      <c r="BN1649" s="16">
        <v>0.0</v>
      </c>
      <c r="BO1649" s="16">
        <v>130.0</v>
      </c>
      <c r="BP1649" s="16" t="s">
        <v>10172</v>
      </c>
      <c r="BQ1649" s="16" t="b">
        <v>1</v>
      </c>
      <c r="BR1649" s="16">
        <v>130.0</v>
      </c>
      <c r="BS1649" s="21" t="s">
        <v>13522</v>
      </c>
      <c r="BT1649" s="16" t="b">
        <v>1</v>
      </c>
      <c r="BU1649" s="16" t="s">
        <v>546</v>
      </c>
      <c r="BV1649" s="16"/>
      <c r="BW1649" s="16"/>
      <c r="BX1649" s="16"/>
      <c r="BY1649" s="16"/>
    </row>
    <row r="1650">
      <c r="A1650" s="16" t="s">
        <v>8688</v>
      </c>
      <c r="B1650" s="16" t="s">
        <v>35</v>
      </c>
      <c r="C1650" s="201">
        <v>45970.0</v>
      </c>
      <c r="D1650" s="16" t="s">
        <v>10042</v>
      </c>
      <c r="E1650" s="16" t="s">
        <v>10174</v>
      </c>
      <c r="F1650" s="16" t="s">
        <v>10177</v>
      </c>
      <c r="G1650" s="16" t="s">
        <v>3987</v>
      </c>
      <c r="H1650" s="16">
        <v>1.0</v>
      </c>
      <c r="I1650" s="16">
        <v>130.0</v>
      </c>
      <c r="J1650" s="16">
        <v>130.0</v>
      </c>
      <c r="K1650" s="16"/>
      <c r="L1650" s="16"/>
      <c r="M1650" s="16"/>
      <c r="N1650" s="16">
        <v>0.0</v>
      </c>
      <c r="O1650" s="16"/>
      <c r="P1650" s="16"/>
      <c r="Q1650" s="16"/>
      <c r="R1650" s="16">
        <v>0.0</v>
      </c>
      <c r="S1650" s="16"/>
      <c r="T1650" s="16"/>
      <c r="U1650" s="16"/>
      <c r="V1650" s="16">
        <v>0.0</v>
      </c>
      <c r="W1650" s="16"/>
      <c r="X1650" s="16"/>
      <c r="Y1650" s="16"/>
      <c r="Z1650" s="16">
        <v>0.0</v>
      </c>
      <c r="AA1650" s="16"/>
      <c r="AB1650" s="16"/>
      <c r="AC1650" s="16"/>
      <c r="AD1650" s="16">
        <v>0.0</v>
      </c>
      <c r="AE1650" s="16"/>
      <c r="AF1650" s="16"/>
      <c r="AG1650" s="16"/>
      <c r="AH1650" s="16">
        <v>0.0</v>
      </c>
      <c r="AI1650" s="16"/>
      <c r="AJ1650" s="16"/>
      <c r="AK1650" s="16"/>
      <c r="AL1650" s="16">
        <v>0.0</v>
      </c>
      <c r="AM1650" s="16"/>
      <c r="AN1650" s="16"/>
      <c r="AO1650" s="16"/>
      <c r="AP1650" s="16">
        <v>0.0</v>
      </c>
      <c r="AQ1650" s="16"/>
      <c r="AR1650" s="16"/>
      <c r="AS1650" s="16"/>
      <c r="AT1650" s="16">
        <v>0.0</v>
      </c>
      <c r="AU1650" s="16"/>
      <c r="AV1650" s="16"/>
      <c r="AW1650" s="16"/>
      <c r="AX1650" s="16">
        <v>0.0</v>
      </c>
      <c r="AY1650" s="16"/>
      <c r="AZ1650" s="16"/>
      <c r="BA1650" s="16"/>
      <c r="BB1650" s="16"/>
      <c r="BC1650" s="16"/>
      <c r="BD1650" s="16"/>
      <c r="BE1650" s="16"/>
      <c r="BF1650" s="16">
        <v>0.0</v>
      </c>
      <c r="BG1650" s="16"/>
      <c r="BH1650" s="16"/>
      <c r="BI1650" s="16"/>
      <c r="BJ1650" s="16">
        <v>0.0</v>
      </c>
      <c r="BN1650" s="16">
        <v>0.0</v>
      </c>
      <c r="BO1650" s="16">
        <v>130.0</v>
      </c>
      <c r="BP1650" s="16" t="s">
        <v>10175</v>
      </c>
      <c r="BQ1650" s="16" t="b">
        <v>1</v>
      </c>
      <c r="BR1650" s="16">
        <v>130.0</v>
      </c>
      <c r="BS1650" s="21" t="s">
        <v>13523</v>
      </c>
      <c r="BT1650" s="16" t="b">
        <v>1</v>
      </c>
      <c r="BU1650" s="16" t="s">
        <v>546</v>
      </c>
      <c r="BV1650" s="16"/>
      <c r="BW1650" s="16"/>
      <c r="BX1650" s="16"/>
      <c r="BY1650" s="16"/>
    </row>
    <row r="1651">
      <c r="A1651" s="16" t="s">
        <v>8692</v>
      </c>
      <c r="B1651" s="16" t="s">
        <v>35</v>
      </c>
      <c r="C1651" s="201">
        <v>45967.0</v>
      </c>
      <c r="D1651" s="16" t="s">
        <v>9989</v>
      </c>
      <c r="E1651" s="16" t="s">
        <v>10179</v>
      </c>
      <c r="F1651" s="16" t="s">
        <v>6914</v>
      </c>
      <c r="G1651" s="16" t="s">
        <v>6720</v>
      </c>
      <c r="H1651" s="16">
        <v>1.0</v>
      </c>
      <c r="I1651" s="16">
        <v>104.0</v>
      </c>
      <c r="J1651" s="16">
        <v>104.0</v>
      </c>
      <c r="K1651" s="16"/>
      <c r="L1651" s="16"/>
      <c r="M1651" s="16"/>
      <c r="N1651" s="16">
        <v>0.0</v>
      </c>
      <c r="O1651" s="16"/>
      <c r="P1651" s="16"/>
      <c r="Q1651" s="16"/>
      <c r="R1651" s="16">
        <v>0.0</v>
      </c>
      <c r="S1651" s="16"/>
      <c r="T1651" s="16"/>
      <c r="U1651" s="16"/>
      <c r="V1651" s="16">
        <v>0.0</v>
      </c>
      <c r="W1651" s="16"/>
      <c r="X1651" s="16"/>
      <c r="Y1651" s="16"/>
      <c r="Z1651" s="16">
        <v>0.0</v>
      </c>
      <c r="AA1651" s="16"/>
      <c r="AB1651" s="16"/>
      <c r="AC1651" s="16"/>
      <c r="AD1651" s="16">
        <v>0.0</v>
      </c>
      <c r="AE1651" s="16"/>
      <c r="AF1651" s="16"/>
      <c r="AG1651" s="16"/>
      <c r="AH1651" s="16">
        <v>0.0</v>
      </c>
      <c r="AI1651" s="16"/>
      <c r="AJ1651" s="16"/>
      <c r="AK1651" s="16"/>
      <c r="AL1651" s="16">
        <v>0.0</v>
      </c>
      <c r="AM1651" s="16"/>
      <c r="AN1651" s="16"/>
      <c r="AO1651" s="16"/>
      <c r="AP1651" s="16">
        <v>0.0</v>
      </c>
      <c r="AQ1651" s="16"/>
      <c r="AR1651" s="16"/>
      <c r="AS1651" s="16"/>
      <c r="AT1651" s="16">
        <v>0.0</v>
      </c>
      <c r="AU1651" s="16"/>
      <c r="AV1651" s="16"/>
      <c r="AW1651" s="16"/>
      <c r="AX1651" s="16">
        <v>0.0</v>
      </c>
      <c r="AY1651" s="16"/>
      <c r="AZ1651" s="16"/>
      <c r="BA1651" s="16"/>
      <c r="BB1651" s="16"/>
      <c r="BC1651" s="16"/>
      <c r="BD1651" s="16"/>
      <c r="BE1651" s="16"/>
      <c r="BF1651" s="16">
        <v>0.0</v>
      </c>
      <c r="BG1651" s="16"/>
      <c r="BH1651" s="16"/>
      <c r="BI1651" s="16"/>
      <c r="BJ1651" s="16">
        <v>0.0</v>
      </c>
      <c r="BN1651" s="16">
        <v>0.0</v>
      </c>
      <c r="BO1651" s="16">
        <v>104.0</v>
      </c>
      <c r="BP1651" s="16" t="s">
        <v>10180</v>
      </c>
      <c r="BQ1651" s="16" t="b">
        <v>1</v>
      </c>
      <c r="BR1651" s="16">
        <v>104.0</v>
      </c>
      <c r="BS1651" s="21" t="s">
        <v>13527</v>
      </c>
      <c r="BT1651" s="16" t="b">
        <v>1</v>
      </c>
      <c r="BU1651" s="16" t="s">
        <v>546</v>
      </c>
      <c r="BV1651" s="16"/>
      <c r="BW1651" s="16"/>
      <c r="BX1651" s="16"/>
      <c r="BY1651" s="16"/>
    </row>
    <row r="1652">
      <c r="A1652" s="16" t="s">
        <v>8694</v>
      </c>
      <c r="B1652" s="16" t="s">
        <v>35</v>
      </c>
      <c r="C1652" s="201">
        <v>45967.0</v>
      </c>
      <c r="D1652" s="16" t="s">
        <v>10070</v>
      </c>
      <c r="E1652" s="16" t="s">
        <v>10183</v>
      </c>
      <c r="F1652" s="16" t="s">
        <v>6914</v>
      </c>
      <c r="G1652" s="16" t="s">
        <v>6720</v>
      </c>
      <c r="H1652" s="16">
        <v>1.0</v>
      </c>
      <c r="I1652" s="16">
        <v>31.0</v>
      </c>
      <c r="J1652" s="16">
        <v>31.0</v>
      </c>
      <c r="K1652" s="16"/>
      <c r="L1652" s="16"/>
      <c r="M1652" s="16"/>
      <c r="N1652" s="16">
        <v>0.0</v>
      </c>
      <c r="O1652" s="16"/>
      <c r="P1652" s="16"/>
      <c r="Q1652" s="16"/>
      <c r="R1652" s="16">
        <v>0.0</v>
      </c>
      <c r="S1652" s="16"/>
      <c r="T1652" s="16"/>
      <c r="U1652" s="16"/>
      <c r="V1652" s="16">
        <v>0.0</v>
      </c>
      <c r="W1652" s="16"/>
      <c r="X1652" s="16"/>
      <c r="Y1652" s="16"/>
      <c r="Z1652" s="16">
        <v>0.0</v>
      </c>
      <c r="AA1652" s="16"/>
      <c r="AB1652" s="16"/>
      <c r="AC1652" s="16"/>
      <c r="AD1652" s="16">
        <v>0.0</v>
      </c>
      <c r="AE1652" s="16"/>
      <c r="AF1652" s="16"/>
      <c r="AG1652" s="16"/>
      <c r="AH1652" s="16">
        <v>0.0</v>
      </c>
      <c r="AI1652" s="16"/>
      <c r="AJ1652" s="16"/>
      <c r="AK1652" s="16"/>
      <c r="AL1652" s="16">
        <v>0.0</v>
      </c>
      <c r="AM1652" s="16"/>
      <c r="AN1652" s="16"/>
      <c r="AO1652" s="16"/>
      <c r="AP1652" s="16">
        <v>0.0</v>
      </c>
      <c r="AQ1652" s="16"/>
      <c r="AR1652" s="16"/>
      <c r="AS1652" s="16"/>
      <c r="AT1652" s="16">
        <v>0.0</v>
      </c>
      <c r="AU1652" s="16"/>
      <c r="AV1652" s="16"/>
      <c r="AW1652" s="16"/>
      <c r="AX1652" s="16">
        <v>0.0</v>
      </c>
      <c r="AY1652" s="16"/>
      <c r="AZ1652" s="16"/>
      <c r="BA1652" s="16"/>
      <c r="BB1652" s="16"/>
      <c r="BC1652" s="16"/>
      <c r="BD1652" s="16"/>
      <c r="BE1652" s="16"/>
      <c r="BF1652" s="16">
        <v>0.0</v>
      </c>
      <c r="BG1652" s="16"/>
      <c r="BH1652" s="16"/>
      <c r="BI1652" s="16"/>
      <c r="BJ1652" s="16">
        <v>0.0</v>
      </c>
      <c r="BN1652" s="16">
        <v>0.0</v>
      </c>
      <c r="BO1652" s="16">
        <v>31.0</v>
      </c>
      <c r="BP1652" s="16" t="s">
        <v>10184</v>
      </c>
      <c r="BQ1652" s="16" t="b">
        <v>1</v>
      </c>
      <c r="BR1652" s="16">
        <v>31.0</v>
      </c>
      <c r="BS1652" s="21" t="s">
        <v>13528</v>
      </c>
      <c r="BT1652" s="16" t="b">
        <v>1</v>
      </c>
      <c r="BU1652" s="16" t="s">
        <v>546</v>
      </c>
      <c r="BV1652" s="16"/>
      <c r="BW1652" s="16"/>
      <c r="BX1652" s="16"/>
      <c r="BY1652" s="16"/>
    </row>
    <row r="1653">
      <c r="A1653" s="16" t="s">
        <v>8697</v>
      </c>
      <c r="B1653" s="16" t="s">
        <v>35</v>
      </c>
      <c r="C1653" s="201">
        <v>45968.0</v>
      </c>
      <c r="D1653" s="16" t="s">
        <v>10009</v>
      </c>
      <c r="E1653" s="16" t="s">
        <v>10187</v>
      </c>
      <c r="F1653" s="16" t="s">
        <v>6914</v>
      </c>
      <c r="G1653" s="16" t="s">
        <v>6720</v>
      </c>
      <c r="H1653" s="16">
        <v>1.0</v>
      </c>
      <c r="I1653" s="16">
        <v>50.0</v>
      </c>
      <c r="J1653" s="16">
        <v>50.0</v>
      </c>
      <c r="K1653" s="16"/>
      <c r="L1653" s="16"/>
      <c r="M1653" s="16"/>
      <c r="N1653" s="16">
        <v>0.0</v>
      </c>
      <c r="O1653" s="16"/>
      <c r="P1653" s="16"/>
      <c r="Q1653" s="16"/>
      <c r="R1653" s="16">
        <v>0.0</v>
      </c>
      <c r="S1653" s="16"/>
      <c r="T1653" s="16"/>
      <c r="U1653" s="16"/>
      <c r="V1653" s="16">
        <v>0.0</v>
      </c>
      <c r="W1653" s="16"/>
      <c r="X1653" s="16"/>
      <c r="Y1653" s="16"/>
      <c r="Z1653" s="16">
        <v>0.0</v>
      </c>
      <c r="AA1653" s="16"/>
      <c r="AB1653" s="16"/>
      <c r="AC1653" s="16"/>
      <c r="AD1653" s="16">
        <v>0.0</v>
      </c>
      <c r="AE1653" s="16"/>
      <c r="AF1653" s="16"/>
      <c r="AG1653" s="16"/>
      <c r="AH1653" s="16">
        <v>0.0</v>
      </c>
      <c r="AI1653" s="16"/>
      <c r="AJ1653" s="16"/>
      <c r="AK1653" s="16"/>
      <c r="AL1653" s="16">
        <v>0.0</v>
      </c>
      <c r="AM1653" s="16"/>
      <c r="AN1653" s="16"/>
      <c r="AO1653" s="16"/>
      <c r="AP1653" s="16">
        <v>0.0</v>
      </c>
      <c r="AQ1653" s="16"/>
      <c r="AR1653" s="16"/>
      <c r="AS1653" s="16"/>
      <c r="AT1653" s="16">
        <v>0.0</v>
      </c>
      <c r="AU1653" s="16"/>
      <c r="AV1653" s="16"/>
      <c r="AW1653" s="16"/>
      <c r="AX1653" s="16">
        <v>0.0</v>
      </c>
      <c r="AY1653" s="16"/>
      <c r="AZ1653" s="16"/>
      <c r="BA1653" s="16"/>
      <c r="BB1653" s="16"/>
      <c r="BC1653" s="16"/>
      <c r="BD1653" s="16"/>
      <c r="BE1653" s="16"/>
      <c r="BF1653" s="16">
        <v>0.0</v>
      </c>
      <c r="BG1653" s="16"/>
      <c r="BH1653" s="16"/>
      <c r="BI1653" s="16"/>
      <c r="BJ1653" s="16">
        <v>0.0</v>
      </c>
      <c r="BN1653" s="16">
        <v>0.0</v>
      </c>
      <c r="BO1653" s="16">
        <v>50.0</v>
      </c>
      <c r="BP1653" s="16" t="s">
        <v>10188</v>
      </c>
      <c r="BQ1653" s="16" t="b">
        <v>1</v>
      </c>
      <c r="BR1653" s="16">
        <v>50.0</v>
      </c>
      <c r="BS1653" s="21" t="s">
        <v>13532</v>
      </c>
      <c r="BT1653" s="16" t="b">
        <v>1</v>
      </c>
      <c r="BU1653" s="16" t="s">
        <v>546</v>
      </c>
      <c r="BV1653" s="16"/>
      <c r="BW1653" s="16"/>
      <c r="BX1653" s="16"/>
      <c r="BY1653" s="16"/>
    </row>
    <row r="1654">
      <c r="A1654" s="16" t="s">
        <v>8701</v>
      </c>
      <c r="B1654" s="16" t="s">
        <v>35</v>
      </c>
      <c r="C1654" s="201">
        <v>45968.0</v>
      </c>
      <c r="D1654" s="16" t="s">
        <v>9989</v>
      </c>
      <c r="E1654" s="16" t="s">
        <v>10191</v>
      </c>
      <c r="F1654" s="16" t="s">
        <v>6914</v>
      </c>
      <c r="G1654" s="16" t="s">
        <v>6720</v>
      </c>
      <c r="H1654" s="16">
        <v>1.0</v>
      </c>
      <c r="I1654" s="16">
        <v>83.0</v>
      </c>
      <c r="J1654" s="16">
        <v>83.0</v>
      </c>
      <c r="K1654" s="16"/>
      <c r="L1654" s="16"/>
      <c r="M1654" s="16"/>
      <c r="N1654" s="16">
        <v>0.0</v>
      </c>
      <c r="O1654" s="16"/>
      <c r="P1654" s="16"/>
      <c r="Q1654" s="16"/>
      <c r="R1654" s="16">
        <v>0.0</v>
      </c>
      <c r="S1654" s="16"/>
      <c r="T1654" s="16"/>
      <c r="U1654" s="16"/>
      <c r="V1654" s="16">
        <v>0.0</v>
      </c>
      <c r="W1654" s="16"/>
      <c r="X1654" s="16"/>
      <c r="Y1654" s="16"/>
      <c r="Z1654" s="16">
        <v>0.0</v>
      </c>
      <c r="AA1654" s="16"/>
      <c r="AB1654" s="16"/>
      <c r="AC1654" s="16"/>
      <c r="AD1654" s="16">
        <v>0.0</v>
      </c>
      <c r="AE1654" s="16"/>
      <c r="AF1654" s="16"/>
      <c r="AG1654" s="16"/>
      <c r="AH1654" s="16">
        <v>0.0</v>
      </c>
      <c r="AI1654" s="16"/>
      <c r="AJ1654" s="16"/>
      <c r="AK1654" s="16"/>
      <c r="AL1654" s="16">
        <v>0.0</v>
      </c>
      <c r="AM1654" s="16"/>
      <c r="AN1654" s="16"/>
      <c r="AO1654" s="16"/>
      <c r="AP1654" s="16">
        <v>0.0</v>
      </c>
      <c r="AQ1654" s="16"/>
      <c r="AR1654" s="16"/>
      <c r="AS1654" s="16"/>
      <c r="AT1654" s="16">
        <v>0.0</v>
      </c>
      <c r="AU1654" s="16"/>
      <c r="AV1654" s="16"/>
      <c r="AW1654" s="16"/>
      <c r="AX1654" s="16">
        <v>0.0</v>
      </c>
      <c r="AY1654" s="16"/>
      <c r="AZ1654" s="16"/>
      <c r="BA1654" s="16"/>
      <c r="BB1654" s="16"/>
      <c r="BC1654" s="16"/>
      <c r="BD1654" s="16"/>
      <c r="BE1654" s="16"/>
      <c r="BF1654" s="16">
        <v>0.0</v>
      </c>
      <c r="BG1654" s="16"/>
      <c r="BH1654" s="16"/>
      <c r="BI1654" s="16"/>
      <c r="BJ1654" s="16">
        <v>0.0</v>
      </c>
      <c r="BN1654" s="16">
        <v>0.0</v>
      </c>
      <c r="BO1654" s="16">
        <v>83.0</v>
      </c>
      <c r="BP1654" s="16" t="s">
        <v>10192</v>
      </c>
      <c r="BQ1654" s="16" t="b">
        <v>1</v>
      </c>
      <c r="BR1654" s="16">
        <v>83.0</v>
      </c>
      <c r="BS1654" s="21" t="s">
        <v>13535</v>
      </c>
      <c r="BT1654" s="16" t="b">
        <v>1</v>
      </c>
      <c r="BU1654" s="16" t="s">
        <v>546</v>
      </c>
      <c r="BV1654" s="16"/>
      <c r="BW1654" s="16"/>
      <c r="BX1654" s="16"/>
      <c r="BY1654" s="16"/>
    </row>
    <row r="1655">
      <c r="A1655" s="16" t="s">
        <v>8703</v>
      </c>
      <c r="B1655" s="16" t="s">
        <v>35</v>
      </c>
      <c r="C1655" s="201">
        <v>45969.0</v>
      </c>
      <c r="D1655" s="16" t="s">
        <v>9989</v>
      </c>
      <c r="E1655" s="16" t="s">
        <v>10195</v>
      </c>
      <c r="F1655" s="16" t="s">
        <v>6914</v>
      </c>
      <c r="G1655" s="16" t="s">
        <v>6720</v>
      </c>
      <c r="H1655" s="16">
        <v>1.0</v>
      </c>
      <c r="I1655" s="16">
        <v>140.0</v>
      </c>
      <c r="J1655" s="16">
        <v>140.0</v>
      </c>
      <c r="K1655" s="16"/>
      <c r="L1655" s="16"/>
      <c r="M1655" s="16"/>
      <c r="N1655" s="16">
        <v>0.0</v>
      </c>
      <c r="O1655" s="16"/>
      <c r="P1655" s="16"/>
      <c r="Q1655" s="16"/>
      <c r="R1655" s="16">
        <v>0.0</v>
      </c>
      <c r="S1655" s="16"/>
      <c r="T1655" s="16"/>
      <c r="U1655" s="16"/>
      <c r="V1655" s="16">
        <v>0.0</v>
      </c>
      <c r="W1655" s="16"/>
      <c r="X1655" s="16"/>
      <c r="Y1655" s="16"/>
      <c r="Z1655" s="16">
        <v>0.0</v>
      </c>
      <c r="AA1655" s="16"/>
      <c r="AB1655" s="16"/>
      <c r="AC1655" s="16"/>
      <c r="AD1655" s="16">
        <v>0.0</v>
      </c>
      <c r="AE1655" s="16"/>
      <c r="AF1655" s="16"/>
      <c r="AG1655" s="16"/>
      <c r="AH1655" s="16">
        <v>0.0</v>
      </c>
      <c r="AI1655" s="16"/>
      <c r="AJ1655" s="16"/>
      <c r="AK1655" s="16"/>
      <c r="AL1655" s="16">
        <v>0.0</v>
      </c>
      <c r="AM1655" s="16"/>
      <c r="AN1655" s="16"/>
      <c r="AO1655" s="16"/>
      <c r="AP1655" s="16">
        <v>0.0</v>
      </c>
      <c r="AQ1655" s="16"/>
      <c r="AR1655" s="16"/>
      <c r="AS1655" s="16"/>
      <c r="AT1655" s="16">
        <v>0.0</v>
      </c>
      <c r="AU1655" s="16"/>
      <c r="AV1655" s="16"/>
      <c r="AW1655" s="16"/>
      <c r="AX1655" s="16">
        <v>0.0</v>
      </c>
      <c r="AY1655" s="16"/>
      <c r="AZ1655" s="16"/>
      <c r="BA1655" s="16"/>
      <c r="BB1655" s="16"/>
      <c r="BC1655" s="16"/>
      <c r="BD1655" s="16"/>
      <c r="BE1655" s="16"/>
      <c r="BF1655" s="16">
        <v>0.0</v>
      </c>
      <c r="BG1655" s="16"/>
      <c r="BH1655" s="16"/>
      <c r="BI1655" s="16"/>
      <c r="BJ1655" s="16">
        <v>0.0</v>
      </c>
      <c r="BN1655" s="16">
        <v>0.0</v>
      </c>
      <c r="BO1655" s="16">
        <v>140.0</v>
      </c>
      <c r="BP1655" s="16" t="s">
        <v>10196</v>
      </c>
      <c r="BQ1655" s="16" t="b">
        <v>1</v>
      </c>
      <c r="BR1655" s="16">
        <v>140.0</v>
      </c>
      <c r="BS1655" s="21" t="s">
        <v>13537</v>
      </c>
      <c r="BT1655" s="16" t="b">
        <v>1</v>
      </c>
      <c r="BU1655" s="16" t="s">
        <v>546</v>
      </c>
      <c r="BV1655" s="16"/>
      <c r="BW1655" s="16"/>
      <c r="BX1655" s="16"/>
      <c r="BY1655" s="16"/>
    </row>
    <row r="1656">
      <c r="A1656" s="16" t="s">
        <v>8707</v>
      </c>
      <c r="B1656" s="16" t="s">
        <v>35</v>
      </c>
      <c r="C1656" s="201">
        <v>45969.0</v>
      </c>
      <c r="D1656" s="16" t="s">
        <v>10009</v>
      </c>
      <c r="E1656" s="16" t="s">
        <v>10200</v>
      </c>
      <c r="F1656" s="16" t="s">
        <v>6914</v>
      </c>
      <c r="G1656" s="16" t="s">
        <v>6720</v>
      </c>
      <c r="H1656" s="16">
        <v>1.0</v>
      </c>
      <c r="I1656" s="16">
        <v>10.0</v>
      </c>
      <c r="J1656" s="16">
        <v>10.0</v>
      </c>
      <c r="K1656" s="16"/>
      <c r="L1656" s="16"/>
      <c r="M1656" s="16"/>
      <c r="N1656" s="16">
        <v>0.0</v>
      </c>
      <c r="O1656" s="16"/>
      <c r="P1656" s="16"/>
      <c r="Q1656" s="16"/>
      <c r="R1656" s="16">
        <v>0.0</v>
      </c>
      <c r="S1656" s="16"/>
      <c r="T1656" s="16"/>
      <c r="U1656" s="16"/>
      <c r="V1656" s="16">
        <v>0.0</v>
      </c>
      <c r="W1656" s="16"/>
      <c r="X1656" s="16"/>
      <c r="Y1656" s="16"/>
      <c r="Z1656" s="16">
        <v>0.0</v>
      </c>
      <c r="AA1656" s="16"/>
      <c r="AB1656" s="16"/>
      <c r="AC1656" s="16"/>
      <c r="AD1656" s="16">
        <v>0.0</v>
      </c>
      <c r="AE1656" s="16"/>
      <c r="AF1656" s="16"/>
      <c r="AG1656" s="16"/>
      <c r="AH1656" s="16">
        <v>0.0</v>
      </c>
      <c r="AI1656" s="16"/>
      <c r="AJ1656" s="16"/>
      <c r="AK1656" s="16"/>
      <c r="AL1656" s="16">
        <v>0.0</v>
      </c>
      <c r="AM1656" s="16"/>
      <c r="AN1656" s="16"/>
      <c r="AO1656" s="16"/>
      <c r="AP1656" s="16">
        <v>0.0</v>
      </c>
      <c r="AQ1656" s="16"/>
      <c r="AR1656" s="16"/>
      <c r="AS1656" s="16"/>
      <c r="AT1656" s="16">
        <v>0.0</v>
      </c>
      <c r="AU1656" s="16"/>
      <c r="AV1656" s="16"/>
      <c r="AW1656" s="16"/>
      <c r="AX1656" s="16">
        <v>0.0</v>
      </c>
      <c r="AY1656" s="16"/>
      <c r="AZ1656" s="16"/>
      <c r="BA1656" s="16"/>
      <c r="BB1656" s="16"/>
      <c r="BC1656" s="16"/>
      <c r="BD1656" s="16"/>
      <c r="BE1656" s="16"/>
      <c r="BF1656" s="16">
        <v>0.0</v>
      </c>
      <c r="BG1656" s="16"/>
      <c r="BH1656" s="16"/>
      <c r="BI1656" s="16"/>
      <c r="BJ1656" s="16">
        <v>0.0</v>
      </c>
      <c r="BN1656" s="16">
        <v>0.0</v>
      </c>
      <c r="BO1656" s="16">
        <v>10.0</v>
      </c>
      <c r="BP1656" s="16" t="s">
        <v>10202</v>
      </c>
      <c r="BQ1656" s="16" t="b">
        <v>1</v>
      </c>
      <c r="BR1656" s="16">
        <v>10.0</v>
      </c>
      <c r="BS1656" s="21" t="s">
        <v>13540</v>
      </c>
      <c r="BT1656" s="16" t="b">
        <v>1</v>
      </c>
      <c r="BU1656" s="16" t="s">
        <v>546</v>
      </c>
      <c r="BV1656" s="16"/>
      <c r="BW1656" s="16"/>
      <c r="BX1656" s="16"/>
      <c r="BY1656" s="16"/>
    </row>
    <row r="1657">
      <c r="A1657" s="16" t="s">
        <v>8709</v>
      </c>
      <c r="B1657" s="16" t="s">
        <v>35</v>
      </c>
      <c r="C1657" s="201">
        <v>45971.0</v>
      </c>
      <c r="D1657" s="16" t="s">
        <v>8582</v>
      </c>
      <c r="E1657" s="16" t="s">
        <v>10206</v>
      </c>
      <c r="F1657" s="16" t="s">
        <v>605</v>
      </c>
      <c r="G1657" s="16" t="s">
        <v>8710</v>
      </c>
      <c r="H1657" s="16">
        <v>1.0</v>
      </c>
      <c r="I1657" s="16">
        <v>1810.88</v>
      </c>
      <c r="J1657" s="16">
        <v>1810.88</v>
      </c>
      <c r="K1657" s="16"/>
      <c r="L1657" s="16"/>
      <c r="M1657" s="16"/>
      <c r="N1657" s="16">
        <v>0.0</v>
      </c>
      <c r="O1657" s="16"/>
      <c r="P1657" s="16"/>
      <c r="Q1657" s="16"/>
      <c r="R1657" s="16">
        <v>0.0</v>
      </c>
      <c r="S1657" s="16"/>
      <c r="T1657" s="16"/>
      <c r="U1657" s="16"/>
      <c r="V1657" s="16">
        <v>0.0</v>
      </c>
      <c r="W1657" s="16"/>
      <c r="X1657" s="16"/>
      <c r="Y1657" s="16"/>
      <c r="Z1657" s="16">
        <v>0.0</v>
      </c>
      <c r="AA1657" s="16"/>
      <c r="AB1657" s="16"/>
      <c r="AC1657" s="16"/>
      <c r="AD1657" s="16">
        <v>0.0</v>
      </c>
      <c r="AE1657" s="16"/>
      <c r="AF1657" s="16"/>
      <c r="AG1657" s="16"/>
      <c r="AH1657" s="16">
        <v>0.0</v>
      </c>
      <c r="AI1657" s="16"/>
      <c r="AJ1657" s="16"/>
      <c r="AK1657" s="16"/>
      <c r="AL1657" s="16">
        <v>0.0</v>
      </c>
      <c r="AM1657" s="16"/>
      <c r="AN1657" s="16"/>
      <c r="AO1657" s="16"/>
      <c r="AP1657" s="16">
        <v>0.0</v>
      </c>
      <c r="AQ1657" s="16"/>
      <c r="AR1657" s="16"/>
      <c r="AS1657" s="16"/>
      <c r="AT1657" s="16">
        <v>0.0</v>
      </c>
      <c r="AU1657" s="16"/>
      <c r="AV1657" s="16"/>
      <c r="AW1657" s="16"/>
      <c r="AX1657" s="16">
        <v>0.0</v>
      </c>
      <c r="AY1657" s="16"/>
      <c r="AZ1657" s="16"/>
      <c r="BA1657" s="16"/>
      <c r="BB1657" s="16"/>
      <c r="BC1657" s="16"/>
      <c r="BD1657" s="16"/>
      <c r="BE1657" s="16"/>
      <c r="BF1657" s="16">
        <v>0.0</v>
      </c>
      <c r="BG1657" s="16"/>
      <c r="BH1657" s="16"/>
      <c r="BI1657" s="16"/>
      <c r="BJ1657" s="16">
        <v>0.0</v>
      </c>
      <c r="BN1657" s="16">
        <v>0.0</v>
      </c>
      <c r="BO1657" s="16">
        <v>1810.88</v>
      </c>
      <c r="BP1657" s="16" t="s">
        <v>10208</v>
      </c>
      <c r="BQ1657" s="16" t="b">
        <v>1</v>
      </c>
      <c r="BR1657" s="16">
        <v>1810.88</v>
      </c>
      <c r="BS1657" s="16"/>
      <c r="BT1657" s="16" t="b">
        <v>0</v>
      </c>
      <c r="BU1657" s="16" t="s">
        <v>546</v>
      </c>
      <c r="BV1657" s="16"/>
      <c r="BW1657" s="16"/>
      <c r="BX1657" s="16"/>
      <c r="BY1657" s="16"/>
    </row>
    <row r="1658">
      <c r="A1658" s="16" t="s">
        <v>8712</v>
      </c>
      <c r="B1658" s="16" t="s">
        <v>35</v>
      </c>
      <c r="C1658" s="201">
        <v>45973.0</v>
      </c>
      <c r="D1658" s="16" t="s">
        <v>112</v>
      </c>
      <c r="E1658" s="16" t="s">
        <v>10215</v>
      </c>
      <c r="F1658" s="16" t="s">
        <v>157</v>
      </c>
      <c r="G1658" s="16" t="s">
        <v>152</v>
      </c>
      <c r="H1658" s="16">
        <v>1.0</v>
      </c>
      <c r="I1658" s="16">
        <v>15.23</v>
      </c>
      <c r="J1658" s="16">
        <v>15.23</v>
      </c>
      <c r="K1658" s="16" t="s">
        <v>230</v>
      </c>
      <c r="L1658" s="16">
        <v>1.0</v>
      </c>
      <c r="M1658" s="16">
        <v>147.9</v>
      </c>
      <c r="N1658" s="16">
        <v>147.9</v>
      </c>
      <c r="O1658" s="16" t="s">
        <v>155</v>
      </c>
      <c r="P1658" s="16">
        <v>1.0</v>
      </c>
      <c r="Q1658" s="16">
        <v>36.72</v>
      </c>
      <c r="R1658" s="16">
        <v>36.72</v>
      </c>
      <c r="S1658" s="16" t="s">
        <v>159</v>
      </c>
      <c r="T1658" s="16">
        <v>1.0</v>
      </c>
      <c r="U1658" s="16">
        <v>180.0</v>
      </c>
      <c r="V1658" s="16">
        <v>180.0</v>
      </c>
      <c r="W1658" s="16"/>
      <c r="X1658" s="16"/>
      <c r="Y1658" s="16"/>
      <c r="Z1658" s="16">
        <v>0.0</v>
      </c>
      <c r="AA1658" s="16"/>
      <c r="AB1658" s="16"/>
      <c r="AC1658" s="16"/>
      <c r="AD1658" s="16">
        <v>0.0</v>
      </c>
      <c r="AE1658" s="16"/>
      <c r="AF1658" s="16"/>
      <c r="AG1658" s="16"/>
      <c r="AH1658" s="16">
        <v>0.0</v>
      </c>
      <c r="AI1658" s="16"/>
      <c r="AJ1658" s="16"/>
      <c r="AK1658" s="16"/>
      <c r="AL1658" s="16">
        <v>0.0</v>
      </c>
      <c r="AM1658" s="16"/>
      <c r="AN1658" s="16"/>
      <c r="AO1658" s="16"/>
      <c r="AP1658" s="16">
        <v>0.0</v>
      </c>
      <c r="AQ1658" s="16"/>
      <c r="AR1658" s="16"/>
      <c r="AS1658" s="16"/>
      <c r="AT1658" s="16">
        <v>0.0</v>
      </c>
      <c r="AU1658" s="16"/>
      <c r="AV1658" s="16"/>
      <c r="AW1658" s="16"/>
      <c r="AX1658" s="16">
        <v>0.0</v>
      </c>
      <c r="AY1658" s="16"/>
      <c r="AZ1658" s="16"/>
      <c r="BA1658" s="16"/>
      <c r="BB1658" s="16"/>
      <c r="BC1658" s="16"/>
      <c r="BD1658" s="16"/>
      <c r="BE1658" s="16"/>
      <c r="BF1658" s="16">
        <v>0.0</v>
      </c>
      <c r="BG1658" s="16"/>
      <c r="BH1658" s="16"/>
      <c r="BI1658" s="16"/>
      <c r="BJ1658" s="16">
        <v>0.0</v>
      </c>
      <c r="BN1658" s="16">
        <v>0.0</v>
      </c>
      <c r="BO1658" s="16">
        <v>379.85</v>
      </c>
      <c r="BP1658" s="16" t="s">
        <v>10217</v>
      </c>
      <c r="BQ1658" s="16" t="b">
        <v>1</v>
      </c>
      <c r="BR1658" s="16">
        <v>379.85</v>
      </c>
      <c r="BS1658" s="16"/>
      <c r="BT1658" s="16" t="b">
        <v>0</v>
      </c>
      <c r="BU1658" s="16" t="s">
        <v>546</v>
      </c>
      <c r="BV1658" s="16"/>
      <c r="BW1658" s="16"/>
      <c r="BX1658" s="16"/>
      <c r="BY1658" s="16"/>
    </row>
    <row r="1659">
      <c r="A1659" s="16" t="s">
        <v>8722</v>
      </c>
      <c r="B1659" s="16" t="s">
        <v>35</v>
      </c>
      <c r="C1659" s="201">
        <v>45972.0</v>
      </c>
      <c r="D1659" s="16" t="s">
        <v>193</v>
      </c>
      <c r="E1659" s="16" t="s">
        <v>10222</v>
      </c>
      <c r="F1659" s="16" t="s">
        <v>6352</v>
      </c>
      <c r="G1659" s="16" t="s">
        <v>338</v>
      </c>
      <c r="H1659" s="16">
        <v>1.0</v>
      </c>
      <c r="I1659" s="16">
        <v>87.88</v>
      </c>
      <c r="J1659" s="16">
        <v>87.88</v>
      </c>
      <c r="K1659" s="16"/>
      <c r="L1659" s="16"/>
      <c r="M1659" s="16"/>
      <c r="N1659" s="16">
        <v>0.0</v>
      </c>
      <c r="O1659" s="16"/>
      <c r="P1659" s="16"/>
      <c r="Q1659" s="16"/>
      <c r="R1659" s="16">
        <v>0.0</v>
      </c>
      <c r="S1659" s="16"/>
      <c r="T1659" s="16"/>
      <c r="U1659" s="16"/>
      <c r="V1659" s="16">
        <v>0.0</v>
      </c>
      <c r="W1659" s="16"/>
      <c r="X1659" s="16"/>
      <c r="Y1659" s="16"/>
      <c r="Z1659" s="16">
        <v>0.0</v>
      </c>
      <c r="AA1659" s="16"/>
      <c r="AB1659" s="16"/>
      <c r="AC1659" s="16"/>
      <c r="AD1659" s="16">
        <v>0.0</v>
      </c>
      <c r="AE1659" s="16"/>
      <c r="AF1659" s="16"/>
      <c r="AG1659" s="16"/>
      <c r="AH1659" s="16">
        <v>0.0</v>
      </c>
      <c r="AI1659" s="16"/>
      <c r="AJ1659" s="16"/>
      <c r="AK1659" s="16"/>
      <c r="AL1659" s="16">
        <v>0.0</v>
      </c>
      <c r="AM1659" s="16"/>
      <c r="AN1659" s="16"/>
      <c r="AO1659" s="16"/>
      <c r="AP1659" s="16">
        <v>0.0</v>
      </c>
      <c r="AQ1659" s="16"/>
      <c r="AR1659" s="16"/>
      <c r="AS1659" s="16"/>
      <c r="AT1659" s="16">
        <v>0.0</v>
      </c>
      <c r="AU1659" s="16"/>
      <c r="AV1659" s="16"/>
      <c r="AW1659" s="16"/>
      <c r="AX1659" s="16">
        <v>0.0</v>
      </c>
      <c r="AY1659" s="16"/>
      <c r="AZ1659" s="16"/>
      <c r="BA1659" s="16"/>
      <c r="BB1659" s="16"/>
      <c r="BC1659" s="16"/>
      <c r="BD1659" s="16"/>
      <c r="BE1659" s="16"/>
      <c r="BF1659" s="16">
        <v>0.0</v>
      </c>
      <c r="BG1659" s="16"/>
      <c r="BH1659" s="16"/>
      <c r="BI1659" s="16"/>
      <c r="BJ1659" s="16">
        <v>0.0</v>
      </c>
      <c r="BN1659" s="16">
        <v>0.0</v>
      </c>
      <c r="BO1659" s="16">
        <v>87.88</v>
      </c>
      <c r="BP1659" s="16" t="s">
        <v>10224</v>
      </c>
      <c r="BQ1659" s="16" t="b">
        <v>1</v>
      </c>
      <c r="BR1659" s="16">
        <v>87.88</v>
      </c>
      <c r="BS1659" s="16"/>
      <c r="BT1659" s="16" t="b">
        <v>0</v>
      </c>
      <c r="BU1659" s="16" t="s">
        <v>546</v>
      </c>
      <c r="BV1659" s="16"/>
      <c r="BW1659" s="16"/>
      <c r="BX1659" s="16"/>
      <c r="BY1659" s="16"/>
    </row>
    <row r="1660">
      <c r="A1660" s="16" t="s">
        <v>8724</v>
      </c>
      <c r="B1660" s="16" t="s">
        <v>35</v>
      </c>
      <c r="C1660" s="201">
        <v>45972.0</v>
      </c>
      <c r="D1660" s="16" t="s">
        <v>193</v>
      </c>
      <c r="E1660" s="16" t="s">
        <v>10228</v>
      </c>
      <c r="F1660" s="16" t="s">
        <v>10230</v>
      </c>
      <c r="G1660" s="16" t="s">
        <v>338</v>
      </c>
      <c r="H1660" s="16">
        <v>1.0</v>
      </c>
      <c r="I1660" s="16">
        <v>107.02</v>
      </c>
      <c r="J1660" s="16">
        <v>107.02</v>
      </c>
      <c r="K1660" s="16" t="s">
        <v>335</v>
      </c>
      <c r="L1660" s="16">
        <v>2.0</v>
      </c>
      <c r="M1660" s="16">
        <v>94.08</v>
      </c>
      <c r="N1660" s="16">
        <v>188.16</v>
      </c>
      <c r="O1660" s="16" t="s">
        <v>1777</v>
      </c>
      <c r="P1660" s="16">
        <v>2.0</v>
      </c>
      <c r="Q1660" s="16">
        <v>33.96</v>
      </c>
      <c r="R1660" s="16">
        <v>67.92</v>
      </c>
      <c r="S1660" s="16" t="s">
        <v>7086</v>
      </c>
      <c r="T1660" s="16">
        <v>4.0</v>
      </c>
      <c r="U1660" s="16">
        <v>33.96</v>
      </c>
      <c r="V1660" s="16">
        <v>135.84</v>
      </c>
      <c r="W1660" s="16"/>
      <c r="X1660" s="16"/>
      <c r="Y1660" s="16"/>
      <c r="Z1660" s="16">
        <v>0.0</v>
      </c>
      <c r="AA1660" s="16"/>
      <c r="AB1660" s="16"/>
      <c r="AC1660" s="16"/>
      <c r="AD1660" s="16">
        <v>0.0</v>
      </c>
      <c r="AE1660" s="16"/>
      <c r="AF1660" s="16"/>
      <c r="AG1660" s="16"/>
      <c r="AH1660" s="16">
        <v>0.0</v>
      </c>
      <c r="AI1660" s="16"/>
      <c r="AJ1660" s="16"/>
      <c r="AK1660" s="16"/>
      <c r="AL1660" s="16">
        <v>0.0</v>
      </c>
      <c r="AM1660" s="16"/>
      <c r="AN1660" s="16"/>
      <c r="AO1660" s="16"/>
      <c r="AP1660" s="16">
        <v>0.0</v>
      </c>
      <c r="AQ1660" s="16"/>
      <c r="AR1660" s="16"/>
      <c r="AS1660" s="16"/>
      <c r="AT1660" s="16">
        <v>0.0</v>
      </c>
      <c r="AU1660" s="16"/>
      <c r="AV1660" s="16"/>
      <c r="AW1660" s="16"/>
      <c r="AX1660" s="16">
        <v>0.0</v>
      </c>
      <c r="AY1660" s="16"/>
      <c r="AZ1660" s="16"/>
      <c r="BA1660" s="16"/>
      <c r="BB1660" s="16"/>
      <c r="BC1660" s="16"/>
      <c r="BD1660" s="16"/>
      <c r="BE1660" s="16"/>
      <c r="BF1660" s="16">
        <v>0.0</v>
      </c>
      <c r="BG1660" s="16"/>
      <c r="BH1660" s="16"/>
      <c r="BI1660" s="16"/>
      <c r="BJ1660" s="16">
        <v>0.0</v>
      </c>
      <c r="BN1660" s="16">
        <v>0.0</v>
      </c>
      <c r="BO1660" s="16">
        <v>498.94</v>
      </c>
      <c r="BP1660" s="16" t="s">
        <v>10229</v>
      </c>
      <c r="BQ1660" s="16" t="b">
        <v>1</v>
      </c>
      <c r="BR1660" s="16">
        <v>498.94</v>
      </c>
      <c r="BS1660" s="16"/>
      <c r="BT1660" s="16" t="b">
        <v>0</v>
      </c>
      <c r="BU1660" s="16" t="s">
        <v>546</v>
      </c>
      <c r="BV1660" s="16"/>
      <c r="BW1660" s="16"/>
      <c r="BX1660" s="16"/>
      <c r="BY1660" s="16"/>
    </row>
    <row r="1661">
      <c r="A1661" s="16" t="s">
        <v>8736</v>
      </c>
      <c r="B1661" s="16" t="s">
        <v>35</v>
      </c>
      <c r="C1661" s="201"/>
      <c r="D1661" s="16" t="s">
        <v>9260</v>
      </c>
      <c r="E1661" s="16"/>
      <c r="F1661" s="16" t="s">
        <v>10235</v>
      </c>
      <c r="G1661" s="16" t="s">
        <v>8458</v>
      </c>
      <c r="H1661" s="16">
        <v>1.0</v>
      </c>
      <c r="I1661" s="16">
        <v>6141.92</v>
      </c>
      <c r="J1661" s="16">
        <v>6141.92</v>
      </c>
      <c r="K1661" s="16"/>
      <c r="L1661" s="16"/>
      <c r="M1661" s="16"/>
      <c r="N1661" s="16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16"/>
      <c r="AP1661" s="16"/>
      <c r="AQ1661" s="16"/>
      <c r="AR1661" s="16"/>
      <c r="AS1661" s="16"/>
      <c r="AT1661" s="16"/>
      <c r="AU1661" s="16"/>
      <c r="AV1661" s="16"/>
      <c r="AW1661" s="16"/>
      <c r="AX1661" s="16"/>
      <c r="AY1661" s="16"/>
      <c r="AZ1661" s="16"/>
      <c r="BA1661" s="16"/>
      <c r="BB1661" s="16"/>
      <c r="BC1661" s="16"/>
      <c r="BD1661" s="16"/>
      <c r="BE1661" s="16"/>
      <c r="BF1661" s="16"/>
      <c r="BG1661" s="16"/>
      <c r="BH1661" s="16"/>
      <c r="BI1661" s="16"/>
      <c r="BJ1661" s="16"/>
      <c r="BN1661" s="16"/>
      <c r="BO1661" s="16">
        <v>6141.92</v>
      </c>
      <c r="BP1661" s="16"/>
      <c r="BQ1661" s="16" t="b">
        <v>1</v>
      </c>
      <c r="BR1661" s="16">
        <v>6141.92</v>
      </c>
      <c r="BS1661" s="16"/>
      <c r="BT1661" s="16"/>
      <c r="BU1661" s="16" t="s">
        <v>8596</v>
      </c>
      <c r="BV1661" s="16"/>
      <c r="BW1661" s="16"/>
      <c r="BX1661" s="16"/>
      <c r="BY1661" s="16"/>
    </row>
    <row r="1662">
      <c r="A1662" s="16" t="s">
        <v>8740</v>
      </c>
      <c r="B1662" s="16" t="s">
        <v>35</v>
      </c>
      <c r="C1662" s="201">
        <v>45972.0</v>
      </c>
      <c r="D1662" s="16" t="s">
        <v>8582</v>
      </c>
      <c r="E1662" s="16" t="s">
        <v>10241</v>
      </c>
      <c r="F1662" s="16" t="s">
        <v>4300</v>
      </c>
      <c r="G1662" s="16" t="s">
        <v>8741</v>
      </c>
      <c r="H1662" s="16">
        <v>1.0</v>
      </c>
      <c r="I1662" s="16">
        <v>116.34</v>
      </c>
      <c r="J1662" s="16">
        <v>116.34</v>
      </c>
      <c r="K1662" s="16"/>
      <c r="L1662" s="16"/>
      <c r="M1662" s="16"/>
      <c r="N1662" s="16">
        <v>0.0</v>
      </c>
      <c r="O1662" s="16"/>
      <c r="P1662" s="16"/>
      <c r="Q1662" s="16"/>
      <c r="R1662" s="16">
        <v>0.0</v>
      </c>
      <c r="S1662" s="16"/>
      <c r="T1662" s="16"/>
      <c r="U1662" s="16"/>
      <c r="V1662" s="16">
        <v>0.0</v>
      </c>
      <c r="W1662" s="16"/>
      <c r="X1662" s="16"/>
      <c r="Y1662" s="16"/>
      <c r="Z1662" s="16">
        <v>0.0</v>
      </c>
      <c r="AA1662" s="16"/>
      <c r="AB1662" s="16"/>
      <c r="AC1662" s="16"/>
      <c r="AD1662" s="16">
        <v>0.0</v>
      </c>
      <c r="AE1662" s="16"/>
      <c r="AF1662" s="16"/>
      <c r="AG1662" s="16"/>
      <c r="AH1662" s="16">
        <v>0.0</v>
      </c>
      <c r="AI1662" s="16"/>
      <c r="AJ1662" s="16"/>
      <c r="AK1662" s="16"/>
      <c r="AL1662" s="16">
        <v>0.0</v>
      </c>
      <c r="AM1662" s="16"/>
      <c r="AN1662" s="16"/>
      <c r="AO1662" s="16"/>
      <c r="AP1662" s="16">
        <v>0.0</v>
      </c>
      <c r="AQ1662" s="16"/>
      <c r="AR1662" s="16"/>
      <c r="AS1662" s="16"/>
      <c r="AT1662" s="16">
        <v>0.0</v>
      </c>
      <c r="AU1662" s="16"/>
      <c r="AV1662" s="16"/>
      <c r="AW1662" s="16"/>
      <c r="AX1662" s="16">
        <v>0.0</v>
      </c>
      <c r="AY1662" s="16"/>
      <c r="AZ1662" s="16"/>
      <c r="BA1662" s="16"/>
      <c r="BB1662" s="16"/>
      <c r="BC1662" s="16"/>
      <c r="BD1662" s="16"/>
      <c r="BE1662" s="16"/>
      <c r="BF1662" s="16">
        <v>0.0</v>
      </c>
      <c r="BG1662" s="16"/>
      <c r="BH1662" s="16"/>
      <c r="BI1662" s="16"/>
      <c r="BJ1662" s="16">
        <v>0.0</v>
      </c>
      <c r="BN1662" s="16">
        <v>0.0</v>
      </c>
      <c r="BO1662" s="16">
        <v>116.34</v>
      </c>
      <c r="BP1662" s="16" t="s">
        <v>10242</v>
      </c>
      <c r="BQ1662" s="16" t="b">
        <v>1</v>
      </c>
      <c r="BR1662" s="16">
        <v>116.34</v>
      </c>
      <c r="BS1662" s="16"/>
      <c r="BT1662" s="16" t="b">
        <v>0</v>
      </c>
      <c r="BU1662" s="16" t="s">
        <v>546</v>
      </c>
      <c r="BV1662" s="16"/>
      <c r="BW1662" s="16"/>
      <c r="BX1662" s="16"/>
      <c r="BY1662" s="16"/>
    </row>
    <row r="1663">
      <c r="A1663" s="16" t="s">
        <v>8743</v>
      </c>
      <c r="B1663" s="16" t="s">
        <v>35</v>
      </c>
      <c r="C1663" s="201">
        <v>45974.0</v>
      </c>
      <c r="D1663" s="16" t="s">
        <v>286</v>
      </c>
      <c r="E1663" s="16" t="s">
        <v>10247</v>
      </c>
      <c r="F1663" s="16" t="s">
        <v>10250</v>
      </c>
      <c r="G1663" s="16" t="s">
        <v>1904</v>
      </c>
      <c r="H1663" s="16">
        <v>1.0</v>
      </c>
      <c r="I1663" s="16">
        <v>5.0</v>
      </c>
      <c r="J1663" s="16">
        <v>5.0</v>
      </c>
      <c r="K1663" s="16"/>
      <c r="L1663" s="16"/>
      <c r="M1663" s="16"/>
      <c r="N1663" s="16">
        <v>0.0</v>
      </c>
      <c r="O1663" s="16"/>
      <c r="P1663" s="16"/>
      <c r="Q1663" s="16"/>
      <c r="R1663" s="16">
        <v>0.0</v>
      </c>
      <c r="S1663" s="16"/>
      <c r="T1663" s="16"/>
      <c r="U1663" s="16"/>
      <c r="V1663" s="16">
        <v>0.0</v>
      </c>
      <c r="W1663" s="16"/>
      <c r="X1663" s="16"/>
      <c r="Y1663" s="16"/>
      <c r="Z1663" s="16">
        <v>0.0</v>
      </c>
      <c r="AA1663" s="16"/>
      <c r="AB1663" s="16"/>
      <c r="AC1663" s="16"/>
      <c r="AD1663" s="16">
        <v>0.0</v>
      </c>
      <c r="AE1663" s="16"/>
      <c r="AF1663" s="16"/>
      <c r="AG1663" s="16"/>
      <c r="AH1663" s="16">
        <v>0.0</v>
      </c>
      <c r="AI1663" s="16"/>
      <c r="AJ1663" s="16"/>
      <c r="AK1663" s="16"/>
      <c r="AL1663" s="16">
        <v>0.0</v>
      </c>
      <c r="AM1663" s="16"/>
      <c r="AN1663" s="16"/>
      <c r="AO1663" s="16"/>
      <c r="AP1663" s="16">
        <v>0.0</v>
      </c>
      <c r="AQ1663" s="16"/>
      <c r="AR1663" s="16"/>
      <c r="AS1663" s="16"/>
      <c r="AT1663" s="16">
        <v>0.0</v>
      </c>
      <c r="AU1663" s="16"/>
      <c r="AV1663" s="16"/>
      <c r="AW1663" s="16"/>
      <c r="AX1663" s="16">
        <v>0.0</v>
      </c>
      <c r="AY1663" s="16"/>
      <c r="AZ1663" s="16"/>
      <c r="BA1663" s="16"/>
      <c r="BB1663" s="16"/>
      <c r="BC1663" s="16"/>
      <c r="BD1663" s="16"/>
      <c r="BE1663" s="16"/>
      <c r="BF1663" s="16">
        <v>0.0</v>
      </c>
      <c r="BG1663" s="16"/>
      <c r="BH1663" s="16"/>
      <c r="BI1663" s="16"/>
      <c r="BJ1663" s="16">
        <v>0.0</v>
      </c>
      <c r="BN1663" s="16">
        <v>0.0</v>
      </c>
      <c r="BO1663" s="16">
        <v>5.0</v>
      </c>
      <c r="BP1663" s="16" t="s">
        <v>10249</v>
      </c>
      <c r="BQ1663" s="16" t="b">
        <v>1</v>
      </c>
      <c r="BR1663" s="16">
        <v>5.0</v>
      </c>
      <c r="BS1663" s="21" t="s">
        <v>13550</v>
      </c>
      <c r="BT1663" s="16" t="b">
        <v>1</v>
      </c>
      <c r="BU1663" s="16" t="s">
        <v>546</v>
      </c>
      <c r="BV1663" s="16"/>
      <c r="BW1663" s="16"/>
      <c r="BX1663" s="16"/>
      <c r="BY1663" s="16"/>
    </row>
    <row r="1664">
      <c r="A1664" s="16" t="s">
        <v>8745</v>
      </c>
      <c r="B1664" s="16" t="s">
        <v>35</v>
      </c>
      <c r="C1664" s="201">
        <v>45974.0</v>
      </c>
      <c r="D1664" s="16" t="s">
        <v>780</v>
      </c>
      <c r="E1664" s="16" t="s">
        <v>10255</v>
      </c>
      <c r="F1664" s="16" t="s">
        <v>195</v>
      </c>
      <c r="G1664" s="16" t="s">
        <v>1081</v>
      </c>
      <c r="H1664" s="16">
        <v>5.0</v>
      </c>
      <c r="I1664" s="16">
        <v>48.0</v>
      </c>
      <c r="J1664" s="16">
        <v>240.0</v>
      </c>
      <c r="K1664" s="16" t="s">
        <v>5605</v>
      </c>
      <c r="L1664" s="16">
        <v>1.0</v>
      </c>
      <c r="M1664" s="16">
        <v>19.57</v>
      </c>
      <c r="N1664" s="16">
        <v>19.57</v>
      </c>
      <c r="O1664" s="16" t="s">
        <v>1074</v>
      </c>
      <c r="P1664" s="16">
        <v>3.0</v>
      </c>
      <c r="Q1664" s="16">
        <v>20.0</v>
      </c>
      <c r="R1664" s="16">
        <v>60.0</v>
      </c>
      <c r="S1664" s="16" t="s">
        <v>1384</v>
      </c>
      <c r="T1664" s="16">
        <v>1.0</v>
      </c>
      <c r="U1664" s="16">
        <v>87.2</v>
      </c>
      <c r="V1664" s="16">
        <v>87.2</v>
      </c>
      <c r="W1664" s="21" t="s">
        <v>10459</v>
      </c>
      <c r="X1664" s="16">
        <v>1.0</v>
      </c>
      <c r="Y1664" s="16">
        <v>18.0</v>
      </c>
      <c r="Z1664" s="16">
        <v>18.0</v>
      </c>
      <c r="AA1664" s="16" t="s">
        <v>1073</v>
      </c>
      <c r="AB1664" s="16">
        <v>1.0</v>
      </c>
      <c r="AC1664" s="16">
        <v>21.0</v>
      </c>
      <c r="AD1664" s="16">
        <v>21.0</v>
      </c>
      <c r="AE1664" s="16"/>
      <c r="AF1664" s="16"/>
      <c r="AG1664" s="16"/>
      <c r="AH1664" s="16">
        <v>0.0</v>
      </c>
      <c r="AI1664" s="16"/>
      <c r="AJ1664" s="16"/>
      <c r="AK1664" s="16"/>
      <c r="AL1664" s="16">
        <v>0.0</v>
      </c>
      <c r="AM1664" s="16"/>
      <c r="AN1664" s="16"/>
      <c r="AO1664" s="16"/>
      <c r="AP1664" s="16">
        <v>0.0</v>
      </c>
      <c r="AQ1664" s="16"/>
      <c r="AR1664" s="16"/>
      <c r="AS1664" s="16"/>
      <c r="AT1664" s="16">
        <v>0.0</v>
      </c>
      <c r="AU1664" s="16"/>
      <c r="AV1664" s="16"/>
      <c r="AW1664" s="16"/>
      <c r="AX1664" s="16">
        <v>0.0</v>
      </c>
      <c r="AY1664" s="16"/>
      <c r="AZ1664" s="16"/>
      <c r="BA1664" s="16"/>
      <c r="BB1664" s="16"/>
      <c r="BC1664" s="16"/>
      <c r="BD1664" s="16"/>
      <c r="BE1664" s="16"/>
      <c r="BF1664" s="16">
        <v>0.0</v>
      </c>
      <c r="BG1664" s="16"/>
      <c r="BH1664" s="16"/>
      <c r="BI1664" s="16"/>
      <c r="BJ1664" s="16">
        <v>0.0</v>
      </c>
      <c r="BN1664" s="16">
        <v>0.0</v>
      </c>
      <c r="BO1664" s="16">
        <v>445.77</v>
      </c>
      <c r="BP1664" s="16" t="s">
        <v>10256</v>
      </c>
      <c r="BQ1664" s="16" t="b">
        <v>1</v>
      </c>
      <c r="BR1664" s="16">
        <v>445.77</v>
      </c>
      <c r="BS1664" s="16"/>
      <c r="BT1664" s="16" t="b">
        <v>0</v>
      </c>
      <c r="BU1664" s="16" t="s">
        <v>546</v>
      </c>
      <c r="BV1664" s="16"/>
      <c r="BW1664" s="16" t="s">
        <v>10259</v>
      </c>
      <c r="BX1664" s="16"/>
      <c r="BY1664" s="16"/>
    </row>
    <row r="1665">
      <c r="A1665" s="16" t="s">
        <v>8757</v>
      </c>
      <c r="B1665" s="16" t="s">
        <v>35</v>
      </c>
      <c r="C1665" s="201">
        <v>45974.0</v>
      </c>
      <c r="D1665" s="16" t="s">
        <v>112</v>
      </c>
      <c r="E1665" s="16" t="s">
        <v>10263</v>
      </c>
      <c r="F1665" s="16" t="s">
        <v>157</v>
      </c>
      <c r="G1665" s="16" t="s">
        <v>226</v>
      </c>
      <c r="H1665" s="16">
        <v>1.0</v>
      </c>
      <c r="I1665" s="16">
        <v>63.0</v>
      </c>
      <c r="J1665" s="16">
        <v>63.0</v>
      </c>
      <c r="K1665" s="16" t="s">
        <v>152</v>
      </c>
      <c r="L1665" s="16">
        <v>1.0</v>
      </c>
      <c r="M1665" s="16">
        <v>16.66</v>
      </c>
      <c r="N1665" s="16">
        <v>16.66</v>
      </c>
      <c r="O1665" s="16" t="s">
        <v>230</v>
      </c>
      <c r="P1665" s="16">
        <v>1.0</v>
      </c>
      <c r="Q1665" s="16">
        <v>174.0</v>
      </c>
      <c r="R1665" s="16">
        <v>174.0</v>
      </c>
      <c r="S1665" s="16"/>
      <c r="T1665" s="16"/>
      <c r="U1665" s="16"/>
      <c r="V1665" s="16">
        <v>0.0</v>
      </c>
      <c r="W1665" s="16"/>
      <c r="X1665" s="16"/>
      <c r="Y1665" s="16"/>
      <c r="Z1665" s="16">
        <v>0.0</v>
      </c>
      <c r="AA1665" s="16"/>
      <c r="AB1665" s="16"/>
      <c r="AC1665" s="16"/>
      <c r="AD1665" s="16">
        <v>0.0</v>
      </c>
      <c r="AE1665" s="16"/>
      <c r="AF1665" s="16"/>
      <c r="AG1665" s="16"/>
      <c r="AH1665" s="16">
        <v>0.0</v>
      </c>
      <c r="AI1665" s="16"/>
      <c r="AJ1665" s="16"/>
      <c r="AK1665" s="16"/>
      <c r="AL1665" s="16">
        <v>0.0</v>
      </c>
      <c r="AM1665" s="16"/>
      <c r="AN1665" s="16"/>
      <c r="AO1665" s="16"/>
      <c r="AP1665" s="16">
        <v>0.0</v>
      </c>
      <c r="AQ1665" s="16"/>
      <c r="AR1665" s="16"/>
      <c r="AS1665" s="16"/>
      <c r="AT1665" s="16">
        <v>0.0</v>
      </c>
      <c r="AU1665" s="16"/>
      <c r="AV1665" s="16"/>
      <c r="AW1665" s="16"/>
      <c r="AX1665" s="16">
        <v>0.0</v>
      </c>
      <c r="AY1665" s="16"/>
      <c r="AZ1665" s="16"/>
      <c r="BA1665" s="16"/>
      <c r="BB1665" s="16"/>
      <c r="BC1665" s="16"/>
      <c r="BD1665" s="16"/>
      <c r="BE1665" s="16"/>
      <c r="BF1665" s="16">
        <v>0.0</v>
      </c>
      <c r="BG1665" s="16"/>
      <c r="BH1665" s="16"/>
      <c r="BI1665" s="16"/>
      <c r="BJ1665" s="16">
        <v>0.0</v>
      </c>
      <c r="BN1665" s="16">
        <v>0.0</v>
      </c>
      <c r="BO1665" s="16">
        <v>253.66</v>
      </c>
      <c r="BP1665" s="16" t="s">
        <v>10265</v>
      </c>
      <c r="BQ1665" s="16" t="b">
        <v>1</v>
      </c>
      <c r="BR1665" s="16">
        <v>253.66</v>
      </c>
      <c r="BS1665" s="16"/>
      <c r="BT1665" s="16" t="b">
        <v>0</v>
      </c>
      <c r="BU1665" s="16" t="s">
        <v>546</v>
      </c>
      <c r="BV1665" s="16"/>
      <c r="BW1665" s="16"/>
      <c r="BX1665" s="16"/>
      <c r="BY1665" s="16"/>
    </row>
    <row r="1666">
      <c r="A1666" s="16" t="s">
        <v>8761</v>
      </c>
      <c r="B1666" s="16" t="s">
        <v>35</v>
      </c>
      <c r="C1666" s="201"/>
      <c r="D1666" s="16" t="s">
        <v>8353</v>
      </c>
      <c r="E1666" s="16"/>
      <c r="F1666" s="16" t="s">
        <v>4497</v>
      </c>
      <c r="G1666" s="16">
        <v>7.9792017E7</v>
      </c>
      <c r="H1666" s="16">
        <v>1.0</v>
      </c>
      <c r="I1666" s="16">
        <v>817.67</v>
      </c>
      <c r="J1666" s="16">
        <v>817.67</v>
      </c>
      <c r="K1666" s="16"/>
      <c r="L1666" s="16"/>
      <c r="M1666" s="16"/>
      <c r="N1666" s="16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16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16"/>
      <c r="AP1666" s="16"/>
      <c r="AQ1666" s="16"/>
      <c r="AR1666" s="16"/>
      <c r="AS1666" s="16"/>
      <c r="AT1666" s="16"/>
      <c r="AU1666" s="16"/>
      <c r="AV1666" s="16"/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N1666" s="16"/>
      <c r="BO1666" s="16">
        <v>817.67</v>
      </c>
      <c r="BP1666" s="16"/>
      <c r="BQ1666" s="16" t="b">
        <v>1</v>
      </c>
      <c r="BR1666" s="16">
        <v>817.67</v>
      </c>
      <c r="BS1666" s="16"/>
      <c r="BT1666" s="16"/>
      <c r="BU1666" s="16" t="s">
        <v>8596</v>
      </c>
      <c r="BV1666" s="16"/>
      <c r="BW1666" s="16"/>
      <c r="BX1666" s="16"/>
      <c r="BY1666" s="16"/>
    </row>
    <row r="1667">
      <c r="A1667" s="16" t="s">
        <v>8763</v>
      </c>
      <c r="B1667" s="16" t="s">
        <v>35</v>
      </c>
      <c r="C1667" s="201">
        <v>45972.0</v>
      </c>
      <c r="D1667" s="16" t="s">
        <v>890</v>
      </c>
      <c r="E1667" s="16" t="s">
        <v>10273</v>
      </c>
      <c r="F1667" s="16" t="s">
        <v>4787</v>
      </c>
      <c r="G1667" s="16" t="s">
        <v>1510</v>
      </c>
      <c r="H1667" s="16">
        <v>1.0</v>
      </c>
      <c r="I1667" s="16">
        <v>28767.8</v>
      </c>
      <c r="J1667" s="16">
        <v>28767.8</v>
      </c>
      <c r="K1667" s="16"/>
      <c r="L1667" s="16"/>
      <c r="M1667" s="16"/>
      <c r="N1667" s="16">
        <v>0.0</v>
      </c>
      <c r="O1667" s="16"/>
      <c r="P1667" s="16"/>
      <c r="Q1667" s="16"/>
      <c r="R1667" s="16">
        <v>0.0</v>
      </c>
      <c r="S1667" s="16"/>
      <c r="T1667" s="16"/>
      <c r="U1667" s="16"/>
      <c r="V1667" s="16">
        <v>0.0</v>
      </c>
      <c r="W1667" s="16"/>
      <c r="X1667" s="16"/>
      <c r="Y1667" s="16"/>
      <c r="Z1667" s="16">
        <v>0.0</v>
      </c>
      <c r="AA1667" s="16"/>
      <c r="AB1667" s="16"/>
      <c r="AC1667" s="16"/>
      <c r="AD1667" s="16">
        <v>0.0</v>
      </c>
      <c r="AE1667" s="16"/>
      <c r="AF1667" s="16"/>
      <c r="AG1667" s="16"/>
      <c r="AH1667" s="16">
        <v>0.0</v>
      </c>
      <c r="AI1667" s="16"/>
      <c r="AJ1667" s="16"/>
      <c r="AK1667" s="16"/>
      <c r="AL1667" s="16">
        <v>0.0</v>
      </c>
      <c r="AM1667" s="16"/>
      <c r="AN1667" s="16"/>
      <c r="AO1667" s="16"/>
      <c r="AP1667" s="16">
        <v>0.0</v>
      </c>
      <c r="AQ1667" s="16"/>
      <c r="AR1667" s="16"/>
      <c r="AS1667" s="16"/>
      <c r="AT1667" s="16">
        <v>0.0</v>
      </c>
      <c r="AU1667" s="16"/>
      <c r="AV1667" s="16"/>
      <c r="AW1667" s="16"/>
      <c r="AX1667" s="16">
        <v>0.0</v>
      </c>
      <c r="AY1667" s="16"/>
      <c r="AZ1667" s="16"/>
      <c r="BA1667" s="16"/>
      <c r="BB1667" s="16"/>
      <c r="BC1667" s="16"/>
      <c r="BD1667" s="16"/>
      <c r="BE1667" s="16"/>
      <c r="BF1667" s="16">
        <v>0.0</v>
      </c>
      <c r="BG1667" s="16"/>
      <c r="BH1667" s="16"/>
      <c r="BI1667" s="16"/>
      <c r="BJ1667" s="16">
        <v>0.0</v>
      </c>
      <c r="BN1667" s="16">
        <v>0.0</v>
      </c>
      <c r="BO1667" s="16">
        <v>28767.8</v>
      </c>
      <c r="BP1667" s="16" t="s">
        <v>10275</v>
      </c>
      <c r="BQ1667" s="16" t="b">
        <v>1</v>
      </c>
      <c r="BR1667" s="16">
        <v>28767.8</v>
      </c>
      <c r="BS1667" s="16"/>
      <c r="BT1667" s="16" t="b">
        <v>0</v>
      </c>
      <c r="BU1667" s="16" t="s">
        <v>546</v>
      </c>
      <c r="BV1667" s="16"/>
      <c r="BW1667" s="16" t="s">
        <v>10277</v>
      </c>
      <c r="BX1667" s="16" t="s">
        <v>10278</v>
      </c>
      <c r="BY1667" s="16"/>
    </row>
    <row r="1668">
      <c r="A1668" s="16" t="s">
        <v>8766</v>
      </c>
      <c r="B1668" s="16" t="s">
        <v>35</v>
      </c>
      <c r="C1668" s="201">
        <v>45973.0</v>
      </c>
      <c r="D1668" s="16" t="s">
        <v>890</v>
      </c>
      <c r="E1668" s="16" t="s">
        <v>10280</v>
      </c>
      <c r="F1668" s="16" t="s">
        <v>1511</v>
      </c>
      <c r="G1668" s="16" t="s">
        <v>1517</v>
      </c>
      <c r="H1668" s="16">
        <v>1.0</v>
      </c>
      <c r="I1668" s="16">
        <v>14108.55</v>
      </c>
      <c r="J1668" s="16">
        <v>14108.55</v>
      </c>
      <c r="K1668" s="16"/>
      <c r="L1668" s="16"/>
      <c r="M1668" s="16"/>
      <c r="N1668" s="16">
        <v>0.0</v>
      </c>
      <c r="O1668" s="16"/>
      <c r="P1668" s="16"/>
      <c r="Q1668" s="16"/>
      <c r="R1668" s="16">
        <v>0.0</v>
      </c>
      <c r="S1668" s="16"/>
      <c r="T1668" s="16"/>
      <c r="U1668" s="16"/>
      <c r="V1668" s="16">
        <v>0.0</v>
      </c>
      <c r="W1668" s="16"/>
      <c r="X1668" s="16"/>
      <c r="Y1668" s="16"/>
      <c r="Z1668" s="16">
        <v>0.0</v>
      </c>
      <c r="AA1668" s="16"/>
      <c r="AB1668" s="16"/>
      <c r="AC1668" s="16"/>
      <c r="AD1668" s="16">
        <v>0.0</v>
      </c>
      <c r="AE1668" s="16"/>
      <c r="AF1668" s="16"/>
      <c r="AG1668" s="16"/>
      <c r="AH1668" s="16">
        <v>0.0</v>
      </c>
      <c r="AI1668" s="16"/>
      <c r="AJ1668" s="16"/>
      <c r="AK1668" s="16"/>
      <c r="AL1668" s="16">
        <v>0.0</v>
      </c>
      <c r="AM1668" s="16"/>
      <c r="AN1668" s="16"/>
      <c r="AO1668" s="16"/>
      <c r="AP1668" s="16">
        <v>0.0</v>
      </c>
      <c r="AQ1668" s="16"/>
      <c r="AR1668" s="16"/>
      <c r="AS1668" s="16"/>
      <c r="AT1668" s="16">
        <v>0.0</v>
      </c>
      <c r="AU1668" s="16"/>
      <c r="AV1668" s="16"/>
      <c r="AW1668" s="16"/>
      <c r="AX1668" s="16">
        <v>0.0</v>
      </c>
      <c r="AY1668" s="16"/>
      <c r="AZ1668" s="16"/>
      <c r="BA1668" s="16"/>
      <c r="BB1668" s="16"/>
      <c r="BC1668" s="16"/>
      <c r="BD1668" s="16"/>
      <c r="BE1668" s="16"/>
      <c r="BF1668" s="16">
        <v>0.0</v>
      </c>
      <c r="BG1668" s="16"/>
      <c r="BH1668" s="16"/>
      <c r="BI1668" s="16"/>
      <c r="BJ1668" s="16">
        <v>0.0</v>
      </c>
      <c r="BN1668" s="16">
        <v>0.0</v>
      </c>
      <c r="BO1668" s="16">
        <v>14108.55</v>
      </c>
      <c r="BP1668" s="16" t="s">
        <v>10281</v>
      </c>
      <c r="BQ1668" s="16" t="b">
        <v>1</v>
      </c>
      <c r="BR1668" s="16">
        <v>14108.55</v>
      </c>
      <c r="BS1668" s="16"/>
      <c r="BT1668" s="16" t="b">
        <v>0</v>
      </c>
      <c r="BU1668" s="16" t="s">
        <v>546</v>
      </c>
      <c r="BV1668" s="16"/>
      <c r="BW1668" s="16" t="s">
        <v>10283</v>
      </c>
      <c r="BX1668" s="16"/>
      <c r="BY1668" s="16"/>
    </row>
    <row r="1669">
      <c r="A1669" s="16">
        <v>1.3040625E7</v>
      </c>
      <c r="B1669" s="16" t="s">
        <v>35</v>
      </c>
      <c r="C1669" s="201">
        <v>45975.0</v>
      </c>
      <c r="D1669" s="16" t="s">
        <v>112</v>
      </c>
      <c r="E1669" s="16" t="s">
        <v>10287</v>
      </c>
      <c r="F1669" s="16" t="s">
        <v>157</v>
      </c>
      <c r="G1669" s="16" t="s">
        <v>226</v>
      </c>
      <c r="H1669" s="16">
        <v>7.0</v>
      </c>
      <c r="I1669" s="16">
        <v>9.0</v>
      </c>
      <c r="J1669" s="16">
        <v>63.0</v>
      </c>
      <c r="K1669" s="16" t="s">
        <v>152</v>
      </c>
      <c r="L1669" s="16">
        <v>1.0</v>
      </c>
      <c r="M1669" s="16">
        <v>11.04</v>
      </c>
      <c r="N1669" s="16">
        <v>11.04</v>
      </c>
      <c r="O1669" s="16" t="s">
        <v>230</v>
      </c>
      <c r="P1669" s="16">
        <v>1.0</v>
      </c>
      <c r="Q1669" s="16">
        <v>164.7</v>
      </c>
      <c r="R1669" s="16">
        <v>164.7</v>
      </c>
      <c r="S1669" s="16" t="s">
        <v>155</v>
      </c>
      <c r="T1669" s="16">
        <v>1.0</v>
      </c>
      <c r="U1669" s="16">
        <v>52.0</v>
      </c>
      <c r="V1669" s="16">
        <v>52.0</v>
      </c>
      <c r="W1669" s="16" t="s">
        <v>159</v>
      </c>
      <c r="X1669" s="16">
        <v>1.0</v>
      </c>
      <c r="Y1669" s="16">
        <v>172.5</v>
      </c>
      <c r="Z1669" s="16">
        <v>172.5</v>
      </c>
      <c r="AA1669" s="16"/>
      <c r="AB1669" s="16"/>
      <c r="AC1669" s="16"/>
      <c r="AD1669" s="16">
        <v>0.0</v>
      </c>
      <c r="AE1669" s="16"/>
      <c r="AF1669" s="16"/>
      <c r="AG1669" s="16"/>
      <c r="AH1669" s="16">
        <v>0.0</v>
      </c>
      <c r="AI1669" s="16"/>
      <c r="AJ1669" s="16"/>
      <c r="AK1669" s="16"/>
      <c r="AL1669" s="16">
        <v>0.0</v>
      </c>
      <c r="AM1669" s="16"/>
      <c r="AN1669" s="16"/>
      <c r="AO1669" s="16"/>
      <c r="AP1669" s="16">
        <v>0.0</v>
      </c>
      <c r="AQ1669" s="16"/>
      <c r="AR1669" s="16"/>
      <c r="AS1669" s="16"/>
      <c r="AT1669" s="16">
        <v>0.0</v>
      </c>
      <c r="AU1669" s="16"/>
      <c r="AV1669" s="16"/>
      <c r="AW1669" s="16"/>
      <c r="AX1669" s="16">
        <v>0.0</v>
      </c>
      <c r="AY1669" s="16"/>
      <c r="AZ1669" s="16"/>
      <c r="BA1669" s="16"/>
      <c r="BB1669" s="16"/>
      <c r="BC1669" s="16"/>
      <c r="BD1669" s="16"/>
      <c r="BE1669" s="16"/>
      <c r="BF1669" s="16">
        <v>0.0</v>
      </c>
      <c r="BG1669" s="16"/>
      <c r="BH1669" s="16"/>
      <c r="BI1669" s="16"/>
      <c r="BJ1669" s="16">
        <v>0.0</v>
      </c>
      <c r="BN1669" s="16">
        <v>0.0</v>
      </c>
      <c r="BO1669" s="16">
        <v>463.24</v>
      </c>
      <c r="BP1669" s="16" t="s">
        <v>10288</v>
      </c>
      <c r="BQ1669" s="16" t="b">
        <v>1</v>
      </c>
      <c r="BR1669" s="16">
        <v>463.24</v>
      </c>
      <c r="BS1669" s="16"/>
      <c r="BT1669" s="16" t="b">
        <v>0</v>
      </c>
      <c r="BU1669" s="16" t="s">
        <v>546</v>
      </c>
      <c r="BV1669" s="16"/>
      <c r="BW1669" s="16"/>
      <c r="BX1669" s="16"/>
      <c r="BY1669" s="16"/>
    </row>
    <row r="1670">
      <c r="A1670" s="16" t="s">
        <v>8776</v>
      </c>
      <c r="B1670" s="16" t="s">
        <v>35</v>
      </c>
      <c r="C1670" s="201">
        <v>45970.0</v>
      </c>
      <c r="D1670" s="16" t="s">
        <v>10009</v>
      </c>
      <c r="E1670" s="16" t="s">
        <v>10294</v>
      </c>
      <c r="F1670" s="16" t="s">
        <v>6914</v>
      </c>
      <c r="G1670" s="16" t="s">
        <v>6720</v>
      </c>
      <c r="H1670" s="16">
        <v>1.0</v>
      </c>
      <c r="I1670" s="16">
        <v>414.0</v>
      </c>
      <c r="J1670" s="16">
        <v>414.0</v>
      </c>
      <c r="K1670" s="16"/>
      <c r="L1670" s="16"/>
      <c r="M1670" s="16"/>
      <c r="N1670" s="16">
        <v>0.0</v>
      </c>
      <c r="O1670" s="16"/>
      <c r="P1670" s="16"/>
      <c r="Q1670" s="16"/>
      <c r="R1670" s="16">
        <v>0.0</v>
      </c>
      <c r="S1670" s="16"/>
      <c r="T1670" s="16"/>
      <c r="U1670" s="16"/>
      <c r="V1670" s="16">
        <v>0.0</v>
      </c>
      <c r="W1670" s="16"/>
      <c r="X1670" s="16"/>
      <c r="Y1670" s="16"/>
      <c r="Z1670" s="16">
        <v>0.0</v>
      </c>
      <c r="AA1670" s="16"/>
      <c r="AB1670" s="16"/>
      <c r="AC1670" s="16"/>
      <c r="AD1670" s="16">
        <v>0.0</v>
      </c>
      <c r="AE1670" s="16"/>
      <c r="AF1670" s="16"/>
      <c r="AG1670" s="16"/>
      <c r="AH1670" s="16">
        <v>0.0</v>
      </c>
      <c r="AI1670" s="16"/>
      <c r="AJ1670" s="16"/>
      <c r="AK1670" s="16"/>
      <c r="AL1670" s="16">
        <v>0.0</v>
      </c>
      <c r="AM1670" s="16"/>
      <c r="AN1670" s="16"/>
      <c r="AO1670" s="16"/>
      <c r="AP1670" s="16">
        <v>0.0</v>
      </c>
      <c r="AQ1670" s="16"/>
      <c r="AR1670" s="16"/>
      <c r="AS1670" s="16"/>
      <c r="AT1670" s="16">
        <v>0.0</v>
      </c>
      <c r="AU1670" s="16"/>
      <c r="AV1670" s="16"/>
      <c r="AW1670" s="16"/>
      <c r="AX1670" s="16">
        <v>0.0</v>
      </c>
      <c r="AY1670" s="16"/>
      <c r="AZ1670" s="16"/>
      <c r="BA1670" s="16"/>
      <c r="BB1670" s="16"/>
      <c r="BC1670" s="16"/>
      <c r="BD1670" s="16"/>
      <c r="BE1670" s="16"/>
      <c r="BF1670" s="16">
        <v>0.0</v>
      </c>
      <c r="BG1670" s="16"/>
      <c r="BH1670" s="16"/>
      <c r="BI1670" s="16"/>
      <c r="BJ1670" s="16">
        <v>0.0</v>
      </c>
      <c r="BN1670" s="16">
        <v>0.0</v>
      </c>
      <c r="BO1670" s="16">
        <v>414.0</v>
      </c>
      <c r="BP1670" s="16" t="s">
        <v>10296</v>
      </c>
      <c r="BQ1670" s="16" t="b">
        <v>1</v>
      </c>
      <c r="BR1670" s="16">
        <v>414.0</v>
      </c>
      <c r="BS1670" s="21" t="s">
        <v>13560</v>
      </c>
      <c r="BT1670" s="16" t="b">
        <v>1</v>
      </c>
      <c r="BU1670" s="16" t="s">
        <v>546</v>
      </c>
      <c r="BV1670" s="16"/>
      <c r="BW1670" s="16"/>
      <c r="BX1670" s="16"/>
      <c r="BY1670" s="16"/>
    </row>
    <row r="1671">
      <c r="A1671" s="16" t="s">
        <v>8780</v>
      </c>
      <c r="B1671" s="16" t="s">
        <v>35</v>
      </c>
      <c r="C1671" s="201">
        <v>45977.0</v>
      </c>
      <c r="D1671" s="16" t="s">
        <v>543</v>
      </c>
      <c r="E1671" s="16" t="s">
        <v>10300</v>
      </c>
      <c r="F1671" s="16" t="s">
        <v>140</v>
      </c>
      <c r="G1671" s="21" t="s">
        <v>10424</v>
      </c>
      <c r="H1671" s="16">
        <v>1.0</v>
      </c>
      <c r="I1671" s="16">
        <v>475.0</v>
      </c>
      <c r="J1671" s="16">
        <v>475.0</v>
      </c>
      <c r="K1671" s="16"/>
      <c r="L1671" s="16"/>
      <c r="M1671" s="16"/>
      <c r="N1671" s="16">
        <v>0.0</v>
      </c>
      <c r="O1671" s="16"/>
      <c r="P1671" s="16"/>
      <c r="Q1671" s="16"/>
      <c r="R1671" s="16">
        <v>0.0</v>
      </c>
      <c r="S1671" s="16"/>
      <c r="T1671" s="16"/>
      <c r="U1671" s="16"/>
      <c r="V1671" s="16">
        <v>0.0</v>
      </c>
      <c r="W1671" s="16"/>
      <c r="X1671" s="16"/>
      <c r="Y1671" s="16"/>
      <c r="Z1671" s="16">
        <v>0.0</v>
      </c>
      <c r="AA1671" s="16"/>
      <c r="AB1671" s="16"/>
      <c r="AC1671" s="16"/>
      <c r="AD1671" s="16">
        <v>0.0</v>
      </c>
      <c r="AE1671" s="16"/>
      <c r="AF1671" s="16"/>
      <c r="AG1671" s="16"/>
      <c r="AH1671" s="16">
        <v>0.0</v>
      </c>
      <c r="AI1671" s="16"/>
      <c r="AJ1671" s="16"/>
      <c r="AK1671" s="16"/>
      <c r="AL1671" s="16">
        <v>0.0</v>
      </c>
      <c r="AM1671" s="16"/>
      <c r="AN1671" s="16"/>
      <c r="AO1671" s="16"/>
      <c r="AP1671" s="16">
        <v>0.0</v>
      </c>
      <c r="AQ1671" s="16"/>
      <c r="AR1671" s="16"/>
      <c r="AS1671" s="16"/>
      <c r="AT1671" s="16">
        <v>0.0</v>
      </c>
      <c r="AU1671" s="16"/>
      <c r="AV1671" s="16"/>
      <c r="AW1671" s="16"/>
      <c r="AX1671" s="16">
        <v>0.0</v>
      </c>
      <c r="AY1671" s="16"/>
      <c r="AZ1671" s="16"/>
      <c r="BA1671" s="16"/>
      <c r="BB1671" s="16"/>
      <c r="BC1671" s="16"/>
      <c r="BD1671" s="16"/>
      <c r="BE1671" s="16"/>
      <c r="BF1671" s="16">
        <v>0.0</v>
      </c>
      <c r="BG1671" s="16"/>
      <c r="BH1671" s="16"/>
      <c r="BI1671" s="16"/>
      <c r="BJ1671" s="16">
        <v>0.0</v>
      </c>
      <c r="BN1671" s="16">
        <v>0.0</v>
      </c>
      <c r="BO1671" s="16">
        <v>475.0</v>
      </c>
      <c r="BP1671" s="16" t="s">
        <v>10301</v>
      </c>
      <c r="BQ1671" s="16" t="b">
        <v>1</v>
      </c>
      <c r="BR1671" s="16">
        <v>475.0</v>
      </c>
      <c r="BS1671" s="16"/>
      <c r="BT1671" s="16" t="b">
        <v>0</v>
      </c>
      <c r="BU1671" s="16" t="s">
        <v>546</v>
      </c>
      <c r="BV1671" s="16"/>
      <c r="BW1671" s="16"/>
      <c r="BX1671" s="16"/>
      <c r="BY1671" s="16"/>
    </row>
    <row r="1672">
      <c r="A1672" s="16" t="s">
        <v>8782</v>
      </c>
      <c r="B1672" s="16" t="s">
        <v>35</v>
      </c>
      <c r="C1672" s="201"/>
      <c r="D1672" s="16" t="s">
        <v>1864</v>
      </c>
      <c r="E1672" s="16"/>
      <c r="F1672" s="16" t="s">
        <v>8399</v>
      </c>
      <c r="G1672" s="16" t="s">
        <v>7522</v>
      </c>
      <c r="H1672" s="16">
        <v>1.0</v>
      </c>
      <c r="I1672" s="16">
        <v>22.87</v>
      </c>
      <c r="J1672" s="16">
        <v>22.87</v>
      </c>
      <c r="K1672" s="16"/>
      <c r="L1672" s="16"/>
      <c r="M1672" s="16"/>
      <c r="N1672" s="16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16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16"/>
      <c r="AP1672" s="16"/>
      <c r="AQ1672" s="16"/>
      <c r="AR1672" s="16"/>
      <c r="AS1672" s="16"/>
      <c r="AT1672" s="16"/>
      <c r="AU1672" s="16"/>
      <c r="AV1672" s="16"/>
      <c r="AW1672" s="16"/>
      <c r="AX1672" s="16"/>
      <c r="AY1672" s="16"/>
      <c r="AZ1672" s="16"/>
      <c r="BA1672" s="16"/>
      <c r="BB1672" s="16"/>
      <c r="BC1672" s="16"/>
      <c r="BD1672" s="16"/>
      <c r="BE1672" s="16"/>
      <c r="BF1672" s="16"/>
      <c r="BG1672" s="16"/>
      <c r="BH1672" s="16"/>
      <c r="BI1672" s="16"/>
      <c r="BJ1672" s="16"/>
      <c r="BN1672" s="16"/>
      <c r="BO1672" s="16">
        <v>22.87</v>
      </c>
      <c r="BP1672" s="16"/>
      <c r="BQ1672" s="16" t="b">
        <v>1</v>
      </c>
      <c r="BR1672" s="16">
        <v>22.87</v>
      </c>
      <c r="BS1672" s="16"/>
      <c r="BT1672" s="16"/>
      <c r="BU1672" s="16" t="s">
        <v>539</v>
      </c>
      <c r="BV1672" s="16"/>
      <c r="BW1672" s="16"/>
      <c r="BX1672" s="16"/>
      <c r="BY1672" s="16"/>
    </row>
    <row r="1673">
      <c r="A1673" s="16">
        <v>11603.0</v>
      </c>
      <c r="B1673" s="16" t="s">
        <v>35</v>
      </c>
      <c r="C1673" s="201"/>
      <c r="D1673" s="16" t="s">
        <v>460</v>
      </c>
      <c r="E1673" s="16"/>
      <c r="F1673" s="22">
        <v>45931.0</v>
      </c>
      <c r="G1673" s="16" t="s">
        <v>8404</v>
      </c>
      <c r="H1673" s="16">
        <v>1.0</v>
      </c>
      <c r="I1673" s="16">
        <v>249.23</v>
      </c>
      <c r="J1673" s="16">
        <v>249.23</v>
      </c>
      <c r="K1673" s="16"/>
      <c r="L1673" s="16"/>
      <c r="M1673" s="16"/>
      <c r="N1673" s="16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6"/>
      <c r="BB1673" s="16"/>
      <c r="BC1673" s="16"/>
      <c r="BD1673" s="16"/>
      <c r="BE1673" s="16"/>
      <c r="BF1673" s="16"/>
      <c r="BG1673" s="16"/>
      <c r="BH1673" s="16"/>
      <c r="BI1673" s="16"/>
      <c r="BJ1673" s="16"/>
      <c r="BN1673" s="16"/>
      <c r="BO1673" s="16">
        <v>249.23</v>
      </c>
      <c r="BP1673" s="16"/>
      <c r="BQ1673" s="16" t="b">
        <v>1</v>
      </c>
      <c r="BR1673" s="16">
        <v>249.23</v>
      </c>
      <c r="BS1673" s="16"/>
      <c r="BT1673" s="16"/>
      <c r="BU1673" s="16" t="s">
        <v>8596</v>
      </c>
      <c r="BV1673" s="16"/>
      <c r="BW1673" s="16"/>
      <c r="BX1673" s="16"/>
      <c r="BY1673" s="16"/>
    </row>
    <row r="1674">
      <c r="A1674" s="16">
        <v>11604.0</v>
      </c>
      <c r="B1674" s="16" t="s">
        <v>35</v>
      </c>
      <c r="C1674" s="201"/>
      <c r="D1674" s="16" t="s">
        <v>1160</v>
      </c>
      <c r="E1674" s="16"/>
      <c r="F1674" s="22">
        <v>45717.0</v>
      </c>
      <c r="G1674" s="16" t="s">
        <v>8404</v>
      </c>
      <c r="H1674" s="16">
        <v>1.0</v>
      </c>
      <c r="I1674" s="16">
        <v>68.56</v>
      </c>
      <c r="J1674" s="16">
        <v>68.56</v>
      </c>
      <c r="K1674" s="16"/>
      <c r="L1674" s="16"/>
      <c r="M1674" s="16"/>
      <c r="N1674" s="16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16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16"/>
      <c r="AP1674" s="16"/>
      <c r="AQ1674" s="16"/>
      <c r="AR1674" s="16"/>
      <c r="AS1674" s="16"/>
      <c r="AT1674" s="16"/>
      <c r="AU1674" s="16"/>
      <c r="AV1674" s="16"/>
      <c r="AW1674" s="16"/>
      <c r="AX1674" s="16"/>
      <c r="AY1674" s="16"/>
      <c r="AZ1674" s="16"/>
      <c r="BA1674" s="16"/>
      <c r="BB1674" s="16"/>
      <c r="BC1674" s="16"/>
      <c r="BD1674" s="16"/>
      <c r="BE1674" s="16"/>
      <c r="BF1674" s="16"/>
      <c r="BG1674" s="16"/>
      <c r="BH1674" s="16"/>
      <c r="BI1674" s="16"/>
      <c r="BJ1674" s="16"/>
      <c r="BN1674" s="16"/>
      <c r="BO1674" s="16">
        <v>68.56</v>
      </c>
      <c r="BP1674" s="16"/>
      <c r="BQ1674" s="16" t="b">
        <v>1</v>
      </c>
      <c r="BR1674" s="16">
        <v>68.56</v>
      </c>
      <c r="BS1674" s="16"/>
      <c r="BT1674" s="16"/>
      <c r="BU1674" s="16" t="s">
        <v>8596</v>
      </c>
      <c r="BV1674" s="16"/>
      <c r="BW1674" s="16"/>
      <c r="BX1674" s="16"/>
      <c r="BY1674" s="16"/>
    </row>
    <row r="1675">
      <c r="A1675" s="16">
        <v>11605.0</v>
      </c>
      <c r="B1675" s="16" t="s">
        <v>35</v>
      </c>
      <c r="C1675" s="201"/>
      <c r="D1675" s="16" t="s">
        <v>10315</v>
      </c>
      <c r="E1675" s="16"/>
      <c r="F1675" s="16" t="s">
        <v>10316</v>
      </c>
      <c r="G1675" s="16" t="s">
        <v>8792</v>
      </c>
      <c r="H1675" s="16">
        <v>1.0</v>
      </c>
      <c r="I1675" s="16">
        <v>0.01</v>
      </c>
      <c r="J1675" s="16">
        <v>0.01</v>
      </c>
      <c r="K1675" s="16"/>
      <c r="L1675" s="16"/>
      <c r="M1675" s="16"/>
      <c r="N1675" s="16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16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16"/>
      <c r="AP1675" s="16"/>
      <c r="AQ1675" s="16"/>
      <c r="AR1675" s="16"/>
      <c r="AS1675" s="16"/>
      <c r="AT1675" s="16"/>
      <c r="AU1675" s="16"/>
      <c r="AV1675" s="16"/>
      <c r="AW1675" s="16"/>
      <c r="AX1675" s="16"/>
      <c r="AY1675" s="16"/>
      <c r="AZ1675" s="16"/>
      <c r="BA1675" s="16"/>
      <c r="BB1675" s="16"/>
      <c r="BC1675" s="16"/>
      <c r="BD1675" s="16"/>
      <c r="BE1675" s="16"/>
      <c r="BF1675" s="16"/>
      <c r="BG1675" s="16"/>
      <c r="BH1675" s="16"/>
      <c r="BI1675" s="16"/>
      <c r="BJ1675" s="16"/>
      <c r="BN1675" s="16"/>
      <c r="BO1675" s="16">
        <v>0.01</v>
      </c>
      <c r="BP1675" s="16"/>
      <c r="BQ1675" s="16" t="b">
        <v>1</v>
      </c>
      <c r="BR1675" s="16">
        <v>0.01</v>
      </c>
      <c r="BS1675" s="16"/>
      <c r="BT1675" s="16"/>
      <c r="BU1675" s="16" t="s">
        <v>539</v>
      </c>
      <c r="BV1675" s="16"/>
      <c r="BW1675" s="16"/>
      <c r="BX1675" s="16"/>
      <c r="BY1675" s="16"/>
    </row>
    <row r="1676">
      <c r="A1676" s="16" t="s">
        <v>8797</v>
      </c>
      <c r="B1676" s="16" t="s">
        <v>35</v>
      </c>
      <c r="C1676" s="201">
        <v>45970.0</v>
      </c>
      <c r="D1676" s="16" t="s">
        <v>10070</v>
      </c>
      <c r="E1676" s="16" t="s">
        <v>10320</v>
      </c>
      <c r="F1676" s="16" t="s">
        <v>6914</v>
      </c>
      <c r="G1676" s="16" t="s">
        <v>6720</v>
      </c>
      <c r="H1676" s="16">
        <v>1.0</v>
      </c>
      <c r="I1676" s="16">
        <v>72.0</v>
      </c>
      <c r="J1676" s="16">
        <v>72.0</v>
      </c>
      <c r="K1676" s="16"/>
      <c r="L1676" s="16"/>
      <c r="M1676" s="16"/>
      <c r="N1676" s="16">
        <v>0.0</v>
      </c>
      <c r="O1676" s="16"/>
      <c r="P1676" s="16"/>
      <c r="Q1676" s="16"/>
      <c r="R1676" s="16">
        <v>0.0</v>
      </c>
      <c r="S1676" s="16"/>
      <c r="T1676" s="16"/>
      <c r="U1676" s="16"/>
      <c r="V1676" s="16">
        <v>0.0</v>
      </c>
      <c r="W1676" s="16"/>
      <c r="X1676" s="16"/>
      <c r="Y1676" s="16"/>
      <c r="Z1676" s="16">
        <v>0.0</v>
      </c>
      <c r="AA1676" s="16"/>
      <c r="AB1676" s="16"/>
      <c r="AC1676" s="16"/>
      <c r="AD1676" s="16">
        <v>0.0</v>
      </c>
      <c r="AE1676" s="16"/>
      <c r="AF1676" s="16"/>
      <c r="AG1676" s="16"/>
      <c r="AH1676" s="16">
        <v>0.0</v>
      </c>
      <c r="AI1676" s="16"/>
      <c r="AJ1676" s="16"/>
      <c r="AK1676" s="16"/>
      <c r="AL1676" s="16">
        <v>0.0</v>
      </c>
      <c r="AM1676" s="16"/>
      <c r="AN1676" s="16"/>
      <c r="AO1676" s="16"/>
      <c r="AP1676" s="16">
        <v>0.0</v>
      </c>
      <c r="AQ1676" s="16"/>
      <c r="AR1676" s="16"/>
      <c r="AS1676" s="16"/>
      <c r="AT1676" s="16">
        <v>0.0</v>
      </c>
      <c r="AU1676" s="16"/>
      <c r="AV1676" s="16"/>
      <c r="AW1676" s="16"/>
      <c r="AX1676" s="16">
        <v>0.0</v>
      </c>
      <c r="AY1676" s="16"/>
      <c r="AZ1676" s="16"/>
      <c r="BA1676" s="16"/>
      <c r="BB1676" s="16"/>
      <c r="BC1676" s="16"/>
      <c r="BD1676" s="16"/>
      <c r="BE1676" s="16"/>
      <c r="BF1676" s="16">
        <v>0.0</v>
      </c>
      <c r="BG1676" s="16"/>
      <c r="BH1676" s="16"/>
      <c r="BI1676" s="16"/>
      <c r="BJ1676" s="16">
        <v>0.0</v>
      </c>
      <c r="BN1676" s="16">
        <v>0.0</v>
      </c>
      <c r="BO1676" s="16">
        <v>72.0</v>
      </c>
      <c r="BP1676" s="16" t="s">
        <v>10322</v>
      </c>
      <c r="BQ1676" s="16" t="b">
        <v>1</v>
      </c>
      <c r="BR1676" s="16">
        <v>72.0</v>
      </c>
      <c r="BS1676" s="21" t="s">
        <v>13576</v>
      </c>
      <c r="BT1676" s="16" t="b">
        <v>1</v>
      </c>
      <c r="BU1676" s="16" t="s">
        <v>546</v>
      </c>
      <c r="BV1676" s="16"/>
      <c r="BW1676" s="16"/>
      <c r="BX1676" s="16"/>
      <c r="BY1676" s="16"/>
    </row>
    <row r="1677">
      <c r="A1677" s="16" t="s">
        <v>8800</v>
      </c>
      <c r="B1677" s="16" t="s">
        <v>35</v>
      </c>
      <c r="C1677" s="201">
        <v>45971.0</v>
      </c>
      <c r="D1677" s="16" t="s">
        <v>9989</v>
      </c>
      <c r="E1677" s="16" t="s">
        <v>10326</v>
      </c>
      <c r="F1677" s="16" t="s">
        <v>6914</v>
      </c>
      <c r="G1677" s="16" t="s">
        <v>6720</v>
      </c>
      <c r="H1677" s="16">
        <v>1.0</v>
      </c>
      <c r="I1677" s="16">
        <v>30.0</v>
      </c>
      <c r="J1677" s="16">
        <v>30.0</v>
      </c>
      <c r="K1677" s="16"/>
      <c r="L1677" s="16"/>
      <c r="M1677" s="16"/>
      <c r="N1677" s="16">
        <v>0.0</v>
      </c>
      <c r="O1677" s="16"/>
      <c r="P1677" s="16"/>
      <c r="Q1677" s="16"/>
      <c r="R1677" s="16">
        <v>0.0</v>
      </c>
      <c r="S1677" s="16"/>
      <c r="T1677" s="16"/>
      <c r="U1677" s="16"/>
      <c r="V1677" s="16">
        <v>0.0</v>
      </c>
      <c r="W1677" s="16"/>
      <c r="X1677" s="16"/>
      <c r="Y1677" s="16"/>
      <c r="Z1677" s="16">
        <v>0.0</v>
      </c>
      <c r="AA1677" s="16"/>
      <c r="AB1677" s="16"/>
      <c r="AC1677" s="16"/>
      <c r="AD1677" s="16">
        <v>0.0</v>
      </c>
      <c r="AE1677" s="16"/>
      <c r="AF1677" s="16"/>
      <c r="AG1677" s="16"/>
      <c r="AH1677" s="16">
        <v>0.0</v>
      </c>
      <c r="AI1677" s="16"/>
      <c r="AJ1677" s="16"/>
      <c r="AK1677" s="16"/>
      <c r="AL1677" s="16">
        <v>0.0</v>
      </c>
      <c r="AM1677" s="16"/>
      <c r="AN1677" s="16"/>
      <c r="AO1677" s="16"/>
      <c r="AP1677" s="16">
        <v>0.0</v>
      </c>
      <c r="AQ1677" s="16"/>
      <c r="AR1677" s="16"/>
      <c r="AS1677" s="16"/>
      <c r="AT1677" s="16">
        <v>0.0</v>
      </c>
      <c r="AU1677" s="16"/>
      <c r="AV1677" s="16"/>
      <c r="AW1677" s="16"/>
      <c r="AX1677" s="16">
        <v>0.0</v>
      </c>
      <c r="AY1677" s="16"/>
      <c r="AZ1677" s="16"/>
      <c r="BA1677" s="16"/>
      <c r="BB1677" s="16"/>
      <c r="BC1677" s="16"/>
      <c r="BD1677" s="16"/>
      <c r="BE1677" s="16"/>
      <c r="BF1677" s="16">
        <v>0.0</v>
      </c>
      <c r="BG1677" s="16"/>
      <c r="BH1677" s="16"/>
      <c r="BI1677" s="16"/>
      <c r="BJ1677" s="16">
        <v>0.0</v>
      </c>
      <c r="BN1677" s="16">
        <v>0.0</v>
      </c>
      <c r="BO1677" s="16">
        <v>30.0</v>
      </c>
      <c r="BP1677" s="16" t="s">
        <v>10327</v>
      </c>
      <c r="BQ1677" s="16" t="b">
        <v>1</v>
      </c>
      <c r="BR1677" s="16">
        <v>30.0</v>
      </c>
      <c r="BS1677" s="21" t="s">
        <v>13579</v>
      </c>
      <c r="BT1677" s="16" t="b">
        <v>1</v>
      </c>
      <c r="BU1677" s="16" t="s">
        <v>546</v>
      </c>
      <c r="BV1677" s="16"/>
      <c r="BW1677" s="16"/>
      <c r="BX1677" s="16"/>
      <c r="BY1677" s="16"/>
    </row>
    <row r="1678">
      <c r="A1678" s="16" t="s">
        <v>8802</v>
      </c>
      <c r="B1678" s="16" t="s">
        <v>35</v>
      </c>
      <c r="C1678" s="201">
        <v>45972.0</v>
      </c>
      <c r="D1678" s="16" t="s">
        <v>9989</v>
      </c>
      <c r="E1678" s="16" t="s">
        <v>10334</v>
      </c>
      <c r="F1678" s="16" t="s">
        <v>6914</v>
      </c>
      <c r="G1678" s="16" t="s">
        <v>6720</v>
      </c>
      <c r="H1678" s="16">
        <v>1.0</v>
      </c>
      <c r="I1678" s="16">
        <v>200.0</v>
      </c>
      <c r="J1678" s="16">
        <v>200.0</v>
      </c>
      <c r="K1678" s="16"/>
      <c r="L1678" s="16"/>
      <c r="M1678" s="16"/>
      <c r="N1678" s="16">
        <v>0.0</v>
      </c>
      <c r="O1678" s="16"/>
      <c r="P1678" s="16"/>
      <c r="Q1678" s="16"/>
      <c r="R1678" s="16">
        <v>0.0</v>
      </c>
      <c r="S1678" s="16"/>
      <c r="T1678" s="16"/>
      <c r="U1678" s="16"/>
      <c r="V1678" s="16">
        <v>0.0</v>
      </c>
      <c r="W1678" s="16"/>
      <c r="X1678" s="16"/>
      <c r="Y1678" s="16"/>
      <c r="Z1678" s="16">
        <v>0.0</v>
      </c>
      <c r="AA1678" s="16"/>
      <c r="AB1678" s="16"/>
      <c r="AC1678" s="16"/>
      <c r="AD1678" s="16">
        <v>0.0</v>
      </c>
      <c r="AE1678" s="16"/>
      <c r="AF1678" s="16"/>
      <c r="AG1678" s="16"/>
      <c r="AH1678" s="16">
        <v>0.0</v>
      </c>
      <c r="AI1678" s="16"/>
      <c r="AJ1678" s="16"/>
      <c r="AK1678" s="16"/>
      <c r="AL1678" s="16">
        <v>0.0</v>
      </c>
      <c r="AM1678" s="16"/>
      <c r="AN1678" s="16"/>
      <c r="AO1678" s="16"/>
      <c r="AP1678" s="16">
        <v>0.0</v>
      </c>
      <c r="AQ1678" s="16"/>
      <c r="AR1678" s="16"/>
      <c r="AS1678" s="16"/>
      <c r="AT1678" s="16">
        <v>0.0</v>
      </c>
      <c r="AU1678" s="16"/>
      <c r="AV1678" s="16"/>
      <c r="AW1678" s="16"/>
      <c r="AX1678" s="16">
        <v>0.0</v>
      </c>
      <c r="AY1678" s="16"/>
      <c r="AZ1678" s="16"/>
      <c r="BA1678" s="16"/>
      <c r="BB1678" s="16"/>
      <c r="BC1678" s="16"/>
      <c r="BD1678" s="16"/>
      <c r="BE1678" s="16"/>
      <c r="BF1678" s="16">
        <v>0.0</v>
      </c>
      <c r="BG1678" s="16"/>
      <c r="BH1678" s="16"/>
      <c r="BI1678" s="16"/>
      <c r="BJ1678" s="16">
        <v>0.0</v>
      </c>
      <c r="BN1678" s="16">
        <v>0.0</v>
      </c>
      <c r="BO1678" s="16">
        <v>200.0</v>
      </c>
      <c r="BP1678" s="16" t="s">
        <v>10336</v>
      </c>
      <c r="BQ1678" s="16" t="b">
        <v>1</v>
      </c>
      <c r="BR1678" s="16">
        <v>200.0</v>
      </c>
      <c r="BS1678" s="21" t="s">
        <v>13580</v>
      </c>
      <c r="BT1678" s="16" t="b">
        <v>1</v>
      </c>
      <c r="BU1678" s="16" t="s">
        <v>546</v>
      </c>
      <c r="BV1678" s="16"/>
      <c r="BW1678" s="16"/>
      <c r="BX1678" s="16"/>
      <c r="BY1678" s="16"/>
    </row>
    <row r="1679">
      <c r="A1679" s="16" t="s">
        <v>8805</v>
      </c>
      <c r="B1679" s="16" t="s">
        <v>35</v>
      </c>
      <c r="C1679" s="201">
        <v>45972.0</v>
      </c>
      <c r="D1679" s="16" t="s">
        <v>9989</v>
      </c>
      <c r="E1679" s="16" t="s">
        <v>10334</v>
      </c>
      <c r="F1679" s="16" t="s">
        <v>6914</v>
      </c>
      <c r="G1679" s="16" t="s">
        <v>6720</v>
      </c>
      <c r="H1679" s="16">
        <v>1.0</v>
      </c>
      <c r="I1679" s="16">
        <v>20.0</v>
      </c>
      <c r="J1679" s="16">
        <v>20.0</v>
      </c>
      <c r="K1679" s="16"/>
      <c r="L1679" s="16"/>
      <c r="M1679" s="16"/>
      <c r="N1679" s="16">
        <v>0.0</v>
      </c>
      <c r="O1679" s="16"/>
      <c r="P1679" s="16"/>
      <c r="Q1679" s="16"/>
      <c r="R1679" s="16">
        <v>0.0</v>
      </c>
      <c r="S1679" s="16"/>
      <c r="T1679" s="16"/>
      <c r="U1679" s="16"/>
      <c r="V1679" s="16">
        <v>0.0</v>
      </c>
      <c r="W1679" s="16"/>
      <c r="X1679" s="16"/>
      <c r="Y1679" s="16"/>
      <c r="Z1679" s="16">
        <v>0.0</v>
      </c>
      <c r="AA1679" s="16"/>
      <c r="AB1679" s="16"/>
      <c r="AC1679" s="16"/>
      <c r="AD1679" s="16">
        <v>0.0</v>
      </c>
      <c r="AE1679" s="16"/>
      <c r="AF1679" s="16"/>
      <c r="AG1679" s="16"/>
      <c r="AH1679" s="16">
        <v>0.0</v>
      </c>
      <c r="AI1679" s="16"/>
      <c r="AJ1679" s="16"/>
      <c r="AK1679" s="16"/>
      <c r="AL1679" s="16">
        <v>0.0</v>
      </c>
      <c r="AM1679" s="16"/>
      <c r="AN1679" s="16"/>
      <c r="AO1679" s="16"/>
      <c r="AP1679" s="16">
        <v>0.0</v>
      </c>
      <c r="AQ1679" s="16"/>
      <c r="AR1679" s="16"/>
      <c r="AS1679" s="16"/>
      <c r="AT1679" s="16">
        <v>0.0</v>
      </c>
      <c r="AU1679" s="16"/>
      <c r="AV1679" s="16"/>
      <c r="AW1679" s="16"/>
      <c r="AX1679" s="16">
        <v>0.0</v>
      </c>
      <c r="AY1679" s="16"/>
      <c r="AZ1679" s="16"/>
      <c r="BA1679" s="16"/>
      <c r="BB1679" s="16"/>
      <c r="BC1679" s="16"/>
      <c r="BD1679" s="16"/>
      <c r="BE1679" s="16"/>
      <c r="BF1679" s="16">
        <v>0.0</v>
      </c>
      <c r="BG1679" s="16"/>
      <c r="BH1679" s="16"/>
      <c r="BI1679" s="16"/>
      <c r="BJ1679" s="16">
        <v>0.0</v>
      </c>
      <c r="BN1679" s="16">
        <v>0.0</v>
      </c>
      <c r="BO1679" s="16">
        <v>20.0</v>
      </c>
      <c r="BP1679" s="16" t="s">
        <v>10341</v>
      </c>
      <c r="BQ1679" s="16" t="b">
        <v>1</v>
      </c>
      <c r="BR1679" s="16">
        <v>20.0</v>
      </c>
      <c r="BS1679" s="21" t="s">
        <v>13582</v>
      </c>
      <c r="BT1679" s="16" t="b">
        <v>1</v>
      </c>
      <c r="BU1679" s="16" t="s">
        <v>546</v>
      </c>
      <c r="BV1679" s="16"/>
      <c r="BW1679" s="16"/>
      <c r="BX1679" s="16"/>
      <c r="BY1679" s="16"/>
    </row>
    <row r="1680">
      <c r="A1680" s="16" t="s">
        <v>8809</v>
      </c>
      <c r="B1680" s="16" t="s">
        <v>35</v>
      </c>
      <c r="C1680" s="201">
        <v>45973.0</v>
      </c>
      <c r="D1680" s="16" t="s">
        <v>9989</v>
      </c>
      <c r="E1680" s="16" t="s">
        <v>10345</v>
      </c>
      <c r="F1680" s="16" t="s">
        <v>6914</v>
      </c>
      <c r="G1680" s="16" t="s">
        <v>6720</v>
      </c>
      <c r="H1680" s="16">
        <v>1.0</v>
      </c>
      <c r="I1680" s="16">
        <v>10.0</v>
      </c>
      <c r="J1680" s="16">
        <v>10.0</v>
      </c>
      <c r="K1680" s="16"/>
      <c r="L1680" s="16"/>
      <c r="M1680" s="16"/>
      <c r="N1680" s="16">
        <v>0.0</v>
      </c>
      <c r="O1680" s="16"/>
      <c r="P1680" s="16"/>
      <c r="Q1680" s="16"/>
      <c r="R1680" s="16">
        <v>0.0</v>
      </c>
      <c r="S1680" s="16"/>
      <c r="T1680" s="16"/>
      <c r="U1680" s="16"/>
      <c r="V1680" s="16">
        <v>0.0</v>
      </c>
      <c r="W1680" s="16"/>
      <c r="X1680" s="16"/>
      <c r="Y1680" s="16"/>
      <c r="Z1680" s="16">
        <v>0.0</v>
      </c>
      <c r="AA1680" s="16"/>
      <c r="AB1680" s="16"/>
      <c r="AC1680" s="16"/>
      <c r="AD1680" s="16">
        <v>0.0</v>
      </c>
      <c r="AE1680" s="16"/>
      <c r="AF1680" s="16"/>
      <c r="AG1680" s="16"/>
      <c r="AH1680" s="16">
        <v>0.0</v>
      </c>
      <c r="AI1680" s="16"/>
      <c r="AJ1680" s="16"/>
      <c r="AK1680" s="16"/>
      <c r="AL1680" s="16">
        <v>0.0</v>
      </c>
      <c r="AM1680" s="16"/>
      <c r="AN1680" s="16"/>
      <c r="AO1680" s="16"/>
      <c r="AP1680" s="16">
        <v>0.0</v>
      </c>
      <c r="AQ1680" s="16"/>
      <c r="AR1680" s="16"/>
      <c r="AS1680" s="16"/>
      <c r="AT1680" s="16">
        <v>0.0</v>
      </c>
      <c r="AU1680" s="16"/>
      <c r="AV1680" s="16"/>
      <c r="AW1680" s="16"/>
      <c r="AX1680" s="16">
        <v>0.0</v>
      </c>
      <c r="AY1680" s="16"/>
      <c r="AZ1680" s="16"/>
      <c r="BA1680" s="16"/>
      <c r="BB1680" s="16"/>
      <c r="BC1680" s="16"/>
      <c r="BD1680" s="16"/>
      <c r="BE1680" s="16"/>
      <c r="BF1680" s="16">
        <v>0.0</v>
      </c>
      <c r="BG1680" s="16"/>
      <c r="BH1680" s="16"/>
      <c r="BI1680" s="16"/>
      <c r="BJ1680" s="16">
        <v>0.0</v>
      </c>
      <c r="BN1680" s="16">
        <v>0.0</v>
      </c>
      <c r="BO1680" s="16">
        <v>10.0</v>
      </c>
      <c r="BP1680" s="16" t="s">
        <v>10347</v>
      </c>
      <c r="BQ1680" s="16" t="b">
        <v>1</v>
      </c>
      <c r="BR1680" s="16">
        <v>10.0</v>
      </c>
      <c r="BS1680" s="21" t="s">
        <v>13584</v>
      </c>
      <c r="BT1680" s="16" t="b">
        <v>1</v>
      </c>
      <c r="BU1680" s="16" t="s">
        <v>546</v>
      </c>
      <c r="BV1680" s="16"/>
      <c r="BW1680" s="16"/>
      <c r="BX1680" s="16"/>
      <c r="BY1680" s="16"/>
    </row>
    <row r="1681">
      <c r="A1681" s="16" t="s">
        <v>8812</v>
      </c>
      <c r="B1681" s="16" t="s">
        <v>35</v>
      </c>
      <c r="C1681" s="201">
        <v>45973.0</v>
      </c>
      <c r="D1681" s="16" t="s">
        <v>10009</v>
      </c>
      <c r="E1681" s="16" t="s">
        <v>10353</v>
      </c>
      <c r="F1681" s="16" t="s">
        <v>6914</v>
      </c>
      <c r="G1681" s="16" t="s">
        <v>6720</v>
      </c>
      <c r="H1681" s="16">
        <v>1.0</v>
      </c>
      <c r="I1681" s="16">
        <v>30.0</v>
      </c>
      <c r="J1681" s="16">
        <v>30.0</v>
      </c>
      <c r="K1681" s="16"/>
      <c r="L1681" s="16"/>
      <c r="M1681" s="16"/>
      <c r="N1681" s="16">
        <v>0.0</v>
      </c>
      <c r="O1681" s="16"/>
      <c r="P1681" s="16"/>
      <c r="Q1681" s="16"/>
      <c r="R1681" s="16">
        <v>0.0</v>
      </c>
      <c r="S1681" s="16"/>
      <c r="T1681" s="16"/>
      <c r="U1681" s="16"/>
      <c r="V1681" s="16">
        <v>0.0</v>
      </c>
      <c r="W1681" s="16"/>
      <c r="X1681" s="16"/>
      <c r="Y1681" s="16"/>
      <c r="Z1681" s="16">
        <v>0.0</v>
      </c>
      <c r="AA1681" s="16"/>
      <c r="AB1681" s="16"/>
      <c r="AC1681" s="16"/>
      <c r="AD1681" s="16">
        <v>0.0</v>
      </c>
      <c r="AE1681" s="16"/>
      <c r="AF1681" s="16"/>
      <c r="AG1681" s="16"/>
      <c r="AH1681" s="16">
        <v>0.0</v>
      </c>
      <c r="AI1681" s="16"/>
      <c r="AJ1681" s="16"/>
      <c r="AK1681" s="16"/>
      <c r="AL1681" s="16">
        <v>0.0</v>
      </c>
      <c r="AM1681" s="16"/>
      <c r="AN1681" s="16"/>
      <c r="AO1681" s="16"/>
      <c r="AP1681" s="16">
        <v>0.0</v>
      </c>
      <c r="AQ1681" s="16"/>
      <c r="AR1681" s="16"/>
      <c r="AS1681" s="16"/>
      <c r="AT1681" s="16">
        <v>0.0</v>
      </c>
      <c r="AU1681" s="16"/>
      <c r="AV1681" s="16"/>
      <c r="AW1681" s="16"/>
      <c r="AX1681" s="16">
        <v>0.0</v>
      </c>
      <c r="AY1681" s="16"/>
      <c r="AZ1681" s="16"/>
      <c r="BA1681" s="16"/>
      <c r="BB1681" s="16"/>
      <c r="BC1681" s="16"/>
      <c r="BD1681" s="16"/>
      <c r="BE1681" s="16"/>
      <c r="BF1681" s="16">
        <v>0.0</v>
      </c>
      <c r="BG1681" s="16"/>
      <c r="BH1681" s="16"/>
      <c r="BI1681" s="16"/>
      <c r="BJ1681" s="16">
        <v>0.0</v>
      </c>
      <c r="BN1681" s="16">
        <v>0.0</v>
      </c>
      <c r="BO1681" s="16">
        <v>30.0</v>
      </c>
      <c r="BP1681" s="16" t="s">
        <v>10354</v>
      </c>
      <c r="BQ1681" s="16" t="b">
        <v>1</v>
      </c>
      <c r="BR1681" s="16">
        <v>30.0</v>
      </c>
      <c r="BS1681" s="21" t="s">
        <v>13586</v>
      </c>
      <c r="BT1681" s="16" t="b">
        <v>1</v>
      </c>
      <c r="BU1681" s="16" t="s">
        <v>546</v>
      </c>
      <c r="BV1681" s="16"/>
      <c r="BW1681" s="16"/>
      <c r="BX1681" s="16"/>
      <c r="BY1681" s="16"/>
    </row>
    <row r="1682">
      <c r="A1682" s="16" t="s">
        <v>8817</v>
      </c>
      <c r="B1682" s="16" t="s">
        <v>35</v>
      </c>
      <c r="C1682" s="201"/>
      <c r="D1682" s="16" t="s">
        <v>890</v>
      </c>
      <c r="E1682" s="16"/>
      <c r="F1682" s="16" t="s">
        <v>10357</v>
      </c>
      <c r="G1682" s="16" t="s">
        <v>1517</v>
      </c>
      <c r="H1682" s="16">
        <v>1.0</v>
      </c>
      <c r="I1682" s="16">
        <v>3059.59</v>
      </c>
      <c r="J1682" s="16">
        <v>3059.59</v>
      </c>
      <c r="K1682" s="16"/>
      <c r="L1682" s="16"/>
      <c r="M1682" s="16"/>
      <c r="N1682" s="16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16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16"/>
      <c r="AP1682" s="16"/>
      <c r="AQ1682" s="16"/>
      <c r="AR1682" s="16"/>
      <c r="AS1682" s="16"/>
      <c r="AT1682" s="16"/>
      <c r="AU1682" s="16"/>
      <c r="AV1682" s="16"/>
      <c r="AW1682" s="16"/>
      <c r="AX1682" s="16"/>
      <c r="AY1682" s="16"/>
      <c r="AZ1682" s="16"/>
      <c r="BA1682" s="16"/>
      <c r="BB1682" s="16"/>
      <c r="BC1682" s="16"/>
      <c r="BD1682" s="16"/>
      <c r="BE1682" s="16"/>
      <c r="BF1682" s="16"/>
      <c r="BG1682" s="16"/>
      <c r="BH1682" s="16"/>
      <c r="BI1682" s="16"/>
      <c r="BJ1682" s="16"/>
      <c r="BN1682" s="16"/>
      <c r="BO1682" s="16">
        <v>3059.59</v>
      </c>
      <c r="BP1682" s="16"/>
      <c r="BQ1682" s="16" t="b">
        <v>1</v>
      </c>
      <c r="BR1682" s="16">
        <v>3059.59</v>
      </c>
      <c r="BS1682" s="16"/>
      <c r="BT1682" s="16"/>
      <c r="BU1682" s="16" t="s">
        <v>8596</v>
      </c>
      <c r="BV1682" s="16"/>
      <c r="BW1682" s="16"/>
      <c r="BX1682" s="16"/>
      <c r="BY1682" s="16"/>
    </row>
    <row r="1683">
      <c r="A1683" s="16" t="s">
        <v>8819</v>
      </c>
      <c r="B1683" s="16" t="s">
        <v>35</v>
      </c>
      <c r="C1683" s="201">
        <v>45974.0</v>
      </c>
      <c r="D1683" s="16" t="s">
        <v>9989</v>
      </c>
      <c r="E1683" s="16" t="s">
        <v>10361</v>
      </c>
      <c r="F1683" s="16" t="s">
        <v>6914</v>
      </c>
      <c r="G1683" s="16" t="s">
        <v>6720</v>
      </c>
      <c r="H1683" s="16">
        <v>1.0</v>
      </c>
      <c r="I1683" s="16">
        <v>52.0</v>
      </c>
      <c r="J1683" s="16">
        <v>52.0</v>
      </c>
      <c r="K1683" s="16"/>
      <c r="L1683" s="16"/>
      <c r="M1683" s="16"/>
      <c r="N1683" s="16">
        <v>0.0</v>
      </c>
      <c r="O1683" s="16"/>
      <c r="P1683" s="16"/>
      <c r="Q1683" s="16"/>
      <c r="R1683" s="16">
        <v>0.0</v>
      </c>
      <c r="S1683" s="16"/>
      <c r="T1683" s="16"/>
      <c r="U1683" s="16"/>
      <c r="V1683" s="16">
        <v>0.0</v>
      </c>
      <c r="W1683" s="16"/>
      <c r="X1683" s="16"/>
      <c r="Y1683" s="16"/>
      <c r="Z1683" s="16">
        <v>0.0</v>
      </c>
      <c r="AA1683" s="16"/>
      <c r="AB1683" s="16"/>
      <c r="AC1683" s="16"/>
      <c r="AD1683" s="16">
        <v>0.0</v>
      </c>
      <c r="AE1683" s="16"/>
      <c r="AF1683" s="16"/>
      <c r="AG1683" s="16"/>
      <c r="AH1683" s="16">
        <v>0.0</v>
      </c>
      <c r="AI1683" s="16"/>
      <c r="AJ1683" s="16"/>
      <c r="AK1683" s="16"/>
      <c r="AL1683" s="16">
        <v>0.0</v>
      </c>
      <c r="AM1683" s="16"/>
      <c r="AN1683" s="16"/>
      <c r="AO1683" s="16"/>
      <c r="AP1683" s="16">
        <v>0.0</v>
      </c>
      <c r="AQ1683" s="16"/>
      <c r="AR1683" s="16"/>
      <c r="AS1683" s="16"/>
      <c r="AT1683" s="16">
        <v>0.0</v>
      </c>
      <c r="AU1683" s="16"/>
      <c r="AV1683" s="16"/>
      <c r="AW1683" s="16"/>
      <c r="AX1683" s="16">
        <v>0.0</v>
      </c>
      <c r="AY1683" s="16"/>
      <c r="AZ1683" s="16"/>
      <c r="BA1683" s="16"/>
      <c r="BB1683" s="16"/>
      <c r="BC1683" s="16"/>
      <c r="BD1683" s="16"/>
      <c r="BE1683" s="16"/>
      <c r="BF1683" s="16">
        <v>0.0</v>
      </c>
      <c r="BG1683" s="16"/>
      <c r="BH1683" s="16"/>
      <c r="BI1683" s="16"/>
      <c r="BJ1683" s="16">
        <v>0.0</v>
      </c>
      <c r="BN1683" s="16">
        <v>0.0</v>
      </c>
      <c r="BO1683" s="16">
        <v>52.0</v>
      </c>
      <c r="BP1683" s="16" t="s">
        <v>10362</v>
      </c>
      <c r="BQ1683" s="16" t="b">
        <v>1</v>
      </c>
      <c r="BR1683" s="16">
        <v>52.0</v>
      </c>
      <c r="BS1683" s="21" t="s">
        <v>13587</v>
      </c>
      <c r="BT1683" s="16" t="b">
        <v>1</v>
      </c>
      <c r="BU1683" s="16" t="s">
        <v>546</v>
      </c>
      <c r="BV1683" s="16"/>
      <c r="BW1683" s="16"/>
      <c r="BX1683" s="16"/>
      <c r="BY1683" s="16"/>
    </row>
    <row r="1684">
      <c r="A1684" s="16" t="s">
        <v>8823</v>
      </c>
      <c r="B1684" s="16" t="s">
        <v>35</v>
      </c>
      <c r="C1684" s="201">
        <v>45974.0</v>
      </c>
      <c r="D1684" s="16" t="s">
        <v>10009</v>
      </c>
      <c r="E1684" s="16" t="s">
        <v>10365</v>
      </c>
      <c r="F1684" s="16" t="s">
        <v>6914</v>
      </c>
      <c r="G1684" s="16" t="s">
        <v>6720</v>
      </c>
      <c r="H1684" s="16">
        <v>1.0</v>
      </c>
      <c r="I1684" s="16">
        <v>41.0</v>
      </c>
      <c r="J1684" s="16">
        <v>41.0</v>
      </c>
      <c r="K1684" s="16"/>
      <c r="L1684" s="16"/>
      <c r="M1684" s="16"/>
      <c r="N1684" s="16">
        <v>0.0</v>
      </c>
      <c r="O1684" s="16"/>
      <c r="P1684" s="16"/>
      <c r="Q1684" s="16"/>
      <c r="R1684" s="16">
        <v>0.0</v>
      </c>
      <c r="S1684" s="16"/>
      <c r="T1684" s="16"/>
      <c r="U1684" s="16"/>
      <c r="V1684" s="16">
        <v>0.0</v>
      </c>
      <c r="W1684" s="16"/>
      <c r="X1684" s="16"/>
      <c r="Y1684" s="16"/>
      <c r="Z1684" s="16">
        <v>0.0</v>
      </c>
      <c r="AA1684" s="16"/>
      <c r="AB1684" s="16"/>
      <c r="AC1684" s="16"/>
      <c r="AD1684" s="16">
        <v>0.0</v>
      </c>
      <c r="AE1684" s="16"/>
      <c r="AF1684" s="16"/>
      <c r="AG1684" s="16"/>
      <c r="AH1684" s="16">
        <v>0.0</v>
      </c>
      <c r="AI1684" s="16"/>
      <c r="AJ1684" s="16"/>
      <c r="AK1684" s="16"/>
      <c r="AL1684" s="16">
        <v>0.0</v>
      </c>
      <c r="AM1684" s="16"/>
      <c r="AN1684" s="16"/>
      <c r="AO1684" s="16"/>
      <c r="AP1684" s="16">
        <v>0.0</v>
      </c>
      <c r="AQ1684" s="16"/>
      <c r="AR1684" s="16"/>
      <c r="AS1684" s="16"/>
      <c r="AT1684" s="16">
        <v>0.0</v>
      </c>
      <c r="AU1684" s="16"/>
      <c r="AV1684" s="16"/>
      <c r="AW1684" s="16"/>
      <c r="AX1684" s="16">
        <v>0.0</v>
      </c>
      <c r="AY1684" s="16"/>
      <c r="AZ1684" s="16"/>
      <c r="BA1684" s="16"/>
      <c r="BB1684" s="16"/>
      <c r="BC1684" s="16"/>
      <c r="BD1684" s="16"/>
      <c r="BE1684" s="16"/>
      <c r="BF1684" s="16">
        <v>0.0</v>
      </c>
      <c r="BG1684" s="16"/>
      <c r="BH1684" s="16"/>
      <c r="BI1684" s="16"/>
      <c r="BJ1684" s="16">
        <v>0.0</v>
      </c>
      <c r="BN1684" s="16">
        <v>0.0</v>
      </c>
      <c r="BO1684" s="16">
        <v>41.0</v>
      </c>
      <c r="BP1684" s="16" t="s">
        <v>10366</v>
      </c>
      <c r="BQ1684" s="16" t="b">
        <v>1</v>
      </c>
      <c r="BR1684" s="16">
        <v>41.0</v>
      </c>
      <c r="BS1684" s="21" t="s">
        <v>13588</v>
      </c>
      <c r="BT1684" s="16" t="b">
        <v>1</v>
      </c>
      <c r="BU1684" s="16" t="s">
        <v>546</v>
      </c>
      <c r="BV1684" s="16"/>
      <c r="BW1684" s="16"/>
      <c r="BX1684" s="16"/>
      <c r="BY1684" s="16"/>
    </row>
    <row r="1685">
      <c r="A1685" s="16" t="s">
        <v>8825</v>
      </c>
      <c r="B1685" s="16" t="s">
        <v>35</v>
      </c>
      <c r="C1685" s="201">
        <v>45974.0</v>
      </c>
      <c r="D1685" s="16" t="s">
        <v>10070</v>
      </c>
      <c r="E1685" s="16" t="s">
        <v>10371</v>
      </c>
      <c r="F1685" s="16" t="s">
        <v>6914</v>
      </c>
      <c r="G1685" s="16" t="s">
        <v>6720</v>
      </c>
      <c r="H1685" s="16">
        <v>1.0</v>
      </c>
      <c r="I1685" s="16">
        <v>21.0</v>
      </c>
      <c r="J1685" s="16">
        <v>21.0</v>
      </c>
      <c r="K1685" s="16"/>
      <c r="L1685" s="16"/>
      <c r="M1685" s="16"/>
      <c r="N1685" s="16">
        <v>0.0</v>
      </c>
      <c r="O1685" s="16"/>
      <c r="P1685" s="16"/>
      <c r="Q1685" s="16"/>
      <c r="R1685" s="16">
        <v>0.0</v>
      </c>
      <c r="S1685" s="16"/>
      <c r="T1685" s="16"/>
      <c r="U1685" s="16"/>
      <c r="V1685" s="16">
        <v>0.0</v>
      </c>
      <c r="W1685" s="16"/>
      <c r="X1685" s="16"/>
      <c r="Y1685" s="16"/>
      <c r="Z1685" s="16">
        <v>0.0</v>
      </c>
      <c r="AA1685" s="16"/>
      <c r="AB1685" s="16"/>
      <c r="AC1685" s="16"/>
      <c r="AD1685" s="16">
        <v>0.0</v>
      </c>
      <c r="AE1685" s="16"/>
      <c r="AF1685" s="16"/>
      <c r="AG1685" s="16"/>
      <c r="AH1685" s="16">
        <v>0.0</v>
      </c>
      <c r="AI1685" s="16"/>
      <c r="AJ1685" s="16"/>
      <c r="AK1685" s="16"/>
      <c r="AL1685" s="16">
        <v>0.0</v>
      </c>
      <c r="AM1685" s="16"/>
      <c r="AN1685" s="16"/>
      <c r="AO1685" s="16"/>
      <c r="AP1685" s="16">
        <v>0.0</v>
      </c>
      <c r="AQ1685" s="16"/>
      <c r="AR1685" s="16"/>
      <c r="AS1685" s="16"/>
      <c r="AT1685" s="16">
        <v>0.0</v>
      </c>
      <c r="AU1685" s="16"/>
      <c r="AV1685" s="16"/>
      <c r="AW1685" s="16"/>
      <c r="AX1685" s="16">
        <v>0.0</v>
      </c>
      <c r="AY1685" s="16"/>
      <c r="AZ1685" s="16"/>
      <c r="BA1685" s="16"/>
      <c r="BB1685" s="16"/>
      <c r="BC1685" s="16"/>
      <c r="BD1685" s="16"/>
      <c r="BE1685" s="16"/>
      <c r="BF1685" s="16">
        <v>0.0</v>
      </c>
      <c r="BG1685" s="16"/>
      <c r="BH1685" s="16"/>
      <c r="BI1685" s="16"/>
      <c r="BJ1685" s="16">
        <v>0.0</v>
      </c>
      <c r="BN1685" s="16">
        <v>0.0</v>
      </c>
      <c r="BO1685" s="16">
        <v>21.0</v>
      </c>
      <c r="BP1685" s="16" t="s">
        <v>10372</v>
      </c>
      <c r="BQ1685" s="16" t="b">
        <v>1</v>
      </c>
      <c r="BR1685" s="16">
        <v>21.0</v>
      </c>
      <c r="BS1685" s="21" t="s">
        <v>13590</v>
      </c>
      <c r="BT1685" s="16" t="b">
        <v>1</v>
      </c>
      <c r="BU1685" s="16" t="s">
        <v>546</v>
      </c>
      <c r="BV1685" s="16"/>
      <c r="BW1685" s="16"/>
      <c r="BX1685" s="16"/>
      <c r="BY1685" s="16"/>
    </row>
    <row r="1686">
      <c r="A1686" s="16" t="s">
        <v>8829</v>
      </c>
      <c r="B1686" s="16" t="s">
        <v>35</v>
      </c>
      <c r="C1686" s="201">
        <v>45975.0</v>
      </c>
      <c r="D1686" s="16" t="s">
        <v>9989</v>
      </c>
      <c r="E1686" s="16" t="s">
        <v>10375</v>
      </c>
      <c r="F1686" s="16" t="s">
        <v>6914</v>
      </c>
      <c r="G1686" s="16" t="s">
        <v>6720</v>
      </c>
      <c r="H1686" s="16">
        <v>1.0</v>
      </c>
      <c r="I1686" s="16">
        <v>235.0</v>
      </c>
      <c r="J1686" s="16">
        <v>235.0</v>
      </c>
      <c r="K1686" s="16"/>
      <c r="L1686" s="16"/>
      <c r="M1686" s="16"/>
      <c r="N1686" s="16">
        <v>0.0</v>
      </c>
      <c r="O1686" s="16"/>
      <c r="P1686" s="16"/>
      <c r="Q1686" s="16"/>
      <c r="R1686" s="16">
        <v>0.0</v>
      </c>
      <c r="S1686" s="16"/>
      <c r="T1686" s="16"/>
      <c r="U1686" s="16"/>
      <c r="V1686" s="16">
        <v>0.0</v>
      </c>
      <c r="W1686" s="16"/>
      <c r="X1686" s="16"/>
      <c r="Y1686" s="16"/>
      <c r="Z1686" s="16">
        <v>0.0</v>
      </c>
      <c r="AA1686" s="16"/>
      <c r="AB1686" s="16"/>
      <c r="AC1686" s="16"/>
      <c r="AD1686" s="16">
        <v>0.0</v>
      </c>
      <c r="AE1686" s="16"/>
      <c r="AF1686" s="16"/>
      <c r="AG1686" s="16"/>
      <c r="AH1686" s="16">
        <v>0.0</v>
      </c>
      <c r="AI1686" s="16"/>
      <c r="AJ1686" s="16"/>
      <c r="AK1686" s="16"/>
      <c r="AL1686" s="16">
        <v>0.0</v>
      </c>
      <c r="AM1686" s="16"/>
      <c r="AN1686" s="16"/>
      <c r="AO1686" s="16"/>
      <c r="AP1686" s="16">
        <v>0.0</v>
      </c>
      <c r="AQ1686" s="16"/>
      <c r="AR1686" s="16"/>
      <c r="AS1686" s="16"/>
      <c r="AT1686" s="16">
        <v>0.0</v>
      </c>
      <c r="AU1686" s="16"/>
      <c r="AV1686" s="16"/>
      <c r="AW1686" s="16"/>
      <c r="AX1686" s="16">
        <v>0.0</v>
      </c>
      <c r="AY1686" s="16"/>
      <c r="AZ1686" s="16"/>
      <c r="BA1686" s="16"/>
      <c r="BB1686" s="16"/>
      <c r="BC1686" s="16"/>
      <c r="BD1686" s="16"/>
      <c r="BE1686" s="16"/>
      <c r="BF1686" s="16">
        <v>0.0</v>
      </c>
      <c r="BG1686" s="16"/>
      <c r="BH1686" s="16"/>
      <c r="BI1686" s="16"/>
      <c r="BJ1686" s="16">
        <v>0.0</v>
      </c>
      <c r="BN1686" s="16">
        <v>0.0</v>
      </c>
      <c r="BO1686" s="16">
        <v>235.0</v>
      </c>
      <c r="BP1686" s="16" t="s">
        <v>10376</v>
      </c>
      <c r="BQ1686" s="16" t="b">
        <v>1</v>
      </c>
      <c r="BR1686" s="16">
        <v>235.0</v>
      </c>
      <c r="BS1686" s="21" t="s">
        <v>13592</v>
      </c>
      <c r="BT1686" s="16" t="b">
        <v>1</v>
      </c>
      <c r="BU1686" s="16" t="s">
        <v>546</v>
      </c>
      <c r="BV1686" s="16"/>
      <c r="BW1686" s="16"/>
      <c r="BX1686" s="16"/>
      <c r="BY1686" s="16"/>
    </row>
    <row r="1687">
      <c r="A1687" s="16" t="s">
        <v>8832</v>
      </c>
      <c r="B1687" s="16" t="s">
        <v>35</v>
      </c>
      <c r="C1687" s="201">
        <v>45976.0</v>
      </c>
      <c r="D1687" s="16" t="s">
        <v>9989</v>
      </c>
      <c r="E1687" s="16" t="s">
        <v>10380</v>
      </c>
      <c r="F1687" s="16" t="s">
        <v>6914</v>
      </c>
      <c r="G1687" s="16" t="s">
        <v>6720</v>
      </c>
      <c r="H1687" s="16">
        <v>1.0</v>
      </c>
      <c r="I1687" s="16">
        <v>275.0</v>
      </c>
      <c r="J1687" s="16">
        <v>275.0</v>
      </c>
      <c r="K1687" s="16"/>
      <c r="L1687" s="16"/>
      <c r="M1687" s="16"/>
      <c r="N1687" s="16">
        <v>0.0</v>
      </c>
      <c r="O1687" s="16"/>
      <c r="P1687" s="16"/>
      <c r="Q1687" s="16"/>
      <c r="R1687" s="16">
        <v>0.0</v>
      </c>
      <c r="S1687" s="16"/>
      <c r="T1687" s="16"/>
      <c r="U1687" s="16"/>
      <c r="V1687" s="16">
        <v>0.0</v>
      </c>
      <c r="W1687" s="16"/>
      <c r="X1687" s="16"/>
      <c r="Y1687" s="16"/>
      <c r="Z1687" s="16">
        <v>0.0</v>
      </c>
      <c r="AA1687" s="16"/>
      <c r="AB1687" s="16"/>
      <c r="AC1687" s="16"/>
      <c r="AD1687" s="16">
        <v>0.0</v>
      </c>
      <c r="AE1687" s="16"/>
      <c r="AF1687" s="16"/>
      <c r="AG1687" s="16"/>
      <c r="AH1687" s="16">
        <v>0.0</v>
      </c>
      <c r="AI1687" s="16"/>
      <c r="AJ1687" s="16"/>
      <c r="AK1687" s="16"/>
      <c r="AL1687" s="16">
        <v>0.0</v>
      </c>
      <c r="AM1687" s="16"/>
      <c r="AN1687" s="16"/>
      <c r="AO1687" s="16"/>
      <c r="AP1687" s="16">
        <v>0.0</v>
      </c>
      <c r="AQ1687" s="16"/>
      <c r="AR1687" s="16"/>
      <c r="AS1687" s="16"/>
      <c r="AT1687" s="16">
        <v>0.0</v>
      </c>
      <c r="AU1687" s="16"/>
      <c r="AV1687" s="16"/>
      <c r="AW1687" s="16"/>
      <c r="AX1687" s="16">
        <v>0.0</v>
      </c>
      <c r="AY1687" s="16"/>
      <c r="AZ1687" s="16"/>
      <c r="BA1687" s="16"/>
      <c r="BB1687" s="16"/>
      <c r="BC1687" s="16"/>
      <c r="BD1687" s="16"/>
      <c r="BE1687" s="16"/>
      <c r="BF1687" s="16">
        <v>0.0</v>
      </c>
      <c r="BG1687" s="16"/>
      <c r="BH1687" s="16"/>
      <c r="BI1687" s="16"/>
      <c r="BJ1687" s="16">
        <v>0.0</v>
      </c>
      <c r="BN1687" s="16">
        <v>0.0</v>
      </c>
      <c r="BO1687" s="16">
        <v>275.0</v>
      </c>
      <c r="BP1687" s="16" t="s">
        <v>10381</v>
      </c>
      <c r="BQ1687" s="16" t="b">
        <v>1</v>
      </c>
      <c r="BR1687" s="16">
        <v>275.0</v>
      </c>
      <c r="BS1687" s="21" t="s">
        <v>13595</v>
      </c>
      <c r="BT1687" s="16" t="b">
        <v>1</v>
      </c>
      <c r="BU1687" s="16" t="s">
        <v>546</v>
      </c>
      <c r="BV1687" s="16"/>
      <c r="BW1687" s="16"/>
      <c r="BX1687" s="16"/>
      <c r="BY1687" s="16"/>
    </row>
    <row r="1688">
      <c r="A1688" s="16" t="s">
        <v>8835</v>
      </c>
      <c r="B1688" s="16" t="s">
        <v>35</v>
      </c>
      <c r="C1688" s="201">
        <v>45976.0</v>
      </c>
      <c r="D1688" s="16" t="s">
        <v>10009</v>
      </c>
      <c r="E1688" s="16" t="s">
        <v>10386</v>
      </c>
      <c r="F1688" s="16" t="s">
        <v>6914</v>
      </c>
      <c r="G1688" s="16" t="s">
        <v>6720</v>
      </c>
      <c r="H1688" s="16">
        <v>1.0</v>
      </c>
      <c r="I1688" s="16">
        <v>21.0</v>
      </c>
      <c r="J1688" s="16">
        <v>21.0</v>
      </c>
      <c r="K1688" s="16"/>
      <c r="L1688" s="16"/>
      <c r="M1688" s="16"/>
      <c r="N1688" s="16">
        <v>0.0</v>
      </c>
      <c r="O1688" s="16"/>
      <c r="P1688" s="16"/>
      <c r="Q1688" s="16"/>
      <c r="R1688" s="16">
        <v>0.0</v>
      </c>
      <c r="S1688" s="16"/>
      <c r="T1688" s="16"/>
      <c r="U1688" s="16"/>
      <c r="V1688" s="16">
        <v>0.0</v>
      </c>
      <c r="W1688" s="16"/>
      <c r="X1688" s="16"/>
      <c r="Y1688" s="16"/>
      <c r="Z1688" s="16">
        <v>0.0</v>
      </c>
      <c r="AA1688" s="16"/>
      <c r="AB1688" s="16"/>
      <c r="AC1688" s="16"/>
      <c r="AD1688" s="16">
        <v>0.0</v>
      </c>
      <c r="AE1688" s="16"/>
      <c r="AF1688" s="16"/>
      <c r="AG1688" s="16"/>
      <c r="AH1688" s="16">
        <v>0.0</v>
      </c>
      <c r="AI1688" s="16"/>
      <c r="AJ1688" s="16"/>
      <c r="AK1688" s="16"/>
      <c r="AL1688" s="16">
        <v>0.0</v>
      </c>
      <c r="AM1688" s="16"/>
      <c r="AN1688" s="16"/>
      <c r="AO1688" s="16"/>
      <c r="AP1688" s="16">
        <v>0.0</v>
      </c>
      <c r="AQ1688" s="16"/>
      <c r="AR1688" s="16"/>
      <c r="AS1688" s="16"/>
      <c r="AT1688" s="16">
        <v>0.0</v>
      </c>
      <c r="AU1688" s="16"/>
      <c r="AV1688" s="16"/>
      <c r="AW1688" s="16"/>
      <c r="AX1688" s="16">
        <v>0.0</v>
      </c>
      <c r="AY1688" s="16"/>
      <c r="AZ1688" s="16"/>
      <c r="BA1688" s="16"/>
      <c r="BB1688" s="16"/>
      <c r="BC1688" s="16"/>
      <c r="BD1688" s="16"/>
      <c r="BE1688" s="16"/>
      <c r="BF1688" s="16">
        <v>0.0</v>
      </c>
      <c r="BG1688" s="16"/>
      <c r="BH1688" s="16"/>
      <c r="BI1688" s="16"/>
      <c r="BJ1688" s="16">
        <v>0.0</v>
      </c>
      <c r="BN1688" s="16">
        <v>0.0</v>
      </c>
      <c r="BO1688" s="16">
        <v>21.0</v>
      </c>
      <c r="BP1688" s="16" t="s">
        <v>10387</v>
      </c>
      <c r="BQ1688" s="16" t="b">
        <v>1</v>
      </c>
      <c r="BR1688" s="16">
        <v>21.0</v>
      </c>
      <c r="BS1688" s="21" t="s">
        <v>13598</v>
      </c>
      <c r="BT1688" s="16" t="b">
        <v>1</v>
      </c>
      <c r="BU1688" s="16" t="s">
        <v>546</v>
      </c>
      <c r="BV1688" s="16"/>
      <c r="BW1688" s="16"/>
      <c r="BX1688" s="16"/>
      <c r="BY1688" s="16"/>
    </row>
    <row r="1689">
      <c r="A1689" s="16" t="s">
        <v>8837</v>
      </c>
      <c r="B1689" s="16" t="s">
        <v>35</v>
      </c>
      <c r="C1689" s="201">
        <v>45977.0</v>
      </c>
      <c r="D1689" s="16" t="s">
        <v>9989</v>
      </c>
      <c r="E1689" s="16" t="s">
        <v>10392</v>
      </c>
      <c r="F1689" s="16" t="s">
        <v>6914</v>
      </c>
      <c r="G1689" s="16" t="s">
        <v>6720</v>
      </c>
      <c r="H1689" s="16">
        <v>1.0</v>
      </c>
      <c r="I1689" s="16">
        <v>326.0</v>
      </c>
      <c r="J1689" s="16">
        <v>326.0</v>
      </c>
      <c r="K1689" s="16"/>
      <c r="L1689" s="16"/>
      <c r="M1689" s="16"/>
      <c r="N1689" s="16">
        <v>0.0</v>
      </c>
      <c r="O1689" s="16"/>
      <c r="P1689" s="16"/>
      <c r="Q1689" s="16"/>
      <c r="R1689" s="16">
        <v>0.0</v>
      </c>
      <c r="S1689" s="16"/>
      <c r="T1689" s="16"/>
      <c r="U1689" s="16"/>
      <c r="V1689" s="16">
        <v>0.0</v>
      </c>
      <c r="W1689" s="16"/>
      <c r="X1689" s="16"/>
      <c r="Y1689" s="16"/>
      <c r="Z1689" s="16">
        <v>0.0</v>
      </c>
      <c r="AA1689" s="16"/>
      <c r="AB1689" s="16"/>
      <c r="AC1689" s="16"/>
      <c r="AD1689" s="16">
        <v>0.0</v>
      </c>
      <c r="AE1689" s="16"/>
      <c r="AF1689" s="16"/>
      <c r="AG1689" s="16"/>
      <c r="AH1689" s="16">
        <v>0.0</v>
      </c>
      <c r="AI1689" s="16"/>
      <c r="AJ1689" s="16"/>
      <c r="AK1689" s="16"/>
      <c r="AL1689" s="16">
        <v>0.0</v>
      </c>
      <c r="AM1689" s="16"/>
      <c r="AN1689" s="16"/>
      <c r="AO1689" s="16"/>
      <c r="AP1689" s="16">
        <v>0.0</v>
      </c>
      <c r="AQ1689" s="16"/>
      <c r="AR1689" s="16"/>
      <c r="AS1689" s="16"/>
      <c r="AT1689" s="16">
        <v>0.0</v>
      </c>
      <c r="AU1689" s="16"/>
      <c r="AV1689" s="16"/>
      <c r="AW1689" s="16"/>
      <c r="AX1689" s="16">
        <v>0.0</v>
      </c>
      <c r="AY1689" s="16"/>
      <c r="AZ1689" s="16"/>
      <c r="BA1689" s="16"/>
      <c r="BB1689" s="16"/>
      <c r="BC1689" s="16"/>
      <c r="BD1689" s="16"/>
      <c r="BE1689" s="16"/>
      <c r="BF1689" s="16">
        <v>0.0</v>
      </c>
      <c r="BG1689" s="16"/>
      <c r="BH1689" s="16"/>
      <c r="BI1689" s="16"/>
      <c r="BJ1689" s="16">
        <v>0.0</v>
      </c>
      <c r="BN1689" s="16">
        <v>0.0</v>
      </c>
      <c r="BO1689" s="16">
        <v>326.0</v>
      </c>
      <c r="BP1689" s="16" t="s">
        <v>10394</v>
      </c>
      <c r="BQ1689" s="16" t="b">
        <v>1</v>
      </c>
      <c r="BR1689" s="16">
        <v>326.0</v>
      </c>
      <c r="BS1689" s="21" t="s">
        <v>13600</v>
      </c>
      <c r="BT1689" s="16" t="b">
        <v>1</v>
      </c>
      <c r="BU1689" s="16" t="s">
        <v>546</v>
      </c>
      <c r="BV1689" s="16"/>
      <c r="BW1689" s="16"/>
      <c r="BX1689" s="16"/>
      <c r="BY1689" s="16"/>
    </row>
    <row r="1690">
      <c r="A1690" s="16" t="s">
        <v>8841</v>
      </c>
      <c r="B1690" s="16" t="s">
        <v>35</v>
      </c>
      <c r="C1690" s="201">
        <v>45978.0</v>
      </c>
      <c r="D1690" s="16" t="s">
        <v>10398</v>
      </c>
      <c r="E1690" s="16" t="s">
        <v>10400</v>
      </c>
      <c r="F1690" s="16" t="s">
        <v>6914</v>
      </c>
      <c r="G1690" s="16" t="s">
        <v>6720</v>
      </c>
      <c r="H1690" s="16">
        <v>1.0</v>
      </c>
      <c r="I1690" s="16">
        <v>11.0</v>
      </c>
      <c r="J1690" s="16">
        <v>11.0</v>
      </c>
      <c r="K1690" s="16"/>
      <c r="L1690" s="16"/>
      <c r="M1690" s="16"/>
      <c r="N1690" s="16">
        <v>0.0</v>
      </c>
      <c r="O1690" s="16"/>
      <c r="P1690" s="16"/>
      <c r="Q1690" s="16"/>
      <c r="R1690" s="16">
        <v>0.0</v>
      </c>
      <c r="S1690" s="16"/>
      <c r="T1690" s="16"/>
      <c r="U1690" s="16"/>
      <c r="V1690" s="16">
        <v>0.0</v>
      </c>
      <c r="W1690" s="16"/>
      <c r="X1690" s="16"/>
      <c r="Y1690" s="16"/>
      <c r="Z1690" s="16">
        <v>0.0</v>
      </c>
      <c r="AA1690" s="16"/>
      <c r="AB1690" s="16"/>
      <c r="AC1690" s="16"/>
      <c r="AD1690" s="16">
        <v>0.0</v>
      </c>
      <c r="AE1690" s="16"/>
      <c r="AF1690" s="16"/>
      <c r="AG1690" s="16"/>
      <c r="AH1690" s="16">
        <v>0.0</v>
      </c>
      <c r="AI1690" s="16"/>
      <c r="AJ1690" s="16"/>
      <c r="AK1690" s="16"/>
      <c r="AL1690" s="16">
        <v>0.0</v>
      </c>
      <c r="AM1690" s="16"/>
      <c r="AN1690" s="16"/>
      <c r="AO1690" s="16"/>
      <c r="AP1690" s="16">
        <v>0.0</v>
      </c>
      <c r="AQ1690" s="16"/>
      <c r="AR1690" s="16"/>
      <c r="AS1690" s="16"/>
      <c r="AT1690" s="16">
        <v>0.0</v>
      </c>
      <c r="AU1690" s="16"/>
      <c r="AV1690" s="16"/>
      <c r="AW1690" s="16"/>
      <c r="AX1690" s="16">
        <v>0.0</v>
      </c>
      <c r="AY1690" s="16"/>
      <c r="AZ1690" s="16"/>
      <c r="BA1690" s="16"/>
      <c r="BB1690" s="16"/>
      <c r="BC1690" s="16"/>
      <c r="BD1690" s="16"/>
      <c r="BE1690" s="16"/>
      <c r="BF1690" s="16">
        <v>0.0</v>
      </c>
      <c r="BG1690" s="16"/>
      <c r="BH1690" s="16"/>
      <c r="BI1690" s="16"/>
      <c r="BJ1690" s="16">
        <v>0.0</v>
      </c>
      <c r="BN1690" s="16">
        <v>0.0</v>
      </c>
      <c r="BO1690" s="16">
        <v>11.0</v>
      </c>
      <c r="BP1690" s="16" t="s">
        <v>10401</v>
      </c>
      <c r="BQ1690" s="16" t="b">
        <v>1</v>
      </c>
      <c r="BR1690" s="16">
        <v>11.0</v>
      </c>
      <c r="BS1690" s="21" t="s">
        <v>13604</v>
      </c>
      <c r="BT1690" s="16" t="b">
        <v>1</v>
      </c>
      <c r="BU1690" s="16" t="s">
        <v>546</v>
      </c>
      <c r="BV1690" s="16"/>
      <c r="BW1690" s="16"/>
      <c r="BX1690" s="16"/>
      <c r="BY1690" s="16"/>
    </row>
    <row r="1691">
      <c r="A1691" s="16" t="s">
        <v>8845</v>
      </c>
      <c r="B1691" s="16" t="s">
        <v>35</v>
      </c>
      <c r="C1691" s="201">
        <v>45978.0</v>
      </c>
      <c r="D1691" s="16" t="s">
        <v>10009</v>
      </c>
      <c r="E1691" s="16" t="s">
        <v>10404</v>
      </c>
      <c r="F1691" s="16" t="s">
        <v>6914</v>
      </c>
      <c r="G1691" s="16" t="s">
        <v>6720</v>
      </c>
      <c r="H1691" s="16">
        <v>1.0</v>
      </c>
      <c r="I1691" s="16">
        <v>41.0</v>
      </c>
      <c r="J1691" s="16">
        <v>41.0</v>
      </c>
      <c r="K1691" s="16"/>
      <c r="L1691" s="16"/>
      <c r="M1691" s="16"/>
      <c r="N1691" s="16">
        <v>0.0</v>
      </c>
      <c r="O1691" s="16"/>
      <c r="P1691" s="16"/>
      <c r="Q1691" s="16"/>
      <c r="R1691" s="16">
        <v>0.0</v>
      </c>
      <c r="S1691" s="16"/>
      <c r="T1691" s="16"/>
      <c r="U1691" s="16"/>
      <c r="V1691" s="16">
        <v>0.0</v>
      </c>
      <c r="W1691" s="16"/>
      <c r="X1691" s="16"/>
      <c r="Y1691" s="16"/>
      <c r="Z1691" s="16">
        <v>0.0</v>
      </c>
      <c r="AA1691" s="16"/>
      <c r="AB1691" s="16"/>
      <c r="AC1691" s="16"/>
      <c r="AD1691" s="16">
        <v>0.0</v>
      </c>
      <c r="AE1691" s="16"/>
      <c r="AF1691" s="16"/>
      <c r="AG1691" s="16"/>
      <c r="AH1691" s="16">
        <v>0.0</v>
      </c>
      <c r="AI1691" s="16"/>
      <c r="AJ1691" s="16"/>
      <c r="AK1691" s="16"/>
      <c r="AL1691" s="16">
        <v>0.0</v>
      </c>
      <c r="AM1691" s="16"/>
      <c r="AN1691" s="16"/>
      <c r="AO1691" s="16"/>
      <c r="AP1691" s="16">
        <v>0.0</v>
      </c>
      <c r="AQ1691" s="16"/>
      <c r="AR1691" s="16"/>
      <c r="AS1691" s="16"/>
      <c r="AT1691" s="16">
        <v>0.0</v>
      </c>
      <c r="AU1691" s="16"/>
      <c r="AV1691" s="16"/>
      <c r="AW1691" s="16"/>
      <c r="AX1691" s="16">
        <v>0.0</v>
      </c>
      <c r="AY1691" s="16"/>
      <c r="AZ1691" s="16"/>
      <c r="BA1691" s="16"/>
      <c r="BB1691" s="16"/>
      <c r="BC1691" s="16"/>
      <c r="BD1691" s="16"/>
      <c r="BE1691" s="16"/>
      <c r="BF1691" s="16">
        <v>0.0</v>
      </c>
      <c r="BG1691" s="16"/>
      <c r="BH1691" s="16"/>
      <c r="BI1691" s="16"/>
      <c r="BJ1691" s="16">
        <v>0.0</v>
      </c>
      <c r="BN1691" s="16">
        <v>0.0</v>
      </c>
      <c r="BO1691" s="16">
        <v>41.0</v>
      </c>
      <c r="BP1691" s="16" t="s">
        <v>10405</v>
      </c>
      <c r="BQ1691" s="16" t="b">
        <v>1</v>
      </c>
      <c r="BR1691" s="16">
        <v>41.0</v>
      </c>
      <c r="BS1691" s="21" t="s">
        <v>13606</v>
      </c>
      <c r="BT1691" s="16" t="b">
        <v>1</v>
      </c>
      <c r="BU1691" s="16" t="s">
        <v>546</v>
      </c>
      <c r="BV1691" s="16"/>
      <c r="BW1691" s="16"/>
      <c r="BX1691" s="16"/>
      <c r="BY1691" s="16"/>
    </row>
    <row r="1692">
      <c r="A1692" s="16" t="s">
        <v>8850</v>
      </c>
      <c r="B1692" s="16" t="s">
        <v>35</v>
      </c>
      <c r="C1692" s="201">
        <v>45976.0</v>
      </c>
      <c r="D1692" s="16" t="s">
        <v>10033</v>
      </c>
      <c r="E1692" s="16" t="s">
        <v>10408</v>
      </c>
      <c r="F1692" s="16" t="s">
        <v>10036</v>
      </c>
      <c r="G1692" s="16" t="s">
        <v>3987</v>
      </c>
      <c r="H1692" s="16">
        <v>1.0</v>
      </c>
      <c r="I1692" s="16">
        <v>124.0</v>
      </c>
      <c r="J1692" s="16">
        <v>124.0</v>
      </c>
      <c r="K1692" s="16"/>
      <c r="L1692" s="16"/>
      <c r="M1692" s="16"/>
      <c r="N1692" s="16">
        <v>0.0</v>
      </c>
      <c r="O1692" s="16"/>
      <c r="P1692" s="16"/>
      <c r="Q1692" s="16"/>
      <c r="R1692" s="16">
        <v>0.0</v>
      </c>
      <c r="S1692" s="16"/>
      <c r="T1692" s="16"/>
      <c r="U1692" s="16"/>
      <c r="V1692" s="16">
        <v>0.0</v>
      </c>
      <c r="W1692" s="16"/>
      <c r="X1692" s="16"/>
      <c r="Y1692" s="16"/>
      <c r="Z1692" s="16">
        <v>0.0</v>
      </c>
      <c r="AA1692" s="16"/>
      <c r="AB1692" s="16"/>
      <c r="AC1692" s="16"/>
      <c r="AD1692" s="16">
        <v>0.0</v>
      </c>
      <c r="AE1692" s="16"/>
      <c r="AF1692" s="16"/>
      <c r="AG1692" s="16"/>
      <c r="AH1692" s="16">
        <v>0.0</v>
      </c>
      <c r="AI1692" s="16"/>
      <c r="AJ1692" s="16"/>
      <c r="AK1692" s="16"/>
      <c r="AL1692" s="16">
        <v>0.0</v>
      </c>
      <c r="AM1692" s="16"/>
      <c r="AN1692" s="16"/>
      <c r="AO1692" s="16"/>
      <c r="AP1692" s="16">
        <v>0.0</v>
      </c>
      <c r="AQ1692" s="16"/>
      <c r="AR1692" s="16"/>
      <c r="AS1692" s="16"/>
      <c r="AT1692" s="16">
        <v>0.0</v>
      </c>
      <c r="AU1692" s="16"/>
      <c r="AV1692" s="16"/>
      <c r="AW1692" s="16"/>
      <c r="AX1692" s="16">
        <v>0.0</v>
      </c>
      <c r="AY1692" s="16"/>
      <c r="AZ1692" s="16"/>
      <c r="BA1692" s="16"/>
      <c r="BB1692" s="16"/>
      <c r="BC1692" s="16"/>
      <c r="BD1692" s="16"/>
      <c r="BE1692" s="16"/>
      <c r="BF1692" s="16">
        <v>0.0</v>
      </c>
      <c r="BG1692" s="16"/>
      <c r="BH1692" s="16"/>
      <c r="BI1692" s="16"/>
      <c r="BJ1692" s="16">
        <v>0.0</v>
      </c>
      <c r="BN1692" s="16">
        <v>0.0</v>
      </c>
      <c r="BO1692" s="16">
        <v>124.0</v>
      </c>
      <c r="BP1692" s="16" t="s">
        <v>10409</v>
      </c>
      <c r="BQ1692" s="16" t="b">
        <v>1</v>
      </c>
      <c r="BR1692" s="16">
        <v>124.0</v>
      </c>
      <c r="BS1692" s="21" t="s">
        <v>13608</v>
      </c>
      <c r="BT1692" s="16" t="b">
        <v>1</v>
      </c>
      <c r="BU1692" s="16" t="s">
        <v>546</v>
      </c>
      <c r="BV1692" s="16"/>
      <c r="BW1692" s="16"/>
      <c r="BX1692" s="16"/>
      <c r="BY1692" s="16"/>
    </row>
    <row r="1693">
      <c r="A1693" s="16" t="s">
        <v>8854</v>
      </c>
      <c r="B1693" s="16" t="s">
        <v>35</v>
      </c>
      <c r="C1693" s="201">
        <v>45976.0</v>
      </c>
      <c r="D1693" s="16" t="s">
        <v>10412</v>
      </c>
      <c r="E1693" s="16" t="s">
        <v>10414</v>
      </c>
      <c r="F1693" s="16" t="s">
        <v>10036</v>
      </c>
      <c r="G1693" s="16" t="s">
        <v>3987</v>
      </c>
      <c r="H1693" s="16">
        <v>1.0</v>
      </c>
      <c r="I1693" s="16">
        <v>130.0</v>
      </c>
      <c r="J1693" s="16">
        <v>130.0</v>
      </c>
      <c r="K1693" s="16"/>
      <c r="L1693" s="16"/>
      <c r="M1693" s="16"/>
      <c r="N1693" s="16">
        <v>0.0</v>
      </c>
      <c r="O1693" s="16"/>
      <c r="P1693" s="16"/>
      <c r="Q1693" s="16"/>
      <c r="R1693" s="16">
        <v>0.0</v>
      </c>
      <c r="S1693" s="16"/>
      <c r="T1693" s="16"/>
      <c r="U1693" s="16"/>
      <c r="V1693" s="16">
        <v>0.0</v>
      </c>
      <c r="W1693" s="16"/>
      <c r="X1693" s="16"/>
      <c r="Y1693" s="16"/>
      <c r="Z1693" s="16">
        <v>0.0</v>
      </c>
      <c r="AA1693" s="16"/>
      <c r="AB1693" s="16"/>
      <c r="AC1693" s="16"/>
      <c r="AD1693" s="16">
        <v>0.0</v>
      </c>
      <c r="AE1693" s="16"/>
      <c r="AF1693" s="16"/>
      <c r="AG1693" s="16"/>
      <c r="AH1693" s="16">
        <v>0.0</v>
      </c>
      <c r="AI1693" s="16"/>
      <c r="AJ1693" s="16"/>
      <c r="AK1693" s="16"/>
      <c r="AL1693" s="16">
        <v>0.0</v>
      </c>
      <c r="AM1693" s="16"/>
      <c r="AN1693" s="16"/>
      <c r="AO1693" s="16"/>
      <c r="AP1693" s="16">
        <v>0.0</v>
      </c>
      <c r="AQ1693" s="16"/>
      <c r="AR1693" s="16"/>
      <c r="AS1693" s="16"/>
      <c r="AT1693" s="16">
        <v>0.0</v>
      </c>
      <c r="AU1693" s="16"/>
      <c r="AV1693" s="16"/>
      <c r="AW1693" s="16"/>
      <c r="AX1693" s="16">
        <v>0.0</v>
      </c>
      <c r="AY1693" s="16"/>
      <c r="AZ1693" s="16"/>
      <c r="BA1693" s="16"/>
      <c r="BB1693" s="16"/>
      <c r="BC1693" s="16"/>
      <c r="BD1693" s="16"/>
      <c r="BE1693" s="16"/>
      <c r="BF1693" s="16">
        <v>0.0</v>
      </c>
      <c r="BG1693" s="16"/>
      <c r="BH1693" s="16"/>
      <c r="BI1693" s="16"/>
      <c r="BJ1693" s="16">
        <v>0.0</v>
      </c>
      <c r="BN1693" s="16">
        <v>0.0</v>
      </c>
      <c r="BO1693" s="16">
        <v>130.0</v>
      </c>
      <c r="BP1693" s="16" t="s">
        <v>10416</v>
      </c>
      <c r="BQ1693" s="16" t="b">
        <v>1</v>
      </c>
      <c r="BR1693" s="16">
        <v>130.0</v>
      </c>
      <c r="BS1693" s="21" t="s">
        <v>13611</v>
      </c>
      <c r="BT1693" s="16" t="b">
        <v>1</v>
      </c>
      <c r="BU1693" s="16" t="s">
        <v>546</v>
      </c>
      <c r="BV1693" s="16"/>
      <c r="BW1693" s="16"/>
      <c r="BX1693" s="16"/>
      <c r="BY1693" s="16"/>
    </row>
    <row r="1694">
      <c r="A1694" s="16" t="s">
        <v>8856</v>
      </c>
      <c r="B1694" s="16" t="s">
        <v>35</v>
      </c>
      <c r="C1694" s="201">
        <v>45976.0</v>
      </c>
      <c r="D1694" s="16" t="s">
        <v>10421</v>
      </c>
      <c r="E1694" s="16" t="s">
        <v>10423</v>
      </c>
      <c r="F1694" s="16" t="s">
        <v>10036</v>
      </c>
      <c r="G1694" s="16" t="s">
        <v>3987</v>
      </c>
      <c r="H1694" s="16">
        <v>1.0</v>
      </c>
      <c r="I1694" s="16">
        <v>130.0</v>
      </c>
      <c r="J1694" s="16">
        <v>130.0</v>
      </c>
      <c r="K1694" s="16"/>
      <c r="L1694" s="16"/>
      <c r="M1694" s="16"/>
      <c r="N1694" s="16">
        <v>0.0</v>
      </c>
      <c r="O1694" s="16"/>
      <c r="P1694" s="16"/>
      <c r="Q1694" s="16"/>
      <c r="R1694" s="16">
        <v>0.0</v>
      </c>
      <c r="S1694" s="16"/>
      <c r="T1694" s="16"/>
      <c r="U1694" s="16"/>
      <c r="V1694" s="16">
        <v>0.0</v>
      </c>
      <c r="W1694" s="16"/>
      <c r="X1694" s="16"/>
      <c r="Y1694" s="16"/>
      <c r="Z1694" s="16">
        <v>0.0</v>
      </c>
      <c r="AA1694" s="16"/>
      <c r="AB1694" s="16"/>
      <c r="AC1694" s="16"/>
      <c r="AD1694" s="16">
        <v>0.0</v>
      </c>
      <c r="AE1694" s="16"/>
      <c r="AF1694" s="16"/>
      <c r="AG1694" s="16"/>
      <c r="AH1694" s="16">
        <v>0.0</v>
      </c>
      <c r="AI1694" s="16"/>
      <c r="AJ1694" s="16"/>
      <c r="AK1694" s="16"/>
      <c r="AL1694" s="16">
        <v>0.0</v>
      </c>
      <c r="AM1694" s="16"/>
      <c r="AN1694" s="16"/>
      <c r="AO1694" s="16"/>
      <c r="AP1694" s="16">
        <v>0.0</v>
      </c>
      <c r="AQ1694" s="16"/>
      <c r="AR1694" s="16"/>
      <c r="AS1694" s="16"/>
      <c r="AT1694" s="16">
        <v>0.0</v>
      </c>
      <c r="AU1694" s="16"/>
      <c r="AV1694" s="16"/>
      <c r="AW1694" s="16"/>
      <c r="AX1694" s="16">
        <v>0.0</v>
      </c>
      <c r="AY1694" s="16"/>
      <c r="AZ1694" s="16"/>
      <c r="BA1694" s="16"/>
      <c r="BB1694" s="16"/>
      <c r="BC1694" s="16"/>
      <c r="BD1694" s="16"/>
      <c r="BE1694" s="16"/>
      <c r="BF1694" s="16">
        <v>0.0</v>
      </c>
      <c r="BG1694" s="16"/>
      <c r="BH1694" s="16"/>
      <c r="BI1694" s="16"/>
      <c r="BJ1694" s="16">
        <v>0.0</v>
      </c>
      <c r="BN1694" s="16">
        <v>0.0</v>
      </c>
      <c r="BO1694" s="16">
        <v>130.0</v>
      </c>
      <c r="BP1694" s="16" t="s">
        <v>10425</v>
      </c>
      <c r="BQ1694" s="16" t="b">
        <v>1</v>
      </c>
      <c r="BR1694" s="16">
        <v>130.0</v>
      </c>
      <c r="BS1694" s="21" t="s">
        <v>13612</v>
      </c>
      <c r="BT1694" s="16" t="b">
        <v>1</v>
      </c>
      <c r="BU1694" s="16" t="s">
        <v>546</v>
      </c>
      <c r="BV1694" s="16"/>
      <c r="BW1694" s="16"/>
      <c r="BX1694" s="16"/>
      <c r="BY1694" s="16"/>
    </row>
    <row r="1695">
      <c r="A1695" s="16" t="s">
        <v>8860</v>
      </c>
      <c r="B1695" s="16" t="s">
        <v>35</v>
      </c>
      <c r="C1695" s="201">
        <v>45976.0</v>
      </c>
      <c r="D1695" s="16" t="s">
        <v>10038</v>
      </c>
      <c r="E1695" s="16" t="s">
        <v>10429</v>
      </c>
      <c r="F1695" s="16" t="s">
        <v>10036</v>
      </c>
      <c r="G1695" s="16" t="s">
        <v>3987</v>
      </c>
      <c r="H1695" s="16">
        <v>1.0</v>
      </c>
      <c r="I1695" s="16">
        <v>130.0</v>
      </c>
      <c r="J1695" s="16">
        <v>130.0</v>
      </c>
      <c r="K1695" s="16"/>
      <c r="L1695" s="16"/>
      <c r="M1695" s="16"/>
      <c r="N1695" s="16">
        <v>0.0</v>
      </c>
      <c r="O1695" s="16"/>
      <c r="P1695" s="16"/>
      <c r="Q1695" s="16"/>
      <c r="R1695" s="16">
        <v>0.0</v>
      </c>
      <c r="S1695" s="16"/>
      <c r="T1695" s="16"/>
      <c r="U1695" s="16"/>
      <c r="V1695" s="16">
        <v>0.0</v>
      </c>
      <c r="W1695" s="16"/>
      <c r="X1695" s="16"/>
      <c r="Y1695" s="16"/>
      <c r="Z1695" s="16">
        <v>0.0</v>
      </c>
      <c r="AA1695" s="16"/>
      <c r="AB1695" s="16"/>
      <c r="AC1695" s="16"/>
      <c r="AD1695" s="16">
        <v>0.0</v>
      </c>
      <c r="AE1695" s="16"/>
      <c r="AF1695" s="16"/>
      <c r="AG1695" s="16"/>
      <c r="AH1695" s="16">
        <v>0.0</v>
      </c>
      <c r="AI1695" s="16"/>
      <c r="AJ1695" s="16"/>
      <c r="AK1695" s="16"/>
      <c r="AL1695" s="16">
        <v>0.0</v>
      </c>
      <c r="AM1695" s="16"/>
      <c r="AN1695" s="16"/>
      <c r="AO1695" s="16"/>
      <c r="AP1695" s="16">
        <v>0.0</v>
      </c>
      <c r="AQ1695" s="16"/>
      <c r="AR1695" s="16"/>
      <c r="AS1695" s="16"/>
      <c r="AT1695" s="16">
        <v>0.0</v>
      </c>
      <c r="AU1695" s="16"/>
      <c r="AV1695" s="16"/>
      <c r="AW1695" s="16"/>
      <c r="AX1695" s="16">
        <v>0.0</v>
      </c>
      <c r="AY1695" s="16"/>
      <c r="AZ1695" s="16"/>
      <c r="BA1695" s="16"/>
      <c r="BB1695" s="16"/>
      <c r="BC1695" s="16"/>
      <c r="BD1695" s="16"/>
      <c r="BE1695" s="16"/>
      <c r="BF1695" s="16">
        <v>0.0</v>
      </c>
      <c r="BG1695" s="16"/>
      <c r="BH1695" s="16"/>
      <c r="BI1695" s="16"/>
      <c r="BJ1695" s="16">
        <v>0.0</v>
      </c>
      <c r="BN1695" s="16">
        <v>0.0</v>
      </c>
      <c r="BO1695" s="16">
        <v>130.0</v>
      </c>
      <c r="BP1695" s="16" t="s">
        <v>10432</v>
      </c>
      <c r="BQ1695" s="16" t="b">
        <v>1</v>
      </c>
      <c r="BR1695" s="16">
        <v>130.0</v>
      </c>
      <c r="BS1695" s="21" t="s">
        <v>13614</v>
      </c>
      <c r="BT1695" s="16" t="b">
        <v>1</v>
      </c>
      <c r="BU1695" s="16" t="s">
        <v>546</v>
      </c>
      <c r="BV1695" s="16"/>
      <c r="BW1695" s="16"/>
      <c r="BX1695" s="16"/>
      <c r="BY1695" s="16"/>
    </row>
    <row r="1696">
      <c r="A1696" s="16" t="s">
        <v>8862</v>
      </c>
      <c r="B1696" s="16" t="s">
        <v>35</v>
      </c>
      <c r="C1696" s="201">
        <v>45977.0</v>
      </c>
      <c r="D1696" s="16" t="s">
        <v>10038</v>
      </c>
      <c r="E1696" s="16" t="s">
        <v>10436</v>
      </c>
      <c r="F1696" s="16" t="s">
        <v>10036</v>
      </c>
      <c r="G1696" s="16" t="s">
        <v>3987</v>
      </c>
      <c r="H1696" s="16">
        <v>1.0</v>
      </c>
      <c r="I1696" s="16">
        <v>130.0</v>
      </c>
      <c r="J1696" s="16">
        <v>130.0</v>
      </c>
      <c r="K1696" s="16"/>
      <c r="L1696" s="16"/>
      <c r="M1696" s="16"/>
      <c r="N1696" s="16">
        <v>0.0</v>
      </c>
      <c r="O1696" s="16"/>
      <c r="P1696" s="16"/>
      <c r="Q1696" s="16"/>
      <c r="R1696" s="16">
        <v>0.0</v>
      </c>
      <c r="S1696" s="16"/>
      <c r="T1696" s="16"/>
      <c r="U1696" s="16"/>
      <c r="V1696" s="16">
        <v>0.0</v>
      </c>
      <c r="W1696" s="16"/>
      <c r="X1696" s="16"/>
      <c r="Y1696" s="16"/>
      <c r="Z1696" s="16">
        <v>0.0</v>
      </c>
      <c r="AA1696" s="16"/>
      <c r="AB1696" s="16"/>
      <c r="AC1696" s="16"/>
      <c r="AD1696" s="16">
        <v>0.0</v>
      </c>
      <c r="AE1696" s="16"/>
      <c r="AF1696" s="16"/>
      <c r="AG1696" s="16"/>
      <c r="AH1696" s="16">
        <v>0.0</v>
      </c>
      <c r="AI1696" s="16"/>
      <c r="AJ1696" s="16"/>
      <c r="AK1696" s="16"/>
      <c r="AL1696" s="16">
        <v>0.0</v>
      </c>
      <c r="AM1696" s="16"/>
      <c r="AN1696" s="16"/>
      <c r="AO1696" s="16"/>
      <c r="AP1696" s="16">
        <v>0.0</v>
      </c>
      <c r="AQ1696" s="16"/>
      <c r="AR1696" s="16"/>
      <c r="AS1696" s="16"/>
      <c r="AT1696" s="16">
        <v>0.0</v>
      </c>
      <c r="AU1696" s="16"/>
      <c r="AV1696" s="16"/>
      <c r="AW1696" s="16"/>
      <c r="AX1696" s="16">
        <v>0.0</v>
      </c>
      <c r="AY1696" s="16"/>
      <c r="AZ1696" s="16"/>
      <c r="BA1696" s="16"/>
      <c r="BB1696" s="16"/>
      <c r="BC1696" s="16"/>
      <c r="BD1696" s="16"/>
      <c r="BE1696" s="16"/>
      <c r="BF1696" s="16">
        <v>0.0</v>
      </c>
      <c r="BG1696" s="16"/>
      <c r="BH1696" s="16"/>
      <c r="BI1696" s="16"/>
      <c r="BJ1696" s="16">
        <v>0.0</v>
      </c>
      <c r="BN1696" s="16">
        <v>0.0</v>
      </c>
      <c r="BO1696" s="16">
        <v>130.0</v>
      </c>
      <c r="BP1696" s="16" t="s">
        <v>10437</v>
      </c>
      <c r="BQ1696" s="16" t="b">
        <v>1</v>
      </c>
      <c r="BR1696" s="16">
        <v>130.0</v>
      </c>
      <c r="BS1696" s="21" t="s">
        <v>13617</v>
      </c>
      <c r="BT1696" s="16" t="b">
        <v>1</v>
      </c>
      <c r="BU1696" s="16" t="s">
        <v>546</v>
      </c>
      <c r="BV1696" s="16"/>
      <c r="BW1696" s="16"/>
      <c r="BX1696" s="16"/>
      <c r="BY1696" s="16"/>
    </row>
    <row r="1697">
      <c r="A1697" s="16" t="s">
        <v>8865</v>
      </c>
      <c r="B1697" s="16" t="s">
        <v>35</v>
      </c>
      <c r="C1697" s="201">
        <v>45977.0</v>
      </c>
      <c r="D1697" s="16" t="s">
        <v>10033</v>
      </c>
      <c r="E1697" s="16" t="s">
        <v>10441</v>
      </c>
      <c r="F1697" s="16" t="s">
        <v>10036</v>
      </c>
      <c r="G1697" s="16" t="s">
        <v>3987</v>
      </c>
      <c r="H1697" s="16">
        <v>1.0</v>
      </c>
      <c r="I1697" s="16">
        <v>130.0</v>
      </c>
      <c r="J1697" s="16">
        <v>130.0</v>
      </c>
      <c r="K1697" s="16"/>
      <c r="L1697" s="16"/>
      <c r="M1697" s="16"/>
      <c r="N1697" s="16">
        <v>0.0</v>
      </c>
      <c r="O1697" s="16"/>
      <c r="P1697" s="16"/>
      <c r="Q1697" s="16"/>
      <c r="R1697" s="16">
        <v>0.0</v>
      </c>
      <c r="S1697" s="16"/>
      <c r="T1697" s="16"/>
      <c r="U1697" s="16"/>
      <c r="V1697" s="16">
        <v>0.0</v>
      </c>
      <c r="W1697" s="16"/>
      <c r="X1697" s="16"/>
      <c r="Y1697" s="16"/>
      <c r="Z1697" s="16">
        <v>0.0</v>
      </c>
      <c r="AA1697" s="16"/>
      <c r="AB1697" s="16"/>
      <c r="AC1697" s="16"/>
      <c r="AD1697" s="16">
        <v>0.0</v>
      </c>
      <c r="AE1697" s="16"/>
      <c r="AF1697" s="16"/>
      <c r="AG1697" s="16"/>
      <c r="AH1697" s="16">
        <v>0.0</v>
      </c>
      <c r="AI1697" s="16"/>
      <c r="AJ1697" s="16"/>
      <c r="AK1697" s="16"/>
      <c r="AL1697" s="16">
        <v>0.0</v>
      </c>
      <c r="AM1697" s="16"/>
      <c r="AN1697" s="16"/>
      <c r="AO1697" s="16"/>
      <c r="AP1697" s="16">
        <v>0.0</v>
      </c>
      <c r="AQ1697" s="16"/>
      <c r="AR1697" s="16"/>
      <c r="AS1697" s="16"/>
      <c r="AT1697" s="16">
        <v>0.0</v>
      </c>
      <c r="AU1697" s="16"/>
      <c r="AV1697" s="16"/>
      <c r="AW1697" s="16"/>
      <c r="AX1697" s="16">
        <v>0.0</v>
      </c>
      <c r="AY1697" s="16"/>
      <c r="AZ1697" s="16"/>
      <c r="BA1697" s="16"/>
      <c r="BB1697" s="16"/>
      <c r="BC1697" s="16"/>
      <c r="BD1697" s="16"/>
      <c r="BE1697" s="16"/>
      <c r="BF1697" s="16">
        <v>0.0</v>
      </c>
      <c r="BG1697" s="16"/>
      <c r="BH1697" s="16"/>
      <c r="BI1697" s="16"/>
      <c r="BJ1697" s="16">
        <v>0.0</v>
      </c>
      <c r="BN1697" s="16">
        <v>0.0</v>
      </c>
      <c r="BO1697" s="16">
        <v>130.0</v>
      </c>
      <c r="BP1697" s="16" t="s">
        <v>10442</v>
      </c>
      <c r="BQ1697" s="16" t="b">
        <v>1</v>
      </c>
      <c r="BR1697" s="16">
        <v>130.0</v>
      </c>
      <c r="BS1697" s="21" t="s">
        <v>13618</v>
      </c>
      <c r="BT1697" s="16" t="b">
        <v>1</v>
      </c>
      <c r="BU1697" s="16" t="s">
        <v>546</v>
      </c>
      <c r="BV1697" s="16"/>
      <c r="BW1697" s="16"/>
      <c r="BX1697" s="16"/>
      <c r="BY1697" s="16"/>
    </row>
    <row r="1698">
      <c r="A1698" s="16" t="s">
        <v>8869</v>
      </c>
      <c r="B1698" s="16" t="s">
        <v>35</v>
      </c>
      <c r="C1698" s="201">
        <v>45977.0</v>
      </c>
      <c r="D1698" s="16" t="s">
        <v>10446</v>
      </c>
      <c r="E1698" s="16" t="s">
        <v>10447</v>
      </c>
      <c r="F1698" s="16" t="s">
        <v>10036</v>
      </c>
      <c r="G1698" s="16" t="s">
        <v>3987</v>
      </c>
      <c r="H1698" s="16">
        <v>1.0</v>
      </c>
      <c r="I1698" s="16">
        <v>130.0</v>
      </c>
      <c r="J1698" s="16">
        <v>130.0</v>
      </c>
      <c r="K1698" s="16"/>
      <c r="L1698" s="16"/>
      <c r="M1698" s="16"/>
      <c r="N1698" s="16">
        <v>0.0</v>
      </c>
      <c r="O1698" s="16"/>
      <c r="P1698" s="16"/>
      <c r="Q1698" s="16"/>
      <c r="R1698" s="16">
        <v>0.0</v>
      </c>
      <c r="S1698" s="16"/>
      <c r="T1698" s="16"/>
      <c r="U1698" s="16"/>
      <c r="V1698" s="16">
        <v>0.0</v>
      </c>
      <c r="W1698" s="16"/>
      <c r="X1698" s="16"/>
      <c r="Y1698" s="16"/>
      <c r="Z1698" s="16">
        <v>0.0</v>
      </c>
      <c r="AA1698" s="16"/>
      <c r="AB1698" s="16"/>
      <c r="AC1698" s="16"/>
      <c r="AD1698" s="16">
        <v>0.0</v>
      </c>
      <c r="AE1698" s="16"/>
      <c r="AF1698" s="16"/>
      <c r="AG1698" s="16"/>
      <c r="AH1698" s="16">
        <v>0.0</v>
      </c>
      <c r="AI1698" s="16"/>
      <c r="AJ1698" s="16"/>
      <c r="AK1698" s="16"/>
      <c r="AL1698" s="16">
        <v>0.0</v>
      </c>
      <c r="AM1698" s="16"/>
      <c r="AN1698" s="16"/>
      <c r="AO1698" s="16"/>
      <c r="AP1698" s="16">
        <v>0.0</v>
      </c>
      <c r="AQ1698" s="16"/>
      <c r="AR1698" s="16"/>
      <c r="AS1698" s="16"/>
      <c r="AT1698" s="16">
        <v>0.0</v>
      </c>
      <c r="AU1698" s="16"/>
      <c r="AV1698" s="16"/>
      <c r="AW1698" s="16"/>
      <c r="AX1698" s="16">
        <v>0.0</v>
      </c>
      <c r="AY1698" s="16"/>
      <c r="AZ1698" s="16"/>
      <c r="BA1698" s="16"/>
      <c r="BB1698" s="16"/>
      <c r="BC1698" s="16"/>
      <c r="BD1698" s="16"/>
      <c r="BE1698" s="16"/>
      <c r="BF1698" s="16">
        <v>0.0</v>
      </c>
      <c r="BG1698" s="16"/>
      <c r="BH1698" s="16"/>
      <c r="BI1698" s="16"/>
      <c r="BJ1698" s="16">
        <v>0.0</v>
      </c>
      <c r="BN1698" s="16">
        <v>0.0</v>
      </c>
      <c r="BO1698" s="16">
        <v>130.0</v>
      </c>
      <c r="BP1698" s="16" t="s">
        <v>10449</v>
      </c>
      <c r="BQ1698" s="16" t="b">
        <v>1</v>
      </c>
      <c r="BR1698" s="16">
        <v>130.0</v>
      </c>
      <c r="BS1698" s="21" t="s">
        <v>13619</v>
      </c>
      <c r="BT1698" s="16" t="b">
        <v>1</v>
      </c>
      <c r="BU1698" s="16" t="s">
        <v>546</v>
      </c>
      <c r="BV1698" s="16"/>
      <c r="BW1698" s="16"/>
      <c r="BX1698" s="16"/>
      <c r="BY1698" s="16"/>
    </row>
    <row r="1699">
      <c r="A1699" s="16" t="s">
        <v>8871</v>
      </c>
      <c r="B1699" s="16" t="s">
        <v>35</v>
      </c>
      <c r="C1699" s="201">
        <v>45977.0</v>
      </c>
      <c r="D1699" s="16" t="s">
        <v>10042</v>
      </c>
      <c r="E1699" s="16" t="s">
        <v>10453</v>
      </c>
      <c r="F1699" s="16" t="s">
        <v>10036</v>
      </c>
      <c r="G1699" s="16" t="s">
        <v>3987</v>
      </c>
      <c r="H1699" s="16">
        <v>1.0</v>
      </c>
      <c r="I1699" s="16">
        <v>117.0</v>
      </c>
      <c r="J1699" s="16">
        <v>117.0</v>
      </c>
      <c r="K1699" s="16"/>
      <c r="L1699" s="16"/>
      <c r="M1699" s="16"/>
      <c r="N1699" s="16">
        <v>0.0</v>
      </c>
      <c r="O1699" s="16"/>
      <c r="P1699" s="16"/>
      <c r="Q1699" s="16"/>
      <c r="R1699" s="16">
        <v>0.0</v>
      </c>
      <c r="S1699" s="16"/>
      <c r="T1699" s="16"/>
      <c r="U1699" s="16"/>
      <c r="V1699" s="16">
        <v>0.0</v>
      </c>
      <c r="W1699" s="16"/>
      <c r="X1699" s="16"/>
      <c r="Y1699" s="16"/>
      <c r="Z1699" s="16">
        <v>0.0</v>
      </c>
      <c r="AA1699" s="16"/>
      <c r="AB1699" s="16"/>
      <c r="AC1699" s="16"/>
      <c r="AD1699" s="16">
        <v>0.0</v>
      </c>
      <c r="AE1699" s="16"/>
      <c r="AF1699" s="16"/>
      <c r="AG1699" s="16"/>
      <c r="AH1699" s="16">
        <v>0.0</v>
      </c>
      <c r="AI1699" s="16"/>
      <c r="AJ1699" s="16"/>
      <c r="AK1699" s="16"/>
      <c r="AL1699" s="16">
        <v>0.0</v>
      </c>
      <c r="AM1699" s="16"/>
      <c r="AN1699" s="16"/>
      <c r="AO1699" s="16"/>
      <c r="AP1699" s="16">
        <v>0.0</v>
      </c>
      <c r="AQ1699" s="16"/>
      <c r="AR1699" s="16"/>
      <c r="AS1699" s="16"/>
      <c r="AT1699" s="16">
        <v>0.0</v>
      </c>
      <c r="AU1699" s="16"/>
      <c r="AV1699" s="16"/>
      <c r="AW1699" s="16"/>
      <c r="AX1699" s="16">
        <v>0.0</v>
      </c>
      <c r="AY1699" s="16"/>
      <c r="AZ1699" s="16"/>
      <c r="BA1699" s="16"/>
      <c r="BB1699" s="16"/>
      <c r="BC1699" s="16"/>
      <c r="BD1699" s="16"/>
      <c r="BE1699" s="16"/>
      <c r="BF1699" s="16">
        <v>0.0</v>
      </c>
      <c r="BG1699" s="16"/>
      <c r="BH1699" s="16"/>
      <c r="BI1699" s="16"/>
      <c r="BJ1699" s="16">
        <v>0.0</v>
      </c>
      <c r="BN1699" s="16">
        <v>0.0</v>
      </c>
      <c r="BO1699" s="16">
        <v>117.0</v>
      </c>
      <c r="BP1699" s="16" t="s">
        <v>10454</v>
      </c>
      <c r="BQ1699" s="16" t="b">
        <v>1</v>
      </c>
      <c r="BR1699" s="16">
        <v>117.0</v>
      </c>
      <c r="BS1699" s="21" t="s">
        <v>13622</v>
      </c>
      <c r="BT1699" s="16" t="b">
        <v>1</v>
      </c>
      <c r="BU1699" s="16" t="s">
        <v>546</v>
      </c>
      <c r="BV1699" s="16"/>
      <c r="BW1699" s="16"/>
      <c r="BX1699" s="16"/>
      <c r="BY1699" s="16"/>
    </row>
    <row r="1700">
      <c r="A1700" s="16">
        <v>4.084694E7</v>
      </c>
      <c r="B1700" s="16" t="s">
        <v>35</v>
      </c>
      <c r="C1700" s="201">
        <v>45978.0</v>
      </c>
      <c r="D1700" s="16" t="s">
        <v>1918</v>
      </c>
      <c r="E1700" s="16" t="s">
        <v>10461</v>
      </c>
      <c r="F1700" s="16" t="s">
        <v>10463</v>
      </c>
      <c r="G1700" s="16" t="s">
        <v>1725</v>
      </c>
      <c r="H1700" s="16">
        <v>1.0</v>
      </c>
      <c r="I1700" s="16">
        <v>143.9</v>
      </c>
      <c r="J1700" s="16">
        <v>143.9</v>
      </c>
      <c r="K1700" s="16"/>
      <c r="L1700" s="16"/>
      <c r="M1700" s="16"/>
      <c r="N1700" s="16">
        <v>0.0</v>
      </c>
      <c r="O1700" s="16"/>
      <c r="P1700" s="16"/>
      <c r="Q1700" s="16"/>
      <c r="R1700" s="16">
        <v>0.0</v>
      </c>
      <c r="S1700" s="16"/>
      <c r="T1700" s="16"/>
      <c r="U1700" s="16"/>
      <c r="V1700" s="16">
        <v>0.0</v>
      </c>
      <c r="W1700" s="16"/>
      <c r="X1700" s="16"/>
      <c r="Y1700" s="16"/>
      <c r="Z1700" s="16">
        <v>0.0</v>
      </c>
      <c r="AA1700" s="16"/>
      <c r="AB1700" s="16"/>
      <c r="AC1700" s="16"/>
      <c r="AD1700" s="16">
        <v>0.0</v>
      </c>
      <c r="AE1700" s="16"/>
      <c r="AF1700" s="16"/>
      <c r="AG1700" s="16"/>
      <c r="AH1700" s="16">
        <v>0.0</v>
      </c>
      <c r="AI1700" s="16"/>
      <c r="AJ1700" s="16"/>
      <c r="AK1700" s="16"/>
      <c r="AL1700" s="16">
        <v>0.0</v>
      </c>
      <c r="AM1700" s="16"/>
      <c r="AN1700" s="16"/>
      <c r="AO1700" s="16"/>
      <c r="AP1700" s="16">
        <v>0.0</v>
      </c>
      <c r="AQ1700" s="16"/>
      <c r="AR1700" s="16"/>
      <c r="AS1700" s="16"/>
      <c r="AT1700" s="16">
        <v>0.0</v>
      </c>
      <c r="AU1700" s="16"/>
      <c r="AV1700" s="16"/>
      <c r="AW1700" s="16"/>
      <c r="AX1700" s="16">
        <v>0.0</v>
      </c>
      <c r="AY1700" s="16"/>
      <c r="AZ1700" s="16"/>
      <c r="BA1700" s="16"/>
      <c r="BB1700" s="16"/>
      <c r="BC1700" s="16"/>
      <c r="BD1700" s="16"/>
      <c r="BE1700" s="16"/>
      <c r="BF1700" s="16">
        <v>0.0</v>
      </c>
      <c r="BG1700" s="16"/>
      <c r="BH1700" s="16"/>
      <c r="BI1700" s="16"/>
      <c r="BJ1700" s="16">
        <v>0.0</v>
      </c>
      <c r="BN1700" s="16">
        <v>0.0</v>
      </c>
      <c r="BO1700" s="16">
        <v>143.9</v>
      </c>
      <c r="BP1700" s="16" t="s">
        <v>10462</v>
      </c>
      <c r="BQ1700" s="16" t="b">
        <v>1</v>
      </c>
      <c r="BR1700" s="16">
        <v>143.9</v>
      </c>
      <c r="BS1700" s="21" t="s">
        <v>13624</v>
      </c>
      <c r="BT1700" s="16" t="b">
        <v>1</v>
      </c>
      <c r="BU1700" s="16" t="s">
        <v>546</v>
      </c>
      <c r="BV1700" s="16"/>
      <c r="BW1700" s="16"/>
      <c r="BX1700" s="16"/>
      <c r="BY1700" s="16"/>
    </row>
    <row r="1701">
      <c r="A1701" s="16" t="s">
        <v>8876</v>
      </c>
      <c r="B1701" s="16" t="s">
        <v>35</v>
      </c>
      <c r="C1701" s="201">
        <v>45978.0</v>
      </c>
      <c r="D1701" s="16" t="s">
        <v>353</v>
      </c>
      <c r="E1701" s="16" t="s">
        <v>10467</v>
      </c>
      <c r="F1701" s="16" t="s">
        <v>10469</v>
      </c>
      <c r="G1701" s="16" t="s">
        <v>6355</v>
      </c>
      <c r="H1701" s="16">
        <v>1.0</v>
      </c>
      <c r="I1701" s="16">
        <v>123.75</v>
      </c>
      <c r="J1701" s="16">
        <v>123.75</v>
      </c>
      <c r="K1701" s="16" t="s">
        <v>2990</v>
      </c>
      <c r="L1701" s="16">
        <v>1.0</v>
      </c>
      <c r="M1701" s="16">
        <v>11.98</v>
      </c>
      <c r="N1701" s="16">
        <v>11.98</v>
      </c>
      <c r="O1701" s="16" t="s">
        <v>691</v>
      </c>
      <c r="P1701" s="16">
        <v>1.0</v>
      </c>
      <c r="Q1701" s="16">
        <v>86.29</v>
      </c>
      <c r="R1701" s="16">
        <v>86.29</v>
      </c>
      <c r="S1701" s="16"/>
      <c r="T1701" s="16"/>
      <c r="U1701" s="16"/>
      <c r="V1701" s="16">
        <v>0.0</v>
      </c>
      <c r="W1701" s="16"/>
      <c r="X1701" s="16"/>
      <c r="Y1701" s="16"/>
      <c r="Z1701" s="16">
        <v>0.0</v>
      </c>
      <c r="AA1701" s="16"/>
      <c r="AB1701" s="16"/>
      <c r="AC1701" s="16"/>
      <c r="AD1701" s="16">
        <v>0.0</v>
      </c>
      <c r="AE1701" s="16"/>
      <c r="AF1701" s="16"/>
      <c r="AG1701" s="16"/>
      <c r="AH1701" s="16">
        <v>0.0</v>
      </c>
      <c r="AI1701" s="16"/>
      <c r="AJ1701" s="16"/>
      <c r="AK1701" s="16"/>
      <c r="AL1701" s="16">
        <v>0.0</v>
      </c>
      <c r="AM1701" s="16"/>
      <c r="AN1701" s="16"/>
      <c r="AO1701" s="16"/>
      <c r="AP1701" s="16">
        <v>0.0</v>
      </c>
      <c r="AQ1701" s="16"/>
      <c r="AR1701" s="16"/>
      <c r="AS1701" s="16"/>
      <c r="AT1701" s="16">
        <v>0.0</v>
      </c>
      <c r="AU1701" s="16"/>
      <c r="AV1701" s="16"/>
      <c r="AW1701" s="16"/>
      <c r="AX1701" s="16">
        <v>0.0</v>
      </c>
      <c r="AY1701" s="16"/>
      <c r="AZ1701" s="16"/>
      <c r="BA1701" s="16"/>
      <c r="BB1701" s="16"/>
      <c r="BC1701" s="16"/>
      <c r="BD1701" s="16"/>
      <c r="BE1701" s="16"/>
      <c r="BF1701" s="16">
        <v>0.0</v>
      </c>
      <c r="BG1701" s="16"/>
      <c r="BH1701" s="16"/>
      <c r="BI1701" s="16"/>
      <c r="BJ1701" s="16">
        <v>0.0</v>
      </c>
      <c r="BN1701" s="16">
        <v>0.0</v>
      </c>
      <c r="BO1701" s="16">
        <v>222.02</v>
      </c>
      <c r="BP1701" s="16" t="s">
        <v>10468</v>
      </c>
      <c r="BQ1701" s="16" t="b">
        <v>1</v>
      </c>
      <c r="BR1701" s="16">
        <v>222.02</v>
      </c>
      <c r="BS1701" s="21" t="s">
        <v>13627</v>
      </c>
      <c r="BT1701" s="16" t="b">
        <v>1</v>
      </c>
      <c r="BU1701" s="16" t="s">
        <v>546</v>
      </c>
      <c r="BV1701" s="16"/>
      <c r="BW1701" s="16"/>
      <c r="BX1701" s="16"/>
      <c r="BY1701" s="16"/>
    </row>
    <row r="1702">
      <c r="A1702" s="16" t="s">
        <v>8881</v>
      </c>
      <c r="B1702" s="16" t="s">
        <v>35</v>
      </c>
      <c r="C1702" s="201">
        <v>45978.0</v>
      </c>
      <c r="D1702" s="16" t="s">
        <v>1129</v>
      </c>
      <c r="E1702" s="16" t="s">
        <v>10472</v>
      </c>
      <c r="F1702" s="16" t="s">
        <v>10476</v>
      </c>
      <c r="G1702" s="16" t="s">
        <v>3606</v>
      </c>
      <c r="H1702" s="16">
        <v>1.0</v>
      </c>
      <c r="I1702" s="16">
        <v>40.0</v>
      </c>
      <c r="J1702" s="16">
        <v>40.0</v>
      </c>
      <c r="K1702" s="16"/>
      <c r="L1702" s="16"/>
      <c r="M1702" s="16"/>
      <c r="N1702" s="16">
        <v>0.0</v>
      </c>
      <c r="O1702" s="16"/>
      <c r="P1702" s="16"/>
      <c r="Q1702" s="16"/>
      <c r="R1702" s="16">
        <v>0.0</v>
      </c>
      <c r="S1702" s="16"/>
      <c r="T1702" s="16"/>
      <c r="U1702" s="16"/>
      <c r="V1702" s="16">
        <v>0.0</v>
      </c>
      <c r="W1702" s="16"/>
      <c r="X1702" s="16"/>
      <c r="Y1702" s="16"/>
      <c r="Z1702" s="16">
        <v>0.0</v>
      </c>
      <c r="AA1702" s="16"/>
      <c r="AB1702" s="16"/>
      <c r="AC1702" s="16"/>
      <c r="AD1702" s="16">
        <v>0.0</v>
      </c>
      <c r="AE1702" s="16"/>
      <c r="AF1702" s="16"/>
      <c r="AG1702" s="16"/>
      <c r="AH1702" s="16">
        <v>0.0</v>
      </c>
      <c r="AI1702" s="16"/>
      <c r="AJ1702" s="16"/>
      <c r="AK1702" s="16"/>
      <c r="AL1702" s="16">
        <v>0.0</v>
      </c>
      <c r="AM1702" s="16"/>
      <c r="AN1702" s="16"/>
      <c r="AO1702" s="16"/>
      <c r="AP1702" s="16">
        <v>0.0</v>
      </c>
      <c r="AQ1702" s="16"/>
      <c r="AR1702" s="16"/>
      <c r="AS1702" s="16"/>
      <c r="AT1702" s="16">
        <v>0.0</v>
      </c>
      <c r="AU1702" s="16"/>
      <c r="AV1702" s="16"/>
      <c r="AW1702" s="16"/>
      <c r="AX1702" s="16">
        <v>0.0</v>
      </c>
      <c r="AY1702" s="16"/>
      <c r="AZ1702" s="16"/>
      <c r="BA1702" s="16"/>
      <c r="BB1702" s="16"/>
      <c r="BC1702" s="16"/>
      <c r="BD1702" s="16"/>
      <c r="BE1702" s="16"/>
      <c r="BF1702" s="16">
        <v>0.0</v>
      </c>
      <c r="BG1702" s="16"/>
      <c r="BH1702" s="16"/>
      <c r="BI1702" s="16"/>
      <c r="BJ1702" s="16">
        <v>0.0</v>
      </c>
      <c r="BN1702" s="16">
        <v>0.0</v>
      </c>
      <c r="BO1702" s="16">
        <v>40.0</v>
      </c>
      <c r="BP1702" s="16" t="s">
        <v>10475</v>
      </c>
      <c r="BQ1702" s="16" t="b">
        <v>1</v>
      </c>
      <c r="BR1702" s="16">
        <v>40.0</v>
      </c>
      <c r="BS1702" s="21" t="s">
        <v>13631</v>
      </c>
      <c r="BT1702" s="16" t="b">
        <v>1</v>
      </c>
      <c r="BU1702" s="16" t="s">
        <v>546</v>
      </c>
      <c r="BV1702" s="16"/>
      <c r="BW1702" s="16"/>
      <c r="BX1702" s="16"/>
      <c r="BY1702" s="16"/>
    </row>
    <row r="1703">
      <c r="A1703" s="16" t="s">
        <v>8884</v>
      </c>
      <c r="B1703" s="16" t="s">
        <v>35</v>
      </c>
      <c r="C1703" s="201"/>
      <c r="D1703" s="16" t="s">
        <v>460</v>
      </c>
      <c r="E1703" s="16"/>
      <c r="F1703" s="16" t="s">
        <v>10481</v>
      </c>
      <c r="G1703" s="16" t="s">
        <v>8885</v>
      </c>
      <c r="H1703" s="16">
        <v>1.0</v>
      </c>
      <c r="I1703" s="16">
        <v>149.0</v>
      </c>
      <c r="J1703" s="16">
        <v>149.0</v>
      </c>
      <c r="K1703" s="16"/>
      <c r="L1703" s="16"/>
      <c r="M1703" s="16"/>
      <c r="N1703" s="16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16"/>
      <c r="AP1703" s="16"/>
      <c r="AQ1703" s="16"/>
      <c r="AR1703" s="16"/>
      <c r="AS1703" s="16"/>
      <c r="AT1703" s="16"/>
      <c r="AU1703" s="16"/>
      <c r="AV1703" s="16"/>
      <c r="AW1703" s="16"/>
      <c r="AX1703" s="16"/>
      <c r="AY1703" s="16"/>
      <c r="AZ1703" s="16"/>
      <c r="BA1703" s="16"/>
      <c r="BB1703" s="16"/>
      <c r="BC1703" s="16"/>
      <c r="BD1703" s="16"/>
      <c r="BE1703" s="16"/>
      <c r="BF1703" s="16"/>
      <c r="BG1703" s="16"/>
      <c r="BH1703" s="16"/>
      <c r="BI1703" s="16"/>
      <c r="BJ1703" s="16"/>
      <c r="BN1703" s="16"/>
      <c r="BO1703" s="16">
        <v>149.0</v>
      </c>
      <c r="BP1703" s="16"/>
      <c r="BQ1703" s="16" t="b">
        <v>1</v>
      </c>
      <c r="BR1703" s="16">
        <v>149.0</v>
      </c>
      <c r="BS1703" s="16"/>
      <c r="BT1703" s="16"/>
      <c r="BU1703" s="16" t="s">
        <v>2051</v>
      </c>
      <c r="BV1703" s="16"/>
      <c r="BW1703" s="16"/>
      <c r="BX1703" s="16"/>
      <c r="BY1703" s="16"/>
    </row>
    <row r="1704">
      <c r="A1704" s="16" t="s">
        <v>8888</v>
      </c>
      <c r="B1704" s="16" t="s">
        <v>35</v>
      </c>
      <c r="C1704" s="201"/>
      <c r="D1704" s="16" t="s">
        <v>460</v>
      </c>
      <c r="E1704" s="16"/>
      <c r="F1704" s="16" t="s">
        <v>10482</v>
      </c>
      <c r="G1704" s="16" t="s">
        <v>8889</v>
      </c>
      <c r="H1704" s="16">
        <v>1.0</v>
      </c>
      <c r="I1704" s="16">
        <v>134.0</v>
      </c>
      <c r="J1704" s="16">
        <v>134.0</v>
      </c>
      <c r="K1704" s="16"/>
      <c r="L1704" s="16"/>
      <c r="M1704" s="16"/>
      <c r="N1704" s="16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16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16"/>
      <c r="AP1704" s="16"/>
      <c r="AQ1704" s="16"/>
      <c r="AR1704" s="16"/>
      <c r="AS1704" s="16"/>
      <c r="AT1704" s="16"/>
      <c r="AU1704" s="16"/>
      <c r="AV1704" s="16"/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N1704" s="16"/>
      <c r="BO1704" s="16">
        <v>134.0</v>
      </c>
      <c r="BP1704" s="16"/>
      <c r="BQ1704" s="16" t="b">
        <v>1</v>
      </c>
      <c r="BR1704" s="16">
        <v>134.0</v>
      </c>
      <c r="BS1704" s="16"/>
      <c r="BT1704" s="16"/>
      <c r="BU1704" s="16" t="s">
        <v>2051</v>
      </c>
      <c r="BV1704" s="16"/>
      <c r="BW1704" s="16"/>
      <c r="BX1704" s="16"/>
      <c r="BY1704" s="16"/>
    </row>
    <row r="1705">
      <c r="A1705" s="16" t="s">
        <v>8891</v>
      </c>
      <c r="B1705" s="16" t="s">
        <v>35</v>
      </c>
      <c r="D1705" s="16" t="s">
        <v>460</v>
      </c>
      <c r="F1705" s="16" t="s">
        <v>10487</v>
      </c>
      <c r="G1705" s="16" t="s">
        <v>8892</v>
      </c>
      <c r="H1705" s="16">
        <v>1.0</v>
      </c>
      <c r="I1705" s="23">
        <v>75.0</v>
      </c>
      <c r="J1705" s="23">
        <v>75.0</v>
      </c>
      <c r="BO1705" s="23">
        <v>75.0</v>
      </c>
      <c r="BQ1705" s="16" t="b">
        <v>1</v>
      </c>
      <c r="BR1705" s="23">
        <v>75.0</v>
      </c>
      <c r="BU1705" s="16" t="s">
        <v>2051</v>
      </c>
    </row>
    <row r="1706">
      <c r="A1706" s="16" t="s">
        <v>8895</v>
      </c>
      <c r="B1706" s="16" t="s">
        <v>35</v>
      </c>
      <c r="D1706" s="16" t="s">
        <v>460</v>
      </c>
      <c r="F1706" s="16" t="s">
        <v>10493</v>
      </c>
      <c r="G1706" s="16" t="s">
        <v>8896</v>
      </c>
      <c r="H1706" s="16">
        <v>1.0</v>
      </c>
      <c r="I1706" s="23">
        <v>180.0</v>
      </c>
      <c r="J1706" s="23">
        <v>180.0</v>
      </c>
      <c r="BO1706" s="23">
        <v>180.0</v>
      </c>
      <c r="BQ1706" s="16" t="b">
        <v>1</v>
      </c>
      <c r="BR1706" s="23">
        <v>180.0</v>
      </c>
      <c r="BU1706" s="16" t="s">
        <v>2051</v>
      </c>
    </row>
    <row r="1707">
      <c r="A1707" s="16" t="s">
        <v>8898</v>
      </c>
      <c r="B1707" s="16" t="s">
        <v>35</v>
      </c>
      <c r="D1707" s="16" t="s">
        <v>460</v>
      </c>
      <c r="F1707" s="16" t="s">
        <v>10497</v>
      </c>
      <c r="G1707" s="16" t="s">
        <v>8899</v>
      </c>
      <c r="H1707" s="16">
        <v>1.0</v>
      </c>
      <c r="I1707" s="23">
        <v>89.0</v>
      </c>
      <c r="J1707" s="23">
        <v>89.0</v>
      </c>
      <c r="BO1707" s="23">
        <v>89.0</v>
      </c>
      <c r="BQ1707" s="16" t="b">
        <v>1</v>
      </c>
      <c r="BR1707" s="23">
        <v>89.0</v>
      </c>
      <c r="BU1707" s="16" t="s">
        <v>2051</v>
      </c>
    </row>
    <row r="1708">
      <c r="A1708" s="16" t="s">
        <v>8901</v>
      </c>
      <c r="B1708" s="16" t="s">
        <v>35</v>
      </c>
      <c r="D1708" s="16" t="s">
        <v>460</v>
      </c>
      <c r="F1708" s="16" t="s">
        <v>2785</v>
      </c>
      <c r="G1708" s="16" t="s">
        <v>4937</v>
      </c>
      <c r="H1708" s="16">
        <v>1.0</v>
      </c>
      <c r="I1708" s="23">
        <v>20.0</v>
      </c>
      <c r="J1708" s="23">
        <v>20.0</v>
      </c>
      <c r="BO1708" s="23">
        <v>20.0</v>
      </c>
      <c r="BQ1708" s="16" t="b">
        <v>1</v>
      </c>
      <c r="BR1708" s="23">
        <v>20.0</v>
      </c>
      <c r="BU1708" s="16" t="s">
        <v>2051</v>
      </c>
    </row>
    <row r="1709">
      <c r="A1709" s="16" t="s">
        <v>8904</v>
      </c>
      <c r="B1709" s="16" t="s">
        <v>35</v>
      </c>
      <c r="C1709" s="22">
        <v>45980.0</v>
      </c>
      <c r="F1709" s="16" t="s">
        <v>10508</v>
      </c>
      <c r="G1709" s="16" t="s">
        <v>1239</v>
      </c>
      <c r="H1709" s="16">
        <v>1.0</v>
      </c>
      <c r="I1709" s="23">
        <v>0.01</v>
      </c>
      <c r="J1709" s="23">
        <v>0.01</v>
      </c>
      <c r="BO1709" s="23">
        <v>0.01</v>
      </c>
      <c r="BQ1709" s="16" t="b">
        <v>1</v>
      </c>
      <c r="BR1709" s="23">
        <v>0.01</v>
      </c>
      <c r="BU1709" s="16" t="s">
        <v>539</v>
      </c>
      <c r="BV1709" s="16" t="s">
        <v>624</v>
      </c>
    </row>
    <row r="1710">
      <c r="A1710" s="16" t="s">
        <v>8907</v>
      </c>
      <c r="B1710" s="16" t="s">
        <v>35</v>
      </c>
      <c r="F1710" s="16" t="s">
        <v>10512</v>
      </c>
      <c r="G1710" s="16" t="s">
        <v>1239</v>
      </c>
      <c r="H1710" s="16">
        <v>1.0</v>
      </c>
      <c r="I1710" s="23">
        <v>0.01</v>
      </c>
      <c r="J1710" s="23">
        <v>0.01</v>
      </c>
      <c r="BO1710" s="23">
        <v>0.01</v>
      </c>
      <c r="BQ1710" s="16" t="b">
        <v>1</v>
      </c>
      <c r="BR1710" s="23">
        <v>0.01</v>
      </c>
      <c r="BU1710" s="16" t="s">
        <v>8596</v>
      </c>
      <c r="BV1710" s="16" t="s">
        <v>624</v>
      </c>
    </row>
    <row r="1711">
      <c r="A1711" s="16" t="s">
        <v>8909</v>
      </c>
      <c r="B1711" s="16" t="s">
        <v>35</v>
      </c>
      <c r="C1711" s="22">
        <v>45980.0</v>
      </c>
      <c r="F1711" s="16" t="s">
        <v>10508</v>
      </c>
      <c r="G1711" s="16" t="s">
        <v>1239</v>
      </c>
      <c r="H1711" s="16">
        <v>1.0</v>
      </c>
      <c r="I1711" s="23">
        <v>993.15</v>
      </c>
      <c r="J1711" s="23">
        <v>993.15</v>
      </c>
      <c r="BO1711" s="23">
        <v>993.15</v>
      </c>
      <c r="BQ1711" s="16" t="b">
        <v>1</v>
      </c>
      <c r="BR1711" s="23">
        <v>993.15</v>
      </c>
      <c r="BU1711" s="16" t="s">
        <v>539</v>
      </c>
      <c r="BV1711" s="16" t="s">
        <v>2052</v>
      </c>
    </row>
    <row r="1712">
      <c r="A1712" s="16" t="s">
        <v>8912</v>
      </c>
      <c r="B1712" s="16" t="s">
        <v>35</v>
      </c>
      <c r="F1712" s="16" t="s">
        <v>10512</v>
      </c>
      <c r="G1712" s="16" t="s">
        <v>1239</v>
      </c>
      <c r="H1712" s="16">
        <v>1.0</v>
      </c>
      <c r="I1712" s="23">
        <v>0.01</v>
      </c>
      <c r="J1712" s="23">
        <v>0.01</v>
      </c>
      <c r="BO1712" s="23">
        <v>0.01</v>
      </c>
      <c r="BQ1712" s="16" t="b">
        <v>1</v>
      </c>
      <c r="BR1712" s="23">
        <v>0.01</v>
      </c>
      <c r="BU1712" s="16" t="s">
        <v>8596</v>
      </c>
      <c r="BV1712" s="16" t="s">
        <v>2052</v>
      </c>
    </row>
    <row r="1713">
      <c r="A1713" s="16" t="s">
        <v>8914</v>
      </c>
      <c r="B1713" s="16" t="s">
        <v>35</v>
      </c>
      <c r="C1713" s="22">
        <v>45980.0</v>
      </c>
      <c r="F1713" s="16" t="s">
        <v>10508</v>
      </c>
      <c r="G1713" s="16" t="s">
        <v>1239</v>
      </c>
      <c r="H1713" s="16">
        <v>1.0</v>
      </c>
      <c r="I1713" s="23">
        <v>1002.12</v>
      </c>
      <c r="J1713" s="23">
        <v>1002.12</v>
      </c>
      <c r="BO1713" s="23">
        <v>1002.12</v>
      </c>
      <c r="BQ1713" s="16" t="b">
        <v>1</v>
      </c>
      <c r="BR1713" s="23">
        <v>1002.12</v>
      </c>
      <c r="BU1713" s="16" t="s">
        <v>539</v>
      </c>
      <c r="BV1713" s="16" t="s">
        <v>227</v>
      </c>
    </row>
    <row r="1714">
      <c r="A1714" s="16" t="s">
        <v>8916</v>
      </c>
      <c r="B1714" s="16" t="s">
        <v>35</v>
      </c>
      <c r="F1714" s="16" t="s">
        <v>10512</v>
      </c>
      <c r="G1714" s="16" t="s">
        <v>1239</v>
      </c>
      <c r="H1714" s="16">
        <v>1.0</v>
      </c>
      <c r="I1714" s="23">
        <v>0.01</v>
      </c>
      <c r="J1714" s="23">
        <v>0.01</v>
      </c>
      <c r="BO1714" s="23">
        <v>0.01</v>
      </c>
      <c r="BQ1714" s="16" t="b">
        <v>1</v>
      </c>
      <c r="BR1714" s="23">
        <v>0.01</v>
      </c>
      <c r="BU1714" s="16" t="s">
        <v>8596</v>
      </c>
      <c r="BV1714" s="16" t="s">
        <v>227</v>
      </c>
    </row>
    <row r="1715">
      <c r="A1715" s="16" t="s">
        <v>8920</v>
      </c>
      <c r="B1715" s="16" t="s">
        <v>35</v>
      </c>
      <c r="C1715" s="22">
        <v>45980.0</v>
      </c>
      <c r="F1715" s="16" t="s">
        <v>10508</v>
      </c>
      <c r="G1715" s="16" t="s">
        <v>1239</v>
      </c>
      <c r="H1715" s="16">
        <v>1.0</v>
      </c>
      <c r="I1715" s="23">
        <v>975.65</v>
      </c>
      <c r="J1715" s="23">
        <v>975.65</v>
      </c>
      <c r="BO1715" s="23">
        <v>975.65</v>
      </c>
      <c r="BQ1715" s="16" t="b">
        <v>1</v>
      </c>
      <c r="BR1715" s="23">
        <v>975.65</v>
      </c>
      <c r="BU1715" s="16" t="s">
        <v>539</v>
      </c>
      <c r="BV1715" s="16" t="s">
        <v>3795</v>
      </c>
    </row>
    <row r="1716">
      <c r="A1716" s="16" t="s">
        <v>8923</v>
      </c>
      <c r="B1716" s="16" t="s">
        <v>35</v>
      </c>
      <c r="F1716" s="16" t="s">
        <v>10512</v>
      </c>
      <c r="G1716" s="16" t="s">
        <v>1239</v>
      </c>
      <c r="H1716" s="16">
        <v>1.0</v>
      </c>
      <c r="I1716" s="23">
        <v>0.01</v>
      </c>
      <c r="J1716" s="23">
        <v>0.01</v>
      </c>
      <c r="BO1716" s="23">
        <v>0.01</v>
      </c>
      <c r="BQ1716" s="16" t="b">
        <v>1</v>
      </c>
      <c r="BR1716" s="23">
        <v>0.01</v>
      </c>
      <c r="BU1716" s="16" t="s">
        <v>8596</v>
      </c>
      <c r="BV1716" s="16" t="s">
        <v>3795</v>
      </c>
    </row>
    <row r="1717">
      <c r="A1717" s="16" t="s">
        <v>8926</v>
      </c>
      <c r="B1717" s="16" t="s">
        <v>35</v>
      </c>
      <c r="C1717" s="22">
        <v>45980.0</v>
      </c>
      <c r="F1717" s="16" t="s">
        <v>10508</v>
      </c>
      <c r="G1717" s="16" t="s">
        <v>1239</v>
      </c>
      <c r="H1717" s="16">
        <v>1.0</v>
      </c>
      <c r="I1717" s="23">
        <v>899.18</v>
      </c>
      <c r="J1717" s="23">
        <v>899.18</v>
      </c>
      <c r="BO1717" s="23">
        <v>899.18</v>
      </c>
      <c r="BQ1717" s="16" t="b">
        <v>1</v>
      </c>
      <c r="BR1717" s="23">
        <v>899.18</v>
      </c>
      <c r="BU1717" s="16" t="s">
        <v>539</v>
      </c>
      <c r="BV1717" s="16" t="s">
        <v>6062</v>
      </c>
    </row>
    <row r="1718">
      <c r="A1718" s="16" t="s">
        <v>8930</v>
      </c>
      <c r="B1718" s="16" t="s">
        <v>35</v>
      </c>
      <c r="F1718" s="16" t="s">
        <v>10512</v>
      </c>
      <c r="G1718" s="16" t="s">
        <v>1239</v>
      </c>
      <c r="H1718" s="16">
        <v>1.0</v>
      </c>
      <c r="I1718" s="23">
        <v>0.01</v>
      </c>
      <c r="J1718" s="23">
        <v>0.01</v>
      </c>
      <c r="BO1718" s="23">
        <v>0.01</v>
      </c>
      <c r="BQ1718" s="16" t="b">
        <v>1</v>
      </c>
      <c r="BR1718" s="23">
        <v>0.01</v>
      </c>
      <c r="BU1718" s="16" t="s">
        <v>8596</v>
      </c>
      <c r="BV1718" s="16" t="s">
        <v>6062</v>
      </c>
    </row>
    <row r="1719">
      <c r="A1719" s="16" t="s">
        <v>8932</v>
      </c>
      <c r="B1719" s="16" t="s">
        <v>35</v>
      </c>
      <c r="C1719" s="22">
        <v>45980.0</v>
      </c>
      <c r="F1719" s="16" t="s">
        <v>10508</v>
      </c>
      <c r="G1719" s="16" t="s">
        <v>1239</v>
      </c>
      <c r="H1719" s="16">
        <v>1.0</v>
      </c>
      <c r="I1719" s="23">
        <v>2041.5</v>
      </c>
      <c r="J1719" s="23">
        <v>2041.5</v>
      </c>
      <c r="BO1719" s="23">
        <v>2041.5</v>
      </c>
      <c r="BQ1719" s="16" t="b">
        <v>1</v>
      </c>
      <c r="BR1719" s="23">
        <v>2041.5</v>
      </c>
      <c r="BU1719" s="16" t="s">
        <v>539</v>
      </c>
      <c r="BV1719" s="16" t="s">
        <v>682</v>
      </c>
    </row>
    <row r="1720">
      <c r="A1720" s="16" t="s">
        <v>8936</v>
      </c>
      <c r="B1720" s="16" t="s">
        <v>35</v>
      </c>
      <c r="F1720" s="16" t="s">
        <v>10512</v>
      </c>
      <c r="G1720" s="16" t="s">
        <v>1239</v>
      </c>
      <c r="H1720" s="16">
        <v>1.0</v>
      </c>
      <c r="I1720" s="23">
        <v>2041.5</v>
      </c>
      <c r="J1720" s="23">
        <v>2041.5</v>
      </c>
      <c r="BO1720" s="23">
        <v>2041.5</v>
      </c>
      <c r="BQ1720" s="16" t="b">
        <v>1</v>
      </c>
      <c r="BR1720" s="23">
        <v>2041.5</v>
      </c>
      <c r="BU1720" s="16" t="s">
        <v>8596</v>
      </c>
      <c r="BV1720" s="16" t="s">
        <v>682</v>
      </c>
    </row>
    <row r="1721">
      <c r="A1721" s="16">
        <v>11625.0</v>
      </c>
      <c r="B1721" s="16" t="s">
        <v>35</v>
      </c>
      <c r="D1721" s="16" t="s">
        <v>9825</v>
      </c>
      <c r="F1721" s="16" t="s">
        <v>9826</v>
      </c>
      <c r="G1721" s="16" t="s">
        <v>2870</v>
      </c>
      <c r="H1721" s="16">
        <v>1.0</v>
      </c>
      <c r="I1721" s="23">
        <v>1.0</v>
      </c>
      <c r="J1721" s="23">
        <v>1.0</v>
      </c>
      <c r="BO1721" s="23">
        <v>1.0</v>
      </c>
      <c r="BQ1721" s="16" t="b">
        <v>1</v>
      </c>
      <c r="BR1721" s="23">
        <v>1.0</v>
      </c>
      <c r="BU1721" s="16" t="s">
        <v>539</v>
      </c>
    </row>
    <row r="1722">
      <c r="A1722" s="16">
        <v>11626.0</v>
      </c>
      <c r="B1722" s="16" t="s">
        <v>35</v>
      </c>
      <c r="D1722" s="16" t="s">
        <v>9825</v>
      </c>
      <c r="F1722" s="16" t="s">
        <v>9835</v>
      </c>
      <c r="G1722" s="16" t="s">
        <v>2870</v>
      </c>
      <c r="H1722" s="16">
        <v>1.0</v>
      </c>
      <c r="I1722" s="23">
        <v>1.0</v>
      </c>
      <c r="J1722" s="23">
        <v>1.0</v>
      </c>
      <c r="BO1722" s="23">
        <v>1.0</v>
      </c>
      <c r="BQ1722" s="16" t="b">
        <v>1</v>
      </c>
      <c r="BR1722" s="23">
        <v>1.0</v>
      </c>
      <c r="BU1722" s="16" t="s">
        <v>539</v>
      </c>
    </row>
    <row r="1723">
      <c r="A1723" s="16">
        <v>11627.0</v>
      </c>
      <c r="B1723" s="16" t="s">
        <v>35</v>
      </c>
      <c r="D1723" s="16" t="s">
        <v>460</v>
      </c>
      <c r="F1723" s="16" t="s">
        <v>10550</v>
      </c>
      <c r="G1723" s="16" t="s">
        <v>1239</v>
      </c>
      <c r="H1723" s="16">
        <v>1.0</v>
      </c>
      <c r="I1723" s="23">
        <v>4083.0</v>
      </c>
      <c r="J1723" s="23">
        <v>4083.0</v>
      </c>
      <c r="BO1723" s="23">
        <v>4083.0</v>
      </c>
      <c r="BQ1723" s="16" t="b">
        <v>1</v>
      </c>
      <c r="BR1723" s="23">
        <v>4083.0</v>
      </c>
      <c r="BU1723" s="16" t="s">
        <v>539</v>
      </c>
    </row>
    <row r="1724">
      <c r="A1724" s="16">
        <v>11628.0</v>
      </c>
      <c r="B1724" s="16" t="s">
        <v>35</v>
      </c>
      <c r="D1724" s="16" t="s">
        <v>460</v>
      </c>
      <c r="F1724" s="16" t="s">
        <v>931</v>
      </c>
      <c r="G1724" s="16" t="s">
        <v>1126</v>
      </c>
      <c r="H1724" s="16">
        <v>1.0</v>
      </c>
      <c r="I1724" s="23">
        <v>40.0</v>
      </c>
      <c r="J1724" s="23">
        <v>40.0</v>
      </c>
      <c r="BO1724" s="23">
        <v>40.0</v>
      </c>
      <c r="BQ1724" s="16" t="b">
        <v>1</v>
      </c>
      <c r="BR1724" s="23">
        <v>40.0</v>
      </c>
      <c r="BU1724" s="16" t="s">
        <v>2051</v>
      </c>
    </row>
    <row r="1725">
      <c r="A1725" s="16">
        <v>11629.0</v>
      </c>
      <c r="B1725" s="16" t="s">
        <v>35</v>
      </c>
      <c r="D1725" s="16" t="s">
        <v>460</v>
      </c>
      <c r="F1725" s="16" t="s">
        <v>10557</v>
      </c>
      <c r="G1725" s="16" t="s">
        <v>5636</v>
      </c>
      <c r="H1725" s="16">
        <v>1.0</v>
      </c>
      <c r="I1725" s="23">
        <v>200.0</v>
      </c>
      <c r="J1725" s="23">
        <v>200.0</v>
      </c>
      <c r="BO1725" s="23">
        <v>200.0</v>
      </c>
      <c r="BQ1725" s="16" t="b">
        <v>1</v>
      </c>
      <c r="BR1725" s="23">
        <v>200.0</v>
      </c>
      <c r="BU1725" s="16" t="s">
        <v>539</v>
      </c>
    </row>
    <row r="1726">
      <c r="A1726" s="16">
        <v>11630.0</v>
      </c>
      <c r="B1726" s="16" t="s">
        <v>35</v>
      </c>
      <c r="D1726" s="16" t="s">
        <v>460</v>
      </c>
      <c r="F1726" s="16" t="s">
        <v>4972</v>
      </c>
      <c r="G1726" s="16" t="s">
        <v>5640</v>
      </c>
      <c r="H1726" s="16">
        <v>1.0</v>
      </c>
      <c r="I1726" s="23">
        <v>22.0</v>
      </c>
      <c r="J1726" s="23">
        <v>22.0</v>
      </c>
      <c r="BO1726" s="23">
        <v>22.0</v>
      </c>
      <c r="BQ1726" s="16" t="b">
        <v>1</v>
      </c>
      <c r="BR1726" s="23">
        <v>22.0</v>
      </c>
      <c r="BU1726" s="16" t="s">
        <v>2051</v>
      </c>
    </row>
    <row r="1727">
      <c r="A1727" s="16">
        <v>11631.0</v>
      </c>
      <c r="B1727" s="16" t="s">
        <v>35</v>
      </c>
      <c r="D1727" s="16" t="s">
        <v>460</v>
      </c>
      <c r="F1727" s="16" t="s">
        <v>4979</v>
      </c>
      <c r="G1727" s="16" t="s">
        <v>5973</v>
      </c>
      <c r="H1727" s="16">
        <v>1.0</v>
      </c>
      <c r="I1727" s="23">
        <v>10.0</v>
      </c>
      <c r="J1727" s="23">
        <v>10.0</v>
      </c>
      <c r="BO1727" s="23">
        <v>10.0</v>
      </c>
      <c r="BQ1727" s="16" t="b">
        <v>1</v>
      </c>
      <c r="BR1727" s="23">
        <v>10.0</v>
      </c>
      <c r="BU1727" s="16" t="s">
        <v>2051</v>
      </c>
    </row>
    <row r="1728">
      <c r="A1728" s="16">
        <v>11632.0</v>
      </c>
      <c r="B1728" s="16" t="s">
        <v>35</v>
      </c>
      <c r="F1728" s="16" t="s">
        <v>8658</v>
      </c>
      <c r="G1728" s="16" t="s">
        <v>1239</v>
      </c>
      <c r="H1728" s="16">
        <v>1.0</v>
      </c>
      <c r="I1728" s="23">
        <v>1.0</v>
      </c>
      <c r="J1728" s="23">
        <v>1.0</v>
      </c>
      <c r="BO1728" s="23">
        <v>1.0</v>
      </c>
      <c r="BQ1728" s="16" t="b">
        <v>1</v>
      </c>
      <c r="BR1728" s="23">
        <v>1.0</v>
      </c>
      <c r="BU1728" s="16" t="s">
        <v>539</v>
      </c>
      <c r="BV1728" s="16" t="s">
        <v>624</v>
      </c>
    </row>
    <row r="1729">
      <c r="A1729" s="16">
        <v>11633.0</v>
      </c>
      <c r="B1729" s="16" t="s">
        <v>35</v>
      </c>
      <c r="F1729" s="16" t="s">
        <v>8658</v>
      </c>
      <c r="G1729" s="16" t="s">
        <v>1239</v>
      </c>
      <c r="H1729" s="16">
        <v>1.0</v>
      </c>
      <c r="I1729" s="23">
        <v>1.0</v>
      </c>
      <c r="J1729" s="23">
        <v>1.0</v>
      </c>
      <c r="BO1729" s="23">
        <v>1.0</v>
      </c>
      <c r="BQ1729" s="16" t="b">
        <v>1</v>
      </c>
      <c r="BR1729" s="23">
        <v>1.0</v>
      </c>
      <c r="BU1729" s="16" t="s">
        <v>539</v>
      </c>
      <c r="BV1729" s="16" t="s">
        <v>2052</v>
      </c>
    </row>
    <row r="1730">
      <c r="A1730" s="16">
        <v>11634.0</v>
      </c>
      <c r="B1730" s="16" t="s">
        <v>35</v>
      </c>
      <c r="F1730" s="16" t="s">
        <v>8658</v>
      </c>
      <c r="G1730" s="16" t="s">
        <v>1239</v>
      </c>
      <c r="H1730" s="16">
        <v>1.0</v>
      </c>
      <c r="I1730" s="23">
        <v>1.0</v>
      </c>
      <c r="J1730" s="23">
        <v>1.0</v>
      </c>
      <c r="BO1730" s="23">
        <v>1.0</v>
      </c>
      <c r="BQ1730" s="16" t="b">
        <v>1</v>
      </c>
      <c r="BR1730" s="23">
        <v>1.0</v>
      </c>
      <c r="BU1730" s="16" t="s">
        <v>539</v>
      </c>
      <c r="BV1730" s="16" t="s">
        <v>227</v>
      </c>
    </row>
    <row r="1731">
      <c r="A1731" s="16">
        <v>11635.0</v>
      </c>
      <c r="B1731" s="16" t="s">
        <v>35</v>
      </c>
      <c r="F1731" s="16" t="s">
        <v>8658</v>
      </c>
      <c r="G1731" s="16" t="s">
        <v>1239</v>
      </c>
      <c r="H1731" s="16">
        <v>1.0</v>
      </c>
      <c r="I1731" s="23">
        <v>1.0</v>
      </c>
      <c r="J1731" s="23">
        <v>1.0</v>
      </c>
      <c r="BO1731" s="23">
        <v>1.0</v>
      </c>
      <c r="BQ1731" s="16" t="b">
        <v>1</v>
      </c>
      <c r="BR1731" s="23">
        <v>1.0</v>
      </c>
      <c r="BU1731" s="16" t="s">
        <v>539</v>
      </c>
      <c r="BV1731" s="16" t="s">
        <v>6062</v>
      </c>
    </row>
    <row r="1732">
      <c r="A1732" s="16">
        <v>11636.0</v>
      </c>
      <c r="B1732" s="16" t="s">
        <v>35</v>
      </c>
      <c r="F1732" s="16" t="s">
        <v>8658</v>
      </c>
      <c r="G1732" s="16" t="s">
        <v>1239</v>
      </c>
      <c r="H1732" s="16">
        <v>1.0</v>
      </c>
      <c r="I1732" s="23">
        <v>1.0</v>
      </c>
      <c r="J1732" s="23">
        <v>1.0</v>
      </c>
      <c r="BO1732" s="23">
        <v>1.0</v>
      </c>
      <c r="BQ1732" s="16" t="b">
        <v>1</v>
      </c>
      <c r="BR1732" s="23">
        <v>1.0</v>
      </c>
      <c r="BU1732" s="16" t="s">
        <v>539</v>
      </c>
      <c r="BV1732" s="16" t="s">
        <v>3795</v>
      </c>
    </row>
    <row r="1733">
      <c r="A1733" s="16" t="s">
        <v>8952</v>
      </c>
      <c r="B1733" s="16" t="s">
        <v>35</v>
      </c>
      <c r="C1733" s="201">
        <v>45978.0</v>
      </c>
      <c r="D1733" s="16" t="s">
        <v>543</v>
      </c>
      <c r="E1733" s="16" t="s">
        <v>10589</v>
      </c>
      <c r="F1733" s="16" t="s">
        <v>171</v>
      </c>
      <c r="G1733" s="21" t="s">
        <v>10424</v>
      </c>
      <c r="H1733" s="16">
        <v>1.0</v>
      </c>
      <c r="I1733" s="16">
        <v>225.0</v>
      </c>
      <c r="J1733" s="16">
        <v>225.0</v>
      </c>
      <c r="N1733" s="16">
        <v>0.0</v>
      </c>
      <c r="R1733" s="16">
        <v>0.0</v>
      </c>
      <c r="V1733" s="16">
        <v>0.0</v>
      </c>
      <c r="Z1733" s="16">
        <v>0.0</v>
      </c>
      <c r="AD1733" s="16">
        <v>0.0</v>
      </c>
      <c r="AH1733" s="16">
        <v>0.0</v>
      </c>
      <c r="AL1733" s="16">
        <v>0.0</v>
      </c>
      <c r="AP1733" s="16">
        <v>0.0</v>
      </c>
      <c r="AT1733" s="16">
        <v>0.0</v>
      </c>
      <c r="AX1733" s="16">
        <v>0.0</v>
      </c>
      <c r="BF1733" s="16">
        <v>0.0</v>
      </c>
      <c r="BJ1733" s="16">
        <v>0.0</v>
      </c>
      <c r="BN1733" s="16">
        <v>0.0</v>
      </c>
      <c r="BO1733" s="16">
        <v>225.0</v>
      </c>
      <c r="BP1733" s="16" t="s">
        <v>10590</v>
      </c>
      <c r="BQ1733" s="16" t="b">
        <v>1</v>
      </c>
      <c r="BR1733" s="16">
        <v>225.0</v>
      </c>
      <c r="BT1733" s="16" t="b">
        <v>0</v>
      </c>
      <c r="BU1733" s="16" t="s">
        <v>546</v>
      </c>
    </row>
    <row r="1734">
      <c r="A1734" s="16" t="s">
        <v>8954</v>
      </c>
      <c r="B1734" s="16" t="s">
        <v>35</v>
      </c>
      <c r="C1734" s="201">
        <v>45982.0</v>
      </c>
      <c r="D1734" s="16" t="s">
        <v>543</v>
      </c>
      <c r="E1734" s="16" t="s">
        <v>10594</v>
      </c>
      <c r="F1734" s="16" t="s">
        <v>171</v>
      </c>
      <c r="G1734" s="21" t="s">
        <v>10424</v>
      </c>
      <c r="H1734" s="16">
        <v>1.0</v>
      </c>
      <c r="I1734" s="16">
        <v>525.0</v>
      </c>
      <c r="J1734" s="16">
        <v>525.0</v>
      </c>
      <c r="N1734" s="16">
        <v>0.0</v>
      </c>
      <c r="R1734" s="16">
        <v>0.0</v>
      </c>
      <c r="V1734" s="16">
        <v>0.0</v>
      </c>
      <c r="Z1734" s="16">
        <v>0.0</v>
      </c>
      <c r="AD1734" s="16">
        <v>0.0</v>
      </c>
      <c r="AH1734" s="16">
        <v>0.0</v>
      </c>
      <c r="AL1734" s="16">
        <v>0.0</v>
      </c>
      <c r="AP1734" s="16">
        <v>0.0</v>
      </c>
      <c r="AT1734" s="16">
        <v>0.0</v>
      </c>
      <c r="AX1734" s="16">
        <v>0.0</v>
      </c>
      <c r="BF1734" s="16">
        <v>0.0</v>
      </c>
      <c r="BJ1734" s="16">
        <v>0.0</v>
      </c>
      <c r="BN1734" s="16">
        <v>0.0</v>
      </c>
      <c r="BO1734" s="16">
        <v>525.0</v>
      </c>
      <c r="BP1734" s="16" t="s">
        <v>10596</v>
      </c>
      <c r="BQ1734" s="16" t="b">
        <v>1</v>
      </c>
      <c r="BR1734" s="16">
        <v>525.0</v>
      </c>
      <c r="BT1734" s="16" t="b">
        <v>0</v>
      </c>
      <c r="BU1734" s="16" t="s">
        <v>546</v>
      </c>
    </row>
    <row r="1735">
      <c r="A1735" s="16" t="s">
        <v>8956</v>
      </c>
      <c r="B1735" s="16" t="s">
        <v>35</v>
      </c>
      <c r="C1735" s="201">
        <v>45980.0</v>
      </c>
      <c r="D1735" s="16" t="s">
        <v>112</v>
      </c>
      <c r="E1735" s="16" t="s">
        <v>10600</v>
      </c>
      <c r="F1735" s="16" t="s">
        <v>157</v>
      </c>
      <c r="G1735" s="16" t="s">
        <v>226</v>
      </c>
      <c r="H1735" s="16">
        <v>7.0</v>
      </c>
      <c r="I1735" s="16">
        <v>9.0</v>
      </c>
      <c r="J1735" s="16">
        <v>63.0</v>
      </c>
      <c r="K1735" s="16" t="s">
        <v>152</v>
      </c>
      <c r="L1735" s="16">
        <v>1.0</v>
      </c>
      <c r="M1735" s="16">
        <v>27.01</v>
      </c>
      <c r="N1735" s="16">
        <v>27.01</v>
      </c>
      <c r="O1735" s="16" t="s">
        <v>230</v>
      </c>
      <c r="P1735" s="16">
        <v>1.0</v>
      </c>
      <c r="Q1735" s="16">
        <v>174.0</v>
      </c>
      <c r="R1735" s="16">
        <v>174.0</v>
      </c>
      <c r="S1735" s="16" t="s">
        <v>155</v>
      </c>
      <c r="T1735" s="16">
        <v>1.0</v>
      </c>
      <c r="U1735" s="16">
        <v>46.6</v>
      </c>
      <c r="V1735" s="16">
        <v>46.6</v>
      </c>
      <c r="Z1735" s="16">
        <v>0.0</v>
      </c>
      <c r="AD1735" s="16">
        <v>0.0</v>
      </c>
      <c r="AH1735" s="16">
        <v>0.0</v>
      </c>
      <c r="AL1735" s="16">
        <v>0.0</v>
      </c>
      <c r="AP1735" s="16">
        <v>0.0</v>
      </c>
      <c r="AT1735" s="16">
        <v>0.0</v>
      </c>
      <c r="AX1735" s="16">
        <v>0.0</v>
      </c>
      <c r="BF1735" s="16">
        <v>0.0</v>
      </c>
      <c r="BJ1735" s="16">
        <v>0.0</v>
      </c>
      <c r="BN1735" s="16">
        <v>0.0</v>
      </c>
      <c r="BO1735" s="16">
        <v>310.61</v>
      </c>
      <c r="BP1735" s="16" t="s">
        <v>10601</v>
      </c>
      <c r="BQ1735" s="16" t="b">
        <v>1</v>
      </c>
      <c r="BR1735" s="16">
        <v>490.61</v>
      </c>
      <c r="BT1735" s="16" t="b">
        <v>0</v>
      </c>
      <c r="BU1735" s="16" t="s">
        <v>546</v>
      </c>
    </row>
    <row r="1736">
      <c r="A1736" s="16" t="s">
        <v>8965</v>
      </c>
      <c r="B1736" s="16" t="s">
        <v>35</v>
      </c>
      <c r="C1736" s="201">
        <v>45982.0</v>
      </c>
      <c r="D1736" s="16" t="s">
        <v>112</v>
      </c>
      <c r="E1736" s="16" t="s">
        <v>10605</v>
      </c>
      <c r="F1736" s="16" t="s">
        <v>157</v>
      </c>
      <c r="G1736" s="16" t="s">
        <v>226</v>
      </c>
      <c r="H1736" s="16">
        <v>7.0</v>
      </c>
      <c r="I1736" s="16">
        <v>9.0</v>
      </c>
      <c r="J1736" s="16">
        <v>63.0</v>
      </c>
      <c r="K1736" s="16" t="s">
        <v>152</v>
      </c>
      <c r="L1736" s="16">
        <v>1.0</v>
      </c>
      <c r="M1736" s="16">
        <v>15.22</v>
      </c>
      <c r="N1736" s="16">
        <v>15.22</v>
      </c>
      <c r="O1736" s="16" t="s">
        <v>230</v>
      </c>
      <c r="P1736" s="16">
        <v>1.0</v>
      </c>
      <c r="Q1736" s="16">
        <v>238.81</v>
      </c>
      <c r="R1736" s="16">
        <v>238.81</v>
      </c>
      <c r="S1736" s="16" t="s">
        <v>155</v>
      </c>
      <c r="T1736" s="16">
        <v>1.0</v>
      </c>
      <c r="U1736" s="16">
        <v>28.95</v>
      </c>
      <c r="V1736" s="16">
        <v>28.95</v>
      </c>
      <c r="W1736" s="16" t="s">
        <v>159</v>
      </c>
      <c r="X1736" s="16">
        <v>15.0</v>
      </c>
      <c r="Y1736" s="16">
        <v>12.0</v>
      </c>
      <c r="Z1736" s="16">
        <v>180.0</v>
      </c>
      <c r="AD1736" s="16">
        <v>0.0</v>
      </c>
      <c r="AH1736" s="16">
        <v>0.0</v>
      </c>
      <c r="AL1736" s="16">
        <v>0.0</v>
      </c>
      <c r="AP1736" s="16">
        <v>0.0</v>
      </c>
      <c r="AT1736" s="16">
        <v>0.0</v>
      </c>
      <c r="AX1736" s="16">
        <v>0.0</v>
      </c>
      <c r="BF1736" s="16">
        <v>0.0</v>
      </c>
      <c r="BJ1736" s="16">
        <v>0.0</v>
      </c>
      <c r="BN1736" s="16">
        <v>0.0</v>
      </c>
      <c r="BO1736" s="16">
        <v>525.98</v>
      </c>
      <c r="BP1736" s="16" t="s">
        <v>10606</v>
      </c>
      <c r="BQ1736" s="16" t="b">
        <v>1</v>
      </c>
      <c r="BR1736" s="16">
        <v>525.98</v>
      </c>
      <c r="BT1736" s="16" t="b">
        <v>0</v>
      </c>
      <c r="BU1736" s="16" t="s">
        <v>546</v>
      </c>
    </row>
    <row r="1737">
      <c r="A1737" s="16" t="s">
        <v>8973</v>
      </c>
      <c r="B1737" s="16" t="s">
        <v>35</v>
      </c>
      <c r="C1737" s="201">
        <v>45982.0</v>
      </c>
      <c r="D1737" s="16" t="s">
        <v>7578</v>
      </c>
      <c r="E1737" s="16" t="s">
        <v>10611</v>
      </c>
      <c r="F1737" s="16" t="s">
        <v>10615</v>
      </c>
      <c r="G1737" s="16" t="s">
        <v>789</v>
      </c>
      <c r="H1737" s="16">
        <v>1.0</v>
      </c>
      <c r="I1737" s="16">
        <v>110.0</v>
      </c>
      <c r="J1737" s="16">
        <v>110.0</v>
      </c>
      <c r="N1737" s="16">
        <v>0.0</v>
      </c>
      <c r="R1737" s="16">
        <v>0.0</v>
      </c>
      <c r="V1737" s="16">
        <v>0.0</v>
      </c>
      <c r="Z1737" s="16">
        <v>0.0</v>
      </c>
      <c r="AD1737" s="16">
        <v>0.0</v>
      </c>
      <c r="AH1737" s="16">
        <v>0.0</v>
      </c>
      <c r="AL1737" s="16">
        <v>0.0</v>
      </c>
      <c r="AP1737" s="16">
        <v>0.0</v>
      </c>
      <c r="AT1737" s="16">
        <v>0.0</v>
      </c>
      <c r="AX1737" s="16">
        <v>0.0</v>
      </c>
      <c r="BF1737" s="16">
        <v>0.0</v>
      </c>
      <c r="BJ1737" s="16">
        <v>0.0</v>
      </c>
      <c r="BN1737" s="16">
        <v>0.0</v>
      </c>
      <c r="BO1737" s="16">
        <v>110.0</v>
      </c>
      <c r="BP1737" s="16" t="s">
        <v>10613</v>
      </c>
      <c r="BQ1737" s="16" t="b">
        <v>1</v>
      </c>
      <c r="BR1737" s="16">
        <v>110.0</v>
      </c>
      <c r="BS1737" s="21" t="s">
        <v>13649</v>
      </c>
      <c r="BT1737" s="16" t="b">
        <v>1</v>
      </c>
      <c r="BU1737" s="16" t="s">
        <v>546</v>
      </c>
    </row>
    <row r="1738">
      <c r="A1738" s="16" t="s">
        <v>8977</v>
      </c>
      <c r="B1738" s="16" t="s">
        <v>35</v>
      </c>
      <c r="C1738" s="201">
        <v>45982.0</v>
      </c>
      <c r="D1738" s="16" t="s">
        <v>2096</v>
      </c>
      <c r="E1738" s="16" t="s">
        <v>10620</v>
      </c>
      <c r="F1738" s="16" t="s">
        <v>10623</v>
      </c>
      <c r="G1738" s="16" t="s">
        <v>1536</v>
      </c>
      <c r="H1738" s="16">
        <v>1.0</v>
      </c>
      <c r="I1738" s="16">
        <v>15.0</v>
      </c>
      <c r="J1738" s="16">
        <v>15.0</v>
      </c>
      <c r="N1738" s="16">
        <v>0.0</v>
      </c>
      <c r="R1738" s="16">
        <v>0.0</v>
      </c>
      <c r="V1738" s="16">
        <v>0.0</v>
      </c>
      <c r="Z1738" s="16">
        <v>0.0</v>
      </c>
      <c r="AD1738" s="16">
        <v>0.0</v>
      </c>
      <c r="AH1738" s="16">
        <v>0.0</v>
      </c>
      <c r="AL1738" s="16">
        <v>0.0</v>
      </c>
      <c r="AP1738" s="16">
        <v>0.0</v>
      </c>
      <c r="AT1738" s="16">
        <v>0.0</v>
      </c>
      <c r="AX1738" s="16">
        <v>0.0</v>
      </c>
      <c r="BF1738" s="16">
        <v>0.0</v>
      </c>
      <c r="BJ1738" s="16">
        <v>0.0</v>
      </c>
      <c r="BN1738" s="16">
        <v>0.0</v>
      </c>
      <c r="BO1738" s="16">
        <v>15.0</v>
      </c>
      <c r="BP1738" s="16" t="s">
        <v>10622</v>
      </c>
      <c r="BQ1738" s="16" t="b">
        <v>1</v>
      </c>
      <c r="BR1738" s="16">
        <v>15.0</v>
      </c>
      <c r="BS1738" s="21" t="s">
        <v>13650</v>
      </c>
      <c r="BT1738" s="16" t="b">
        <v>1</v>
      </c>
      <c r="BU1738" s="16" t="s">
        <v>546</v>
      </c>
    </row>
    <row r="1739">
      <c r="A1739" s="16" t="s">
        <v>8979</v>
      </c>
      <c r="B1739" s="16" t="s">
        <v>35</v>
      </c>
      <c r="C1739" s="201">
        <v>45982.0</v>
      </c>
      <c r="D1739" s="16" t="s">
        <v>3716</v>
      </c>
      <c r="E1739" s="16" t="s">
        <v>10626</v>
      </c>
      <c r="F1739" s="16" t="s">
        <v>10628</v>
      </c>
      <c r="G1739" s="16" t="s">
        <v>1079</v>
      </c>
      <c r="H1739" s="16">
        <v>25.0</v>
      </c>
      <c r="I1739" s="16">
        <v>12.9</v>
      </c>
      <c r="J1739" s="16">
        <v>322.5</v>
      </c>
      <c r="K1739" s="16" t="s">
        <v>1080</v>
      </c>
      <c r="L1739" s="16">
        <v>10.0</v>
      </c>
      <c r="M1739" s="16">
        <v>13.9</v>
      </c>
      <c r="N1739" s="16">
        <v>139.0</v>
      </c>
      <c r="O1739" s="16" t="s">
        <v>8679</v>
      </c>
      <c r="P1739" s="16">
        <v>2.0</v>
      </c>
      <c r="Q1739" s="16">
        <v>32.9</v>
      </c>
      <c r="R1739" s="16">
        <v>65.8</v>
      </c>
      <c r="V1739" s="16">
        <v>0.0</v>
      </c>
      <c r="Z1739" s="16">
        <v>0.0</v>
      </c>
      <c r="AD1739" s="16">
        <v>0.0</v>
      </c>
      <c r="AH1739" s="16">
        <v>0.0</v>
      </c>
      <c r="AL1739" s="16">
        <v>0.0</v>
      </c>
      <c r="AP1739" s="16">
        <v>0.0</v>
      </c>
      <c r="AT1739" s="16">
        <v>0.0</v>
      </c>
      <c r="AX1739" s="16">
        <v>0.0</v>
      </c>
      <c r="BF1739" s="16">
        <v>0.0</v>
      </c>
      <c r="BJ1739" s="16">
        <v>0.0</v>
      </c>
      <c r="BN1739" s="16">
        <v>0.0</v>
      </c>
      <c r="BO1739" s="16">
        <v>527.3</v>
      </c>
      <c r="BP1739" s="16" t="s">
        <v>10627</v>
      </c>
      <c r="BQ1739" s="16" t="b">
        <v>1</v>
      </c>
      <c r="BR1739" s="16">
        <v>527.3</v>
      </c>
      <c r="BS1739" s="21" t="s">
        <v>13652</v>
      </c>
      <c r="BT1739" s="16" t="b">
        <v>1</v>
      </c>
      <c r="BU1739" s="16" t="s">
        <v>546</v>
      </c>
    </row>
    <row r="1740">
      <c r="A1740" s="16" t="s">
        <v>8984</v>
      </c>
      <c r="B1740" s="16" t="s">
        <v>35</v>
      </c>
      <c r="C1740" s="201">
        <v>45982.0</v>
      </c>
      <c r="D1740" s="16" t="s">
        <v>1918</v>
      </c>
      <c r="E1740" s="16" t="s">
        <v>10633</v>
      </c>
      <c r="F1740" s="16" t="s">
        <v>10635</v>
      </c>
      <c r="G1740" s="16" t="s">
        <v>8985</v>
      </c>
      <c r="H1740" s="16">
        <v>1.0</v>
      </c>
      <c r="I1740" s="16">
        <v>27.8</v>
      </c>
      <c r="J1740" s="16">
        <v>27.8</v>
      </c>
      <c r="N1740" s="16">
        <v>0.0</v>
      </c>
      <c r="R1740" s="16">
        <v>0.0</v>
      </c>
      <c r="V1740" s="16">
        <v>0.0</v>
      </c>
      <c r="Z1740" s="16">
        <v>0.0</v>
      </c>
      <c r="AD1740" s="16">
        <v>0.0</v>
      </c>
      <c r="AH1740" s="16">
        <v>0.0</v>
      </c>
      <c r="AL1740" s="16">
        <v>0.0</v>
      </c>
      <c r="AP1740" s="16">
        <v>0.0</v>
      </c>
      <c r="AT1740" s="16">
        <v>0.0</v>
      </c>
      <c r="AX1740" s="16">
        <v>0.0</v>
      </c>
      <c r="BF1740" s="16">
        <v>0.0</v>
      </c>
      <c r="BJ1740" s="16">
        <v>0.0</v>
      </c>
      <c r="BN1740" s="16">
        <v>0.0</v>
      </c>
      <c r="BO1740" s="16">
        <v>27.8</v>
      </c>
      <c r="BP1740" s="16" t="s">
        <v>10634</v>
      </c>
      <c r="BQ1740" s="16" t="b">
        <v>1</v>
      </c>
      <c r="BR1740" s="16">
        <v>27.8</v>
      </c>
      <c r="BS1740" s="21" t="s">
        <v>13653</v>
      </c>
      <c r="BT1740" s="16" t="b">
        <v>1</v>
      </c>
      <c r="BU1740" s="16" t="s">
        <v>546</v>
      </c>
    </row>
    <row r="1741">
      <c r="A1741" s="16" t="s">
        <v>8987</v>
      </c>
      <c r="B1741" s="16" t="s">
        <v>35</v>
      </c>
      <c r="C1741" s="201">
        <v>45980.0</v>
      </c>
      <c r="D1741" s="16" t="s">
        <v>10042</v>
      </c>
      <c r="E1741" s="16" t="s">
        <v>10638</v>
      </c>
      <c r="F1741" s="16" t="s">
        <v>10036</v>
      </c>
      <c r="G1741" s="16" t="s">
        <v>3987</v>
      </c>
      <c r="H1741" s="16">
        <v>1.0</v>
      </c>
      <c r="I1741" s="16">
        <v>100.0</v>
      </c>
      <c r="J1741" s="16">
        <v>100.0</v>
      </c>
      <c r="N1741" s="16">
        <v>0.0</v>
      </c>
      <c r="R1741" s="16">
        <v>0.0</v>
      </c>
      <c r="V1741" s="16">
        <v>0.0</v>
      </c>
      <c r="Z1741" s="16">
        <v>0.0</v>
      </c>
      <c r="AD1741" s="16">
        <v>0.0</v>
      </c>
      <c r="AH1741" s="16">
        <v>0.0</v>
      </c>
      <c r="AL1741" s="16">
        <v>0.0</v>
      </c>
      <c r="AP1741" s="16">
        <v>0.0</v>
      </c>
      <c r="AT1741" s="16">
        <v>0.0</v>
      </c>
      <c r="AX1741" s="16">
        <v>0.0</v>
      </c>
      <c r="BF1741" s="16">
        <v>0.0</v>
      </c>
      <c r="BJ1741" s="16">
        <v>0.0</v>
      </c>
      <c r="BN1741" s="16">
        <v>0.0</v>
      </c>
      <c r="BO1741" s="16">
        <v>100.0</v>
      </c>
      <c r="BP1741" s="16" t="s">
        <v>10641</v>
      </c>
      <c r="BQ1741" s="16" t="b">
        <v>1</v>
      </c>
      <c r="BR1741" s="16">
        <v>100.0</v>
      </c>
      <c r="BS1741" s="21" t="s">
        <v>13655</v>
      </c>
      <c r="BT1741" s="16" t="b">
        <v>1</v>
      </c>
      <c r="BU1741" s="16" t="s">
        <v>546</v>
      </c>
    </row>
    <row r="1742">
      <c r="A1742" s="16" t="s">
        <v>8990</v>
      </c>
      <c r="B1742" s="16" t="s">
        <v>35</v>
      </c>
      <c r="C1742" s="201">
        <v>45981.0</v>
      </c>
      <c r="D1742" s="16" t="s">
        <v>10038</v>
      </c>
      <c r="E1742" s="16" t="s">
        <v>10645</v>
      </c>
      <c r="F1742" s="16" t="s">
        <v>10177</v>
      </c>
      <c r="G1742" s="16" t="s">
        <v>3987</v>
      </c>
      <c r="H1742" s="16">
        <v>1.0</v>
      </c>
      <c r="I1742" s="16">
        <v>130.0</v>
      </c>
      <c r="J1742" s="16">
        <v>130.0</v>
      </c>
      <c r="N1742" s="16">
        <v>0.0</v>
      </c>
      <c r="R1742" s="16">
        <v>0.0</v>
      </c>
      <c r="V1742" s="16">
        <v>0.0</v>
      </c>
      <c r="Z1742" s="16">
        <v>0.0</v>
      </c>
      <c r="AD1742" s="16">
        <v>0.0</v>
      </c>
      <c r="AH1742" s="16">
        <v>0.0</v>
      </c>
      <c r="AL1742" s="16">
        <v>0.0</v>
      </c>
      <c r="AP1742" s="16">
        <v>0.0</v>
      </c>
      <c r="AT1742" s="16">
        <v>0.0</v>
      </c>
      <c r="AX1742" s="16">
        <v>0.0</v>
      </c>
      <c r="BF1742" s="16">
        <v>0.0</v>
      </c>
      <c r="BJ1742" s="16">
        <v>0.0</v>
      </c>
      <c r="BN1742" s="16">
        <v>0.0</v>
      </c>
      <c r="BO1742" s="16">
        <v>130.0</v>
      </c>
      <c r="BP1742" s="16" t="s">
        <v>10646</v>
      </c>
      <c r="BQ1742" s="16" t="b">
        <v>1</v>
      </c>
      <c r="BR1742" s="16">
        <v>130.0</v>
      </c>
      <c r="BS1742" s="21" t="s">
        <v>13656</v>
      </c>
      <c r="BT1742" s="16" t="b">
        <v>1</v>
      </c>
      <c r="BU1742" s="16" t="s">
        <v>546</v>
      </c>
    </row>
    <row r="1743">
      <c r="A1743" s="16" t="s">
        <v>8993</v>
      </c>
      <c r="B1743" s="16" t="s">
        <v>35</v>
      </c>
      <c r="C1743" s="201">
        <v>45981.0</v>
      </c>
      <c r="D1743" s="16" t="s">
        <v>10047</v>
      </c>
      <c r="E1743" s="16" t="s">
        <v>10652</v>
      </c>
      <c r="F1743" s="16" t="s">
        <v>10036</v>
      </c>
      <c r="G1743" s="16" t="s">
        <v>3987</v>
      </c>
      <c r="H1743" s="16">
        <v>1.0</v>
      </c>
      <c r="I1743" s="16">
        <v>104.0</v>
      </c>
      <c r="J1743" s="16">
        <v>104.0</v>
      </c>
      <c r="N1743" s="16">
        <v>0.0</v>
      </c>
      <c r="R1743" s="16">
        <v>0.0</v>
      </c>
      <c r="V1743" s="16">
        <v>0.0</v>
      </c>
      <c r="Z1743" s="16">
        <v>0.0</v>
      </c>
      <c r="AD1743" s="16">
        <v>0.0</v>
      </c>
      <c r="AH1743" s="16">
        <v>0.0</v>
      </c>
      <c r="AL1743" s="16">
        <v>0.0</v>
      </c>
      <c r="AP1743" s="16">
        <v>0.0</v>
      </c>
      <c r="AT1743" s="16">
        <v>0.0</v>
      </c>
      <c r="AX1743" s="16">
        <v>0.0</v>
      </c>
      <c r="BF1743" s="16">
        <v>0.0</v>
      </c>
      <c r="BJ1743" s="16">
        <v>0.0</v>
      </c>
      <c r="BN1743" s="16">
        <v>0.0</v>
      </c>
      <c r="BO1743" s="16">
        <v>104.0</v>
      </c>
      <c r="BP1743" s="16" t="s">
        <v>10653</v>
      </c>
      <c r="BQ1743" s="16" t="b">
        <v>1</v>
      </c>
      <c r="BR1743" s="16">
        <v>104.0</v>
      </c>
      <c r="BS1743" s="21" t="s">
        <v>13657</v>
      </c>
      <c r="BT1743" s="16" t="b">
        <v>1</v>
      </c>
      <c r="BU1743" s="16" t="s">
        <v>546</v>
      </c>
    </row>
    <row r="1744">
      <c r="A1744" s="16" t="s">
        <v>8995</v>
      </c>
      <c r="B1744" s="16" t="s">
        <v>35</v>
      </c>
      <c r="C1744" s="201">
        <v>45982.0</v>
      </c>
      <c r="D1744" s="16" t="s">
        <v>10042</v>
      </c>
      <c r="E1744" s="16" t="s">
        <v>10657</v>
      </c>
      <c r="F1744" s="16" t="s">
        <v>10036</v>
      </c>
      <c r="G1744" s="16" t="s">
        <v>3987</v>
      </c>
      <c r="H1744" s="16">
        <v>1.0</v>
      </c>
      <c r="I1744" s="16">
        <v>90.0</v>
      </c>
      <c r="J1744" s="16">
        <v>90.0</v>
      </c>
      <c r="N1744" s="16">
        <v>0.0</v>
      </c>
      <c r="R1744" s="16">
        <v>0.0</v>
      </c>
      <c r="V1744" s="16">
        <v>0.0</v>
      </c>
      <c r="Z1744" s="16">
        <v>0.0</v>
      </c>
      <c r="AD1744" s="16">
        <v>0.0</v>
      </c>
      <c r="AH1744" s="16">
        <v>0.0</v>
      </c>
      <c r="AL1744" s="16">
        <v>0.0</v>
      </c>
      <c r="AP1744" s="16">
        <v>0.0</v>
      </c>
      <c r="AT1744" s="16">
        <v>0.0</v>
      </c>
      <c r="AX1744" s="16">
        <v>0.0</v>
      </c>
      <c r="BF1744" s="16">
        <v>0.0</v>
      </c>
      <c r="BJ1744" s="16">
        <v>0.0</v>
      </c>
      <c r="BN1744" s="16">
        <v>0.0</v>
      </c>
      <c r="BO1744" s="16">
        <v>90.0</v>
      </c>
      <c r="BP1744" s="16" t="s">
        <v>10658</v>
      </c>
      <c r="BQ1744" s="16" t="b">
        <v>1</v>
      </c>
      <c r="BR1744" s="16">
        <v>90.0</v>
      </c>
      <c r="BS1744" s="21" t="s">
        <v>13659</v>
      </c>
      <c r="BT1744" s="16" t="b">
        <v>1</v>
      </c>
      <c r="BU1744" s="16" t="s">
        <v>546</v>
      </c>
    </row>
    <row r="1745">
      <c r="A1745" s="16" t="s">
        <v>8999</v>
      </c>
      <c r="B1745" s="16" t="s">
        <v>35</v>
      </c>
      <c r="C1745" s="201">
        <v>45983.0</v>
      </c>
      <c r="D1745" s="16" t="s">
        <v>10661</v>
      </c>
      <c r="E1745" s="16" t="s">
        <v>10663</v>
      </c>
      <c r="F1745" s="16" t="s">
        <v>10036</v>
      </c>
      <c r="G1745" s="16" t="s">
        <v>3987</v>
      </c>
      <c r="H1745" s="16">
        <v>1.0</v>
      </c>
      <c r="I1745" s="16">
        <v>130.0</v>
      </c>
      <c r="J1745" s="16">
        <v>130.0</v>
      </c>
      <c r="N1745" s="16">
        <v>0.0</v>
      </c>
      <c r="R1745" s="16">
        <v>0.0</v>
      </c>
      <c r="V1745" s="16">
        <v>0.0</v>
      </c>
      <c r="Z1745" s="16">
        <v>0.0</v>
      </c>
      <c r="AD1745" s="16">
        <v>0.0</v>
      </c>
      <c r="AH1745" s="16">
        <v>0.0</v>
      </c>
      <c r="AL1745" s="16">
        <v>0.0</v>
      </c>
      <c r="AP1745" s="16">
        <v>0.0</v>
      </c>
      <c r="AT1745" s="16">
        <v>0.0</v>
      </c>
      <c r="AX1745" s="16">
        <v>0.0</v>
      </c>
      <c r="BF1745" s="16">
        <v>0.0</v>
      </c>
      <c r="BJ1745" s="16">
        <v>0.0</v>
      </c>
      <c r="BN1745" s="16">
        <v>0.0</v>
      </c>
      <c r="BO1745" s="16">
        <v>130.0</v>
      </c>
      <c r="BP1745" s="16" t="s">
        <v>10665</v>
      </c>
      <c r="BQ1745" s="16" t="b">
        <v>1</v>
      </c>
      <c r="BR1745" s="16">
        <v>130.0</v>
      </c>
      <c r="BS1745" s="21" t="s">
        <v>13660</v>
      </c>
      <c r="BT1745" s="16" t="b">
        <v>1</v>
      </c>
      <c r="BU1745" s="16" t="s">
        <v>546</v>
      </c>
    </row>
    <row r="1746">
      <c r="A1746" s="16" t="s">
        <v>9003</v>
      </c>
      <c r="B1746" s="16" t="s">
        <v>35</v>
      </c>
      <c r="C1746" s="201">
        <v>45983.0</v>
      </c>
      <c r="D1746" s="16" t="s">
        <v>10038</v>
      </c>
      <c r="E1746" s="16" t="s">
        <v>10669</v>
      </c>
      <c r="F1746" s="16" t="s">
        <v>10036</v>
      </c>
      <c r="G1746" s="16" t="s">
        <v>3987</v>
      </c>
      <c r="H1746" s="16">
        <v>1.0</v>
      </c>
      <c r="I1746" s="16">
        <v>130.0</v>
      </c>
      <c r="J1746" s="16">
        <v>130.0</v>
      </c>
      <c r="N1746" s="16">
        <v>0.0</v>
      </c>
      <c r="R1746" s="16">
        <v>0.0</v>
      </c>
      <c r="V1746" s="16">
        <v>0.0</v>
      </c>
      <c r="Z1746" s="16">
        <v>0.0</v>
      </c>
      <c r="AD1746" s="16">
        <v>0.0</v>
      </c>
      <c r="AH1746" s="16">
        <v>0.0</v>
      </c>
      <c r="AL1746" s="16">
        <v>0.0</v>
      </c>
      <c r="AP1746" s="16">
        <v>0.0</v>
      </c>
      <c r="AT1746" s="16">
        <v>0.0</v>
      </c>
      <c r="AX1746" s="16">
        <v>0.0</v>
      </c>
      <c r="BF1746" s="16">
        <v>0.0</v>
      </c>
      <c r="BJ1746" s="16">
        <v>0.0</v>
      </c>
      <c r="BN1746" s="16">
        <v>0.0</v>
      </c>
      <c r="BO1746" s="16">
        <v>130.0</v>
      </c>
      <c r="BP1746" s="16" t="s">
        <v>10670</v>
      </c>
      <c r="BQ1746" s="16" t="b">
        <v>1</v>
      </c>
      <c r="BR1746" s="16">
        <v>130.0</v>
      </c>
      <c r="BS1746" s="21" t="s">
        <v>13662</v>
      </c>
      <c r="BT1746" s="16" t="b">
        <v>1</v>
      </c>
      <c r="BU1746" s="16" t="s">
        <v>546</v>
      </c>
    </row>
    <row r="1747">
      <c r="A1747" s="16" t="s">
        <v>9005</v>
      </c>
      <c r="B1747" s="16" t="s">
        <v>35</v>
      </c>
      <c r="C1747" s="201">
        <v>45984.0</v>
      </c>
      <c r="D1747" s="16" t="s">
        <v>10676</v>
      </c>
      <c r="E1747" s="16" t="s">
        <v>10678</v>
      </c>
      <c r="F1747" s="16" t="s">
        <v>10036</v>
      </c>
      <c r="G1747" s="16" t="s">
        <v>3987</v>
      </c>
      <c r="H1747" s="16">
        <v>1.0</v>
      </c>
      <c r="I1747" s="16">
        <v>65.0</v>
      </c>
      <c r="J1747" s="16">
        <v>65.0</v>
      </c>
      <c r="N1747" s="16">
        <v>0.0</v>
      </c>
      <c r="R1747" s="16">
        <v>0.0</v>
      </c>
      <c r="V1747" s="16">
        <v>0.0</v>
      </c>
      <c r="Z1747" s="16">
        <v>0.0</v>
      </c>
      <c r="AD1747" s="16">
        <v>0.0</v>
      </c>
      <c r="AH1747" s="16">
        <v>0.0</v>
      </c>
      <c r="AL1747" s="16">
        <v>0.0</v>
      </c>
      <c r="AP1747" s="16">
        <v>0.0</v>
      </c>
      <c r="AT1747" s="16">
        <v>0.0</v>
      </c>
      <c r="AX1747" s="16">
        <v>0.0</v>
      </c>
      <c r="BF1747" s="16">
        <v>0.0</v>
      </c>
      <c r="BJ1747" s="16">
        <v>0.0</v>
      </c>
      <c r="BN1747" s="16">
        <v>0.0</v>
      </c>
      <c r="BO1747" s="16">
        <v>65.0</v>
      </c>
      <c r="BP1747" s="16" t="s">
        <v>10680</v>
      </c>
      <c r="BQ1747" s="16" t="b">
        <v>1</v>
      </c>
      <c r="BR1747" s="16">
        <v>65.0</v>
      </c>
      <c r="BS1747" s="21" t="s">
        <v>13663</v>
      </c>
      <c r="BT1747" s="16" t="b">
        <v>1</v>
      </c>
      <c r="BU1747" s="16" t="s">
        <v>546</v>
      </c>
    </row>
    <row r="1748">
      <c r="A1748" s="16" t="s">
        <v>9008</v>
      </c>
      <c r="B1748" s="16" t="s">
        <v>35</v>
      </c>
      <c r="C1748" s="201">
        <v>45984.0</v>
      </c>
      <c r="D1748" s="16" t="s">
        <v>10047</v>
      </c>
      <c r="E1748" s="16" t="s">
        <v>10685</v>
      </c>
      <c r="F1748" s="16" t="s">
        <v>10036</v>
      </c>
      <c r="G1748" s="16" t="s">
        <v>3987</v>
      </c>
      <c r="H1748" s="16">
        <v>1.0</v>
      </c>
      <c r="I1748" s="16">
        <v>130.0</v>
      </c>
      <c r="J1748" s="16">
        <v>130.0</v>
      </c>
      <c r="N1748" s="16">
        <v>0.0</v>
      </c>
      <c r="R1748" s="16">
        <v>0.0</v>
      </c>
      <c r="V1748" s="16">
        <v>0.0</v>
      </c>
      <c r="Z1748" s="16">
        <v>0.0</v>
      </c>
      <c r="AD1748" s="16">
        <v>0.0</v>
      </c>
      <c r="AH1748" s="16">
        <v>0.0</v>
      </c>
      <c r="AL1748" s="16">
        <v>0.0</v>
      </c>
      <c r="AP1748" s="16">
        <v>0.0</v>
      </c>
      <c r="AT1748" s="16">
        <v>0.0</v>
      </c>
      <c r="AX1748" s="16">
        <v>0.0</v>
      </c>
      <c r="BF1748" s="16">
        <v>0.0</v>
      </c>
      <c r="BJ1748" s="16">
        <v>0.0</v>
      </c>
      <c r="BN1748" s="16">
        <v>0.0</v>
      </c>
      <c r="BO1748" s="16">
        <v>130.0</v>
      </c>
      <c r="BP1748" s="16" t="s">
        <v>10687</v>
      </c>
      <c r="BQ1748" s="16" t="b">
        <v>1</v>
      </c>
      <c r="BR1748" s="16">
        <v>130.0</v>
      </c>
      <c r="BS1748" s="21" t="s">
        <v>13665</v>
      </c>
      <c r="BT1748" s="16" t="b">
        <v>1</v>
      </c>
      <c r="BU1748" s="16" t="s">
        <v>546</v>
      </c>
    </row>
    <row r="1749">
      <c r="A1749" s="16" t="s">
        <v>9010</v>
      </c>
      <c r="B1749" s="16" t="s">
        <v>35</v>
      </c>
      <c r="C1749" s="201">
        <v>45984.0</v>
      </c>
      <c r="D1749" s="16" t="s">
        <v>10033</v>
      </c>
      <c r="E1749" s="16" t="s">
        <v>10692</v>
      </c>
      <c r="F1749" s="16" t="s">
        <v>10036</v>
      </c>
      <c r="G1749" s="16" t="s">
        <v>3987</v>
      </c>
      <c r="H1749" s="16">
        <v>1.0</v>
      </c>
      <c r="I1749" s="16">
        <v>130.0</v>
      </c>
      <c r="J1749" s="16">
        <v>130.0</v>
      </c>
      <c r="N1749" s="16">
        <v>0.0</v>
      </c>
      <c r="R1749" s="16">
        <v>0.0</v>
      </c>
      <c r="V1749" s="16">
        <v>0.0</v>
      </c>
      <c r="Z1749" s="16">
        <v>0.0</v>
      </c>
      <c r="AD1749" s="16">
        <v>0.0</v>
      </c>
      <c r="AH1749" s="16">
        <v>0.0</v>
      </c>
      <c r="AL1749" s="16">
        <v>0.0</v>
      </c>
      <c r="AP1749" s="16">
        <v>0.0</v>
      </c>
      <c r="AT1749" s="16">
        <v>0.0</v>
      </c>
      <c r="AX1749" s="16">
        <v>0.0</v>
      </c>
      <c r="BF1749" s="16">
        <v>0.0</v>
      </c>
      <c r="BJ1749" s="16">
        <v>0.0</v>
      </c>
      <c r="BN1749" s="16">
        <v>0.0</v>
      </c>
      <c r="BO1749" s="16">
        <v>130.0</v>
      </c>
      <c r="BP1749" s="16" t="s">
        <v>10694</v>
      </c>
      <c r="BQ1749" s="16" t="b">
        <v>1</v>
      </c>
      <c r="BR1749" s="16">
        <v>130.0</v>
      </c>
      <c r="BS1749" s="21" t="s">
        <v>13666</v>
      </c>
      <c r="BT1749" s="16" t="b">
        <v>1</v>
      </c>
      <c r="BU1749" s="16" t="s">
        <v>546</v>
      </c>
    </row>
    <row r="1750">
      <c r="A1750" s="16" t="s">
        <v>9012</v>
      </c>
      <c r="B1750" s="16" t="s">
        <v>35</v>
      </c>
      <c r="C1750" s="201">
        <v>45979.0</v>
      </c>
      <c r="D1750" s="16" t="s">
        <v>9989</v>
      </c>
      <c r="E1750" s="16" t="s">
        <v>10699</v>
      </c>
      <c r="F1750" s="16" t="s">
        <v>6914</v>
      </c>
      <c r="G1750" s="16" t="s">
        <v>6720</v>
      </c>
      <c r="H1750" s="16">
        <v>1.0</v>
      </c>
      <c r="I1750" s="16">
        <v>75.0</v>
      </c>
      <c r="J1750" s="16">
        <v>75.0</v>
      </c>
      <c r="N1750" s="16">
        <v>0.0</v>
      </c>
      <c r="R1750" s="16">
        <v>0.0</v>
      </c>
      <c r="V1750" s="16">
        <v>0.0</v>
      </c>
      <c r="Z1750" s="16">
        <v>0.0</v>
      </c>
      <c r="AD1750" s="16">
        <v>0.0</v>
      </c>
      <c r="AH1750" s="16">
        <v>0.0</v>
      </c>
      <c r="AL1750" s="16">
        <v>0.0</v>
      </c>
      <c r="AP1750" s="16">
        <v>0.0</v>
      </c>
      <c r="AT1750" s="16">
        <v>0.0</v>
      </c>
      <c r="AX1750" s="16">
        <v>0.0</v>
      </c>
      <c r="BF1750" s="16">
        <v>0.0</v>
      </c>
      <c r="BJ1750" s="16">
        <v>0.0</v>
      </c>
      <c r="BN1750" s="16">
        <v>0.0</v>
      </c>
      <c r="BO1750" s="16">
        <v>75.0</v>
      </c>
      <c r="BP1750" s="16" t="s">
        <v>10700</v>
      </c>
      <c r="BQ1750" s="16" t="b">
        <v>1</v>
      </c>
      <c r="BR1750" s="16">
        <v>75.0</v>
      </c>
      <c r="BS1750" s="21" t="s">
        <v>13667</v>
      </c>
      <c r="BT1750" s="16" t="b">
        <v>1</v>
      </c>
      <c r="BU1750" s="16" t="s">
        <v>546</v>
      </c>
    </row>
    <row r="1751">
      <c r="A1751" s="16" t="s">
        <v>9014</v>
      </c>
      <c r="B1751" s="16" t="s">
        <v>35</v>
      </c>
      <c r="C1751" s="201">
        <v>45980.0</v>
      </c>
      <c r="D1751" s="16" t="s">
        <v>10070</v>
      </c>
      <c r="E1751" s="16" t="s">
        <v>10704</v>
      </c>
      <c r="F1751" s="16" t="s">
        <v>6914</v>
      </c>
      <c r="G1751" s="16" t="s">
        <v>6720</v>
      </c>
      <c r="H1751" s="16">
        <v>1.0</v>
      </c>
      <c r="I1751" s="16">
        <v>20.0</v>
      </c>
      <c r="J1751" s="16">
        <v>20.0</v>
      </c>
      <c r="N1751" s="16">
        <v>0.0</v>
      </c>
      <c r="R1751" s="16">
        <v>0.0</v>
      </c>
      <c r="V1751" s="16">
        <v>0.0</v>
      </c>
      <c r="Z1751" s="16">
        <v>0.0</v>
      </c>
      <c r="AD1751" s="16">
        <v>0.0</v>
      </c>
      <c r="AH1751" s="16">
        <v>0.0</v>
      </c>
      <c r="AL1751" s="16">
        <v>0.0</v>
      </c>
      <c r="AP1751" s="16">
        <v>0.0</v>
      </c>
      <c r="AT1751" s="16">
        <v>0.0</v>
      </c>
      <c r="AX1751" s="16">
        <v>0.0</v>
      </c>
      <c r="BF1751" s="16">
        <v>0.0</v>
      </c>
      <c r="BJ1751" s="16">
        <v>0.0</v>
      </c>
      <c r="BN1751" s="16">
        <v>0.0</v>
      </c>
      <c r="BO1751" s="16">
        <v>20.0</v>
      </c>
      <c r="BP1751" s="16" t="s">
        <v>10706</v>
      </c>
      <c r="BQ1751" s="16" t="b">
        <v>1</v>
      </c>
      <c r="BR1751" s="16">
        <v>20.0</v>
      </c>
      <c r="BS1751" s="21" t="s">
        <v>13670</v>
      </c>
      <c r="BT1751" s="16" t="b">
        <v>1</v>
      </c>
      <c r="BU1751" s="16" t="s">
        <v>546</v>
      </c>
    </row>
    <row r="1752">
      <c r="A1752" s="16" t="s">
        <v>9016</v>
      </c>
      <c r="B1752" s="16" t="s">
        <v>35</v>
      </c>
      <c r="C1752" s="201">
        <v>45980.0</v>
      </c>
      <c r="D1752" s="16" t="s">
        <v>9989</v>
      </c>
      <c r="E1752" s="16" t="s">
        <v>10709</v>
      </c>
      <c r="F1752" s="16" t="s">
        <v>6914</v>
      </c>
      <c r="G1752" s="16" t="s">
        <v>6720</v>
      </c>
      <c r="H1752" s="16">
        <v>1.0</v>
      </c>
      <c r="I1752" s="16">
        <v>80.0</v>
      </c>
      <c r="J1752" s="16">
        <v>80.0</v>
      </c>
      <c r="N1752" s="16">
        <v>0.0</v>
      </c>
      <c r="R1752" s="16">
        <v>0.0</v>
      </c>
      <c r="V1752" s="16">
        <v>0.0</v>
      </c>
      <c r="Z1752" s="16">
        <v>0.0</v>
      </c>
      <c r="AD1752" s="16">
        <v>0.0</v>
      </c>
      <c r="AH1752" s="16">
        <v>0.0</v>
      </c>
      <c r="AL1752" s="16">
        <v>0.0</v>
      </c>
      <c r="AP1752" s="16">
        <v>0.0</v>
      </c>
      <c r="AT1752" s="16">
        <v>0.0</v>
      </c>
      <c r="AX1752" s="16">
        <v>0.0</v>
      </c>
      <c r="BF1752" s="16">
        <v>0.0</v>
      </c>
      <c r="BJ1752" s="16">
        <v>0.0</v>
      </c>
      <c r="BN1752" s="16">
        <v>0.0</v>
      </c>
      <c r="BO1752" s="16">
        <v>80.0</v>
      </c>
      <c r="BP1752" s="16" t="s">
        <v>10710</v>
      </c>
      <c r="BQ1752" s="16" t="b">
        <v>1</v>
      </c>
      <c r="BR1752" s="16">
        <v>80.0</v>
      </c>
      <c r="BS1752" s="21" t="s">
        <v>13671</v>
      </c>
      <c r="BT1752" s="16" t="b">
        <v>1</v>
      </c>
      <c r="BU1752" s="16" t="s">
        <v>546</v>
      </c>
    </row>
    <row r="1753">
      <c r="A1753" s="16" t="s">
        <v>9018</v>
      </c>
      <c r="B1753" s="16" t="s">
        <v>35</v>
      </c>
      <c r="C1753" s="201">
        <v>45981.0</v>
      </c>
      <c r="D1753" s="16" t="s">
        <v>9989</v>
      </c>
      <c r="E1753" s="16" t="s">
        <v>10716</v>
      </c>
      <c r="F1753" s="16" t="s">
        <v>6914</v>
      </c>
      <c r="G1753" s="16" t="s">
        <v>6720</v>
      </c>
      <c r="H1753" s="16">
        <v>1.0</v>
      </c>
      <c r="I1753" s="16">
        <v>273.0</v>
      </c>
      <c r="J1753" s="16">
        <v>273.0</v>
      </c>
      <c r="N1753" s="16">
        <v>0.0</v>
      </c>
      <c r="R1753" s="16">
        <v>0.0</v>
      </c>
      <c r="V1753" s="16">
        <v>0.0</v>
      </c>
      <c r="Z1753" s="16">
        <v>0.0</v>
      </c>
      <c r="AD1753" s="16">
        <v>0.0</v>
      </c>
      <c r="AH1753" s="16">
        <v>0.0</v>
      </c>
      <c r="AL1753" s="16">
        <v>0.0</v>
      </c>
      <c r="AP1753" s="16">
        <v>0.0</v>
      </c>
      <c r="AT1753" s="16">
        <v>0.0</v>
      </c>
      <c r="AX1753" s="16">
        <v>0.0</v>
      </c>
      <c r="BF1753" s="16">
        <v>0.0</v>
      </c>
      <c r="BJ1753" s="16">
        <v>0.0</v>
      </c>
      <c r="BN1753" s="16">
        <v>0.0</v>
      </c>
      <c r="BO1753" s="16">
        <v>273.0</v>
      </c>
      <c r="BP1753" s="16" t="s">
        <v>10717</v>
      </c>
      <c r="BQ1753" s="16" t="b">
        <v>1</v>
      </c>
      <c r="BR1753" s="16">
        <v>273.0</v>
      </c>
      <c r="BS1753" s="21" t="s">
        <v>13672</v>
      </c>
      <c r="BT1753" s="16" t="b">
        <v>1</v>
      </c>
      <c r="BU1753" s="16" t="s">
        <v>546</v>
      </c>
    </row>
    <row r="1754">
      <c r="A1754" s="16" t="s">
        <v>9020</v>
      </c>
      <c r="B1754" s="16" t="s">
        <v>35</v>
      </c>
      <c r="C1754" s="201">
        <v>45981.0</v>
      </c>
      <c r="D1754" s="16" t="s">
        <v>10009</v>
      </c>
      <c r="E1754" s="16" t="s">
        <v>10723</v>
      </c>
      <c r="F1754" s="16" t="s">
        <v>6914</v>
      </c>
      <c r="G1754" s="16" t="s">
        <v>6720</v>
      </c>
      <c r="H1754" s="16">
        <v>1.0</v>
      </c>
      <c r="I1754" s="16">
        <v>58.0</v>
      </c>
      <c r="J1754" s="16">
        <v>58.0</v>
      </c>
      <c r="N1754" s="16">
        <v>0.0</v>
      </c>
      <c r="R1754" s="16">
        <v>0.0</v>
      </c>
      <c r="V1754" s="16">
        <v>0.0</v>
      </c>
      <c r="Z1754" s="16">
        <v>0.0</v>
      </c>
      <c r="AD1754" s="16">
        <v>0.0</v>
      </c>
      <c r="AH1754" s="16">
        <v>0.0</v>
      </c>
      <c r="AL1754" s="16">
        <v>0.0</v>
      </c>
      <c r="AP1754" s="16">
        <v>0.0</v>
      </c>
      <c r="AT1754" s="16">
        <v>0.0</v>
      </c>
      <c r="AX1754" s="16">
        <v>0.0</v>
      </c>
      <c r="BF1754" s="16">
        <v>0.0</v>
      </c>
      <c r="BJ1754" s="16">
        <v>0.0</v>
      </c>
      <c r="BN1754" s="16">
        <v>0.0</v>
      </c>
      <c r="BO1754" s="16">
        <v>58.0</v>
      </c>
      <c r="BP1754" s="16" t="s">
        <v>10726</v>
      </c>
      <c r="BQ1754" s="16" t="b">
        <v>1</v>
      </c>
      <c r="BR1754" s="16">
        <v>58.0</v>
      </c>
      <c r="BS1754" s="21" t="s">
        <v>13673</v>
      </c>
      <c r="BT1754" s="16" t="b">
        <v>1</v>
      </c>
      <c r="BU1754" s="16" t="s">
        <v>546</v>
      </c>
    </row>
    <row r="1755">
      <c r="A1755" s="16" t="s">
        <v>9022</v>
      </c>
      <c r="B1755" s="16" t="s">
        <v>35</v>
      </c>
      <c r="C1755" s="201">
        <v>45982.0</v>
      </c>
      <c r="D1755" s="16" t="s">
        <v>9989</v>
      </c>
      <c r="E1755" s="16" t="s">
        <v>10732</v>
      </c>
      <c r="F1755" s="16" t="s">
        <v>6914</v>
      </c>
      <c r="G1755" s="16" t="s">
        <v>6720</v>
      </c>
      <c r="H1755" s="16">
        <v>1.0</v>
      </c>
      <c r="I1755" s="16">
        <v>101.0</v>
      </c>
      <c r="J1755" s="16">
        <v>101.0</v>
      </c>
      <c r="N1755" s="16">
        <v>0.0</v>
      </c>
      <c r="R1755" s="16">
        <v>0.0</v>
      </c>
      <c r="V1755" s="16">
        <v>0.0</v>
      </c>
      <c r="Z1755" s="16">
        <v>0.0</v>
      </c>
      <c r="AD1755" s="16">
        <v>0.0</v>
      </c>
      <c r="AH1755" s="16">
        <v>0.0</v>
      </c>
      <c r="AL1755" s="16">
        <v>0.0</v>
      </c>
      <c r="AP1755" s="16">
        <v>0.0</v>
      </c>
      <c r="AT1755" s="16">
        <v>0.0</v>
      </c>
      <c r="AX1755" s="16">
        <v>0.0</v>
      </c>
      <c r="BF1755" s="16">
        <v>0.0</v>
      </c>
      <c r="BJ1755" s="16">
        <v>0.0</v>
      </c>
      <c r="BN1755" s="16">
        <v>0.0</v>
      </c>
      <c r="BO1755" s="16">
        <v>101.0</v>
      </c>
      <c r="BP1755" s="16" t="s">
        <v>10734</v>
      </c>
      <c r="BQ1755" s="16" t="b">
        <v>1</v>
      </c>
      <c r="BR1755" s="16">
        <v>101.0</v>
      </c>
      <c r="BS1755" s="21" t="s">
        <v>13675</v>
      </c>
      <c r="BT1755" s="16" t="b">
        <v>1</v>
      </c>
      <c r="BU1755" s="16" t="s">
        <v>546</v>
      </c>
    </row>
    <row r="1756">
      <c r="A1756" s="16" t="s">
        <v>9026</v>
      </c>
      <c r="B1756" s="16" t="s">
        <v>35</v>
      </c>
      <c r="C1756" s="201">
        <v>45982.0</v>
      </c>
      <c r="D1756" s="16" t="s">
        <v>10009</v>
      </c>
      <c r="E1756" s="16" t="s">
        <v>10738</v>
      </c>
      <c r="F1756" s="16" t="s">
        <v>6914</v>
      </c>
      <c r="G1756" s="16" t="s">
        <v>6720</v>
      </c>
      <c r="H1756" s="16">
        <v>1.0</v>
      </c>
      <c r="I1756" s="16">
        <v>35.0</v>
      </c>
      <c r="J1756" s="16">
        <v>35.0</v>
      </c>
      <c r="N1756" s="16">
        <v>0.0</v>
      </c>
      <c r="R1756" s="16">
        <v>0.0</v>
      </c>
      <c r="V1756" s="16">
        <v>0.0</v>
      </c>
      <c r="Z1756" s="16">
        <v>0.0</v>
      </c>
      <c r="AD1756" s="16">
        <v>0.0</v>
      </c>
      <c r="AH1756" s="16">
        <v>0.0</v>
      </c>
      <c r="AL1756" s="16">
        <v>0.0</v>
      </c>
      <c r="AP1756" s="16">
        <v>0.0</v>
      </c>
      <c r="AT1756" s="16">
        <v>0.0</v>
      </c>
      <c r="AX1756" s="16">
        <v>0.0</v>
      </c>
      <c r="BF1756" s="16">
        <v>0.0</v>
      </c>
      <c r="BJ1756" s="16">
        <v>0.0</v>
      </c>
      <c r="BN1756" s="16">
        <v>0.0</v>
      </c>
      <c r="BO1756" s="16">
        <v>35.0</v>
      </c>
      <c r="BP1756" s="16" t="s">
        <v>10740</v>
      </c>
      <c r="BQ1756" s="16" t="b">
        <v>1</v>
      </c>
      <c r="BR1756" s="16">
        <v>35.0</v>
      </c>
      <c r="BS1756" s="21" t="s">
        <v>13676</v>
      </c>
      <c r="BT1756" s="16" t="b">
        <v>1</v>
      </c>
      <c r="BU1756" s="16" t="s">
        <v>546</v>
      </c>
    </row>
    <row r="1757">
      <c r="A1757" s="16" t="s">
        <v>9028</v>
      </c>
      <c r="B1757" s="16" t="s">
        <v>35</v>
      </c>
      <c r="C1757" s="201">
        <v>45983.0</v>
      </c>
      <c r="D1757" s="16" t="s">
        <v>9989</v>
      </c>
      <c r="E1757" s="16" t="s">
        <v>10743</v>
      </c>
      <c r="F1757" s="16" t="s">
        <v>6914</v>
      </c>
      <c r="G1757" s="16" t="s">
        <v>6720</v>
      </c>
      <c r="H1757" s="16">
        <v>1.0</v>
      </c>
      <c r="I1757" s="16">
        <v>105.0</v>
      </c>
      <c r="J1757" s="16">
        <v>105.0</v>
      </c>
      <c r="N1757" s="16">
        <v>0.0</v>
      </c>
      <c r="R1757" s="16">
        <v>0.0</v>
      </c>
      <c r="V1757" s="16">
        <v>0.0</v>
      </c>
      <c r="Z1757" s="16">
        <v>0.0</v>
      </c>
      <c r="AD1757" s="16">
        <v>0.0</v>
      </c>
      <c r="AH1757" s="16">
        <v>0.0</v>
      </c>
      <c r="AL1757" s="16">
        <v>0.0</v>
      </c>
      <c r="AP1757" s="16">
        <v>0.0</v>
      </c>
      <c r="AT1757" s="16">
        <v>0.0</v>
      </c>
      <c r="AX1757" s="16">
        <v>0.0</v>
      </c>
      <c r="BF1757" s="16">
        <v>0.0</v>
      </c>
      <c r="BJ1757" s="16">
        <v>0.0</v>
      </c>
      <c r="BN1757" s="16">
        <v>0.0</v>
      </c>
      <c r="BO1757" s="16">
        <v>105.0</v>
      </c>
      <c r="BP1757" s="16" t="s">
        <v>10744</v>
      </c>
      <c r="BQ1757" s="16" t="b">
        <v>1</v>
      </c>
      <c r="BR1757" s="16">
        <v>105.0</v>
      </c>
      <c r="BS1757" s="21" t="s">
        <v>13677</v>
      </c>
      <c r="BT1757" s="16" t="b">
        <v>1</v>
      </c>
      <c r="BU1757" s="16" t="s">
        <v>546</v>
      </c>
    </row>
    <row r="1758">
      <c r="A1758" s="16" t="s">
        <v>9033</v>
      </c>
      <c r="B1758" s="16" t="s">
        <v>35</v>
      </c>
      <c r="C1758" s="201">
        <v>45985.0</v>
      </c>
      <c r="D1758" s="16" t="s">
        <v>7890</v>
      </c>
      <c r="E1758" s="16" t="s">
        <v>10747</v>
      </c>
      <c r="F1758" s="16" t="s">
        <v>10750</v>
      </c>
      <c r="G1758" s="16" t="s">
        <v>8534</v>
      </c>
      <c r="H1758" s="16">
        <v>1.0</v>
      </c>
      <c r="I1758" s="16">
        <v>48.0</v>
      </c>
      <c r="J1758" s="16">
        <v>48.0</v>
      </c>
      <c r="N1758" s="16">
        <v>0.0</v>
      </c>
      <c r="R1758" s="16">
        <v>0.0</v>
      </c>
      <c r="V1758" s="16">
        <v>0.0</v>
      </c>
      <c r="Z1758" s="16">
        <v>0.0</v>
      </c>
      <c r="AD1758" s="16">
        <v>0.0</v>
      </c>
      <c r="AH1758" s="16">
        <v>0.0</v>
      </c>
      <c r="AL1758" s="16">
        <v>0.0</v>
      </c>
      <c r="AP1758" s="16">
        <v>0.0</v>
      </c>
      <c r="AT1758" s="16">
        <v>0.0</v>
      </c>
      <c r="AX1758" s="16">
        <v>0.0</v>
      </c>
      <c r="BF1758" s="16">
        <v>0.0</v>
      </c>
      <c r="BJ1758" s="16">
        <v>0.0</v>
      </c>
      <c r="BN1758" s="16">
        <v>0.0</v>
      </c>
      <c r="BO1758" s="16">
        <v>48.0</v>
      </c>
      <c r="BP1758" s="16" t="s">
        <v>10749</v>
      </c>
      <c r="BQ1758" s="16" t="b">
        <v>1</v>
      </c>
      <c r="BR1758" s="16">
        <v>48.0</v>
      </c>
      <c r="BS1758" s="21" t="s">
        <v>13680</v>
      </c>
      <c r="BT1758" s="16" t="b">
        <v>1</v>
      </c>
      <c r="BU1758" s="16" t="s">
        <v>546</v>
      </c>
    </row>
    <row r="1759">
      <c r="A1759" s="16" t="s">
        <v>9036</v>
      </c>
      <c r="B1759" s="16" t="s">
        <v>35</v>
      </c>
      <c r="C1759" s="201">
        <v>45980.0</v>
      </c>
      <c r="D1759" s="16" t="s">
        <v>1036</v>
      </c>
      <c r="E1759" s="16" t="s">
        <v>10753</v>
      </c>
      <c r="F1759" s="16" t="s">
        <v>10756</v>
      </c>
      <c r="G1759" s="16" t="s">
        <v>1668</v>
      </c>
      <c r="H1759" s="16">
        <v>1.0</v>
      </c>
      <c r="I1759" s="16">
        <v>124.16</v>
      </c>
      <c r="J1759" s="16">
        <v>124.16</v>
      </c>
      <c r="N1759" s="16">
        <v>0.0</v>
      </c>
      <c r="R1759" s="16">
        <v>0.0</v>
      </c>
      <c r="V1759" s="16">
        <v>0.0</v>
      </c>
      <c r="Z1759" s="16">
        <v>0.0</v>
      </c>
      <c r="AD1759" s="16">
        <v>0.0</v>
      </c>
      <c r="AH1759" s="16">
        <v>0.0</v>
      </c>
      <c r="AL1759" s="16">
        <v>0.0</v>
      </c>
      <c r="AP1759" s="16">
        <v>0.0</v>
      </c>
      <c r="AT1759" s="16">
        <v>0.0</v>
      </c>
      <c r="AX1759" s="16">
        <v>0.0</v>
      </c>
      <c r="BF1759" s="16">
        <v>0.0</v>
      </c>
      <c r="BJ1759" s="16">
        <v>0.0</v>
      </c>
      <c r="BN1759" s="16">
        <v>0.0</v>
      </c>
      <c r="BO1759" s="16">
        <v>124.16</v>
      </c>
      <c r="BP1759" s="16" t="s">
        <v>10754</v>
      </c>
      <c r="BQ1759" s="16" t="b">
        <v>1</v>
      </c>
      <c r="BR1759" s="16">
        <v>124.16</v>
      </c>
      <c r="BS1759" s="16"/>
      <c r="BT1759" s="16" t="b">
        <v>0</v>
      </c>
      <c r="BU1759" s="16" t="s">
        <v>546</v>
      </c>
      <c r="BW1759" s="16" t="s">
        <v>10757</v>
      </c>
    </row>
    <row r="1760">
      <c r="A1760" s="16" t="s">
        <v>9039</v>
      </c>
      <c r="B1760" s="16" t="s">
        <v>35</v>
      </c>
      <c r="C1760" s="201">
        <v>45982.0</v>
      </c>
      <c r="D1760" s="16" t="s">
        <v>9260</v>
      </c>
      <c r="E1760" s="16" t="s">
        <v>10761</v>
      </c>
      <c r="F1760" s="16" t="s">
        <v>9956</v>
      </c>
      <c r="G1760" s="16" t="s">
        <v>5713</v>
      </c>
      <c r="H1760" s="16">
        <v>1.0</v>
      </c>
      <c r="I1760" s="16">
        <v>386.17</v>
      </c>
      <c r="J1760" s="16">
        <v>386.17</v>
      </c>
      <c r="N1760" s="16">
        <v>0.0</v>
      </c>
      <c r="R1760" s="16">
        <v>0.0</v>
      </c>
      <c r="V1760" s="16">
        <v>0.0</v>
      </c>
      <c r="Z1760" s="16">
        <v>0.0</v>
      </c>
      <c r="AD1760" s="16">
        <v>0.0</v>
      </c>
      <c r="AH1760" s="16">
        <v>0.0</v>
      </c>
      <c r="AL1760" s="16">
        <v>0.0</v>
      </c>
      <c r="AP1760" s="16">
        <v>0.0</v>
      </c>
      <c r="AT1760" s="16">
        <v>0.0</v>
      </c>
      <c r="AX1760" s="16">
        <v>0.0</v>
      </c>
      <c r="BF1760" s="16">
        <v>0.0</v>
      </c>
      <c r="BJ1760" s="16">
        <v>0.0</v>
      </c>
      <c r="BN1760" s="16">
        <v>0.0</v>
      </c>
      <c r="BO1760" s="16">
        <v>386.17</v>
      </c>
      <c r="BP1760" s="16" t="s">
        <v>10762</v>
      </c>
      <c r="BQ1760" s="16" t="b">
        <v>1</v>
      </c>
      <c r="BR1760" s="16">
        <v>386.17</v>
      </c>
      <c r="BS1760" s="16"/>
      <c r="BT1760" s="16" t="b">
        <v>0</v>
      </c>
      <c r="BU1760" s="16" t="s">
        <v>546</v>
      </c>
      <c r="BW1760" s="16"/>
    </row>
    <row r="1761">
      <c r="A1761" s="16" t="s">
        <v>9043</v>
      </c>
      <c r="B1761" s="16" t="s">
        <v>35</v>
      </c>
      <c r="C1761" s="201">
        <v>45986.0</v>
      </c>
      <c r="D1761" s="16" t="s">
        <v>7095</v>
      </c>
      <c r="E1761" s="16" t="s">
        <v>10767</v>
      </c>
      <c r="F1761" s="16" t="s">
        <v>10769</v>
      </c>
      <c r="G1761" s="16" t="s">
        <v>338</v>
      </c>
      <c r="H1761" s="16">
        <v>1.0</v>
      </c>
      <c r="I1761" s="16">
        <v>48.36</v>
      </c>
      <c r="J1761" s="16">
        <v>48.36</v>
      </c>
      <c r="K1761" s="16" t="s">
        <v>338</v>
      </c>
      <c r="L1761" s="16">
        <v>2.0</v>
      </c>
      <c r="M1761" s="16">
        <v>32.24</v>
      </c>
      <c r="N1761" s="16">
        <v>64.48</v>
      </c>
      <c r="O1761" s="16" t="s">
        <v>335</v>
      </c>
      <c r="P1761" s="16">
        <v>4.0</v>
      </c>
      <c r="Q1761" s="16">
        <v>47.04</v>
      </c>
      <c r="R1761" s="16">
        <v>188.16</v>
      </c>
      <c r="S1761" s="16" t="s">
        <v>1777</v>
      </c>
      <c r="T1761" s="16">
        <v>1.0</v>
      </c>
      <c r="U1761" s="16">
        <v>33.96</v>
      </c>
      <c r="V1761" s="16">
        <v>33.96</v>
      </c>
      <c r="W1761" s="16" t="s">
        <v>7086</v>
      </c>
      <c r="X1761" s="16">
        <v>1.0</v>
      </c>
      <c r="Y1761" s="16">
        <v>33.96</v>
      </c>
      <c r="Z1761" s="16">
        <v>33.96</v>
      </c>
      <c r="AA1761" s="16" t="s">
        <v>7086</v>
      </c>
      <c r="AB1761" s="16">
        <v>1.0</v>
      </c>
      <c r="AC1761" s="16">
        <v>31.58</v>
      </c>
      <c r="AD1761" s="16">
        <v>31.58</v>
      </c>
      <c r="AE1761" s="16" t="s">
        <v>338</v>
      </c>
      <c r="AF1761" s="16">
        <v>2.0</v>
      </c>
      <c r="AG1761" s="16">
        <v>28.36</v>
      </c>
      <c r="AH1761" s="16">
        <v>56.72</v>
      </c>
      <c r="AI1761" s="16" t="s">
        <v>7086</v>
      </c>
      <c r="AJ1761" s="16">
        <v>2.0</v>
      </c>
      <c r="AK1761" s="16">
        <v>33.96</v>
      </c>
      <c r="AL1761" s="16">
        <v>67.92</v>
      </c>
      <c r="AP1761" s="16">
        <v>0.0</v>
      </c>
      <c r="AT1761" s="16">
        <v>0.0</v>
      </c>
      <c r="AX1761" s="16">
        <v>0.0</v>
      </c>
      <c r="BF1761" s="16">
        <v>0.0</v>
      </c>
      <c r="BJ1761" s="16">
        <v>0.0</v>
      </c>
      <c r="BN1761" s="16">
        <v>0.0</v>
      </c>
      <c r="BO1761" s="16">
        <v>525.14</v>
      </c>
      <c r="BP1761" s="16" t="s">
        <v>10768</v>
      </c>
      <c r="BQ1761" s="16" t="b">
        <v>1</v>
      </c>
      <c r="BR1761" s="16">
        <v>525.14</v>
      </c>
      <c r="BS1761" s="16"/>
      <c r="BT1761" s="16" t="b">
        <v>0</v>
      </c>
      <c r="BU1761" s="16" t="s">
        <v>546</v>
      </c>
      <c r="BW1761" s="16" t="s">
        <v>10771</v>
      </c>
    </row>
    <row r="1762">
      <c r="A1762" s="16" t="s">
        <v>9062</v>
      </c>
      <c r="B1762" s="16" t="s">
        <v>35</v>
      </c>
      <c r="C1762" s="201">
        <v>45987.0</v>
      </c>
      <c r="D1762" s="16"/>
      <c r="E1762" s="16"/>
      <c r="F1762" s="16" t="s">
        <v>1329</v>
      </c>
      <c r="G1762" s="16" t="s">
        <v>1168</v>
      </c>
      <c r="H1762" s="16">
        <v>1.0</v>
      </c>
      <c r="I1762" s="16">
        <v>500.0</v>
      </c>
      <c r="J1762" s="16">
        <v>500.0</v>
      </c>
      <c r="N1762" s="16"/>
      <c r="R1762" s="16"/>
      <c r="V1762" s="16"/>
      <c r="Z1762" s="16"/>
      <c r="AD1762" s="16"/>
      <c r="AH1762" s="16"/>
      <c r="AL1762" s="16"/>
      <c r="AP1762" s="16"/>
      <c r="AT1762" s="16"/>
      <c r="AX1762" s="16"/>
      <c r="BF1762" s="16"/>
      <c r="BJ1762" s="16"/>
      <c r="BN1762" s="16"/>
      <c r="BO1762" s="16">
        <v>500.0</v>
      </c>
      <c r="BP1762" s="16"/>
      <c r="BQ1762" s="16" t="b">
        <v>1</v>
      </c>
      <c r="BR1762" s="16">
        <v>500.0</v>
      </c>
      <c r="BS1762" s="16"/>
      <c r="BT1762" s="16"/>
      <c r="BU1762" s="16" t="s">
        <v>539</v>
      </c>
      <c r="BV1762" s="16" t="s">
        <v>2052</v>
      </c>
      <c r="BW1762" s="16"/>
    </row>
    <row r="1763">
      <c r="A1763" s="16" t="s">
        <v>9066</v>
      </c>
      <c r="B1763" s="16" t="s">
        <v>35</v>
      </c>
      <c r="C1763" s="201">
        <v>45987.0</v>
      </c>
      <c r="D1763" s="16"/>
      <c r="E1763" s="16"/>
      <c r="F1763" s="16" t="s">
        <v>1329</v>
      </c>
      <c r="G1763" s="16" t="s">
        <v>1168</v>
      </c>
      <c r="H1763" s="16">
        <v>1.0</v>
      </c>
      <c r="I1763" s="16">
        <v>500.0</v>
      </c>
      <c r="J1763" s="16">
        <v>500.0</v>
      </c>
      <c r="N1763" s="16"/>
      <c r="R1763" s="16"/>
      <c r="V1763" s="16"/>
      <c r="Z1763" s="16"/>
      <c r="AD1763" s="16"/>
      <c r="AH1763" s="16"/>
      <c r="AL1763" s="16"/>
      <c r="AP1763" s="16"/>
      <c r="AT1763" s="16"/>
      <c r="AX1763" s="16"/>
      <c r="BF1763" s="16"/>
      <c r="BJ1763" s="16"/>
      <c r="BN1763" s="16"/>
      <c r="BO1763" s="16">
        <v>500.0</v>
      </c>
      <c r="BP1763" s="16"/>
      <c r="BQ1763" s="16" t="b">
        <v>1</v>
      </c>
      <c r="BR1763" s="16">
        <v>500.0</v>
      </c>
      <c r="BS1763" s="16"/>
      <c r="BT1763" s="16"/>
      <c r="BU1763" s="16" t="s">
        <v>539</v>
      </c>
      <c r="BV1763" s="16" t="s">
        <v>6062</v>
      </c>
      <c r="BW1763" s="16"/>
    </row>
    <row r="1764">
      <c r="A1764" s="16" t="s">
        <v>9069</v>
      </c>
      <c r="B1764" s="16" t="s">
        <v>35</v>
      </c>
      <c r="C1764" s="201">
        <v>45987.0</v>
      </c>
      <c r="D1764" s="16"/>
      <c r="E1764" s="16"/>
      <c r="F1764" s="16" t="s">
        <v>1329</v>
      </c>
      <c r="G1764" s="16" t="s">
        <v>1168</v>
      </c>
      <c r="H1764" s="16">
        <v>1.0</v>
      </c>
      <c r="I1764" s="16">
        <v>500.0</v>
      </c>
      <c r="J1764" s="16">
        <v>500.0</v>
      </c>
      <c r="N1764" s="16"/>
      <c r="R1764" s="16"/>
      <c r="V1764" s="16"/>
      <c r="Z1764" s="16"/>
      <c r="AD1764" s="16"/>
      <c r="AH1764" s="16"/>
      <c r="AL1764" s="16"/>
      <c r="AP1764" s="16"/>
      <c r="AT1764" s="16"/>
      <c r="AX1764" s="16"/>
      <c r="BF1764" s="16"/>
      <c r="BJ1764" s="16"/>
      <c r="BN1764" s="16"/>
      <c r="BO1764" s="16">
        <v>500.0</v>
      </c>
      <c r="BP1764" s="16"/>
      <c r="BQ1764" s="16" t="b">
        <v>1</v>
      </c>
      <c r="BR1764" s="16">
        <v>500.0</v>
      </c>
      <c r="BS1764" s="16"/>
      <c r="BT1764" s="16"/>
      <c r="BU1764" s="16" t="s">
        <v>539</v>
      </c>
      <c r="BV1764" s="16" t="s">
        <v>227</v>
      </c>
      <c r="BW1764" s="16"/>
    </row>
    <row r="1765">
      <c r="A1765" s="16" t="s">
        <v>9071</v>
      </c>
      <c r="B1765" s="16" t="s">
        <v>35</v>
      </c>
      <c r="C1765" s="201">
        <v>45986.0</v>
      </c>
      <c r="D1765" s="16" t="s">
        <v>890</v>
      </c>
      <c r="E1765" s="16" t="s">
        <v>10784</v>
      </c>
      <c r="F1765" s="16" t="s">
        <v>4787</v>
      </c>
      <c r="G1765" s="16" t="s">
        <v>1510</v>
      </c>
      <c r="H1765" s="16">
        <v>1.0</v>
      </c>
      <c r="I1765" s="16">
        <v>23237.56</v>
      </c>
      <c r="J1765" s="16">
        <v>23237.56</v>
      </c>
      <c r="N1765" s="16">
        <v>0.0</v>
      </c>
      <c r="R1765" s="16">
        <v>0.0</v>
      </c>
      <c r="V1765" s="16">
        <v>0.0</v>
      </c>
      <c r="Z1765" s="16">
        <v>0.0</v>
      </c>
      <c r="AD1765" s="16">
        <v>0.0</v>
      </c>
      <c r="AH1765" s="16">
        <v>0.0</v>
      </c>
      <c r="AL1765" s="16">
        <v>0.0</v>
      </c>
      <c r="AP1765" s="16">
        <v>0.0</v>
      </c>
      <c r="AT1765" s="16">
        <v>0.0</v>
      </c>
      <c r="AX1765" s="16">
        <v>0.0</v>
      </c>
      <c r="BF1765" s="16">
        <v>0.0</v>
      </c>
      <c r="BJ1765" s="16">
        <v>0.0</v>
      </c>
      <c r="BN1765" s="16">
        <v>0.0</v>
      </c>
      <c r="BO1765" s="16">
        <v>23237.56</v>
      </c>
      <c r="BP1765" s="16" t="s">
        <v>10786</v>
      </c>
      <c r="BQ1765" s="16" t="b">
        <v>1</v>
      </c>
      <c r="BR1765" s="16">
        <v>23237.56</v>
      </c>
      <c r="BS1765" s="16"/>
      <c r="BT1765" s="16" t="b">
        <v>0</v>
      </c>
      <c r="BU1765" s="16" t="s">
        <v>546</v>
      </c>
      <c r="BV1765" s="16"/>
      <c r="BW1765" s="16" t="s">
        <v>10788</v>
      </c>
      <c r="BX1765" s="16" t="s">
        <v>10790</v>
      </c>
    </row>
    <row r="1766">
      <c r="A1766" s="16" t="s">
        <v>9075</v>
      </c>
      <c r="B1766" s="16" t="s">
        <v>35</v>
      </c>
      <c r="C1766" s="201">
        <v>45988.0</v>
      </c>
      <c r="D1766" s="16" t="s">
        <v>112</v>
      </c>
      <c r="E1766" s="16" t="s">
        <v>10792</v>
      </c>
      <c r="F1766" s="16" t="s">
        <v>157</v>
      </c>
      <c r="G1766" s="16" t="s">
        <v>226</v>
      </c>
      <c r="H1766" s="16">
        <v>3.0</v>
      </c>
      <c r="I1766" s="16">
        <v>9.5</v>
      </c>
      <c r="J1766" s="16">
        <v>28.5</v>
      </c>
      <c r="K1766" s="16" t="s">
        <v>152</v>
      </c>
      <c r="L1766" s="16">
        <v>1.0</v>
      </c>
      <c r="M1766" s="16">
        <v>11.27</v>
      </c>
      <c r="N1766" s="16">
        <v>11.27</v>
      </c>
      <c r="O1766" s="16" t="s">
        <v>230</v>
      </c>
      <c r="P1766" s="16">
        <v>1.0</v>
      </c>
      <c r="Q1766" s="16">
        <v>240.7</v>
      </c>
      <c r="R1766" s="16">
        <v>240.7</v>
      </c>
      <c r="S1766" s="16" t="s">
        <v>155</v>
      </c>
      <c r="T1766" s="16">
        <v>1.0</v>
      </c>
      <c r="U1766" s="16">
        <v>24.05</v>
      </c>
      <c r="V1766" s="16">
        <v>24.05</v>
      </c>
      <c r="W1766" s="16" t="s">
        <v>159</v>
      </c>
      <c r="X1766" s="16">
        <v>1.0</v>
      </c>
      <c r="Y1766" s="16">
        <v>60.0</v>
      </c>
      <c r="Z1766" s="16">
        <v>60.0</v>
      </c>
      <c r="AD1766" s="16">
        <v>0.0</v>
      </c>
      <c r="AH1766" s="16">
        <v>0.0</v>
      </c>
      <c r="AL1766" s="16">
        <v>0.0</v>
      </c>
      <c r="AP1766" s="16">
        <v>0.0</v>
      </c>
      <c r="AT1766" s="16">
        <v>0.0</v>
      </c>
      <c r="AX1766" s="16">
        <v>0.0</v>
      </c>
      <c r="BF1766" s="16">
        <v>0.0</v>
      </c>
      <c r="BJ1766" s="16">
        <v>0.0</v>
      </c>
      <c r="BN1766" s="16">
        <v>0.0</v>
      </c>
      <c r="BO1766" s="16">
        <v>364.52</v>
      </c>
      <c r="BP1766" s="16" t="s">
        <v>10793</v>
      </c>
      <c r="BQ1766" s="16" t="b">
        <v>1</v>
      </c>
      <c r="BR1766" s="16">
        <v>364.52</v>
      </c>
      <c r="BS1766" s="16"/>
      <c r="BT1766" s="16" t="b">
        <v>0</v>
      </c>
      <c r="BU1766" s="16" t="s">
        <v>546</v>
      </c>
      <c r="BV1766" s="16"/>
      <c r="BW1766" s="16"/>
      <c r="BX1766" s="16"/>
    </row>
    <row r="1767">
      <c r="A1767" s="16" t="s">
        <v>9086</v>
      </c>
      <c r="B1767" s="16" t="s">
        <v>35</v>
      </c>
      <c r="C1767" s="201">
        <v>45983.0</v>
      </c>
      <c r="D1767" s="16" t="s">
        <v>233</v>
      </c>
      <c r="E1767" s="16" t="s">
        <v>10797</v>
      </c>
      <c r="F1767" s="16" t="s">
        <v>4248</v>
      </c>
      <c r="G1767" s="16" t="s">
        <v>305</v>
      </c>
      <c r="H1767" s="16">
        <v>1.0</v>
      </c>
      <c r="I1767" s="16">
        <v>86.72</v>
      </c>
      <c r="J1767" s="16">
        <v>86.72</v>
      </c>
      <c r="N1767" s="16">
        <v>0.0</v>
      </c>
      <c r="R1767" s="16">
        <v>0.0</v>
      </c>
      <c r="V1767" s="16">
        <v>0.0</v>
      </c>
      <c r="Z1767" s="16">
        <v>0.0</v>
      </c>
      <c r="AD1767" s="16">
        <v>0.0</v>
      </c>
      <c r="AH1767" s="16">
        <v>0.0</v>
      </c>
      <c r="AL1767" s="16">
        <v>0.0</v>
      </c>
      <c r="AP1767" s="16">
        <v>0.0</v>
      </c>
      <c r="AT1767" s="16">
        <v>0.0</v>
      </c>
      <c r="AX1767" s="16">
        <v>0.0</v>
      </c>
      <c r="BF1767" s="16">
        <v>0.0</v>
      </c>
      <c r="BJ1767" s="16">
        <v>0.0</v>
      </c>
      <c r="BN1767" s="16">
        <v>0.0</v>
      </c>
      <c r="BO1767" s="16">
        <v>86.72</v>
      </c>
      <c r="BP1767" s="16" t="s">
        <v>10799</v>
      </c>
      <c r="BQ1767" s="16" t="b">
        <v>1</v>
      </c>
      <c r="BR1767" s="16">
        <v>86.72</v>
      </c>
      <c r="BS1767" s="21" t="s">
        <v>13689</v>
      </c>
      <c r="BT1767" s="16" t="b">
        <v>1</v>
      </c>
      <c r="BU1767" s="16" t="s">
        <v>546</v>
      </c>
      <c r="BV1767" s="16"/>
      <c r="BW1767" s="16"/>
      <c r="BX1767" s="16"/>
    </row>
    <row r="1768">
      <c r="A1768" s="16" t="s">
        <v>9088</v>
      </c>
      <c r="B1768" s="16" t="s">
        <v>35</v>
      </c>
      <c r="C1768" s="201">
        <v>45985.0</v>
      </c>
      <c r="D1768" s="16" t="s">
        <v>9989</v>
      </c>
      <c r="E1768" s="16" t="s">
        <v>10802</v>
      </c>
      <c r="F1768" s="16" t="s">
        <v>6914</v>
      </c>
      <c r="G1768" s="16" t="s">
        <v>6720</v>
      </c>
      <c r="H1768" s="16">
        <v>1.0</v>
      </c>
      <c r="I1768" s="16">
        <v>53.0</v>
      </c>
      <c r="J1768" s="16">
        <v>53.0</v>
      </c>
      <c r="N1768" s="16">
        <v>0.0</v>
      </c>
      <c r="R1768" s="16">
        <v>0.0</v>
      </c>
      <c r="V1768" s="16">
        <v>0.0</v>
      </c>
      <c r="Z1768" s="16">
        <v>0.0</v>
      </c>
      <c r="AD1768" s="16">
        <v>0.0</v>
      </c>
      <c r="AH1768" s="16">
        <v>0.0</v>
      </c>
      <c r="AL1768" s="16">
        <v>0.0</v>
      </c>
      <c r="AP1768" s="16">
        <v>0.0</v>
      </c>
      <c r="AT1768" s="16">
        <v>0.0</v>
      </c>
      <c r="AX1768" s="16">
        <v>0.0</v>
      </c>
      <c r="BF1768" s="16">
        <v>0.0</v>
      </c>
      <c r="BJ1768" s="16">
        <v>0.0</v>
      </c>
      <c r="BN1768" s="16">
        <v>0.0</v>
      </c>
      <c r="BO1768" s="16">
        <v>53.0</v>
      </c>
      <c r="BP1768" s="16" t="s">
        <v>10803</v>
      </c>
      <c r="BQ1768" s="16" t="b">
        <v>1</v>
      </c>
      <c r="BR1768" s="16">
        <v>53.0</v>
      </c>
      <c r="BS1768" s="21" t="s">
        <v>13692</v>
      </c>
      <c r="BT1768" s="16" t="b">
        <v>1</v>
      </c>
      <c r="BU1768" s="16" t="s">
        <v>546</v>
      </c>
      <c r="BV1768" s="16"/>
      <c r="BW1768" s="16"/>
      <c r="BX1768" s="16"/>
    </row>
    <row r="1769">
      <c r="A1769" s="16" t="s">
        <v>9093</v>
      </c>
      <c r="B1769" s="16" t="s">
        <v>35</v>
      </c>
      <c r="C1769" s="201">
        <v>45985.0</v>
      </c>
      <c r="D1769" s="16" t="s">
        <v>10070</v>
      </c>
      <c r="E1769" s="16" t="s">
        <v>10806</v>
      </c>
      <c r="F1769" s="16" t="s">
        <v>6914</v>
      </c>
      <c r="G1769" s="16" t="s">
        <v>6720</v>
      </c>
      <c r="H1769" s="16">
        <v>1.0</v>
      </c>
      <c r="I1769" s="16">
        <v>10.0</v>
      </c>
      <c r="J1769" s="16">
        <v>10.0</v>
      </c>
      <c r="N1769" s="16">
        <v>0.0</v>
      </c>
      <c r="R1769" s="16">
        <v>0.0</v>
      </c>
      <c r="V1769" s="16">
        <v>0.0</v>
      </c>
      <c r="Z1769" s="16">
        <v>0.0</v>
      </c>
      <c r="AD1769" s="16">
        <v>0.0</v>
      </c>
      <c r="AH1769" s="16">
        <v>0.0</v>
      </c>
      <c r="AL1769" s="16">
        <v>0.0</v>
      </c>
      <c r="AP1769" s="16">
        <v>0.0</v>
      </c>
      <c r="AT1769" s="16">
        <v>0.0</v>
      </c>
      <c r="AX1769" s="16">
        <v>0.0</v>
      </c>
      <c r="BF1769" s="16">
        <v>0.0</v>
      </c>
      <c r="BJ1769" s="16">
        <v>0.0</v>
      </c>
      <c r="BN1769" s="16">
        <v>0.0</v>
      </c>
      <c r="BO1769" s="16">
        <v>10.0</v>
      </c>
      <c r="BP1769" s="16" t="s">
        <v>10808</v>
      </c>
      <c r="BQ1769" s="16" t="b">
        <v>1</v>
      </c>
      <c r="BR1769" s="16">
        <v>10.0</v>
      </c>
      <c r="BS1769" s="21" t="s">
        <v>13694</v>
      </c>
      <c r="BT1769" s="16" t="b">
        <v>1</v>
      </c>
      <c r="BU1769" s="16" t="s">
        <v>546</v>
      </c>
      <c r="BV1769" s="16"/>
      <c r="BW1769" s="16"/>
      <c r="BX1769" s="16"/>
    </row>
    <row r="1770">
      <c r="A1770" s="21" t="s">
        <v>13696</v>
      </c>
      <c r="B1770" s="16" t="s">
        <v>35</v>
      </c>
      <c r="C1770" s="201">
        <v>45986.0</v>
      </c>
      <c r="D1770" s="16" t="s">
        <v>9989</v>
      </c>
      <c r="E1770" s="16" t="s">
        <v>10811</v>
      </c>
      <c r="F1770" s="16" t="s">
        <v>6914</v>
      </c>
      <c r="G1770" s="16" t="s">
        <v>6720</v>
      </c>
      <c r="H1770" s="16">
        <v>1.0</v>
      </c>
      <c r="I1770" s="16">
        <v>93.0</v>
      </c>
      <c r="J1770" s="16">
        <v>93.0</v>
      </c>
      <c r="N1770" s="16">
        <v>0.0</v>
      </c>
      <c r="R1770" s="16">
        <v>0.0</v>
      </c>
      <c r="V1770" s="16">
        <v>0.0</v>
      </c>
      <c r="Z1770" s="16">
        <v>0.0</v>
      </c>
      <c r="AD1770" s="16">
        <v>0.0</v>
      </c>
      <c r="AH1770" s="16">
        <v>0.0</v>
      </c>
      <c r="AL1770" s="16">
        <v>0.0</v>
      </c>
      <c r="AP1770" s="16">
        <v>0.0</v>
      </c>
      <c r="AT1770" s="16">
        <v>0.0</v>
      </c>
      <c r="AX1770" s="16">
        <v>0.0</v>
      </c>
      <c r="BF1770" s="16">
        <v>0.0</v>
      </c>
      <c r="BJ1770" s="16">
        <v>0.0</v>
      </c>
      <c r="BN1770" s="16">
        <v>0.0</v>
      </c>
      <c r="BO1770" s="16">
        <v>93.0</v>
      </c>
      <c r="BP1770" s="16" t="s">
        <v>10812</v>
      </c>
      <c r="BQ1770" s="16" t="b">
        <v>1</v>
      </c>
      <c r="BR1770" s="16">
        <v>93.0</v>
      </c>
      <c r="BS1770" s="21" t="s">
        <v>13697</v>
      </c>
      <c r="BT1770" s="16" t="b">
        <v>1</v>
      </c>
      <c r="BU1770" s="16" t="s">
        <v>546</v>
      </c>
      <c r="BV1770" s="16"/>
      <c r="BW1770" s="16"/>
      <c r="BX1770" s="16"/>
    </row>
    <row r="1771">
      <c r="A1771" s="16" t="s">
        <v>9096</v>
      </c>
      <c r="B1771" s="16" t="s">
        <v>35</v>
      </c>
      <c r="C1771" s="201">
        <v>45987.0</v>
      </c>
      <c r="D1771" s="16" t="s">
        <v>10070</v>
      </c>
      <c r="E1771" s="16" t="s">
        <v>10819</v>
      </c>
      <c r="F1771" s="16" t="s">
        <v>6914</v>
      </c>
      <c r="G1771" s="16" t="s">
        <v>6720</v>
      </c>
      <c r="H1771" s="16">
        <v>1.0</v>
      </c>
      <c r="I1771" s="16">
        <v>34.0</v>
      </c>
      <c r="J1771" s="16">
        <v>34.0</v>
      </c>
      <c r="N1771" s="16">
        <v>0.0</v>
      </c>
      <c r="R1771" s="16">
        <v>0.0</v>
      </c>
      <c r="V1771" s="16">
        <v>0.0</v>
      </c>
      <c r="Z1771" s="16">
        <v>0.0</v>
      </c>
      <c r="AD1771" s="16">
        <v>0.0</v>
      </c>
      <c r="AH1771" s="16">
        <v>0.0</v>
      </c>
      <c r="AL1771" s="16">
        <v>0.0</v>
      </c>
      <c r="AP1771" s="16">
        <v>0.0</v>
      </c>
      <c r="AT1771" s="16">
        <v>0.0</v>
      </c>
      <c r="AX1771" s="16">
        <v>0.0</v>
      </c>
      <c r="BF1771" s="16">
        <v>0.0</v>
      </c>
      <c r="BJ1771" s="16">
        <v>0.0</v>
      </c>
      <c r="BN1771" s="16">
        <v>0.0</v>
      </c>
      <c r="BO1771" s="16">
        <v>34.0</v>
      </c>
      <c r="BP1771" s="16" t="s">
        <v>10820</v>
      </c>
      <c r="BQ1771" s="16" t="b">
        <v>1</v>
      </c>
      <c r="BR1771" s="16">
        <v>34.0</v>
      </c>
      <c r="BS1771" s="21" t="s">
        <v>13699</v>
      </c>
      <c r="BT1771" s="16" t="b">
        <v>1</v>
      </c>
      <c r="BU1771" s="16" t="s">
        <v>546</v>
      </c>
      <c r="BV1771" s="16"/>
      <c r="BW1771" s="16"/>
      <c r="BX1771" s="16"/>
    </row>
    <row r="1772">
      <c r="A1772" s="16" t="s">
        <v>9100</v>
      </c>
      <c r="B1772" s="16" t="s">
        <v>35</v>
      </c>
      <c r="C1772" s="201">
        <v>45987.0</v>
      </c>
      <c r="D1772" s="16" t="s">
        <v>9989</v>
      </c>
      <c r="E1772" s="16" t="s">
        <v>10826</v>
      </c>
      <c r="F1772" s="16" t="s">
        <v>6914</v>
      </c>
      <c r="G1772" s="16" t="s">
        <v>6720</v>
      </c>
      <c r="H1772" s="16">
        <v>1.0</v>
      </c>
      <c r="I1772" s="16">
        <v>30.0</v>
      </c>
      <c r="J1772" s="16">
        <v>30.0</v>
      </c>
      <c r="N1772" s="16">
        <v>0.0</v>
      </c>
      <c r="R1772" s="16">
        <v>0.0</v>
      </c>
      <c r="V1772" s="16">
        <v>0.0</v>
      </c>
      <c r="Z1772" s="16">
        <v>0.0</v>
      </c>
      <c r="AD1772" s="16">
        <v>0.0</v>
      </c>
      <c r="AH1772" s="16">
        <v>0.0</v>
      </c>
      <c r="AL1772" s="16">
        <v>0.0</v>
      </c>
      <c r="AP1772" s="16">
        <v>0.0</v>
      </c>
      <c r="AT1772" s="16">
        <v>0.0</v>
      </c>
      <c r="AX1772" s="16">
        <v>0.0</v>
      </c>
      <c r="BF1772" s="16">
        <v>0.0</v>
      </c>
      <c r="BJ1772" s="16">
        <v>0.0</v>
      </c>
      <c r="BN1772" s="16">
        <v>0.0</v>
      </c>
      <c r="BO1772" s="16">
        <v>30.0</v>
      </c>
      <c r="BP1772" s="16" t="s">
        <v>10827</v>
      </c>
      <c r="BQ1772" s="16" t="b">
        <v>1</v>
      </c>
      <c r="BR1772" s="16">
        <v>30.0</v>
      </c>
      <c r="BS1772" s="21" t="s">
        <v>13700</v>
      </c>
      <c r="BT1772" s="16" t="b">
        <v>1</v>
      </c>
      <c r="BU1772" s="16" t="s">
        <v>546</v>
      </c>
      <c r="BV1772" s="16"/>
      <c r="BW1772" s="16"/>
      <c r="BX1772" s="16"/>
    </row>
    <row r="1773">
      <c r="A1773" s="16" t="s">
        <v>9102</v>
      </c>
      <c r="B1773" s="16" t="s">
        <v>35</v>
      </c>
      <c r="C1773" s="201">
        <v>45985.0</v>
      </c>
      <c r="D1773" s="16" t="s">
        <v>10042</v>
      </c>
      <c r="E1773" s="16" t="s">
        <v>10832</v>
      </c>
      <c r="F1773" s="16" t="s">
        <v>10036</v>
      </c>
      <c r="G1773" s="16" t="s">
        <v>3987</v>
      </c>
      <c r="H1773" s="16">
        <v>1.0</v>
      </c>
      <c r="I1773" s="16">
        <v>66.0</v>
      </c>
      <c r="J1773" s="16">
        <v>66.0</v>
      </c>
      <c r="N1773" s="16">
        <v>0.0</v>
      </c>
      <c r="R1773" s="16">
        <v>0.0</v>
      </c>
      <c r="V1773" s="16">
        <v>0.0</v>
      </c>
      <c r="Z1773" s="16">
        <v>0.0</v>
      </c>
      <c r="AD1773" s="16">
        <v>0.0</v>
      </c>
      <c r="AH1773" s="16">
        <v>0.0</v>
      </c>
      <c r="AL1773" s="16">
        <v>0.0</v>
      </c>
      <c r="AP1773" s="16">
        <v>0.0</v>
      </c>
      <c r="AT1773" s="16">
        <v>0.0</v>
      </c>
      <c r="AX1773" s="16">
        <v>0.0</v>
      </c>
      <c r="BF1773" s="16">
        <v>0.0</v>
      </c>
      <c r="BJ1773" s="16">
        <v>0.0</v>
      </c>
      <c r="BN1773" s="16">
        <v>0.0</v>
      </c>
      <c r="BO1773" s="16">
        <v>66.0</v>
      </c>
      <c r="BP1773" s="16" t="s">
        <v>10834</v>
      </c>
      <c r="BQ1773" s="16" t="b">
        <v>1</v>
      </c>
      <c r="BR1773" s="16">
        <v>66.0</v>
      </c>
      <c r="BS1773" s="21" t="s">
        <v>13702</v>
      </c>
      <c r="BT1773" s="16" t="b">
        <v>1</v>
      </c>
      <c r="BU1773" s="16" t="s">
        <v>546</v>
      </c>
      <c r="BV1773" s="16"/>
      <c r="BW1773" s="16"/>
      <c r="BX1773" s="16"/>
    </row>
    <row r="1774">
      <c r="A1774" s="16" t="s">
        <v>9105</v>
      </c>
      <c r="B1774" s="16" t="s">
        <v>35</v>
      </c>
      <c r="C1774" s="201">
        <v>45986.0</v>
      </c>
      <c r="D1774" s="16" t="s">
        <v>10042</v>
      </c>
      <c r="E1774" s="16" t="s">
        <v>10837</v>
      </c>
      <c r="F1774" s="16" t="s">
        <v>10036</v>
      </c>
      <c r="G1774" s="16" t="s">
        <v>3987</v>
      </c>
      <c r="H1774" s="16">
        <v>1.0</v>
      </c>
      <c r="I1774" s="16">
        <v>91.0</v>
      </c>
      <c r="J1774" s="16">
        <v>91.0</v>
      </c>
      <c r="N1774" s="16">
        <v>0.0</v>
      </c>
      <c r="R1774" s="16">
        <v>0.0</v>
      </c>
      <c r="V1774" s="16">
        <v>0.0</v>
      </c>
      <c r="Z1774" s="16">
        <v>0.0</v>
      </c>
      <c r="AD1774" s="16">
        <v>0.0</v>
      </c>
      <c r="AH1774" s="16">
        <v>0.0</v>
      </c>
      <c r="AL1774" s="16">
        <v>0.0</v>
      </c>
      <c r="AP1774" s="16">
        <v>0.0</v>
      </c>
      <c r="AT1774" s="16">
        <v>0.0</v>
      </c>
      <c r="AX1774" s="16">
        <v>0.0</v>
      </c>
      <c r="BF1774" s="16">
        <v>0.0</v>
      </c>
      <c r="BJ1774" s="16">
        <v>0.0</v>
      </c>
      <c r="BN1774" s="16">
        <v>0.0</v>
      </c>
      <c r="BO1774" s="16">
        <v>91.0</v>
      </c>
      <c r="BP1774" s="16" t="s">
        <v>10838</v>
      </c>
      <c r="BQ1774" s="16" t="b">
        <v>1</v>
      </c>
      <c r="BR1774" s="16">
        <v>91.0</v>
      </c>
      <c r="BS1774" s="21" t="s">
        <v>13705</v>
      </c>
      <c r="BT1774" s="16" t="b">
        <v>1</v>
      </c>
      <c r="BU1774" s="16" t="s">
        <v>546</v>
      </c>
      <c r="BV1774" s="16"/>
      <c r="BW1774" s="16"/>
      <c r="BX1774" s="16"/>
    </row>
    <row r="1775">
      <c r="A1775" s="16" t="s">
        <v>9108</v>
      </c>
      <c r="B1775" s="16" t="s">
        <v>35</v>
      </c>
      <c r="C1775" s="201">
        <v>45987.0</v>
      </c>
      <c r="D1775" s="16" t="s">
        <v>10042</v>
      </c>
      <c r="E1775" s="16" t="s">
        <v>10841</v>
      </c>
      <c r="F1775" s="16" t="s">
        <v>10036</v>
      </c>
      <c r="G1775" s="16" t="s">
        <v>3987</v>
      </c>
      <c r="H1775" s="16">
        <v>1.0</v>
      </c>
      <c r="I1775" s="16">
        <v>65.0</v>
      </c>
      <c r="J1775" s="16">
        <v>65.0</v>
      </c>
      <c r="N1775" s="16">
        <v>0.0</v>
      </c>
      <c r="R1775" s="16">
        <v>0.0</v>
      </c>
      <c r="V1775" s="16">
        <v>0.0</v>
      </c>
      <c r="Z1775" s="16">
        <v>0.0</v>
      </c>
      <c r="AD1775" s="16">
        <v>0.0</v>
      </c>
      <c r="AH1775" s="16">
        <v>0.0</v>
      </c>
      <c r="AL1775" s="16">
        <v>0.0</v>
      </c>
      <c r="AP1775" s="16">
        <v>0.0</v>
      </c>
      <c r="AT1775" s="16">
        <v>0.0</v>
      </c>
      <c r="AX1775" s="16">
        <v>0.0</v>
      </c>
      <c r="BF1775" s="16">
        <v>0.0</v>
      </c>
      <c r="BJ1775" s="16">
        <v>0.0</v>
      </c>
      <c r="BN1775" s="16">
        <v>0.0</v>
      </c>
      <c r="BO1775" s="16">
        <v>65.0</v>
      </c>
      <c r="BP1775" s="16" t="s">
        <v>10842</v>
      </c>
      <c r="BQ1775" s="16" t="b">
        <v>1</v>
      </c>
      <c r="BR1775" s="16">
        <v>65.0</v>
      </c>
      <c r="BS1775" s="21" t="s">
        <v>13707</v>
      </c>
      <c r="BT1775" s="16" t="b">
        <v>1</v>
      </c>
      <c r="BU1775" s="16" t="s">
        <v>546</v>
      </c>
      <c r="BV1775" s="16"/>
      <c r="BW1775" s="16"/>
      <c r="BX1775" s="16"/>
    </row>
    <row r="1776">
      <c r="A1776" s="16" t="s">
        <v>9110</v>
      </c>
      <c r="B1776" s="16" t="s">
        <v>35</v>
      </c>
      <c r="C1776" s="201">
        <v>45988.0</v>
      </c>
      <c r="D1776" s="16" t="s">
        <v>764</v>
      </c>
      <c r="E1776" s="16" t="s">
        <v>10845</v>
      </c>
      <c r="F1776" s="16" t="s">
        <v>195</v>
      </c>
      <c r="G1776" s="21" t="s">
        <v>10459</v>
      </c>
      <c r="H1776" s="16">
        <v>1.0</v>
      </c>
      <c r="I1776" s="16">
        <v>19.8</v>
      </c>
      <c r="J1776" s="16">
        <v>19.8</v>
      </c>
      <c r="K1776" s="16" t="s">
        <v>1384</v>
      </c>
      <c r="L1776" s="16">
        <v>1.0</v>
      </c>
      <c r="M1776" s="16">
        <v>19.8</v>
      </c>
      <c r="N1776" s="16">
        <v>19.8</v>
      </c>
      <c r="O1776" s="16" t="s">
        <v>1404</v>
      </c>
      <c r="P1776" s="16">
        <v>1.0</v>
      </c>
      <c r="Q1776" s="16">
        <v>19.8</v>
      </c>
      <c r="R1776" s="16">
        <v>19.8</v>
      </c>
      <c r="S1776" s="16" t="s">
        <v>1074</v>
      </c>
      <c r="T1776" s="16">
        <v>4.0</v>
      </c>
      <c r="U1776" s="16">
        <v>40.0</v>
      </c>
      <c r="V1776" s="16">
        <v>160.0</v>
      </c>
      <c r="W1776" s="16" t="s">
        <v>1075</v>
      </c>
      <c r="X1776" s="16">
        <v>4.0</v>
      </c>
      <c r="Y1776" s="16">
        <v>20.0</v>
      </c>
      <c r="Z1776" s="16">
        <v>80.0</v>
      </c>
      <c r="AA1776" s="16" t="s">
        <v>1077</v>
      </c>
      <c r="AB1776" s="16">
        <v>4.0</v>
      </c>
      <c r="AC1776" s="16">
        <v>24.0</v>
      </c>
      <c r="AD1776" s="16">
        <v>96.0</v>
      </c>
      <c r="AE1776" s="16" t="s">
        <v>1081</v>
      </c>
      <c r="AF1776" s="16">
        <v>1.0</v>
      </c>
      <c r="AG1776" s="16">
        <v>45.0</v>
      </c>
      <c r="AH1776" s="16">
        <v>45.0</v>
      </c>
      <c r="AI1776" s="16" t="s">
        <v>1081</v>
      </c>
      <c r="AJ1776" s="16">
        <v>3.0</v>
      </c>
      <c r="AK1776" s="16">
        <v>48.0</v>
      </c>
      <c r="AL1776" s="16">
        <v>144.0</v>
      </c>
      <c r="AM1776" s="16" t="s">
        <v>1085</v>
      </c>
      <c r="AN1776" s="16">
        <v>3.0</v>
      </c>
      <c r="AO1776" s="16">
        <v>40.2</v>
      </c>
      <c r="AP1776" s="16">
        <v>120.6</v>
      </c>
      <c r="AQ1776" s="16" t="s">
        <v>5605</v>
      </c>
      <c r="AR1776" s="16">
        <v>1.0</v>
      </c>
      <c r="AS1776" s="16">
        <v>19.57</v>
      </c>
      <c r="AT1776" s="16">
        <v>19.57</v>
      </c>
      <c r="AU1776" s="16" t="s">
        <v>1077</v>
      </c>
      <c r="AV1776" s="16">
        <v>1.0</v>
      </c>
      <c r="AW1776" s="16">
        <v>24.25</v>
      </c>
      <c r="AX1776" s="16">
        <v>24.25</v>
      </c>
      <c r="AY1776" s="16" t="s">
        <v>1091</v>
      </c>
      <c r="AZ1776" s="16">
        <v>1.0</v>
      </c>
      <c r="BA1776" s="16">
        <v>37.0</v>
      </c>
      <c r="BB1776" s="16">
        <v>37.0</v>
      </c>
      <c r="BF1776" s="16">
        <v>0.0</v>
      </c>
      <c r="BJ1776" s="16">
        <v>0.0</v>
      </c>
      <c r="BN1776" s="16">
        <v>0.0</v>
      </c>
      <c r="BO1776" s="16">
        <v>785.82</v>
      </c>
      <c r="BP1776" s="16" t="s">
        <v>10846</v>
      </c>
      <c r="BQ1776" s="16" t="b">
        <v>1</v>
      </c>
      <c r="BR1776" s="16">
        <v>785.82</v>
      </c>
      <c r="BS1776" s="16"/>
      <c r="BT1776" s="16" t="b">
        <v>0</v>
      </c>
      <c r="BU1776" s="16" t="s">
        <v>546</v>
      </c>
      <c r="BV1776" s="16"/>
      <c r="BW1776" s="16" t="s">
        <v>10849</v>
      </c>
      <c r="BX1776" s="16"/>
    </row>
    <row r="1777">
      <c r="A1777" s="16" t="s">
        <v>9134</v>
      </c>
      <c r="B1777" s="16" t="s">
        <v>35</v>
      </c>
      <c r="C1777" s="201">
        <v>45988.0</v>
      </c>
      <c r="D1777" s="16" t="s">
        <v>2685</v>
      </c>
      <c r="E1777" s="16"/>
      <c r="F1777" s="16" t="s">
        <v>10852</v>
      </c>
      <c r="G1777" s="16" t="s">
        <v>7522</v>
      </c>
      <c r="H1777" s="16">
        <v>1.0</v>
      </c>
      <c r="I1777" s="16">
        <v>87.22</v>
      </c>
      <c r="J1777" s="16">
        <v>87.22</v>
      </c>
      <c r="N1777" s="16"/>
      <c r="R1777" s="16"/>
      <c r="V1777" s="16"/>
      <c r="Z1777" s="16"/>
      <c r="AD1777" s="16"/>
      <c r="AH1777" s="16"/>
      <c r="AL1777" s="16"/>
      <c r="AP1777" s="16"/>
      <c r="AT1777" s="16"/>
      <c r="AX1777" s="16"/>
      <c r="BF1777" s="16"/>
      <c r="BJ1777" s="16"/>
      <c r="BN1777" s="16"/>
      <c r="BO1777" s="16">
        <v>87.22</v>
      </c>
      <c r="BP1777" s="16"/>
      <c r="BQ1777" s="16" t="b">
        <v>1</v>
      </c>
      <c r="BR1777" s="16">
        <v>87.22</v>
      </c>
      <c r="BS1777" s="16"/>
      <c r="BT1777" s="16"/>
      <c r="BU1777" s="16" t="s">
        <v>539</v>
      </c>
      <c r="BV1777" s="16"/>
      <c r="BW1777" s="16"/>
      <c r="BX1777" s="16"/>
    </row>
    <row r="1778">
      <c r="A1778" s="16" t="s">
        <v>9136</v>
      </c>
      <c r="B1778" s="16" t="s">
        <v>35</v>
      </c>
      <c r="C1778" s="201">
        <v>45988.0</v>
      </c>
      <c r="D1778" s="16" t="s">
        <v>8582</v>
      </c>
      <c r="E1778" s="16"/>
      <c r="F1778" s="16" t="s">
        <v>10856</v>
      </c>
      <c r="G1778" s="16" t="s">
        <v>1653</v>
      </c>
      <c r="H1778" s="16">
        <v>1.0</v>
      </c>
      <c r="I1778" s="16">
        <v>928.16</v>
      </c>
      <c r="J1778" s="16">
        <v>928.16</v>
      </c>
      <c r="N1778" s="16"/>
      <c r="R1778" s="16"/>
      <c r="V1778" s="16"/>
      <c r="Z1778" s="16"/>
      <c r="AD1778" s="16"/>
      <c r="AH1778" s="16"/>
      <c r="AL1778" s="16"/>
      <c r="AP1778" s="16"/>
      <c r="AT1778" s="16"/>
      <c r="AX1778" s="16"/>
      <c r="BF1778" s="16"/>
      <c r="BJ1778" s="16"/>
      <c r="BN1778" s="16"/>
      <c r="BO1778" s="16">
        <v>928.16</v>
      </c>
      <c r="BP1778" s="16"/>
      <c r="BQ1778" s="16" t="b">
        <v>1</v>
      </c>
      <c r="BR1778" s="16">
        <v>928.16</v>
      </c>
      <c r="BS1778" s="16"/>
      <c r="BT1778" s="16"/>
      <c r="BU1778" s="16" t="s">
        <v>539</v>
      </c>
      <c r="BV1778" s="16"/>
      <c r="BW1778" s="16"/>
      <c r="BX1778" s="16"/>
    </row>
    <row r="1779">
      <c r="A1779" s="16" t="s">
        <v>9139</v>
      </c>
      <c r="B1779" s="16" t="s">
        <v>35</v>
      </c>
      <c r="C1779" s="201">
        <v>45989.0</v>
      </c>
      <c r="D1779" s="16" t="s">
        <v>112</v>
      </c>
      <c r="E1779" s="16" t="s">
        <v>10862</v>
      </c>
      <c r="F1779" s="16" t="s">
        <v>157</v>
      </c>
      <c r="G1779" s="16" t="s">
        <v>226</v>
      </c>
      <c r="H1779" s="16">
        <v>1.0</v>
      </c>
      <c r="I1779" s="16">
        <v>76.0</v>
      </c>
      <c r="J1779" s="16">
        <v>76.0</v>
      </c>
      <c r="K1779" s="16" t="s">
        <v>152</v>
      </c>
      <c r="L1779" s="16">
        <v>1.0</v>
      </c>
      <c r="M1779" s="16">
        <v>25.97</v>
      </c>
      <c r="N1779" s="16">
        <v>25.97</v>
      </c>
      <c r="O1779" s="16" t="s">
        <v>230</v>
      </c>
      <c r="P1779" s="16">
        <v>1.0</v>
      </c>
      <c r="Q1779" s="16">
        <v>234.9</v>
      </c>
      <c r="R1779" s="16">
        <v>234.9</v>
      </c>
      <c r="S1779" s="16" t="s">
        <v>155</v>
      </c>
      <c r="T1779" s="16">
        <v>1.0</v>
      </c>
      <c r="U1779" s="16">
        <v>44.85</v>
      </c>
      <c r="V1779" s="16">
        <v>44.85</v>
      </c>
      <c r="W1779" s="16" t="s">
        <v>159</v>
      </c>
      <c r="X1779" s="16">
        <v>1.0</v>
      </c>
      <c r="Y1779" s="16">
        <v>240.0</v>
      </c>
      <c r="Z1779" s="16">
        <v>240.0</v>
      </c>
      <c r="AD1779" s="16">
        <v>0.0</v>
      </c>
      <c r="AH1779" s="16">
        <v>0.0</v>
      </c>
      <c r="AL1779" s="16">
        <v>0.0</v>
      </c>
      <c r="AP1779" s="16">
        <v>0.0</v>
      </c>
      <c r="AT1779" s="16">
        <v>0.0</v>
      </c>
      <c r="AX1779" s="16">
        <v>0.0</v>
      </c>
      <c r="BF1779" s="16">
        <v>0.0</v>
      </c>
      <c r="BJ1779" s="16">
        <v>0.0</v>
      </c>
      <c r="BN1779" s="16">
        <v>0.0</v>
      </c>
      <c r="BO1779" s="16">
        <v>621.72</v>
      </c>
      <c r="BP1779" s="16" t="s">
        <v>10863</v>
      </c>
      <c r="BQ1779" s="16" t="b">
        <v>1</v>
      </c>
      <c r="BR1779" s="16">
        <v>621.72</v>
      </c>
      <c r="BS1779" s="16"/>
      <c r="BT1779" s="16" t="b">
        <v>0</v>
      </c>
      <c r="BU1779" s="16" t="s">
        <v>546</v>
      </c>
      <c r="BV1779" s="16"/>
      <c r="BW1779" s="16"/>
      <c r="BX1779" s="16"/>
    </row>
    <row r="1780">
      <c r="A1780" s="16" t="s">
        <v>9148</v>
      </c>
      <c r="B1780" s="16" t="s">
        <v>35</v>
      </c>
      <c r="C1780" s="201">
        <v>45989.0</v>
      </c>
      <c r="D1780" s="16" t="s">
        <v>543</v>
      </c>
      <c r="E1780" s="16" t="s">
        <v>10867</v>
      </c>
      <c r="F1780" s="16" t="s">
        <v>171</v>
      </c>
      <c r="G1780" s="21" t="s">
        <v>10424</v>
      </c>
      <c r="H1780" s="16">
        <v>1.0</v>
      </c>
      <c r="I1780" s="16">
        <v>250.0</v>
      </c>
      <c r="J1780" s="16">
        <v>250.0</v>
      </c>
      <c r="N1780" s="16">
        <v>0.0</v>
      </c>
      <c r="R1780" s="16">
        <v>0.0</v>
      </c>
      <c r="V1780" s="16">
        <v>0.0</v>
      </c>
      <c r="Z1780" s="16">
        <v>0.0</v>
      </c>
      <c r="AD1780" s="16">
        <v>0.0</v>
      </c>
      <c r="AH1780" s="16">
        <v>0.0</v>
      </c>
      <c r="AL1780" s="16">
        <v>0.0</v>
      </c>
      <c r="AP1780" s="16">
        <v>0.0</v>
      </c>
      <c r="AT1780" s="16">
        <v>0.0</v>
      </c>
      <c r="AX1780" s="16">
        <v>0.0</v>
      </c>
      <c r="BF1780" s="16">
        <v>0.0</v>
      </c>
      <c r="BJ1780" s="16">
        <v>0.0</v>
      </c>
      <c r="BN1780" s="16">
        <v>0.0</v>
      </c>
      <c r="BO1780" s="16">
        <v>250.0</v>
      </c>
      <c r="BP1780" s="16" t="s">
        <v>10868</v>
      </c>
      <c r="BQ1780" s="16" t="b">
        <v>1</v>
      </c>
      <c r="BR1780" s="16">
        <v>250.0</v>
      </c>
      <c r="BS1780" s="16"/>
      <c r="BT1780" s="16" t="b">
        <v>0</v>
      </c>
      <c r="BU1780" s="16" t="s">
        <v>546</v>
      </c>
      <c r="BV1780" s="16"/>
      <c r="BW1780" s="16"/>
      <c r="BX1780" s="16"/>
    </row>
    <row r="1781">
      <c r="A1781" s="16" t="s">
        <v>9150</v>
      </c>
      <c r="B1781" s="16" t="s">
        <v>35</v>
      </c>
      <c r="C1781" s="201">
        <v>45989.0</v>
      </c>
      <c r="D1781" s="16" t="s">
        <v>543</v>
      </c>
      <c r="E1781" s="16" t="s">
        <v>10867</v>
      </c>
      <c r="F1781" s="16" t="s">
        <v>171</v>
      </c>
      <c r="G1781" s="21" t="s">
        <v>10424</v>
      </c>
      <c r="H1781" s="16">
        <v>1.0</v>
      </c>
      <c r="I1781" s="16">
        <v>400.0</v>
      </c>
      <c r="J1781" s="16">
        <v>400.0</v>
      </c>
      <c r="N1781" s="16">
        <v>0.0</v>
      </c>
      <c r="R1781" s="16">
        <v>0.0</v>
      </c>
      <c r="V1781" s="16">
        <v>0.0</v>
      </c>
      <c r="Z1781" s="16">
        <v>0.0</v>
      </c>
      <c r="AD1781" s="16">
        <v>0.0</v>
      </c>
      <c r="AH1781" s="16">
        <v>0.0</v>
      </c>
      <c r="AL1781" s="16">
        <v>0.0</v>
      </c>
      <c r="AP1781" s="16">
        <v>0.0</v>
      </c>
      <c r="AT1781" s="16">
        <v>0.0</v>
      </c>
      <c r="AX1781" s="16">
        <v>0.0</v>
      </c>
      <c r="BF1781" s="16">
        <v>0.0</v>
      </c>
      <c r="BJ1781" s="16">
        <v>0.0</v>
      </c>
      <c r="BN1781" s="16">
        <v>0.0</v>
      </c>
      <c r="BO1781" s="16">
        <v>400.0</v>
      </c>
      <c r="BP1781" s="16" t="s">
        <v>10873</v>
      </c>
      <c r="BQ1781" s="16" t="b">
        <v>1</v>
      </c>
      <c r="BR1781" s="16">
        <v>400.0</v>
      </c>
      <c r="BS1781" s="16"/>
      <c r="BT1781" s="16" t="b">
        <v>0</v>
      </c>
      <c r="BU1781" s="16" t="s">
        <v>546</v>
      </c>
      <c r="BV1781" s="16"/>
      <c r="BW1781" s="16"/>
      <c r="BX1781" s="16"/>
    </row>
    <row r="1782">
      <c r="A1782" s="16" t="s">
        <v>9154</v>
      </c>
      <c r="B1782" s="16" t="s">
        <v>35</v>
      </c>
      <c r="C1782" s="201">
        <v>45989.0</v>
      </c>
      <c r="D1782" s="21" t="s">
        <v>12789</v>
      </c>
      <c r="E1782" s="16" t="s">
        <v>10877</v>
      </c>
      <c r="F1782" s="16" t="s">
        <v>236</v>
      </c>
      <c r="G1782" s="16" t="s">
        <v>305</v>
      </c>
      <c r="H1782" s="16">
        <v>1.0</v>
      </c>
      <c r="I1782" s="16">
        <v>169.13</v>
      </c>
      <c r="J1782" s="16">
        <v>169.13</v>
      </c>
      <c r="N1782" s="16">
        <v>0.0</v>
      </c>
      <c r="R1782" s="16">
        <v>0.0</v>
      </c>
      <c r="V1782" s="16">
        <v>0.0</v>
      </c>
      <c r="Z1782" s="16">
        <v>0.0</v>
      </c>
      <c r="AD1782" s="16">
        <v>0.0</v>
      </c>
      <c r="AH1782" s="16">
        <v>0.0</v>
      </c>
      <c r="AL1782" s="16">
        <v>0.0</v>
      </c>
      <c r="AP1782" s="16">
        <v>0.0</v>
      </c>
      <c r="AT1782" s="16">
        <v>0.0</v>
      </c>
      <c r="AX1782" s="16">
        <v>0.0</v>
      </c>
      <c r="BF1782" s="16">
        <v>0.0</v>
      </c>
      <c r="BJ1782" s="16">
        <v>0.0</v>
      </c>
      <c r="BN1782" s="16">
        <v>0.0</v>
      </c>
      <c r="BO1782" s="16">
        <v>169.13</v>
      </c>
      <c r="BP1782" s="16" t="s">
        <v>10879</v>
      </c>
      <c r="BQ1782" s="16" t="b">
        <v>1</v>
      </c>
      <c r="BR1782" s="16">
        <v>169.13</v>
      </c>
      <c r="BS1782" s="21" t="s">
        <v>13717</v>
      </c>
      <c r="BT1782" s="16" t="b">
        <v>1</v>
      </c>
      <c r="BU1782" s="16" t="s">
        <v>546</v>
      </c>
      <c r="BV1782" s="16"/>
      <c r="BW1782" s="16"/>
      <c r="BX1782" s="16"/>
    </row>
    <row r="1783">
      <c r="A1783" s="16" t="s">
        <v>9156</v>
      </c>
      <c r="B1783" s="16" t="s">
        <v>35</v>
      </c>
      <c r="C1783" s="201">
        <v>45989.0</v>
      </c>
      <c r="D1783" s="16" t="s">
        <v>890</v>
      </c>
      <c r="E1783" s="16" t="s">
        <v>10882</v>
      </c>
      <c r="F1783" s="16" t="s">
        <v>10885</v>
      </c>
      <c r="G1783" s="16" t="s">
        <v>1517</v>
      </c>
      <c r="H1783" s="16">
        <v>1.0</v>
      </c>
      <c r="I1783" s="16">
        <v>737.54</v>
      </c>
      <c r="J1783" s="16">
        <v>737.54</v>
      </c>
      <c r="N1783" s="16">
        <v>0.0</v>
      </c>
      <c r="R1783" s="16">
        <v>0.0</v>
      </c>
      <c r="V1783" s="16">
        <v>0.0</v>
      </c>
      <c r="Z1783" s="16">
        <v>0.0</v>
      </c>
      <c r="AD1783" s="16">
        <v>0.0</v>
      </c>
      <c r="AH1783" s="16">
        <v>0.0</v>
      </c>
      <c r="AL1783" s="16">
        <v>0.0</v>
      </c>
      <c r="AP1783" s="16">
        <v>0.0</v>
      </c>
      <c r="AT1783" s="16">
        <v>0.0</v>
      </c>
      <c r="AX1783" s="16">
        <v>0.0</v>
      </c>
      <c r="BF1783" s="16">
        <v>0.0</v>
      </c>
      <c r="BJ1783" s="16">
        <v>0.0</v>
      </c>
      <c r="BN1783" s="16">
        <v>0.0</v>
      </c>
      <c r="BO1783" s="16">
        <v>737.54</v>
      </c>
      <c r="BP1783" s="16" t="s">
        <v>10884</v>
      </c>
      <c r="BQ1783" s="16" t="b">
        <v>1</v>
      </c>
      <c r="BR1783" s="16">
        <v>737.54</v>
      </c>
      <c r="BS1783" s="16"/>
      <c r="BT1783" s="16" t="b">
        <v>0</v>
      </c>
      <c r="BU1783" s="16" t="s">
        <v>546</v>
      </c>
      <c r="BV1783" s="16"/>
      <c r="BW1783" s="16"/>
      <c r="BX1783" s="16"/>
    </row>
    <row r="1784">
      <c r="A1784" s="16" t="s">
        <v>9158</v>
      </c>
      <c r="B1784" s="16" t="s">
        <v>35</v>
      </c>
      <c r="C1784" s="201">
        <v>45987.0</v>
      </c>
      <c r="D1784" s="16" t="s">
        <v>890</v>
      </c>
      <c r="E1784" s="16" t="s">
        <v>10890</v>
      </c>
      <c r="F1784" s="16" t="s">
        <v>1511</v>
      </c>
      <c r="G1784" s="16" t="s">
        <v>1517</v>
      </c>
      <c r="H1784" s="16">
        <v>1.0</v>
      </c>
      <c r="I1784" s="16">
        <v>11242.49</v>
      </c>
      <c r="J1784" s="16">
        <v>11242.49</v>
      </c>
      <c r="N1784" s="16">
        <v>0.0</v>
      </c>
      <c r="R1784" s="16">
        <v>0.0</v>
      </c>
      <c r="V1784" s="16">
        <v>0.0</v>
      </c>
      <c r="Z1784" s="16">
        <v>0.0</v>
      </c>
      <c r="AD1784" s="16">
        <v>0.0</v>
      </c>
      <c r="AH1784" s="16">
        <v>0.0</v>
      </c>
      <c r="AL1784" s="16">
        <v>0.0</v>
      </c>
      <c r="AP1784" s="16">
        <v>0.0</v>
      </c>
      <c r="AT1784" s="16">
        <v>0.0</v>
      </c>
      <c r="AX1784" s="16">
        <v>0.0</v>
      </c>
      <c r="BF1784" s="16">
        <v>0.0</v>
      </c>
      <c r="BJ1784" s="16">
        <v>0.0</v>
      </c>
      <c r="BN1784" s="16">
        <v>0.0</v>
      </c>
      <c r="BO1784" s="16">
        <v>11242.49</v>
      </c>
      <c r="BP1784" s="16" t="s">
        <v>10891</v>
      </c>
      <c r="BQ1784" s="16" t="b">
        <v>1</v>
      </c>
      <c r="BR1784" s="16">
        <v>11242.49</v>
      </c>
      <c r="BS1784" s="16"/>
      <c r="BT1784" s="16" t="b">
        <v>0</v>
      </c>
      <c r="BU1784" s="16" t="s">
        <v>546</v>
      </c>
      <c r="BV1784" s="16"/>
      <c r="BW1784" s="16" t="s">
        <v>10893</v>
      </c>
      <c r="BX1784" s="16" t="s">
        <v>10894</v>
      </c>
    </row>
    <row r="1785">
      <c r="A1785" s="16" t="s">
        <v>9162</v>
      </c>
      <c r="B1785" s="16" t="s">
        <v>35</v>
      </c>
      <c r="C1785" s="201">
        <v>45989.0</v>
      </c>
      <c r="D1785" s="16" t="s">
        <v>8582</v>
      </c>
      <c r="E1785" s="16" t="s">
        <v>10897</v>
      </c>
      <c r="F1785" s="16" t="s">
        <v>10900</v>
      </c>
      <c r="G1785" s="16" t="s">
        <v>1725</v>
      </c>
      <c r="H1785" s="16">
        <v>1.0</v>
      </c>
      <c r="I1785" s="16">
        <v>3440.66</v>
      </c>
      <c r="J1785" s="16">
        <v>3440.66</v>
      </c>
      <c r="N1785" s="16">
        <v>0.0</v>
      </c>
      <c r="R1785" s="16">
        <v>0.0</v>
      </c>
      <c r="V1785" s="16">
        <v>0.0</v>
      </c>
      <c r="Z1785" s="16">
        <v>0.0</v>
      </c>
      <c r="AD1785" s="16">
        <v>0.0</v>
      </c>
      <c r="AH1785" s="16">
        <v>0.0</v>
      </c>
      <c r="AL1785" s="16">
        <v>0.0</v>
      </c>
      <c r="AP1785" s="16">
        <v>0.0</v>
      </c>
      <c r="AT1785" s="16">
        <v>0.0</v>
      </c>
      <c r="AX1785" s="16">
        <v>0.0</v>
      </c>
      <c r="BF1785" s="16">
        <v>0.0</v>
      </c>
      <c r="BJ1785" s="16">
        <v>0.0</v>
      </c>
      <c r="BN1785" s="16">
        <v>0.0</v>
      </c>
      <c r="BO1785" s="16">
        <v>3440.66</v>
      </c>
      <c r="BP1785" s="16" t="s">
        <v>10899</v>
      </c>
      <c r="BQ1785" s="16" t="b">
        <v>1</v>
      </c>
      <c r="BR1785" s="16">
        <v>3440.66</v>
      </c>
      <c r="BS1785" s="16"/>
      <c r="BT1785" s="16" t="b">
        <v>0</v>
      </c>
      <c r="BU1785" s="16" t="s">
        <v>546</v>
      </c>
      <c r="BV1785" s="16"/>
      <c r="BW1785" s="16"/>
      <c r="BX1785" s="16"/>
    </row>
    <row r="1786">
      <c r="A1786" s="16" t="s">
        <v>9164</v>
      </c>
      <c r="B1786" s="16" t="s">
        <v>35</v>
      </c>
      <c r="C1786" s="201">
        <v>45993.0</v>
      </c>
      <c r="D1786" s="16" t="s">
        <v>112</v>
      </c>
      <c r="E1786" s="16" t="s">
        <v>10904</v>
      </c>
      <c r="F1786" s="16" t="s">
        <v>157</v>
      </c>
      <c r="G1786" s="16" t="s">
        <v>152</v>
      </c>
      <c r="H1786" s="16">
        <v>1.0</v>
      </c>
      <c r="I1786" s="16">
        <v>19.2</v>
      </c>
      <c r="J1786" s="16">
        <v>19.2</v>
      </c>
      <c r="K1786" s="16" t="s">
        <v>230</v>
      </c>
      <c r="L1786" s="16">
        <v>1.0</v>
      </c>
      <c r="M1786" s="16">
        <v>226.8</v>
      </c>
      <c r="N1786" s="16">
        <v>226.8</v>
      </c>
      <c r="O1786" s="16" t="s">
        <v>155</v>
      </c>
      <c r="P1786" s="16">
        <v>1.0</v>
      </c>
      <c r="Q1786" s="16">
        <v>42.9</v>
      </c>
      <c r="R1786" s="16">
        <v>42.9</v>
      </c>
      <c r="S1786" s="16" t="s">
        <v>159</v>
      </c>
      <c r="T1786" s="16">
        <v>1.0</v>
      </c>
      <c r="U1786" s="16">
        <v>275.0</v>
      </c>
      <c r="V1786" s="16">
        <v>275.0</v>
      </c>
      <c r="Z1786" s="16">
        <v>0.0</v>
      </c>
      <c r="AD1786" s="16">
        <v>0.0</v>
      </c>
      <c r="AH1786" s="16">
        <v>0.0</v>
      </c>
      <c r="AL1786" s="16">
        <v>0.0</v>
      </c>
      <c r="AP1786" s="16">
        <v>0.0</v>
      </c>
      <c r="AT1786" s="16">
        <v>0.0</v>
      </c>
      <c r="AX1786" s="16">
        <v>0.0</v>
      </c>
      <c r="BF1786" s="16">
        <v>0.0</v>
      </c>
      <c r="BJ1786" s="16">
        <v>0.0</v>
      </c>
      <c r="BN1786" s="16">
        <v>0.0</v>
      </c>
      <c r="BO1786" s="16">
        <v>563.9</v>
      </c>
      <c r="BP1786" s="16" t="s">
        <v>10905</v>
      </c>
      <c r="BQ1786" s="16" t="b">
        <v>1</v>
      </c>
      <c r="BR1786" s="16">
        <v>563.9</v>
      </c>
      <c r="BS1786" s="16"/>
      <c r="BT1786" s="16" t="b">
        <v>0</v>
      </c>
      <c r="BU1786" s="16" t="s">
        <v>546</v>
      </c>
      <c r="BV1786" s="16"/>
      <c r="BW1786" s="16"/>
      <c r="BX1786" s="16"/>
    </row>
    <row r="1787">
      <c r="A1787" s="16" t="s">
        <v>9172</v>
      </c>
      <c r="B1787" s="16" t="s">
        <v>35</v>
      </c>
      <c r="C1787" s="201">
        <v>45994.0</v>
      </c>
      <c r="D1787" s="16" t="s">
        <v>543</v>
      </c>
      <c r="E1787" s="16" t="s">
        <v>10909</v>
      </c>
      <c r="F1787" s="16" t="s">
        <v>171</v>
      </c>
      <c r="G1787" s="21" t="s">
        <v>10424</v>
      </c>
      <c r="H1787" s="16">
        <v>1.0</v>
      </c>
      <c r="I1787" s="16">
        <v>275.0</v>
      </c>
      <c r="J1787" s="16">
        <v>275.0</v>
      </c>
      <c r="K1787" s="16"/>
      <c r="L1787" s="16"/>
      <c r="M1787" s="16"/>
      <c r="N1787" s="16">
        <v>0.0</v>
      </c>
      <c r="O1787" s="16"/>
      <c r="P1787" s="16"/>
      <c r="Q1787" s="16"/>
      <c r="R1787" s="16">
        <v>0.0</v>
      </c>
      <c r="S1787" s="16"/>
      <c r="T1787" s="16"/>
      <c r="U1787" s="16"/>
      <c r="V1787" s="16">
        <v>0.0</v>
      </c>
      <c r="Z1787" s="16">
        <v>0.0</v>
      </c>
      <c r="AD1787" s="16">
        <v>0.0</v>
      </c>
      <c r="AH1787" s="16">
        <v>0.0</v>
      </c>
      <c r="AL1787" s="16">
        <v>0.0</v>
      </c>
      <c r="AP1787" s="16">
        <v>0.0</v>
      </c>
      <c r="AT1787" s="16">
        <v>0.0</v>
      </c>
      <c r="AX1787" s="16">
        <v>0.0</v>
      </c>
      <c r="BF1787" s="16">
        <v>0.0</v>
      </c>
      <c r="BJ1787" s="16">
        <v>0.0</v>
      </c>
      <c r="BN1787" s="16">
        <v>0.0</v>
      </c>
      <c r="BO1787" s="16">
        <v>275.0</v>
      </c>
      <c r="BP1787" s="16" t="s">
        <v>10910</v>
      </c>
      <c r="BQ1787" s="16" t="b">
        <v>1</v>
      </c>
      <c r="BR1787" s="16">
        <v>275.0</v>
      </c>
      <c r="BS1787" s="16"/>
      <c r="BT1787" s="16" t="b">
        <v>0</v>
      </c>
      <c r="BU1787" s="16" t="s">
        <v>546</v>
      </c>
      <c r="BV1787" s="16"/>
      <c r="BW1787" s="16"/>
      <c r="BX1787" s="16"/>
    </row>
    <row r="1788">
      <c r="A1788" s="16" t="s">
        <v>9174</v>
      </c>
      <c r="B1788" s="16" t="s">
        <v>35</v>
      </c>
      <c r="C1788" s="201">
        <v>45994.0</v>
      </c>
      <c r="D1788" s="16" t="s">
        <v>890</v>
      </c>
      <c r="E1788" s="16"/>
      <c r="F1788" s="16" t="s">
        <v>10914</v>
      </c>
      <c r="G1788" s="16" t="s">
        <v>5713</v>
      </c>
      <c r="H1788" s="16">
        <v>1.0</v>
      </c>
      <c r="I1788" s="16">
        <v>83.75</v>
      </c>
      <c r="J1788" s="16">
        <v>83.75</v>
      </c>
      <c r="K1788" s="16"/>
      <c r="L1788" s="16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Z1788" s="16"/>
      <c r="AD1788" s="16"/>
      <c r="AH1788" s="16"/>
      <c r="AL1788" s="16"/>
      <c r="AP1788" s="16"/>
      <c r="AT1788" s="16"/>
      <c r="AX1788" s="16"/>
      <c r="BF1788" s="16"/>
      <c r="BJ1788" s="16"/>
      <c r="BN1788" s="16"/>
      <c r="BO1788" s="16">
        <v>83.75</v>
      </c>
      <c r="BP1788" s="16"/>
      <c r="BQ1788" s="16" t="b">
        <v>1</v>
      </c>
      <c r="BR1788" s="16">
        <v>83.75</v>
      </c>
      <c r="BS1788" s="16"/>
      <c r="BT1788" s="16"/>
      <c r="BU1788" s="16" t="s">
        <v>539</v>
      </c>
      <c r="BV1788" s="16"/>
      <c r="BW1788" s="16"/>
      <c r="BX1788" s="16"/>
    </row>
    <row r="1789">
      <c r="A1789" s="16" t="s">
        <v>9176</v>
      </c>
      <c r="B1789" s="16" t="s">
        <v>35</v>
      </c>
      <c r="C1789" s="201">
        <v>45994.0</v>
      </c>
      <c r="D1789" s="16" t="s">
        <v>1160</v>
      </c>
      <c r="E1789" s="16"/>
      <c r="F1789" s="16" t="s">
        <v>10918</v>
      </c>
      <c r="G1789" s="16">
        <v>7.9792017E7</v>
      </c>
      <c r="H1789" s="16">
        <v>1.0</v>
      </c>
      <c r="I1789" s="16">
        <v>773.39</v>
      </c>
      <c r="J1789" s="16">
        <v>773.39</v>
      </c>
      <c r="K1789" s="16"/>
      <c r="L1789" s="16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Z1789" s="16"/>
      <c r="AD1789" s="16"/>
      <c r="AH1789" s="16"/>
      <c r="AL1789" s="16"/>
      <c r="AP1789" s="16"/>
      <c r="AT1789" s="16"/>
      <c r="AX1789" s="16"/>
      <c r="BF1789" s="16"/>
      <c r="BJ1789" s="16"/>
      <c r="BN1789" s="16"/>
      <c r="BO1789" s="16">
        <v>773.39</v>
      </c>
      <c r="BP1789" s="16"/>
      <c r="BQ1789" s="16" t="b">
        <v>1</v>
      </c>
      <c r="BR1789" s="16">
        <v>773.39</v>
      </c>
      <c r="BS1789" s="16"/>
      <c r="BT1789" s="16"/>
      <c r="BU1789" s="16" t="s">
        <v>539</v>
      </c>
      <c r="BV1789" s="16"/>
      <c r="BW1789" s="16"/>
      <c r="BX1789" s="16"/>
    </row>
    <row r="1790">
      <c r="A1790" s="16" t="s">
        <v>9178</v>
      </c>
      <c r="B1790" s="16" t="s">
        <v>35</v>
      </c>
      <c r="C1790" s="201">
        <v>45994.0</v>
      </c>
      <c r="D1790" s="21" t="s">
        <v>13724</v>
      </c>
      <c r="E1790" s="16" t="s">
        <v>10921</v>
      </c>
      <c r="F1790" s="16" t="s">
        <v>10923</v>
      </c>
      <c r="G1790" s="16" t="s">
        <v>1394</v>
      </c>
      <c r="H1790" s="16">
        <v>1.0</v>
      </c>
      <c r="I1790" s="16">
        <v>645.16</v>
      </c>
      <c r="J1790" s="16">
        <v>645.16</v>
      </c>
      <c r="K1790" s="16"/>
      <c r="L1790" s="16"/>
      <c r="M1790" s="16"/>
      <c r="N1790" s="16">
        <v>0.0</v>
      </c>
      <c r="O1790" s="16"/>
      <c r="P1790" s="16"/>
      <c r="Q1790" s="16"/>
      <c r="R1790" s="16">
        <v>0.0</v>
      </c>
      <c r="S1790" s="16"/>
      <c r="T1790" s="16"/>
      <c r="U1790" s="16"/>
      <c r="V1790" s="16">
        <v>0.0</v>
      </c>
      <c r="Z1790" s="16">
        <v>0.0</v>
      </c>
      <c r="AD1790" s="16">
        <v>0.0</v>
      </c>
      <c r="AH1790" s="16">
        <v>0.0</v>
      </c>
      <c r="AL1790" s="16">
        <v>0.0</v>
      </c>
      <c r="AP1790" s="16">
        <v>0.0</v>
      </c>
      <c r="AT1790" s="16">
        <v>0.0</v>
      </c>
      <c r="AX1790" s="16">
        <v>0.0</v>
      </c>
      <c r="BF1790" s="16">
        <v>0.0</v>
      </c>
      <c r="BJ1790" s="16">
        <v>0.0</v>
      </c>
      <c r="BN1790" s="16">
        <v>0.0</v>
      </c>
      <c r="BO1790" s="16">
        <v>645.16</v>
      </c>
      <c r="BP1790" s="16" t="s">
        <v>10922</v>
      </c>
      <c r="BQ1790" s="16" t="b">
        <v>1</v>
      </c>
      <c r="BR1790" s="16">
        <v>645.16</v>
      </c>
      <c r="BS1790" s="16"/>
      <c r="BT1790" s="16" t="b">
        <v>0</v>
      </c>
      <c r="BU1790" s="16" t="s">
        <v>546</v>
      </c>
      <c r="BV1790" s="16"/>
      <c r="BW1790" s="16"/>
      <c r="BX1790" s="16"/>
    </row>
    <row r="1791">
      <c r="A1791" s="16" t="s">
        <v>9181</v>
      </c>
      <c r="B1791" s="16" t="s">
        <v>35</v>
      </c>
      <c r="C1791" s="201">
        <v>45995.0</v>
      </c>
      <c r="D1791" s="16" t="s">
        <v>145</v>
      </c>
      <c r="E1791" s="16" t="s">
        <v>10926</v>
      </c>
      <c r="F1791" s="16" t="s">
        <v>369</v>
      </c>
      <c r="G1791" s="16" t="s">
        <v>1195</v>
      </c>
      <c r="H1791" s="16">
        <v>5.0</v>
      </c>
      <c r="I1791" s="16">
        <v>24.0</v>
      </c>
      <c r="J1791" s="16">
        <v>120.0</v>
      </c>
      <c r="K1791" s="16" t="s">
        <v>1041</v>
      </c>
      <c r="L1791" s="16">
        <v>1.0</v>
      </c>
      <c r="M1791" s="16">
        <v>24.0</v>
      </c>
      <c r="N1791" s="16">
        <v>24.0</v>
      </c>
      <c r="O1791" s="16" t="s">
        <v>1197</v>
      </c>
      <c r="P1791" s="16">
        <v>6.0</v>
      </c>
      <c r="Q1791" s="16">
        <v>22.0</v>
      </c>
      <c r="R1791" s="16">
        <v>132.0</v>
      </c>
      <c r="S1791" s="16" t="s">
        <v>7032</v>
      </c>
      <c r="T1791" s="16">
        <v>1.0</v>
      </c>
      <c r="U1791" s="16">
        <v>24.0</v>
      </c>
      <c r="V1791" s="16">
        <v>24.0</v>
      </c>
      <c r="W1791" s="21" t="s">
        <v>13725</v>
      </c>
      <c r="X1791" s="16">
        <v>3.0</v>
      </c>
      <c r="Y1791" s="16">
        <v>5.5</v>
      </c>
      <c r="Z1791" s="16">
        <v>16.5</v>
      </c>
      <c r="AD1791" s="16">
        <v>0.0</v>
      </c>
      <c r="AH1791" s="16">
        <v>0.0</v>
      </c>
      <c r="AL1791" s="16">
        <v>0.0</v>
      </c>
      <c r="AP1791" s="16">
        <v>0.0</v>
      </c>
      <c r="AT1791" s="16">
        <v>0.0</v>
      </c>
      <c r="AX1791" s="16">
        <v>0.0</v>
      </c>
      <c r="BF1791" s="16">
        <v>0.0</v>
      </c>
      <c r="BJ1791" s="16">
        <v>0.0</v>
      </c>
      <c r="BN1791" s="16">
        <v>0.0</v>
      </c>
      <c r="BO1791" s="16">
        <v>316.5</v>
      </c>
      <c r="BP1791" s="16" t="s">
        <v>10928</v>
      </c>
      <c r="BQ1791" s="16" t="b">
        <v>1</v>
      </c>
      <c r="BR1791" s="16">
        <v>316.5</v>
      </c>
      <c r="BS1791" s="16"/>
      <c r="BT1791" s="16" t="b">
        <v>0</v>
      </c>
      <c r="BU1791" s="16" t="s">
        <v>546</v>
      </c>
      <c r="BV1791" s="16"/>
      <c r="BW1791" s="16"/>
      <c r="BX1791" s="16"/>
    </row>
    <row r="1792">
      <c r="A1792" s="16" t="s">
        <v>9193</v>
      </c>
      <c r="B1792" s="16" t="s">
        <v>35</v>
      </c>
      <c r="C1792" s="201">
        <v>45996.0</v>
      </c>
      <c r="D1792" s="16" t="s">
        <v>543</v>
      </c>
      <c r="E1792" s="16" t="s">
        <v>10931</v>
      </c>
      <c r="F1792" s="16" t="s">
        <v>171</v>
      </c>
      <c r="G1792" s="21" t="s">
        <v>10424</v>
      </c>
      <c r="H1792" s="16">
        <v>1.0</v>
      </c>
      <c r="I1792" s="16">
        <v>500.0</v>
      </c>
      <c r="J1792" s="16">
        <v>500.0</v>
      </c>
      <c r="K1792" s="16"/>
      <c r="L1792" s="16"/>
      <c r="M1792" s="16"/>
      <c r="N1792" s="16">
        <v>0.0</v>
      </c>
      <c r="O1792" s="16"/>
      <c r="P1792" s="16"/>
      <c r="Q1792" s="16"/>
      <c r="R1792" s="16">
        <v>0.0</v>
      </c>
      <c r="S1792" s="16"/>
      <c r="T1792" s="16"/>
      <c r="U1792" s="16"/>
      <c r="V1792" s="16">
        <v>0.0</v>
      </c>
      <c r="Z1792" s="16">
        <v>0.0</v>
      </c>
      <c r="AD1792" s="16">
        <v>0.0</v>
      </c>
      <c r="AH1792" s="16">
        <v>0.0</v>
      </c>
      <c r="AL1792" s="16">
        <v>0.0</v>
      </c>
      <c r="AP1792" s="16">
        <v>0.0</v>
      </c>
      <c r="AT1792" s="16">
        <v>0.0</v>
      </c>
      <c r="AX1792" s="16">
        <v>0.0</v>
      </c>
      <c r="BF1792" s="16">
        <v>0.0</v>
      </c>
      <c r="BJ1792" s="16">
        <v>0.0</v>
      </c>
      <c r="BN1792" s="16">
        <v>0.0</v>
      </c>
      <c r="BO1792" s="16">
        <v>500.0</v>
      </c>
      <c r="BP1792" s="16" t="s">
        <v>10932</v>
      </c>
      <c r="BQ1792" s="16" t="b">
        <v>1</v>
      </c>
      <c r="BR1792" s="16">
        <v>500.0</v>
      </c>
      <c r="BS1792" s="16" t="s">
        <v>10937</v>
      </c>
      <c r="BT1792" s="16" t="b">
        <v>1</v>
      </c>
      <c r="BU1792" s="16" t="s">
        <v>10935</v>
      </c>
      <c r="BV1792" s="16"/>
      <c r="BW1792" s="16"/>
      <c r="BX1792" s="16"/>
    </row>
    <row r="1793">
      <c r="A1793" s="16" t="s">
        <v>9195</v>
      </c>
      <c r="B1793" s="16" t="s">
        <v>35</v>
      </c>
      <c r="C1793" s="201">
        <v>45996.0</v>
      </c>
      <c r="D1793" s="16" t="s">
        <v>2096</v>
      </c>
      <c r="E1793" s="16" t="s">
        <v>10939</v>
      </c>
      <c r="F1793" s="16" t="s">
        <v>10941</v>
      </c>
      <c r="G1793" s="16" t="s">
        <v>1536</v>
      </c>
      <c r="H1793" s="16">
        <v>1.0</v>
      </c>
      <c r="I1793" s="16">
        <v>15.0</v>
      </c>
      <c r="J1793" s="16">
        <v>15.0</v>
      </c>
      <c r="K1793" s="16"/>
      <c r="L1793" s="16"/>
      <c r="M1793" s="16"/>
      <c r="N1793" s="16">
        <v>0.0</v>
      </c>
      <c r="O1793" s="16"/>
      <c r="P1793" s="16"/>
      <c r="Q1793" s="16"/>
      <c r="R1793" s="16">
        <v>0.0</v>
      </c>
      <c r="S1793" s="16"/>
      <c r="T1793" s="16"/>
      <c r="U1793" s="16"/>
      <c r="V1793" s="16">
        <v>0.0</v>
      </c>
      <c r="Z1793" s="16">
        <v>0.0</v>
      </c>
      <c r="AD1793" s="16">
        <v>0.0</v>
      </c>
      <c r="AH1793" s="16">
        <v>0.0</v>
      </c>
      <c r="AL1793" s="16">
        <v>0.0</v>
      </c>
      <c r="AP1793" s="16">
        <v>0.0</v>
      </c>
      <c r="AT1793" s="16">
        <v>0.0</v>
      </c>
      <c r="AX1793" s="16">
        <v>0.0</v>
      </c>
      <c r="BF1793" s="16">
        <v>0.0</v>
      </c>
      <c r="BJ1793" s="16">
        <v>0.0</v>
      </c>
      <c r="BN1793" s="16">
        <v>0.0</v>
      </c>
      <c r="BO1793" s="16">
        <v>15.0</v>
      </c>
      <c r="BP1793" s="16" t="s">
        <v>10940</v>
      </c>
      <c r="BQ1793" s="16" t="b">
        <v>1</v>
      </c>
      <c r="BR1793" s="16">
        <v>15.0</v>
      </c>
      <c r="BS1793" s="21" t="s">
        <v>13727</v>
      </c>
      <c r="BT1793" s="16" t="b">
        <v>1</v>
      </c>
      <c r="BU1793" s="16" t="s">
        <v>546</v>
      </c>
      <c r="BV1793" s="16"/>
      <c r="BW1793" s="16"/>
      <c r="BX1793" s="16"/>
    </row>
    <row r="1794">
      <c r="A1794" s="16" t="s">
        <v>9197</v>
      </c>
      <c r="B1794" s="16" t="s">
        <v>35</v>
      </c>
      <c r="C1794" s="201">
        <v>45995.0</v>
      </c>
      <c r="D1794" s="16" t="s">
        <v>3716</v>
      </c>
      <c r="E1794" s="16" t="s">
        <v>10946</v>
      </c>
      <c r="F1794" s="16" t="s">
        <v>10949</v>
      </c>
      <c r="G1794" s="16" t="s">
        <v>1079</v>
      </c>
      <c r="H1794" s="16">
        <v>1.0</v>
      </c>
      <c r="I1794" s="16">
        <v>322.5</v>
      </c>
      <c r="J1794" s="16">
        <v>322.5</v>
      </c>
      <c r="K1794" s="16" t="s">
        <v>1080</v>
      </c>
      <c r="L1794" s="16">
        <v>1.0</v>
      </c>
      <c r="M1794" s="16">
        <v>278.0</v>
      </c>
      <c r="N1794" s="16">
        <v>278.0</v>
      </c>
      <c r="O1794" s="16" t="s">
        <v>8679</v>
      </c>
      <c r="P1794" s="16">
        <v>3.0</v>
      </c>
      <c r="Q1794" s="16">
        <v>32.9</v>
      </c>
      <c r="R1794" s="16">
        <v>98.7</v>
      </c>
      <c r="S1794" s="16"/>
      <c r="T1794" s="16"/>
      <c r="U1794" s="16"/>
      <c r="V1794" s="16">
        <v>0.0</v>
      </c>
      <c r="Z1794" s="16">
        <v>0.0</v>
      </c>
      <c r="AD1794" s="16">
        <v>0.0</v>
      </c>
      <c r="AH1794" s="16">
        <v>0.0</v>
      </c>
      <c r="AL1794" s="16">
        <v>0.0</v>
      </c>
      <c r="AP1794" s="16">
        <v>0.0</v>
      </c>
      <c r="AT1794" s="16">
        <v>0.0</v>
      </c>
      <c r="AX1794" s="16">
        <v>0.0</v>
      </c>
      <c r="BF1794" s="16">
        <v>0.0</v>
      </c>
      <c r="BJ1794" s="16">
        <v>0.0</v>
      </c>
      <c r="BN1794" s="16">
        <v>0.0</v>
      </c>
      <c r="BO1794" s="16">
        <v>699.2</v>
      </c>
      <c r="BP1794" s="16" t="s">
        <v>10947</v>
      </c>
      <c r="BQ1794" s="16" t="b">
        <v>1</v>
      </c>
      <c r="BR1794" s="16">
        <v>699.2</v>
      </c>
      <c r="BS1794" s="21" t="s">
        <v>13730</v>
      </c>
      <c r="BT1794" s="16" t="b">
        <v>1</v>
      </c>
      <c r="BU1794" s="16" t="s">
        <v>546</v>
      </c>
      <c r="BV1794" s="16"/>
      <c r="BW1794" s="16"/>
      <c r="BX1794" s="16"/>
    </row>
    <row r="1795">
      <c r="A1795" s="16" t="s">
        <v>9202</v>
      </c>
      <c r="B1795" s="16" t="s">
        <v>35</v>
      </c>
      <c r="C1795" s="201">
        <v>45994.0</v>
      </c>
      <c r="D1795" s="16" t="s">
        <v>1918</v>
      </c>
      <c r="E1795" s="16" t="s">
        <v>10954</v>
      </c>
      <c r="F1795" s="16" t="s">
        <v>10956</v>
      </c>
      <c r="G1795" s="16" t="s">
        <v>1787</v>
      </c>
      <c r="H1795" s="16">
        <v>1.0</v>
      </c>
      <c r="I1795" s="16">
        <v>199.8</v>
      </c>
      <c r="J1795" s="16">
        <v>199.8</v>
      </c>
      <c r="K1795" s="16"/>
      <c r="L1795" s="16"/>
      <c r="M1795" s="16"/>
      <c r="N1795" s="16">
        <v>0.0</v>
      </c>
      <c r="O1795" s="16"/>
      <c r="P1795" s="16"/>
      <c r="Q1795" s="16"/>
      <c r="R1795" s="16">
        <v>0.0</v>
      </c>
      <c r="S1795" s="16"/>
      <c r="T1795" s="16"/>
      <c r="U1795" s="16"/>
      <c r="V1795" s="16">
        <v>0.0</v>
      </c>
      <c r="Z1795" s="16">
        <v>0.0</v>
      </c>
      <c r="AD1795" s="16">
        <v>0.0</v>
      </c>
      <c r="AH1795" s="16">
        <v>0.0</v>
      </c>
      <c r="AL1795" s="16">
        <v>0.0</v>
      </c>
      <c r="AP1795" s="16">
        <v>0.0</v>
      </c>
      <c r="AT1795" s="16">
        <v>0.0</v>
      </c>
      <c r="AX1795" s="16">
        <v>0.0</v>
      </c>
      <c r="BF1795" s="16">
        <v>0.0</v>
      </c>
      <c r="BJ1795" s="16">
        <v>0.0</v>
      </c>
      <c r="BN1795" s="16">
        <v>0.0</v>
      </c>
      <c r="BO1795" s="16">
        <v>199.8</v>
      </c>
      <c r="BP1795" s="16" t="s">
        <v>10955</v>
      </c>
      <c r="BQ1795" s="16" t="b">
        <v>1</v>
      </c>
      <c r="BR1795" s="16">
        <v>199.8</v>
      </c>
      <c r="BS1795" s="21" t="s">
        <v>13731</v>
      </c>
      <c r="BT1795" s="16" t="b">
        <v>1</v>
      </c>
      <c r="BU1795" s="16" t="s">
        <v>546</v>
      </c>
      <c r="BV1795" s="16"/>
      <c r="BW1795" s="16"/>
      <c r="BX1795" s="16"/>
    </row>
    <row r="1796">
      <c r="A1796" s="16" t="s">
        <v>9205</v>
      </c>
      <c r="B1796" s="16" t="s">
        <v>35</v>
      </c>
      <c r="C1796" s="201">
        <v>45994.0</v>
      </c>
      <c r="D1796" s="16" t="s">
        <v>112</v>
      </c>
      <c r="E1796" s="16" t="s">
        <v>10959</v>
      </c>
      <c r="F1796" s="16" t="s">
        <v>157</v>
      </c>
      <c r="G1796" s="16" t="s">
        <v>226</v>
      </c>
      <c r="H1796" s="16">
        <v>8.0</v>
      </c>
      <c r="I1796" s="16">
        <v>9.0</v>
      </c>
      <c r="J1796" s="16">
        <v>72.0</v>
      </c>
      <c r="K1796" s="16" t="s">
        <v>230</v>
      </c>
      <c r="L1796" s="16">
        <v>10.0</v>
      </c>
      <c r="M1796" s="16">
        <v>26.0</v>
      </c>
      <c r="N1796" s="16">
        <v>260.0</v>
      </c>
      <c r="O1796" s="16" t="s">
        <v>155</v>
      </c>
      <c r="P1796" s="16">
        <v>9.0</v>
      </c>
      <c r="Q1796" s="16">
        <v>6.5</v>
      </c>
      <c r="R1796" s="16">
        <v>58.5</v>
      </c>
      <c r="S1796" s="16"/>
      <c r="T1796" s="16"/>
      <c r="U1796" s="16"/>
      <c r="V1796" s="16">
        <v>0.0</v>
      </c>
      <c r="Z1796" s="16">
        <v>0.0</v>
      </c>
      <c r="AD1796" s="16">
        <v>0.0</v>
      </c>
      <c r="AH1796" s="16">
        <v>0.0</v>
      </c>
      <c r="AL1796" s="16">
        <v>0.0</v>
      </c>
      <c r="AP1796" s="16">
        <v>0.0</v>
      </c>
      <c r="AT1796" s="16">
        <v>0.0</v>
      </c>
      <c r="AX1796" s="16">
        <v>0.0</v>
      </c>
      <c r="BF1796" s="16">
        <v>0.0</v>
      </c>
      <c r="BJ1796" s="16">
        <v>0.0</v>
      </c>
      <c r="BN1796" s="16">
        <v>0.0</v>
      </c>
      <c r="BO1796" s="16">
        <v>390.5</v>
      </c>
      <c r="BP1796" s="16" t="s">
        <v>10960</v>
      </c>
      <c r="BQ1796" s="16" t="b">
        <v>1</v>
      </c>
      <c r="BR1796" s="16">
        <v>390.5</v>
      </c>
      <c r="BS1796" s="16"/>
      <c r="BT1796" s="16" t="b">
        <v>0</v>
      </c>
      <c r="BU1796" s="16" t="s">
        <v>546</v>
      </c>
      <c r="BV1796" s="16"/>
      <c r="BW1796" s="16"/>
      <c r="BX1796" s="16"/>
    </row>
    <row r="1797">
      <c r="A1797" s="16" t="s">
        <v>9211</v>
      </c>
      <c r="B1797" s="16" t="s">
        <v>35</v>
      </c>
      <c r="C1797" s="201">
        <v>45996.0</v>
      </c>
      <c r="D1797" s="16" t="s">
        <v>112</v>
      </c>
      <c r="E1797" s="16" t="s">
        <v>10963</v>
      </c>
      <c r="F1797" s="16" t="s">
        <v>157</v>
      </c>
      <c r="G1797" s="16" t="s">
        <v>226</v>
      </c>
      <c r="H1797" s="16">
        <v>6.0</v>
      </c>
      <c r="I1797" s="16">
        <v>9.0</v>
      </c>
      <c r="J1797" s="16">
        <v>54.0</v>
      </c>
      <c r="K1797" s="16" t="s">
        <v>152</v>
      </c>
      <c r="L1797" s="16">
        <v>1.0</v>
      </c>
      <c r="M1797" s="16">
        <v>15.84</v>
      </c>
      <c r="N1797" s="16">
        <v>15.84</v>
      </c>
      <c r="O1797" s="16" t="s">
        <v>155</v>
      </c>
      <c r="P1797" s="16">
        <v>1.0</v>
      </c>
      <c r="Q1797" s="16">
        <v>48.75</v>
      </c>
      <c r="R1797" s="16">
        <v>48.75</v>
      </c>
      <c r="S1797" s="16" t="s">
        <v>159</v>
      </c>
      <c r="T1797" s="16">
        <v>1.0</v>
      </c>
      <c r="U1797" s="16">
        <v>220.0</v>
      </c>
      <c r="V1797" s="16">
        <v>220.0</v>
      </c>
      <c r="Z1797" s="16">
        <v>0.0</v>
      </c>
      <c r="AD1797" s="16">
        <v>0.0</v>
      </c>
      <c r="AH1797" s="16">
        <v>0.0</v>
      </c>
      <c r="AL1797" s="16">
        <v>0.0</v>
      </c>
      <c r="AP1797" s="16">
        <v>0.0</v>
      </c>
      <c r="AT1797" s="16">
        <v>0.0</v>
      </c>
      <c r="AX1797" s="16">
        <v>0.0</v>
      </c>
      <c r="BF1797" s="16">
        <v>0.0</v>
      </c>
      <c r="BJ1797" s="16">
        <v>0.0</v>
      </c>
      <c r="BN1797" s="16">
        <v>0.0</v>
      </c>
      <c r="BO1797" s="16">
        <v>338.59</v>
      </c>
      <c r="BP1797" s="16" t="s">
        <v>10965</v>
      </c>
      <c r="BQ1797" s="16" t="b">
        <v>1</v>
      </c>
      <c r="BR1797" s="16">
        <v>338.64</v>
      </c>
      <c r="BS1797" s="16"/>
      <c r="BT1797" s="16" t="b">
        <v>0</v>
      </c>
      <c r="BU1797" s="16" t="s">
        <v>546</v>
      </c>
      <c r="BV1797" s="16"/>
      <c r="BW1797" s="16"/>
      <c r="BX1797" s="16"/>
    </row>
    <row r="1798">
      <c r="A1798" s="16" t="s">
        <v>9217</v>
      </c>
      <c r="B1798" s="16" t="s">
        <v>35</v>
      </c>
      <c r="C1798" s="201">
        <v>45995.0</v>
      </c>
      <c r="D1798" s="16" t="s">
        <v>890</v>
      </c>
      <c r="E1798" s="16" t="s">
        <v>10968</v>
      </c>
      <c r="F1798" s="16" t="s">
        <v>10970</v>
      </c>
      <c r="G1798" s="16" t="s">
        <v>9218</v>
      </c>
      <c r="H1798" s="16">
        <v>1.0</v>
      </c>
      <c r="I1798" s="16">
        <v>682.47</v>
      </c>
      <c r="J1798" s="16">
        <v>682.47</v>
      </c>
      <c r="K1798" s="16"/>
      <c r="L1798" s="16"/>
      <c r="M1798" s="16"/>
      <c r="N1798" s="16">
        <v>0.0</v>
      </c>
      <c r="O1798" s="16"/>
      <c r="P1798" s="16"/>
      <c r="Q1798" s="16"/>
      <c r="R1798" s="16">
        <v>0.0</v>
      </c>
      <c r="S1798" s="16"/>
      <c r="T1798" s="16"/>
      <c r="U1798" s="16"/>
      <c r="V1798" s="16">
        <v>0.0</v>
      </c>
      <c r="Z1798" s="16">
        <v>0.0</v>
      </c>
      <c r="AD1798" s="16">
        <v>0.0</v>
      </c>
      <c r="AH1798" s="16">
        <v>0.0</v>
      </c>
      <c r="AL1798" s="16">
        <v>0.0</v>
      </c>
      <c r="AP1798" s="16">
        <v>0.0</v>
      </c>
      <c r="AT1798" s="16">
        <v>0.0</v>
      </c>
      <c r="AX1798" s="16">
        <v>0.0</v>
      </c>
      <c r="BF1798" s="16">
        <v>0.0</v>
      </c>
      <c r="BJ1798" s="16">
        <v>0.0</v>
      </c>
      <c r="BN1798" s="16">
        <v>0.0</v>
      </c>
      <c r="BO1798" s="16">
        <v>682.47</v>
      </c>
      <c r="BP1798" s="16" t="s">
        <v>10969</v>
      </c>
      <c r="BQ1798" s="16" t="b">
        <v>1</v>
      </c>
      <c r="BR1798" s="16">
        <v>682.47</v>
      </c>
      <c r="BS1798" s="16"/>
      <c r="BT1798" s="16" t="b">
        <v>0</v>
      </c>
      <c r="BU1798" s="16" t="s">
        <v>546</v>
      </c>
      <c r="BV1798" s="16"/>
      <c r="BW1798" s="16"/>
      <c r="BX1798" s="16"/>
    </row>
    <row r="1799">
      <c r="A1799" s="16" t="s">
        <v>9221</v>
      </c>
      <c r="B1799" s="16" t="s">
        <v>35</v>
      </c>
      <c r="C1799" s="201">
        <v>45995.0</v>
      </c>
      <c r="D1799" s="16" t="s">
        <v>764</v>
      </c>
      <c r="E1799" s="16" t="s">
        <v>10973</v>
      </c>
      <c r="F1799" s="16" t="s">
        <v>195</v>
      </c>
      <c r="G1799" s="16" t="s">
        <v>1081</v>
      </c>
      <c r="H1799" s="16">
        <v>7.0</v>
      </c>
      <c r="I1799" s="16">
        <v>48.0</v>
      </c>
      <c r="J1799" s="16">
        <v>336.0</v>
      </c>
      <c r="K1799" s="16" t="s">
        <v>1077</v>
      </c>
      <c r="L1799" s="16">
        <v>3.0</v>
      </c>
      <c r="M1799" s="16">
        <v>25.8</v>
      </c>
      <c r="N1799" s="16">
        <v>77.4</v>
      </c>
      <c r="O1799" s="16" t="s">
        <v>1085</v>
      </c>
      <c r="P1799" s="16">
        <v>2.0</v>
      </c>
      <c r="Q1799" s="16">
        <v>40.2</v>
      </c>
      <c r="R1799" s="16">
        <v>80.4</v>
      </c>
      <c r="S1799" s="16" t="s">
        <v>1074</v>
      </c>
      <c r="T1799" s="16">
        <v>1.0</v>
      </c>
      <c r="U1799" s="16">
        <v>75.0</v>
      </c>
      <c r="V1799" s="16">
        <v>75.0</v>
      </c>
      <c r="W1799" s="16" t="s">
        <v>5605</v>
      </c>
      <c r="X1799" s="16">
        <v>1.0</v>
      </c>
      <c r="Y1799" s="16">
        <v>19.57</v>
      </c>
      <c r="Z1799" s="16">
        <v>19.57</v>
      </c>
      <c r="AA1799" s="16" t="s">
        <v>1073</v>
      </c>
      <c r="AB1799" s="16">
        <v>1.0</v>
      </c>
      <c r="AC1799" s="16">
        <v>21.0</v>
      </c>
      <c r="AD1799" s="16">
        <v>21.0</v>
      </c>
      <c r="AE1799" s="21" t="s">
        <v>10459</v>
      </c>
      <c r="AF1799" s="16">
        <v>1.0</v>
      </c>
      <c r="AG1799" s="16">
        <v>19.8</v>
      </c>
      <c r="AH1799" s="16">
        <v>19.8</v>
      </c>
      <c r="AI1799" s="16" t="s">
        <v>1384</v>
      </c>
      <c r="AJ1799" s="16">
        <v>1.0</v>
      </c>
      <c r="AK1799" s="16">
        <v>19.8</v>
      </c>
      <c r="AL1799" s="16">
        <v>19.8</v>
      </c>
      <c r="AM1799" s="16" t="s">
        <v>1384</v>
      </c>
      <c r="AN1799" s="16">
        <v>1.0</v>
      </c>
      <c r="AO1799" s="16">
        <v>65.0</v>
      </c>
      <c r="AP1799" s="16">
        <v>65.0</v>
      </c>
      <c r="AQ1799" s="16" t="s">
        <v>1074</v>
      </c>
      <c r="AR1799" s="16">
        <v>5.0</v>
      </c>
      <c r="AS1799" s="16">
        <v>38.0</v>
      </c>
      <c r="AT1799" s="16">
        <v>190.0</v>
      </c>
      <c r="AU1799" s="16" t="s">
        <v>1075</v>
      </c>
      <c r="AV1799" s="16">
        <v>6.0</v>
      </c>
      <c r="AW1799" s="16">
        <v>19.0</v>
      </c>
      <c r="AX1799" s="16">
        <v>114.0</v>
      </c>
      <c r="BF1799" s="16">
        <v>0.0</v>
      </c>
      <c r="BJ1799" s="16">
        <v>0.0</v>
      </c>
      <c r="BN1799" s="16">
        <v>0.0</v>
      </c>
      <c r="BO1799" s="16">
        <v>1017.97</v>
      </c>
      <c r="BP1799" s="16" t="s">
        <v>10975</v>
      </c>
      <c r="BQ1799" s="16" t="b">
        <v>1</v>
      </c>
      <c r="BR1799" s="16">
        <v>1017.97</v>
      </c>
      <c r="BS1799" s="16"/>
      <c r="BT1799" s="16" t="b">
        <v>0</v>
      </c>
      <c r="BU1799" s="16" t="s">
        <v>546</v>
      </c>
      <c r="BV1799" s="16"/>
      <c r="BW1799" s="16" t="s">
        <v>10977</v>
      </c>
      <c r="BX1799" s="16"/>
    </row>
    <row r="1800">
      <c r="A1800" s="16" t="s">
        <v>9236</v>
      </c>
      <c r="B1800" s="16" t="s">
        <v>35</v>
      </c>
      <c r="C1800" s="201">
        <v>45999.0</v>
      </c>
      <c r="D1800" s="16" t="s">
        <v>10980</v>
      </c>
      <c r="E1800" s="16"/>
      <c r="F1800" s="16" t="s">
        <v>10981</v>
      </c>
      <c r="G1800" s="16" t="s">
        <v>7344</v>
      </c>
      <c r="H1800" s="16">
        <v>1.0</v>
      </c>
      <c r="I1800" s="16">
        <v>280.0</v>
      </c>
      <c r="J1800" s="16">
        <v>280.0</v>
      </c>
      <c r="K1800" s="16"/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Z1800" s="16"/>
      <c r="AD1800" s="16"/>
      <c r="AH1800" s="16"/>
      <c r="AL1800" s="16"/>
      <c r="AP1800" s="16"/>
      <c r="AT1800" s="16"/>
      <c r="AX1800" s="16"/>
      <c r="BF1800" s="16"/>
      <c r="BJ1800" s="16"/>
      <c r="BN1800" s="16"/>
      <c r="BO1800" s="16">
        <v>280.0</v>
      </c>
      <c r="BP1800" s="16"/>
      <c r="BQ1800" s="16" t="b">
        <v>1</v>
      </c>
      <c r="BR1800" s="16">
        <v>280.0</v>
      </c>
      <c r="BS1800" s="16"/>
      <c r="BT1800" s="16"/>
      <c r="BU1800" s="16" t="s">
        <v>539</v>
      </c>
      <c r="BV1800" s="16"/>
      <c r="BW1800" s="16"/>
      <c r="BX1800" s="16"/>
    </row>
    <row r="1801">
      <c r="A1801" s="16" t="s">
        <v>9238</v>
      </c>
      <c r="B1801" s="16" t="s">
        <v>35</v>
      </c>
      <c r="C1801" s="201">
        <v>46000.0</v>
      </c>
      <c r="D1801" s="16" t="s">
        <v>543</v>
      </c>
      <c r="E1801" s="16" t="s">
        <v>10984</v>
      </c>
      <c r="F1801" s="16" t="s">
        <v>171</v>
      </c>
      <c r="G1801" s="21" t="s">
        <v>10424</v>
      </c>
      <c r="H1801" s="16">
        <v>1.0</v>
      </c>
      <c r="I1801" s="16">
        <v>375.0</v>
      </c>
      <c r="J1801" s="16">
        <v>375.0</v>
      </c>
      <c r="K1801" s="16"/>
      <c r="L1801" s="16"/>
      <c r="M1801" s="16"/>
      <c r="N1801" s="16">
        <v>0.0</v>
      </c>
      <c r="O1801" s="16"/>
      <c r="P1801" s="16"/>
      <c r="Q1801" s="16"/>
      <c r="R1801" s="16">
        <v>0.0</v>
      </c>
      <c r="S1801" s="16"/>
      <c r="T1801" s="16"/>
      <c r="U1801" s="16"/>
      <c r="V1801" s="16">
        <v>0.0</v>
      </c>
      <c r="Z1801" s="16">
        <v>0.0</v>
      </c>
      <c r="AD1801" s="16">
        <v>0.0</v>
      </c>
      <c r="AH1801" s="16">
        <v>0.0</v>
      </c>
      <c r="AL1801" s="16">
        <v>0.0</v>
      </c>
      <c r="AP1801" s="16">
        <v>0.0</v>
      </c>
      <c r="AT1801" s="16">
        <v>0.0</v>
      </c>
      <c r="AX1801" s="16">
        <v>0.0</v>
      </c>
      <c r="BF1801" s="16">
        <v>0.0</v>
      </c>
      <c r="BJ1801" s="16">
        <v>0.0</v>
      </c>
      <c r="BN1801" s="16">
        <v>0.0</v>
      </c>
      <c r="BO1801" s="16">
        <v>375.0</v>
      </c>
      <c r="BP1801" s="16" t="s">
        <v>10986</v>
      </c>
      <c r="BQ1801" s="16" t="b">
        <v>1</v>
      </c>
      <c r="BR1801" s="16">
        <v>375.0</v>
      </c>
      <c r="BS1801" s="16"/>
      <c r="BT1801" s="16" t="b">
        <v>0</v>
      </c>
      <c r="BU1801" s="16" t="s">
        <v>546</v>
      </c>
      <c r="BV1801" s="16"/>
      <c r="BW1801" s="16"/>
      <c r="BX1801" s="16"/>
    </row>
    <row r="1802">
      <c r="A1802" s="16" t="s">
        <v>9240</v>
      </c>
      <c r="B1802" s="16" t="s">
        <v>35</v>
      </c>
      <c r="C1802" s="201">
        <v>46000.0</v>
      </c>
      <c r="D1802" s="16" t="s">
        <v>890</v>
      </c>
      <c r="E1802" s="16"/>
      <c r="F1802" s="16" t="s">
        <v>10990</v>
      </c>
      <c r="G1802" s="16" t="s">
        <v>1517</v>
      </c>
      <c r="H1802" s="16">
        <v>1.0</v>
      </c>
      <c r="I1802" s="16">
        <v>2438.06</v>
      </c>
      <c r="J1802" s="16">
        <v>2438.06</v>
      </c>
      <c r="K1802" s="16"/>
      <c r="L1802" s="16"/>
      <c r="M1802" s="16"/>
      <c r="N1802" s="16"/>
      <c r="O1802" s="16"/>
      <c r="P1802" s="16"/>
      <c r="Q1802" s="16"/>
      <c r="R1802" s="16"/>
      <c r="S1802" s="16"/>
      <c r="T1802" s="16"/>
      <c r="U1802" s="16"/>
      <c r="V1802" s="16"/>
      <c r="Z1802" s="16"/>
      <c r="AD1802" s="16"/>
      <c r="AH1802" s="16"/>
      <c r="AL1802" s="16"/>
      <c r="AP1802" s="16"/>
      <c r="AT1802" s="16"/>
      <c r="AX1802" s="16"/>
      <c r="BF1802" s="16"/>
      <c r="BJ1802" s="16"/>
      <c r="BN1802" s="16"/>
      <c r="BO1802" s="16">
        <v>2438.06</v>
      </c>
      <c r="BP1802" s="16"/>
      <c r="BQ1802" s="16" t="b">
        <v>1</v>
      </c>
      <c r="BR1802" s="16">
        <v>2438.06</v>
      </c>
      <c r="BS1802" s="16"/>
      <c r="BT1802" s="16"/>
      <c r="BU1802" s="16" t="s">
        <v>539</v>
      </c>
      <c r="BV1802" s="16"/>
      <c r="BW1802" s="16"/>
      <c r="BX1802" s="16"/>
    </row>
    <row r="1803">
      <c r="A1803" s="16" t="s">
        <v>9242</v>
      </c>
      <c r="B1803" s="16" t="s">
        <v>35</v>
      </c>
      <c r="C1803" s="201">
        <v>46000.0</v>
      </c>
      <c r="D1803" s="16" t="s">
        <v>890</v>
      </c>
      <c r="E1803" s="16"/>
      <c r="F1803" s="16" t="s">
        <v>10994</v>
      </c>
      <c r="G1803" s="16" t="s">
        <v>8458</v>
      </c>
      <c r="H1803" s="16">
        <v>1.0</v>
      </c>
      <c r="I1803" s="16">
        <v>4979.0</v>
      </c>
      <c r="J1803" s="16">
        <v>4979.0</v>
      </c>
      <c r="K1803" s="16"/>
      <c r="L1803" s="16"/>
      <c r="M1803" s="16"/>
      <c r="N1803" s="16"/>
      <c r="O1803" s="16"/>
      <c r="P1803" s="16"/>
      <c r="Q1803" s="16"/>
      <c r="R1803" s="16"/>
      <c r="S1803" s="16"/>
      <c r="T1803" s="16"/>
      <c r="U1803" s="16"/>
      <c r="V1803" s="16"/>
      <c r="Z1803" s="16"/>
      <c r="AD1803" s="16"/>
      <c r="AH1803" s="16"/>
      <c r="AL1803" s="16"/>
      <c r="AP1803" s="16"/>
      <c r="AT1803" s="16"/>
      <c r="AX1803" s="16"/>
      <c r="BF1803" s="16"/>
      <c r="BJ1803" s="16"/>
      <c r="BN1803" s="16"/>
      <c r="BO1803" s="16">
        <v>4979.0</v>
      </c>
      <c r="BP1803" s="16"/>
      <c r="BQ1803" s="16" t="b">
        <v>1</v>
      </c>
      <c r="BR1803" s="16">
        <v>4979.0</v>
      </c>
      <c r="BS1803" s="16"/>
      <c r="BT1803" s="16"/>
      <c r="BU1803" s="16" t="s">
        <v>539</v>
      </c>
      <c r="BV1803" s="16"/>
      <c r="BW1803" s="16"/>
      <c r="BX1803" s="16"/>
    </row>
    <row r="1804">
      <c r="A1804" s="16">
        <v>11656.0</v>
      </c>
      <c r="B1804" s="16" t="s">
        <v>35</v>
      </c>
      <c r="C1804" s="201">
        <v>46000.0</v>
      </c>
      <c r="D1804" s="16" t="s">
        <v>9929</v>
      </c>
      <c r="E1804" s="16"/>
      <c r="F1804" s="16" t="s">
        <v>9930</v>
      </c>
      <c r="G1804" s="16" t="s">
        <v>3218</v>
      </c>
      <c r="H1804" s="16">
        <v>1.0</v>
      </c>
      <c r="I1804" s="16">
        <v>8930.0</v>
      </c>
      <c r="J1804" s="16">
        <v>8930.0</v>
      </c>
      <c r="K1804" s="16"/>
      <c r="L1804" s="16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Z1804" s="16"/>
      <c r="AD1804" s="16"/>
      <c r="AH1804" s="16"/>
      <c r="AL1804" s="16"/>
      <c r="AP1804" s="16"/>
      <c r="AT1804" s="16"/>
      <c r="AX1804" s="16"/>
      <c r="BF1804" s="16"/>
      <c r="BJ1804" s="16"/>
      <c r="BN1804" s="16"/>
      <c r="BO1804" s="16">
        <v>8930.0</v>
      </c>
      <c r="BP1804" s="16"/>
      <c r="BQ1804" s="16" t="b">
        <v>1</v>
      </c>
      <c r="BR1804" s="16">
        <v>8930.0</v>
      </c>
      <c r="BS1804" s="16"/>
      <c r="BT1804" s="16"/>
      <c r="BU1804" s="16" t="s">
        <v>539</v>
      </c>
      <c r="BV1804" s="16"/>
      <c r="BW1804" s="16"/>
      <c r="BX1804" s="16"/>
    </row>
    <row r="1805">
      <c r="A1805" s="16">
        <v>11657.0</v>
      </c>
      <c r="B1805" s="16" t="s">
        <v>35</v>
      </c>
      <c r="C1805" s="201">
        <v>46000.0</v>
      </c>
      <c r="D1805" s="16" t="s">
        <v>3516</v>
      </c>
      <c r="E1805" s="16"/>
      <c r="F1805" s="16" t="s">
        <v>9933</v>
      </c>
      <c r="G1805" s="16" t="s">
        <v>8501</v>
      </c>
      <c r="H1805" s="16">
        <v>1.0</v>
      </c>
      <c r="I1805" s="16">
        <v>1000.0</v>
      </c>
      <c r="J1805" s="16">
        <v>1000.0</v>
      </c>
      <c r="K1805" s="16"/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Z1805" s="16"/>
      <c r="AD1805" s="16"/>
      <c r="AH1805" s="16"/>
      <c r="AL1805" s="16"/>
      <c r="AP1805" s="16"/>
      <c r="AT1805" s="16"/>
      <c r="AX1805" s="16"/>
      <c r="BF1805" s="16"/>
      <c r="BJ1805" s="16"/>
      <c r="BN1805" s="16"/>
      <c r="BO1805" s="16">
        <v>1000.0</v>
      </c>
      <c r="BP1805" s="16"/>
      <c r="BQ1805" s="16" t="b">
        <v>1</v>
      </c>
      <c r="BR1805" s="16">
        <v>1000.0</v>
      </c>
      <c r="BS1805" s="16"/>
      <c r="BT1805" s="16"/>
      <c r="BU1805" s="16" t="s">
        <v>539</v>
      </c>
      <c r="BV1805" s="16"/>
      <c r="BW1805" s="16"/>
      <c r="BX1805" s="16"/>
    </row>
    <row r="1806">
      <c r="A1806" s="16">
        <v>11658.0</v>
      </c>
      <c r="B1806" s="16" t="s">
        <v>35</v>
      </c>
      <c r="C1806" s="201">
        <v>46000.0</v>
      </c>
      <c r="D1806" s="16" t="s">
        <v>2439</v>
      </c>
      <c r="E1806" s="16"/>
      <c r="F1806" s="16" t="s">
        <v>5136</v>
      </c>
      <c r="G1806" s="16" t="s">
        <v>873</v>
      </c>
      <c r="H1806" s="16">
        <v>1.0</v>
      </c>
      <c r="I1806" s="16">
        <v>0.0</v>
      </c>
      <c r="J1806" s="16">
        <v>0.0</v>
      </c>
      <c r="K1806" s="16"/>
      <c r="L1806" s="16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Z1806" s="16"/>
      <c r="AD1806" s="16"/>
      <c r="AH1806" s="16"/>
      <c r="AL1806" s="16"/>
      <c r="AP1806" s="16"/>
      <c r="AT1806" s="16"/>
      <c r="AX1806" s="16"/>
      <c r="BF1806" s="16"/>
      <c r="BJ1806" s="16"/>
      <c r="BN1806" s="16"/>
      <c r="BO1806" s="16">
        <v>0.0</v>
      </c>
      <c r="BP1806" s="16"/>
      <c r="BQ1806" s="16" t="b">
        <v>1</v>
      </c>
      <c r="BR1806" s="16">
        <v>0.0</v>
      </c>
      <c r="BS1806" s="16"/>
      <c r="BT1806" s="16"/>
      <c r="BU1806" s="16" t="s">
        <v>539</v>
      </c>
      <c r="BV1806" s="16"/>
      <c r="BW1806" s="16"/>
      <c r="BX1806" s="16"/>
    </row>
    <row r="1807">
      <c r="A1807" s="16">
        <v>11660.0</v>
      </c>
      <c r="B1807" s="16" t="s">
        <v>35</v>
      </c>
      <c r="C1807" s="201">
        <v>46000.0</v>
      </c>
      <c r="D1807" s="16" t="s">
        <v>10315</v>
      </c>
      <c r="E1807" s="16"/>
      <c r="F1807" s="16" t="s">
        <v>11007</v>
      </c>
      <c r="G1807" s="16" t="s">
        <v>8792</v>
      </c>
      <c r="H1807" s="16">
        <v>1.0</v>
      </c>
      <c r="I1807" s="16">
        <v>0.01</v>
      </c>
      <c r="J1807" s="16">
        <v>0.01</v>
      </c>
      <c r="K1807" s="16"/>
      <c r="L1807" s="16"/>
      <c r="M1807" s="16"/>
      <c r="N1807" s="16"/>
      <c r="O1807" s="16"/>
      <c r="P1807" s="16"/>
      <c r="Q1807" s="16"/>
      <c r="R1807" s="16"/>
      <c r="S1807" s="16"/>
      <c r="T1807" s="16"/>
      <c r="U1807" s="16"/>
      <c r="V1807" s="16"/>
      <c r="Z1807" s="16"/>
      <c r="AD1807" s="16"/>
      <c r="AH1807" s="16"/>
      <c r="AL1807" s="16"/>
      <c r="AP1807" s="16"/>
      <c r="AT1807" s="16"/>
      <c r="AX1807" s="16"/>
      <c r="BF1807" s="16"/>
      <c r="BJ1807" s="16"/>
      <c r="BN1807" s="16"/>
      <c r="BO1807" s="16">
        <v>0.01</v>
      </c>
      <c r="BP1807" s="16"/>
      <c r="BQ1807" s="16" t="b">
        <v>1</v>
      </c>
      <c r="BR1807" s="16">
        <v>0.01</v>
      </c>
      <c r="BS1807" s="16"/>
      <c r="BT1807" s="16"/>
      <c r="BU1807" s="16" t="s">
        <v>539</v>
      </c>
      <c r="BV1807" s="16"/>
      <c r="BW1807" s="16"/>
      <c r="BX1807" s="16"/>
    </row>
    <row r="1808">
      <c r="A1808" s="16" t="s">
        <v>9252</v>
      </c>
      <c r="B1808" s="16" t="s">
        <v>35</v>
      </c>
      <c r="C1808" s="201">
        <v>46000.0</v>
      </c>
      <c r="D1808" s="16" t="s">
        <v>890</v>
      </c>
      <c r="E1808" s="16"/>
      <c r="F1808" s="16" t="s">
        <v>11012</v>
      </c>
      <c r="G1808" s="16" t="s">
        <v>1517</v>
      </c>
      <c r="H1808" s="16">
        <v>1.0</v>
      </c>
      <c r="I1808" s="16">
        <v>159.94</v>
      </c>
      <c r="J1808" s="16">
        <v>159.94</v>
      </c>
      <c r="K1808" s="16"/>
      <c r="L1808" s="16"/>
      <c r="M1808" s="16"/>
      <c r="N1808" s="16"/>
      <c r="O1808" s="16"/>
      <c r="P1808" s="16"/>
      <c r="Q1808" s="16"/>
      <c r="R1808" s="16"/>
      <c r="S1808" s="16"/>
      <c r="T1808" s="16"/>
      <c r="U1808" s="16"/>
      <c r="V1808" s="16"/>
      <c r="Z1808" s="16"/>
      <c r="AD1808" s="16"/>
      <c r="AH1808" s="16"/>
      <c r="AL1808" s="16"/>
      <c r="AP1808" s="16"/>
      <c r="AT1808" s="16"/>
      <c r="AX1808" s="16"/>
      <c r="BF1808" s="16"/>
      <c r="BJ1808" s="16"/>
      <c r="BN1808" s="16"/>
      <c r="BO1808" s="16">
        <v>159.94</v>
      </c>
      <c r="BP1808" s="16"/>
      <c r="BQ1808" s="16" t="b">
        <v>1</v>
      </c>
      <c r="BR1808" s="16">
        <v>159.94</v>
      </c>
      <c r="BS1808" s="16"/>
      <c r="BT1808" s="16"/>
      <c r="BU1808" s="16" t="s">
        <v>539</v>
      </c>
      <c r="BV1808" s="16"/>
      <c r="BW1808" s="16"/>
      <c r="BX1808" s="16"/>
    </row>
    <row r="1809">
      <c r="A1809" s="16">
        <v>11665.0</v>
      </c>
      <c r="B1809" s="16" t="s">
        <v>35</v>
      </c>
      <c r="C1809" s="201">
        <v>46000.0</v>
      </c>
      <c r="D1809" s="16" t="s">
        <v>7740</v>
      </c>
      <c r="E1809" s="16"/>
      <c r="F1809" s="16" t="s">
        <v>11015</v>
      </c>
      <c r="G1809" s="16" t="s">
        <v>9254</v>
      </c>
      <c r="H1809" s="16">
        <v>1.0</v>
      </c>
      <c r="I1809" s="16">
        <v>0.01</v>
      </c>
      <c r="J1809" s="16">
        <v>0.01</v>
      </c>
      <c r="K1809" s="16"/>
      <c r="L1809" s="16"/>
      <c r="M1809" s="16"/>
      <c r="N1809" s="16"/>
      <c r="O1809" s="16"/>
      <c r="P1809" s="16"/>
      <c r="Q1809" s="16"/>
      <c r="R1809" s="16"/>
      <c r="S1809" s="16"/>
      <c r="T1809" s="16"/>
      <c r="U1809" s="16"/>
      <c r="V1809" s="16"/>
      <c r="Z1809" s="16"/>
      <c r="AD1809" s="16"/>
      <c r="AH1809" s="16"/>
      <c r="AL1809" s="16"/>
      <c r="AP1809" s="16"/>
      <c r="AT1809" s="16"/>
      <c r="AX1809" s="16"/>
      <c r="BF1809" s="16"/>
      <c r="BJ1809" s="16"/>
      <c r="BN1809" s="16"/>
      <c r="BO1809" s="16">
        <v>0.01</v>
      </c>
      <c r="BP1809" s="16"/>
      <c r="BQ1809" s="16" t="b">
        <v>1</v>
      </c>
      <c r="BR1809" s="16">
        <v>0.01</v>
      </c>
      <c r="BS1809" s="16"/>
      <c r="BT1809" s="16"/>
      <c r="BU1809" s="16" t="s">
        <v>539</v>
      </c>
      <c r="BV1809" s="16"/>
      <c r="BW1809" s="16"/>
      <c r="BX1809" s="16"/>
    </row>
    <row r="1810">
      <c r="A1810" s="16">
        <v>11678.0</v>
      </c>
      <c r="B1810" s="16" t="s">
        <v>35</v>
      </c>
      <c r="C1810" s="201">
        <v>46000.0</v>
      </c>
      <c r="D1810" s="16" t="s">
        <v>10092</v>
      </c>
      <c r="E1810" s="16"/>
      <c r="F1810" s="16" t="s">
        <v>10093</v>
      </c>
      <c r="G1810" s="16" t="s">
        <v>8603</v>
      </c>
      <c r="H1810" s="16">
        <v>1.0</v>
      </c>
      <c r="I1810" s="16">
        <v>181.37</v>
      </c>
      <c r="J1810" s="16">
        <v>181.37</v>
      </c>
      <c r="K1810" s="16"/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Z1810" s="16"/>
      <c r="AD1810" s="16"/>
      <c r="AH1810" s="16"/>
      <c r="AL1810" s="16"/>
      <c r="AP1810" s="16"/>
      <c r="AT1810" s="16"/>
      <c r="AX1810" s="16"/>
      <c r="BF1810" s="16"/>
      <c r="BJ1810" s="16"/>
      <c r="BN1810" s="16"/>
      <c r="BO1810" s="16">
        <v>181.37</v>
      </c>
      <c r="BP1810" s="16"/>
      <c r="BQ1810" s="16" t="b">
        <v>1</v>
      </c>
      <c r="BR1810" s="16">
        <v>181.37</v>
      </c>
      <c r="BS1810" s="16"/>
      <c r="BT1810" s="16"/>
      <c r="BU1810" s="16" t="s">
        <v>539</v>
      </c>
      <c r="BV1810" s="16"/>
      <c r="BW1810" s="16"/>
      <c r="BX1810" s="16"/>
    </row>
    <row r="1811">
      <c r="A1811" s="16">
        <v>11679.0</v>
      </c>
      <c r="B1811" s="16" t="s">
        <v>35</v>
      </c>
      <c r="C1811" s="201">
        <v>46000.0</v>
      </c>
      <c r="D1811" s="16" t="s">
        <v>2280</v>
      </c>
      <c r="E1811" s="16"/>
      <c r="F1811" s="16" t="s">
        <v>10095</v>
      </c>
      <c r="G1811" s="16" t="s">
        <v>9257</v>
      </c>
      <c r="H1811" s="16">
        <v>1.0</v>
      </c>
      <c r="I1811" s="16">
        <v>922.29</v>
      </c>
      <c r="J1811" s="16">
        <v>922.29</v>
      </c>
      <c r="K1811" s="16"/>
      <c r="L1811" s="16"/>
      <c r="M1811" s="16"/>
      <c r="N1811" s="16"/>
      <c r="O1811" s="16"/>
      <c r="P1811" s="16"/>
      <c r="Q1811" s="16"/>
      <c r="R1811" s="16"/>
      <c r="S1811" s="16"/>
      <c r="T1811" s="16"/>
      <c r="U1811" s="16"/>
      <c r="V1811" s="16"/>
      <c r="Z1811" s="16"/>
      <c r="AD1811" s="16"/>
      <c r="AH1811" s="16"/>
      <c r="AL1811" s="16"/>
      <c r="AP1811" s="16"/>
      <c r="AT1811" s="16"/>
      <c r="AX1811" s="16"/>
      <c r="BF1811" s="16"/>
      <c r="BJ1811" s="16"/>
      <c r="BN1811" s="16"/>
      <c r="BO1811" s="16">
        <v>922.29</v>
      </c>
      <c r="BP1811" s="16"/>
      <c r="BQ1811" s="16" t="b">
        <v>1</v>
      </c>
      <c r="BR1811" s="16">
        <v>922.29</v>
      </c>
      <c r="BS1811" s="16"/>
      <c r="BT1811" s="16"/>
      <c r="BU1811" s="16" t="s">
        <v>539</v>
      </c>
      <c r="BV1811" s="16"/>
      <c r="BW1811" s="16"/>
      <c r="BX1811" s="16"/>
    </row>
    <row r="1812">
      <c r="A1812" s="16">
        <v>11680.0</v>
      </c>
      <c r="B1812" s="16" t="s">
        <v>35</v>
      </c>
      <c r="C1812" s="201">
        <v>46000.0</v>
      </c>
      <c r="D1812" s="16" t="s">
        <v>2248</v>
      </c>
      <c r="E1812" s="16"/>
      <c r="F1812" s="16" t="s">
        <v>8055</v>
      </c>
      <c r="G1812" s="16" t="s">
        <v>3218</v>
      </c>
      <c r="H1812" s="16">
        <v>1.0</v>
      </c>
      <c r="I1812" s="16">
        <v>185.0</v>
      </c>
      <c r="J1812" s="16">
        <v>185.0</v>
      </c>
      <c r="K1812" s="16"/>
      <c r="L1812" s="16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Z1812" s="16"/>
      <c r="AD1812" s="16"/>
      <c r="AH1812" s="16"/>
      <c r="AL1812" s="16"/>
      <c r="AP1812" s="16"/>
      <c r="AT1812" s="16"/>
      <c r="AX1812" s="16"/>
      <c r="BF1812" s="16"/>
      <c r="BJ1812" s="16"/>
      <c r="BN1812" s="16"/>
      <c r="BO1812" s="16">
        <v>185.0</v>
      </c>
      <c r="BP1812" s="16"/>
      <c r="BQ1812" s="16" t="b">
        <v>1</v>
      </c>
      <c r="BR1812" s="16">
        <v>185.0</v>
      </c>
      <c r="BS1812" s="16"/>
      <c r="BT1812" s="16"/>
      <c r="BU1812" s="16" t="s">
        <v>539</v>
      </c>
      <c r="BV1812" s="16"/>
      <c r="BW1812" s="16"/>
      <c r="BX1812" s="16"/>
    </row>
    <row r="1813">
      <c r="A1813" s="16" t="s">
        <v>9261</v>
      </c>
      <c r="B1813" s="16" t="s">
        <v>35</v>
      </c>
      <c r="C1813" s="201">
        <v>46000.0</v>
      </c>
      <c r="D1813" s="16" t="s">
        <v>1160</v>
      </c>
      <c r="E1813" s="16"/>
      <c r="F1813" s="16" t="s">
        <v>11029</v>
      </c>
      <c r="G1813" s="16">
        <v>7.9792017E7</v>
      </c>
      <c r="H1813" s="16">
        <v>1.0</v>
      </c>
      <c r="I1813" s="16">
        <v>6972.21</v>
      </c>
      <c r="J1813" s="16">
        <v>6972.21</v>
      </c>
      <c r="K1813" s="16"/>
      <c r="L1813" s="16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Z1813" s="16"/>
      <c r="AD1813" s="16"/>
      <c r="AH1813" s="16"/>
      <c r="AL1813" s="16"/>
      <c r="AP1813" s="16"/>
      <c r="AT1813" s="16"/>
      <c r="AX1813" s="16"/>
      <c r="BF1813" s="16"/>
      <c r="BJ1813" s="16"/>
      <c r="BN1813" s="16"/>
      <c r="BO1813" s="16">
        <v>6972.21</v>
      </c>
      <c r="BP1813" s="16"/>
      <c r="BQ1813" s="16" t="b">
        <v>1</v>
      </c>
      <c r="BR1813" s="16">
        <v>6972.21</v>
      </c>
      <c r="BS1813" s="16"/>
      <c r="BT1813" s="16"/>
      <c r="BU1813" s="16" t="s">
        <v>539</v>
      </c>
      <c r="BV1813" s="16"/>
      <c r="BW1813" s="16"/>
      <c r="BX1813" s="16"/>
    </row>
    <row r="1814">
      <c r="A1814" s="16" t="s">
        <v>9263</v>
      </c>
      <c r="B1814" s="16" t="s">
        <v>35</v>
      </c>
      <c r="C1814" s="201">
        <v>46000.0</v>
      </c>
      <c r="D1814" s="16" t="s">
        <v>3516</v>
      </c>
      <c r="E1814" s="16"/>
      <c r="F1814" s="16" t="s">
        <v>4023</v>
      </c>
      <c r="G1814" s="16" t="s">
        <v>9264</v>
      </c>
      <c r="H1814" s="16">
        <v>1.0</v>
      </c>
      <c r="I1814" s="16">
        <v>950.0</v>
      </c>
      <c r="J1814" s="16">
        <v>950.0</v>
      </c>
      <c r="K1814" s="16"/>
      <c r="L1814" s="16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Z1814" s="16"/>
      <c r="AD1814" s="16"/>
      <c r="AH1814" s="16"/>
      <c r="AL1814" s="16"/>
      <c r="AP1814" s="16"/>
      <c r="AT1814" s="16"/>
      <c r="AX1814" s="16"/>
      <c r="BF1814" s="16"/>
      <c r="BJ1814" s="16"/>
      <c r="BN1814" s="16"/>
      <c r="BO1814" s="16">
        <v>950.0</v>
      </c>
      <c r="BP1814" s="16"/>
      <c r="BQ1814" s="16" t="b">
        <v>1</v>
      </c>
      <c r="BR1814" s="16">
        <v>950.0</v>
      </c>
      <c r="BS1814" s="16"/>
      <c r="BT1814" s="16"/>
      <c r="BU1814" s="16" t="s">
        <v>539</v>
      </c>
      <c r="BV1814" s="16"/>
      <c r="BW1814" s="16"/>
      <c r="BX1814" s="16"/>
    </row>
    <row r="1815">
      <c r="A1815" s="16" t="s">
        <v>9267</v>
      </c>
      <c r="B1815" s="16" t="s">
        <v>35</v>
      </c>
      <c r="C1815" s="201">
        <v>46000.0</v>
      </c>
      <c r="D1815" s="16" t="s">
        <v>890</v>
      </c>
      <c r="E1815" s="16"/>
      <c r="F1815" s="16" t="s">
        <v>11036</v>
      </c>
      <c r="G1815" s="16" t="s">
        <v>3833</v>
      </c>
      <c r="H1815" s="16">
        <v>1.0</v>
      </c>
      <c r="I1815" s="16">
        <v>13868.09</v>
      </c>
      <c r="J1815" s="16">
        <v>13868.09</v>
      </c>
      <c r="K1815" s="16"/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Z1815" s="16"/>
      <c r="AD1815" s="16"/>
      <c r="AH1815" s="16"/>
      <c r="AL1815" s="16"/>
      <c r="AP1815" s="16"/>
      <c r="AT1815" s="16"/>
      <c r="AX1815" s="16"/>
      <c r="BF1815" s="16"/>
      <c r="BJ1815" s="16"/>
      <c r="BN1815" s="16"/>
      <c r="BO1815" s="16">
        <v>13868.09</v>
      </c>
      <c r="BP1815" s="16"/>
      <c r="BQ1815" s="16" t="b">
        <v>1</v>
      </c>
      <c r="BR1815" s="16">
        <v>13868.09</v>
      </c>
      <c r="BS1815" s="16"/>
      <c r="BT1815" s="16"/>
      <c r="BU1815" s="16" t="s">
        <v>539</v>
      </c>
      <c r="BV1815" s="16"/>
      <c r="BW1815" s="16"/>
      <c r="BX1815" s="16"/>
    </row>
    <row r="1816">
      <c r="A1816" s="16" t="s">
        <v>9269</v>
      </c>
      <c r="B1816" s="16" t="s">
        <v>35</v>
      </c>
      <c r="C1816" s="201">
        <v>46000.0</v>
      </c>
      <c r="D1816" s="16" t="s">
        <v>890</v>
      </c>
      <c r="E1816" s="16"/>
      <c r="F1816" s="16" t="s">
        <v>11040</v>
      </c>
      <c r="G1816" s="16" t="s">
        <v>3833</v>
      </c>
      <c r="H1816" s="16">
        <v>1.0</v>
      </c>
      <c r="I1816" s="16">
        <v>159.94</v>
      </c>
      <c r="J1816" s="16">
        <v>159.94</v>
      </c>
      <c r="K1816" s="16"/>
      <c r="L1816" s="16"/>
      <c r="M1816" s="16"/>
      <c r="N1816" s="16"/>
      <c r="O1816" s="16"/>
      <c r="P1816" s="16"/>
      <c r="Q1816" s="16"/>
      <c r="R1816" s="16"/>
      <c r="S1816" s="16"/>
      <c r="T1816" s="16"/>
      <c r="U1816" s="16"/>
      <c r="V1816" s="16"/>
      <c r="Z1816" s="16"/>
      <c r="AD1816" s="16"/>
      <c r="AH1816" s="16"/>
      <c r="AL1816" s="16"/>
      <c r="AP1816" s="16"/>
      <c r="AT1816" s="16"/>
      <c r="AX1816" s="16"/>
      <c r="BF1816" s="16"/>
      <c r="BJ1816" s="16"/>
      <c r="BN1816" s="16"/>
      <c r="BO1816" s="16">
        <v>159.94</v>
      </c>
      <c r="BP1816" s="16"/>
      <c r="BQ1816" s="16" t="b">
        <v>1</v>
      </c>
      <c r="BR1816" s="16">
        <v>159.94</v>
      </c>
      <c r="BS1816" s="16"/>
      <c r="BT1816" s="16"/>
      <c r="BU1816" s="16" t="s">
        <v>539</v>
      </c>
      <c r="BV1816" s="16"/>
      <c r="BW1816" s="16"/>
      <c r="BX1816" s="16"/>
    </row>
    <row r="1817">
      <c r="A1817" s="16" t="s">
        <v>9271</v>
      </c>
      <c r="B1817" s="16" t="s">
        <v>35</v>
      </c>
      <c r="C1817" s="201">
        <v>46000.0</v>
      </c>
      <c r="D1817" s="16" t="s">
        <v>193</v>
      </c>
      <c r="E1817" s="16" t="s">
        <v>11043</v>
      </c>
      <c r="F1817" s="16" t="s">
        <v>195</v>
      </c>
      <c r="G1817" s="16" t="s">
        <v>338</v>
      </c>
      <c r="H1817" s="16">
        <v>4.0</v>
      </c>
      <c r="I1817" s="16">
        <v>29.56</v>
      </c>
      <c r="J1817" s="16">
        <v>118.24</v>
      </c>
      <c r="K1817" s="16" t="s">
        <v>9274</v>
      </c>
      <c r="L1817" s="16">
        <v>1.0</v>
      </c>
      <c r="M1817" s="16">
        <v>32.13</v>
      </c>
      <c r="N1817" s="16">
        <v>32.13</v>
      </c>
      <c r="O1817" s="16" t="s">
        <v>335</v>
      </c>
      <c r="P1817" s="16">
        <v>2.0</v>
      </c>
      <c r="Q1817" s="16">
        <v>47.04</v>
      </c>
      <c r="R1817" s="16">
        <v>94.08</v>
      </c>
      <c r="S1817" s="16" t="s">
        <v>7086</v>
      </c>
      <c r="T1817" s="16">
        <v>9.0</v>
      </c>
      <c r="U1817" s="16">
        <v>33.96</v>
      </c>
      <c r="V1817" s="16">
        <v>305.64</v>
      </c>
      <c r="Z1817" s="16">
        <v>0.0</v>
      </c>
      <c r="AD1817" s="16">
        <v>0.0</v>
      </c>
      <c r="AH1817" s="16">
        <v>0.0</v>
      </c>
      <c r="AL1817" s="16">
        <v>0.0</v>
      </c>
      <c r="AP1817" s="16">
        <v>0.0</v>
      </c>
      <c r="AT1817" s="16">
        <v>0.0</v>
      </c>
      <c r="AX1817" s="16">
        <v>0.0</v>
      </c>
      <c r="BF1817" s="16">
        <v>0.0</v>
      </c>
      <c r="BJ1817" s="16">
        <v>0.0</v>
      </c>
      <c r="BN1817" s="16">
        <v>0.0</v>
      </c>
      <c r="BO1817" s="16">
        <v>550.09</v>
      </c>
      <c r="BP1817" s="16" t="s">
        <v>11045</v>
      </c>
      <c r="BQ1817" s="16" t="b">
        <v>1</v>
      </c>
      <c r="BR1817" s="16">
        <v>488.0</v>
      </c>
      <c r="BS1817" s="16"/>
      <c r="BT1817" s="16" t="b">
        <v>0</v>
      </c>
      <c r="BU1817" s="16" t="s">
        <v>546</v>
      </c>
      <c r="BV1817" s="16"/>
      <c r="BW1817" s="16" t="s">
        <v>11047</v>
      </c>
      <c r="BX1817" s="16"/>
    </row>
    <row r="1818">
      <c r="A1818" s="16" t="s">
        <v>9279</v>
      </c>
      <c r="B1818" s="16" t="s">
        <v>35</v>
      </c>
      <c r="C1818" s="201">
        <v>46001.0</v>
      </c>
      <c r="D1818" s="21" t="s">
        <v>12869</v>
      </c>
      <c r="E1818" s="16" t="s">
        <v>11049</v>
      </c>
      <c r="F1818" s="16" t="s">
        <v>5885</v>
      </c>
      <c r="G1818" s="16" t="s">
        <v>1022</v>
      </c>
      <c r="H1818" s="16">
        <v>1.0</v>
      </c>
      <c r="I1818" s="16">
        <v>130.0</v>
      </c>
      <c r="J1818" s="16">
        <v>130.0</v>
      </c>
      <c r="K1818" s="16"/>
      <c r="L1818" s="16"/>
      <c r="M1818" s="16"/>
      <c r="N1818" s="16">
        <v>0.0</v>
      </c>
      <c r="O1818" s="16"/>
      <c r="P1818" s="16"/>
      <c r="Q1818" s="16"/>
      <c r="R1818" s="16">
        <v>0.0</v>
      </c>
      <c r="S1818" s="16"/>
      <c r="T1818" s="16"/>
      <c r="U1818" s="16"/>
      <c r="V1818" s="16">
        <v>0.0</v>
      </c>
      <c r="Z1818" s="16">
        <v>0.0</v>
      </c>
      <c r="AD1818" s="16">
        <v>0.0</v>
      </c>
      <c r="AH1818" s="16">
        <v>0.0</v>
      </c>
      <c r="AL1818" s="16">
        <v>0.0</v>
      </c>
      <c r="AP1818" s="16">
        <v>0.0</v>
      </c>
      <c r="AT1818" s="16">
        <v>0.0</v>
      </c>
      <c r="AX1818" s="16">
        <v>0.0</v>
      </c>
      <c r="BF1818" s="16">
        <v>0.0</v>
      </c>
      <c r="BJ1818" s="16">
        <v>0.0</v>
      </c>
      <c r="BN1818" s="16">
        <v>0.0</v>
      </c>
      <c r="BO1818" s="16">
        <v>130.0</v>
      </c>
      <c r="BP1818" s="16" t="s">
        <v>11051</v>
      </c>
      <c r="BQ1818" s="16" t="b">
        <v>1</v>
      </c>
      <c r="BR1818" s="16">
        <v>130.0</v>
      </c>
      <c r="BS1818" s="21" t="s">
        <v>13756</v>
      </c>
      <c r="BT1818" s="16" t="b">
        <v>1</v>
      </c>
      <c r="BU1818" s="16" t="s">
        <v>546</v>
      </c>
      <c r="BV1818" s="16"/>
      <c r="BW1818" s="16"/>
      <c r="BX1818" s="16"/>
    </row>
    <row r="1819">
      <c r="A1819" s="16" t="s">
        <v>9281</v>
      </c>
      <c r="B1819" s="16" t="s">
        <v>35</v>
      </c>
      <c r="C1819" s="201">
        <v>46001.0</v>
      </c>
      <c r="D1819" s="16" t="s">
        <v>7890</v>
      </c>
      <c r="E1819" s="16" t="s">
        <v>11055</v>
      </c>
      <c r="F1819" s="16" t="s">
        <v>11058</v>
      </c>
      <c r="G1819" s="16" t="s">
        <v>1904</v>
      </c>
      <c r="H1819" s="16">
        <v>1.0</v>
      </c>
      <c r="I1819" s="16">
        <v>14.0</v>
      </c>
      <c r="J1819" s="16">
        <v>14.0</v>
      </c>
      <c r="K1819" s="16"/>
      <c r="L1819" s="16"/>
      <c r="M1819" s="16"/>
      <c r="N1819" s="16">
        <v>0.0</v>
      </c>
      <c r="O1819" s="16"/>
      <c r="P1819" s="16"/>
      <c r="Q1819" s="16"/>
      <c r="R1819" s="16">
        <v>0.0</v>
      </c>
      <c r="S1819" s="16"/>
      <c r="T1819" s="16"/>
      <c r="U1819" s="16"/>
      <c r="V1819" s="16">
        <v>0.0</v>
      </c>
      <c r="Z1819" s="16">
        <v>0.0</v>
      </c>
      <c r="AD1819" s="16">
        <v>0.0</v>
      </c>
      <c r="AH1819" s="16">
        <v>0.0</v>
      </c>
      <c r="AL1819" s="16">
        <v>0.0</v>
      </c>
      <c r="AP1819" s="16">
        <v>0.0</v>
      </c>
      <c r="AT1819" s="16">
        <v>0.0</v>
      </c>
      <c r="AX1819" s="16">
        <v>0.0</v>
      </c>
      <c r="BF1819" s="16">
        <v>0.0</v>
      </c>
      <c r="BJ1819" s="16">
        <v>0.0</v>
      </c>
      <c r="BN1819" s="16">
        <v>0.0</v>
      </c>
      <c r="BO1819" s="16">
        <v>14.0</v>
      </c>
      <c r="BP1819" s="16" t="s">
        <v>11056</v>
      </c>
      <c r="BQ1819" s="16" t="b">
        <v>1</v>
      </c>
      <c r="BR1819" s="16">
        <v>14.0</v>
      </c>
      <c r="BS1819" s="21" t="s">
        <v>13759</v>
      </c>
      <c r="BT1819" s="16" t="b">
        <v>1</v>
      </c>
      <c r="BU1819" s="16" t="s">
        <v>546</v>
      </c>
      <c r="BV1819" s="16"/>
      <c r="BW1819" s="16"/>
      <c r="BX1819" s="16"/>
    </row>
    <row r="1820">
      <c r="A1820" s="16" t="s">
        <v>9283</v>
      </c>
      <c r="B1820" s="16" t="s">
        <v>35</v>
      </c>
      <c r="C1820" s="201">
        <v>46000.0</v>
      </c>
      <c r="D1820" s="16" t="s">
        <v>9260</v>
      </c>
      <c r="E1820" s="16" t="s">
        <v>11062</v>
      </c>
      <c r="F1820" s="16" t="s">
        <v>2894</v>
      </c>
      <c r="G1820" s="16" t="s">
        <v>1510</v>
      </c>
      <c r="H1820" s="16">
        <v>1.0</v>
      </c>
      <c r="I1820" s="16">
        <v>20090.34</v>
      </c>
      <c r="J1820" s="16">
        <v>20090.34</v>
      </c>
      <c r="K1820" s="16"/>
      <c r="L1820" s="16"/>
      <c r="M1820" s="16"/>
      <c r="N1820" s="16">
        <v>0.0</v>
      </c>
      <c r="O1820" s="16"/>
      <c r="P1820" s="16"/>
      <c r="Q1820" s="16"/>
      <c r="R1820" s="16">
        <v>0.0</v>
      </c>
      <c r="S1820" s="16"/>
      <c r="T1820" s="16"/>
      <c r="U1820" s="16"/>
      <c r="V1820" s="16">
        <v>0.0</v>
      </c>
      <c r="Z1820" s="16">
        <v>0.0</v>
      </c>
      <c r="AD1820" s="16">
        <v>0.0</v>
      </c>
      <c r="AH1820" s="16">
        <v>0.0</v>
      </c>
      <c r="AL1820" s="16">
        <v>0.0</v>
      </c>
      <c r="AP1820" s="16">
        <v>0.0</v>
      </c>
      <c r="AT1820" s="16">
        <v>0.0</v>
      </c>
      <c r="AX1820" s="16">
        <v>0.0</v>
      </c>
      <c r="BF1820" s="16">
        <v>0.0</v>
      </c>
      <c r="BJ1820" s="16">
        <v>0.0</v>
      </c>
      <c r="BN1820" s="16">
        <v>0.0</v>
      </c>
      <c r="BO1820" s="16">
        <v>20090.34</v>
      </c>
      <c r="BP1820" s="16" t="s">
        <v>11063</v>
      </c>
      <c r="BQ1820" s="16" t="b">
        <v>1</v>
      </c>
      <c r="BR1820" s="16">
        <v>20090.34</v>
      </c>
      <c r="BS1820" s="16"/>
      <c r="BT1820" s="16" t="b">
        <v>0</v>
      </c>
      <c r="BU1820" s="16" t="s">
        <v>546</v>
      </c>
      <c r="BV1820" s="16"/>
      <c r="BW1820" s="16" t="s">
        <v>11065</v>
      </c>
      <c r="BX1820" s="16"/>
    </row>
    <row r="1821">
      <c r="A1821" s="16" t="s">
        <v>9285</v>
      </c>
      <c r="B1821" s="16" t="s">
        <v>35</v>
      </c>
      <c r="C1821" s="201">
        <v>45992.0</v>
      </c>
      <c r="D1821" s="16" t="s">
        <v>1036</v>
      </c>
      <c r="E1821" s="16" t="s">
        <v>11067</v>
      </c>
      <c r="F1821" s="16" t="s">
        <v>10756</v>
      </c>
      <c r="G1821" s="16" t="s">
        <v>1668</v>
      </c>
      <c r="H1821" s="16">
        <v>1.0</v>
      </c>
      <c r="I1821" s="16">
        <v>124.16</v>
      </c>
      <c r="J1821" s="16">
        <v>124.16</v>
      </c>
      <c r="K1821" s="16"/>
      <c r="L1821" s="16"/>
      <c r="M1821" s="16"/>
      <c r="N1821" s="16">
        <v>0.0</v>
      </c>
      <c r="O1821" s="16"/>
      <c r="P1821" s="16"/>
      <c r="Q1821" s="16"/>
      <c r="R1821" s="16">
        <v>0.0</v>
      </c>
      <c r="S1821" s="16"/>
      <c r="T1821" s="16"/>
      <c r="U1821" s="16"/>
      <c r="V1821" s="16">
        <v>0.0</v>
      </c>
      <c r="Z1821" s="16">
        <v>0.0</v>
      </c>
      <c r="AD1821" s="16">
        <v>0.0</v>
      </c>
      <c r="AH1821" s="16">
        <v>0.0</v>
      </c>
      <c r="AL1821" s="16">
        <v>0.0</v>
      </c>
      <c r="AP1821" s="16">
        <v>0.0</v>
      </c>
      <c r="AT1821" s="16">
        <v>0.0</v>
      </c>
      <c r="AX1821" s="16">
        <v>0.0</v>
      </c>
      <c r="BF1821" s="16">
        <v>0.0</v>
      </c>
      <c r="BJ1821" s="16">
        <v>0.0</v>
      </c>
      <c r="BN1821" s="16">
        <v>0.0</v>
      </c>
      <c r="BO1821" s="16">
        <v>124.16</v>
      </c>
      <c r="BP1821" s="16" t="s">
        <v>11069</v>
      </c>
      <c r="BQ1821" s="16" t="b">
        <v>1</v>
      </c>
      <c r="BR1821" s="16">
        <v>124.16</v>
      </c>
      <c r="BS1821" s="16"/>
      <c r="BT1821" s="16" t="b">
        <v>0</v>
      </c>
      <c r="BU1821" s="16" t="s">
        <v>546</v>
      </c>
      <c r="BV1821" s="16"/>
      <c r="BW1821" s="16"/>
      <c r="BX1821" s="16"/>
    </row>
    <row r="1822">
      <c r="A1822" s="16" t="s">
        <v>9287</v>
      </c>
      <c r="B1822" s="16" t="s">
        <v>35</v>
      </c>
      <c r="C1822" s="201">
        <v>46001.0</v>
      </c>
      <c r="D1822" s="16"/>
      <c r="E1822" s="16"/>
      <c r="F1822" s="16" t="s">
        <v>11074</v>
      </c>
      <c r="G1822" s="16" t="s">
        <v>1054</v>
      </c>
      <c r="H1822" s="16">
        <v>1.0</v>
      </c>
      <c r="I1822" s="16">
        <v>2375.99</v>
      </c>
      <c r="J1822" s="16">
        <v>2375.99</v>
      </c>
      <c r="K1822" s="16"/>
      <c r="L1822" s="16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Z1822" s="16"/>
      <c r="AD1822" s="16"/>
      <c r="AH1822" s="16"/>
      <c r="AL1822" s="16"/>
      <c r="AP1822" s="16"/>
      <c r="AT1822" s="16"/>
      <c r="AX1822" s="16"/>
      <c r="BF1822" s="16"/>
      <c r="BJ1822" s="16"/>
      <c r="BN1822" s="16"/>
      <c r="BO1822" s="16">
        <v>2375.99</v>
      </c>
      <c r="BP1822" s="16"/>
      <c r="BQ1822" s="16" t="b">
        <v>1</v>
      </c>
      <c r="BR1822" s="16">
        <v>2375.99</v>
      </c>
      <c r="BS1822" s="16"/>
      <c r="BT1822" s="16"/>
      <c r="BU1822" s="16" t="s">
        <v>539</v>
      </c>
      <c r="BV1822" s="16" t="s">
        <v>3795</v>
      </c>
      <c r="BW1822" s="16"/>
      <c r="BX1822" s="16"/>
    </row>
    <row r="1823">
      <c r="A1823" s="16" t="s">
        <v>9289</v>
      </c>
      <c r="B1823" s="16" t="s">
        <v>35</v>
      </c>
      <c r="C1823" s="201">
        <v>45994.0</v>
      </c>
      <c r="D1823" s="16" t="s">
        <v>11078</v>
      </c>
      <c r="E1823" s="16" t="s">
        <v>11079</v>
      </c>
      <c r="F1823" s="16" t="s">
        <v>11082</v>
      </c>
      <c r="G1823" s="16" t="s">
        <v>9290</v>
      </c>
      <c r="H1823" s="16">
        <v>1.0</v>
      </c>
      <c r="I1823" s="16">
        <v>150.0</v>
      </c>
      <c r="J1823" s="16">
        <v>150.0</v>
      </c>
      <c r="K1823" s="16"/>
      <c r="L1823" s="16"/>
      <c r="M1823" s="16"/>
      <c r="N1823" s="16">
        <v>0.0</v>
      </c>
      <c r="O1823" s="16"/>
      <c r="P1823" s="16"/>
      <c r="Q1823" s="16"/>
      <c r="R1823" s="16">
        <v>0.0</v>
      </c>
      <c r="S1823" s="16"/>
      <c r="T1823" s="16"/>
      <c r="U1823" s="16"/>
      <c r="V1823" s="16">
        <v>0.0</v>
      </c>
      <c r="Z1823" s="16">
        <v>0.0</v>
      </c>
      <c r="AD1823" s="16">
        <v>0.0</v>
      </c>
      <c r="AH1823" s="16">
        <v>0.0</v>
      </c>
      <c r="AL1823" s="16">
        <v>0.0</v>
      </c>
      <c r="AP1823" s="16">
        <v>0.0</v>
      </c>
      <c r="AT1823" s="16">
        <v>0.0</v>
      </c>
      <c r="AX1823" s="16">
        <v>0.0</v>
      </c>
      <c r="BF1823" s="16">
        <v>0.0</v>
      </c>
      <c r="BJ1823" s="16">
        <v>0.0</v>
      </c>
      <c r="BN1823" s="16">
        <v>0.0</v>
      </c>
      <c r="BO1823" s="16">
        <v>150.0</v>
      </c>
      <c r="BP1823" s="16" t="s">
        <v>11081</v>
      </c>
      <c r="BQ1823" s="16" t="b">
        <v>1</v>
      </c>
      <c r="BR1823" s="16">
        <v>150.0</v>
      </c>
      <c r="BS1823" s="21" t="s">
        <v>13766</v>
      </c>
      <c r="BT1823" s="16" t="b">
        <v>1</v>
      </c>
      <c r="BU1823" s="16" t="s">
        <v>546</v>
      </c>
      <c r="BV1823" s="16"/>
      <c r="BW1823" s="16"/>
      <c r="BX1823" s="16"/>
    </row>
    <row r="1824">
      <c r="A1824" s="16" t="s">
        <v>9292</v>
      </c>
      <c r="B1824" s="16" t="s">
        <v>35</v>
      </c>
      <c r="C1824" s="201">
        <v>46002.0</v>
      </c>
      <c r="D1824" s="16" t="s">
        <v>11086</v>
      </c>
      <c r="E1824" s="16" t="s">
        <v>11087</v>
      </c>
      <c r="F1824" s="16" t="s">
        <v>11090</v>
      </c>
      <c r="G1824" s="16" t="s">
        <v>2725</v>
      </c>
      <c r="H1824" s="16">
        <v>1.0</v>
      </c>
      <c r="I1824" s="16">
        <v>48.74</v>
      </c>
      <c r="J1824" s="16">
        <v>48.74</v>
      </c>
      <c r="K1824" s="16"/>
      <c r="L1824" s="16"/>
      <c r="M1824" s="16"/>
      <c r="N1824" s="16">
        <v>0.0</v>
      </c>
      <c r="O1824" s="16"/>
      <c r="P1824" s="16"/>
      <c r="Q1824" s="16"/>
      <c r="R1824" s="16">
        <v>0.0</v>
      </c>
      <c r="S1824" s="16"/>
      <c r="T1824" s="16"/>
      <c r="U1824" s="16"/>
      <c r="V1824" s="16">
        <v>0.0</v>
      </c>
      <c r="Z1824" s="16">
        <v>0.0</v>
      </c>
      <c r="AD1824" s="16">
        <v>0.0</v>
      </c>
      <c r="AH1824" s="16">
        <v>0.0</v>
      </c>
      <c r="AL1824" s="16">
        <v>0.0</v>
      </c>
      <c r="AP1824" s="16">
        <v>0.0</v>
      </c>
      <c r="AT1824" s="16">
        <v>0.0</v>
      </c>
      <c r="AX1824" s="16">
        <v>0.0</v>
      </c>
      <c r="BF1824" s="16">
        <v>0.0</v>
      </c>
      <c r="BJ1824" s="16">
        <v>0.0</v>
      </c>
      <c r="BN1824" s="16">
        <v>0.0</v>
      </c>
      <c r="BO1824" s="16">
        <v>48.74</v>
      </c>
      <c r="BP1824" s="16" t="s">
        <v>11088</v>
      </c>
      <c r="BQ1824" s="16" t="b">
        <v>1</v>
      </c>
      <c r="BR1824" s="16">
        <v>48.74</v>
      </c>
      <c r="BS1824" s="21" t="s">
        <v>13768</v>
      </c>
      <c r="BT1824" s="16" t="b">
        <v>1</v>
      </c>
      <c r="BU1824" s="16" t="s">
        <v>546</v>
      </c>
      <c r="BV1824" s="16"/>
      <c r="BW1824" s="16"/>
      <c r="BX1824" s="16"/>
    </row>
    <row r="1825">
      <c r="A1825" s="16" t="s">
        <v>9295</v>
      </c>
      <c r="B1825" s="16" t="s">
        <v>35</v>
      </c>
      <c r="C1825" s="201">
        <v>46003.0</v>
      </c>
      <c r="D1825" s="21" t="s">
        <v>12789</v>
      </c>
      <c r="E1825" s="16" t="s">
        <v>11094</v>
      </c>
      <c r="F1825" s="16" t="s">
        <v>4248</v>
      </c>
      <c r="G1825" s="16" t="s">
        <v>305</v>
      </c>
      <c r="H1825" s="16">
        <v>1.0</v>
      </c>
      <c r="I1825" s="16">
        <v>68.07</v>
      </c>
      <c r="J1825" s="16">
        <v>68.07</v>
      </c>
      <c r="K1825" s="16"/>
      <c r="L1825" s="16"/>
      <c r="M1825" s="16"/>
      <c r="N1825" s="16">
        <v>0.0</v>
      </c>
      <c r="O1825" s="16"/>
      <c r="P1825" s="16"/>
      <c r="Q1825" s="16"/>
      <c r="R1825" s="16">
        <v>0.0</v>
      </c>
      <c r="S1825" s="16"/>
      <c r="T1825" s="16"/>
      <c r="U1825" s="16"/>
      <c r="V1825" s="16">
        <v>0.0</v>
      </c>
      <c r="Z1825" s="16">
        <v>0.0</v>
      </c>
      <c r="AD1825" s="16">
        <v>0.0</v>
      </c>
      <c r="AH1825" s="16">
        <v>0.0</v>
      </c>
      <c r="AL1825" s="16">
        <v>0.0</v>
      </c>
      <c r="AP1825" s="16">
        <v>0.0</v>
      </c>
      <c r="AT1825" s="16">
        <v>0.0</v>
      </c>
      <c r="AX1825" s="16">
        <v>0.0</v>
      </c>
      <c r="BF1825" s="16">
        <v>0.0</v>
      </c>
      <c r="BJ1825" s="16">
        <v>0.0</v>
      </c>
      <c r="BN1825" s="16">
        <v>0.0</v>
      </c>
      <c r="BO1825" s="16">
        <v>68.07</v>
      </c>
      <c r="BP1825" s="16" t="s">
        <v>11095</v>
      </c>
      <c r="BQ1825" s="16" t="b">
        <v>1</v>
      </c>
      <c r="BR1825" s="16">
        <v>68.07</v>
      </c>
      <c r="BS1825" s="21" t="s">
        <v>13770</v>
      </c>
      <c r="BT1825" s="16" t="b">
        <v>1</v>
      </c>
      <c r="BU1825" s="16" t="s">
        <v>546</v>
      </c>
      <c r="BV1825" s="16"/>
      <c r="BW1825" s="16"/>
      <c r="BX1825" s="16"/>
    </row>
    <row r="1826">
      <c r="A1826" s="16" t="s">
        <v>9297</v>
      </c>
      <c r="B1826" s="16" t="s">
        <v>35</v>
      </c>
      <c r="C1826" s="201">
        <v>46002.0</v>
      </c>
      <c r="D1826" s="16" t="s">
        <v>11086</v>
      </c>
      <c r="E1826" s="16" t="s">
        <v>11098</v>
      </c>
      <c r="F1826" s="16" t="s">
        <v>11101</v>
      </c>
      <c r="G1826" s="16" t="s">
        <v>2725</v>
      </c>
      <c r="H1826" s="16">
        <v>1.0</v>
      </c>
      <c r="I1826" s="16">
        <v>22.73</v>
      </c>
      <c r="J1826" s="16">
        <v>22.73</v>
      </c>
      <c r="K1826" s="16"/>
      <c r="L1826" s="16"/>
      <c r="M1826" s="16"/>
      <c r="N1826" s="16">
        <v>0.0</v>
      </c>
      <c r="O1826" s="16"/>
      <c r="P1826" s="16"/>
      <c r="Q1826" s="16"/>
      <c r="R1826" s="16">
        <v>0.0</v>
      </c>
      <c r="S1826" s="16"/>
      <c r="T1826" s="16"/>
      <c r="U1826" s="16"/>
      <c r="V1826" s="16">
        <v>0.0</v>
      </c>
      <c r="Z1826" s="16">
        <v>0.0</v>
      </c>
      <c r="AD1826" s="16">
        <v>0.0</v>
      </c>
      <c r="AH1826" s="16">
        <v>0.0</v>
      </c>
      <c r="AL1826" s="16">
        <v>0.0</v>
      </c>
      <c r="AP1826" s="16">
        <v>0.0</v>
      </c>
      <c r="AT1826" s="16">
        <v>0.0</v>
      </c>
      <c r="AX1826" s="16">
        <v>0.0</v>
      </c>
      <c r="BF1826" s="16">
        <v>0.0</v>
      </c>
      <c r="BJ1826" s="16">
        <v>0.0</v>
      </c>
      <c r="BN1826" s="16">
        <v>0.0</v>
      </c>
      <c r="BO1826" s="16">
        <v>22.73</v>
      </c>
      <c r="BP1826" s="16" t="s">
        <v>11100</v>
      </c>
      <c r="BQ1826" s="16" t="b">
        <v>1</v>
      </c>
      <c r="BR1826" s="16">
        <v>22.73</v>
      </c>
      <c r="BS1826" s="21" t="s">
        <v>13771</v>
      </c>
      <c r="BT1826" s="16" t="b">
        <v>1</v>
      </c>
      <c r="BU1826" s="16" t="s">
        <v>546</v>
      </c>
      <c r="BV1826" s="16"/>
      <c r="BW1826" s="16"/>
      <c r="BX1826" s="16"/>
    </row>
    <row r="1827">
      <c r="A1827" s="16" t="s">
        <v>9299</v>
      </c>
      <c r="B1827" s="16" t="s">
        <v>35</v>
      </c>
      <c r="C1827" s="201">
        <v>46003.0</v>
      </c>
      <c r="D1827" s="16" t="s">
        <v>3716</v>
      </c>
      <c r="E1827" s="16" t="s">
        <v>11104</v>
      </c>
      <c r="F1827" s="16" t="s">
        <v>6533</v>
      </c>
      <c r="G1827" s="16" t="s">
        <v>1080</v>
      </c>
      <c r="H1827" s="16">
        <v>15.0</v>
      </c>
      <c r="I1827" s="16">
        <v>13.9</v>
      </c>
      <c r="J1827" s="16">
        <v>208.5</v>
      </c>
      <c r="K1827" s="16" t="s">
        <v>1079</v>
      </c>
      <c r="L1827" s="16">
        <v>25.0</v>
      </c>
      <c r="M1827" s="16">
        <v>12.9</v>
      </c>
      <c r="N1827" s="16">
        <v>322.5</v>
      </c>
      <c r="O1827" s="16"/>
      <c r="P1827" s="16"/>
      <c r="Q1827" s="16"/>
      <c r="R1827" s="16">
        <v>0.0</v>
      </c>
      <c r="S1827" s="16"/>
      <c r="T1827" s="16"/>
      <c r="U1827" s="16"/>
      <c r="V1827" s="16">
        <v>0.0</v>
      </c>
      <c r="Z1827" s="16">
        <v>0.0</v>
      </c>
      <c r="AD1827" s="16">
        <v>0.0</v>
      </c>
      <c r="AH1827" s="16">
        <v>0.0</v>
      </c>
      <c r="AL1827" s="16">
        <v>0.0</v>
      </c>
      <c r="AP1827" s="16">
        <v>0.0</v>
      </c>
      <c r="AT1827" s="16">
        <v>0.0</v>
      </c>
      <c r="AX1827" s="16">
        <v>0.0</v>
      </c>
      <c r="BF1827" s="16">
        <v>0.0</v>
      </c>
      <c r="BJ1827" s="16">
        <v>0.0</v>
      </c>
      <c r="BN1827" s="16">
        <v>0.0</v>
      </c>
      <c r="BO1827" s="16">
        <v>531.0</v>
      </c>
      <c r="BP1827" s="16" t="s">
        <v>11105</v>
      </c>
      <c r="BQ1827" s="16" t="b">
        <v>1</v>
      </c>
      <c r="BR1827" s="16">
        <v>531.0</v>
      </c>
      <c r="BS1827" s="21" t="s">
        <v>13774</v>
      </c>
      <c r="BT1827" s="16" t="b">
        <v>1</v>
      </c>
      <c r="BU1827" s="16" t="s">
        <v>8596</v>
      </c>
      <c r="BV1827" s="16"/>
      <c r="BW1827" s="16"/>
      <c r="BX1827" s="16"/>
    </row>
    <row r="1828">
      <c r="A1828" s="16" t="s">
        <v>9302</v>
      </c>
      <c r="B1828" s="16" t="s">
        <v>35</v>
      </c>
      <c r="C1828" s="201">
        <v>46002.0</v>
      </c>
      <c r="D1828" s="16" t="s">
        <v>112</v>
      </c>
      <c r="E1828" s="16" t="s">
        <v>11108</v>
      </c>
      <c r="F1828" s="16" t="s">
        <v>157</v>
      </c>
      <c r="G1828" s="16" t="s">
        <v>226</v>
      </c>
      <c r="H1828" s="16">
        <v>1.0</v>
      </c>
      <c r="I1828" s="16">
        <v>85.5</v>
      </c>
      <c r="J1828" s="16">
        <v>85.5</v>
      </c>
      <c r="K1828" s="16" t="s">
        <v>152</v>
      </c>
      <c r="L1828" s="16">
        <v>1.0</v>
      </c>
      <c r="M1828" s="16">
        <v>14.65</v>
      </c>
      <c r="N1828" s="16">
        <v>14.65</v>
      </c>
      <c r="O1828" s="16" t="s">
        <v>230</v>
      </c>
      <c r="P1828" s="16">
        <v>1.0</v>
      </c>
      <c r="Q1828" s="16">
        <v>262.6</v>
      </c>
      <c r="R1828" s="16">
        <v>262.6</v>
      </c>
      <c r="S1828" s="16" t="s">
        <v>155</v>
      </c>
      <c r="T1828" s="16">
        <v>1.0</v>
      </c>
      <c r="U1828" s="16">
        <v>59.32</v>
      </c>
      <c r="V1828" s="16">
        <v>59.32</v>
      </c>
      <c r="Z1828" s="16">
        <v>0.0</v>
      </c>
      <c r="AD1828" s="16">
        <v>0.0</v>
      </c>
      <c r="AH1828" s="16">
        <v>0.0</v>
      </c>
      <c r="AL1828" s="16">
        <v>0.0</v>
      </c>
      <c r="AP1828" s="16">
        <v>0.0</v>
      </c>
      <c r="AT1828" s="16">
        <v>0.0</v>
      </c>
      <c r="AX1828" s="16">
        <v>0.0</v>
      </c>
      <c r="BF1828" s="16">
        <v>0.0</v>
      </c>
      <c r="BJ1828" s="16">
        <v>0.0</v>
      </c>
      <c r="BN1828" s="16">
        <v>0.0</v>
      </c>
      <c r="BO1828" s="16">
        <v>422.07</v>
      </c>
      <c r="BP1828" s="16" t="s">
        <v>11110</v>
      </c>
      <c r="BQ1828" s="16" t="b">
        <v>1</v>
      </c>
      <c r="BR1828" s="16">
        <v>422.06</v>
      </c>
      <c r="BS1828" s="16"/>
      <c r="BT1828" s="16" t="b">
        <v>0</v>
      </c>
      <c r="BU1828" s="16" t="s">
        <v>546</v>
      </c>
      <c r="BV1828" s="16"/>
      <c r="BW1828" s="16"/>
      <c r="BX1828" s="16"/>
    </row>
    <row r="1829">
      <c r="A1829" s="16" t="s">
        <v>11113</v>
      </c>
      <c r="B1829" s="16" t="s">
        <v>35</v>
      </c>
      <c r="C1829" s="201">
        <v>46002.0</v>
      </c>
      <c r="D1829" s="16" t="s">
        <v>764</v>
      </c>
      <c r="E1829" s="16" t="s">
        <v>11115</v>
      </c>
      <c r="F1829" s="16" t="s">
        <v>195</v>
      </c>
      <c r="G1829" s="16"/>
      <c r="H1829" s="16"/>
      <c r="I1829" s="16"/>
      <c r="J1829" s="16"/>
      <c r="K1829" s="16"/>
      <c r="L1829" s="16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Z1829" s="16"/>
      <c r="AD1829" s="16"/>
      <c r="AH1829" s="16"/>
      <c r="AL1829" s="16"/>
      <c r="AP1829" s="16"/>
      <c r="AT1829" s="16"/>
      <c r="AX1829" s="16"/>
      <c r="BF1829" s="16"/>
      <c r="BJ1829" s="16"/>
      <c r="BN1829" s="16"/>
      <c r="BO1829" s="16"/>
      <c r="BP1829" s="16" t="s">
        <v>11116</v>
      </c>
      <c r="BQ1829" s="16" t="b">
        <v>1</v>
      </c>
      <c r="BR1829" s="16"/>
      <c r="BS1829" s="16"/>
      <c r="BT1829" s="16" t="b">
        <v>0</v>
      </c>
      <c r="BU1829" s="16" t="s">
        <v>11118</v>
      </c>
      <c r="BV1829" s="16"/>
      <c r="BW1829" s="16"/>
      <c r="BX1829" s="16"/>
    </row>
    <row r="1830">
      <c r="A1830" s="16" t="s">
        <v>9309</v>
      </c>
      <c r="B1830" s="16" t="s">
        <v>35</v>
      </c>
      <c r="C1830" s="201">
        <v>46003.0</v>
      </c>
      <c r="D1830" s="16" t="s">
        <v>2165</v>
      </c>
      <c r="E1830" s="16" t="s">
        <v>11121</v>
      </c>
      <c r="F1830" s="16" t="s">
        <v>11125</v>
      </c>
      <c r="G1830" s="16" t="s">
        <v>794</v>
      </c>
      <c r="H1830" s="16">
        <v>1.0</v>
      </c>
      <c r="I1830" s="16">
        <v>1476.75</v>
      </c>
      <c r="J1830" s="16">
        <v>1476.75</v>
      </c>
      <c r="K1830" s="16"/>
      <c r="L1830" s="16"/>
      <c r="M1830" s="16"/>
      <c r="N1830" s="16">
        <v>0.0</v>
      </c>
      <c r="O1830" s="16"/>
      <c r="P1830" s="16"/>
      <c r="Q1830" s="16"/>
      <c r="R1830" s="16">
        <v>0.0</v>
      </c>
      <c r="S1830" s="16"/>
      <c r="T1830" s="16"/>
      <c r="U1830" s="16"/>
      <c r="V1830" s="16">
        <v>0.0</v>
      </c>
      <c r="Z1830" s="16">
        <v>0.0</v>
      </c>
      <c r="AD1830" s="16">
        <v>0.0</v>
      </c>
      <c r="AH1830" s="16">
        <v>0.0</v>
      </c>
      <c r="AL1830" s="16">
        <v>0.0</v>
      </c>
      <c r="AP1830" s="16">
        <v>0.0</v>
      </c>
      <c r="AT1830" s="16">
        <v>0.0</v>
      </c>
      <c r="AX1830" s="16">
        <v>0.0</v>
      </c>
      <c r="BF1830" s="16">
        <v>0.0</v>
      </c>
      <c r="BJ1830" s="16">
        <v>0.0</v>
      </c>
      <c r="BN1830" s="16">
        <v>0.0</v>
      </c>
      <c r="BO1830" s="16">
        <v>1476.75</v>
      </c>
      <c r="BP1830" s="16" t="s">
        <v>11124</v>
      </c>
      <c r="BQ1830" s="16" t="b">
        <v>1</v>
      </c>
      <c r="BR1830" s="16">
        <v>1476.75</v>
      </c>
      <c r="BS1830" s="16"/>
      <c r="BT1830" s="16" t="b">
        <v>0</v>
      </c>
      <c r="BU1830" s="16" t="s">
        <v>546</v>
      </c>
      <c r="BV1830" s="16"/>
      <c r="BW1830" s="16"/>
      <c r="BX1830" s="16"/>
    </row>
    <row r="1831">
      <c r="A1831" s="16" t="s">
        <v>9311</v>
      </c>
      <c r="B1831" s="16" t="s">
        <v>35</v>
      </c>
      <c r="C1831" s="201">
        <v>46003.0</v>
      </c>
      <c r="D1831" s="16" t="s">
        <v>543</v>
      </c>
      <c r="E1831" s="16" t="s">
        <v>11128</v>
      </c>
      <c r="F1831" s="16" t="s">
        <v>171</v>
      </c>
      <c r="G1831" s="21" t="s">
        <v>10424</v>
      </c>
      <c r="H1831" s="16">
        <v>1.0</v>
      </c>
      <c r="I1831" s="16">
        <v>150.0</v>
      </c>
      <c r="J1831" s="16">
        <v>150.0</v>
      </c>
      <c r="K1831" s="16"/>
      <c r="L1831" s="16"/>
      <c r="M1831" s="16"/>
      <c r="N1831" s="16">
        <v>0.0</v>
      </c>
      <c r="O1831" s="16"/>
      <c r="P1831" s="16"/>
      <c r="Q1831" s="16"/>
      <c r="R1831" s="16">
        <v>0.0</v>
      </c>
      <c r="S1831" s="16"/>
      <c r="T1831" s="16"/>
      <c r="U1831" s="16"/>
      <c r="V1831" s="16">
        <v>0.0</v>
      </c>
      <c r="Z1831" s="16">
        <v>0.0</v>
      </c>
      <c r="AD1831" s="16">
        <v>0.0</v>
      </c>
      <c r="AH1831" s="16">
        <v>0.0</v>
      </c>
      <c r="AL1831" s="16">
        <v>0.0</v>
      </c>
      <c r="AP1831" s="16">
        <v>0.0</v>
      </c>
      <c r="AT1831" s="16">
        <v>0.0</v>
      </c>
      <c r="AX1831" s="16">
        <v>0.0</v>
      </c>
      <c r="BF1831" s="16">
        <v>0.0</v>
      </c>
      <c r="BJ1831" s="16">
        <v>0.0</v>
      </c>
      <c r="BN1831" s="16">
        <v>0.0</v>
      </c>
      <c r="BO1831" s="16">
        <v>150.0</v>
      </c>
      <c r="BP1831" s="16" t="s">
        <v>11129</v>
      </c>
      <c r="BQ1831" s="16" t="b">
        <v>1</v>
      </c>
      <c r="BR1831" s="16">
        <v>150.0</v>
      </c>
      <c r="BS1831" s="16"/>
      <c r="BT1831" s="16" t="b">
        <v>0</v>
      </c>
      <c r="BU1831" s="16" t="s">
        <v>546</v>
      </c>
      <c r="BV1831" s="16"/>
      <c r="BW1831" s="16"/>
      <c r="BX1831" s="16"/>
    </row>
    <row r="1832">
      <c r="A1832" s="16" t="s">
        <v>9313</v>
      </c>
      <c r="B1832" s="16" t="s">
        <v>35</v>
      </c>
      <c r="C1832" s="201">
        <v>46004.0</v>
      </c>
      <c r="D1832" s="16" t="s">
        <v>112</v>
      </c>
      <c r="E1832" s="16" t="s">
        <v>11132</v>
      </c>
      <c r="F1832" s="16" t="s">
        <v>157</v>
      </c>
      <c r="G1832" s="16" t="s">
        <v>152</v>
      </c>
      <c r="H1832" s="16">
        <v>1.0</v>
      </c>
      <c r="I1832" s="16">
        <v>20.21</v>
      </c>
      <c r="J1832" s="16">
        <v>20.21</v>
      </c>
      <c r="K1832" s="16" t="s">
        <v>230</v>
      </c>
      <c r="L1832" s="16">
        <v>1.0</v>
      </c>
      <c r="M1832" s="16">
        <v>15.79</v>
      </c>
      <c r="N1832" s="16">
        <v>15.79</v>
      </c>
      <c r="O1832" s="16" t="s">
        <v>155</v>
      </c>
      <c r="P1832" s="16">
        <v>1.0</v>
      </c>
      <c r="Q1832" s="16">
        <v>56.29</v>
      </c>
      <c r="R1832" s="16">
        <v>56.29</v>
      </c>
      <c r="S1832" s="16" t="s">
        <v>159</v>
      </c>
      <c r="T1832" s="16">
        <v>1.0</v>
      </c>
      <c r="U1832" s="16">
        <v>199.8</v>
      </c>
      <c r="V1832" s="16">
        <v>199.8</v>
      </c>
      <c r="Z1832" s="16">
        <v>0.0</v>
      </c>
      <c r="AD1832" s="16">
        <v>0.0</v>
      </c>
      <c r="AH1832" s="16">
        <v>0.0</v>
      </c>
      <c r="AL1832" s="16">
        <v>0.0</v>
      </c>
      <c r="AP1832" s="16">
        <v>0.0</v>
      </c>
      <c r="AT1832" s="16">
        <v>0.0</v>
      </c>
      <c r="AX1832" s="16">
        <v>0.0</v>
      </c>
      <c r="BF1832" s="16">
        <v>0.0</v>
      </c>
      <c r="BJ1832" s="16">
        <v>0.0</v>
      </c>
      <c r="BN1832" s="16">
        <v>0.0</v>
      </c>
      <c r="BO1832" s="16">
        <v>292.09</v>
      </c>
      <c r="BP1832" s="16" t="s">
        <v>11133</v>
      </c>
      <c r="BQ1832" s="16" t="b">
        <v>1</v>
      </c>
      <c r="BR1832" s="16">
        <v>292.09</v>
      </c>
      <c r="BS1832" s="16"/>
      <c r="BT1832" s="16" t="b">
        <v>0</v>
      </c>
      <c r="BU1832" s="16" t="s">
        <v>546</v>
      </c>
      <c r="BV1832" s="16"/>
      <c r="BW1832" s="16"/>
      <c r="BX1832" s="16"/>
    </row>
    <row r="1833">
      <c r="A1833" s="16">
        <v>11676.0</v>
      </c>
      <c r="B1833" s="16" t="s">
        <v>35</v>
      </c>
      <c r="C1833" s="201">
        <v>46006.0</v>
      </c>
      <c r="D1833" s="16" t="s">
        <v>890</v>
      </c>
      <c r="E1833" s="16"/>
      <c r="F1833" s="16" t="s">
        <v>10085</v>
      </c>
      <c r="G1833" s="16" t="s">
        <v>6956</v>
      </c>
      <c r="H1833" s="16">
        <v>1.0</v>
      </c>
      <c r="I1833" s="16">
        <v>1098.0</v>
      </c>
      <c r="J1833" s="16">
        <v>1098.0</v>
      </c>
      <c r="K1833" s="16"/>
      <c r="L1833" s="16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Z1833" s="16"/>
      <c r="AD1833" s="16"/>
      <c r="AH1833" s="16"/>
      <c r="AL1833" s="16"/>
      <c r="AP1833" s="16"/>
      <c r="AT1833" s="16"/>
      <c r="AX1833" s="16"/>
      <c r="BF1833" s="16"/>
      <c r="BJ1833" s="16"/>
      <c r="BN1833" s="16"/>
      <c r="BO1833" s="16">
        <v>1098.0</v>
      </c>
      <c r="BP1833" s="16"/>
      <c r="BQ1833" s="16" t="b">
        <v>1</v>
      </c>
      <c r="BR1833" s="16">
        <v>1098.0</v>
      </c>
      <c r="BS1833" s="16"/>
      <c r="BT1833" s="16"/>
      <c r="BU1833" s="16" t="s">
        <v>539</v>
      </c>
      <c r="BV1833" s="16"/>
      <c r="BW1833" s="16"/>
      <c r="BX1833" s="16"/>
    </row>
    <row r="1834">
      <c r="A1834" s="16">
        <v>11681.0</v>
      </c>
      <c r="B1834" s="16" t="s">
        <v>35</v>
      </c>
      <c r="C1834" s="201">
        <v>46006.0</v>
      </c>
      <c r="D1834" s="16" t="s">
        <v>890</v>
      </c>
      <c r="E1834" s="16"/>
      <c r="F1834" s="16" t="s">
        <v>4010</v>
      </c>
      <c r="G1834" s="16" t="s">
        <v>4831</v>
      </c>
      <c r="H1834" s="16">
        <v>1.0</v>
      </c>
      <c r="I1834" s="16">
        <v>375.0</v>
      </c>
      <c r="J1834" s="16">
        <v>375.0</v>
      </c>
      <c r="K1834" s="16"/>
      <c r="L1834" s="16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Z1834" s="16"/>
      <c r="AD1834" s="16"/>
      <c r="AH1834" s="16"/>
      <c r="AL1834" s="16"/>
      <c r="AP1834" s="16"/>
      <c r="AT1834" s="16"/>
      <c r="AX1834" s="16"/>
      <c r="BF1834" s="16"/>
      <c r="BJ1834" s="16"/>
      <c r="BN1834" s="16"/>
      <c r="BO1834" s="16">
        <v>375.0</v>
      </c>
      <c r="BP1834" s="16"/>
      <c r="BQ1834" s="16" t="b">
        <v>1</v>
      </c>
      <c r="BR1834" s="16">
        <v>375.0</v>
      </c>
      <c r="BS1834" s="16"/>
      <c r="BT1834" s="16"/>
      <c r="BU1834" s="16" t="s">
        <v>539</v>
      </c>
      <c r="BV1834" s="16"/>
      <c r="BW1834" s="16"/>
      <c r="BX1834" s="16"/>
    </row>
    <row r="1835">
      <c r="A1835" s="16" t="s">
        <v>9325</v>
      </c>
      <c r="B1835" s="16" t="s">
        <v>35</v>
      </c>
      <c r="C1835" s="201">
        <v>46006.0</v>
      </c>
      <c r="D1835" s="16" t="s">
        <v>1864</v>
      </c>
      <c r="E1835" s="16"/>
      <c r="F1835" s="16" t="s">
        <v>11144</v>
      </c>
      <c r="G1835" s="16" t="s">
        <v>2448</v>
      </c>
      <c r="H1835" s="16">
        <v>1.0</v>
      </c>
      <c r="I1835" s="16">
        <v>839.42</v>
      </c>
      <c r="J1835" s="16">
        <v>839.42</v>
      </c>
      <c r="K1835" s="16"/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Z1835" s="16"/>
      <c r="AD1835" s="16"/>
      <c r="AH1835" s="16"/>
      <c r="AL1835" s="16"/>
      <c r="AP1835" s="16"/>
      <c r="AT1835" s="16"/>
      <c r="AX1835" s="16"/>
      <c r="BF1835" s="16"/>
      <c r="BJ1835" s="16"/>
      <c r="BN1835" s="16"/>
      <c r="BO1835" s="16">
        <v>839.42</v>
      </c>
      <c r="BP1835" s="16"/>
      <c r="BQ1835" s="16" t="b">
        <v>1</v>
      </c>
      <c r="BR1835" s="16">
        <v>839.42</v>
      </c>
      <c r="BS1835" s="16"/>
      <c r="BT1835" s="16"/>
      <c r="BU1835" s="16" t="s">
        <v>539</v>
      </c>
      <c r="BV1835" s="16"/>
      <c r="BW1835" s="16"/>
      <c r="BX1835" s="16"/>
    </row>
    <row r="1836">
      <c r="A1836" s="16" t="s">
        <v>9328</v>
      </c>
      <c r="B1836" s="16" t="s">
        <v>35</v>
      </c>
      <c r="C1836" s="201">
        <v>46006.0</v>
      </c>
      <c r="D1836" s="16" t="s">
        <v>890</v>
      </c>
      <c r="E1836" s="16"/>
      <c r="F1836" s="16" t="s">
        <v>11148</v>
      </c>
      <c r="G1836" s="16" t="s">
        <v>8458</v>
      </c>
      <c r="H1836" s="16">
        <v>1.0</v>
      </c>
      <c r="I1836" s="16">
        <v>148.0</v>
      </c>
      <c r="J1836" s="16">
        <v>148.0</v>
      </c>
      <c r="K1836" s="16"/>
      <c r="L1836" s="16"/>
      <c r="M1836" s="16"/>
      <c r="N1836" s="16"/>
      <c r="O1836" s="16"/>
      <c r="P1836" s="16"/>
      <c r="Q1836" s="16"/>
      <c r="R1836" s="16"/>
      <c r="S1836" s="16"/>
      <c r="T1836" s="16"/>
      <c r="U1836" s="16"/>
      <c r="V1836" s="16"/>
      <c r="Z1836" s="16"/>
      <c r="AD1836" s="16"/>
      <c r="AH1836" s="16"/>
      <c r="AL1836" s="16"/>
      <c r="AP1836" s="16"/>
      <c r="AT1836" s="16"/>
      <c r="AX1836" s="16"/>
      <c r="BF1836" s="16"/>
      <c r="BJ1836" s="16"/>
      <c r="BN1836" s="16"/>
      <c r="BO1836" s="16">
        <v>148.0</v>
      </c>
      <c r="BP1836" s="16"/>
      <c r="BQ1836" s="16" t="b">
        <v>1</v>
      </c>
      <c r="BR1836" s="16">
        <v>148.0</v>
      </c>
      <c r="BS1836" s="16"/>
      <c r="BT1836" s="16"/>
      <c r="BU1836" s="16" t="s">
        <v>539</v>
      </c>
      <c r="BV1836" s="16"/>
      <c r="BW1836" s="16"/>
      <c r="BX1836" s="16"/>
    </row>
    <row r="1837">
      <c r="A1837" s="16" t="s">
        <v>9331</v>
      </c>
      <c r="B1837" s="16" t="s">
        <v>35</v>
      </c>
      <c r="C1837" s="201">
        <v>46006.0</v>
      </c>
      <c r="D1837" s="16" t="s">
        <v>1864</v>
      </c>
      <c r="E1837" s="16"/>
      <c r="F1837" s="16" t="s">
        <v>11152</v>
      </c>
      <c r="G1837" s="16" t="s">
        <v>7522</v>
      </c>
      <c r="H1837" s="16">
        <v>1.0</v>
      </c>
      <c r="I1837" s="16">
        <v>185.1</v>
      </c>
      <c r="J1837" s="16">
        <v>185.1</v>
      </c>
      <c r="K1837" s="16"/>
      <c r="L1837" s="16"/>
      <c r="M1837" s="16"/>
      <c r="N1837" s="16"/>
      <c r="O1837" s="16"/>
      <c r="P1837" s="16"/>
      <c r="Q1837" s="16"/>
      <c r="R1837" s="16"/>
      <c r="S1837" s="16"/>
      <c r="T1837" s="16"/>
      <c r="U1837" s="16"/>
      <c r="V1837" s="16"/>
      <c r="Z1837" s="16"/>
      <c r="AD1837" s="16"/>
      <c r="AH1837" s="16"/>
      <c r="AL1837" s="16"/>
      <c r="AP1837" s="16"/>
      <c r="AT1837" s="16"/>
      <c r="AX1837" s="16"/>
      <c r="BF1837" s="16"/>
      <c r="BJ1837" s="16"/>
      <c r="BN1837" s="16"/>
      <c r="BO1837" s="16">
        <v>185.1</v>
      </c>
      <c r="BP1837" s="16"/>
      <c r="BQ1837" s="16" t="b">
        <v>1</v>
      </c>
      <c r="BR1837" s="16">
        <v>185.1</v>
      </c>
      <c r="BS1837" s="16"/>
      <c r="BT1837" s="16"/>
      <c r="BU1837" s="16" t="s">
        <v>539</v>
      </c>
      <c r="BV1837" s="16"/>
      <c r="BW1837" s="16"/>
      <c r="BX1837" s="16"/>
    </row>
    <row r="1838">
      <c r="A1838" s="16" t="s">
        <v>9334</v>
      </c>
      <c r="B1838" s="16" t="s">
        <v>35</v>
      </c>
      <c r="C1838" s="201">
        <v>46006.0</v>
      </c>
      <c r="D1838" s="16" t="s">
        <v>543</v>
      </c>
      <c r="E1838" s="16" t="s">
        <v>11155</v>
      </c>
      <c r="F1838" s="16" t="s">
        <v>171</v>
      </c>
      <c r="G1838" s="21" t="s">
        <v>10424</v>
      </c>
      <c r="H1838" s="16">
        <v>1.0</v>
      </c>
      <c r="I1838" s="16">
        <v>300.0</v>
      </c>
      <c r="J1838" s="16">
        <v>300.0</v>
      </c>
      <c r="K1838" s="16"/>
      <c r="L1838" s="16"/>
      <c r="M1838" s="16"/>
      <c r="N1838" s="16">
        <v>0.0</v>
      </c>
      <c r="O1838" s="16"/>
      <c r="P1838" s="16"/>
      <c r="Q1838" s="16"/>
      <c r="R1838" s="16">
        <v>0.0</v>
      </c>
      <c r="S1838" s="16"/>
      <c r="T1838" s="16"/>
      <c r="U1838" s="16"/>
      <c r="V1838" s="16">
        <v>0.0</v>
      </c>
      <c r="Z1838" s="16">
        <v>0.0</v>
      </c>
      <c r="AD1838" s="16">
        <v>0.0</v>
      </c>
      <c r="AH1838" s="16">
        <v>0.0</v>
      </c>
      <c r="AL1838" s="16">
        <v>0.0</v>
      </c>
      <c r="AP1838" s="16">
        <v>0.0</v>
      </c>
      <c r="AT1838" s="16">
        <v>0.0</v>
      </c>
      <c r="AX1838" s="16">
        <v>0.0</v>
      </c>
      <c r="BF1838" s="16">
        <v>0.0</v>
      </c>
      <c r="BJ1838" s="16">
        <v>0.0</v>
      </c>
      <c r="BN1838" s="16">
        <v>0.0</v>
      </c>
      <c r="BO1838" s="16">
        <v>300.0</v>
      </c>
      <c r="BP1838" s="16" t="s">
        <v>11156</v>
      </c>
      <c r="BQ1838" s="16" t="b">
        <v>1</v>
      </c>
      <c r="BR1838" s="16">
        <v>300.0</v>
      </c>
      <c r="BS1838" s="16"/>
      <c r="BT1838" s="16" t="b">
        <v>0</v>
      </c>
      <c r="BU1838" s="16" t="s">
        <v>546</v>
      </c>
      <c r="BV1838" s="16"/>
      <c r="BW1838" s="16"/>
      <c r="BX1838" s="16"/>
    </row>
    <row r="1839">
      <c r="A1839" s="16" t="s">
        <v>9336</v>
      </c>
      <c r="B1839" s="16" t="s">
        <v>35</v>
      </c>
      <c r="C1839" s="201">
        <v>46006.0</v>
      </c>
      <c r="D1839" s="16" t="s">
        <v>112</v>
      </c>
      <c r="E1839" s="16" t="s">
        <v>11159</v>
      </c>
      <c r="F1839" s="16" t="s">
        <v>157</v>
      </c>
      <c r="G1839" s="16" t="s">
        <v>226</v>
      </c>
      <c r="H1839" s="16">
        <v>5.0</v>
      </c>
      <c r="I1839" s="16">
        <v>8.0</v>
      </c>
      <c r="J1839" s="16">
        <v>40.0</v>
      </c>
      <c r="K1839" s="16" t="s">
        <v>152</v>
      </c>
      <c r="L1839" s="16">
        <v>1.0</v>
      </c>
      <c r="M1839" s="16">
        <v>15.99</v>
      </c>
      <c r="N1839" s="16">
        <v>15.99</v>
      </c>
      <c r="O1839" s="16" t="s">
        <v>230</v>
      </c>
      <c r="P1839" s="16">
        <v>1.0</v>
      </c>
      <c r="Q1839" s="16">
        <v>148.19</v>
      </c>
      <c r="R1839" s="16">
        <v>148.19</v>
      </c>
      <c r="S1839" s="16" t="s">
        <v>155</v>
      </c>
      <c r="T1839" s="16">
        <v>1.0</v>
      </c>
      <c r="U1839" s="16">
        <v>45.5</v>
      </c>
      <c r="V1839" s="16">
        <v>45.5</v>
      </c>
      <c r="Z1839" s="16">
        <v>0.0</v>
      </c>
      <c r="AD1839" s="16">
        <v>0.0</v>
      </c>
      <c r="AH1839" s="16">
        <v>0.0</v>
      </c>
      <c r="AL1839" s="16">
        <v>0.0</v>
      </c>
      <c r="AP1839" s="16">
        <v>0.0</v>
      </c>
      <c r="AT1839" s="16">
        <v>0.0</v>
      </c>
      <c r="AX1839" s="16">
        <v>0.0</v>
      </c>
      <c r="BF1839" s="16">
        <v>0.0</v>
      </c>
      <c r="BJ1839" s="16">
        <v>0.0</v>
      </c>
      <c r="BN1839" s="16">
        <v>0.0</v>
      </c>
      <c r="BO1839" s="16">
        <v>249.68</v>
      </c>
      <c r="BP1839" s="16" t="s">
        <v>11160</v>
      </c>
      <c r="BQ1839" s="16" t="b">
        <v>1</v>
      </c>
      <c r="BR1839" s="16">
        <v>249.68</v>
      </c>
      <c r="BS1839" s="16"/>
      <c r="BT1839" s="16" t="b">
        <v>0</v>
      </c>
      <c r="BU1839" s="16" t="s">
        <v>546</v>
      </c>
      <c r="BV1839" s="16"/>
      <c r="BW1839" s="16"/>
      <c r="BX1839" s="16"/>
    </row>
    <row r="1840">
      <c r="A1840" s="16" t="s">
        <v>9343</v>
      </c>
      <c r="B1840" s="16" t="s">
        <v>35</v>
      </c>
      <c r="C1840" s="201">
        <v>46007.0</v>
      </c>
      <c r="D1840" s="16" t="s">
        <v>11163</v>
      </c>
      <c r="E1840" s="16" t="s">
        <v>11165</v>
      </c>
      <c r="F1840" s="16" t="s">
        <v>9956</v>
      </c>
      <c r="G1840" s="16" t="s">
        <v>5715</v>
      </c>
      <c r="H1840" s="16">
        <v>1.0</v>
      </c>
      <c r="I1840" s="16">
        <v>92.76</v>
      </c>
      <c r="J1840" s="16">
        <v>92.76</v>
      </c>
      <c r="K1840" s="16"/>
      <c r="L1840" s="16"/>
      <c r="M1840" s="16"/>
      <c r="N1840" s="16">
        <v>0.0</v>
      </c>
      <c r="O1840" s="16"/>
      <c r="P1840" s="16"/>
      <c r="Q1840" s="16"/>
      <c r="R1840" s="16">
        <v>0.0</v>
      </c>
      <c r="S1840" s="16"/>
      <c r="T1840" s="16"/>
      <c r="U1840" s="16"/>
      <c r="V1840" s="16">
        <v>0.0</v>
      </c>
      <c r="Z1840" s="16">
        <v>0.0</v>
      </c>
      <c r="AD1840" s="16">
        <v>0.0</v>
      </c>
      <c r="AH1840" s="16">
        <v>0.0</v>
      </c>
      <c r="AL1840" s="16">
        <v>0.0</v>
      </c>
      <c r="AP1840" s="16">
        <v>0.0</v>
      </c>
      <c r="AT1840" s="16">
        <v>0.0</v>
      </c>
      <c r="AX1840" s="16">
        <v>0.0</v>
      </c>
      <c r="BF1840" s="16">
        <v>0.0</v>
      </c>
      <c r="BJ1840" s="16">
        <v>0.0</v>
      </c>
      <c r="BN1840" s="16">
        <v>0.0</v>
      </c>
      <c r="BO1840" s="16">
        <v>92.76</v>
      </c>
      <c r="BP1840" s="16" t="s">
        <v>11167</v>
      </c>
      <c r="BQ1840" s="16" t="b">
        <v>1</v>
      </c>
      <c r="BR1840" s="16">
        <v>92.76</v>
      </c>
      <c r="BS1840" s="21" t="s">
        <v>13789</v>
      </c>
      <c r="BT1840" s="16" t="b">
        <v>1</v>
      </c>
      <c r="BU1840" s="16" t="s">
        <v>546</v>
      </c>
      <c r="BV1840" s="16"/>
      <c r="BW1840" s="16"/>
      <c r="BX1840" s="16"/>
    </row>
    <row r="1841">
      <c r="A1841" s="16">
        <v>11689.0</v>
      </c>
      <c r="B1841" s="16" t="s">
        <v>35</v>
      </c>
      <c r="C1841" s="201">
        <v>46007.0</v>
      </c>
      <c r="D1841" s="16" t="s">
        <v>3516</v>
      </c>
      <c r="E1841" s="16"/>
      <c r="F1841" s="16" t="s">
        <v>10131</v>
      </c>
      <c r="G1841" s="16" t="s">
        <v>7522</v>
      </c>
      <c r="H1841" s="16">
        <v>1.0</v>
      </c>
      <c r="I1841" s="16">
        <v>1062.54</v>
      </c>
      <c r="J1841" s="16">
        <v>1062.54</v>
      </c>
      <c r="K1841" s="16"/>
      <c r="L1841" s="16"/>
      <c r="M1841" s="16"/>
      <c r="N1841" s="16"/>
      <c r="O1841" s="16"/>
      <c r="P1841" s="16"/>
      <c r="Q1841" s="16"/>
      <c r="R1841" s="16"/>
      <c r="S1841" s="16"/>
      <c r="T1841" s="16"/>
      <c r="U1841" s="16"/>
      <c r="V1841" s="16"/>
      <c r="Z1841" s="16"/>
      <c r="AD1841" s="16"/>
      <c r="AH1841" s="16"/>
      <c r="AL1841" s="16"/>
      <c r="AP1841" s="16"/>
      <c r="AT1841" s="16"/>
      <c r="AX1841" s="16"/>
      <c r="BF1841" s="16"/>
      <c r="BJ1841" s="16"/>
      <c r="BN1841" s="16"/>
      <c r="BO1841" s="16">
        <v>1062.54</v>
      </c>
      <c r="BP1841" s="16"/>
      <c r="BQ1841" s="16" t="b">
        <v>1</v>
      </c>
      <c r="BR1841" s="16">
        <v>1062.54</v>
      </c>
      <c r="BS1841" s="16"/>
      <c r="BT1841" s="16"/>
      <c r="BU1841" s="16" t="s">
        <v>539</v>
      </c>
      <c r="BV1841" s="16"/>
      <c r="BW1841" s="16"/>
      <c r="BX1841" s="16"/>
    </row>
    <row r="1842">
      <c r="A1842" s="16" t="s">
        <v>9346</v>
      </c>
      <c r="B1842" s="16" t="s">
        <v>35</v>
      </c>
      <c r="C1842" s="201">
        <v>46007.0</v>
      </c>
      <c r="D1842" s="16" t="s">
        <v>460</v>
      </c>
      <c r="E1842" s="16"/>
      <c r="F1842" s="16" t="s">
        <v>11175</v>
      </c>
      <c r="G1842" s="16" t="s">
        <v>6470</v>
      </c>
      <c r="H1842" s="16">
        <v>1.0</v>
      </c>
      <c r="I1842" s="16">
        <v>150.0</v>
      </c>
      <c r="J1842" s="16">
        <v>150.0</v>
      </c>
      <c r="K1842" s="16"/>
      <c r="L1842" s="16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Z1842" s="16"/>
      <c r="AD1842" s="16"/>
      <c r="AH1842" s="16"/>
      <c r="AL1842" s="16"/>
      <c r="AP1842" s="16"/>
      <c r="AT1842" s="16"/>
      <c r="AX1842" s="16"/>
      <c r="BF1842" s="16"/>
      <c r="BJ1842" s="16"/>
      <c r="BN1842" s="16"/>
      <c r="BO1842" s="16">
        <v>150.0</v>
      </c>
      <c r="BP1842" s="16"/>
      <c r="BQ1842" s="16" t="b">
        <v>1</v>
      </c>
      <c r="BR1842" s="16">
        <v>150.0</v>
      </c>
      <c r="BS1842" s="16"/>
      <c r="BT1842" s="16"/>
      <c r="BU1842" s="16" t="s">
        <v>539</v>
      </c>
      <c r="BV1842" s="16"/>
      <c r="BW1842" s="16"/>
      <c r="BX1842" s="16"/>
    </row>
    <row r="1843">
      <c r="A1843" s="16">
        <v>11696.0</v>
      </c>
      <c r="B1843" s="16" t="s">
        <v>35</v>
      </c>
      <c r="C1843" s="201">
        <v>46007.0</v>
      </c>
      <c r="D1843" s="16" t="s">
        <v>3516</v>
      </c>
      <c r="E1843" s="16"/>
      <c r="F1843" s="16" t="s">
        <v>9759</v>
      </c>
      <c r="G1843" s="16" t="s">
        <v>2448</v>
      </c>
      <c r="H1843" s="16">
        <v>1.0</v>
      </c>
      <c r="I1843" s="16">
        <v>1921.19</v>
      </c>
      <c r="J1843" s="16">
        <v>1921.19</v>
      </c>
      <c r="K1843" s="16"/>
      <c r="L1843" s="16"/>
      <c r="M1843" s="16"/>
      <c r="N1843" s="16"/>
      <c r="O1843" s="16"/>
      <c r="P1843" s="16"/>
      <c r="Q1843" s="16"/>
      <c r="R1843" s="16"/>
      <c r="S1843" s="16"/>
      <c r="T1843" s="16"/>
      <c r="U1843" s="16"/>
      <c r="V1843" s="16"/>
      <c r="Z1843" s="16"/>
      <c r="AD1843" s="16"/>
      <c r="AH1843" s="16"/>
      <c r="AL1843" s="16"/>
      <c r="AP1843" s="16"/>
      <c r="AT1843" s="16"/>
      <c r="AX1843" s="16"/>
      <c r="BF1843" s="16"/>
      <c r="BJ1843" s="16"/>
      <c r="BN1843" s="16"/>
      <c r="BO1843" s="16">
        <v>1921.19</v>
      </c>
      <c r="BP1843" s="16"/>
      <c r="BQ1843" s="16" t="b">
        <v>1</v>
      </c>
      <c r="BR1843" s="16">
        <v>1921.19</v>
      </c>
      <c r="BS1843" s="16"/>
      <c r="BT1843" s="16"/>
      <c r="BU1843" s="16" t="s">
        <v>539</v>
      </c>
      <c r="BV1843" s="16"/>
      <c r="BW1843" s="16"/>
      <c r="BX1843" s="16"/>
    </row>
    <row r="1844">
      <c r="A1844" s="16">
        <v>11697.0</v>
      </c>
      <c r="B1844" s="16" t="s">
        <v>35</v>
      </c>
      <c r="C1844" s="201">
        <v>46007.0</v>
      </c>
      <c r="D1844" s="16" t="s">
        <v>3516</v>
      </c>
      <c r="E1844" s="16"/>
      <c r="F1844" s="16" t="s">
        <v>9762</v>
      </c>
      <c r="G1844" s="16" t="s">
        <v>7522</v>
      </c>
      <c r="H1844" s="16">
        <v>1.0</v>
      </c>
      <c r="I1844" s="16">
        <v>17116.26</v>
      </c>
      <c r="J1844" s="16">
        <v>17116.26</v>
      </c>
      <c r="K1844" s="16"/>
      <c r="L1844" s="16"/>
      <c r="M1844" s="16"/>
      <c r="N1844" s="16"/>
      <c r="O1844" s="16"/>
      <c r="P1844" s="16"/>
      <c r="Q1844" s="16"/>
      <c r="R1844" s="16"/>
      <c r="S1844" s="16"/>
      <c r="T1844" s="16"/>
      <c r="U1844" s="16"/>
      <c r="V1844" s="16"/>
      <c r="Z1844" s="16"/>
      <c r="AD1844" s="16"/>
      <c r="AH1844" s="16"/>
      <c r="AL1844" s="16"/>
      <c r="AP1844" s="16"/>
      <c r="AT1844" s="16"/>
      <c r="AX1844" s="16"/>
      <c r="BF1844" s="16"/>
      <c r="BJ1844" s="16"/>
      <c r="BN1844" s="16"/>
      <c r="BO1844" s="16">
        <v>17116.26</v>
      </c>
      <c r="BP1844" s="16"/>
      <c r="BQ1844" s="16" t="b">
        <v>1</v>
      </c>
      <c r="BR1844" s="16">
        <v>17116.26</v>
      </c>
      <c r="BS1844" s="16"/>
      <c r="BT1844" s="16"/>
      <c r="BU1844" s="16" t="s">
        <v>539</v>
      </c>
      <c r="BV1844" s="16"/>
      <c r="BW1844" s="16"/>
      <c r="BX1844" s="16"/>
    </row>
    <row r="1845">
      <c r="A1845" s="16" t="s">
        <v>9352</v>
      </c>
      <c r="B1845" s="16" t="s">
        <v>35</v>
      </c>
      <c r="C1845" s="201">
        <v>46007.0</v>
      </c>
      <c r="D1845" s="16" t="s">
        <v>1864</v>
      </c>
      <c r="E1845" s="16"/>
      <c r="F1845" s="16" t="s">
        <v>11189</v>
      </c>
      <c r="G1845" s="16" t="s">
        <v>1159</v>
      </c>
      <c r="H1845" s="16">
        <v>1.0</v>
      </c>
      <c r="I1845" s="16">
        <v>761.91</v>
      </c>
      <c r="J1845" s="16">
        <v>761.91</v>
      </c>
      <c r="K1845" s="16"/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Z1845" s="16"/>
      <c r="AD1845" s="16"/>
      <c r="AH1845" s="16"/>
      <c r="AL1845" s="16"/>
      <c r="AP1845" s="16"/>
      <c r="AT1845" s="16"/>
      <c r="AX1845" s="16"/>
      <c r="BF1845" s="16"/>
      <c r="BJ1845" s="16"/>
      <c r="BN1845" s="16"/>
      <c r="BO1845" s="16">
        <v>761.91</v>
      </c>
      <c r="BP1845" s="16"/>
      <c r="BQ1845" s="16" t="b">
        <v>1</v>
      </c>
      <c r="BR1845" s="16">
        <v>761.91</v>
      </c>
      <c r="BS1845" s="16"/>
      <c r="BT1845" s="16"/>
      <c r="BU1845" s="16" t="s">
        <v>539</v>
      </c>
      <c r="BV1845" s="16"/>
      <c r="BW1845" s="16"/>
      <c r="BX1845" s="16"/>
    </row>
    <row r="1846">
      <c r="A1846" s="16" t="s">
        <v>9354</v>
      </c>
      <c r="B1846" s="16" t="s">
        <v>35</v>
      </c>
      <c r="C1846" s="201">
        <v>46007.0</v>
      </c>
      <c r="D1846" s="16" t="s">
        <v>1160</v>
      </c>
      <c r="E1846" s="16"/>
      <c r="F1846" s="16" t="s">
        <v>11193</v>
      </c>
      <c r="G1846" s="16" t="s">
        <v>8651</v>
      </c>
      <c r="H1846" s="16">
        <v>1.0</v>
      </c>
      <c r="I1846" s="16">
        <v>1062.96</v>
      </c>
      <c r="J1846" s="16">
        <v>1062.96</v>
      </c>
      <c r="K1846" s="16"/>
      <c r="L1846" s="16"/>
      <c r="M1846" s="16"/>
      <c r="N1846" s="16"/>
      <c r="O1846" s="16"/>
      <c r="P1846" s="16"/>
      <c r="Q1846" s="16"/>
      <c r="R1846" s="16"/>
      <c r="S1846" s="16"/>
      <c r="T1846" s="16"/>
      <c r="U1846" s="16"/>
      <c r="V1846" s="16"/>
      <c r="Z1846" s="16"/>
      <c r="AD1846" s="16"/>
      <c r="AH1846" s="16"/>
      <c r="AL1846" s="16"/>
      <c r="AP1846" s="16"/>
      <c r="AT1846" s="16"/>
      <c r="AX1846" s="16"/>
      <c r="BF1846" s="16"/>
      <c r="BJ1846" s="16"/>
      <c r="BN1846" s="16"/>
      <c r="BO1846" s="16">
        <v>1062.96</v>
      </c>
      <c r="BP1846" s="16"/>
      <c r="BQ1846" s="16" t="b">
        <v>1</v>
      </c>
      <c r="BR1846" s="16">
        <v>1062.96</v>
      </c>
      <c r="BS1846" s="16"/>
      <c r="BT1846" s="16"/>
      <c r="BU1846" s="16" t="s">
        <v>539</v>
      </c>
      <c r="BV1846" s="16"/>
      <c r="BW1846" s="16"/>
      <c r="BX1846" s="16"/>
    </row>
    <row r="1847">
      <c r="A1847" s="16" t="s">
        <v>9356</v>
      </c>
      <c r="B1847" s="16" t="s">
        <v>35</v>
      </c>
      <c r="C1847" s="201">
        <v>46003.0</v>
      </c>
      <c r="D1847" s="16" t="s">
        <v>890</v>
      </c>
      <c r="E1847" s="16" t="s">
        <v>11197</v>
      </c>
      <c r="F1847" s="16" t="s">
        <v>1511</v>
      </c>
      <c r="G1847" s="16" t="s">
        <v>1517</v>
      </c>
      <c r="H1847" s="16">
        <v>1.0</v>
      </c>
      <c r="I1847" s="16">
        <v>12803.87</v>
      </c>
      <c r="J1847" s="16">
        <v>12803.87</v>
      </c>
      <c r="K1847" s="16"/>
      <c r="L1847" s="16"/>
      <c r="M1847" s="16"/>
      <c r="N1847" s="16">
        <v>0.0</v>
      </c>
      <c r="O1847" s="16"/>
      <c r="P1847" s="16"/>
      <c r="Q1847" s="16"/>
      <c r="R1847" s="16">
        <v>0.0</v>
      </c>
      <c r="S1847" s="16"/>
      <c r="T1847" s="16"/>
      <c r="U1847" s="16"/>
      <c r="V1847" s="16">
        <v>0.0</v>
      </c>
      <c r="Z1847" s="16">
        <v>0.0</v>
      </c>
      <c r="AD1847" s="16">
        <v>0.0</v>
      </c>
      <c r="AH1847" s="16">
        <v>0.0</v>
      </c>
      <c r="AL1847" s="16">
        <v>0.0</v>
      </c>
      <c r="AP1847" s="16">
        <v>0.0</v>
      </c>
      <c r="AT1847" s="16">
        <v>0.0</v>
      </c>
      <c r="AX1847" s="16">
        <v>0.0</v>
      </c>
      <c r="BF1847" s="16">
        <v>0.0</v>
      </c>
      <c r="BJ1847" s="16">
        <v>0.0</v>
      </c>
      <c r="BN1847" s="16">
        <v>0.0</v>
      </c>
      <c r="BO1847" s="16">
        <v>12803.87</v>
      </c>
      <c r="BP1847" s="16" t="s">
        <v>11199</v>
      </c>
      <c r="BQ1847" s="16" t="b">
        <v>1</v>
      </c>
      <c r="BR1847" s="16">
        <v>12803.87</v>
      </c>
      <c r="BS1847" s="16"/>
      <c r="BT1847" s="16" t="b">
        <v>0</v>
      </c>
      <c r="BU1847" s="16" t="s">
        <v>546</v>
      </c>
      <c r="BV1847" s="16"/>
      <c r="BW1847" s="16" t="s">
        <v>11200</v>
      </c>
      <c r="BX1847" s="16"/>
    </row>
    <row r="1848">
      <c r="A1848" s="16" t="s">
        <v>9358</v>
      </c>
      <c r="B1848" s="16" t="s">
        <v>35</v>
      </c>
      <c r="C1848" s="201">
        <v>46008.0</v>
      </c>
      <c r="D1848" s="16" t="s">
        <v>764</v>
      </c>
      <c r="E1848" s="16" t="s">
        <v>11203</v>
      </c>
      <c r="F1848" s="16" t="s">
        <v>195</v>
      </c>
      <c r="G1848" s="16" t="s">
        <v>1073</v>
      </c>
      <c r="H1848" s="16">
        <v>2.0</v>
      </c>
      <c r="I1848" s="16">
        <v>21.0</v>
      </c>
      <c r="J1848" s="16">
        <v>42.0</v>
      </c>
      <c r="K1848" s="21" t="s">
        <v>10459</v>
      </c>
      <c r="L1848" s="16">
        <v>1.0</v>
      </c>
      <c r="M1848" s="16">
        <v>19.8</v>
      </c>
      <c r="N1848" s="16">
        <v>19.8</v>
      </c>
      <c r="O1848" s="16" t="s">
        <v>1384</v>
      </c>
      <c r="P1848" s="16">
        <v>1.0</v>
      </c>
      <c r="Q1848" s="16">
        <v>19.8</v>
      </c>
      <c r="R1848" s="16">
        <v>19.8</v>
      </c>
      <c r="S1848" s="16" t="s">
        <v>1404</v>
      </c>
      <c r="T1848" s="16">
        <v>1.0</v>
      </c>
      <c r="U1848" s="16">
        <v>19.8</v>
      </c>
      <c r="V1848" s="16">
        <v>19.8</v>
      </c>
      <c r="W1848" s="16" t="s">
        <v>1404</v>
      </c>
      <c r="X1848" s="16">
        <v>1.0</v>
      </c>
      <c r="Y1848" s="16">
        <v>65.0</v>
      </c>
      <c r="Z1848" s="16">
        <v>65.0</v>
      </c>
      <c r="AA1848" s="16" t="s">
        <v>1074</v>
      </c>
      <c r="AB1848" s="16">
        <v>8.0</v>
      </c>
      <c r="AC1848" s="16">
        <v>40.0</v>
      </c>
      <c r="AD1848" s="16">
        <v>320.0</v>
      </c>
      <c r="AH1848" s="16">
        <v>0.0</v>
      </c>
      <c r="AL1848" s="16">
        <v>0.0</v>
      </c>
      <c r="AP1848" s="16">
        <v>0.0</v>
      </c>
      <c r="AT1848" s="16">
        <v>0.0</v>
      </c>
      <c r="AX1848" s="16">
        <v>0.0</v>
      </c>
      <c r="BF1848" s="16">
        <v>0.0</v>
      </c>
      <c r="BJ1848" s="16">
        <v>0.0</v>
      </c>
      <c r="BN1848" s="16">
        <v>0.0</v>
      </c>
      <c r="BO1848" s="16">
        <v>486.4</v>
      </c>
      <c r="BP1848" s="16" t="s">
        <v>11204</v>
      </c>
      <c r="BQ1848" s="16" t="b">
        <v>1</v>
      </c>
      <c r="BR1848" s="16">
        <v>1640.42</v>
      </c>
      <c r="BS1848" s="16"/>
      <c r="BT1848" s="16" t="b">
        <v>0</v>
      </c>
      <c r="BU1848" s="16" t="s">
        <v>546</v>
      </c>
      <c r="BV1848" s="16"/>
      <c r="BW1848" s="16"/>
      <c r="BX1848" s="16"/>
    </row>
    <row r="1849">
      <c r="A1849" s="16">
        <v>11719.0</v>
      </c>
      <c r="B1849" s="16" t="s">
        <v>35</v>
      </c>
      <c r="C1849" s="201">
        <v>46009.0</v>
      </c>
      <c r="D1849" s="16" t="s">
        <v>11209</v>
      </c>
      <c r="E1849" s="16"/>
      <c r="F1849" s="16" t="s">
        <v>11210</v>
      </c>
      <c r="G1849" s="16" t="s">
        <v>9368</v>
      </c>
      <c r="H1849" s="16">
        <v>1.0</v>
      </c>
      <c r="I1849" s="16">
        <v>1307.62</v>
      </c>
      <c r="J1849" s="16">
        <v>1307.62</v>
      </c>
      <c r="K1849" s="16"/>
      <c r="L1849" s="16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Z1849" s="16"/>
      <c r="AD1849" s="16"/>
      <c r="AH1849" s="16"/>
      <c r="AL1849" s="16"/>
      <c r="AP1849" s="16"/>
      <c r="AT1849" s="16"/>
      <c r="AX1849" s="16"/>
      <c r="BF1849" s="16"/>
      <c r="BJ1849" s="16"/>
      <c r="BN1849" s="16"/>
      <c r="BO1849" s="16">
        <v>1307.62</v>
      </c>
      <c r="BP1849" s="16"/>
      <c r="BQ1849" s="16" t="b">
        <v>1</v>
      </c>
      <c r="BR1849" s="16">
        <v>1307.62</v>
      </c>
      <c r="BS1849" s="16"/>
      <c r="BT1849" s="16"/>
      <c r="BU1849" s="16" t="s">
        <v>539</v>
      </c>
      <c r="BV1849" s="16"/>
      <c r="BW1849" s="16"/>
      <c r="BX1849" s="16"/>
    </row>
    <row r="1850">
      <c r="A1850" s="16" t="s">
        <v>9372</v>
      </c>
      <c r="B1850" s="16" t="s">
        <v>35</v>
      </c>
      <c r="C1850" s="201">
        <v>46008.0</v>
      </c>
      <c r="D1850" s="16" t="s">
        <v>112</v>
      </c>
      <c r="E1850" s="16" t="s">
        <v>11212</v>
      </c>
      <c r="F1850" s="16" t="s">
        <v>157</v>
      </c>
      <c r="G1850" s="16" t="s">
        <v>226</v>
      </c>
      <c r="H1850" s="16">
        <v>15.0</v>
      </c>
      <c r="I1850" s="16">
        <v>8.0</v>
      </c>
      <c r="J1850" s="16">
        <v>120.0</v>
      </c>
      <c r="K1850" s="16" t="s">
        <v>155</v>
      </c>
      <c r="L1850" s="16">
        <v>1.0</v>
      </c>
      <c r="M1850" s="16">
        <v>62.4</v>
      </c>
      <c r="N1850" s="16">
        <v>62.4</v>
      </c>
      <c r="O1850" s="16" t="s">
        <v>159</v>
      </c>
      <c r="P1850" s="16">
        <v>10.0</v>
      </c>
      <c r="Q1850" s="16">
        <v>10.0</v>
      </c>
      <c r="R1850" s="16">
        <v>100.0</v>
      </c>
      <c r="S1850" s="16"/>
      <c r="T1850" s="16"/>
      <c r="U1850" s="16"/>
      <c r="V1850" s="16">
        <v>0.0</v>
      </c>
      <c r="Z1850" s="16">
        <v>0.0</v>
      </c>
      <c r="AD1850" s="16">
        <v>0.0</v>
      </c>
      <c r="AH1850" s="16">
        <v>0.0</v>
      </c>
      <c r="AL1850" s="16">
        <v>0.0</v>
      </c>
      <c r="AP1850" s="16">
        <v>0.0</v>
      </c>
      <c r="AT1850" s="16">
        <v>0.0</v>
      </c>
      <c r="AX1850" s="16">
        <v>0.0</v>
      </c>
      <c r="BF1850" s="16">
        <v>0.0</v>
      </c>
      <c r="BJ1850" s="16">
        <v>0.0</v>
      </c>
      <c r="BN1850" s="16">
        <v>0.0</v>
      </c>
      <c r="BO1850" s="16">
        <v>282.4</v>
      </c>
      <c r="BP1850" s="16" t="s">
        <v>11213</v>
      </c>
      <c r="BQ1850" s="16" t="b">
        <v>1</v>
      </c>
      <c r="BR1850" s="16">
        <v>282.4</v>
      </c>
      <c r="BS1850" s="16"/>
      <c r="BT1850" s="16" t="b">
        <v>0</v>
      </c>
      <c r="BU1850" s="16" t="s">
        <v>546</v>
      </c>
      <c r="BV1850" s="16"/>
      <c r="BW1850" s="16"/>
      <c r="BX1850" s="16"/>
    </row>
    <row r="1851">
      <c r="A1851" s="16" t="s">
        <v>9377</v>
      </c>
      <c r="B1851" s="16" t="s">
        <v>35</v>
      </c>
      <c r="C1851" s="201">
        <v>46009.0</v>
      </c>
      <c r="D1851" s="16" t="s">
        <v>112</v>
      </c>
      <c r="E1851" s="16" t="s">
        <v>11215</v>
      </c>
      <c r="F1851" s="16" t="s">
        <v>157</v>
      </c>
      <c r="G1851" s="16" t="s">
        <v>226</v>
      </c>
      <c r="H1851" s="16">
        <v>1.0</v>
      </c>
      <c r="I1851" s="16">
        <v>64.0</v>
      </c>
      <c r="J1851" s="16">
        <v>64.0</v>
      </c>
      <c r="K1851" s="16" t="s">
        <v>152</v>
      </c>
      <c r="L1851" s="16">
        <v>1.0</v>
      </c>
      <c r="M1851" s="16">
        <v>14.7</v>
      </c>
      <c r="N1851" s="16">
        <v>14.7</v>
      </c>
      <c r="O1851" s="16" t="s">
        <v>230</v>
      </c>
      <c r="P1851" s="16">
        <v>1.0</v>
      </c>
      <c r="Q1851" s="16">
        <v>29.0</v>
      </c>
      <c r="R1851" s="16">
        <v>29.0</v>
      </c>
      <c r="S1851" s="16" t="s">
        <v>155</v>
      </c>
      <c r="T1851" s="16">
        <v>1.0</v>
      </c>
      <c r="U1851" s="16">
        <v>67.27</v>
      </c>
      <c r="V1851" s="16">
        <v>67.27</v>
      </c>
      <c r="W1851" s="16" t="s">
        <v>159</v>
      </c>
      <c r="X1851" s="16">
        <v>1.0</v>
      </c>
      <c r="Y1851" s="16">
        <v>300.0</v>
      </c>
      <c r="Z1851" s="16">
        <v>300.0</v>
      </c>
      <c r="AD1851" s="16">
        <v>0.0</v>
      </c>
      <c r="AH1851" s="16">
        <v>0.0</v>
      </c>
      <c r="AL1851" s="16">
        <v>0.0</v>
      </c>
      <c r="AP1851" s="16">
        <v>0.0</v>
      </c>
      <c r="AT1851" s="16">
        <v>0.0</v>
      </c>
      <c r="AX1851" s="16">
        <v>0.0</v>
      </c>
      <c r="BF1851" s="16">
        <v>0.0</v>
      </c>
      <c r="BJ1851" s="16">
        <v>0.0</v>
      </c>
      <c r="BN1851" s="16">
        <v>0.0</v>
      </c>
      <c r="BO1851" s="16">
        <v>474.97</v>
      </c>
      <c r="BP1851" s="16" t="s">
        <v>11217</v>
      </c>
      <c r="BQ1851" s="16" t="b">
        <v>1</v>
      </c>
      <c r="BR1851" s="16">
        <v>474.97</v>
      </c>
      <c r="BS1851" s="16"/>
      <c r="BT1851" s="16" t="b">
        <v>0</v>
      </c>
      <c r="BU1851" s="16" t="s">
        <v>546</v>
      </c>
      <c r="BV1851" s="16"/>
      <c r="BW1851" s="16"/>
      <c r="BX1851" s="16"/>
    </row>
    <row r="1852">
      <c r="A1852" s="16" t="s">
        <v>9389</v>
      </c>
      <c r="B1852" s="16" t="s">
        <v>35</v>
      </c>
      <c r="C1852" s="201">
        <v>46005.0</v>
      </c>
      <c r="D1852" s="16" t="s">
        <v>11219</v>
      </c>
      <c r="E1852" s="16" t="s">
        <v>11220</v>
      </c>
      <c r="F1852" s="16" t="s">
        <v>11222</v>
      </c>
      <c r="G1852" s="16" t="s">
        <v>305</v>
      </c>
      <c r="H1852" s="16">
        <v>1.0</v>
      </c>
      <c r="I1852" s="16">
        <v>62.94</v>
      </c>
      <c r="J1852" s="16">
        <v>62.94</v>
      </c>
      <c r="K1852" s="16"/>
      <c r="L1852" s="16"/>
      <c r="M1852" s="16"/>
      <c r="N1852" s="16">
        <v>0.0</v>
      </c>
      <c r="O1852" s="16"/>
      <c r="P1852" s="16"/>
      <c r="Q1852" s="16"/>
      <c r="R1852" s="16">
        <v>0.0</v>
      </c>
      <c r="S1852" s="16"/>
      <c r="T1852" s="16"/>
      <c r="U1852" s="16"/>
      <c r="V1852" s="16">
        <v>0.0</v>
      </c>
      <c r="W1852" s="16"/>
      <c r="X1852" s="16"/>
      <c r="Y1852" s="16"/>
      <c r="Z1852" s="16">
        <v>0.0</v>
      </c>
      <c r="AD1852" s="16">
        <v>0.0</v>
      </c>
      <c r="AH1852" s="16">
        <v>0.0</v>
      </c>
      <c r="AL1852" s="16">
        <v>0.0</v>
      </c>
      <c r="AP1852" s="16">
        <v>0.0</v>
      </c>
      <c r="AT1852" s="16">
        <v>0.0</v>
      </c>
      <c r="AX1852" s="16">
        <v>0.0</v>
      </c>
      <c r="BF1852" s="16">
        <v>0.0</v>
      </c>
      <c r="BJ1852" s="16">
        <v>0.0</v>
      </c>
      <c r="BN1852" s="16">
        <v>0.0</v>
      </c>
      <c r="BO1852" s="16">
        <v>62.94</v>
      </c>
      <c r="BP1852" s="16" t="s">
        <v>11221</v>
      </c>
      <c r="BQ1852" s="16" t="b">
        <v>1</v>
      </c>
      <c r="BR1852" s="16">
        <v>62.94</v>
      </c>
      <c r="BS1852" s="21" t="s">
        <v>13808</v>
      </c>
      <c r="BT1852" s="16" t="b">
        <v>1</v>
      </c>
      <c r="BU1852" s="16" t="s">
        <v>546</v>
      </c>
      <c r="BV1852" s="16"/>
      <c r="BW1852" s="16"/>
      <c r="BX1852" s="16"/>
    </row>
    <row r="1853">
      <c r="A1853" s="16" t="s">
        <v>9391</v>
      </c>
      <c r="B1853" s="16" t="s">
        <v>35</v>
      </c>
      <c r="C1853" s="201">
        <v>46010.0</v>
      </c>
      <c r="D1853" s="21" t="s">
        <v>12789</v>
      </c>
      <c r="E1853" s="16" t="s">
        <v>11225</v>
      </c>
      <c r="F1853" s="16" t="s">
        <v>11222</v>
      </c>
      <c r="G1853" s="16" t="s">
        <v>305</v>
      </c>
      <c r="H1853" s="16">
        <v>1.0</v>
      </c>
      <c r="I1853" s="16">
        <v>213.46</v>
      </c>
      <c r="J1853" s="16">
        <v>213.46</v>
      </c>
      <c r="K1853" s="16"/>
      <c r="L1853" s="16"/>
      <c r="M1853" s="16"/>
      <c r="N1853" s="16">
        <v>0.0</v>
      </c>
      <c r="O1853" s="16"/>
      <c r="P1853" s="16"/>
      <c r="Q1853" s="16"/>
      <c r="R1853" s="16">
        <v>0.0</v>
      </c>
      <c r="S1853" s="16"/>
      <c r="T1853" s="16"/>
      <c r="U1853" s="16"/>
      <c r="V1853" s="16">
        <v>0.0</v>
      </c>
      <c r="W1853" s="16"/>
      <c r="X1853" s="16"/>
      <c r="Y1853" s="16"/>
      <c r="Z1853" s="16">
        <v>0.0</v>
      </c>
      <c r="AD1853" s="16">
        <v>0.0</v>
      </c>
      <c r="AH1853" s="16">
        <v>0.0</v>
      </c>
      <c r="AL1853" s="16">
        <v>0.0</v>
      </c>
      <c r="AP1853" s="16">
        <v>0.0</v>
      </c>
      <c r="AT1853" s="16">
        <v>0.0</v>
      </c>
      <c r="AX1853" s="16">
        <v>0.0</v>
      </c>
      <c r="BF1853" s="16">
        <v>0.0</v>
      </c>
      <c r="BJ1853" s="16">
        <v>0.0</v>
      </c>
      <c r="BN1853" s="16">
        <v>0.0</v>
      </c>
      <c r="BO1853" s="16">
        <v>213.46</v>
      </c>
      <c r="BP1853" s="16" t="s">
        <v>11227</v>
      </c>
      <c r="BQ1853" s="16" t="b">
        <v>1</v>
      </c>
      <c r="BR1853" s="16">
        <v>213.46</v>
      </c>
      <c r="BS1853" s="21" t="s">
        <v>13812</v>
      </c>
      <c r="BT1853" s="16" t="b">
        <v>1</v>
      </c>
      <c r="BU1853" s="16" t="s">
        <v>546</v>
      </c>
      <c r="BV1853" s="16"/>
      <c r="BW1853" s="16"/>
      <c r="BX1853" s="16"/>
    </row>
    <row r="1854">
      <c r="A1854" s="16" t="s">
        <v>9395</v>
      </c>
      <c r="B1854" s="16" t="s">
        <v>35</v>
      </c>
      <c r="C1854" s="201">
        <v>46010.0</v>
      </c>
      <c r="D1854" s="16" t="s">
        <v>9825</v>
      </c>
      <c r="E1854" s="16" t="s">
        <v>11229</v>
      </c>
      <c r="F1854" s="16" t="s">
        <v>11231</v>
      </c>
      <c r="G1854" s="16" t="s">
        <v>1080</v>
      </c>
      <c r="H1854" s="16">
        <v>1.0</v>
      </c>
      <c r="I1854" s="16">
        <v>208.5</v>
      </c>
      <c r="J1854" s="16">
        <v>208.5</v>
      </c>
      <c r="K1854" s="16" t="s">
        <v>1079</v>
      </c>
      <c r="L1854" s="16">
        <v>1.0</v>
      </c>
      <c r="M1854" s="16">
        <v>322.5</v>
      </c>
      <c r="N1854" s="16">
        <v>322.5</v>
      </c>
      <c r="O1854" s="16"/>
      <c r="P1854" s="16"/>
      <c r="Q1854" s="16"/>
      <c r="R1854" s="16">
        <v>0.0</v>
      </c>
      <c r="S1854" s="16"/>
      <c r="T1854" s="16"/>
      <c r="U1854" s="16"/>
      <c r="V1854" s="16">
        <v>0.0</v>
      </c>
      <c r="W1854" s="16"/>
      <c r="X1854" s="16"/>
      <c r="Y1854" s="16"/>
      <c r="Z1854" s="16">
        <v>0.0</v>
      </c>
      <c r="AD1854" s="16">
        <v>0.0</v>
      </c>
      <c r="AH1854" s="16">
        <v>0.0</v>
      </c>
      <c r="AL1854" s="16">
        <v>0.0</v>
      </c>
      <c r="AP1854" s="16">
        <v>0.0</v>
      </c>
      <c r="AT1854" s="16">
        <v>0.0</v>
      </c>
      <c r="AX1854" s="16">
        <v>0.0</v>
      </c>
      <c r="BF1854" s="16">
        <v>0.0</v>
      </c>
      <c r="BJ1854" s="16">
        <v>0.0</v>
      </c>
      <c r="BN1854" s="16">
        <v>0.0</v>
      </c>
      <c r="BO1854" s="16">
        <v>531.0</v>
      </c>
      <c r="BP1854" s="16" t="s">
        <v>11230</v>
      </c>
      <c r="BQ1854" s="16" t="b">
        <v>1</v>
      </c>
      <c r="BR1854" s="16">
        <v>531.0</v>
      </c>
      <c r="BS1854" s="21" t="s">
        <v>13813</v>
      </c>
      <c r="BT1854" s="16" t="b">
        <v>1</v>
      </c>
      <c r="BU1854" s="16" t="s">
        <v>546</v>
      </c>
      <c r="BV1854" s="16"/>
      <c r="BW1854" s="16"/>
      <c r="BX1854" s="16"/>
    </row>
    <row r="1855">
      <c r="A1855" s="16" t="s">
        <v>9398</v>
      </c>
      <c r="B1855" s="16" t="s">
        <v>35</v>
      </c>
      <c r="C1855" s="201">
        <v>46014.0</v>
      </c>
      <c r="D1855" s="16" t="s">
        <v>890</v>
      </c>
      <c r="E1855" s="16"/>
      <c r="F1855" s="16" t="s">
        <v>11235</v>
      </c>
      <c r="G1855" s="16" t="s">
        <v>8458</v>
      </c>
      <c r="H1855" s="16">
        <v>1.0</v>
      </c>
      <c r="I1855" s="16">
        <v>3957.12</v>
      </c>
      <c r="J1855" s="16">
        <v>3957.12</v>
      </c>
      <c r="K1855" s="16"/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D1855" s="16"/>
      <c r="AH1855" s="16"/>
      <c r="AL1855" s="16"/>
      <c r="AP1855" s="16"/>
      <c r="AT1855" s="16"/>
      <c r="AX1855" s="16"/>
      <c r="BF1855" s="16"/>
      <c r="BJ1855" s="16"/>
      <c r="BN1855" s="16"/>
      <c r="BO1855" s="16">
        <v>3957.12</v>
      </c>
      <c r="BP1855" s="16"/>
      <c r="BQ1855" s="16" t="b">
        <v>1</v>
      </c>
      <c r="BR1855" s="16">
        <v>3957.12</v>
      </c>
      <c r="BS1855" s="16"/>
      <c r="BT1855" s="16"/>
      <c r="BU1855" s="16" t="s">
        <v>539</v>
      </c>
      <c r="BV1855" s="16"/>
      <c r="BW1855" s="16"/>
      <c r="BX1855" s="16"/>
    </row>
    <row r="1856">
      <c r="A1856" s="16" t="s">
        <v>9402</v>
      </c>
      <c r="B1856" s="16" t="s">
        <v>35</v>
      </c>
      <c r="C1856" s="201">
        <v>46014.0</v>
      </c>
      <c r="D1856" s="16" t="s">
        <v>890</v>
      </c>
      <c r="E1856" s="16"/>
      <c r="F1856" s="16" t="s">
        <v>11238</v>
      </c>
      <c r="G1856" s="16" t="s">
        <v>1517</v>
      </c>
      <c r="H1856" s="16">
        <v>1.0</v>
      </c>
      <c r="I1856" s="16">
        <v>2776.66</v>
      </c>
      <c r="J1856" s="16">
        <v>2776.66</v>
      </c>
      <c r="K1856" s="16"/>
      <c r="L1856" s="16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16"/>
      <c r="AD1856" s="16"/>
      <c r="AH1856" s="16"/>
      <c r="AL1856" s="16"/>
      <c r="AP1856" s="16"/>
      <c r="AT1856" s="16"/>
      <c r="AX1856" s="16"/>
      <c r="BF1856" s="16"/>
      <c r="BJ1856" s="16"/>
      <c r="BN1856" s="16"/>
      <c r="BO1856" s="16">
        <v>2776.66</v>
      </c>
      <c r="BP1856" s="16"/>
      <c r="BQ1856" s="16" t="b">
        <v>1</v>
      </c>
      <c r="BR1856" s="16">
        <v>2776.66</v>
      </c>
      <c r="BS1856" s="16"/>
      <c r="BT1856" s="16"/>
      <c r="BU1856" s="16" t="s">
        <v>539</v>
      </c>
      <c r="BV1856" s="16"/>
      <c r="BW1856" s="16"/>
      <c r="BX1856" s="16"/>
    </row>
    <row r="1857">
      <c r="A1857" s="16" t="s">
        <v>9405</v>
      </c>
      <c r="B1857" s="16" t="s">
        <v>35</v>
      </c>
      <c r="C1857" s="201">
        <v>46014.0</v>
      </c>
      <c r="D1857" s="16" t="s">
        <v>543</v>
      </c>
      <c r="E1857" s="16"/>
      <c r="F1857" s="16" t="s">
        <v>11240</v>
      </c>
      <c r="G1857" s="16">
        <v>1.2539885E7</v>
      </c>
      <c r="H1857" s="16">
        <v>1.0</v>
      </c>
      <c r="I1857" s="16">
        <v>750.0</v>
      </c>
      <c r="J1857" s="16">
        <v>750.0</v>
      </c>
      <c r="K1857" s="16"/>
      <c r="L1857" s="16"/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D1857" s="16"/>
      <c r="AH1857" s="16"/>
      <c r="AL1857" s="16"/>
      <c r="AP1857" s="16"/>
      <c r="AT1857" s="16"/>
      <c r="AX1857" s="16"/>
      <c r="BF1857" s="16"/>
      <c r="BJ1857" s="16"/>
      <c r="BN1857" s="16"/>
      <c r="BO1857" s="16">
        <v>750.0</v>
      </c>
      <c r="BP1857" s="16"/>
      <c r="BQ1857" s="16" t="b">
        <v>1</v>
      </c>
      <c r="BR1857" s="16">
        <v>750.0</v>
      </c>
      <c r="BS1857" s="16"/>
      <c r="BT1857" s="16"/>
      <c r="BU1857" s="16" t="s">
        <v>539</v>
      </c>
      <c r="BV1857" s="16"/>
      <c r="BW1857" s="16"/>
      <c r="BX1857" s="16"/>
    </row>
    <row r="1858">
      <c r="A1858" s="16" t="s">
        <v>9407</v>
      </c>
      <c r="B1858" s="16" t="s">
        <v>35</v>
      </c>
      <c r="C1858" s="201">
        <v>46015.0</v>
      </c>
      <c r="D1858" s="16" t="s">
        <v>890</v>
      </c>
      <c r="E1858" s="16"/>
      <c r="F1858" s="16" t="s">
        <v>11243</v>
      </c>
      <c r="G1858" s="16" t="s">
        <v>7344</v>
      </c>
      <c r="H1858" s="16">
        <v>1.0</v>
      </c>
      <c r="I1858" s="16">
        <v>625.0</v>
      </c>
      <c r="J1858" s="16">
        <v>625.0</v>
      </c>
      <c r="K1858" s="16"/>
      <c r="L1858" s="16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D1858" s="16"/>
      <c r="AH1858" s="16"/>
      <c r="AL1858" s="16"/>
      <c r="AP1858" s="16"/>
      <c r="AT1858" s="16"/>
      <c r="AX1858" s="16"/>
      <c r="BF1858" s="16"/>
      <c r="BJ1858" s="16"/>
      <c r="BN1858" s="16"/>
      <c r="BO1858" s="16">
        <v>625.0</v>
      </c>
      <c r="BP1858" s="16"/>
      <c r="BQ1858" s="16" t="b">
        <v>1</v>
      </c>
      <c r="BR1858" s="16">
        <v>625.0</v>
      </c>
      <c r="BS1858" s="16"/>
      <c r="BT1858" s="16"/>
      <c r="BU1858" s="16" t="s">
        <v>539</v>
      </c>
      <c r="BV1858" s="16"/>
      <c r="BW1858" s="16"/>
      <c r="BX1858" s="16"/>
    </row>
    <row r="1859">
      <c r="A1859" s="16" t="s">
        <v>9409</v>
      </c>
      <c r="B1859" s="16" t="s">
        <v>35</v>
      </c>
      <c r="C1859" s="201">
        <v>46015.0</v>
      </c>
      <c r="D1859" s="16" t="s">
        <v>1864</v>
      </c>
      <c r="E1859" s="16"/>
      <c r="F1859" s="16" t="s">
        <v>11189</v>
      </c>
      <c r="G1859" s="16" t="s">
        <v>2448</v>
      </c>
      <c r="H1859" s="16">
        <v>1.0</v>
      </c>
      <c r="I1859" s="16">
        <v>344.17</v>
      </c>
      <c r="J1859" s="16">
        <v>344.17</v>
      </c>
      <c r="K1859" s="16"/>
      <c r="L1859" s="16"/>
      <c r="M1859" s="16"/>
      <c r="N1859" s="16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16"/>
      <c r="AD1859" s="16"/>
      <c r="AH1859" s="16"/>
      <c r="AL1859" s="16"/>
      <c r="AP1859" s="16"/>
      <c r="AT1859" s="16"/>
      <c r="AX1859" s="16"/>
      <c r="BF1859" s="16"/>
      <c r="BJ1859" s="16"/>
      <c r="BN1859" s="16"/>
      <c r="BO1859" s="16">
        <v>344.17</v>
      </c>
      <c r="BP1859" s="16"/>
      <c r="BQ1859" s="16" t="b">
        <v>1</v>
      </c>
      <c r="BR1859" s="16">
        <v>344.17</v>
      </c>
      <c r="BS1859" s="16"/>
      <c r="BT1859" s="16"/>
      <c r="BU1859" s="16" t="s">
        <v>539</v>
      </c>
      <c r="BV1859" s="16"/>
      <c r="BW1859" s="16"/>
      <c r="BX1859" s="16"/>
    </row>
    <row r="1860">
      <c r="A1860" s="16">
        <v>11717.0</v>
      </c>
      <c r="B1860" s="16" t="s">
        <v>35</v>
      </c>
      <c r="C1860" s="201">
        <v>46015.0</v>
      </c>
      <c r="D1860" s="16" t="s">
        <v>460</v>
      </c>
      <c r="E1860" s="16"/>
      <c r="F1860" s="22">
        <v>45931.0</v>
      </c>
      <c r="G1860" s="16" t="s">
        <v>8404</v>
      </c>
      <c r="H1860" s="16">
        <v>1.0</v>
      </c>
      <c r="I1860" s="16">
        <v>249.23</v>
      </c>
      <c r="J1860" s="16">
        <v>249.23</v>
      </c>
      <c r="K1860" s="16"/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D1860" s="16"/>
      <c r="AH1860" s="16"/>
      <c r="AL1860" s="16"/>
      <c r="AP1860" s="16"/>
      <c r="AT1860" s="16"/>
      <c r="AX1860" s="16"/>
      <c r="BF1860" s="16"/>
      <c r="BJ1860" s="16"/>
      <c r="BN1860" s="16"/>
      <c r="BO1860" s="16">
        <v>249.23</v>
      </c>
      <c r="BP1860" s="16"/>
      <c r="BQ1860" s="16" t="b">
        <v>1</v>
      </c>
      <c r="BR1860" s="16">
        <v>249.23</v>
      </c>
      <c r="BS1860" s="16"/>
      <c r="BT1860" s="16"/>
      <c r="BU1860" s="16" t="s">
        <v>539</v>
      </c>
      <c r="BV1860" s="16"/>
      <c r="BW1860" s="16"/>
      <c r="BX1860" s="16"/>
    </row>
    <row r="1861">
      <c r="A1861" s="16">
        <v>11718.0</v>
      </c>
      <c r="B1861" s="16" t="s">
        <v>35</v>
      </c>
      <c r="C1861" s="201">
        <v>46015.0</v>
      </c>
      <c r="D1861" s="16" t="s">
        <v>1160</v>
      </c>
      <c r="E1861" s="16"/>
      <c r="F1861" s="22">
        <v>45717.0</v>
      </c>
      <c r="G1861" s="16" t="s">
        <v>8404</v>
      </c>
      <c r="H1861" s="16">
        <v>1.0</v>
      </c>
      <c r="I1861" s="16">
        <v>68.56</v>
      </c>
      <c r="J1861" s="16">
        <v>68.56</v>
      </c>
      <c r="K1861" s="16"/>
      <c r="L1861" s="16"/>
      <c r="M1861" s="16"/>
      <c r="N1861" s="16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D1861" s="16"/>
      <c r="AH1861" s="16"/>
      <c r="AL1861" s="16"/>
      <c r="AP1861" s="16"/>
      <c r="AT1861" s="16"/>
      <c r="AX1861" s="16"/>
      <c r="BF1861" s="16"/>
      <c r="BJ1861" s="16"/>
      <c r="BN1861" s="16"/>
      <c r="BO1861" s="16">
        <v>68.56</v>
      </c>
      <c r="BP1861" s="16"/>
      <c r="BQ1861" s="16" t="b">
        <v>1</v>
      </c>
      <c r="BR1861" s="16">
        <v>68.56</v>
      </c>
      <c r="BS1861" s="16"/>
      <c r="BT1861" s="16"/>
      <c r="BU1861" s="16" t="s">
        <v>539</v>
      </c>
      <c r="BV1861" s="16"/>
      <c r="BW1861" s="16"/>
      <c r="BX1861" s="16"/>
    </row>
    <row r="1862">
      <c r="A1862" s="16" t="s">
        <v>9415</v>
      </c>
      <c r="B1862" s="16" t="s">
        <v>35</v>
      </c>
      <c r="C1862" s="201">
        <v>46015.0</v>
      </c>
      <c r="D1862" s="16" t="s">
        <v>460</v>
      </c>
      <c r="E1862" s="16"/>
      <c r="F1862" s="16" t="s">
        <v>11253</v>
      </c>
      <c r="G1862" s="16" t="s">
        <v>9417</v>
      </c>
      <c r="H1862" s="16">
        <v>1.0</v>
      </c>
      <c r="I1862" s="16">
        <v>32.5</v>
      </c>
      <c r="J1862" s="16">
        <v>32.5</v>
      </c>
      <c r="K1862" s="16"/>
      <c r="L1862" s="16"/>
      <c r="M1862" s="16"/>
      <c r="N1862" s="16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D1862" s="16"/>
      <c r="AH1862" s="16"/>
      <c r="AL1862" s="16"/>
      <c r="AP1862" s="16"/>
      <c r="AT1862" s="16"/>
      <c r="AX1862" s="16"/>
      <c r="BF1862" s="16"/>
      <c r="BJ1862" s="16"/>
      <c r="BN1862" s="16"/>
      <c r="BO1862" s="16">
        <v>32.5</v>
      </c>
      <c r="BP1862" s="16"/>
      <c r="BQ1862" s="16" t="b">
        <v>1</v>
      </c>
      <c r="BR1862" s="16">
        <v>32.5</v>
      </c>
      <c r="BS1862" s="16"/>
      <c r="BT1862" s="16"/>
      <c r="BU1862" s="16" t="s">
        <v>539</v>
      </c>
      <c r="BV1862" s="16"/>
      <c r="BW1862" s="16"/>
      <c r="BX1862" s="16"/>
    </row>
    <row r="1863">
      <c r="A1863" s="16" t="s">
        <v>9421</v>
      </c>
      <c r="B1863" s="16" t="s">
        <v>35</v>
      </c>
      <c r="C1863" s="201">
        <v>46015.0</v>
      </c>
      <c r="D1863" s="16" t="s">
        <v>1160</v>
      </c>
      <c r="E1863" s="16"/>
      <c r="F1863" s="16" t="s">
        <v>11256</v>
      </c>
      <c r="G1863" s="16">
        <v>7.9792017E7</v>
      </c>
      <c r="H1863" s="16">
        <v>1.0</v>
      </c>
      <c r="I1863" s="16">
        <v>1305.85</v>
      </c>
      <c r="J1863" s="16">
        <v>1305.85</v>
      </c>
      <c r="K1863" s="16"/>
      <c r="L1863" s="16"/>
      <c r="M1863" s="16"/>
      <c r="N1863" s="16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D1863" s="16"/>
      <c r="AH1863" s="16"/>
      <c r="AL1863" s="16"/>
      <c r="AP1863" s="16"/>
      <c r="AT1863" s="16"/>
      <c r="AX1863" s="16"/>
      <c r="BF1863" s="16"/>
      <c r="BJ1863" s="16"/>
      <c r="BN1863" s="16"/>
      <c r="BO1863" s="16">
        <v>1305.85</v>
      </c>
      <c r="BP1863" s="16"/>
      <c r="BQ1863" s="16" t="b">
        <v>1</v>
      </c>
      <c r="BR1863" s="16">
        <v>1305.85</v>
      </c>
      <c r="BS1863" s="16"/>
      <c r="BT1863" s="16"/>
      <c r="BU1863" s="16" t="s">
        <v>539</v>
      </c>
      <c r="BV1863" s="16"/>
      <c r="BW1863" s="16"/>
      <c r="BX1863" s="16"/>
    </row>
    <row r="1864">
      <c r="A1864" s="16" t="s">
        <v>9423</v>
      </c>
      <c r="B1864" s="16" t="s">
        <v>35</v>
      </c>
      <c r="C1864" s="201">
        <v>46016.0</v>
      </c>
      <c r="D1864" s="16" t="s">
        <v>1864</v>
      </c>
      <c r="E1864" s="16"/>
      <c r="F1864" s="16" t="s">
        <v>11259</v>
      </c>
      <c r="G1864" s="16" t="s">
        <v>7522</v>
      </c>
      <c r="H1864" s="16">
        <v>1.0</v>
      </c>
      <c r="I1864" s="16">
        <v>2825.53</v>
      </c>
      <c r="J1864" s="16">
        <v>2825.53</v>
      </c>
      <c r="K1864" s="16"/>
      <c r="L1864" s="16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16"/>
      <c r="AD1864" s="16"/>
      <c r="AH1864" s="16"/>
      <c r="AL1864" s="16"/>
      <c r="AP1864" s="16"/>
      <c r="AT1864" s="16"/>
      <c r="AX1864" s="16"/>
      <c r="BF1864" s="16"/>
      <c r="BJ1864" s="16"/>
      <c r="BN1864" s="16"/>
      <c r="BO1864" s="16">
        <v>2825.53</v>
      </c>
      <c r="BP1864" s="16"/>
      <c r="BQ1864" s="16" t="b">
        <v>1</v>
      </c>
      <c r="BR1864" s="16">
        <v>2825.53</v>
      </c>
      <c r="BS1864" s="16"/>
      <c r="BT1864" s="16"/>
      <c r="BU1864" s="16" t="s">
        <v>539</v>
      </c>
      <c r="BV1864" s="16"/>
      <c r="BW1864" s="16"/>
      <c r="BX1864" s="16"/>
    </row>
    <row r="1865">
      <c r="A1865" s="16" t="s">
        <v>9425</v>
      </c>
      <c r="B1865" s="16" t="s">
        <v>35</v>
      </c>
      <c r="C1865" s="201">
        <v>46017.0</v>
      </c>
      <c r="D1865" s="16" t="s">
        <v>1864</v>
      </c>
      <c r="E1865" s="16"/>
      <c r="F1865" s="16" t="s">
        <v>11263</v>
      </c>
      <c r="G1865" s="16" t="s">
        <v>2448</v>
      </c>
      <c r="H1865" s="16">
        <v>1.0</v>
      </c>
      <c r="I1865" s="16">
        <v>563.24</v>
      </c>
      <c r="J1865" s="16">
        <v>563.24</v>
      </c>
      <c r="K1865" s="16"/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D1865" s="16"/>
      <c r="AH1865" s="16"/>
      <c r="AL1865" s="16"/>
      <c r="AP1865" s="16"/>
      <c r="AT1865" s="16"/>
      <c r="AX1865" s="16"/>
      <c r="BF1865" s="16"/>
      <c r="BJ1865" s="16"/>
      <c r="BN1865" s="16"/>
      <c r="BO1865" s="16">
        <v>563.24</v>
      </c>
      <c r="BP1865" s="16"/>
      <c r="BQ1865" s="16" t="b">
        <v>1</v>
      </c>
      <c r="BR1865" s="16">
        <v>563.24</v>
      </c>
      <c r="BS1865" s="16"/>
      <c r="BT1865" s="16"/>
      <c r="BU1865" s="16" t="s">
        <v>539</v>
      </c>
      <c r="BV1865" s="16"/>
      <c r="BW1865" s="16"/>
      <c r="BX1865" s="16"/>
    </row>
    <row r="1866">
      <c r="A1866" s="16" t="s">
        <v>9428</v>
      </c>
      <c r="B1866" s="16" t="s">
        <v>35</v>
      </c>
      <c r="C1866" s="201">
        <v>46013.0</v>
      </c>
      <c r="D1866" s="16" t="s">
        <v>9260</v>
      </c>
      <c r="E1866" s="16" t="s">
        <v>11267</v>
      </c>
      <c r="F1866" s="16" t="s">
        <v>4787</v>
      </c>
      <c r="G1866" s="16" t="s">
        <v>1510</v>
      </c>
      <c r="H1866" s="16">
        <v>1.0</v>
      </c>
      <c r="I1866" s="16">
        <v>28192.87</v>
      </c>
      <c r="J1866" s="16">
        <v>28192.87</v>
      </c>
      <c r="K1866" s="16"/>
      <c r="L1866" s="16"/>
      <c r="M1866" s="16"/>
      <c r="N1866" s="16">
        <v>0.0</v>
      </c>
      <c r="O1866" s="16"/>
      <c r="P1866" s="16"/>
      <c r="Q1866" s="16"/>
      <c r="R1866" s="16">
        <v>0.0</v>
      </c>
      <c r="S1866" s="16"/>
      <c r="T1866" s="16"/>
      <c r="U1866" s="16"/>
      <c r="V1866" s="16">
        <v>0.0</v>
      </c>
      <c r="W1866" s="16"/>
      <c r="X1866" s="16"/>
      <c r="Y1866" s="16"/>
      <c r="Z1866" s="16">
        <v>0.0</v>
      </c>
      <c r="AD1866" s="16">
        <v>0.0</v>
      </c>
      <c r="AH1866" s="16">
        <v>0.0</v>
      </c>
      <c r="AL1866" s="16">
        <v>0.0</v>
      </c>
      <c r="AP1866" s="16">
        <v>0.0</v>
      </c>
      <c r="AT1866" s="16">
        <v>0.0</v>
      </c>
      <c r="AX1866" s="16">
        <v>0.0</v>
      </c>
      <c r="BF1866" s="16">
        <v>0.0</v>
      </c>
      <c r="BJ1866" s="16">
        <v>0.0</v>
      </c>
      <c r="BN1866" s="16">
        <v>0.0</v>
      </c>
      <c r="BO1866" s="16">
        <v>28192.87</v>
      </c>
      <c r="BP1866" s="16" t="s">
        <v>11268</v>
      </c>
      <c r="BQ1866" s="16" t="b">
        <v>1</v>
      </c>
      <c r="BR1866" s="16">
        <v>28192.87</v>
      </c>
      <c r="BS1866" s="16"/>
      <c r="BT1866" s="16" t="b">
        <v>0</v>
      </c>
      <c r="BU1866" s="16" t="s">
        <v>546</v>
      </c>
      <c r="BV1866" s="16"/>
      <c r="BW1866" s="16" t="s">
        <v>11270</v>
      </c>
      <c r="BX1866" s="16" t="s">
        <v>11271</v>
      </c>
    </row>
    <row r="1867">
      <c r="A1867" s="16" t="s">
        <v>9431</v>
      </c>
      <c r="B1867" s="16" t="s">
        <v>35</v>
      </c>
      <c r="C1867" s="201">
        <v>46017.0</v>
      </c>
      <c r="D1867" s="16"/>
      <c r="E1867" s="16"/>
      <c r="F1867" s="16" t="s">
        <v>1329</v>
      </c>
      <c r="G1867" s="16" t="s">
        <v>1168</v>
      </c>
      <c r="H1867" s="16">
        <v>1.0</v>
      </c>
      <c r="I1867" s="16">
        <v>500.0</v>
      </c>
      <c r="J1867" s="16">
        <v>500.0</v>
      </c>
      <c r="K1867" s="16"/>
      <c r="L1867" s="16"/>
      <c r="M1867" s="16"/>
      <c r="N1867" s="16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16"/>
      <c r="AD1867" s="16"/>
      <c r="AH1867" s="16"/>
      <c r="AL1867" s="16"/>
      <c r="AP1867" s="16"/>
      <c r="AT1867" s="16"/>
      <c r="AX1867" s="16"/>
      <c r="BF1867" s="16"/>
      <c r="BJ1867" s="16"/>
      <c r="BN1867" s="16"/>
      <c r="BO1867" s="16">
        <v>500.0</v>
      </c>
      <c r="BP1867" s="16"/>
      <c r="BQ1867" s="16" t="b">
        <v>1</v>
      </c>
      <c r="BR1867" s="16">
        <v>500.0</v>
      </c>
      <c r="BS1867" s="16"/>
      <c r="BT1867" s="16"/>
      <c r="BU1867" s="16" t="s">
        <v>539</v>
      </c>
      <c r="BV1867" s="16" t="s">
        <v>2052</v>
      </c>
      <c r="BW1867" s="16"/>
      <c r="BX1867" s="16"/>
    </row>
    <row r="1868">
      <c r="A1868" s="16" t="s">
        <v>9433</v>
      </c>
      <c r="B1868" s="16" t="s">
        <v>35</v>
      </c>
      <c r="C1868" s="201">
        <v>46017.0</v>
      </c>
      <c r="D1868" s="16"/>
      <c r="E1868" s="16"/>
      <c r="F1868" s="16" t="s">
        <v>1329</v>
      </c>
      <c r="G1868" s="16" t="s">
        <v>1168</v>
      </c>
      <c r="H1868" s="16">
        <v>1.0</v>
      </c>
      <c r="I1868" s="16">
        <v>500.0</v>
      </c>
      <c r="J1868" s="16">
        <v>500.0</v>
      </c>
      <c r="K1868" s="16"/>
      <c r="L1868" s="16"/>
      <c r="M1868" s="16"/>
      <c r="N1868" s="16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16"/>
      <c r="AD1868" s="16"/>
      <c r="AH1868" s="16"/>
      <c r="AL1868" s="16"/>
      <c r="AP1868" s="16"/>
      <c r="AT1868" s="16"/>
      <c r="AX1868" s="16"/>
      <c r="BF1868" s="16"/>
      <c r="BJ1868" s="16"/>
      <c r="BN1868" s="16"/>
      <c r="BO1868" s="16">
        <v>500.0</v>
      </c>
      <c r="BP1868" s="16"/>
      <c r="BQ1868" s="16" t="b">
        <v>1</v>
      </c>
      <c r="BR1868" s="16">
        <v>500.0</v>
      </c>
      <c r="BS1868" s="16"/>
      <c r="BT1868" s="16"/>
      <c r="BU1868" s="16" t="s">
        <v>539</v>
      </c>
      <c r="BV1868" s="16" t="s">
        <v>6062</v>
      </c>
      <c r="BW1868" s="16"/>
      <c r="BX1868" s="16"/>
    </row>
    <row r="1869">
      <c r="A1869" s="16">
        <v>11729.0</v>
      </c>
      <c r="B1869" s="16" t="s">
        <v>35</v>
      </c>
      <c r="C1869" s="201">
        <v>46018.0</v>
      </c>
      <c r="D1869" s="16" t="s">
        <v>460</v>
      </c>
      <c r="E1869" s="16"/>
      <c r="F1869" s="16" t="s">
        <v>10550</v>
      </c>
      <c r="G1869" s="16" t="s">
        <v>1239</v>
      </c>
      <c r="H1869" s="16">
        <v>1.0</v>
      </c>
      <c r="I1869" s="16">
        <v>4083.0</v>
      </c>
      <c r="J1869" s="16">
        <v>4083.0</v>
      </c>
      <c r="K1869" s="16"/>
      <c r="L1869" s="16"/>
      <c r="M1869" s="16"/>
      <c r="N1869" s="16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D1869" s="16"/>
      <c r="AH1869" s="16"/>
      <c r="AL1869" s="16"/>
      <c r="AP1869" s="16"/>
      <c r="AT1869" s="16"/>
      <c r="AX1869" s="16"/>
      <c r="BF1869" s="16"/>
      <c r="BJ1869" s="16"/>
      <c r="BN1869" s="16"/>
      <c r="BO1869" s="16">
        <v>4083.0</v>
      </c>
      <c r="BP1869" s="16"/>
      <c r="BQ1869" s="16" t="b">
        <v>1</v>
      </c>
      <c r="BR1869" s="16">
        <v>4083.0</v>
      </c>
      <c r="BS1869" s="16"/>
      <c r="BT1869" s="16"/>
      <c r="BU1869" s="16" t="s">
        <v>539</v>
      </c>
      <c r="BV1869" s="16"/>
      <c r="BW1869" s="16"/>
      <c r="BX1869" s="16"/>
    </row>
    <row r="1870">
      <c r="A1870" s="16" t="s">
        <v>9440</v>
      </c>
      <c r="B1870" s="16" t="s">
        <v>35</v>
      </c>
      <c r="C1870" s="201">
        <v>46018.0</v>
      </c>
      <c r="D1870" s="16"/>
      <c r="E1870" s="16"/>
      <c r="F1870" s="16" t="s">
        <v>1329</v>
      </c>
      <c r="G1870" s="16" t="s">
        <v>1168</v>
      </c>
      <c r="H1870" s="16">
        <v>1.0</v>
      </c>
      <c r="I1870" s="16">
        <v>500.0</v>
      </c>
      <c r="J1870" s="16">
        <v>500.0</v>
      </c>
      <c r="K1870" s="16"/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D1870" s="16"/>
      <c r="AH1870" s="16"/>
      <c r="AL1870" s="16"/>
      <c r="AP1870" s="16"/>
      <c r="AT1870" s="16"/>
      <c r="AX1870" s="16"/>
      <c r="BF1870" s="16"/>
      <c r="BJ1870" s="16"/>
      <c r="BN1870" s="16"/>
      <c r="BO1870" s="16">
        <v>500.0</v>
      </c>
      <c r="BP1870" s="16"/>
      <c r="BQ1870" s="16" t="b">
        <v>1</v>
      </c>
      <c r="BR1870" s="16">
        <v>500.0</v>
      </c>
      <c r="BS1870" s="16"/>
      <c r="BT1870" s="16"/>
      <c r="BU1870" s="16" t="s">
        <v>539</v>
      </c>
      <c r="BV1870" s="16" t="s">
        <v>227</v>
      </c>
      <c r="BW1870" s="16"/>
      <c r="BX1870" s="16"/>
    </row>
    <row r="1871">
      <c r="A1871" s="16" t="s">
        <v>9442</v>
      </c>
      <c r="B1871" s="16" t="s">
        <v>35</v>
      </c>
      <c r="C1871" s="201">
        <v>46018.0</v>
      </c>
      <c r="D1871" s="16" t="s">
        <v>112</v>
      </c>
      <c r="E1871" s="16" t="s">
        <v>11286</v>
      </c>
      <c r="F1871" s="16" t="s">
        <v>157</v>
      </c>
      <c r="G1871" s="16" t="s">
        <v>226</v>
      </c>
      <c r="H1871" s="16">
        <v>15.0</v>
      </c>
      <c r="I1871" s="16">
        <v>8.0</v>
      </c>
      <c r="J1871" s="16">
        <v>120.0</v>
      </c>
      <c r="K1871" s="16" t="s">
        <v>230</v>
      </c>
      <c r="L1871" s="16">
        <v>1.0</v>
      </c>
      <c r="M1871" s="16">
        <v>234.9</v>
      </c>
      <c r="N1871" s="16">
        <v>234.9</v>
      </c>
      <c r="O1871" s="16" t="s">
        <v>155</v>
      </c>
      <c r="P1871" s="16">
        <v>1.0</v>
      </c>
      <c r="Q1871" s="16">
        <v>58.8</v>
      </c>
      <c r="R1871" s="16">
        <v>58.8</v>
      </c>
      <c r="S1871" s="16" t="s">
        <v>159</v>
      </c>
      <c r="T1871" s="16">
        <v>1.0</v>
      </c>
      <c r="U1871" s="16">
        <v>300.0</v>
      </c>
      <c r="V1871" s="16">
        <v>300.0</v>
      </c>
      <c r="W1871" s="16"/>
      <c r="X1871" s="16"/>
      <c r="Y1871" s="16"/>
      <c r="Z1871" s="16">
        <v>0.0</v>
      </c>
      <c r="AD1871" s="16">
        <v>0.0</v>
      </c>
      <c r="AH1871" s="16">
        <v>0.0</v>
      </c>
      <c r="AL1871" s="16">
        <v>0.0</v>
      </c>
      <c r="AP1871" s="16">
        <v>0.0</v>
      </c>
      <c r="AT1871" s="16">
        <v>0.0</v>
      </c>
      <c r="AX1871" s="16">
        <v>0.0</v>
      </c>
      <c r="BF1871" s="16">
        <v>0.0</v>
      </c>
      <c r="BJ1871" s="16">
        <v>0.0</v>
      </c>
      <c r="BN1871" s="16">
        <v>0.0</v>
      </c>
      <c r="BO1871" s="16">
        <v>713.7</v>
      </c>
      <c r="BP1871" s="16" t="s">
        <v>11287</v>
      </c>
      <c r="BQ1871" s="16" t="b">
        <v>1</v>
      </c>
      <c r="BR1871" s="16">
        <v>713.44</v>
      </c>
      <c r="BS1871" s="16"/>
      <c r="BT1871" s="16" t="b">
        <v>0</v>
      </c>
      <c r="BU1871" s="16" t="s">
        <v>546</v>
      </c>
      <c r="BV1871" s="16"/>
      <c r="BW1871" s="16"/>
      <c r="BX1871" s="16"/>
    </row>
    <row r="1872">
      <c r="A1872" s="16" t="s">
        <v>9449</v>
      </c>
      <c r="B1872" s="16" t="s">
        <v>35</v>
      </c>
      <c r="C1872" s="201">
        <v>46017.0</v>
      </c>
      <c r="D1872" s="16" t="s">
        <v>112</v>
      </c>
      <c r="E1872" s="16" t="s">
        <v>11290</v>
      </c>
      <c r="F1872" s="16" t="s">
        <v>157</v>
      </c>
      <c r="G1872" s="16" t="s">
        <v>226</v>
      </c>
      <c r="H1872" s="16">
        <v>1.0</v>
      </c>
      <c r="I1872" s="16">
        <v>24.0</v>
      </c>
      <c r="J1872" s="16">
        <v>24.0</v>
      </c>
      <c r="K1872" s="16" t="s">
        <v>152</v>
      </c>
      <c r="L1872" s="16">
        <v>1.0</v>
      </c>
      <c r="M1872" s="16">
        <v>15.82</v>
      </c>
      <c r="N1872" s="16">
        <v>15.82</v>
      </c>
      <c r="O1872" s="16" t="s">
        <v>230</v>
      </c>
      <c r="P1872" s="16">
        <v>1.0</v>
      </c>
      <c r="Q1872" s="16">
        <v>291.16</v>
      </c>
      <c r="R1872" s="16">
        <v>291.16</v>
      </c>
      <c r="S1872" s="16" t="s">
        <v>155</v>
      </c>
      <c r="T1872" s="16">
        <v>1.0</v>
      </c>
      <c r="U1872" s="16">
        <v>35.13</v>
      </c>
      <c r="V1872" s="16">
        <v>35.13</v>
      </c>
      <c r="W1872" s="16" t="s">
        <v>159</v>
      </c>
      <c r="X1872" s="16">
        <v>1.0</v>
      </c>
      <c r="Y1872" s="16">
        <v>120.0</v>
      </c>
      <c r="Z1872" s="16">
        <v>120.0</v>
      </c>
      <c r="AD1872" s="16">
        <v>0.0</v>
      </c>
      <c r="AH1872" s="16">
        <v>0.0</v>
      </c>
      <c r="AL1872" s="16">
        <v>0.0</v>
      </c>
      <c r="AP1872" s="16">
        <v>0.0</v>
      </c>
      <c r="AT1872" s="16">
        <v>0.0</v>
      </c>
      <c r="AX1872" s="16">
        <v>0.0</v>
      </c>
      <c r="BF1872" s="16">
        <v>0.0</v>
      </c>
      <c r="BJ1872" s="16">
        <v>0.0</v>
      </c>
      <c r="BN1872" s="16">
        <v>0.0</v>
      </c>
      <c r="BO1872" s="16">
        <v>486.11</v>
      </c>
      <c r="BP1872" s="16" t="s">
        <v>11291</v>
      </c>
      <c r="BQ1872" s="16" t="b">
        <v>1</v>
      </c>
      <c r="BR1872" s="16">
        <v>486.11</v>
      </c>
      <c r="BS1872" s="16"/>
      <c r="BT1872" s="16" t="b">
        <v>0</v>
      </c>
      <c r="BU1872" s="16" t="s">
        <v>546</v>
      </c>
      <c r="BV1872" s="16"/>
      <c r="BW1872" s="16"/>
      <c r="BX1872" s="16"/>
    </row>
    <row r="1873">
      <c r="A1873" s="16" t="s">
        <v>9457</v>
      </c>
      <c r="B1873" s="16" t="s">
        <v>35</v>
      </c>
      <c r="C1873" s="201">
        <v>46017.0</v>
      </c>
      <c r="D1873" s="16" t="s">
        <v>3493</v>
      </c>
      <c r="E1873" s="16" t="s">
        <v>11295</v>
      </c>
      <c r="F1873" s="16" t="s">
        <v>11297</v>
      </c>
      <c r="G1873" s="16" t="s">
        <v>685</v>
      </c>
      <c r="H1873" s="16">
        <v>1.0</v>
      </c>
      <c r="I1873" s="16">
        <v>7.99</v>
      </c>
      <c r="J1873" s="16">
        <v>7.99</v>
      </c>
      <c r="K1873" s="16"/>
      <c r="L1873" s="16"/>
      <c r="M1873" s="16"/>
      <c r="N1873" s="16">
        <v>0.0</v>
      </c>
      <c r="O1873" s="16"/>
      <c r="P1873" s="16"/>
      <c r="Q1873" s="16"/>
      <c r="R1873" s="16">
        <v>0.0</v>
      </c>
      <c r="S1873" s="16"/>
      <c r="T1873" s="16"/>
      <c r="U1873" s="16"/>
      <c r="V1873" s="16">
        <v>0.0</v>
      </c>
      <c r="W1873" s="16"/>
      <c r="X1873" s="16"/>
      <c r="Y1873" s="16"/>
      <c r="Z1873" s="16">
        <v>0.0</v>
      </c>
      <c r="AD1873" s="16">
        <v>0.0</v>
      </c>
      <c r="AH1873" s="16">
        <v>0.0</v>
      </c>
      <c r="AL1873" s="16">
        <v>0.0</v>
      </c>
      <c r="AP1873" s="16">
        <v>0.0</v>
      </c>
      <c r="AT1873" s="16">
        <v>0.0</v>
      </c>
      <c r="AX1873" s="16">
        <v>0.0</v>
      </c>
      <c r="BF1873" s="16">
        <v>0.0</v>
      </c>
      <c r="BJ1873" s="16">
        <v>0.0</v>
      </c>
      <c r="BN1873" s="16">
        <v>0.0</v>
      </c>
      <c r="BO1873" s="16">
        <v>7.99</v>
      </c>
      <c r="BP1873" s="16" t="s">
        <v>11296</v>
      </c>
      <c r="BQ1873" s="16" t="b">
        <v>1</v>
      </c>
      <c r="BR1873" s="16">
        <v>7.99</v>
      </c>
      <c r="BS1873" s="21" t="s">
        <v>13840</v>
      </c>
      <c r="BT1873" s="16" t="b">
        <v>1</v>
      </c>
      <c r="BU1873" s="16" t="s">
        <v>546</v>
      </c>
      <c r="BV1873" s="16"/>
      <c r="BW1873" s="16"/>
      <c r="BX1873" s="16"/>
    </row>
    <row r="1874">
      <c r="A1874" s="16" t="s">
        <v>9459</v>
      </c>
      <c r="B1874" s="16" t="s">
        <v>35</v>
      </c>
      <c r="C1874" s="201">
        <v>46017.0</v>
      </c>
      <c r="D1874" s="21" t="s">
        <v>12789</v>
      </c>
      <c r="E1874" s="16" t="s">
        <v>11300</v>
      </c>
      <c r="F1874" s="16" t="s">
        <v>11302</v>
      </c>
      <c r="G1874" s="16" t="s">
        <v>305</v>
      </c>
      <c r="H1874" s="16">
        <v>1.0</v>
      </c>
      <c r="I1874" s="16">
        <v>85.93</v>
      </c>
      <c r="J1874" s="16">
        <v>85.93</v>
      </c>
      <c r="K1874" s="16"/>
      <c r="L1874" s="16"/>
      <c r="M1874" s="16"/>
      <c r="N1874" s="16">
        <v>0.0</v>
      </c>
      <c r="O1874" s="16"/>
      <c r="P1874" s="16"/>
      <c r="Q1874" s="16"/>
      <c r="R1874" s="16">
        <v>0.0</v>
      </c>
      <c r="S1874" s="16"/>
      <c r="T1874" s="16"/>
      <c r="U1874" s="16"/>
      <c r="V1874" s="16">
        <v>0.0</v>
      </c>
      <c r="W1874" s="16"/>
      <c r="X1874" s="16"/>
      <c r="Y1874" s="16"/>
      <c r="Z1874" s="16">
        <v>0.0</v>
      </c>
      <c r="AD1874" s="16">
        <v>0.0</v>
      </c>
      <c r="AH1874" s="16">
        <v>0.0</v>
      </c>
      <c r="AL1874" s="16">
        <v>0.0</v>
      </c>
      <c r="AP1874" s="16">
        <v>0.0</v>
      </c>
      <c r="AT1874" s="16">
        <v>0.0</v>
      </c>
      <c r="AX1874" s="16">
        <v>0.0</v>
      </c>
      <c r="BF1874" s="16">
        <v>0.0</v>
      </c>
      <c r="BJ1874" s="16">
        <v>0.0</v>
      </c>
      <c r="BN1874" s="16">
        <v>0.0</v>
      </c>
      <c r="BO1874" s="16">
        <v>85.93</v>
      </c>
      <c r="BP1874" s="16" t="s">
        <v>11301</v>
      </c>
      <c r="BQ1874" s="16" t="b">
        <v>1</v>
      </c>
      <c r="BR1874" s="16">
        <v>85.93</v>
      </c>
      <c r="BS1874" s="21" t="s">
        <v>13844</v>
      </c>
      <c r="BT1874" s="16" t="b">
        <v>1</v>
      </c>
      <c r="BU1874" s="16" t="s">
        <v>546</v>
      </c>
      <c r="BV1874" s="16"/>
      <c r="BW1874" s="16"/>
      <c r="BX1874" s="16"/>
    </row>
    <row r="1875">
      <c r="A1875" s="16" t="s">
        <v>9461</v>
      </c>
      <c r="B1875" s="16" t="s">
        <v>35</v>
      </c>
      <c r="C1875" s="201">
        <v>46020.0</v>
      </c>
      <c r="D1875" s="16" t="s">
        <v>145</v>
      </c>
      <c r="E1875" s="16" t="s">
        <v>11306</v>
      </c>
      <c r="F1875" s="16" t="s">
        <v>147</v>
      </c>
      <c r="G1875" s="16" t="s">
        <v>1195</v>
      </c>
      <c r="H1875" s="16">
        <v>3.0</v>
      </c>
      <c r="I1875" s="16">
        <v>24.0</v>
      </c>
      <c r="J1875" s="16">
        <v>72.0</v>
      </c>
      <c r="K1875" s="16" t="s">
        <v>1197</v>
      </c>
      <c r="L1875" s="16">
        <v>4.0</v>
      </c>
      <c r="M1875" s="16">
        <v>22.0</v>
      </c>
      <c r="N1875" s="16">
        <v>88.0</v>
      </c>
      <c r="O1875" s="16" t="s">
        <v>266</v>
      </c>
      <c r="P1875" s="16">
        <v>3.0</v>
      </c>
      <c r="Q1875" s="16">
        <v>20.0</v>
      </c>
      <c r="R1875" s="16">
        <v>60.0</v>
      </c>
      <c r="S1875" s="16" t="s">
        <v>1683</v>
      </c>
      <c r="T1875" s="16">
        <v>1.0</v>
      </c>
      <c r="U1875" s="16">
        <v>30.0</v>
      </c>
      <c r="V1875" s="16">
        <v>30.0</v>
      </c>
      <c r="W1875" s="16"/>
      <c r="X1875" s="16"/>
      <c r="Y1875" s="16"/>
      <c r="Z1875" s="16">
        <v>0.0</v>
      </c>
      <c r="AD1875" s="16">
        <v>0.0</v>
      </c>
      <c r="AH1875" s="16">
        <v>0.0</v>
      </c>
      <c r="AL1875" s="16">
        <v>0.0</v>
      </c>
      <c r="AP1875" s="16">
        <v>0.0</v>
      </c>
      <c r="AT1875" s="16">
        <v>0.0</v>
      </c>
      <c r="AX1875" s="16">
        <v>0.0</v>
      </c>
      <c r="BF1875" s="16">
        <v>0.0</v>
      </c>
      <c r="BJ1875" s="16">
        <v>0.0</v>
      </c>
      <c r="BN1875" s="16">
        <v>0.0</v>
      </c>
      <c r="BO1875" s="16">
        <v>250.0</v>
      </c>
      <c r="BP1875" s="16" t="s">
        <v>11307</v>
      </c>
      <c r="BQ1875" s="16" t="b">
        <v>1</v>
      </c>
      <c r="BR1875" s="16">
        <v>252.0</v>
      </c>
      <c r="BS1875" s="16"/>
      <c r="BT1875" s="16" t="b">
        <v>0</v>
      </c>
      <c r="BU1875" s="16" t="s">
        <v>546</v>
      </c>
      <c r="BV1875" s="16"/>
      <c r="BW1875" s="16"/>
      <c r="BX1875" s="16"/>
    </row>
    <row r="1876">
      <c r="A1876" s="16" t="s">
        <v>9468</v>
      </c>
      <c r="B1876" s="16" t="s">
        <v>35</v>
      </c>
      <c r="C1876" s="201">
        <v>46020.0</v>
      </c>
      <c r="D1876" s="16" t="s">
        <v>780</v>
      </c>
      <c r="E1876" s="16" t="s">
        <v>11313</v>
      </c>
      <c r="F1876" s="16" t="s">
        <v>195</v>
      </c>
      <c r="G1876" s="16" t="s">
        <v>1074</v>
      </c>
      <c r="H1876" s="16">
        <v>7.0</v>
      </c>
      <c r="I1876" s="16">
        <v>40.0</v>
      </c>
      <c r="J1876" s="16">
        <v>280.0</v>
      </c>
      <c r="K1876" s="16" t="s">
        <v>1075</v>
      </c>
      <c r="L1876" s="16">
        <v>6.0</v>
      </c>
      <c r="M1876" s="16">
        <v>20.0</v>
      </c>
      <c r="N1876" s="16">
        <v>120.0</v>
      </c>
      <c r="O1876" s="16" t="s">
        <v>1081</v>
      </c>
      <c r="P1876" s="16">
        <v>6.0</v>
      </c>
      <c r="Q1876" s="16">
        <v>45.0</v>
      </c>
      <c r="R1876" s="16">
        <v>270.0</v>
      </c>
      <c r="S1876" s="16" t="s">
        <v>1081</v>
      </c>
      <c r="T1876" s="16">
        <v>1.0</v>
      </c>
      <c r="U1876" s="16">
        <v>19.57</v>
      </c>
      <c r="V1876" s="16">
        <v>19.57</v>
      </c>
      <c r="W1876" s="16"/>
      <c r="X1876" s="16"/>
      <c r="Y1876" s="16"/>
      <c r="Z1876" s="16">
        <v>0.0</v>
      </c>
      <c r="AD1876" s="16">
        <v>0.0</v>
      </c>
      <c r="AH1876" s="16">
        <v>0.0</v>
      </c>
      <c r="AL1876" s="16">
        <v>0.0</v>
      </c>
      <c r="AP1876" s="16">
        <v>0.0</v>
      </c>
      <c r="AT1876" s="16">
        <v>0.0</v>
      </c>
      <c r="AX1876" s="16">
        <v>0.0</v>
      </c>
      <c r="BF1876" s="16">
        <v>0.0</v>
      </c>
      <c r="BJ1876" s="16">
        <v>0.0</v>
      </c>
      <c r="BN1876" s="16">
        <v>0.0</v>
      </c>
      <c r="BO1876" s="16">
        <v>689.57</v>
      </c>
      <c r="BP1876" s="16" t="s">
        <v>11315</v>
      </c>
      <c r="BQ1876" s="16" t="b">
        <v>1</v>
      </c>
      <c r="BR1876" s="16">
        <v>689.57</v>
      </c>
      <c r="BS1876" s="16"/>
      <c r="BT1876" s="16" t="b">
        <v>0</v>
      </c>
      <c r="BU1876" s="16" t="s">
        <v>546</v>
      </c>
      <c r="BV1876" s="16"/>
      <c r="BW1876" s="16" t="s">
        <v>11317</v>
      </c>
      <c r="BX1876" s="16"/>
    </row>
    <row r="1877">
      <c r="A1877" s="16">
        <v>11727.0</v>
      </c>
      <c r="B1877" s="16" t="s">
        <v>35</v>
      </c>
      <c r="C1877" s="201">
        <v>46021.0</v>
      </c>
      <c r="D1877" s="16" t="s">
        <v>9825</v>
      </c>
      <c r="E1877" s="16"/>
      <c r="F1877" s="16" t="s">
        <v>9826</v>
      </c>
      <c r="G1877" s="16" t="s">
        <v>2870</v>
      </c>
      <c r="H1877" s="16">
        <v>1.0</v>
      </c>
      <c r="I1877" s="16">
        <v>436.88</v>
      </c>
      <c r="J1877" s="16">
        <v>436.88</v>
      </c>
      <c r="K1877" s="16"/>
      <c r="L1877" s="16"/>
      <c r="M1877" s="16"/>
      <c r="N1877" s="16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D1877" s="16"/>
      <c r="AH1877" s="16"/>
      <c r="AL1877" s="16"/>
      <c r="AP1877" s="16"/>
      <c r="AT1877" s="16"/>
      <c r="AX1877" s="16"/>
      <c r="BF1877" s="16"/>
      <c r="BJ1877" s="16"/>
      <c r="BN1877" s="16"/>
      <c r="BO1877" s="16">
        <v>436.88</v>
      </c>
      <c r="BP1877" s="16"/>
      <c r="BQ1877" s="16" t="b">
        <v>1</v>
      </c>
      <c r="BR1877" s="16">
        <v>436.88</v>
      </c>
      <c r="BS1877" s="16"/>
      <c r="BT1877" s="16"/>
      <c r="BU1877" s="16" t="s">
        <v>539</v>
      </c>
      <c r="BV1877" s="16"/>
      <c r="BW1877" s="16"/>
      <c r="BX1877" s="16"/>
    </row>
    <row r="1878">
      <c r="A1878" s="16">
        <v>11728.0</v>
      </c>
      <c r="B1878" s="16" t="s">
        <v>35</v>
      </c>
      <c r="C1878" s="201">
        <v>46021.0</v>
      </c>
      <c r="D1878" s="16" t="s">
        <v>9825</v>
      </c>
      <c r="E1878" s="16"/>
      <c r="F1878" s="16" t="s">
        <v>9835</v>
      </c>
      <c r="G1878" s="16" t="s">
        <v>2870</v>
      </c>
      <c r="H1878" s="16">
        <v>1.0</v>
      </c>
      <c r="I1878" s="16">
        <v>87.68</v>
      </c>
      <c r="J1878" s="16">
        <v>87.68</v>
      </c>
      <c r="K1878" s="16"/>
      <c r="L1878" s="16"/>
      <c r="M1878" s="16"/>
      <c r="N1878" s="16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D1878" s="16"/>
      <c r="AH1878" s="16"/>
      <c r="AL1878" s="16"/>
      <c r="AP1878" s="16"/>
      <c r="AT1878" s="16"/>
      <c r="AX1878" s="16"/>
      <c r="BF1878" s="16"/>
      <c r="BJ1878" s="16"/>
      <c r="BN1878" s="16"/>
      <c r="BO1878" s="16">
        <v>87.68</v>
      </c>
      <c r="BP1878" s="16"/>
      <c r="BQ1878" s="16" t="b">
        <v>1</v>
      </c>
      <c r="BR1878" s="16">
        <v>87.68</v>
      </c>
      <c r="BS1878" s="16"/>
      <c r="BT1878" s="16"/>
      <c r="BU1878" s="16" t="s">
        <v>539</v>
      </c>
      <c r="BV1878" s="16"/>
      <c r="BW1878" s="16"/>
      <c r="BX1878" s="16"/>
    </row>
    <row r="1879">
      <c r="A1879" s="16">
        <v>11730.0</v>
      </c>
      <c r="B1879" s="16" t="s">
        <v>35</v>
      </c>
      <c r="C1879" s="201">
        <v>46021.0</v>
      </c>
      <c r="D1879" s="16" t="s">
        <v>460</v>
      </c>
      <c r="E1879" s="16"/>
      <c r="F1879" s="16" t="s">
        <v>11326</v>
      </c>
      <c r="G1879" s="16" t="s">
        <v>1126</v>
      </c>
      <c r="H1879" s="16">
        <v>1.0</v>
      </c>
      <c r="I1879" s="16">
        <v>72.0</v>
      </c>
      <c r="J1879" s="16">
        <v>72.0</v>
      </c>
      <c r="K1879" s="16"/>
      <c r="L1879" s="16"/>
      <c r="M1879" s="16"/>
      <c r="N1879" s="16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D1879" s="16"/>
      <c r="AH1879" s="16"/>
      <c r="AL1879" s="16"/>
      <c r="AP1879" s="16"/>
      <c r="AT1879" s="16"/>
      <c r="AX1879" s="16"/>
      <c r="BF1879" s="16"/>
      <c r="BJ1879" s="16"/>
      <c r="BN1879" s="16"/>
      <c r="BO1879" s="16">
        <v>72.0</v>
      </c>
      <c r="BP1879" s="16"/>
      <c r="BQ1879" s="16" t="b">
        <v>1</v>
      </c>
      <c r="BR1879" s="16">
        <v>72.0</v>
      </c>
      <c r="BS1879" s="16"/>
      <c r="BT1879" s="16"/>
      <c r="BU1879" s="16" t="s">
        <v>539</v>
      </c>
      <c r="BV1879" s="16"/>
      <c r="BW1879" s="16"/>
      <c r="BX1879" s="16"/>
    </row>
    <row r="1880">
      <c r="A1880" s="16">
        <v>11735.0</v>
      </c>
      <c r="B1880" s="16" t="s">
        <v>35</v>
      </c>
      <c r="C1880" s="201">
        <v>46021.0</v>
      </c>
      <c r="D1880" s="16"/>
      <c r="E1880" s="16"/>
      <c r="F1880" s="16" t="s">
        <v>8658</v>
      </c>
      <c r="G1880" s="16" t="s">
        <v>1239</v>
      </c>
      <c r="H1880" s="16">
        <v>1.0</v>
      </c>
      <c r="I1880" s="16">
        <v>1863.44</v>
      </c>
      <c r="J1880" s="16">
        <v>1863.44</v>
      </c>
      <c r="K1880" s="16"/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D1880" s="16"/>
      <c r="AH1880" s="16"/>
      <c r="AL1880" s="16"/>
      <c r="AP1880" s="16"/>
      <c r="AT1880" s="16"/>
      <c r="AX1880" s="16"/>
      <c r="BF1880" s="16"/>
      <c r="BJ1880" s="16"/>
      <c r="BN1880" s="16"/>
      <c r="BO1880" s="16">
        <v>1863.44</v>
      </c>
      <c r="BP1880" s="16"/>
      <c r="BQ1880" s="16" t="b">
        <v>1</v>
      </c>
      <c r="BR1880" s="16">
        <v>1863.44</v>
      </c>
      <c r="BS1880" s="16"/>
      <c r="BT1880" s="16"/>
      <c r="BU1880" s="16" t="s">
        <v>539</v>
      </c>
      <c r="BV1880" s="16" t="s">
        <v>2052</v>
      </c>
      <c r="BW1880" s="16"/>
      <c r="BX1880" s="16"/>
    </row>
    <row r="1881">
      <c r="A1881" s="16">
        <v>11736.0</v>
      </c>
      <c r="B1881" s="16" t="s">
        <v>35</v>
      </c>
      <c r="C1881" s="201">
        <v>46021.0</v>
      </c>
      <c r="D1881" s="16"/>
      <c r="E1881" s="16"/>
      <c r="F1881" s="16" t="s">
        <v>8658</v>
      </c>
      <c r="G1881" s="16" t="s">
        <v>1239</v>
      </c>
      <c r="H1881" s="16">
        <v>1.0</v>
      </c>
      <c r="I1881" s="16">
        <v>1858.58</v>
      </c>
      <c r="J1881" s="16">
        <v>1858.58</v>
      </c>
      <c r="K1881" s="16"/>
      <c r="L1881" s="16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D1881" s="16"/>
      <c r="AH1881" s="16"/>
      <c r="AL1881" s="16"/>
      <c r="AP1881" s="16"/>
      <c r="AT1881" s="16"/>
      <c r="AX1881" s="16"/>
      <c r="BF1881" s="16"/>
      <c r="BJ1881" s="16"/>
      <c r="BN1881" s="16"/>
      <c r="BO1881" s="16">
        <v>1858.58</v>
      </c>
      <c r="BP1881" s="16"/>
      <c r="BQ1881" s="16" t="b">
        <v>1</v>
      </c>
      <c r="BR1881" s="16">
        <v>1858.58</v>
      </c>
      <c r="BS1881" s="16"/>
      <c r="BT1881" s="16"/>
      <c r="BU1881" s="16" t="s">
        <v>539</v>
      </c>
      <c r="BV1881" s="16" t="s">
        <v>227</v>
      </c>
      <c r="BW1881" s="16"/>
      <c r="BX1881" s="16"/>
    </row>
    <row r="1882">
      <c r="A1882" s="16">
        <v>11737.0</v>
      </c>
      <c r="B1882" s="16" t="s">
        <v>35</v>
      </c>
      <c r="C1882" s="201">
        <v>46021.0</v>
      </c>
      <c r="D1882" s="16"/>
      <c r="E1882" s="16"/>
      <c r="F1882" s="16" t="s">
        <v>8658</v>
      </c>
      <c r="G1882" s="16" t="s">
        <v>1239</v>
      </c>
      <c r="H1882" s="16">
        <v>1.0</v>
      </c>
      <c r="I1882" s="16">
        <v>1624.92</v>
      </c>
      <c r="J1882" s="16">
        <v>1624.92</v>
      </c>
      <c r="K1882" s="16"/>
      <c r="L1882" s="16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D1882" s="16"/>
      <c r="AH1882" s="16"/>
      <c r="AL1882" s="16"/>
      <c r="AP1882" s="16"/>
      <c r="AT1882" s="16"/>
      <c r="AX1882" s="16"/>
      <c r="BF1882" s="16"/>
      <c r="BJ1882" s="16"/>
      <c r="BN1882" s="16"/>
      <c r="BO1882" s="16">
        <v>1624.92</v>
      </c>
      <c r="BP1882" s="16"/>
      <c r="BQ1882" s="16" t="b">
        <v>1</v>
      </c>
      <c r="BR1882" s="16">
        <v>1624.92</v>
      </c>
      <c r="BS1882" s="16"/>
      <c r="BT1882" s="16"/>
      <c r="BU1882" s="16" t="s">
        <v>539</v>
      </c>
      <c r="BV1882" s="16" t="s">
        <v>6062</v>
      </c>
      <c r="BW1882" s="16"/>
      <c r="BX1882" s="16"/>
    </row>
    <row r="1883">
      <c r="A1883" s="16" t="s">
        <v>9482</v>
      </c>
      <c r="B1883" s="16" t="s">
        <v>35</v>
      </c>
      <c r="C1883" s="201">
        <v>46021.0</v>
      </c>
      <c r="D1883" s="16" t="s">
        <v>890</v>
      </c>
      <c r="E1883" s="16"/>
      <c r="F1883" s="16" t="s">
        <v>11340</v>
      </c>
      <c r="G1883" s="16" t="s">
        <v>8458</v>
      </c>
      <c r="H1883" s="16">
        <v>1.0</v>
      </c>
      <c r="I1883" s="16">
        <v>6019.0</v>
      </c>
      <c r="J1883" s="16">
        <v>6019.0</v>
      </c>
      <c r="K1883" s="16"/>
      <c r="L1883" s="16"/>
      <c r="M1883" s="16"/>
      <c r="N1883" s="16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16"/>
      <c r="AD1883" s="16"/>
      <c r="AH1883" s="16"/>
      <c r="AL1883" s="16"/>
      <c r="AP1883" s="16"/>
      <c r="AT1883" s="16"/>
      <c r="AX1883" s="16"/>
      <c r="BF1883" s="16"/>
      <c r="BJ1883" s="16"/>
      <c r="BN1883" s="16"/>
      <c r="BO1883" s="16">
        <v>6019.0</v>
      </c>
      <c r="BP1883" s="16"/>
      <c r="BQ1883" s="16" t="b">
        <v>1</v>
      </c>
      <c r="BR1883" s="16">
        <v>6019.0</v>
      </c>
      <c r="BS1883" s="16"/>
      <c r="BT1883" s="16"/>
      <c r="BU1883" s="16" t="s">
        <v>539</v>
      </c>
      <c r="BV1883" s="16"/>
      <c r="BW1883" s="16"/>
      <c r="BX1883" s="16"/>
    </row>
    <row r="1884">
      <c r="A1884" s="16" t="s">
        <v>9484</v>
      </c>
      <c r="B1884" s="16" t="s">
        <v>35</v>
      </c>
      <c r="C1884" s="201">
        <v>46021.0</v>
      </c>
      <c r="D1884" s="16" t="s">
        <v>543</v>
      </c>
      <c r="E1884" s="16"/>
      <c r="F1884" s="16" t="s">
        <v>140</v>
      </c>
      <c r="G1884" s="16">
        <v>1.2539885E7</v>
      </c>
      <c r="H1884" s="16">
        <v>1.0</v>
      </c>
      <c r="I1884" s="16">
        <v>550.0</v>
      </c>
      <c r="J1884" s="16">
        <v>550.0</v>
      </c>
      <c r="K1884" s="16"/>
      <c r="L1884" s="16"/>
      <c r="M1884" s="16"/>
      <c r="N1884" s="16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16"/>
      <c r="AD1884" s="16"/>
      <c r="AH1884" s="16"/>
      <c r="AL1884" s="16"/>
      <c r="AP1884" s="16"/>
      <c r="AT1884" s="16"/>
      <c r="AX1884" s="16"/>
      <c r="BF1884" s="16"/>
      <c r="BJ1884" s="16"/>
      <c r="BN1884" s="16"/>
      <c r="BO1884" s="16">
        <v>550.0</v>
      </c>
      <c r="BP1884" s="16"/>
      <c r="BQ1884" s="16" t="b">
        <v>1</v>
      </c>
      <c r="BR1884" s="16">
        <v>550.0</v>
      </c>
      <c r="BS1884" s="16"/>
      <c r="BT1884" s="16"/>
      <c r="BU1884" s="16" t="s">
        <v>539</v>
      </c>
      <c r="BV1884" s="16"/>
      <c r="BW1884" s="16"/>
      <c r="BX1884" s="16"/>
    </row>
    <row r="1885">
      <c r="A1885" s="16" t="s">
        <v>9486</v>
      </c>
      <c r="B1885" s="16" t="s">
        <v>35</v>
      </c>
      <c r="C1885" s="201">
        <v>46021.0</v>
      </c>
      <c r="D1885" s="16" t="s">
        <v>11345</v>
      </c>
      <c r="E1885" s="16"/>
      <c r="F1885" s="16" t="s">
        <v>11347</v>
      </c>
      <c r="G1885" s="16" t="s">
        <v>9487</v>
      </c>
      <c r="H1885" s="16">
        <v>1.0</v>
      </c>
      <c r="I1885" s="16">
        <v>100.0</v>
      </c>
      <c r="J1885" s="16">
        <v>100.0</v>
      </c>
      <c r="K1885" s="16"/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D1885" s="16"/>
      <c r="AH1885" s="16"/>
      <c r="AL1885" s="16"/>
      <c r="AP1885" s="16"/>
      <c r="AT1885" s="16"/>
      <c r="AX1885" s="16"/>
      <c r="BF1885" s="16"/>
      <c r="BJ1885" s="16"/>
      <c r="BN1885" s="16"/>
      <c r="BO1885" s="16">
        <v>100.0</v>
      </c>
      <c r="BP1885" s="16"/>
      <c r="BQ1885" s="16" t="b">
        <v>1</v>
      </c>
      <c r="BR1885" s="16">
        <v>100.0</v>
      </c>
      <c r="BS1885" s="16"/>
      <c r="BT1885" s="16"/>
      <c r="BU1885" s="16" t="s">
        <v>539</v>
      </c>
      <c r="BV1885" s="16"/>
      <c r="BW1885" s="16"/>
      <c r="BX1885" s="16"/>
    </row>
    <row r="1886">
      <c r="A1886" s="16" t="s">
        <v>9489</v>
      </c>
      <c r="B1886" s="16" t="s">
        <v>35</v>
      </c>
      <c r="C1886" s="201">
        <v>46021.0</v>
      </c>
      <c r="D1886" s="16" t="s">
        <v>543</v>
      </c>
      <c r="E1886" s="16"/>
      <c r="F1886" s="16" t="s">
        <v>140</v>
      </c>
      <c r="G1886" s="16">
        <v>1.2539885E7</v>
      </c>
      <c r="H1886" s="16">
        <v>1.0</v>
      </c>
      <c r="I1886" s="16">
        <v>150.0</v>
      </c>
      <c r="J1886" s="16">
        <v>150.0</v>
      </c>
      <c r="K1886" s="16"/>
      <c r="L1886" s="16"/>
      <c r="M1886" s="16"/>
      <c r="N1886" s="16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D1886" s="16"/>
      <c r="AH1886" s="16"/>
      <c r="AL1886" s="16"/>
      <c r="AP1886" s="16"/>
      <c r="AT1886" s="16"/>
      <c r="AX1886" s="16"/>
      <c r="BF1886" s="16"/>
      <c r="BJ1886" s="16"/>
      <c r="BN1886" s="16"/>
      <c r="BO1886" s="16">
        <v>150.0</v>
      </c>
      <c r="BP1886" s="16"/>
      <c r="BQ1886" s="16" t="b">
        <v>1</v>
      </c>
      <c r="BR1886" s="16">
        <v>150.0</v>
      </c>
      <c r="BS1886" s="16"/>
      <c r="BT1886" s="16"/>
      <c r="BU1886" s="16" t="s">
        <v>539</v>
      </c>
      <c r="BV1886" s="16"/>
      <c r="BW1886" s="16"/>
      <c r="BX1886" s="16"/>
    </row>
    <row r="1887">
      <c r="A1887" s="16" t="s">
        <v>9491</v>
      </c>
      <c r="B1887" s="16" t="s">
        <v>35</v>
      </c>
      <c r="C1887" s="201">
        <v>46021.0</v>
      </c>
      <c r="D1887" s="16" t="s">
        <v>11356</v>
      </c>
      <c r="E1887" s="16" t="s">
        <v>11358</v>
      </c>
      <c r="F1887" s="16" t="s">
        <v>11361</v>
      </c>
      <c r="G1887" s="16" t="s">
        <v>152</v>
      </c>
      <c r="H1887" s="16">
        <v>1.0</v>
      </c>
      <c r="I1887" s="16">
        <v>4.54</v>
      </c>
      <c r="J1887" s="16">
        <v>4.54</v>
      </c>
      <c r="K1887" s="16"/>
      <c r="L1887" s="16"/>
      <c r="M1887" s="16"/>
      <c r="N1887" s="16">
        <v>0.0</v>
      </c>
      <c r="O1887" s="16"/>
      <c r="P1887" s="16"/>
      <c r="Q1887" s="16"/>
      <c r="R1887" s="16">
        <v>0.0</v>
      </c>
      <c r="S1887" s="16"/>
      <c r="T1887" s="16"/>
      <c r="U1887" s="16"/>
      <c r="V1887" s="16">
        <v>0.0</v>
      </c>
      <c r="W1887" s="16"/>
      <c r="X1887" s="16"/>
      <c r="Y1887" s="16"/>
      <c r="Z1887" s="16">
        <v>0.0</v>
      </c>
      <c r="AD1887" s="16">
        <v>0.0</v>
      </c>
      <c r="AH1887" s="16">
        <v>0.0</v>
      </c>
      <c r="AL1887" s="16">
        <v>0.0</v>
      </c>
      <c r="AP1887" s="16">
        <v>0.0</v>
      </c>
      <c r="AT1887" s="16">
        <v>0.0</v>
      </c>
      <c r="AX1887" s="16">
        <v>0.0</v>
      </c>
      <c r="BF1887" s="16">
        <v>0.0</v>
      </c>
      <c r="BJ1887" s="16">
        <v>0.0</v>
      </c>
      <c r="BN1887" s="16">
        <v>0.0</v>
      </c>
      <c r="BO1887" s="16">
        <v>4.54</v>
      </c>
      <c r="BP1887" s="16" t="s">
        <v>11360</v>
      </c>
      <c r="BQ1887" s="16" t="b">
        <v>1</v>
      </c>
      <c r="BR1887" s="16">
        <v>4.54</v>
      </c>
      <c r="BS1887" s="21" t="s">
        <v>13856</v>
      </c>
      <c r="BT1887" s="16" t="b">
        <v>1</v>
      </c>
      <c r="BU1887" s="16" t="s">
        <v>546</v>
      </c>
      <c r="BV1887" s="16"/>
      <c r="BW1887" s="16"/>
      <c r="BX1887" s="16"/>
    </row>
    <row r="1888">
      <c r="A1888" s="16" t="s">
        <v>9493</v>
      </c>
      <c r="B1888" s="16" t="s">
        <v>35</v>
      </c>
      <c r="C1888" s="201">
        <v>46024.0</v>
      </c>
      <c r="D1888" s="16" t="s">
        <v>112</v>
      </c>
      <c r="E1888" s="16" t="s">
        <v>11365</v>
      </c>
      <c r="F1888" s="16" t="s">
        <v>157</v>
      </c>
      <c r="G1888" s="16" t="s">
        <v>226</v>
      </c>
      <c r="H1888" s="16">
        <v>10.0</v>
      </c>
      <c r="I1888" s="16">
        <v>8.5</v>
      </c>
      <c r="J1888" s="16">
        <v>85.0</v>
      </c>
      <c r="K1888" s="16" t="s">
        <v>152</v>
      </c>
      <c r="L1888" s="16">
        <v>1.0</v>
      </c>
      <c r="M1888" s="16">
        <v>11.52</v>
      </c>
      <c r="N1888" s="16">
        <v>11.52</v>
      </c>
      <c r="O1888" s="16" t="s">
        <v>155</v>
      </c>
      <c r="P1888" s="16">
        <v>1.0</v>
      </c>
      <c r="Q1888" s="16">
        <v>48.0</v>
      </c>
      <c r="R1888" s="16">
        <v>48.0</v>
      </c>
      <c r="S1888" s="16" t="s">
        <v>159</v>
      </c>
      <c r="T1888" s="16">
        <v>20.0</v>
      </c>
      <c r="U1888" s="16">
        <v>12.0</v>
      </c>
      <c r="V1888" s="16">
        <v>240.0</v>
      </c>
      <c r="W1888" s="16"/>
      <c r="X1888" s="16"/>
      <c r="Y1888" s="16"/>
      <c r="Z1888" s="16">
        <v>0.0</v>
      </c>
      <c r="AD1888" s="16">
        <v>0.0</v>
      </c>
      <c r="AH1888" s="16">
        <v>0.0</v>
      </c>
      <c r="AL1888" s="16">
        <v>0.0</v>
      </c>
      <c r="AP1888" s="16">
        <v>0.0</v>
      </c>
      <c r="AT1888" s="16">
        <v>0.0</v>
      </c>
      <c r="AX1888" s="16">
        <v>0.0</v>
      </c>
      <c r="BF1888" s="16">
        <v>0.0</v>
      </c>
      <c r="BJ1888" s="16">
        <v>0.0</v>
      </c>
      <c r="BN1888" s="16">
        <v>0.0</v>
      </c>
      <c r="BO1888" s="16">
        <v>384.52</v>
      </c>
      <c r="BP1888" s="16" t="s">
        <v>11366</v>
      </c>
      <c r="BQ1888" s="16" t="b">
        <v>1</v>
      </c>
      <c r="BR1888" s="16">
        <v>384.52</v>
      </c>
      <c r="BS1888" s="16"/>
      <c r="BT1888" s="16" t="b">
        <v>0</v>
      </c>
      <c r="BU1888" s="16" t="s">
        <v>546</v>
      </c>
      <c r="BV1888" s="16"/>
      <c r="BW1888" s="16"/>
      <c r="BX1888" s="16"/>
    </row>
    <row r="1889">
      <c r="A1889" s="16" t="s">
        <v>9499</v>
      </c>
      <c r="B1889" s="16" t="s">
        <v>35</v>
      </c>
      <c r="C1889" s="201">
        <v>46024.0</v>
      </c>
      <c r="D1889" s="16" t="s">
        <v>112</v>
      </c>
      <c r="E1889" s="16" t="s">
        <v>11365</v>
      </c>
      <c r="F1889" s="16" t="s">
        <v>157</v>
      </c>
      <c r="G1889" s="16" t="s">
        <v>230</v>
      </c>
      <c r="H1889" s="16">
        <v>1.0</v>
      </c>
      <c r="I1889" s="16">
        <v>290.0</v>
      </c>
      <c r="J1889" s="16">
        <v>290.0</v>
      </c>
      <c r="K1889" s="16"/>
      <c r="L1889" s="16"/>
      <c r="M1889" s="16"/>
      <c r="N1889" s="16">
        <v>0.0</v>
      </c>
      <c r="O1889" s="16"/>
      <c r="P1889" s="16"/>
      <c r="Q1889" s="16"/>
      <c r="R1889" s="16">
        <v>0.0</v>
      </c>
      <c r="S1889" s="16"/>
      <c r="T1889" s="16"/>
      <c r="U1889" s="16"/>
      <c r="V1889" s="16">
        <v>0.0</v>
      </c>
      <c r="W1889" s="16"/>
      <c r="X1889" s="16"/>
      <c r="Y1889" s="16"/>
      <c r="Z1889" s="16">
        <v>0.0</v>
      </c>
      <c r="AD1889" s="16">
        <v>0.0</v>
      </c>
      <c r="AH1889" s="16">
        <v>0.0</v>
      </c>
      <c r="AL1889" s="16">
        <v>0.0</v>
      </c>
      <c r="AP1889" s="16">
        <v>0.0</v>
      </c>
      <c r="AT1889" s="16">
        <v>0.0</v>
      </c>
      <c r="AX1889" s="16">
        <v>0.0</v>
      </c>
      <c r="BF1889" s="16">
        <v>0.0</v>
      </c>
      <c r="BJ1889" s="16">
        <v>0.0</v>
      </c>
      <c r="BN1889" s="16">
        <v>0.0</v>
      </c>
      <c r="BO1889" s="16">
        <v>290.0</v>
      </c>
      <c r="BP1889" s="16" t="s">
        <v>11371</v>
      </c>
      <c r="BQ1889" s="16" t="b">
        <v>1</v>
      </c>
      <c r="BR1889" s="16">
        <v>290.0</v>
      </c>
      <c r="BS1889" s="16"/>
      <c r="BT1889" s="16" t="b">
        <v>0</v>
      </c>
      <c r="BU1889" s="16" t="s">
        <v>546</v>
      </c>
      <c r="BV1889" s="16"/>
      <c r="BW1889" s="16"/>
      <c r="BX1889" s="16"/>
    </row>
    <row r="1890">
      <c r="A1890" s="16" t="s">
        <v>9501</v>
      </c>
      <c r="B1890" s="16" t="s">
        <v>35</v>
      </c>
      <c r="C1890" s="201">
        <v>46020.0</v>
      </c>
      <c r="D1890" s="16" t="s">
        <v>112</v>
      </c>
      <c r="E1890" s="16" t="s">
        <v>11375</v>
      </c>
      <c r="F1890" s="16" t="s">
        <v>157</v>
      </c>
      <c r="G1890" s="16" t="s">
        <v>155</v>
      </c>
      <c r="H1890" s="16">
        <v>1.0</v>
      </c>
      <c r="I1890" s="16">
        <v>65.65</v>
      </c>
      <c r="J1890" s="16">
        <v>65.65</v>
      </c>
      <c r="K1890" s="16"/>
      <c r="L1890" s="16"/>
      <c r="M1890" s="16"/>
      <c r="N1890" s="16">
        <v>0.0</v>
      </c>
      <c r="O1890" s="16"/>
      <c r="P1890" s="16"/>
      <c r="Q1890" s="16"/>
      <c r="R1890" s="16">
        <v>0.0</v>
      </c>
      <c r="S1890" s="16"/>
      <c r="T1890" s="16"/>
      <c r="U1890" s="16"/>
      <c r="V1890" s="16">
        <v>0.0</v>
      </c>
      <c r="W1890" s="16"/>
      <c r="X1890" s="16"/>
      <c r="Y1890" s="16"/>
      <c r="Z1890" s="16">
        <v>0.0</v>
      </c>
      <c r="AD1890" s="16">
        <v>0.0</v>
      </c>
      <c r="AH1890" s="16">
        <v>0.0</v>
      </c>
      <c r="AL1890" s="16">
        <v>0.0</v>
      </c>
      <c r="AP1890" s="16">
        <v>0.0</v>
      </c>
      <c r="AT1890" s="16">
        <v>0.0</v>
      </c>
      <c r="AX1890" s="16">
        <v>0.0</v>
      </c>
      <c r="BF1890" s="16">
        <v>0.0</v>
      </c>
      <c r="BJ1890" s="16">
        <v>0.0</v>
      </c>
      <c r="BN1890" s="16">
        <v>0.0</v>
      </c>
      <c r="BO1890" s="16">
        <v>65.65</v>
      </c>
      <c r="BP1890" s="16" t="s">
        <v>11376</v>
      </c>
      <c r="BQ1890" s="16" t="b">
        <v>1</v>
      </c>
      <c r="BR1890" s="16">
        <v>65.65</v>
      </c>
      <c r="BS1890" s="16"/>
      <c r="BT1890" s="16" t="b">
        <v>0</v>
      </c>
      <c r="BU1890" s="16" t="s">
        <v>546</v>
      </c>
      <c r="BV1890" s="16"/>
      <c r="BW1890" s="16"/>
      <c r="BX1890" s="16"/>
    </row>
    <row r="1891">
      <c r="A1891" s="16" t="s">
        <v>9503</v>
      </c>
      <c r="B1891" s="16" t="s">
        <v>35</v>
      </c>
      <c r="C1891" s="201">
        <v>46024.0</v>
      </c>
      <c r="D1891" s="16" t="s">
        <v>3493</v>
      </c>
      <c r="E1891" s="16" t="s">
        <v>11379</v>
      </c>
      <c r="F1891" s="16" t="s">
        <v>11382</v>
      </c>
      <c r="G1891" s="16" t="s">
        <v>305</v>
      </c>
      <c r="H1891" s="16">
        <v>1.0</v>
      </c>
      <c r="I1891" s="16">
        <v>70.3</v>
      </c>
      <c r="J1891" s="16">
        <v>70.3</v>
      </c>
      <c r="K1891" s="16"/>
      <c r="L1891" s="16"/>
      <c r="M1891" s="16"/>
      <c r="N1891" s="16">
        <v>0.0</v>
      </c>
      <c r="O1891" s="16"/>
      <c r="P1891" s="16"/>
      <c r="Q1891" s="16"/>
      <c r="R1891" s="16">
        <v>0.0</v>
      </c>
      <c r="S1891" s="16"/>
      <c r="T1891" s="16"/>
      <c r="U1891" s="16"/>
      <c r="V1891" s="16">
        <v>0.0</v>
      </c>
      <c r="W1891" s="16"/>
      <c r="X1891" s="16"/>
      <c r="Y1891" s="16"/>
      <c r="Z1891" s="16">
        <v>0.0</v>
      </c>
      <c r="AD1891" s="16">
        <v>0.0</v>
      </c>
      <c r="AH1891" s="16">
        <v>0.0</v>
      </c>
      <c r="AL1891" s="16">
        <v>0.0</v>
      </c>
      <c r="AP1891" s="16">
        <v>0.0</v>
      </c>
      <c r="AT1891" s="16">
        <v>0.0</v>
      </c>
      <c r="AX1891" s="16">
        <v>0.0</v>
      </c>
      <c r="BF1891" s="16">
        <v>0.0</v>
      </c>
      <c r="BJ1891" s="16">
        <v>0.0</v>
      </c>
      <c r="BN1891" s="16">
        <v>0.0</v>
      </c>
      <c r="BO1891" s="16">
        <v>70.3</v>
      </c>
      <c r="BP1891" s="16" t="s">
        <v>11380</v>
      </c>
      <c r="BQ1891" s="16" t="b">
        <v>1</v>
      </c>
      <c r="BR1891" s="16">
        <v>70.3</v>
      </c>
      <c r="BS1891" s="21" t="s">
        <v>13858</v>
      </c>
      <c r="BT1891" s="16" t="b">
        <v>1</v>
      </c>
      <c r="BU1891" s="16" t="s">
        <v>546</v>
      </c>
      <c r="BV1891" s="16"/>
      <c r="BW1891" s="16"/>
      <c r="BX1891" s="16"/>
    </row>
    <row r="1892">
      <c r="A1892" s="16" t="s">
        <v>9506</v>
      </c>
      <c r="B1892" s="16" t="s">
        <v>35</v>
      </c>
      <c r="C1892" s="201">
        <v>46025.0</v>
      </c>
      <c r="D1892" s="16" t="s">
        <v>112</v>
      </c>
      <c r="E1892" s="16" t="s">
        <v>11386</v>
      </c>
      <c r="F1892" s="16" t="s">
        <v>157</v>
      </c>
      <c r="G1892" s="16" t="s">
        <v>230</v>
      </c>
      <c r="H1892" s="16">
        <v>1.0</v>
      </c>
      <c r="I1892" s="16">
        <v>290.0</v>
      </c>
      <c r="J1892" s="16">
        <v>290.0</v>
      </c>
      <c r="K1892" s="16" t="s">
        <v>152</v>
      </c>
      <c r="L1892" s="16">
        <v>1.0</v>
      </c>
      <c r="M1892" s="16">
        <v>10.78</v>
      </c>
      <c r="N1892" s="16">
        <v>10.78</v>
      </c>
      <c r="O1892" s="16"/>
      <c r="P1892" s="16"/>
      <c r="Q1892" s="16"/>
      <c r="R1892" s="16">
        <v>0.0</v>
      </c>
      <c r="S1892" s="16"/>
      <c r="T1892" s="16"/>
      <c r="U1892" s="16"/>
      <c r="V1892" s="16">
        <v>0.0</v>
      </c>
      <c r="W1892" s="16"/>
      <c r="X1892" s="16"/>
      <c r="Y1892" s="16"/>
      <c r="Z1892" s="16">
        <v>0.0</v>
      </c>
      <c r="AD1892" s="16">
        <v>0.0</v>
      </c>
      <c r="AH1892" s="16">
        <v>0.0</v>
      </c>
      <c r="AL1892" s="16">
        <v>0.0</v>
      </c>
      <c r="AP1892" s="16">
        <v>0.0</v>
      </c>
      <c r="AT1892" s="16">
        <v>0.0</v>
      </c>
      <c r="AX1892" s="16">
        <v>0.0</v>
      </c>
      <c r="BF1892" s="16">
        <v>0.0</v>
      </c>
      <c r="BJ1892" s="16">
        <v>0.0</v>
      </c>
      <c r="BN1892" s="16">
        <v>0.0</v>
      </c>
      <c r="BO1892" s="16">
        <v>300.78</v>
      </c>
      <c r="BP1892" s="16" t="s">
        <v>11387</v>
      </c>
      <c r="BQ1892" s="16" t="b">
        <v>1</v>
      </c>
      <c r="BR1892" s="16">
        <v>300.78</v>
      </c>
      <c r="BS1892" s="16"/>
      <c r="BT1892" s="16" t="b">
        <v>0</v>
      </c>
      <c r="BU1892" s="16" t="s">
        <v>546</v>
      </c>
      <c r="BV1892" s="16"/>
      <c r="BW1892" s="16"/>
      <c r="BX1892" s="16"/>
    </row>
    <row r="1893">
      <c r="A1893" s="16" t="s">
        <v>9510</v>
      </c>
      <c r="B1893" s="16" t="s">
        <v>35</v>
      </c>
      <c r="C1893" s="201">
        <v>46021.0</v>
      </c>
      <c r="D1893" s="16" t="s">
        <v>8582</v>
      </c>
      <c r="E1893" s="16" t="s">
        <v>11390</v>
      </c>
      <c r="F1893" s="16" t="s">
        <v>11392</v>
      </c>
      <c r="G1893" s="16" t="s">
        <v>8710</v>
      </c>
      <c r="H1893" s="16">
        <v>1.0</v>
      </c>
      <c r="I1893" s="16">
        <v>128.11</v>
      </c>
      <c r="J1893" s="16">
        <v>128.11</v>
      </c>
      <c r="K1893" s="16"/>
      <c r="L1893" s="16"/>
      <c r="M1893" s="16"/>
      <c r="N1893" s="16">
        <v>0.0</v>
      </c>
      <c r="O1893" s="16"/>
      <c r="P1893" s="16"/>
      <c r="Q1893" s="16"/>
      <c r="R1893" s="16">
        <v>0.0</v>
      </c>
      <c r="S1893" s="16"/>
      <c r="T1893" s="16"/>
      <c r="U1893" s="16"/>
      <c r="V1893" s="16">
        <v>0.0</v>
      </c>
      <c r="W1893" s="16"/>
      <c r="X1893" s="16"/>
      <c r="Y1893" s="16"/>
      <c r="Z1893" s="16">
        <v>0.0</v>
      </c>
      <c r="AD1893" s="16">
        <v>0.0</v>
      </c>
      <c r="AH1893" s="16">
        <v>0.0</v>
      </c>
      <c r="AL1893" s="16">
        <v>0.0</v>
      </c>
      <c r="AP1893" s="16">
        <v>0.0</v>
      </c>
      <c r="AT1893" s="16">
        <v>0.0</v>
      </c>
      <c r="AX1893" s="16">
        <v>0.0</v>
      </c>
      <c r="BF1893" s="16">
        <v>0.0</v>
      </c>
      <c r="BJ1893" s="16">
        <v>0.0</v>
      </c>
      <c r="BN1893" s="16">
        <v>0.0</v>
      </c>
      <c r="BO1893" s="16">
        <v>128.11</v>
      </c>
      <c r="BP1893" s="16" t="s">
        <v>11391</v>
      </c>
      <c r="BQ1893" s="16" t="b">
        <v>1</v>
      </c>
      <c r="BR1893" s="16">
        <v>128.11</v>
      </c>
      <c r="BS1893" s="16"/>
      <c r="BT1893" s="16" t="b">
        <v>0</v>
      </c>
      <c r="BU1893" s="16" t="s">
        <v>546</v>
      </c>
      <c r="BV1893" s="16"/>
      <c r="BW1893" s="16"/>
      <c r="BX1893" s="16"/>
    </row>
    <row r="1894">
      <c r="A1894" s="16" t="s">
        <v>9512</v>
      </c>
      <c r="B1894" s="16" t="s">
        <v>35</v>
      </c>
      <c r="C1894" s="201">
        <v>46017.0</v>
      </c>
      <c r="D1894" s="16" t="s">
        <v>890</v>
      </c>
      <c r="E1894" s="16" t="s">
        <v>11397</v>
      </c>
      <c r="F1894" s="16" t="s">
        <v>1511</v>
      </c>
      <c r="G1894" s="16" t="s">
        <v>1517</v>
      </c>
      <c r="H1894" s="16">
        <v>1.0</v>
      </c>
      <c r="I1894" s="16">
        <v>7964.49</v>
      </c>
      <c r="J1894" s="16">
        <v>7964.49</v>
      </c>
      <c r="K1894" s="16"/>
      <c r="L1894" s="16"/>
      <c r="M1894" s="16"/>
      <c r="N1894" s="16">
        <v>0.0</v>
      </c>
      <c r="O1894" s="16"/>
      <c r="P1894" s="16"/>
      <c r="Q1894" s="16"/>
      <c r="R1894" s="16">
        <v>0.0</v>
      </c>
      <c r="S1894" s="16"/>
      <c r="T1894" s="16"/>
      <c r="U1894" s="16"/>
      <c r="V1894" s="16">
        <v>0.0</v>
      </c>
      <c r="W1894" s="16"/>
      <c r="X1894" s="16"/>
      <c r="Y1894" s="16"/>
      <c r="Z1894" s="16">
        <v>0.0</v>
      </c>
      <c r="AD1894" s="16">
        <v>0.0</v>
      </c>
      <c r="AH1894" s="16">
        <v>0.0</v>
      </c>
      <c r="AL1894" s="16">
        <v>0.0</v>
      </c>
      <c r="AP1894" s="16">
        <v>0.0</v>
      </c>
      <c r="AT1894" s="16">
        <v>0.0</v>
      </c>
      <c r="AX1894" s="16">
        <v>0.0</v>
      </c>
      <c r="BF1894" s="16">
        <v>0.0</v>
      </c>
      <c r="BJ1894" s="16">
        <v>0.0</v>
      </c>
      <c r="BN1894" s="16">
        <v>0.0</v>
      </c>
      <c r="BO1894" s="16">
        <v>7964.49</v>
      </c>
      <c r="BP1894" s="16" t="s">
        <v>11398</v>
      </c>
      <c r="BQ1894" s="16" t="b">
        <v>1</v>
      </c>
      <c r="BR1894" s="16">
        <v>7964.49</v>
      </c>
      <c r="BS1894" s="16"/>
      <c r="BT1894" s="16" t="b">
        <v>0</v>
      </c>
      <c r="BU1894" s="16" t="s">
        <v>546</v>
      </c>
      <c r="BV1894" s="16"/>
      <c r="BW1894" s="16" t="s">
        <v>11401</v>
      </c>
      <c r="BX1894" s="16"/>
    </row>
    <row r="1895">
      <c r="A1895" s="16" t="s">
        <v>9515</v>
      </c>
      <c r="B1895" s="16" t="s">
        <v>35</v>
      </c>
      <c r="C1895" s="201">
        <v>46027.0</v>
      </c>
      <c r="D1895" s="16" t="s">
        <v>2871</v>
      </c>
      <c r="E1895" s="16"/>
      <c r="F1895" s="16" t="s">
        <v>11404</v>
      </c>
      <c r="G1895" s="16" t="s">
        <v>1239</v>
      </c>
      <c r="H1895" s="16">
        <v>1.0</v>
      </c>
      <c r="I1895" s="16">
        <v>1276.81</v>
      </c>
      <c r="J1895" s="16">
        <v>1276.81</v>
      </c>
      <c r="K1895" s="16"/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D1895" s="16"/>
      <c r="AH1895" s="16"/>
      <c r="AL1895" s="16"/>
      <c r="AP1895" s="16"/>
      <c r="AT1895" s="16"/>
      <c r="AX1895" s="16"/>
      <c r="BF1895" s="16"/>
      <c r="BJ1895" s="16"/>
      <c r="BN1895" s="16"/>
      <c r="BO1895" s="16">
        <v>1276.81</v>
      </c>
      <c r="BP1895" s="16"/>
      <c r="BQ1895" s="16" t="b">
        <v>1</v>
      </c>
      <c r="BR1895" s="16">
        <v>1276.81</v>
      </c>
      <c r="BS1895" s="16"/>
      <c r="BT1895" s="16"/>
      <c r="BU1895" s="16" t="s">
        <v>539</v>
      </c>
      <c r="BV1895" s="16"/>
      <c r="BW1895" s="16"/>
      <c r="BX1895" s="16"/>
    </row>
    <row r="1896">
      <c r="A1896" s="16" t="s">
        <v>9519</v>
      </c>
      <c r="B1896" s="16" t="s">
        <v>35</v>
      </c>
      <c r="C1896" s="201">
        <v>46027.0</v>
      </c>
      <c r="D1896" s="16" t="s">
        <v>460</v>
      </c>
      <c r="E1896" s="16"/>
      <c r="F1896" s="16" t="s">
        <v>11407</v>
      </c>
      <c r="G1896" s="16" t="s">
        <v>5853</v>
      </c>
      <c r="H1896" s="16">
        <v>1.0</v>
      </c>
      <c r="I1896" s="16">
        <v>649.5</v>
      </c>
      <c r="J1896" s="16">
        <v>649.5</v>
      </c>
      <c r="K1896" s="16"/>
      <c r="L1896" s="16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16"/>
      <c r="AD1896" s="16"/>
      <c r="AH1896" s="16"/>
      <c r="AL1896" s="16"/>
      <c r="AP1896" s="16"/>
      <c r="AT1896" s="16"/>
      <c r="AX1896" s="16"/>
      <c r="BF1896" s="16"/>
      <c r="BJ1896" s="16"/>
      <c r="BN1896" s="16"/>
      <c r="BO1896" s="16">
        <v>649.5</v>
      </c>
      <c r="BP1896" s="16"/>
      <c r="BQ1896" s="16" t="b">
        <v>1</v>
      </c>
      <c r="BR1896" s="16">
        <v>649.5</v>
      </c>
      <c r="BS1896" s="16"/>
      <c r="BT1896" s="16"/>
      <c r="BU1896" s="16" t="s">
        <v>539</v>
      </c>
      <c r="BV1896" s="16"/>
      <c r="BW1896" s="16"/>
      <c r="BX1896" s="16"/>
    </row>
    <row r="1897">
      <c r="A1897" s="16">
        <v>1.45728967E8</v>
      </c>
      <c r="B1897" s="16" t="s">
        <v>35</v>
      </c>
      <c r="C1897" s="201">
        <v>46027.0</v>
      </c>
      <c r="D1897" s="16" t="s">
        <v>460</v>
      </c>
      <c r="E1897" s="16"/>
      <c r="F1897" s="16" t="s">
        <v>11411</v>
      </c>
      <c r="G1897" s="16" t="s">
        <v>3822</v>
      </c>
      <c r="H1897" s="16">
        <v>1.0</v>
      </c>
      <c r="I1897" s="16">
        <v>981.05</v>
      </c>
      <c r="J1897" s="16">
        <v>981.05</v>
      </c>
      <c r="K1897" s="16"/>
      <c r="L1897" s="16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D1897" s="16"/>
      <c r="AH1897" s="16"/>
      <c r="AL1897" s="16"/>
      <c r="AP1897" s="16"/>
      <c r="AT1897" s="16"/>
      <c r="AX1897" s="16"/>
      <c r="BF1897" s="16"/>
      <c r="BJ1897" s="16"/>
      <c r="BN1897" s="16"/>
      <c r="BO1897" s="16">
        <v>981.05</v>
      </c>
      <c r="BP1897" s="16"/>
      <c r="BQ1897" s="16" t="b">
        <v>1</v>
      </c>
      <c r="BR1897" s="16">
        <v>981.05</v>
      </c>
      <c r="BS1897" s="16"/>
      <c r="BT1897" s="16"/>
      <c r="BU1897" s="16" t="s">
        <v>539</v>
      </c>
      <c r="BV1897" s="16"/>
      <c r="BW1897" s="16"/>
      <c r="BX1897" s="16"/>
    </row>
    <row r="1898">
      <c r="A1898" s="16" t="s">
        <v>9522</v>
      </c>
      <c r="B1898" s="16" t="s">
        <v>35</v>
      </c>
      <c r="C1898" s="201">
        <v>46027.0</v>
      </c>
      <c r="D1898" s="16" t="s">
        <v>460</v>
      </c>
      <c r="E1898" s="16"/>
      <c r="F1898" s="16" t="s">
        <v>11417</v>
      </c>
      <c r="G1898" s="16" t="s">
        <v>3987</v>
      </c>
      <c r="H1898" s="16">
        <v>1.0</v>
      </c>
      <c r="I1898" s="16">
        <v>299.0</v>
      </c>
      <c r="J1898" s="16">
        <v>299.0</v>
      </c>
      <c r="K1898" s="16"/>
      <c r="L1898" s="16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D1898" s="16"/>
      <c r="AH1898" s="16"/>
      <c r="AL1898" s="16"/>
      <c r="AP1898" s="16"/>
      <c r="AT1898" s="16"/>
      <c r="AX1898" s="16"/>
      <c r="BF1898" s="16"/>
      <c r="BJ1898" s="16"/>
      <c r="BN1898" s="16"/>
      <c r="BO1898" s="16">
        <v>299.0</v>
      </c>
      <c r="BP1898" s="16"/>
      <c r="BQ1898" s="16" t="b">
        <v>1</v>
      </c>
      <c r="BR1898" s="16">
        <v>299.0</v>
      </c>
      <c r="BS1898" s="16"/>
      <c r="BT1898" s="16"/>
      <c r="BU1898" s="16" t="s">
        <v>539</v>
      </c>
      <c r="BV1898" s="16"/>
      <c r="BW1898" s="16"/>
      <c r="BX1898" s="16"/>
    </row>
    <row r="1899">
      <c r="A1899" s="16">
        <v>1.36261781E8</v>
      </c>
      <c r="B1899" s="16" t="s">
        <v>35</v>
      </c>
      <c r="C1899" s="201">
        <v>46027.0</v>
      </c>
      <c r="D1899" s="16" t="s">
        <v>460</v>
      </c>
      <c r="E1899" s="16"/>
      <c r="F1899" s="16" t="s">
        <v>11423</v>
      </c>
      <c r="G1899" s="16" t="s">
        <v>9526</v>
      </c>
      <c r="H1899" s="16">
        <v>1.0</v>
      </c>
      <c r="I1899" s="16">
        <v>144.0</v>
      </c>
      <c r="J1899" s="16">
        <v>144.0</v>
      </c>
      <c r="K1899" s="16"/>
      <c r="L1899" s="16"/>
      <c r="M1899" s="16"/>
      <c r="N1899" s="16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16"/>
      <c r="AD1899" s="16"/>
      <c r="AH1899" s="16"/>
      <c r="AL1899" s="16"/>
      <c r="AP1899" s="16"/>
      <c r="AT1899" s="16"/>
      <c r="AX1899" s="16"/>
      <c r="BF1899" s="16"/>
      <c r="BJ1899" s="16"/>
      <c r="BN1899" s="16"/>
      <c r="BO1899" s="16">
        <v>144.0</v>
      </c>
      <c r="BP1899" s="16"/>
      <c r="BQ1899" s="16" t="b">
        <v>1</v>
      </c>
      <c r="BR1899" s="16">
        <v>144.0</v>
      </c>
      <c r="BS1899" s="16"/>
      <c r="BT1899" s="16"/>
      <c r="BU1899" s="16" t="s">
        <v>539</v>
      </c>
      <c r="BV1899" s="16"/>
      <c r="BW1899" s="16"/>
      <c r="BX1899" s="16"/>
    </row>
    <row r="1900">
      <c r="A1900" s="16">
        <v>1.56182674E8</v>
      </c>
      <c r="B1900" s="16" t="s">
        <v>35</v>
      </c>
      <c r="C1900" s="201">
        <v>46027.0</v>
      </c>
      <c r="D1900" s="16" t="s">
        <v>460</v>
      </c>
      <c r="E1900" s="16"/>
      <c r="F1900" s="16" t="s">
        <v>11427</v>
      </c>
      <c r="G1900" s="16" t="s">
        <v>9528</v>
      </c>
      <c r="H1900" s="16">
        <v>1.0</v>
      </c>
      <c r="I1900" s="16">
        <v>4191.0</v>
      </c>
      <c r="J1900" s="16">
        <v>4191.0</v>
      </c>
      <c r="K1900" s="16"/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D1900" s="16"/>
      <c r="AH1900" s="16"/>
      <c r="AL1900" s="16"/>
      <c r="AP1900" s="16"/>
      <c r="AT1900" s="16"/>
      <c r="AX1900" s="16"/>
      <c r="BF1900" s="16"/>
      <c r="BJ1900" s="16"/>
      <c r="BN1900" s="16"/>
      <c r="BO1900" s="16">
        <v>4191.0</v>
      </c>
      <c r="BP1900" s="16"/>
      <c r="BQ1900" s="16" t="b">
        <v>1</v>
      </c>
      <c r="BR1900" s="16">
        <v>4191.0</v>
      </c>
      <c r="BS1900" s="16"/>
      <c r="BT1900" s="16"/>
      <c r="BU1900" s="16" t="s">
        <v>539</v>
      </c>
      <c r="BV1900" s="16"/>
      <c r="BW1900" s="16"/>
      <c r="BX1900" s="16"/>
    </row>
    <row r="1901">
      <c r="A1901" s="16" t="s">
        <v>9530</v>
      </c>
      <c r="B1901" s="16" t="s">
        <v>35</v>
      </c>
      <c r="C1901" s="201">
        <v>46027.0</v>
      </c>
      <c r="D1901" s="21" t="s">
        <v>12789</v>
      </c>
      <c r="E1901" s="16" t="s">
        <v>11432</v>
      </c>
      <c r="F1901" s="16" t="s">
        <v>1201</v>
      </c>
      <c r="G1901" s="16" t="s">
        <v>249</v>
      </c>
      <c r="H1901" s="16">
        <v>1.0</v>
      </c>
      <c r="I1901" s="16">
        <v>4.99</v>
      </c>
      <c r="J1901" s="16">
        <v>4.99</v>
      </c>
      <c r="K1901" s="16"/>
      <c r="L1901" s="16"/>
      <c r="M1901" s="16"/>
      <c r="N1901" s="16">
        <v>0.0</v>
      </c>
      <c r="O1901" s="16"/>
      <c r="P1901" s="16"/>
      <c r="Q1901" s="16"/>
      <c r="R1901" s="16">
        <v>0.0</v>
      </c>
      <c r="S1901" s="16"/>
      <c r="T1901" s="16"/>
      <c r="U1901" s="16"/>
      <c r="V1901" s="16">
        <v>0.0</v>
      </c>
      <c r="W1901" s="16"/>
      <c r="X1901" s="16"/>
      <c r="Y1901" s="16"/>
      <c r="Z1901" s="16">
        <v>0.0</v>
      </c>
      <c r="AD1901" s="16">
        <v>0.0</v>
      </c>
      <c r="AH1901" s="16">
        <v>0.0</v>
      </c>
      <c r="AL1901" s="16">
        <v>0.0</v>
      </c>
      <c r="AP1901" s="16">
        <v>0.0</v>
      </c>
      <c r="AT1901" s="16">
        <v>0.0</v>
      </c>
      <c r="AX1901" s="16">
        <v>0.0</v>
      </c>
      <c r="BF1901" s="16">
        <v>0.0</v>
      </c>
      <c r="BJ1901" s="16">
        <v>0.0</v>
      </c>
      <c r="BN1901" s="16">
        <v>0.0</v>
      </c>
      <c r="BO1901" s="16">
        <v>4.99</v>
      </c>
      <c r="BP1901" s="16" t="s">
        <v>11433</v>
      </c>
      <c r="BQ1901" s="16" t="b">
        <v>1</v>
      </c>
      <c r="BR1901" s="16">
        <v>4.99</v>
      </c>
      <c r="BS1901" s="21" t="s">
        <v>13869</v>
      </c>
      <c r="BT1901" s="16" t="b">
        <v>1</v>
      </c>
      <c r="BU1901" s="16" t="s">
        <v>546</v>
      </c>
      <c r="BV1901" s="16"/>
      <c r="BW1901" s="16"/>
      <c r="BX1901" s="16"/>
    </row>
    <row r="1902">
      <c r="A1902" s="16" t="s">
        <v>9535</v>
      </c>
      <c r="B1902" s="16" t="s">
        <v>35</v>
      </c>
      <c r="C1902" s="201">
        <v>46028.0</v>
      </c>
      <c r="D1902" s="16" t="s">
        <v>460</v>
      </c>
      <c r="E1902" s="16" t="s">
        <v>11437</v>
      </c>
      <c r="F1902" s="16" t="s">
        <v>11440</v>
      </c>
      <c r="G1902" s="21" t="s">
        <v>10424</v>
      </c>
      <c r="H1902" s="16">
        <v>1.0</v>
      </c>
      <c r="I1902" s="16">
        <v>150.0</v>
      </c>
      <c r="J1902" s="16">
        <v>150.0</v>
      </c>
      <c r="K1902" s="16"/>
      <c r="L1902" s="16"/>
      <c r="M1902" s="16"/>
      <c r="N1902" s="16">
        <v>0.0</v>
      </c>
      <c r="O1902" s="16"/>
      <c r="P1902" s="16"/>
      <c r="Q1902" s="16"/>
      <c r="R1902" s="16">
        <v>0.0</v>
      </c>
      <c r="S1902" s="16"/>
      <c r="T1902" s="16"/>
      <c r="U1902" s="16"/>
      <c r="V1902" s="16">
        <v>0.0</v>
      </c>
      <c r="W1902" s="16"/>
      <c r="X1902" s="16"/>
      <c r="Y1902" s="16"/>
      <c r="Z1902" s="16">
        <v>0.0</v>
      </c>
      <c r="AD1902" s="16">
        <v>0.0</v>
      </c>
      <c r="AH1902" s="16">
        <v>0.0</v>
      </c>
      <c r="AL1902" s="16">
        <v>0.0</v>
      </c>
      <c r="AP1902" s="16">
        <v>0.0</v>
      </c>
      <c r="AT1902" s="16">
        <v>0.0</v>
      </c>
      <c r="AX1902" s="16">
        <v>0.0</v>
      </c>
      <c r="BF1902" s="16">
        <v>0.0</v>
      </c>
      <c r="BJ1902" s="16">
        <v>0.0</v>
      </c>
      <c r="BN1902" s="16">
        <v>0.0</v>
      </c>
      <c r="BO1902" s="16">
        <v>150.0</v>
      </c>
      <c r="BP1902" s="16" t="s">
        <v>11439</v>
      </c>
      <c r="BQ1902" s="16" t="b">
        <v>1</v>
      </c>
      <c r="BR1902" s="16">
        <v>150.0</v>
      </c>
      <c r="BS1902" s="21" t="s">
        <v>13872</v>
      </c>
      <c r="BT1902" s="16" t="b">
        <v>1</v>
      </c>
      <c r="BU1902" s="16" t="s">
        <v>546</v>
      </c>
      <c r="BV1902" s="16"/>
      <c r="BW1902" s="16"/>
      <c r="BX1902" s="16"/>
    </row>
    <row r="1903">
      <c r="A1903" s="16" t="s">
        <v>9537</v>
      </c>
      <c r="B1903" s="16" t="s">
        <v>35</v>
      </c>
      <c r="C1903" s="201">
        <v>46028.0</v>
      </c>
      <c r="D1903" s="16" t="s">
        <v>112</v>
      </c>
      <c r="E1903" s="16" t="s">
        <v>11443</v>
      </c>
      <c r="F1903" s="16" t="s">
        <v>157</v>
      </c>
      <c r="G1903" s="16" t="s">
        <v>155</v>
      </c>
      <c r="H1903" s="16">
        <v>1.0</v>
      </c>
      <c r="I1903" s="16">
        <v>33.57</v>
      </c>
      <c r="J1903" s="16">
        <v>33.57</v>
      </c>
      <c r="K1903" s="16" t="s">
        <v>230</v>
      </c>
      <c r="L1903" s="16">
        <v>1.0</v>
      </c>
      <c r="M1903" s="16">
        <v>146.16</v>
      </c>
      <c r="N1903" s="16">
        <v>146.16</v>
      </c>
      <c r="O1903" s="16" t="s">
        <v>152</v>
      </c>
      <c r="P1903" s="16">
        <v>1.0</v>
      </c>
      <c r="Q1903" s="16">
        <v>9.33</v>
      </c>
      <c r="R1903" s="16">
        <v>9.33</v>
      </c>
      <c r="S1903" s="16" t="s">
        <v>226</v>
      </c>
      <c r="T1903" s="16">
        <v>1.0</v>
      </c>
      <c r="U1903" s="16">
        <v>40.0</v>
      </c>
      <c r="V1903" s="16">
        <v>40.0</v>
      </c>
      <c r="W1903" s="16"/>
      <c r="X1903" s="16"/>
      <c r="Y1903" s="16"/>
      <c r="Z1903" s="16">
        <v>0.0</v>
      </c>
      <c r="AD1903" s="16">
        <v>0.0</v>
      </c>
      <c r="AH1903" s="16">
        <v>0.0</v>
      </c>
      <c r="AL1903" s="16">
        <v>0.0</v>
      </c>
      <c r="AP1903" s="16">
        <v>0.0</v>
      </c>
      <c r="AT1903" s="16">
        <v>0.0</v>
      </c>
      <c r="AX1903" s="16">
        <v>0.0</v>
      </c>
      <c r="BF1903" s="16">
        <v>0.0</v>
      </c>
      <c r="BJ1903" s="16">
        <v>0.0</v>
      </c>
      <c r="BN1903" s="16">
        <v>0.0</v>
      </c>
      <c r="BO1903" s="16">
        <v>229.06</v>
      </c>
      <c r="BP1903" s="16" t="s">
        <v>11444</v>
      </c>
      <c r="BQ1903" s="16" t="b">
        <v>1</v>
      </c>
      <c r="BR1903" s="16">
        <v>229.06</v>
      </c>
      <c r="BS1903" s="16"/>
      <c r="BT1903" s="16" t="b">
        <v>0</v>
      </c>
      <c r="BU1903" s="16" t="s">
        <v>546</v>
      </c>
      <c r="BV1903" s="16"/>
      <c r="BW1903" s="16"/>
      <c r="BX1903" s="16"/>
    </row>
    <row r="1904">
      <c r="A1904" s="16" t="s">
        <v>9545</v>
      </c>
      <c r="B1904" s="16" t="s">
        <v>35</v>
      </c>
      <c r="C1904" s="201">
        <v>46028.0</v>
      </c>
      <c r="D1904" s="16" t="s">
        <v>11449</v>
      </c>
      <c r="E1904" s="16" t="s">
        <v>11450</v>
      </c>
      <c r="F1904" s="16" t="s">
        <v>1341</v>
      </c>
      <c r="G1904" s="16" t="s">
        <v>249</v>
      </c>
      <c r="H1904" s="16">
        <v>1.0</v>
      </c>
      <c r="I1904" s="16">
        <v>69.87</v>
      </c>
      <c r="J1904" s="16">
        <v>69.87</v>
      </c>
      <c r="K1904" s="16"/>
      <c r="L1904" s="16"/>
      <c r="M1904" s="16"/>
      <c r="N1904" s="16">
        <v>0.0</v>
      </c>
      <c r="O1904" s="16"/>
      <c r="P1904" s="16"/>
      <c r="Q1904" s="16"/>
      <c r="R1904" s="16">
        <v>0.0</v>
      </c>
      <c r="S1904" s="16"/>
      <c r="T1904" s="16"/>
      <c r="U1904" s="16"/>
      <c r="V1904" s="16">
        <v>0.0</v>
      </c>
      <c r="W1904" s="16"/>
      <c r="X1904" s="16"/>
      <c r="Y1904" s="16"/>
      <c r="Z1904" s="16">
        <v>0.0</v>
      </c>
      <c r="AD1904" s="16">
        <v>0.0</v>
      </c>
      <c r="AH1904" s="16">
        <v>0.0</v>
      </c>
      <c r="AL1904" s="16">
        <v>0.0</v>
      </c>
      <c r="AP1904" s="16">
        <v>0.0</v>
      </c>
      <c r="AT1904" s="16">
        <v>0.0</v>
      </c>
      <c r="AX1904" s="16">
        <v>0.0</v>
      </c>
      <c r="BF1904" s="16">
        <v>0.0</v>
      </c>
      <c r="BJ1904" s="16">
        <v>0.0</v>
      </c>
      <c r="BN1904" s="16">
        <v>0.0</v>
      </c>
      <c r="BO1904" s="16">
        <v>69.87</v>
      </c>
      <c r="BP1904" s="16" t="s">
        <v>11451</v>
      </c>
      <c r="BQ1904" s="16" t="b">
        <v>1</v>
      </c>
      <c r="BR1904" s="16">
        <v>69.87</v>
      </c>
      <c r="BS1904" s="21" t="s">
        <v>13873</v>
      </c>
      <c r="BT1904" s="16" t="b">
        <v>1</v>
      </c>
      <c r="BU1904" s="16" t="s">
        <v>546</v>
      </c>
      <c r="BV1904" s="16"/>
      <c r="BW1904" s="16"/>
      <c r="BX1904" s="16"/>
    </row>
    <row r="1905">
      <c r="A1905" s="16" t="s">
        <v>9548</v>
      </c>
      <c r="B1905" s="16" t="s">
        <v>35</v>
      </c>
      <c r="C1905" s="201">
        <v>46027.0</v>
      </c>
      <c r="D1905" s="16" t="s">
        <v>2613</v>
      </c>
      <c r="E1905" s="16" t="s">
        <v>11459</v>
      </c>
      <c r="F1905" s="16" t="s">
        <v>195</v>
      </c>
      <c r="G1905" s="16" t="s">
        <v>981</v>
      </c>
      <c r="H1905" s="16">
        <v>6.0</v>
      </c>
      <c r="I1905" s="16">
        <v>4.9</v>
      </c>
      <c r="J1905" s="16">
        <v>29.4</v>
      </c>
      <c r="K1905" s="16" t="s">
        <v>238</v>
      </c>
      <c r="L1905" s="16">
        <v>12.0</v>
      </c>
      <c r="M1905" s="16">
        <v>5.2</v>
      </c>
      <c r="N1905" s="16">
        <v>62.4</v>
      </c>
      <c r="O1905" s="16" t="s">
        <v>243</v>
      </c>
      <c r="P1905" s="16">
        <v>6.0</v>
      </c>
      <c r="Q1905" s="16">
        <v>6.2</v>
      </c>
      <c r="R1905" s="16">
        <v>37.2</v>
      </c>
      <c r="S1905" s="16" t="s">
        <v>6604</v>
      </c>
      <c r="T1905" s="16">
        <v>8.0</v>
      </c>
      <c r="U1905" s="16">
        <v>3.6</v>
      </c>
      <c r="V1905" s="16">
        <v>28.8</v>
      </c>
      <c r="W1905" s="16"/>
      <c r="X1905" s="16"/>
      <c r="Y1905" s="16"/>
      <c r="Z1905" s="16">
        <v>0.0</v>
      </c>
      <c r="AD1905" s="16">
        <v>0.0</v>
      </c>
      <c r="AH1905" s="16">
        <v>0.0</v>
      </c>
      <c r="AL1905" s="16">
        <v>0.0</v>
      </c>
      <c r="AP1905" s="16">
        <v>0.0</v>
      </c>
      <c r="AT1905" s="16">
        <v>0.0</v>
      </c>
      <c r="AX1905" s="16">
        <v>0.0</v>
      </c>
      <c r="BF1905" s="16">
        <v>0.0</v>
      </c>
      <c r="BJ1905" s="16">
        <v>0.0</v>
      </c>
      <c r="BN1905" s="16">
        <v>0.0</v>
      </c>
      <c r="BO1905" s="16">
        <v>157.8</v>
      </c>
      <c r="BP1905" s="16" t="s">
        <v>11461</v>
      </c>
      <c r="BQ1905" s="16" t="b">
        <v>1</v>
      </c>
      <c r="BR1905" s="16">
        <v>157.8</v>
      </c>
      <c r="BS1905" s="16"/>
      <c r="BT1905" s="16" t="b">
        <v>0</v>
      </c>
      <c r="BU1905" s="16" t="s">
        <v>546</v>
      </c>
      <c r="BV1905" s="16"/>
      <c r="BW1905" s="16"/>
      <c r="BX1905" s="16"/>
    </row>
    <row r="1906">
      <c r="A1906" s="16">
        <v>11677.0</v>
      </c>
      <c r="B1906" s="16" t="s">
        <v>35</v>
      </c>
      <c r="C1906" s="201">
        <v>46028.0</v>
      </c>
      <c r="D1906" s="16" t="s">
        <v>890</v>
      </c>
      <c r="E1906" s="16"/>
      <c r="F1906" s="16" t="s">
        <v>10089</v>
      </c>
      <c r="G1906" s="16" t="s">
        <v>7344</v>
      </c>
      <c r="H1906" s="16">
        <v>1.0</v>
      </c>
      <c r="I1906" s="16">
        <v>625.0</v>
      </c>
      <c r="J1906" s="16">
        <v>625.0</v>
      </c>
      <c r="K1906" s="16"/>
      <c r="L1906" s="16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D1906" s="16"/>
      <c r="AH1906" s="16"/>
      <c r="AL1906" s="16"/>
      <c r="AP1906" s="16"/>
      <c r="AT1906" s="16"/>
      <c r="AX1906" s="16"/>
      <c r="BF1906" s="16"/>
      <c r="BJ1906" s="16"/>
      <c r="BN1906" s="16"/>
      <c r="BO1906" s="16">
        <v>625.0</v>
      </c>
      <c r="BP1906" s="16"/>
      <c r="BQ1906" s="16" t="b">
        <v>1</v>
      </c>
      <c r="BR1906" s="16">
        <v>625.0</v>
      </c>
      <c r="BS1906" s="16"/>
      <c r="BT1906" s="16"/>
      <c r="BU1906" s="16" t="s">
        <v>539</v>
      </c>
      <c r="BV1906" s="16"/>
      <c r="BW1906" s="16"/>
      <c r="BX1906" s="16"/>
    </row>
    <row r="1907">
      <c r="A1907" s="16" t="s">
        <v>9559</v>
      </c>
      <c r="B1907" s="16" t="s">
        <v>35</v>
      </c>
      <c r="C1907" s="201">
        <v>46028.0</v>
      </c>
      <c r="D1907" s="16" t="s">
        <v>890</v>
      </c>
      <c r="E1907" s="16"/>
      <c r="F1907" s="16" t="s">
        <v>11472</v>
      </c>
      <c r="G1907" s="16" t="s">
        <v>1517</v>
      </c>
      <c r="H1907" s="16">
        <v>1.0</v>
      </c>
      <c r="I1907" s="16">
        <v>1727.19</v>
      </c>
      <c r="J1907" s="16">
        <v>1727.19</v>
      </c>
      <c r="K1907" s="16"/>
      <c r="L1907" s="16"/>
      <c r="M1907" s="16"/>
      <c r="N1907" s="16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16"/>
      <c r="AD1907" s="16"/>
      <c r="AH1907" s="16"/>
      <c r="AL1907" s="16"/>
      <c r="AP1907" s="16"/>
      <c r="AT1907" s="16"/>
      <c r="AX1907" s="16"/>
      <c r="BF1907" s="16"/>
      <c r="BJ1907" s="16"/>
      <c r="BN1907" s="16"/>
      <c r="BO1907" s="16">
        <v>1727.19</v>
      </c>
      <c r="BP1907" s="16"/>
      <c r="BQ1907" s="16" t="b">
        <v>1</v>
      </c>
      <c r="BR1907" s="16">
        <v>1727.19</v>
      </c>
      <c r="BS1907" s="16"/>
      <c r="BT1907" s="16"/>
      <c r="BU1907" s="16" t="s">
        <v>539</v>
      </c>
      <c r="BV1907" s="16"/>
      <c r="BW1907" s="16"/>
      <c r="BX1907" s="16"/>
    </row>
    <row r="1908">
      <c r="A1908" s="16">
        <v>11757.0</v>
      </c>
      <c r="B1908" s="16" t="s">
        <v>35</v>
      </c>
      <c r="C1908" s="201">
        <v>46028.0</v>
      </c>
      <c r="D1908" s="16" t="s">
        <v>9929</v>
      </c>
      <c r="E1908" s="16"/>
      <c r="F1908" s="16" t="s">
        <v>9930</v>
      </c>
      <c r="G1908" s="16" t="s">
        <v>3218</v>
      </c>
      <c r="H1908" s="16">
        <v>1.0</v>
      </c>
      <c r="I1908" s="16">
        <v>9200.0</v>
      </c>
      <c r="J1908" s="16">
        <v>9200.0</v>
      </c>
      <c r="K1908" s="16"/>
      <c r="L1908" s="16"/>
      <c r="M1908" s="16"/>
      <c r="N1908" s="16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16"/>
      <c r="AD1908" s="16"/>
      <c r="AH1908" s="16"/>
      <c r="AL1908" s="16"/>
      <c r="AP1908" s="16"/>
      <c r="AT1908" s="16"/>
      <c r="AX1908" s="16"/>
      <c r="BF1908" s="16"/>
      <c r="BJ1908" s="16"/>
      <c r="BN1908" s="16"/>
      <c r="BO1908" s="16">
        <v>9200.0</v>
      </c>
      <c r="BP1908" s="16"/>
      <c r="BQ1908" s="16" t="b">
        <v>1</v>
      </c>
      <c r="BR1908" s="16">
        <v>9200.0</v>
      </c>
      <c r="BS1908" s="16"/>
      <c r="BT1908" s="16"/>
      <c r="BU1908" s="16" t="s">
        <v>539</v>
      </c>
      <c r="BV1908" s="16"/>
      <c r="BW1908" s="16"/>
      <c r="BX1908" s="16"/>
    </row>
    <row r="1909">
      <c r="A1909" s="16">
        <v>11758.0</v>
      </c>
      <c r="B1909" s="16" t="s">
        <v>35</v>
      </c>
      <c r="C1909" s="201">
        <v>46028.0</v>
      </c>
      <c r="D1909" s="16" t="s">
        <v>3516</v>
      </c>
      <c r="E1909" s="16"/>
      <c r="F1909" s="16" t="s">
        <v>9933</v>
      </c>
      <c r="G1909" s="16" t="s">
        <v>8501</v>
      </c>
      <c r="H1909" s="16">
        <v>1.0</v>
      </c>
      <c r="I1909" s="16">
        <v>500.0</v>
      </c>
      <c r="J1909" s="16">
        <v>500.0</v>
      </c>
      <c r="K1909" s="16"/>
      <c r="L1909" s="16"/>
      <c r="M1909" s="16"/>
      <c r="N1909" s="16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D1909" s="16"/>
      <c r="AH1909" s="16"/>
      <c r="AL1909" s="16"/>
      <c r="AP1909" s="16"/>
      <c r="AT1909" s="16"/>
      <c r="AX1909" s="16"/>
      <c r="BF1909" s="16"/>
      <c r="BJ1909" s="16"/>
      <c r="BN1909" s="16"/>
      <c r="BO1909" s="16">
        <v>500.0</v>
      </c>
      <c r="BP1909" s="16"/>
      <c r="BQ1909" s="16" t="b">
        <v>1</v>
      </c>
      <c r="BR1909" s="16">
        <v>500.0</v>
      </c>
      <c r="BS1909" s="16"/>
      <c r="BT1909" s="16"/>
      <c r="BU1909" s="16" t="s">
        <v>539</v>
      </c>
      <c r="BV1909" s="16"/>
      <c r="BW1909" s="16"/>
      <c r="BX1909" s="16"/>
    </row>
    <row r="1910">
      <c r="A1910" s="16">
        <v>11759.0</v>
      </c>
      <c r="B1910" s="16" t="s">
        <v>35</v>
      </c>
      <c r="C1910" s="201">
        <v>46028.0</v>
      </c>
      <c r="D1910" s="16" t="s">
        <v>2439</v>
      </c>
      <c r="E1910" s="16"/>
      <c r="F1910" s="16" t="s">
        <v>5136</v>
      </c>
      <c r="G1910" s="16" t="s">
        <v>873</v>
      </c>
      <c r="H1910" s="16">
        <v>1.0</v>
      </c>
      <c r="I1910" s="16">
        <v>0.0</v>
      </c>
      <c r="J1910" s="16">
        <v>0.0</v>
      </c>
      <c r="K1910" s="16"/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D1910" s="16"/>
      <c r="AH1910" s="16"/>
      <c r="AL1910" s="16"/>
      <c r="AP1910" s="16"/>
      <c r="AT1910" s="16"/>
      <c r="AX1910" s="16"/>
      <c r="BF1910" s="16"/>
      <c r="BJ1910" s="16"/>
      <c r="BN1910" s="16"/>
      <c r="BO1910" s="16">
        <v>0.0</v>
      </c>
      <c r="BP1910" s="16"/>
      <c r="BQ1910" s="16" t="b">
        <v>1</v>
      </c>
      <c r="BR1910" s="16">
        <v>0.0</v>
      </c>
      <c r="BS1910" s="16"/>
      <c r="BT1910" s="16"/>
      <c r="BU1910" s="16" t="s">
        <v>539</v>
      </c>
      <c r="BV1910" s="16"/>
      <c r="BW1910" s="16"/>
      <c r="BX1910" s="16"/>
    </row>
    <row r="1911">
      <c r="A1911" s="16">
        <v>11761.0</v>
      </c>
      <c r="B1911" s="16" t="s">
        <v>35</v>
      </c>
      <c r="C1911" s="201">
        <v>46028.0</v>
      </c>
      <c r="D1911" s="16" t="s">
        <v>10315</v>
      </c>
      <c r="E1911" s="16"/>
      <c r="F1911" s="16" t="s">
        <v>11007</v>
      </c>
      <c r="G1911" s="16" t="s">
        <v>8792</v>
      </c>
      <c r="H1911" s="16">
        <v>1.0</v>
      </c>
      <c r="I1911" s="16">
        <v>0.01</v>
      </c>
      <c r="J1911" s="16">
        <v>0.01</v>
      </c>
      <c r="K1911" s="16"/>
      <c r="L1911" s="16"/>
      <c r="M1911" s="16"/>
      <c r="N1911" s="16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D1911" s="16"/>
      <c r="AH1911" s="16"/>
      <c r="AL1911" s="16"/>
      <c r="AP1911" s="16"/>
      <c r="AT1911" s="16"/>
      <c r="AX1911" s="16"/>
      <c r="BF1911" s="16"/>
      <c r="BJ1911" s="16"/>
      <c r="BN1911" s="16"/>
      <c r="BO1911" s="16">
        <v>0.01</v>
      </c>
      <c r="BP1911" s="16"/>
      <c r="BQ1911" s="16" t="b">
        <v>1</v>
      </c>
      <c r="BR1911" s="16">
        <v>0.01</v>
      </c>
      <c r="BS1911" s="16"/>
      <c r="BT1911" s="16"/>
      <c r="BU1911" s="16" t="s">
        <v>539</v>
      </c>
      <c r="BV1911" s="16"/>
      <c r="BW1911" s="16"/>
      <c r="BX1911" s="16"/>
    </row>
    <row r="1912">
      <c r="A1912" s="16">
        <v>11762.0</v>
      </c>
      <c r="B1912" s="16" t="s">
        <v>35</v>
      </c>
      <c r="C1912" s="201">
        <v>46028.0</v>
      </c>
      <c r="D1912" s="16" t="s">
        <v>7740</v>
      </c>
      <c r="E1912" s="16"/>
      <c r="F1912" s="16" t="s">
        <v>5136</v>
      </c>
      <c r="G1912" s="16" t="s">
        <v>9254</v>
      </c>
      <c r="H1912" s="16">
        <v>1.0</v>
      </c>
      <c r="I1912" s="16">
        <v>0.0</v>
      </c>
      <c r="J1912" s="16">
        <v>0.0</v>
      </c>
      <c r="K1912" s="16"/>
      <c r="L1912" s="16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16"/>
      <c r="AD1912" s="16"/>
      <c r="AH1912" s="16"/>
      <c r="AL1912" s="16"/>
      <c r="AP1912" s="16"/>
      <c r="AT1912" s="16"/>
      <c r="AX1912" s="16"/>
      <c r="BF1912" s="16"/>
      <c r="BJ1912" s="16"/>
      <c r="BN1912" s="16"/>
      <c r="BO1912" s="16">
        <v>0.0</v>
      </c>
      <c r="BP1912" s="16"/>
      <c r="BQ1912" s="16" t="b">
        <v>1</v>
      </c>
      <c r="BR1912" s="16">
        <v>0.0</v>
      </c>
      <c r="BS1912" s="16"/>
      <c r="BT1912" s="16"/>
      <c r="BU1912" s="16" t="s">
        <v>539</v>
      </c>
      <c r="BV1912" s="16"/>
      <c r="BW1912" s="16"/>
      <c r="BX1912" s="16"/>
    </row>
    <row r="1913">
      <c r="A1913" s="16" t="s">
        <v>9570</v>
      </c>
      <c r="B1913" s="16" t="s">
        <v>35</v>
      </c>
      <c r="C1913" s="201">
        <v>46028.0</v>
      </c>
      <c r="D1913" s="16" t="s">
        <v>11209</v>
      </c>
      <c r="E1913" s="16"/>
      <c r="F1913" s="16" t="s">
        <v>11492</v>
      </c>
      <c r="G1913" s="16" t="s">
        <v>9368</v>
      </c>
      <c r="H1913" s="16">
        <v>1.0</v>
      </c>
      <c r="I1913" s="16">
        <v>1267.49</v>
      </c>
      <c r="J1913" s="16">
        <v>1267.49</v>
      </c>
      <c r="K1913" s="16"/>
      <c r="L1913" s="16"/>
      <c r="M1913" s="16"/>
      <c r="N1913" s="16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16"/>
      <c r="AD1913" s="16"/>
      <c r="AH1913" s="16"/>
      <c r="AL1913" s="16"/>
      <c r="AP1913" s="16"/>
      <c r="AT1913" s="16"/>
      <c r="AX1913" s="16"/>
      <c r="BF1913" s="16"/>
      <c r="BJ1913" s="16"/>
      <c r="BN1913" s="16"/>
      <c r="BO1913" s="16">
        <v>1267.49</v>
      </c>
      <c r="BP1913" s="16"/>
      <c r="BQ1913" s="16" t="b">
        <v>1</v>
      </c>
      <c r="BR1913" s="16">
        <v>1267.49</v>
      </c>
      <c r="BS1913" s="16"/>
      <c r="BT1913" s="16"/>
      <c r="BU1913" s="16" t="s">
        <v>539</v>
      </c>
      <c r="BV1913" s="16"/>
      <c r="BW1913" s="16"/>
      <c r="BX1913" s="16"/>
    </row>
    <row r="1914">
      <c r="A1914" s="16" t="s">
        <v>9573</v>
      </c>
      <c r="B1914" s="16" t="s">
        <v>35</v>
      </c>
      <c r="C1914" s="201">
        <v>46028.0</v>
      </c>
      <c r="D1914" s="16" t="s">
        <v>193</v>
      </c>
      <c r="E1914" s="16" t="s">
        <v>11496</v>
      </c>
      <c r="F1914" s="16" t="s">
        <v>195</v>
      </c>
      <c r="G1914" s="16" t="s">
        <v>338</v>
      </c>
      <c r="H1914" s="16">
        <v>3.0</v>
      </c>
      <c r="I1914" s="16">
        <v>31.56</v>
      </c>
      <c r="J1914" s="16">
        <v>94.68</v>
      </c>
      <c r="K1914" s="16" t="s">
        <v>7086</v>
      </c>
      <c r="L1914" s="16">
        <v>5.0</v>
      </c>
      <c r="M1914" s="16">
        <v>33.96</v>
      </c>
      <c r="N1914" s="16">
        <v>169.8</v>
      </c>
      <c r="O1914" s="16" t="s">
        <v>335</v>
      </c>
      <c r="P1914" s="16">
        <v>6.0</v>
      </c>
      <c r="Q1914" s="16">
        <v>47.04</v>
      </c>
      <c r="R1914" s="16">
        <v>282.24</v>
      </c>
      <c r="S1914" s="16" t="s">
        <v>1777</v>
      </c>
      <c r="T1914" s="16">
        <v>2.0</v>
      </c>
      <c r="U1914" s="16">
        <v>33.96</v>
      </c>
      <c r="V1914" s="16">
        <v>67.92</v>
      </c>
      <c r="W1914" s="16" t="s">
        <v>9274</v>
      </c>
      <c r="X1914" s="16">
        <v>1.0</v>
      </c>
      <c r="Y1914" s="16">
        <v>34.92</v>
      </c>
      <c r="Z1914" s="16">
        <v>34.92</v>
      </c>
      <c r="AD1914" s="16">
        <v>0.0</v>
      </c>
      <c r="AH1914" s="16">
        <v>0.0</v>
      </c>
      <c r="AL1914" s="16">
        <v>0.0</v>
      </c>
      <c r="AP1914" s="16">
        <v>0.0</v>
      </c>
      <c r="AT1914" s="16">
        <v>0.0</v>
      </c>
      <c r="AX1914" s="16">
        <v>0.0</v>
      </c>
      <c r="BF1914" s="16">
        <v>0.0</v>
      </c>
      <c r="BJ1914" s="16">
        <v>0.0</v>
      </c>
      <c r="BN1914" s="16">
        <v>0.0</v>
      </c>
      <c r="BO1914" s="16">
        <v>649.56</v>
      </c>
      <c r="BP1914" s="16" t="s">
        <v>11499</v>
      </c>
      <c r="BQ1914" s="16" t="b">
        <v>1</v>
      </c>
      <c r="BR1914" s="16">
        <v>649.16</v>
      </c>
      <c r="BS1914" s="16"/>
      <c r="BT1914" s="16" t="b">
        <v>0</v>
      </c>
      <c r="BU1914" s="16" t="s">
        <v>546</v>
      </c>
      <c r="BV1914" s="16"/>
      <c r="BW1914" s="16"/>
      <c r="BX1914" s="16"/>
    </row>
    <row r="1915">
      <c r="A1915" s="16" t="s">
        <v>9582</v>
      </c>
      <c r="B1915" s="16" t="s">
        <v>35</v>
      </c>
      <c r="C1915" s="201">
        <v>46028.0</v>
      </c>
      <c r="D1915" s="16" t="s">
        <v>193</v>
      </c>
      <c r="E1915" s="16" t="s">
        <v>11496</v>
      </c>
      <c r="F1915" s="16" t="s">
        <v>195</v>
      </c>
      <c r="G1915" s="16" t="s">
        <v>338</v>
      </c>
      <c r="H1915" s="16">
        <v>1.0</v>
      </c>
      <c r="I1915" s="16">
        <v>79.46</v>
      </c>
      <c r="J1915" s="16">
        <v>79.46</v>
      </c>
      <c r="K1915" s="16"/>
      <c r="L1915" s="16"/>
      <c r="M1915" s="16"/>
      <c r="N1915" s="16">
        <v>0.0</v>
      </c>
      <c r="O1915" s="16"/>
      <c r="P1915" s="16"/>
      <c r="Q1915" s="16"/>
      <c r="R1915" s="16">
        <v>0.0</v>
      </c>
      <c r="S1915" s="16"/>
      <c r="T1915" s="16"/>
      <c r="U1915" s="16"/>
      <c r="V1915" s="16">
        <v>0.0</v>
      </c>
      <c r="W1915" s="16"/>
      <c r="X1915" s="16"/>
      <c r="Y1915" s="16"/>
      <c r="Z1915" s="16">
        <v>0.0</v>
      </c>
      <c r="AD1915" s="16">
        <v>0.0</v>
      </c>
      <c r="AH1915" s="16">
        <v>0.0</v>
      </c>
      <c r="AL1915" s="16">
        <v>0.0</v>
      </c>
      <c r="AP1915" s="16">
        <v>0.0</v>
      </c>
      <c r="AT1915" s="16">
        <v>0.0</v>
      </c>
      <c r="AX1915" s="16">
        <v>0.0</v>
      </c>
      <c r="BF1915" s="16">
        <v>0.0</v>
      </c>
      <c r="BJ1915" s="16">
        <v>0.0</v>
      </c>
      <c r="BN1915" s="16">
        <v>0.0</v>
      </c>
      <c r="BO1915" s="16">
        <v>79.46</v>
      </c>
      <c r="BP1915" s="16" t="s">
        <v>11504</v>
      </c>
      <c r="BQ1915" s="16" t="b">
        <v>1</v>
      </c>
      <c r="BR1915" s="16">
        <v>79.46</v>
      </c>
      <c r="BS1915" s="16"/>
      <c r="BT1915" s="16" t="b">
        <v>0</v>
      </c>
      <c r="BU1915" s="16" t="s">
        <v>546</v>
      </c>
      <c r="BV1915" s="16"/>
      <c r="BW1915" s="16"/>
      <c r="BX1915" s="16"/>
    </row>
    <row r="1916">
      <c r="A1916" s="21" t="s">
        <v>13883</v>
      </c>
      <c r="B1916" s="16" t="s">
        <v>35</v>
      </c>
      <c r="C1916" s="201">
        <v>46028.0</v>
      </c>
      <c r="D1916" s="16" t="s">
        <v>890</v>
      </c>
      <c r="E1916" s="16" t="s">
        <v>11507</v>
      </c>
      <c r="F1916" s="16" t="s">
        <v>2894</v>
      </c>
      <c r="G1916" s="16" t="s">
        <v>1510</v>
      </c>
      <c r="H1916" s="16">
        <v>1.0</v>
      </c>
      <c r="I1916" s="16">
        <v>21318.33</v>
      </c>
      <c r="J1916" s="16">
        <v>21318.33</v>
      </c>
      <c r="K1916" s="16"/>
      <c r="L1916" s="16"/>
      <c r="M1916" s="16"/>
      <c r="N1916" s="16">
        <v>0.0</v>
      </c>
      <c r="O1916" s="16"/>
      <c r="P1916" s="16"/>
      <c r="Q1916" s="16"/>
      <c r="R1916" s="16">
        <v>0.0</v>
      </c>
      <c r="S1916" s="16"/>
      <c r="T1916" s="16"/>
      <c r="U1916" s="16"/>
      <c r="V1916" s="16">
        <v>0.0</v>
      </c>
      <c r="W1916" s="16"/>
      <c r="X1916" s="16"/>
      <c r="Y1916" s="16"/>
      <c r="Z1916" s="16">
        <v>0.0</v>
      </c>
      <c r="AD1916" s="16">
        <v>0.0</v>
      </c>
      <c r="AH1916" s="16">
        <v>0.0</v>
      </c>
      <c r="AL1916" s="16">
        <v>0.0</v>
      </c>
      <c r="AP1916" s="16">
        <v>0.0</v>
      </c>
      <c r="AT1916" s="16">
        <v>0.0</v>
      </c>
      <c r="AX1916" s="16">
        <v>0.0</v>
      </c>
      <c r="BF1916" s="16">
        <v>0.0</v>
      </c>
      <c r="BJ1916" s="16">
        <v>0.0</v>
      </c>
      <c r="BN1916" s="16">
        <v>0.0</v>
      </c>
      <c r="BO1916" s="16">
        <v>21318.33</v>
      </c>
      <c r="BP1916" s="16" t="s">
        <v>11509</v>
      </c>
      <c r="BQ1916" s="16" t="b">
        <v>1</v>
      </c>
      <c r="BR1916" s="16">
        <v>21318.33</v>
      </c>
      <c r="BS1916" s="16"/>
      <c r="BT1916" s="16" t="b">
        <v>0</v>
      </c>
      <c r="BU1916" s="16" t="s">
        <v>546</v>
      </c>
      <c r="BV1916" s="16"/>
      <c r="BW1916" s="16" t="s">
        <v>11511</v>
      </c>
      <c r="BX1916" s="16" t="s">
        <v>11513</v>
      </c>
    </row>
    <row r="1917">
      <c r="A1917" s="16" t="s">
        <v>9585</v>
      </c>
      <c r="B1917" s="16" t="s">
        <v>35</v>
      </c>
      <c r="C1917" s="201">
        <v>46030.0</v>
      </c>
      <c r="D1917" s="16" t="s">
        <v>543</v>
      </c>
      <c r="E1917" s="16"/>
      <c r="F1917" s="16" t="s">
        <v>11516</v>
      </c>
      <c r="G1917" s="16">
        <v>1.2539885E7</v>
      </c>
      <c r="H1917" s="16">
        <v>1.0</v>
      </c>
      <c r="I1917" s="16">
        <v>1050.0</v>
      </c>
      <c r="J1917" s="16">
        <v>1050.0</v>
      </c>
      <c r="K1917" s="16"/>
      <c r="L1917" s="16"/>
      <c r="M1917" s="16"/>
      <c r="N1917" s="16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D1917" s="16"/>
      <c r="AH1917" s="16"/>
      <c r="AL1917" s="16"/>
      <c r="AP1917" s="16"/>
      <c r="AT1917" s="16"/>
      <c r="AX1917" s="16"/>
      <c r="BF1917" s="16"/>
      <c r="BJ1917" s="16"/>
      <c r="BN1917" s="16"/>
      <c r="BO1917" s="16">
        <v>1050.0</v>
      </c>
      <c r="BP1917" s="16"/>
      <c r="BQ1917" s="16" t="b">
        <v>1</v>
      </c>
      <c r="BR1917" s="16">
        <v>1050.0</v>
      </c>
      <c r="BS1917" s="16"/>
      <c r="BT1917" s="16"/>
      <c r="BU1917" s="16" t="s">
        <v>539</v>
      </c>
      <c r="BV1917" s="16"/>
      <c r="BW1917" s="16"/>
      <c r="BX1917" s="16"/>
    </row>
    <row r="1918">
      <c r="A1918" s="16" t="s">
        <v>9587</v>
      </c>
      <c r="B1918" s="16" t="s">
        <v>35</v>
      </c>
      <c r="C1918" s="201">
        <v>46030.0</v>
      </c>
      <c r="D1918" s="16" t="s">
        <v>3716</v>
      </c>
      <c r="E1918" s="16"/>
      <c r="F1918" s="16" t="s">
        <v>11521</v>
      </c>
      <c r="G1918" s="16" t="s">
        <v>3768</v>
      </c>
      <c r="H1918" s="16">
        <v>1.0</v>
      </c>
      <c r="I1918" s="16">
        <v>693.5</v>
      </c>
      <c r="J1918" s="16">
        <v>693.5</v>
      </c>
      <c r="K1918" s="16"/>
      <c r="L1918" s="16"/>
      <c r="M1918" s="16"/>
      <c r="N1918" s="16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D1918" s="16"/>
      <c r="AH1918" s="16"/>
      <c r="AL1918" s="16"/>
      <c r="AP1918" s="16"/>
      <c r="AT1918" s="16"/>
      <c r="AX1918" s="16"/>
      <c r="BF1918" s="16"/>
      <c r="BJ1918" s="16"/>
      <c r="BN1918" s="16"/>
      <c r="BO1918" s="16">
        <v>693.5</v>
      </c>
      <c r="BP1918" s="16"/>
      <c r="BQ1918" s="16" t="b">
        <v>1</v>
      </c>
      <c r="BR1918" s="16">
        <v>693.5</v>
      </c>
      <c r="BS1918" s="16"/>
      <c r="BT1918" s="16"/>
      <c r="BU1918" s="16" t="s">
        <v>539</v>
      </c>
      <c r="BV1918" s="16"/>
      <c r="BW1918" s="16"/>
      <c r="BX1918" s="16"/>
    </row>
    <row r="1919">
      <c r="A1919" s="16" t="s">
        <v>9590</v>
      </c>
      <c r="B1919" s="16" t="s">
        <v>35</v>
      </c>
      <c r="C1919" s="201">
        <v>46030.0</v>
      </c>
      <c r="D1919" s="16" t="s">
        <v>11524</v>
      </c>
      <c r="E1919" s="16"/>
      <c r="F1919" s="16" t="s">
        <v>11525</v>
      </c>
      <c r="G1919" s="16" t="s">
        <v>9591</v>
      </c>
      <c r="H1919" s="16">
        <v>1.0</v>
      </c>
      <c r="I1919" s="16">
        <v>50.0</v>
      </c>
      <c r="J1919" s="16">
        <v>50.0</v>
      </c>
      <c r="K1919" s="16"/>
      <c r="L1919" s="16"/>
      <c r="M1919" s="16"/>
      <c r="N1919" s="16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D1919" s="16"/>
      <c r="AH1919" s="16"/>
      <c r="AL1919" s="16"/>
      <c r="AP1919" s="16"/>
      <c r="AT1919" s="16"/>
      <c r="AX1919" s="16"/>
      <c r="BF1919" s="16"/>
      <c r="BJ1919" s="16"/>
      <c r="BN1919" s="16"/>
      <c r="BO1919" s="16">
        <v>50.0</v>
      </c>
      <c r="BP1919" s="16"/>
      <c r="BQ1919" s="16" t="b">
        <v>1</v>
      </c>
      <c r="BR1919" s="16">
        <v>50.0</v>
      </c>
      <c r="BS1919" s="16"/>
      <c r="BT1919" s="16"/>
      <c r="BU1919" s="16" t="s">
        <v>539</v>
      </c>
      <c r="BV1919" s="16"/>
      <c r="BW1919" s="16"/>
      <c r="BX1919" s="16"/>
    </row>
    <row r="1920">
      <c r="A1920" s="16" t="s">
        <v>9594</v>
      </c>
      <c r="B1920" s="16" t="s">
        <v>35</v>
      </c>
      <c r="C1920" s="201">
        <v>46030.0</v>
      </c>
      <c r="D1920" s="16"/>
      <c r="E1920" s="16"/>
      <c r="F1920" s="16" t="s">
        <v>1329</v>
      </c>
      <c r="G1920" s="16" t="s">
        <v>1168</v>
      </c>
      <c r="H1920" s="16">
        <v>1.0</v>
      </c>
      <c r="I1920" s="16">
        <v>500.0</v>
      </c>
      <c r="J1920" s="16">
        <v>500.0</v>
      </c>
      <c r="K1920" s="16"/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D1920" s="16"/>
      <c r="AH1920" s="16"/>
      <c r="AL1920" s="16"/>
      <c r="AP1920" s="16"/>
      <c r="AT1920" s="16"/>
      <c r="AX1920" s="16"/>
      <c r="BF1920" s="16"/>
      <c r="BJ1920" s="16"/>
      <c r="BN1920" s="16"/>
      <c r="BO1920" s="16">
        <v>500.0</v>
      </c>
      <c r="BP1920" s="16"/>
      <c r="BQ1920" s="16" t="b">
        <v>1</v>
      </c>
      <c r="BR1920" s="16">
        <v>500.0</v>
      </c>
      <c r="BS1920" s="16"/>
      <c r="BT1920" s="16"/>
      <c r="BU1920" s="16" t="s">
        <v>539</v>
      </c>
      <c r="BV1920" s="16" t="s">
        <v>11528</v>
      </c>
      <c r="BW1920" s="16"/>
      <c r="BX1920" s="16"/>
    </row>
    <row r="1921">
      <c r="A1921" s="16" t="s">
        <v>9597</v>
      </c>
      <c r="B1921" s="16" t="s">
        <v>35</v>
      </c>
      <c r="C1921" s="201">
        <v>46034.0</v>
      </c>
      <c r="D1921" s="16" t="s">
        <v>2129</v>
      </c>
      <c r="E1921" s="16" t="s">
        <v>11530</v>
      </c>
      <c r="F1921" s="16" t="s">
        <v>11533</v>
      </c>
      <c r="G1921" s="16" t="s">
        <v>152</v>
      </c>
      <c r="H1921" s="16">
        <v>1.0</v>
      </c>
      <c r="I1921" s="16">
        <v>11.58</v>
      </c>
      <c r="J1921" s="16">
        <v>11.58</v>
      </c>
      <c r="K1921" s="16"/>
      <c r="L1921" s="16"/>
      <c r="M1921" s="16"/>
      <c r="N1921" s="16">
        <v>0.0</v>
      </c>
      <c r="O1921" s="16"/>
      <c r="P1921" s="16"/>
      <c r="Q1921" s="16"/>
      <c r="R1921" s="16">
        <v>0.0</v>
      </c>
      <c r="S1921" s="16"/>
      <c r="T1921" s="16"/>
      <c r="U1921" s="16"/>
      <c r="V1921" s="16">
        <v>0.0</v>
      </c>
      <c r="W1921" s="16"/>
      <c r="X1921" s="16"/>
      <c r="Y1921" s="16"/>
      <c r="Z1921" s="16">
        <v>0.0</v>
      </c>
      <c r="AD1921" s="16">
        <v>0.0</v>
      </c>
      <c r="AH1921" s="16">
        <v>0.0</v>
      </c>
      <c r="AL1921" s="16">
        <v>0.0</v>
      </c>
      <c r="AP1921" s="16">
        <v>0.0</v>
      </c>
      <c r="AT1921" s="16">
        <v>0.0</v>
      </c>
      <c r="AX1921" s="16">
        <v>0.0</v>
      </c>
      <c r="BF1921" s="16">
        <v>0.0</v>
      </c>
      <c r="BJ1921" s="16">
        <v>0.0</v>
      </c>
      <c r="BN1921" s="16">
        <v>0.0</v>
      </c>
      <c r="BO1921" s="16">
        <v>11.58</v>
      </c>
      <c r="BP1921" s="16" t="s">
        <v>11531</v>
      </c>
      <c r="BQ1921" s="16" t="b">
        <v>1</v>
      </c>
      <c r="BR1921" s="16">
        <v>11.58</v>
      </c>
      <c r="BS1921" s="21" t="s">
        <v>13892</v>
      </c>
      <c r="BT1921" s="16" t="b">
        <v>1</v>
      </c>
      <c r="BU1921" s="16" t="s">
        <v>546</v>
      </c>
      <c r="BV1921" s="16"/>
      <c r="BW1921" s="16"/>
      <c r="BX1921" s="16"/>
    </row>
    <row r="1922">
      <c r="A1922" s="16">
        <v>11769.0</v>
      </c>
      <c r="B1922" s="16" t="s">
        <v>35</v>
      </c>
      <c r="C1922" s="201">
        <v>46034.0</v>
      </c>
      <c r="D1922" s="16" t="s">
        <v>2280</v>
      </c>
      <c r="E1922" s="16"/>
      <c r="F1922" s="16" t="s">
        <v>10095</v>
      </c>
      <c r="G1922" s="16" t="s">
        <v>9257</v>
      </c>
      <c r="H1922" s="16">
        <v>1.0</v>
      </c>
      <c r="I1922" s="16">
        <v>1013.13</v>
      </c>
      <c r="J1922" s="16">
        <v>1013.13</v>
      </c>
      <c r="K1922" s="16"/>
      <c r="L1922" s="16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D1922" s="16"/>
      <c r="AH1922" s="16"/>
      <c r="AL1922" s="16"/>
      <c r="AP1922" s="16"/>
      <c r="AT1922" s="16"/>
      <c r="AX1922" s="16"/>
      <c r="BF1922" s="16"/>
      <c r="BJ1922" s="16"/>
      <c r="BN1922" s="16"/>
      <c r="BO1922" s="16">
        <v>1013.13</v>
      </c>
      <c r="BP1922" s="16"/>
      <c r="BQ1922" s="16" t="b">
        <v>1</v>
      </c>
      <c r="BR1922" s="16">
        <v>1013.13</v>
      </c>
      <c r="BS1922" s="16"/>
      <c r="BT1922" s="16"/>
      <c r="BU1922" s="16" t="s">
        <v>539</v>
      </c>
      <c r="BV1922" s="16"/>
      <c r="BW1922" s="16"/>
      <c r="BX1922" s="16"/>
    </row>
    <row r="1923">
      <c r="A1923" s="16">
        <v>11770.0</v>
      </c>
      <c r="B1923" s="16" t="s">
        <v>35</v>
      </c>
      <c r="C1923" s="201">
        <v>46034.0</v>
      </c>
      <c r="D1923" s="16" t="s">
        <v>2248</v>
      </c>
      <c r="E1923" s="16"/>
      <c r="F1923" s="16" t="s">
        <v>8055</v>
      </c>
      <c r="G1923" s="16" t="s">
        <v>3218</v>
      </c>
      <c r="H1923" s="16">
        <v>1.0</v>
      </c>
      <c r="I1923" s="16">
        <v>185.0</v>
      </c>
      <c r="J1923" s="16">
        <v>185.0</v>
      </c>
      <c r="K1923" s="16"/>
      <c r="L1923" s="16"/>
      <c r="M1923" s="16"/>
      <c r="N1923" s="16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16"/>
      <c r="AD1923" s="16"/>
      <c r="AH1923" s="16"/>
      <c r="AL1923" s="16"/>
      <c r="AP1923" s="16"/>
      <c r="AT1923" s="16"/>
      <c r="AX1923" s="16"/>
      <c r="BF1923" s="16"/>
      <c r="BJ1923" s="16"/>
      <c r="BN1923" s="16"/>
      <c r="BO1923" s="16">
        <v>185.0</v>
      </c>
      <c r="BP1923" s="16"/>
      <c r="BQ1923" s="16" t="b">
        <v>1</v>
      </c>
      <c r="BR1923" s="16">
        <v>185.0</v>
      </c>
      <c r="BS1923" s="16"/>
      <c r="BT1923" s="16"/>
      <c r="BU1923" s="16" t="s">
        <v>539</v>
      </c>
      <c r="BV1923" s="16"/>
      <c r="BW1923" s="16"/>
      <c r="BX1923" s="16"/>
    </row>
    <row r="1924">
      <c r="A1924" s="16" t="s">
        <v>9603</v>
      </c>
      <c r="B1924" s="16" t="s">
        <v>35</v>
      </c>
      <c r="C1924" s="201">
        <v>46034.0</v>
      </c>
      <c r="D1924" s="16" t="s">
        <v>460</v>
      </c>
      <c r="E1924" s="16"/>
      <c r="F1924" s="16" t="s">
        <v>11541</v>
      </c>
      <c r="G1924" s="16" t="s">
        <v>2735</v>
      </c>
      <c r="H1924" s="16">
        <v>1.0</v>
      </c>
      <c r="I1924" s="16">
        <v>175.0</v>
      </c>
      <c r="J1924" s="16">
        <v>175.0</v>
      </c>
      <c r="K1924" s="16"/>
      <c r="L1924" s="16"/>
      <c r="M1924" s="16"/>
      <c r="N1924" s="16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16"/>
      <c r="AD1924" s="16"/>
      <c r="AH1924" s="16"/>
      <c r="AL1924" s="16"/>
      <c r="AP1924" s="16"/>
      <c r="AT1924" s="16"/>
      <c r="AX1924" s="16"/>
      <c r="BF1924" s="16"/>
      <c r="BJ1924" s="16"/>
      <c r="BN1924" s="16"/>
      <c r="BO1924" s="16">
        <v>175.0</v>
      </c>
      <c r="BP1924" s="16"/>
      <c r="BQ1924" s="16" t="b">
        <v>1</v>
      </c>
      <c r="BR1924" s="16">
        <v>175.0</v>
      </c>
      <c r="BS1924" s="16"/>
      <c r="BT1924" s="16"/>
      <c r="BU1924" s="16" t="s">
        <v>539</v>
      </c>
      <c r="BV1924" s="16"/>
      <c r="BW1924" s="16"/>
      <c r="BX1924" s="16"/>
    </row>
    <row r="1925">
      <c r="A1925" s="16" t="s">
        <v>9605</v>
      </c>
      <c r="B1925" s="16" t="s">
        <v>35</v>
      </c>
      <c r="C1925" s="201">
        <v>46034.0</v>
      </c>
      <c r="D1925" s="16" t="s">
        <v>460</v>
      </c>
      <c r="E1925" s="16"/>
      <c r="F1925" s="16" t="s">
        <v>11546</v>
      </c>
      <c r="G1925" s="16" t="s">
        <v>3987</v>
      </c>
      <c r="H1925" s="16">
        <v>1.0</v>
      </c>
      <c r="I1925" s="16">
        <v>39.0</v>
      </c>
      <c r="J1925" s="16">
        <v>39.0</v>
      </c>
      <c r="K1925" s="16"/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D1925" s="16"/>
      <c r="AH1925" s="16"/>
      <c r="AL1925" s="16"/>
      <c r="AP1925" s="16"/>
      <c r="AT1925" s="16"/>
      <c r="AX1925" s="16"/>
      <c r="BF1925" s="16"/>
      <c r="BJ1925" s="16"/>
      <c r="BN1925" s="16"/>
      <c r="BO1925" s="16">
        <v>39.0</v>
      </c>
      <c r="BP1925" s="16"/>
      <c r="BQ1925" s="16" t="b">
        <v>1</v>
      </c>
      <c r="BR1925" s="16">
        <v>39.0</v>
      </c>
      <c r="BS1925" s="16"/>
      <c r="BT1925" s="16"/>
      <c r="BU1925" s="16" t="s">
        <v>539</v>
      </c>
      <c r="BV1925" s="16"/>
      <c r="BW1925" s="16"/>
      <c r="BX1925" s="16"/>
    </row>
    <row r="1926">
      <c r="A1926" s="16" t="s">
        <v>9607</v>
      </c>
      <c r="B1926" s="16" t="s">
        <v>35</v>
      </c>
      <c r="C1926" s="201">
        <v>46034.0</v>
      </c>
      <c r="D1926" s="16" t="s">
        <v>460</v>
      </c>
      <c r="E1926" s="16"/>
      <c r="F1926" s="16" t="s">
        <v>11550</v>
      </c>
      <c r="G1926" s="16" t="s">
        <v>9609</v>
      </c>
      <c r="H1926" s="16">
        <v>1.0</v>
      </c>
      <c r="I1926" s="16">
        <v>212.0</v>
      </c>
      <c r="J1926" s="16">
        <v>212.0</v>
      </c>
      <c r="K1926" s="16"/>
      <c r="L1926" s="16"/>
      <c r="M1926" s="16"/>
      <c r="N1926" s="16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/>
      <c r="AD1926" s="16"/>
      <c r="AH1926" s="16"/>
      <c r="AL1926" s="16"/>
      <c r="AP1926" s="16"/>
      <c r="AT1926" s="16"/>
      <c r="AX1926" s="16"/>
      <c r="BF1926" s="16"/>
      <c r="BJ1926" s="16"/>
      <c r="BN1926" s="16"/>
      <c r="BO1926" s="16">
        <v>212.0</v>
      </c>
      <c r="BP1926" s="16"/>
      <c r="BQ1926" s="16" t="b">
        <v>1</v>
      </c>
      <c r="BR1926" s="16">
        <v>212.0</v>
      </c>
      <c r="BS1926" s="16"/>
      <c r="BT1926" s="16"/>
      <c r="BU1926" s="16" t="s">
        <v>539</v>
      </c>
      <c r="BV1926" s="16"/>
      <c r="BW1926" s="16"/>
      <c r="BX1926" s="16"/>
    </row>
    <row r="1927">
      <c r="A1927" s="16">
        <v>1.10266669E8</v>
      </c>
      <c r="B1927" s="16" t="s">
        <v>35</v>
      </c>
      <c r="C1927" s="201">
        <v>46034.0</v>
      </c>
      <c r="D1927" s="16" t="s">
        <v>460</v>
      </c>
      <c r="E1927" s="16"/>
      <c r="F1927" s="16" t="s">
        <v>11553</v>
      </c>
      <c r="G1927" s="16" t="s">
        <v>1653</v>
      </c>
      <c r="H1927" s="16">
        <v>1.0</v>
      </c>
      <c r="I1927" s="16">
        <v>114.9</v>
      </c>
      <c r="J1927" s="16">
        <v>114.9</v>
      </c>
      <c r="K1927" s="16"/>
      <c r="L1927" s="16"/>
      <c r="M1927" s="16"/>
      <c r="N1927" s="16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D1927" s="16"/>
      <c r="AH1927" s="16"/>
      <c r="AL1927" s="16"/>
      <c r="AP1927" s="16"/>
      <c r="AT1927" s="16"/>
      <c r="AX1927" s="16"/>
      <c r="BF1927" s="16"/>
      <c r="BJ1927" s="16"/>
      <c r="BN1927" s="16"/>
      <c r="BO1927" s="16">
        <v>114.9</v>
      </c>
      <c r="BP1927" s="16"/>
      <c r="BQ1927" s="16" t="b">
        <v>1</v>
      </c>
      <c r="BR1927" s="16">
        <v>114.9</v>
      </c>
      <c r="BS1927" s="16"/>
      <c r="BT1927" s="16"/>
      <c r="BU1927" s="16" t="s">
        <v>539</v>
      </c>
      <c r="BV1927" s="16"/>
      <c r="BW1927" s="16"/>
      <c r="BX1927" s="16"/>
    </row>
    <row r="1928">
      <c r="A1928" s="16" t="s">
        <v>9613</v>
      </c>
      <c r="B1928" s="16" t="s">
        <v>35</v>
      </c>
      <c r="C1928" s="201">
        <v>46034.0</v>
      </c>
      <c r="D1928" s="16" t="s">
        <v>460</v>
      </c>
      <c r="E1928" s="16"/>
      <c r="F1928" s="16" t="s">
        <v>11556</v>
      </c>
      <c r="G1928" s="16" t="s">
        <v>9614</v>
      </c>
      <c r="H1928" s="16">
        <v>1.0</v>
      </c>
      <c r="I1928" s="16">
        <v>173.94</v>
      </c>
      <c r="J1928" s="16">
        <v>173.94</v>
      </c>
      <c r="K1928" s="16"/>
      <c r="L1928" s="16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16"/>
      <c r="AD1928" s="16"/>
      <c r="AH1928" s="16"/>
      <c r="AL1928" s="16"/>
      <c r="AP1928" s="16"/>
      <c r="AT1928" s="16"/>
      <c r="AX1928" s="16"/>
      <c r="BF1928" s="16"/>
      <c r="BJ1928" s="16"/>
      <c r="BN1928" s="16"/>
      <c r="BO1928" s="16">
        <v>173.94</v>
      </c>
      <c r="BP1928" s="16"/>
      <c r="BQ1928" s="16" t="b">
        <v>1</v>
      </c>
      <c r="BR1928" s="16">
        <v>173.94</v>
      </c>
      <c r="BS1928" s="16"/>
      <c r="BT1928" s="16"/>
      <c r="BU1928" s="16" t="s">
        <v>539</v>
      </c>
      <c r="BV1928" s="16"/>
      <c r="BW1928" s="16"/>
      <c r="BX1928" s="16"/>
    </row>
    <row r="1929">
      <c r="A1929" s="16" t="s">
        <v>9616</v>
      </c>
      <c r="B1929" s="16" t="s">
        <v>35</v>
      </c>
      <c r="C1929" s="201">
        <v>46034.0</v>
      </c>
      <c r="D1929" s="16" t="s">
        <v>460</v>
      </c>
      <c r="E1929" s="16"/>
      <c r="F1929" s="16" t="s">
        <v>11559</v>
      </c>
      <c r="G1929" s="16" t="s">
        <v>1653</v>
      </c>
      <c r="H1929" s="16">
        <v>1.0</v>
      </c>
      <c r="I1929" s="16">
        <v>175.0</v>
      </c>
      <c r="J1929" s="16">
        <v>175.0</v>
      </c>
      <c r="K1929" s="16"/>
      <c r="L1929" s="16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D1929" s="16"/>
      <c r="AH1929" s="16"/>
      <c r="AL1929" s="16"/>
      <c r="AP1929" s="16"/>
      <c r="AT1929" s="16"/>
      <c r="AX1929" s="16"/>
      <c r="BF1929" s="16"/>
      <c r="BJ1929" s="16"/>
      <c r="BN1929" s="16"/>
      <c r="BO1929" s="16">
        <v>175.0</v>
      </c>
      <c r="BP1929" s="16"/>
      <c r="BQ1929" s="16" t="b">
        <v>1</v>
      </c>
      <c r="BR1929" s="16">
        <v>175.0</v>
      </c>
      <c r="BS1929" s="16"/>
      <c r="BT1929" s="16"/>
      <c r="BU1929" s="16" t="s">
        <v>539</v>
      </c>
      <c r="BV1929" s="16"/>
      <c r="BW1929" s="16"/>
      <c r="BX1929" s="16"/>
    </row>
    <row r="1930">
      <c r="A1930" s="16" t="s">
        <v>9620</v>
      </c>
      <c r="B1930" s="16" t="s">
        <v>35</v>
      </c>
      <c r="C1930" s="201">
        <v>46034.0</v>
      </c>
      <c r="D1930" s="16" t="s">
        <v>460</v>
      </c>
      <c r="E1930" s="16"/>
      <c r="F1930" s="16" t="s">
        <v>11563</v>
      </c>
      <c r="G1930" s="16" t="s">
        <v>305</v>
      </c>
      <c r="H1930" s="16">
        <v>1.0</v>
      </c>
      <c r="I1930" s="16">
        <v>82.95</v>
      </c>
      <c r="J1930" s="16">
        <v>82.95</v>
      </c>
      <c r="K1930" s="16"/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D1930" s="16"/>
      <c r="AH1930" s="16"/>
      <c r="AL1930" s="16"/>
      <c r="AP1930" s="16"/>
      <c r="AT1930" s="16"/>
      <c r="AX1930" s="16"/>
      <c r="BF1930" s="16"/>
      <c r="BJ1930" s="16"/>
      <c r="BN1930" s="16"/>
      <c r="BO1930" s="16">
        <v>82.95</v>
      </c>
      <c r="BP1930" s="16"/>
      <c r="BQ1930" s="16" t="b">
        <v>1</v>
      </c>
      <c r="BR1930" s="16">
        <v>82.95</v>
      </c>
      <c r="BS1930" s="16"/>
      <c r="BT1930" s="16"/>
      <c r="BU1930" s="16" t="s">
        <v>539</v>
      </c>
      <c r="BV1930" s="16"/>
      <c r="BW1930" s="16"/>
      <c r="BX1930" s="16"/>
    </row>
    <row r="1931">
      <c r="A1931" s="16" t="s">
        <v>9624</v>
      </c>
      <c r="B1931" s="16" t="s">
        <v>35</v>
      </c>
      <c r="C1931" s="201">
        <v>46034.0</v>
      </c>
      <c r="D1931" s="16" t="s">
        <v>1160</v>
      </c>
      <c r="E1931" s="16"/>
      <c r="F1931" s="16" t="s">
        <v>11568</v>
      </c>
      <c r="G1931" s="16">
        <v>7.9792017E7</v>
      </c>
      <c r="H1931" s="16">
        <v>1.0</v>
      </c>
      <c r="I1931" s="16">
        <v>3792.59</v>
      </c>
      <c r="J1931" s="16">
        <v>3792.59</v>
      </c>
      <c r="K1931" s="16"/>
      <c r="L1931" s="16"/>
      <c r="M1931" s="16"/>
      <c r="N1931" s="16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16"/>
      <c r="AD1931" s="16"/>
      <c r="AH1931" s="16"/>
      <c r="AL1931" s="16"/>
      <c r="AP1931" s="16"/>
      <c r="AT1931" s="16"/>
      <c r="AX1931" s="16"/>
      <c r="BF1931" s="16"/>
      <c r="BJ1931" s="16"/>
      <c r="BN1931" s="16"/>
      <c r="BO1931" s="16">
        <v>3792.59</v>
      </c>
      <c r="BP1931" s="16"/>
      <c r="BQ1931" s="16" t="b">
        <v>1</v>
      </c>
      <c r="BR1931" s="16">
        <v>3792.59</v>
      </c>
      <c r="BS1931" s="16"/>
      <c r="BT1931" s="16"/>
      <c r="BU1931" s="16" t="s">
        <v>539</v>
      </c>
      <c r="BV1931" s="16"/>
      <c r="BW1931" s="16"/>
      <c r="BX1931" s="16"/>
    </row>
    <row r="1932">
      <c r="A1932" s="16" t="s">
        <v>9627</v>
      </c>
      <c r="B1932" s="16" t="s">
        <v>35</v>
      </c>
      <c r="C1932" s="201">
        <v>46034.0</v>
      </c>
      <c r="D1932" s="16" t="s">
        <v>1160</v>
      </c>
      <c r="E1932" s="16"/>
      <c r="F1932" s="16" t="s">
        <v>11193</v>
      </c>
      <c r="G1932" s="16" t="s">
        <v>8651</v>
      </c>
      <c r="H1932" s="16">
        <v>1.0</v>
      </c>
      <c r="I1932" s="16">
        <v>1070.61</v>
      </c>
      <c r="J1932" s="16">
        <v>1070.61</v>
      </c>
      <c r="K1932" s="16"/>
      <c r="L1932" s="16"/>
      <c r="M1932" s="16"/>
      <c r="N1932" s="16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16"/>
      <c r="AD1932" s="16"/>
      <c r="AH1932" s="16"/>
      <c r="AL1932" s="16"/>
      <c r="AP1932" s="16"/>
      <c r="AT1932" s="16"/>
      <c r="AX1932" s="16"/>
      <c r="BF1932" s="16"/>
      <c r="BJ1932" s="16"/>
      <c r="BN1932" s="16"/>
      <c r="BO1932" s="16">
        <v>1070.61</v>
      </c>
      <c r="BP1932" s="16"/>
      <c r="BQ1932" s="16" t="b">
        <v>1</v>
      </c>
      <c r="BR1932" s="16">
        <v>1070.61</v>
      </c>
      <c r="BS1932" s="16"/>
      <c r="BT1932" s="16"/>
      <c r="BU1932" s="16" t="s">
        <v>539</v>
      </c>
      <c r="BV1932" s="16"/>
      <c r="BW1932" s="16"/>
      <c r="BX1932" s="16"/>
    </row>
    <row r="1933">
      <c r="A1933" s="16" t="s">
        <v>9631</v>
      </c>
      <c r="B1933" s="16" t="s">
        <v>35</v>
      </c>
      <c r="C1933" s="201">
        <v>46034.0</v>
      </c>
      <c r="D1933" s="16" t="s">
        <v>890</v>
      </c>
      <c r="E1933" s="16"/>
      <c r="F1933" s="16" t="s">
        <v>11575</v>
      </c>
      <c r="G1933" s="16" t="s">
        <v>8458</v>
      </c>
      <c r="H1933" s="16">
        <v>1.0</v>
      </c>
      <c r="I1933" s="16">
        <v>4543.0</v>
      </c>
      <c r="J1933" s="16">
        <v>4543.0</v>
      </c>
      <c r="K1933" s="16"/>
      <c r="L1933" s="16"/>
      <c r="M1933" s="16"/>
      <c r="N1933" s="16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D1933" s="16"/>
      <c r="AH1933" s="16"/>
      <c r="AL1933" s="16"/>
      <c r="AP1933" s="16"/>
      <c r="AT1933" s="16"/>
      <c r="AX1933" s="16"/>
      <c r="BF1933" s="16"/>
      <c r="BJ1933" s="16"/>
      <c r="BN1933" s="16"/>
      <c r="BO1933" s="16">
        <v>4543.0</v>
      </c>
      <c r="BP1933" s="16"/>
      <c r="BQ1933" s="16" t="b">
        <v>1</v>
      </c>
      <c r="BR1933" s="16">
        <v>4543.0</v>
      </c>
      <c r="BS1933" s="16"/>
      <c r="BT1933" s="16"/>
      <c r="BU1933" s="16" t="s">
        <v>539</v>
      </c>
      <c r="BV1933" s="16"/>
      <c r="BW1933" s="16"/>
      <c r="BX1933" s="16"/>
    </row>
    <row r="1934">
      <c r="A1934" s="16" t="s">
        <v>9633</v>
      </c>
      <c r="B1934" s="16" t="s">
        <v>35</v>
      </c>
      <c r="C1934" s="201">
        <v>46034.0</v>
      </c>
      <c r="D1934" s="16" t="s">
        <v>460</v>
      </c>
      <c r="E1934" s="16"/>
      <c r="F1934" s="16" t="s">
        <v>11579</v>
      </c>
      <c r="G1934" s="16" t="s">
        <v>9634</v>
      </c>
      <c r="H1934" s="16">
        <v>1.0</v>
      </c>
      <c r="I1934" s="16">
        <v>1312.0</v>
      </c>
      <c r="J1934" s="16">
        <v>1312.0</v>
      </c>
      <c r="K1934" s="16"/>
      <c r="L1934" s="16"/>
      <c r="M1934" s="16"/>
      <c r="N1934" s="16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D1934" s="16"/>
      <c r="AH1934" s="16"/>
      <c r="AL1934" s="16"/>
      <c r="AP1934" s="16"/>
      <c r="AT1934" s="16"/>
      <c r="AX1934" s="16"/>
      <c r="BF1934" s="16"/>
      <c r="BJ1934" s="16"/>
      <c r="BN1934" s="16"/>
      <c r="BO1934" s="16">
        <v>1312.0</v>
      </c>
      <c r="BP1934" s="16"/>
      <c r="BQ1934" s="16" t="b">
        <v>1</v>
      </c>
      <c r="BR1934" s="16">
        <v>1312.0</v>
      </c>
      <c r="BS1934" s="16"/>
      <c r="BT1934" s="16"/>
      <c r="BU1934" s="16" t="s">
        <v>539</v>
      </c>
      <c r="BV1934" s="16"/>
      <c r="BW1934" s="16"/>
      <c r="BX1934" s="16"/>
    </row>
    <row r="1935">
      <c r="A1935" s="16" t="s">
        <v>9636</v>
      </c>
      <c r="B1935" s="16" t="s">
        <v>35</v>
      </c>
      <c r="C1935" s="201">
        <v>46031.0</v>
      </c>
      <c r="D1935" s="16" t="s">
        <v>11582</v>
      </c>
      <c r="E1935" s="16" t="s">
        <v>11583</v>
      </c>
      <c r="F1935" s="16" t="s">
        <v>11382</v>
      </c>
      <c r="G1935" s="16" t="s">
        <v>305</v>
      </c>
      <c r="H1935" s="16">
        <v>1.0</v>
      </c>
      <c r="I1935" s="16">
        <v>187.44</v>
      </c>
      <c r="J1935" s="16">
        <v>187.44</v>
      </c>
      <c r="K1935" s="16"/>
      <c r="L1935" s="16"/>
      <c r="M1935" s="16"/>
      <c r="N1935" s="16">
        <v>0.0</v>
      </c>
      <c r="O1935" s="16"/>
      <c r="P1935" s="16"/>
      <c r="Q1935" s="16"/>
      <c r="R1935" s="16">
        <v>0.0</v>
      </c>
      <c r="S1935" s="16"/>
      <c r="T1935" s="16"/>
      <c r="U1935" s="16"/>
      <c r="V1935" s="16">
        <v>0.0</v>
      </c>
      <c r="W1935" s="16"/>
      <c r="X1935" s="16"/>
      <c r="Y1935" s="16"/>
      <c r="Z1935" s="16">
        <v>0.0</v>
      </c>
      <c r="AD1935" s="16">
        <v>0.0</v>
      </c>
      <c r="AH1935" s="16">
        <v>0.0</v>
      </c>
      <c r="AL1935" s="16">
        <v>0.0</v>
      </c>
      <c r="AP1935" s="16">
        <v>0.0</v>
      </c>
      <c r="AT1935" s="16">
        <v>0.0</v>
      </c>
      <c r="AX1935" s="16">
        <v>0.0</v>
      </c>
      <c r="BF1935" s="16">
        <v>0.0</v>
      </c>
      <c r="BJ1935" s="16">
        <v>0.0</v>
      </c>
      <c r="BN1935" s="16">
        <v>0.0</v>
      </c>
      <c r="BO1935" s="16">
        <v>187.44</v>
      </c>
      <c r="BP1935" s="16" t="s">
        <v>11585</v>
      </c>
      <c r="BQ1935" s="16" t="b">
        <v>1</v>
      </c>
      <c r="BR1935" s="16">
        <v>187.44</v>
      </c>
      <c r="BS1935" s="21" t="s">
        <v>13912</v>
      </c>
      <c r="BT1935" s="16" t="b">
        <v>1</v>
      </c>
      <c r="BU1935" s="16" t="s">
        <v>546</v>
      </c>
      <c r="BV1935" s="16"/>
      <c r="BW1935" s="16"/>
      <c r="BX1935" s="16"/>
    </row>
    <row r="1936">
      <c r="A1936" s="16">
        <v>11768.0</v>
      </c>
      <c r="B1936" s="16" t="s">
        <v>35</v>
      </c>
      <c r="C1936" s="201">
        <v>46035.0</v>
      </c>
      <c r="D1936" s="16" t="s">
        <v>10092</v>
      </c>
      <c r="E1936" s="16"/>
      <c r="F1936" s="16" t="s">
        <v>10093</v>
      </c>
      <c r="G1936" s="16" t="s">
        <v>8603</v>
      </c>
      <c r="H1936" s="16">
        <v>1.0</v>
      </c>
      <c r="I1936" s="16">
        <v>181.37</v>
      </c>
      <c r="J1936" s="16">
        <v>181.37</v>
      </c>
      <c r="K1936" s="16"/>
      <c r="L1936" s="16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16"/>
      <c r="AD1936" s="16"/>
      <c r="AH1936" s="16"/>
      <c r="AL1936" s="16"/>
      <c r="AP1936" s="16"/>
      <c r="AT1936" s="16"/>
      <c r="AX1936" s="16"/>
      <c r="BF1936" s="16"/>
      <c r="BJ1936" s="16"/>
      <c r="BN1936" s="16"/>
      <c r="BO1936" s="16">
        <v>181.37</v>
      </c>
      <c r="BP1936" s="16"/>
      <c r="BQ1936" s="16" t="b">
        <v>1</v>
      </c>
      <c r="BR1936" s="16">
        <v>181.37</v>
      </c>
      <c r="BS1936" s="16"/>
      <c r="BT1936" s="16"/>
      <c r="BU1936" s="16" t="s">
        <v>539</v>
      </c>
      <c r="BV1936" s="16"/>
      <c r="BW1936" s="16"/>
      <c r="BX1936" s="16"/>
    </row>
    <row r="1937">
      <c r="A1937" s="16" t="s">
        <v>9641</v>
      </c>
      <c r="B1937" s="16" t="s">
        <v>35</v>
      </c>
      <c r="C1937" s="201">
        <v>46035.0</v>
      </c>
      <c r="D1937" s="16" t="s">
        <v>1864</v>
      </c>
      <c r="E1937" s="16"/>
      <c r="F1937" s="16" t="s">
        <v>11594</v>
      </c>
      <c r="G1937" s="16" t="s">
        <v>2448</v>
      </c>
      <c r="H1937" s="16">
        <v>1.0</v>
      </c>
      <c r="I1937" s="16">
        <v>81.93</v>
      </c>
      <c r="J1937" s="16">
        <v>81.93</v>
      </c>
      <c r="K1937" s="16"/>
      <c r="L1937" s="16"/>
      <c r="M1937" s="16"/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D1937" s="16"/>
      <c r="AH1937" s="16"/>
      <c r="AL1937" s="16"/>
      <c r="AP1937" s="16"/>
      <c r="AT1937" s="16"/>
      <c r="AX1937" s="16"/>
      <c r="BF1937" s="16"/>
      <c r="BJ1937" s="16"/>
      <c r="BN1937" s="16"/>
      <c r="BO1937" s="16">
        <v>81.93</v>
      </c>
      <c r="BP1937" s="16"/>
      <c r="BQ1937" s="16" t="b">
        <v>1</v>
      </c>
      <c r="BR1937" s="16">
        <v>81.93</v>
      </c>
      <c r="BS1937" s="16"/>
      <c r="BT1937" s="16"/>
      <c r="BU1937" s="16" t="s">
        <v>539</v>
      </c>
      <c r="BV1937" s="16"/>
      <c r="BW1937" s="16"/>
      <c r="BX1937" s="16"/>
    </row>
    <row r="1938">
      <c r="A1938" s="16" t="s">
        <v>9643</v>
      </c>
      <c r="B1938" s="16" t="s">
        <v>35</v>
      </c>
      <c r="C1938" s="201">
        <v>46036.0</v>
      </c>
      <c r="D1938" s="16" t="s">
        <v>2165</v>
      </c>
      <c r="E1938" s="16"/>
      <c r="F1938" s="16" t="s">
        <v>11597</v>
      </c>
      <c r="G1938" s="16" t="s">
        <v>9526</v>
      </c>
      <c r="H1938" s="16">
        <v>1.0</v>
      </c>
      <c r="I1938" s="16">
        <v>985.85</v>
      </c>
      <c r="J1938" s="16">
        <v>985.85</v>
      </c>
      <c r="K1938" s="16"/>
      <c r="L1938" s="16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D1938" s="16"/>
      <c r="AH1938" s="16"/>
      <c r="AL1938" s="16"/>
      <c r="AP1938" s="16"/>
      <c r="AT1938" s="16"/>
      <c r="AX1938" s="16"/>
      <c r="BF1938" s="16"/>
      <c r="BJ1938" s="16"/>
      <c r="BN1938" s="16"/>
      <c r="BO1938" s="16">
        <v>985.85</v>
      </c>
      <c r="BP1938" s="16"/>
      <c r="BQ1938" s="16" t="b">
        <v>1</v>
      </c>
      <c r="BR1938" s="16">
        <v>985.85</v>
      </c>
      <c r="BS1938" s="16"/>
      <c r="BT1938" s="16"/>
      <c r="BU1938" s="16" t="s">
        <v>539</v>
      </c>
      <c r="BV1938" s="16"/>
      <c r="BW1938" s="16"/>
      <c r="BX1938" s="16"/>
    </row>
    <row r="1939">
      <c r="A1939" s="16" t="s">
        <v>9645</v>
      </c>
      <c r="B1939" s="16" t="s">
        <v>35</v>
      </c>
      <c r="C1939" s="201">
        <v>46037.0</v>
      </c>
      <c r="D1939" s="16" t="s">
        <v>559</v>
      </c>
      <c r="E1939" s="16" t="s">
        <v>11601</v>
      </c>
      <c r="F1939" s="16" t="s">
        <v>195</v>
      </c>
      <c r="G1939" s="16" t="s">
        <v>1081</v>
      </c>
      <c r="H1939" s="16">
        <v>6.0</v>
      </c>
      <c r="I1939" s="16">
        <v>48.0</v>
      </c>
      <c r="J1939" s="16">
        <v>288.0</v>
      </c>
      <c r="K1939" s="16" t="s">
        <v>1077</v>
      </c>
      <c r="L1939" s="16">
        <v>8.0</v>
      </c>
      <c r="M1939" s="16">
        <v>23.0</v>
      </c>
      <c r="N1939" s="16">
        <v>184.0</v>
      </c>
      <c r="O1939" s="16" t="s">
        <v>1075</v>
      </c>
      <c r="P1939" s="16">
        <v>4.0</v>
      </c>
      <c r="Q1939" s="16">
        <v>20.0</v>
      </c>
      <c r="R1939" s="16">
        <v>80.0</v>
      </c>
      <c r="S1939" s="16" t="s">
        <v>1404</v>
      </c>
      <c r="T1939" s="16">
        <v>2.0</v>
      </c>
      <c r="U1939" s="16">
        <v>19.8</v>
      </c>
      <c r="V1939" s="16">
        <v>39.6</v>
      </c>
      <c r="W1939" s="21" t="s">
        <v>10459</v>
      </c>
      <c r="X1939" s="16">
        <v>2.0</v>
      </c>
      <c r="Y1939" s="16">
        <v>19.8</v>
      </c>
      <c r="Z1939" s="16">
        <v>39.6</v>
      </c>
      <c r="AD1939" s="16">
        <v>0.0</v>
      </c>
      <c r="AH1939" s="16">
        <v>0.0</v>
      </c>
      <c r="AL1939" s="16">
        <v>0.0</v>
      </c>
      <c r="AP1939" s="16">
        <v>0.0</v>
      </c>
      <c r="AT1939" s="16">
        <v>0.0</v>
      </c>
      <c r="AX1939" s="16">
        <v>0.0</v>
      </c>
      <c r="BF1939" s="16">
        <v>0.0</v>
      </c>
      <c r="BJ1939" s="16">
        <v>0.0</v>
      </c>
      <c r="BN1939" s="16">
        <v>0.0</v>
      </c>
      <c r="BO1939" s="16">
        <v>631.2</v>
      </c>
      <c r="BP1939" s="16" t="s">
        <v>11602</v>
      </c>
      <c r="BQ1939" s="16" t="b">
        <v>1</v>
      </c>
      <c r="BR1939" s="16">
        <v>631.2</v>
      </c>
      <c r="BS1939" s="16"/>
      <c r="BT1939" s="16" t="b">
        <v>0</v>
      </c>
      <c r="BU1939" s="16" t="s">
        <v>546</v>
      </c>
      <c r="BV1939" s="16"/>
      <c r="BW1939" s="16" t="s">
        <v>11604</v>
      </c>
      <c r="BX1939" s="16"/>
    </row>
    <row r="1940">
      <c r="A1940" s="16" t="s">
        <v>9653</v>
      </c>
      <c r="B1940" s="16" t="s">
        <v>35</v>
      </c>
      <c r="C1940" s="201">
        <v>46037.0</v>
      </c>
      <c r="D1940" s="16" t="s">
        <v>175</v>
      </c>
      <c r="E1940" s="16" t="s">
        <v>11606</v>
      </c>
      <c r="F1940" s="16" t="s">
        <v>11361</v>
      </c>
      <c r="G1940" s="16" t="s">
        <v>152</v>
      </c>
      <c r="H1940" s="16">
        <v>1.0</v>
      </c>
      <c r="I1940" s="16">
        <v>12.25</v>
      </c>
      <c r="J1940" s="16">
        <v>12.25</v>
      </c>
      <c r="K1940" s="16"/>
      <c r="L1940" s="16"/>
      <c r="M1940" s="16"/>
      <c r="N1940" s="16">
        <v>0.0</v>
      </c>
      <c r="O1940" s="16"/>
      <c r="P1940" s="16"/>
      <c r="Q1940" s="16"/>
      <c r="R1940" s="16">
        <v>0.0</v>
      </c>
      <c r="S1940" s="16"/>
      <c r="T1940" s="16"/>
      <c r="U1940" s="16"/>
      <c r="V1940" s="16">
        <v>0.0</v>
      </c>
      <c r="W1940" s="16"/>
      <c r="X1940" s="16"/>
      <c r="Y1940" s="16"/>
      <c r="Z1940" s="16">
        <v>0.0</v>
      </c>
      <c r="AD1940" s="16">
        <v>0.0</v>
      </c>
      <c r="AH1940" s="16">
        <v>0.0</v>
      </c>
      <c r="AL1940" s="16">
        <v>0.0</v>
      </c>
      <c r="AP1940" s="16">
        <v>0.0</v>
      </c>
      <c r="AT1940" s="16">
        <v>0.0</v>
      </c>
      <c r="AX1940" s="16">
        <v>0.0</v>
      </c>
      <c r="BF1940" s="16">
        <v>0.0</v>
      </c>
      <c r="BJ1940" s="16">
        <v>0.0</v>
      </c>
      <c r="BN1940" s="16">
        <v>0.0</v>
      </c>
      <c r="BO1940" s="16">
        <v>12.25</v>
      </c>
      <c r="BP1940" s="16" t="s">
        <v>11607</v>
      </c>
      <c r="BQ1940" s="16" t="b">
        <v>1</v>
      </c>
      <c r="BR1940" s="16">
        <v>12.25</v>
      </c>
      <c r="BS1940" s="21" t="s">
        <v>13917</v>
      </c>
      <c r="BT1940" s="16" t="b">
        <v>1</v>
      </c>
      <c r="BU1940" s="16" t="s">
        <v>546</v>
      </c>
      <c r="BV1940" s="16"/>
      <c r="BW1940" s="16"/>
      <c r="BX1940" s="16"/>
    </row>
    <row r="1941">
      <c r="A1941" s="16" t="s">
        <v>9656</v>
      </c>
      <c r="B1941" s="16" t="s">
        <v>35</v>
      </c>
      <c r="C1941" s="201">
        <v>46039.0</v>
      </c>
      <c r="D1941" s="16" t="s">
        <v>233</v>
      </c>
      <c r="E1941" s="16" t="s">
        <v>11609</v>
      </c>
      <c r="F1941" s="16" t="s">
        <v>8641</v>
      </c>
      <c r="G1941" s="16" t="s">
        <v>1079</v>
      </c>
      <c r="H1941" s="16">
        <v>180.0</v>
      </c>
      <c r="I1941" s="16">
        <v>1.09</v>
      </c>
      <c r="J1941" s="16">
        <v>196.2</v>
      </c>
      <c r="K1941" s="16" t="s">
        <v>1197</v>
      </c>
      <c r="L1941" s="16">
        <v>1.0</v>
      </c>
      <c r="M1941" s="16">
        <v>15.99</v>
      </c>
      <c r="N1941" s="16">
        <v>15.99</v>
      </c>
      <c r="O1941" s="16"/>
      <c r="P1941" s="16"/>
      <c r="Q1941" s="16"/>
      <c r="R1941" s="16">
        <v>0.0</v>
      </c>
      <c r="S1941" s="16"/>
      <c r="T1941" s="16"/>
      <c r="U1941" s="16"/>
      <c r="V1941" s="16">
        <v>0.0</v>
      </c>
      <c r="W1941" s="16"/>
      <c r="X1941" s="16"/>
      <c r="Y1941" s="16"/>
      <c r="Z1941" s="16">
        <v>0.0</v>
      </c>
      <c r="AD1941" s="16">
        <v>0.0</v>
      </c>
      <c r="AH1941" s="16">
        <v>0.0</v>
      </c>
      <c r="AL1941" s="16">
        <v>0.0</v>
      </c>
      <c r="AP1941" s="16">
        <v>0.0</v>
      </c>
      <c r="AT1941" s="16">
        <v>0.0</v>
      </c>
      <c r="AX1941" s="16">
        <v>0.0</v>
      </c>
      <c r="BF1941" s="16">
        <v>0.0</v>
      </c>
      <c r="BJ1941" s="16">
        <v>0.0</v>
      </c>
      <c r="BN1941" s="16">
        <v>0.0</v>
      </c>
      <c r="BO1941" s="16">
        <v>212.19</v>
      </c>
      <c r="BP1941" s="16" t="s">
        <v>11610</v>
      </c>
      <c r="BQ1941" s="16" t="b">
        <v>1</v>
      </c>
      <c r="BR1941" s="16">
        <v>212.19</v>
      </c>
      <c r="BS1941" s="21" t="s">
        <v>13918</v>
      </c>
      <c r="BT1941" s="16" t="b">
        <v>1</v>
      </c>
      <c r="BU1941" s="16" t="s">
        <v>546</v>
      </c>
      <c r="BV1941" s="16"/>
      <c r="BW1941" s="16"/>
      <c r="BX1941" s="16"/>
    </row>
    <row r="1942">
      <c r="A1942" s="21" t="s">
        <v>13919</v>
      </c>
      <c r="B1942" s="16" t="s">
        <v>35</v>
      </c>
      <c r="C1942" s="201">
        <v>46039.0</v>
      </c>
      <c r="D1942" s="16" t="s">
        <v>175</v>
      </c>
      <c r="E1942" s="16" t="s">
        <v>11613</v>
      </c>
      <c r="F1942" s="16" t="s">
        <v>157</v>
      </c>
      <c r="G1942" s="16" t="s">
        <v>159</v>
      </c>
      <c r="H1942" s="16">
        <v>15.0</v>
      </c>
      <c r="I1942" s="16">
        <v>12.0</v>
      </c>
      <c r="J1942" s="16">
        <v>180.0</v>
      </c>
      <c r="K1942" s="16" t="s">
        <v>155</v>
      </c>
      <c r="L1942" s="16">
        <v>1.0</v>
      </c>
      <c r="M1942" s="16">
        <v>45.42</v>
      </c>
      <c r="N1942" s="16">
        <v>45.42</v>
      </c>
      <c r="O1942" s="16" t="s">
        <v>230</v>
      </c>
      <c r="P1942" s="16">
        <v>1.0</v>
      </c>
      <c r="Q1942" s="16">
        <v>185.6</v>
      </c>
      <c r="R1942" s="16">
        <v>185.6</v>
      </c>
      <c r="S1942" s="16" t="s">
        <v>152</v>
      </c>
      <c r="T1942" s="16">
        <v>1.0</v>
      </c>
      <c r="U1942" s="16">
        <v>10.35</v>
      </c>
      <c r="V1942" s="16">
        <v>10.35</v>
      </c>
      <c r="W1942" s="16" t="s">
        <v>226</v>
      </c>
      <c r="X1942" s="16">
        <v>1.0</v>
      </c>
      <c r="Y1942" s="16">
        <v>63.0</v>
      </c>
      <c r="Z1942" s="16">
        <v>63.0</v>
      </c>
      <c r="AD1942" s="16">
        <v>0.0</v>
      </c>
      <c r="AH1942" s="16">
        <v>0.0</v>
      </c>
      <c r="AL1942" s="16">
        <v>0.0</v>
      </c>
      <c r="AP1942" s="16">
        <v>0.0</v>
      </c>
      <c r="AT1942" s="16">
        <v>0.0</v>
      </c>
      <c r="AX1942" s="16">
        <v>0.0</v>
      </c>
      <c r="BF1942" s="16">
        <v>0.0</v>
      </c>
      <c r="BJ1942" s="16">
        <v>0.0</v>
      </c>
      <c r="BN1942" s="16">
        <v>0.0</v>
      </c>
      <c r="BO1942" s="16">
        <v>484.37</v>
      </c>
      <c r="BP1942" s="16" t="s">
        <v>11615</v>
      </c>
      <c r="BQ1942" s="16" t="b">
        <v>1</v>
      </c>
      <c r="BR1942" s="16">
        <v>484.36</v>
      </c>
      <c r="BS1942" s="16"/>
      <c r="BT1942" s="16" t="b">
        <v>0</v>
      </c>
      <c r="BU1942" s="16" t="s">
        <v>546</v>
      </c>
      <c r="BV1942" s="16"/>
      <c r="BW1942" s="16"/>
      <c r="BX1942" s="16"/>
    </row>
    <row r="1943">
      <c r="A1943" s="16" t="s">
        <v>9669</v>
      </c>
      <c r="B1943" s="16" t="s">
        <v>35</v>
      </c>
      <c r="C1943" s="201">
        <v>46036.0</v>
      </c>
      <c r="D1943" s="16" t="s">
        <v>175</v>
      </c>
      <c r="E1943" s="16" t="s">
        <v>11617</v>
      </c>
      <c r="F1943" s="16" t="s">
        <v>157</v>
      </c>
      <c r="G1943" s="16" t="s">
        <v>230</v>
      </c>
      <c r="H1943" s="16">
        <v>1.0</v>
      </c>
      <c r="I1943" s="16">
        <v>185.02</v>
      </c>
      <c r="J1943" s="16">
        <v>185.02</v>
      </c>
      <c r="K1943" s="16" t="s">
        <v>155</v>
      </c>
      <c r="L1943" s="16">
        <v>1.0</v>
      </c>
      <c r="M1943" s="16">
        <v>44.39</v>
      </c>
      <c r="N1943" s="16">
        <v>44.39</v>
      </c>
      <c r="O1943" s="16" t="s">
        <v>159</v>
      </c>
      <c r="P1943" s="16">
        <v>15.0</v>
      </c>
      <c r="Q1943" s="16">
        <v>12.0</v>
      </c>
      <c r="R1943" s="16">
        <v>180.0</v>
      </c>
      <c r="S1943" s="16"/>
      <c r="T1943" s="16"/>
      <c r="U1943" s="16"/>
      <c r="V1943" s="16">
        <v>0.0</v>
      </c>
      <c r="W1943" s="16"/>
      <c r="X1943" s="16"/>
      <c r="Y1943" s="16"/>
      <c r="Z1943" s="16">
        <v>0.0</v>
      </c>
      <c r="AD1943" s="16">
        <v>0.0</v>
      </c>
      <c r="AH1943" s="16">
        <v>0.0</v>
      </c>
      <c r="AL1943" s="16">
        <v>0.0</v>
      </c>
      <c r="AP1943" s="16">
        <v>0.0</v>
      </c>
      <c r="AT1943" s="16">
        <v>0.0</v>
      </c>
      <c r="AX1943" s="16">
        <v>0.0</v>
      </c>
      <c r="BF1943" s="16">
        <v>0.0</v>
      </c>
      <c r="BJ1943" s="16">
        <v>0.0</v>
      </c>
      <c r="BN1943" s="16">
        <v>0.0</v>
      </c>
      <c r="BO1943" s="16">
        <v>409.41</v>
      </c>
      <c r="BP1943" s="16" t="s">
        <v>11618</v>
      </c>
      <c r="BQ1943" s="16" t="b">
        <v>1</v>
      </c>
      <c r="BR1943" s="16">
        <v>409.41</v>
      </c>
      <c r="BS1943" s="16"/>
      <c r="BT1943" s="16" t="b">
        <v>0</v>
      </c>
      <c r="BU1943" s="16" t="s">
        <v>546</v>
      </c>
      <c r="BV1943" s="16"/>
      <c r="BW1943" s="16"/>
      <c r="BX1943" s="16"/>
    </row>
    <row r="1944">
      <c r="A1944" s="16" t="s">
        <v>9676</v>
      </c>
      <c r="B1944" s="16" t="s">
        <v>35</v>
      </c>
      <c r="C1944" s="201">
        <v>46035.0</v>
      </c>
      <c r="D1944" s="16" t="s">
        <v>175</v>
      </c>
      <c r="E1944" s="16" t="s">
        <v>11620</v>
      </c>
      <c r="F1944" s="16" t="s">
        <v>157</v>
      </c>
      <c r="G1944" s="16" t="s">
        <v>152</v>
      </c>
      <c r="H1944" s="16">
        <v>1.0</v>
      </c>
      <c r="I1944" s="16">
        <v>10.51</v>
      </c>
      <c r="J1944" s="16">
        <v>10.51</v>
      </c>
      <c r="K1944" s="16" t="s">
        <v>230</v>
      </c>
      <c r="L1944" s="16">
        <v>1.0</v>
      </c>
      <c r="M1944" s="16">
        <v>232.0</v>
      </c>
      <c r="N1944" s="16">
        <v>232.0</v>
      </c>
      <c r="O1944" s="16" t="s">
        <v>155</v>
      </c>
      <c r="P1944" s="16">
        <v>1.0</v>
      </c>
      <c r="Q1944" s="16">
        <v>60.45</v>
      </c>
      <c r="R1944" s="16">
        <v>60.45</v>
      </c>
      <c r="S1944" s="16"/>
      <c r="T1944" s="16"/>
      <c r="U1944" s="16"/>
      <c r="V1944" s="16">
        <v>0.0</v>
      </c>
      <c r="W1944" s="16"/>
      <c r="X1944" s="16"/>
      <c r="Y1944" s="16"/>
      <c r="Z1944" s="16">
        <v>0.0</v>
      </c>
      <c r="AD1944" s="16">
        <v>0.0</v>
      </c>
      <c r="AH1944" s="16">
        <v>0.0</v>
      </c>
      <c r="AL1944" s="16">
        <v>0.0</v>
      </c>
      <c r="AP1944" s="16">
        <v>0.0</v>
      </c>
      <c r="AT1944" s="16">
        <v>0.0</v>
      </c>
      <c r="AX1944" s="16">
        <v>0.0</v>
      </c>
      <c r="BF1944" s="16">
        <v>0.0</v>
      </c>
      <c r="BJ1944" s="16">
        <v>0.0</v>
      </c>
      <c r="BN1944" s="16">
        <v>0.0</v>
      </c>
      <c r="BO1944" s="16">
        <v>302.96</v>
      </c>
      <c r="BP1944" s="16" t="s">
        <v>11621</v>
      </c>
      <c r="BQ1944" s="16" t="b">
        <v>1</v>
      </c>
      <c r="BR1944" s="16">
        <v>302.96</v>
      </c>
      <c r="BS1944" s="16"/>
      <c r="BT1944" s="16" t="b">
        <v>0</v>
      </c>
      <c r="BU1944" s="16" t="s">
        <v>546</v>
      </c>
      <c r="BV1944" s="16"/>
      <c r="BW1944" s="16"/>
      <c r="BX1944" s="16"/>
    </row>
    <row r="1945">
      <c r="A1945" s="16" t="s">
        <v>9682</v>
      </c>
      <c r="B1945" s="16" t="s">
        <v>35</v>
      </c>
      <c r="C1945" s="201">
        <v>46038.0</v>
      </c>
      <c r="D1945" s="21" t="s">
        <v>12789</v>
      </c>
      <c r="E1945" s="16" t="s">
        <v>11623</v>
      </c>
      <c r="F1945" s="16" t="s">
        <v>11625</v>
      </c>
      <c r="G1945" s="16" t="s">
        <v>305</v>
      </c>
      <c r="H1945" s="16">
        <v>1.0</v>
      </c>
      <c r="I1945" s="16">
        <v>108.4</v>
      </c>
      <c r="J1945" s="16">
        <v>108.4</v>
      </c>
      <c r="K1945" s="16"/>
      <c r="L1945" s="16"/>
      <c r="M1945" s="16"/>
      <c r="N1945" s="16">
        <v>0.0</v>
      </c>
      <c r="O1945" s="16"/>
      <c r="P1945" s="16"/>
      <c r="Q1945" s="16"/>
      <c r="R1945" s="16">
        <v>0.0</v>
      </c>
      <c r="S1945" s="16"/>
      <c r="T1945" s="16"/>
      <c r="U1945" s="16"/>
      <c r="V1945" s="16">
        <v>0.0</v>
      </c>
      <c r="W1945" s="16"/>
      <c r="X1945" s="16"/>
      <c r="Y1945" s="16"/>
      <c r="Z1945" s="16">
        <v>0.0</v>
      </c>
      <c r="AD1945" s="16">
        <v>0.0</v>
      </c>
      <c r="AH1945" s="16">
        <v>0.0</v>
      </c>
      <c r="AL1945" s="16">
        <v>0.0</v>
      </c>
      <c r="AP1945" s="16">
        <v>0.0</v>
      </c>
      <c r="AT1945" s="16">
        <v>0.0</v>
      </c>
      <c r="AX1945" s="16">
        <v>0.0</v>
      </c>
      <c r="BF1945" s="16">
        <v>0.0</v>
      </c>
      <c r="BJ1945" s="16">
        <v>0.0</v>
      </c>
      <c r="BN1945" s="16">
        <v>0.0</v>
      </c>
      <c r="BO1945" s="16">
        <v>108.4</v>
      </c>
      <c r="BP1945" s="16" t="s">
        <v>11624</v>
      </c>
      <c r="BQ1945" s="16" t="b">
        <v>1</v>
      </c>
      <c r="BR1945" s="16">
        <v>108.4</v>
      </c>
      <c r="BS1945" s="21" t="s">
        <v>13922</v>
      </c>
      <c r="BT1945" s="16" t="b">
        <v>1</v>
      </c>
      <c r="BU1945" s="16" t="s">
        <v>546</v>
      </c>
      <c r="BV1945" s="16"/>
      <c r="BW1945" s="16"/>
      <c r="BX1945" s="16"/>
    </row>
    <row r="1946">
      <c r="A1946" s="16" t="s">
        <v>9686</v>
      </c>
      <c r="B1946" s="16" t="s">
        <v>35</v>
      </c>
      <c r="C1946" s="201">
        <v>46038.0</v>
      </c>
      <c r="D1946" s="16" t="s">
        <v>2039</v>
      </c>
      <c r="E1946" s="16" t="s">
        <v>11627</v>
      </c>
      <c r="F1946" s="16" t="s">
        <v>11629</v>
      </c>
      <c r="G1946" s="16" t="s">
        <v>887</v>
      </c>
      <c r="H1946" s="16">
        <v>1.0</v>
      </c>
      <c r="I1946" s="16">
        <v>47.88</v>
      </c>
      <c r="J1946" s="16">
        <v>47.88</v>
      </c>
      <c r="K1946" s="16"/>
      <c r="L1946" s="16"/>
      <c r="M1946" s="16"/>
      <c r="N1946" s="16">
        <v>0.0</v>
      </c>
      <c r="O1946" s="16"/>
      <c r="P1946" s="16"/>
      <c r="Q1946" s="16"/>
      <c r="R1946" s="16">
        <v>0.0</v>
      </c>
      <c r="S1946" s="16"/>
      <c r="T1946" s="16"/>
      <c r="U1946" s="16"/>
      <c r="V1946" s="16">
        <v>0.0</v>
      </c>
      <c r="W1946" s="16"/>
      <c r="X1946" s="16"/>
      <c r="Y1946" s="16"/>
      <c r="Z1946" s="16">
        <v>0.0</v>
      </c>
      <c r="AD1946" s="16">
        <v>0.0</v>
      </c>
      <c r="AH1946" s="16">
        <v>0.0</v>
      </c>
      <c r="AL1946" s="16">
        <v>0.0</v>
      </c>
      <c r="AP1946" s="16">
        <v>0.0</v>
      </c>
      <c r="AT1946" s="16">
        <v>0.0</v>
      </c>
      <c r="AX1946" s="16">
        <v>0.0</v>
      </c>
      <c r="BF1946" s="16">
        <v>0.0</v>
      </c>
      <c r="BJ1946" s="16">
        <v>0.0</v>
      </c>
      <c r="BN1946" s="16">
        <v>0.0</v>
      </c>
      <c r="BO1946" s="16">
        <v>47.88</v>
      </c>
      <c r="BP1946" s="16" t="s">
        <v>11628</v>
      </c>
      <c r="BQ1946" s="16" t="b">
        <v>1</v>
      </c>
      <c r="BR1946" s="16">
        <v>47.88</v>
      </c>
      <c r="BS1946" s="21" t="s">
        <v>13923</v>
      </c>
      <c r="BT1946" s="16" t="b">
        <v>1</v>
      </c>
      <c r="BU1946" s="16" t="s">
        <v>546</v>
      </c>
      <c r="BV1946" s="16"/>
      <c r="BW1946" s="16"/>
      <c r="BX1946" s="16"/>
    </row>
    <row r="1947">
      <c r="A1947" s="16" t="s">
        <v>9688</v>
      </c>
      <c r="B1947" s="16" t="s">
        <v>35</v>
      </c>
      <c r="C1947" s="201">
        <v>46038.0</v>
      </c>
      <c r="D1947" s="16" t="s">
        <v>11632</v>
      </c>
      <c r="E1947" s="16" t="s">
        <v>11633</v>
      </c>
      <c r="F1947" s="16" t="s">
        <v>11636</v>
      </c>
      <c r="G1947" s="16" t="s">
        <v>9689</v>
      </c>
      <c r="H1947" s="16">
        <v>1.0</v>
      </c>
      <c r="I1947" s="16">
        <v>120.0</v>
      </c>
      <c r="J1947" s="16">
        <v>120.0</v>
      </c>
      <c r="K1947" s="16"/>
      <c r="L1947" s="16"/>
      <c r="M1947" s="16"/>
      <c r="N1947" s="16">
        <v>0.0</v>
      </c>
      <c r="O1947" s="16"/>
      <c r="P1947" s="16"/>
      <c r="Q1947" s="16"/>
      <c r="R1947" s="16">
        <v>0.0</v>
      </c>
      <c r="S1947" s="16"/>
      <c r="T1947" s="16"/>
      <c r="U1947" s="16"/>
      <c r="V1947" s="16">
        <v>0.0</v>
      </c>
      <c r="W1947" s="16"/>
      <c r="X1947" s="16"/>
      <c r="Y1947" s="16"/>
      <c r="Z1947" s="16">
        <v>0.0</v>
      </c>
      <c r="AD1947" s="16">
        <v>0.0</v>
      </c>
      <c r="AH1947" s="16">
        <v>0.0</v>
      </c>
      <c r="AL1947" s="16">
        <v>0.0</v>
      </c>
      <c r="AP1947" s="16">
        <v>0.0</v>
      </c>
      <c r="AT1947" s="16">
        <v>0.0</v>
      </c>
      <c r="AX1947" s="16">
        <v>0.0</v>
      </c>
      <c r="BF1947" s="16">
        <v>0.0</v>
      </c>
      <c r="BJ1947" s="16">
        <v>0.0</v>
      </c>
      <c r="BN1947" s="16">
        <v>0.0</v>
      </c>
      <c r="BO1947" s="16">
        <v>120.0</v>
      </c>
      <c r="BP1947" s="16" t="s">
        <v>11634</v>
      </c>
      <c r="BQ1947" s="16" t="b">
        <v>1</v>
      </c>
      <c r="BR1947" s="16">
        <v>120.0</v>
      </c>
      <c r="BS1947" s="21" t="s">
        <v>13924</v>
      </c>
      <c r="BT1947" s="16" t="b">
        <v>1</v>
      </c>
      <c r="BU1947" s="16" t="s">
        <v>546</v>
      </c>
      <c r="BV1947" s="16"/>
      <c r="BW1947" s="16"/>
      <c r="BX1947" s="16"/>
    </row>
    <row r="1948">
      <c r="A1948" s="16" t="s">
        <v>9692</v>
      </c>
      <c r="B1948" s="16" t="s">
        <v>35</v>
      </c>
      <c r="C1948" s="201">
        <v>46031.0</v>
      </c>
      <c r="D1948" s="16" t="s">
        <v>11638</v>
      </c>
      <c r="E1948" s="16" t="s">
        <v>11639</v>
      </c>
      <c r="F1948" s="16" t="s">
        <v>11642</v>
      </c>
      <c r="G1948" s="16" t="s">
        <v>8710</v>
      </c>
      <c r="H1948" s="16">
        <v>1.0</v>
      </c>
      <c r="I1948" s="16">
        <v>3781.75</v>
      </c>
      <c r="J1948" s="16">
        <v>3781.75</v>
      </c>
      <c r="K1948" s="16"/>
      <c r="L1948" s="16"/>
      <c r="M1948" s="16"/>
      <c r="N1948" s="16">
        <v>0.0</v>
      </c>
      <c r="O1948" s="16"/>
      <c r="P1948" s="16"/>
      <c r="Q1948" s="16"/>
      <c r="R1948" s="16">
        <v>0.0</v>
      </c>
      <c r="S1948" s="16"/>
      <c r="T1948" s="16"/>
      <c r="U1948" s="16"/>
      <c r="V1948" s="16">
        <v>0.0</v>
      </c>
      <c r="W1948" s="16"/>
      <c r="X1948" s="16"/>
      <c r="Y1948" s="16"/>
      <c r="Z1948" s="16">
        <v>0.0</v>
      </c>
      <c r="AD1948" s="16">
        <v>0.0</v>
      </c>
      <c r="AH1948" s="16">
        <v>0.0</v>
      </c>
      <c r="AL1948" s="16">
        <v>0.0</v>
      </c>
      <c r="AP1948" s="16">
        <v>0.0</v>
      </c>
      <c r="AT1948" s="16">
        <v>0.0</v>
      </c>
      <c r="AX1948" s="16">
        <v>0.0</v>
      </c>
      <c r="BF1948" s="16">
        <v>0.0</v>
      </c>
      <c r="BJ1948" s="16">
        <v>0.0</v>
      </c>
      <c r="BN1948" s="16">
        <v>0.0</v>
      </c>
      <c r="BO1948" s="16">
        <v>3781.75</v>
      </c>
      <c r="BP1948" s="16" t="s">
        <v>11641</v>
      </c>
      <c r="BQ1948" s="16" t="b">
        <v>1</v>
      </c>
      <c r="BR1948" s="16">
        <v>3781.75</v>
      </c>
      <c r="BS1948" s="16"/>
      <c r="BT1948" s="16" t="b">
        <v>0</v>
      </c>
      <c r="BU1948" s="16" t="s">
        <v>546</v>
      </c>
      <c r="BV1948" s="16"/>
      <c r="BW1948" s="16"/>
      <c r="BX1948" s="16"/>
    </row>
    <row r="1949">
      <c r="A1949" s="16" t="s">
        <v>9695</v>
      </c>
      <c r="B1949" s="16" t="s">
        <v>35</v>
      </c>
      <c r="C1949" s="201">
        <v>46030.0</v>
      </c>
      <c r="D1949" s="16" t="s">
        <v>890</v>
      </c>
      <c r="E1949" s="16" t="s">
        <v>11645</v>
      </c>
      <c r="F1949" s="16" t="s">
        <v>1511</v>
      </c>
      <c r="G1949" s="16" t="s">
        <v>1517</v>
      </c>
      <c r="H1949" s="16">
        <v>1.0</v>
      </c>
      <c r="I1949" s="16">
        <v>10831.92</v>
      </c>
      <c r="J1949" s="16">
        <v>10831.92</v>
      </c>
      <c r="K1949" s="16"/>
      <c r="L1949" s="16"/>
      <c r="M1949" s="16"/>
      <c r="N1949" s="16">
        <v>0.0</v>
      </c>
      <c r="O1949" s="16"/>
      <c r="P1949" s="16"/>
      <c r="Q1949" s="16"/>
      <c r="R1949" s="16">
        <v>0.0</v>
      </c>
      <c r="S1949" s="16"/>
      <c r="T1949" s="16"/>
      <c r="U1949" s="16"/>
      <c r="V1949" s="16">
        <v>0.0</v>
      </c>
      <c r="W1949" s="16"/>
      <c r="X1949" s="16"/>
      <c r="Y1949" s="16"/>
      <c r="Z1949" s="16">
        <v>0.0</v>
      </c>
      <c r="AD1949" s="16">
        <v>0.0</v>
      </c>
      <c r="AH1949" s="16">
        <v>0.0</v>
      </c>
      <c r="AL1949" s="16">
        <v>0.0</v>
      </c>
      <c r="AP1949" s="16">
        <v>0.0</v>
      </c>
      <c r="AT1949" s="16">
        <v>0.0</v>
      </c>
      <c r="AX1949" s="16">
        <v>0.0</v>
      </c>
      <c r="BF1949" s="16">
        <v>0.0</v>
      </c>
      <c r="BJ1949" s="16">
        <v>0.0</v>
      </c>
      <c r="BN1949" s="16">
        <v>0.0</v>
      </c>
      <c r="BO1949" s="16">
        <v>10831.92</v>
      </c>
      <c r="BP1949" s="16" t="s">
        <v>11647</v>
      </c>
      <c r="BQ1949" s="16" t="b">
        <v>1</v>
      </c>
      <c r="BR1949" s="16">
        <v>10831.92</v>
      </c>
      <c r="BS1949" s="16"/>
      <c r="BT1949" s="16" t="b">
        <v>0</v>
      </c>
      <c r="BU1949" s="16" t="s">
        <v>546</v>
      </c>
      <c r="BV1949" s="16"/>
      <c r="BW1949" s="16" t="s">
        <v>11648</v>
      </c>
      <c r="BX1949" s="16"/>
    </row>
    <row r="1950">
      <c r="A1950" s="16">
        <v>11793.0</v>
      </c>
      <c r="B1950" s="16" t="s">
        <v>35</v>
      </c>
      <c r="C1950" s="201">
        <v>46041.0</v>
      </c>
      <c r="D1950" s="16" t="s">
        <v>3516</v>
      </c>
      <c r="E1950" s="16"/>
      <c r="F1950" s="16" t="s">
        <v>10131</v>
      </c>
      <c r="G1950" s="16" t="s">
        <v>1159</v>
      </c>
      <c r="H1950" s="16">
        <v>1.0</v>
      </c>
      <c r="I1950" s="16">
        <v>1148.51</v>
      </c>
      <c r="J1950" s="16">
        <v>1148.51</v>
      </c>
      <c r="K1950" s="16"/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D1950" s="16"/>
      <c r="AH1950" s="16"/>
      <c r="AL1950" s="16"/>
      <c r="AP1950" s="16"/>
      <c r="AT1950" s="16"/>
      <c r="AX1950" s="16"/>
      <c r="BF1950" s="16"/>
      <c r="BJ1950" s="16"/>
      <c r="BN1950" s="16"/>
      <c r="BO1950" s="16">
        <v>1148.51</v>
      </c>
      <c r="BP1950" s="16"/>
      <c r="BQ1950" s="16" t="b">
        <v>1</v>
      </c>
      <c r="BR1950" s="16">
        <v>1148.51</v>
      </c>
      <c r="BS1950" s="16"/>
      <c r="BT1950" s="16"/>
      <c r="BU1950" s="16" t="s">
        <v>539</v>
      </c>
      <c r="BV1950" s="16"/>
      <c r="BW1950" s="16"/>
      <c r="BX1950" s="16"/>
    </row>
    <row r="1951">
      <c r="A1951" s="16">
        <v>11801.0</v>
      </c>
      <c r="B1951" s="16" t="s">
        <v>35</v>
      </c>
      <c r="C1951" s="201">
        <v>46041.0</v>
      </c>
      <c r="D1951" s="16" t="s">
        <v>3516</v>
      </c>
      <c r="E1951" s="16"/>
      <c r="F1951" s="16" t="s">
        <v>9759</v>
      </c>
      <c r="G1951" s="16" t="s">
        <v>2448</v>
      </c>
      <c r="H1951" s="16">
        <v>1.0</v>
      </c>
      <c r="I1951" s="16">
        <v>513.53</v>
      </c>
      <c r="J1951" s="16">
        <v>513.53</v>
      </c>
      <c r="K1951" s="16"/>
      <c r="L1951" s="16"/>
      <c r="M1951" s="16"/>
      <c r="N1951" s="16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D1951" s="16"/>
      <c r="AH1951" s="16"/>
      <c r="AL1951" s="16"/>
      <c r="AP1951" s="16"/>
      <c r="AT1951" s="16"/>
      <c r="AX1951" s="16"/>
      <c r="BF1951" s="16"/>
      <c r="BJ1951" s="16"/>
      <c r="BN1951" s="16"/>
      <c r="BO1951" s="16">
        <v>513.53</v>
      </c>
      <c r="BP1951" s="16"/>
      <c r="BQ1951" s="16" t="b">
        <v>1</v>
      </c>
      <c r="BR1951" s="16">
        <v>513.53</v>
      </c>
      <c r="BS1951" s="16"/>
      <c r="BT1951" s="16"/>
      <c r="BU1951" s="16" t="s">
        <v>539</v>
      </c>
      <c r="BV1951" s="16"/>
      <c r="BW1951" s="16"/>
      <c r="BX1951" s="16"/>
    </row>
    <row r="1952">
      <c r="A1952" s="16">
        <v>11802.0</v>
      </c>
      <c r="B1952" s="16" t="s">
        <v>35</v>
      </c>
      <c r="C1952" s="201">
        <v>46041.0</v>
      </c>
      <c r="D1952" s="16" t="s">
        <v>3516</v>
      </c>
      <c r="E1952" s="16"/>
      <c r="F1952" s="16" t="s">
        <v>9762</v>
      </c>
      <c r="G1952" s="16" t="s">
        <v>2662</v>
      </c>
      <c r="H1952" s="16">
        <v>1.0</v>
      </c>
      <c r="I1952" s="16">
        <v>18933.49</v>
      </c>
      <c r="J1952" s="16">
        <v>18933.49</v>
      </c>
      <c r="K1952" s="16"/>
      <c r="L1952" s="16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16"/>
      <c r="AD1952" s="16"/>
      <c r="AH1952" s="16"/>
      <c r="AL1952" s="16"/>
      <c r="AP1952" s="16"/>
      <c r="AT1952" s="16"/>
      <c r="AX1952" s="16"/>
      <c r="BF1952" s="16"/>
      <c r="BJ1952" s="16"/>
      <c r="BN1952" s="16"/>
      <c r="BO1952" s="16">
        <v>18933.49</v>
      </c>
      <c r="BP1952" s="16"/>
      <c r="BQ1952" s="16" t="b">
        <v>1</v>
      </c>
      <c r="BR1952" s="16">
        <v>18933.49</v>
      </c>
      <c r="BS1952" s="16"/>
      <c r="BT1952" s="16"/>
      <c r="BU1952" s="16" t="s">
        <v>539</v>
      </c>
      <c r="BV1952" s="16"/>
      <c r="BW1952" s="16"/>
      <c r="BX1952" s="16"/>
    </row>
    <row r="1953">
      <c r="A1953" s="16" t="s">
        <v>9705</v>
      </c>
      <c r="B1953" s="16" t="s">
        <v>35</v>
      </c>
      <c r="C1953" s="201">
        <v>46041.0</v>
      </c>
      <c r="D1953" s="16" t="s">
        <v>1864</v>
      </c>
      <c r="E1953" s="16"/>
      <c r="F1953" s="16" t="s">
        <v>8399</v>
      </c>
      <c r="G1953" s="16" t="s">
        <v>9706</v>
      </c>
      <c r="H1953" s="16">
        <v>1.0</v>
      </c>
      <c r="I1953" s="16">
        <v>46.12</v>
      </c>
      <c r="J1953" s="16">
        <v>46.12</v>
      </c>
      <c r="K1953" s="16"/>
      <c r="L1953" s="16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D1953" s="16"/>
      <c r="AH1953" s="16"/>
      <c r="AL1953" s="16"/>
      <c r="AP1953" s="16"/>
      <c r="AT1953" s="16"/>
      <c r="AX1953" s="16"/>
      <c r="BF1953" s="16"/>
      <c r="BJ1953" s="16"/>
      <c r="BN1953" s="16"/>
      <c r="BO1953" s="16">
        <v>46.12</v>
      </c>
      <c r="BP1953" s="16"/>
      <c r="BQ1953" s="16" t="b">
        <v>1</v>
      </c>
      <c r="BR1953" s="16">
        <v>46.12</v>
      </c>
      <c r="BS1953" s="16"/>
      <c r="BT1953" s="16"/>
      <c r="BU1953" s="16" t="s">
        <v>539</v>
      </c>
      <c r="BV1953" s="16"/>
      <c r="BW1953" s="16"/>
      <c r="BX1953" s="16"/>
    </row>
    <row r="1954">
      <c r="A1954" s="16">
        <v>11810.0</v>
      </c>
      <c r="B1954" s="16" t="s">
        <v>35</v>
      </c>
      <c r="C1954" s="201">
        <v>46041.0</v>
      </c>
      <c r="D1954" s="16" t="s">
        <v>460</v>
      </c>
      <c r="E1954" s="16"/>
      <c r="F1954" s="22">
        <v>46296.0</v>
      </c>
      <c r="G1954" s="16" t="s">
        <v>8404</v>
      </c>
      <c r="H1954" s="16">
        <v>1.0</v>
      </c>
      <c r="I1954" s="16">
        <v>249.23</v>
      </c>
      <c r="J1954" s="16">
        <v>249.23</v>
      </c>
      <c r="K1954" s="16"/>
      <c r="L1954" s="16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D1954" s="16"/>
      <c r="AH1954" s="16"/>
      <c r="AL1954" s="16"/>
      <c r="AP1954" s="16"/>
      <c r="AT1954" s="16"/>
      <c r="AX1954" s="16"/>
      <c r="BF1954" s="16"/>
      <c r="BJ1954" s="16"/>
      <c r="BN1954" s="16"/>
      <c r="BO1954" s="16">
        <v>249.23</v>
      </c>
      <c r="BP1954" s="16"/>
      <c r="BQ1954" s="16" t="b">
        <v>1</v>
      </c>
      <c r="BR1954" s="16">
        <v>249.23</v>
      </c>
      <c r="BS1954" s="16"/>
      <c r="BT1954" s="16"/>
      <c r="BU1954" s="16" t="s">
        <v>539</v>
      </c>
      <c r="BV1954" s="16"/>
      <c r="BW1954" s="16"/>
      <c r="BX1954" s="16"/>
    </row>
    <row r="1955">
      <c r="A1955" s="16">
        <v>11811.0</v>
      </c>
      <c r="B1955" s="16" t="s">
        <v>35</v>
      </c>
      <c r="C1955" s="201">
        <v>46041.0</v>
      </c>
      <c r="D1955" s="16" t="s">
        <v>1160</v>
      </c>
      <c r="E1955" s="16"/>
      <c r="F1955" s="22">
        <v>46082.0</v>
      </c>
      <c r="G1955" s="16" t="s">
        <v>8404</v>
      </c>
      <c r="H1955" s="16">
        <v>1.0</v>
      </c>
      <c r="I1955" s="16">
        <v>68.56</v>
      </c>
      <c r="J1955" s="16">
        <v>68.56</v>
      </c>
      <c r="K1955" s="16"/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D1955" s="16"/>
      <c r="AH1955" s="16"/>
      <c r="AL1955" s="16"/>
      <c r="AP1955" s="16"/>
      <c r="AT1955" s="16"/>
      <c r="AX1955" s="16"/>
      <c r="BF1955" s="16"/>
      <c r="BJ1955" s="16"/>
      <c r="BN1955" s="16"/>
      <c r="BO1955" s="16">
        <v>68.56</v>
      </c>
      <c r="BP1955" s="16"/>
      <c r="BQ1955" s="16" t="b">
        <v>1</v>
      </c>
      <c r="BR1955" s="16">
        <v>68.56</v>
      </c>
      <c r="BS1955" s="16"/>
      <c r="BT1955" s="16"/>
      <c r="BU1955" s="16" t="s">
        <v>539</v>
      </c>
      <c r="BV1955" s="16"/>
      <c r="BW1955" s="16"/>
      <c r="BX1955" s="16"/>
    </row>
    <row r="1956">
      <c r="A1956" s="16" t="s">
        <v>9710</v>
      </c>
      <c r="B1956" s="16" t="s">
        <v>35</v>
      </c>
      <c r="C1956" s="201">
        <v>46041.0</v>
      </c>
      <c r="D1956" s="16" t="s">
        <v>460</v>
      </c>
      <c r="E1956" s="16"/>
      <c r="F1956" s="16" t="s">
        <v>11658</v>
      </c>
      <c r="G1956" s="16" t="s">
        <v>3768</v>
      </c>
      <c r="H1956" s="16">
        <v>1.0</v>
      </c>
      <c r="I1956" s="16">
        <v>433.5</v>
      </c>
      <c r="J1956" s="16">
        <v>433.5</v>
      </c>
      <c r="K1956" s="16"/>
      <c r="L1956" s="16"/>
      <c r="M1956" s="16"/>
      <c r="N1956" s="16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16"/>
      <c r="AD1956" s="16"/>
      <c r="AH1956" s="16"/>
      <c r="AL1956" s="16"/>
      <c r="AP1956" s="16"/>
      <c r="AT1956" s="16"/>
      <c r="AX1956" s="16"/>
      <c r="BF1956" s="16"/>
      <c r="BJ1956" s="16"/>
      <c r="BN1956" s="16"/>
      <c r="BO1956" s="16">
        <v>433.5</v>
      </c>
      <c r="BP1956" s="16"/>
      <c r="BQ1956" s="16" t="b">
        <v>1</v>
      </c>
      <c r="BR1956" s="16">
        <v>433.5</v>
      </c>
      <c r="BS1956" s="16"/>
      <c r="BT1956" s="16"/>
      <c r="BU1956" s="16" t="s">
        <v>539</v>
      </c>
      <c r="BV1956" s="16"/>
      <c r="BW1956" s="16"/>
      <c r="BX1956" s="16"/>
    </row>
    <row r="1957">
      <c r="A1957" s="16" t="s">
        <v>9712</v>
      </c>
      <c r="B1957" s="16" t="s">
        <v>35</v>
      </c>
      <c r="C1957" s="201">
        <v>46041.0</v>
      </c>
      <c r="D1957" s="16" t="s">
        <v>112</v>
      </c>
      <c r="E1957" s="16"/>
      <c r="F1957" s="16" t="s">
        <v>11661</v>
      </c>
      <c r="G1957" s="16" t="s">
        <v>9713</v>
      </c>
      <c r="H1957" s="16">
        <v>1.0</v>
      </c>
      <c r="I1957" s="16">
        <v>1196.73</v>
      </c>
      <c r="J1957" s="16">
        <v>1196.73</v>
      </c>
      <c r="K1957" s="16"/>
      <c r="L1957" s="16"/>
      <c r="M1957" s="16"/>
      <c r="N1957" s="16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D1957" s="16"/>
      <c r="AH1957" s="16"/>
      <c r="AL1957" s="16"/>
      <c r="AP1957" s="16"/>
      <c r="AT1957" s="16"/>
      <c r="AX1957" s="16"/>
      <c r="BF1957" s="16"/>
      <c r="BJ1957" s="16"/>
      <c r="BN1957" s="16"/>
      <c r="BO1957" s="16">
        <v>1196.73</v>
      </c>
      <c r="BP1957" s="16"/>
      <c r="BQ1957" s="16" t="b">
        <v>1</v>
      </c>
      <c r="BR1957" s="16">
        <v>1196.73</v>
      </c>
      <c r="BS1957" s="16"/>
      <c r="BT1957" s="16"/>
      <c r="BU1957" s="16" t="s">
        <v>539</v>
      </c>
      <c r="BV1957" s="16"/>
      <c r="BW1957" s="16"/>
      <c r="BX1957" s="16"/>
    </row>
    <row r="1958">
      <c r="A1958" s="16" t="s">
        <v>9715</v>
      </c>
      <c r="B1958" s="16" t="s">
        <v>35</v>
      </c>
      <c r="C1958" s="201">
        <v>46041.0</v>
      </c>
      <c r="D1958" s="16" t="s">
        <v>543</v>
      </c>
      <c r="E1958" s="16"/>
      <c r="F1958" s="16" t="s">
        <v>11665</v>
      </c>
      <c r="G1958" s="16">
        <v>1.2539885E7</v>
      </c>
      <c r="H1958" s="16">
        <v>1.0</v>
      </c>
      <c r="I1958" s="16">
        <v>1250.0</v>
      </c>
      <c r="J1958" s="16">
        <v>1250.0</v>
      </c>
      <c r="K1958" s="16"/>
      <c r="L1958" s="16"/>
      <c r="M1958" s="16"/>
      <c r="N1958" s="16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D1958" s="16"/>
      <c r="AH1958" s="16"/>
      <c r="AL1958" s="16"/>
      <c r="AP1958" s="16"/>
      <c r="AT1958" s="16"/>
      <c r="AX1958" s="16"/>
      <c r="BF1958" s="16"/>
      <c r="BJ1958" s="16"/>
      <c r="BN1958" s="16"/>
      <c r="BO1958" s="16">
        <v>1250.0</v>
      </c>
      <c r="BP1958" s="16"/>
      <c r="BQ1958" s="16" t="b">
        <v>1</v>
      </c>
      <c r="BR1958" s="16">
        <v>1250.0</v>
      </c>
      <c r="BS1958" s="16"/>
      <c r="BT1958" s="16"/>
      <c r="BU1958" s="16" t="s">
        <v>539</v>
      </c>
      <c r="BV1958" s="16"/>
      <c r="BW1958" s="16"/>
      <c r="BX1958" s="16"/>
    </row>
    <row r="1959">
      <c r="A1959" s="16" t="s">
        <v>9717</v>
      </c>
      <c r="B1959" s="16" t="s">
        <v>35</v>
      </c>
      <c r="C1959" s="201">
        <v>46042.0</v>
      </c>
      <c r="D1959" s="16" t="s">
        <v>112</v>
      </c>
      <c r="E1959" s="16"/>
      <c r="F1959" s="16" t="s">
        <v>157</v>
      </c>
      <c r="G1959" s="16" t="s">
        <v>9713</v>
      </c>
      <c r="H1959" s="16">
        <v>1.0</v>
      </c>
      <c r="I1959" s="16">
        <v>1177.79</v>
      </c>
      <c r="J1959" s="16">
        <v>1177.79</v>
      </c>
      <c r="K1959" s="16"/>
      <c r="L1959" s="16"/>
      <c r="M1959" s="16"/>
      <c r="N1959" s="16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D1959" s="16"/>
      <c r="AH1959" s="16"/>
      <c r="AL1959" s="16"/>
      <c r="AP1959" s="16"/>
      <c r="AT1959" s="16"/>
      <c r="AX1959" s="16"/>
      <c r="BF1959" s="16"/>
      <c r="BJ1959" s="16"/>
      <c r="BN1959" s="16"/>
      <c r="BO1959" s="16">
        <v>1177.79</v>
      </c>
      <c r="BP1959" s="16"/>
      <c r="BQ1959" s="16" t="b">
        <v>1</v>
      </c>
      <c r="BR1959" s="16">
        <v>1177.79</v>
      </c>
      <c r="BS1959" s="16"/>
      <c r="BT1959" s="16"/>
      <c r="BU1959" s="16" t="s">
        <v>539</v>
      </c>
      <c r="BV1959" s="16"/>
      <c r="BW1959" s="16"/>
      <c r="BX1959" s="16"/>
    </row>
    <row r="1960">
      <c r="A1960" s="16" t="s">
        <v>9719</v>
      </c>
      <c r="B1960" s="16" t="s">
        <v>35</v>
      </c>
      <c r="C1960" s="201">
        <v>46042.0</v>
      </c>
      <c r="D1960" s="16" t="s">
        <v>890</v>
      </c>
      <c r="E1960" s="16" t="s">
        <v>11669</v>
      </c>
      <c r="F1960" s="16" t="s">
        <v>2894</v>
      </c>
      <c r="G1960" s="16" t="s">
        <v>1510</v>
      </c>
      <c r="H1960" s="16">
        <v>1.0</v>
      </c>
      <c r="I1960" s="16">
        <v>1604.72</v>
      </c>
      <c r="J1960" s="16">
        <v>1604.72</v>
      </c>
      <c r="K1960" s="16"/>
      <c r="L1960" s="16"/>
      <c r="M1960" s="16"/>
      <c r="N1960" s="16">
        <v>0.0</v>
      </c>
      <c r="O1960" s="16"/>
      <c r="P1960" s="16"/>
      <c r="Q1960" s="16"/>
      <c r="R1960" s="16">
        <v>0.0</v>
      </c>
      <c r="S1960" s="16"/>
      <c r="T1960" s="16"/>
      <c r="U1960" s="16"/>
      <c r="V1960" s="16">
        <v>0.0</v>
      </c>
      <c r="W1960" s="16"/>
      <c r="X1960" s="16"/>
      <c r="Y1960" s="16"/>
      <c r="Z1960" s="16">
        <v>0.0</v>
      </c>
      <c r="AD1960" s="16">
        <v>0.0</v>
      </c>
      <c r="AH1960" s="16">
        <v>0.0</v>
      </c>
      <c r="AL1960" s="16">
        <v>0.0</v>
      </c>
      <c r="AP1960" s="16">
        <v>0.0</v>
      </c>
      <c r="AT1960" s="16">
        <v>0.0</v>
      </c>
      <c r="AX1960" s="16">
        <v>0.0</v>
      </c>
      <c r="BF1960" s="16">
        <v>0.0</v>
      </c>
      <c r="BJ1960" s="16">
        <v>0.0</v>
      </c>
      <c r="BN1960" s="16">
        <v>0.0</v>
      </c>
      <c r="BO1960" s="16">
        <v>1604.72</v>
      </c>
      <c r="BP1960" s="16" t="s">
        <v>11670</v>
      </c>
      <c r="BQ1960" s="16" t="b">
        <v>1</v>
      </c>
      <c r="BR1960" s="16">
        <v>1604.72</v>
      </c>
      <c r="BS1960" s="16"/>
      <c r="BT1960" s="16" t="b">
        <v>0</v>
      </c>
      <c r="BU1960" s="16" t="s">
        <v>546</v>
      </c>
      <c r="BV1960" s="16"/>
      <c r="BW1960" s="16" t="s">
        <v>11672</v>
      </c>
      <c r="BX1960" s="16"/>
    </row>
    <row r="1961">
      <c r="A1961" s="16" t="s">
        <v>9721</v>
      </c>
      <c r="B1961" s="16" t="s">
        <v>35</v>
      </c>
      <c r="C1961" s="201">
        <v>46042.0</v>
      </c>
      <c r="D1961" s="16" t="s">
        <v>890</v>
      </c>
      <c r="E1961" s="16" t="s">
        <v>11669</v>
      </c>
      <c r="F1961" s="16" t="s">
        <v>2894</v>
      </c>
      <c r="G1961" s="16" t="s">
        <v>1510</v>
      </c>
      <c r="H1961" s="16">
        <v>1.0</v>
      </c>
      <c r="I1961" s="16">
        <v>22035.55</v>
      </c>
      <c r="J1961" s="16">
        <v>22035.55</v>
      </c>
      <c r="K1961" s="16"/>
      <c r="L1961" s="16"/>
      <c r="M1961" s="16"/>
      <c r="N1961" s="16">
        <v>0.0</v>
      </c>
      <c r="O1961" s="16"/>
      <c r="P1961" s="16"/>
      <c r="Q1961" s="16"/>
      <c r="R1961" s="16">
        <v>0.0</v>
      </c>
      <c r="S1961" s="16"/>
      <c r="T1961" s="16"/>
      <c r="U1961" s="16"/>
      <c r="V1961" s="16">
        <v>0.0</v>
      </c>
      <c r="W1961" s="16"/>
      <c r="X1961" s="16"/>
      <c r="Y1961" s="16"/>
      <c r="Z1961" s="16">
        <v>0.0</v>
      </c>
      <c r="AD1961" s="16">
        <v>0.0</v>
      </c>
      <c r="AH1961" s="16">
        <v>0.0</v>
      </c>
      <c r="AL1961" s="16">
        <v>0.0</v>
      </c>
      <c r="AP1961" s="16">
        <v>0.0</v>
      </c>
      <c r="AT1961" s="16">
        <v>0.0</v>
      </c>
      <c r="AX1961" s="16">
        <v>0.0</v>
      </c>
      <c r="BF1961" s="16">
        <v>0.0</v>
      </c>
      <c r="BJ1961" s="16">
        <v>0.0</v>
      </c>
      <c r="BN1961" s="16">
        <v>0.0</v>
      </c>
      <c r="BO1961" s="16">
        <v>22035.55</v>
      </c>
      <c r="BP1961" s="16" t="s">
        <v>11673</v>
      </c>
      <c r="BQ1961" s="16" t="b">
        <v>1</v>
      </c>
      <c r="BR1961" s="16">
        <v>22035.55</v>
      </c>
      <c r="BS1961" s="16"/>
      <c r="BT1961" s="16" t="b">
        <v>0</v>
      </c>
      <c r="BU1961" s="16" t="s">
        <v>546</v>
      </c>
      <c r="BV1961" s="16"/>
      <c r="BW1961" s="16" t="s">
        <v>11675</v>
      </c>
      <c r="BX1961" s="16" t="s">
        <v>11676</v>
      </c>
    </row>
    <row r="1962">
      <c r="A1962" s="16" t="s">
        <v>9723</v>
      </c>
      <c r="B1962" s="16" t="s">
        <v>35</v>
      </c>
      <c r="C1962" s="201">
        <v>46025.0</v>
      </c>
      <c r="D1962" s="16" t="s">
        <v>11677</v>
      </c>
      <c r="E1962" s="16"/>
      <c r="F1962" s="16" t="s">
        <v>11679</v>
      </c>
      <c r="G1962" s="16" t="s">
        <v>1022</v>
      </c>
      <c r="H1962" s="16">
        <v>1.0</v>
      </c>
      <c r="I1962" s="16">
        <v>291.6</v>
      </c>
      <c r="J1962" s="16">
        <v>291.6</v>
      </c>
      <c r="K1962" s="16"/>
      <c r="L1962" s="16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D1962" s="16"/>
      <c r="AH1962" s="16"/>
      <c r="AL1962" s="16"/>
      <c r="AP1962" s="16"/>
      <c r="AT1962" s="16"/>
      <c r="AX1962" s="16"/>
      <c r="BF1962" s="16"/>
      <c r="BJ1962" s="16"/>
      <c r="BN1962" s="16"/>
      <c r="BO1962" s="16">
        <v>291.6</v>
      </c>
      <c r="BP1962" s="16"/>
      <c r="BQ1962" s="16" t="b">
        <v>1</v>
      </c>
      <c r="BR1962" s="16">
        <v>291.6</v>
      </c>
      <c r="BS1962" s="16"/>
      <c r="BT1962" s="16"/>
      <c r="BU1962" s="16" t="s">
        <v>539</v>
      </c>
      <c r="BV1962" s="16"/>
      <c r="BW1962" s="16"/>
      <c r="BX1962" s="16"/>
    </row>
    <row r="1963">
      <c r="A1963" s="16" t="s">
        <v>9725</v>
      </c>
      <c r="B1963" s="16" t="s">
        <v>35</v>
      </c>
      <c r="C1963" s="201">
        <v>46024.0</v>
      </c>
      <c r="D1963" s="16" t="s">
        <v>11677</v>
      </c>
      <c r="E1963" s="16"/>
      <c r="F1963" s="16" t="s">
        <v>11682</v>
      </c>
      <c r="G1963" s="16" t="s">
        <v>1022</v>
      </c>
      <c r="H1963" s="16">
        <v>1.0</v>
      </c>
      <c r="I1963" s="16">
        <v>151.2</v>
      </c>
      <c r="J1963" s="16">
        <v>151.2</v>
      </c>
      <c r="K1963" s="16"/>
      <c r="L1963" s="16"/>
      <c r="M1963" s="16"/>
      <c r="N1963" s="16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16"/>
      <c r="AD1963" s="16"/>
      <c r="AH1963" s="16"/>
      <c r="AL1963" s="16"/>
      <c r="AP1963" s="16"/>
      <c r="AT1963" s="16"/>
      <c r="AX1963" s="16"/>
      <c r="BF1963" s="16"/>
      <c r="BJ1963" s="16"/>
      <c r="BN1963" s="16"/>
      <c r="BO1963" s="16">
        <v>151.2</v>
      </c>
      <c r="BP1963" s="16"/>
      <c r="BQ1963" s="16" t="b">
        <v>1</v>
      </c>
      <c r="BR1963" s="16">
        <v>151.2</v>
      </c>
      <c r="BS1963" s="16"/>
      <c r="BT1963" s="16"/>
      <c r="BU1963" s="16" t="s">
        <v>539</v>
      </c>
      <c r="BV1963" s="16"/>
      <c r="BW1963" s="16"/>
      <c r="BX1963" s="16"/>
    </row>
    <row r="1964">
      <c r="A1964" s="16" t="s">
        <v>9727</v>
      </c>
      <c r="B1964" s="16" t="s">
        <v>35</v>
      </c>
      <c r="C1964" s="201">
        <v>46042.0</v>
      </c>
      <c r="D1964" s="16" t="s">
        <v>890</v>
      </c>
      <c r="E1964" s="16" t="s">
        <v>11684</v>
      </c>
      <c r="F1964" s="16" t="s">
        <v>1511</v>
      </c>
      <c r="G1964" s="16" t="s">
        <v>1517</v>
      </c>
      <c r="H1964" s="16">
        <v>1.0</v>
      </c>
      <c r="I1964" s="16">
        <v>8139.39</v>
      </c>
      <c r="J1964" s="16">
        <v>8139.39</v>
      </c>
      <c r="K1964" s="16"/>
      <c r="L1964" s="16"/>
      <c r="M1964" s="16"/>
      <c r="N1964" s="16">
        <v>0.0</v>
      </c>
      <c r="O1964" s="16"/>
      <c r="P1964" s="16"/>
      <c r="Q1964" s="16"/>
      <c r="R1964" s="16">
        <v>0.0</v>
      </c>
      <c r="S1964" s="16"/>
      <c r="T1964" s="16"/>
      <c r="U1964" s="16"/>
      <c r="V1964" s="16">
        <v>0.0</v>
      </c>
      <c r="W1964" s="16"/>
      <c r="X1964" s="16"/>
      <c r="Y1964" s="16"/>
      <c r="Z1964" s="16">
        <v>0.0</v>
      </c>
      <c r="AD1964" s="16">
        <v>0.0</v>
      </c>
      <c r="AH1964" s="16">
        <v>0.0</v>
      </c>
      <c r="AL1964" s="16">
        <v>0.0</v>
      </c>
      <c r="AP1964" s="16">
        <v>0.0</v>
      </c>
      <c r="AT1964" s="16">
        <v>0.0</v>
      </c>
      <c r="AX1964" s="16">
        <v>0.0</v>
      </c>
      <c r="BF1964" s="16">
        <v>0.0</v>
      </c>
      <c r="BJ1964" s="16">
        <v>0.0</v>
      </c>
      <c r="BN1964" s="16">
        <v>0.0</v>
      </c>
      <c r="BO1964" s="16">
        <v>8139.39</v>
      </c>
      <c r="BP1964" s="16" t="s">
        <v>11685</v>
      </c>
      <c r="BQ1964" s="16" t="b">
        <v>1</v>
      </c>
      <c r="BR1964" s="16">
        <v>8139.39</v>
      </c>
      <c r="BS1964" s="16"/>
      <c r="BT1964" s="16" t="b">
        <v>0</v>
      </c>
      <c r="BU1964" s="16" t="s">
        <v>546</v>
      </c>
      <c r="BV1964" s="16"/>
      <c r="BW1964" s="16" t="s">
        <v>11686</v>
      </c>
      <c r="BX1964" s="16"/>
    </row>
    <row r="1965">
      <c r="A1965" s="16" t="s">
        <v>9729</v>
      </c>
      <c r="B1965" s="16" t="s">
        <v>35</v>
      </c>
      <c r="C1965" s="201">
        <v>46045.0</v>
      </c>
      <c r="D1965" s="16" t="s">
        <v>559</v>
      </c>
      <c r="E1965" s="16" t="s">
        <v>11688</v>
      </c>
      <c r="F1965" s="16" t="s">
        <v>195</v>
      </c>
      <c r="G1965" s="16" t="s">
        <v>1085</v>
      </c>
      <c r="H1965" s="16">
        <v>1.0</v>
      </c>
      <c r="I1965" s="16">
        <v>40.2</v>
      </c>
      <c r="J1965" s="16">
        <v>40.2</v>
      </c>
      <c r="K1965" s="16" t="s">
        <v>1081</v>
      </c>
      <c r="L1965" s="16">
        <v>2.0</v>
      </c>
      <c r="M1965" s="16">
        <v>48.0</v>
      </c>
      <c r="N1965" s="16">
        <v>96.0</v>
      </c>
      <c r="O1965" s="16" t="s">
        <v>1079</v>
      </c>
      <c r="P1965" s="16">
        <v>12.0</v>
      </c>
      <c r="Q1965" s="16">
        <v>18.0</v>
      </c>
      <c r="R1965" s="16">
        <v>216.0</v>
      </c>
      <c r="S1965" s="16" t="s">
        <v>1080</v>
      </c>
      <c r="T1965" s="16">
        <v>2.0</v>
      </c>
      <c r="U1965" s="16">
        <v>18.0</v>
      </c>
      <c r="V1965" s="16">
        <v>36.0</v>
      </c>
      <c r="W1965" s="16" t="s">
        <v>1077</v>
      </c>
      <c r="X1965" s="16">
        <v>4.0</v>
      </c>
      <c r="Y1965" s="16">
        <v>25.8</v>
      </c>
      <c r="Z1965" s="16">
        <v>103.2</v>
      </c>
      <c r="AA1965" s="16" t="s">
        <v>1075</v>
      </c>
      <c r="AB1965" s="16">
        <v>5.0</v>
      </c>
      <c r="AC1965" s="16">
        <v>21.3</v>
      </c>
      <c r="AD1965" s="16">
        <v>106.5</v>
      </c>
      <c r="AE1965" s="16" t="s">
        <v>1074</v>
      </c>
      <c r="AF1965" s="16">
        <v>7.0</v>
      </c>
      <c r="AG1965" s="16">
        <v>42.6</v>
      </c>
      <c r="AH1965" s="16">
        <v>298.2</v>
      </c>
      <c r="AI1965" s="21" t="s">
        <v>10459</v>
      </c>
      <c r="AJ1965" s="16">
        <v>2.0</v>
      </c>
      <c r="AK1965" s="16">
        <v>19.8</v>
      </c>
      <c r="AL1965" s="16">
        <v>39.6</v>
      </c>
      <c r="AM1965" s="16" t="s">
        <v>1073</v>
      </c>
      <c r="AN1965" s="16">
        <v>2.0</v>
      </c>
      <c r="AO1965" s="16">
        <v>21.0</v>
      </c>
      <c r="AP1965" s="16">
        <v>42.0</v>
      </c>
      <c r="AT1965" s="16">
        <v>0.0</v>
      </c>
      <c r="AX1965" s="16">
        <v>0.0</v>
      </c>
      <c r="BF1965" s="16">
        <v>0.0</v>
      </c>
      <c r="BJ1965" s="16">
        <v>0.0</v>
      </c>
      <c r="BN1965" s="16">
        <v>0.0</v>
      </c>
      <c r="BO1965" s="16">
        <v>977.7</v>
      </c>
      <c r="BP1965" s="16" t="s">
        <v>11689</v>
      </c>
      <c r="BQ1965" s="16" t="b">
        <v>1</v>
      </c>
      <c r="BR1965" s="16">
        <v>977.7</v>
      </c>
      <c r="BS1965" s="16"/>
      <c r="BT1965" s="16" t="b">
        <v>0</v>
      </c>
      <c r="BU1965" s="16" t="s">
        <v>546</v>
      </c>
      <c r="BV1965" s="16"/>
      <c r="BW1965" s="16" t="s">
        <v>11690</v>
      </c>
      <c r="BX1965" s="16"/>
    </row>
    <row r="1966">
      <c r="A1966" s="16" t="s">
        <v>9741</v>
      </c>
      <c r="B1966" s="16" t="s">
        <v>35</v>
      </c>
      <c r="C1966" s="201">
        <v>46045.0</v>
      </c>
      <c r="D1966" s="16" t="s">
        <v>11163</v>
      </c>
      <c r="E1966" s="16" t="s">
        <v>11692</v>
      </c>
      <c r="F1966" s="16" t="s">
        <v>11625</v>
      </c>
      <c r="G1966" s="16" t="s">
        <v>305</v>
      </c>
      <c r="H1966" s="16">
        <v>1.0</v>
      </c>
      <c r="I1966" s="16">
        <v>126.54</v>
      </c>
      <c r="J1966" s="16">
        <v>126.54</v>
      </c>
      <c r="K1966" s="16"/>
      <c r="L1966" s="16"/>
      <c r="M1966" s="16"/>
      <c r="N1966" s="16">
        <v>0.0</v>
      </c>
      <c r="O1966" s="16"/>
      <c r="P1966" s="16"/>
      <c r="Q1966" s="16"/>
      <c r="R1966" s="16">
        <v>0.0</v>
      </c>
      <c r="S1966" s="16"/>
      <c r="T1966" s="16"/>
      <c r="U1966" s="16"/>
      <c r="V1966" s="16">
        <v>0.0</v>
      </c>
      <c r="W1966" s="16"/>
      <c r="X1966" s="16"/>
      <c r="Y1966" s="16"/>
      <c r="Z1966" s="16">
        <v>0.0</v>
      </c>
      <c r="AD1966" s="16">
        <v>0.0</v>
      </c>
      <c r="AH1966" s="16">
        <v>0.0</v>
      </c>
      <c r="AL1966" s="16">
        <v>0.0</v>
      </c>
      <c r="AP1966" s="16">
        <v>0.0</v>
      </c>
      <c r="AT1966" s="16">
        <v>0.0</v>
      </c>
      <c r="AX1966" s="16">
        <v>0.0</v>
      </c>
      <c r="BF1966" s="16">
        <v>0.0</v>
      </c>
      <c r="BJ1966" s="16">
        <v>0.0</v>
      </c>
      <c r="BN1966" s="16">
        <v>0.0</v>
      </c>
      <c r="BO1966" s="16">
        <v>126.54</v>
      </c>
      <c r="BP1966" s="16" t="s">
        <v>11693</v>
      </c>
      <c r="BQ1966" s="16" t="b">
        <v>1</v>
      </c>
      <c r="BR1966" s="16">
        <v>126.54</v>
      </c>
      <c r="BS1966" s="21" t="s">
        <v>13939</v>
      </c>
      <c r="BT1966" s="16" t="b">
        <v>1</v>
      </c>
      <c r="BU1966" s="16" t="s">
        <v>546</v>
      </c>
      <c r="BV1966" s="16"/>
      <c r="BW1966" s="16"/>
      <c r="BX1966" s="16"/>
    </row>
    <row r="1967">
      <c r="A1967" s="16" t="s">
        <v>9743</v>
      </c>
      <c r="B1967" s="16" t="s">
        <v>35</v>
      </c>
      <c r="C1967" s="201">
        <v>46044.0</v>
      </c>
      <c r="D1967" s="16" t="s">
        <v>112</v>
      </c>
      <c r="E1967" s="16" t="s">
        <v>11695</v>
      </c>
      <c r="F1967" s="16" t="s">
        <v>157</v>
      </c>
      <c r="G1967" s="16" t="s">
        <v>226</v>
      </c>
      <c r="H1967" s="16">
        <v>1.0</v>
      </c>
      <c r="I1967" s="16">
        <v>135.0</v>
      </c>
      <c r="J1967" s="16">
        <v>135.0</v>
      </c>
      <c r="K1967" s="16" t="s">
        <v>152</v>
      </c>
      <c r="L1967" s="16">
        <v>1.0</v>
      </c>
      <c r="M1967" s="16">
        <v>4.26</v>
      </c>
      <c r="N1967" s="16">
        <v>4.26</v>
      </c>
      <c r="O1967" s="16" t="s">
        <v>230</v>
      </c>
      <c r="P1967" s="16">
        <v>1.0</v>
      </c>
      <c r="Q1967" s="16">
        <v>235.33</v>
      </c>
      <c r="R1967" s="16">
        <v>235.33</v>
      </c>
      <c r="S1967" s="16" t="s">
        <v>155</v>
      </c>
      <c r="T1967" s="16">
        <v>1.0</v>
      </c>
      <c r="U1967" s="16">
        <v>77.07</v>
      </c>
      <c r="V1967" s="16">
        <v>77.07</v>
      </c>
      <c r="W1967" s="16" t="s">
        <v>159</v>
      </c>
      <c r="X1967" s="16">
        <v>1.0</v>
      </c>
      <c r="Y1967" s="16">
        <v>180.0</v>
      </c>
      <c r="Z1967" s="16">
        <v>180.0</v>
      </c>
      <c r="AD1967" s="16">
        <v>0.0</v>
      </c>
      <c r="AH1967" s="16">
        <v>0.0</v>
      </c>
      <c r="AL1967" s="16">
        <v>0.0</v>
      </c>
      <c r="AP1967" s="16">
        <v>0.0</v>
      </c>
      <c r="AT1967" s="16">
        <v>0.0</v>
      </c>
      <c r="AX1967" s="16">
        <v>0.0</v>
      </c>
      <c r="BF1967" s="16">
        <v>0.0</v>
      </c>
      <c r="BJ1967" s="16">
        <v>0.0</v>
      </c>
      <c r="BN1967" s="16">
        <v>0.0</v>
      </c>
      <c r="BO1967" s="16">
        <v>631.66</v>
      </c>
      <c r="BP1967" s="16" t="s">
        <v>11696</v>
      </c>
      <c r="BQ1967" s="16" t="b">
        <v>1</v>
      </c>
      <c r="BR1967" s="16">
        <v>631.66</v>
      </c>
      <c r="BS1967" s="16"/>
      <c r="BT1967" s="16" t="b">
        <v>0</v>
      </c>
      <c r="BU1967" s="16" t="s">
        <v>546</v>
      </c>
      <c r="BV1967" s="16"/>
      <c r="BW1967" s="16"/>
      <c r="BX1967" s="16"/>
    </row>
    <row r="1968">
      <c r="A1968" s="16" t="s">
        <v>9749</v>
      </c>
      <c r="B1968" s="16" t="s">
        <v>35</v>
      </c>
      <c r="C1968" s="201">
        <v>46046.0</v>
      </c>
      <c r="D1968" s="16" t="s">
        <v>112</v>
      </c>
      <c r="E1968" s="16" t="s">
        <v>11698</v>
      </c>
      <c r="F1968" s="16" t="s">
        <v>157</v>
      </c>
      <c r="G1968" s="16" t="s">
        <v>152</v>
      </c>
      <c r="H1968" s="16">
        <v>1.0</v>
      </c>
      <c r="I1968" s="16">
        <v>8.1</v>
      </c>
      <c r="J1968" s="16">
        <v>8.1</v>
      </c>
      <c r="K1968" s="16" t="s">
        <v>230</v>
      </c>
      <c r="L1968" s="16">
        <v>1.0</v>
      </c>
      <c r="M1968" s="16">
        <v>232.0</v>
      </c>
      <c r="N1968" s="16">
        <v>232.0</v>
      </c>
      <c r="O1968" s="16" t="s">
        <v>155</v>
      </c>
      <c r="P1968" s="16">
        <v>1.0</v>
      </c>
      <c r="Q1968" s="16">
        <v>68.22</v>
      </c>
      <c r="R1968" s="16">
        <v>68.22</v>
      </c>
      <c r="S1968" s="16"/>
      <c r="T1968" s="16"/>
      <c r="U1968" s="16"/>
      <c r="V1968" s="16">
        <v>0.0</v>
      </c>
      <c r="W1968" s="16"/>
      <c r="X1968" s="16"/>
      <c r="Y1968" s="16"/>
      <c r="Z1968" s="16">
        <v>0.0</v>
      </c>
      <c r="AD1968" s="16">
        <v>0.0</v>
      </c>
      <c r="AH1968" s="16">
        <v>0.0</v>
      </c>
      <c r="AL1968" s="16">
        <v>0.0</v>
      </c>
      <c r="AP1968" s="16">
        <v>0.0</v>
      </c>
      <c r="AT1968" s="16">
        <v>0.0</v>
      </c>
      <c r="AX1968" s="16">
        <v>0.0</v>
      </c>
      <c r="BF1968" s="16">
        <v>0.0</v>
      </c>
      <c r="BJ1968" s="16">
        <v>0.0</v>
      </c>
      <c r="BN1968" s="16">
        <v>0.0</v>
      </c>
      <c r="BO1968" s="16">
        <v>308.32</v>
      </c>
      <c r="BP1968" s="16" t="s">
        <v>11700</v>
      </c>
      <c r="BQ1968" s="16" t="b">
        <v>1</v>
      </c>
      <c r="BR1968" s="16">
        <v>308.22</v>
      </c>
      <c r="BS1968" s="16"/>
      <c r="BT1968" s="16" t="b">
        <v>0</v>
      </c>
      <c r="BU1968" s="16" t="s">
        <v>546</v>
      </c>
      <c r="BV1968" s="16"/>
      <c r="BW1968" s="16"/>
      <c r="BX1968" s="16"/>
    </row>
    <row r="1969">
      <c r="A1969" s="16" t="s">
        <v>9754</v>
      </c>
      <c r="B1969" s="16" t="s">
        <v>35</v>
      </c>
      <c r="C1969" s="201">
        <v>46048.0</v>
      </c>
      <c r="D1969" s="16" t="s">
        <v>11703</v>
      </c>
      <c r="E1969" s="16" t="s">
        <v>11704</v>
      </c>
      <c r="F1969" s="16" t="s">
        <v>11707</v>
      </c>
      <c r="G1969" s="16" t="s">
        <v>1904</v>
      </c>
      <c r="H1969" s="16">
        <v>1.0</v>
      </c>
      <c r="I1969" s="16">
        <v>18.0</v>
      </c>
      <c r="J1969" s="16">
        <v>18.0</v>
      </c>
      <c r="K1969" s="16"/>
      <c r="L1969" s="16"/>
      <c r="M1969" s="16"/>
      <c r="N1969" s="16">
        <v>0.0</v>
      </c>
      <c r="O1969" s="16"/>
      <c r="P1969" s="16"/>
      <c r="Q1969" s="16"/>
      <c r="R1969" s="16">
        <v>0.0</v>
      </c>
      <c r="S1969" s="16"/>
      <c r="T1969" s="16"/>
      <c r="U1969" s="16"/>
      <c r="V1969" s="16">
        <v>0.0</v>
      </c>
      <c r="W1969" s="16"/>
      <c r="X1969" s="16"/>
      <c r="Y1969" s="16"/>
      <c r="Z1969" s="16">
        <v>0.0</v>
      </c>
      <c r="AD1969" s="16">
        <v>0.0</v>
      </c>
      <c r="AH1969" s="16">
        <v>0.0</v>
      </c>
      <c r="AL1969" s="16">
        <v>0.0</v>
      </c>
      <c r="AP1969" s="16">
        <v>0.0</v>
      </c>
      <c r="AT1969" s="16">
        <v>0.0</v>
      </c>
      <c r="AX1969" s="16">
        <v>0.0</v>
      </c>
      <c r="BF1969" s="16">
        <v>0.0</v>
      </c>
      <c r="BJ1969" s="16">
        <v>0.0</v>
      </c>
      <c r="BN1969" s="16">
        <v>0.0</v>
      </c>
      <c r="BO1969" s="16">
        <v>18.0</v>
      </c>
      <c r="BP1969" s="16" t="s">
        <v>11706</v>
      </c>
      <c r="BQ1969" s="16" t="b">
        <v>1</v>
      </c>
      <c r="BR1969" s="16">
        <v>18.0</v>
      </c>
      <c r="BS1969" s="21" t="s">
        <v>13940</v>
      </c>
      <c r="BT1969" s="16" t="b">
        <v>1</v>
      </c>
      <c r="BU1969" s="16" t="s">
        <v>546</v>
      </c>
      <c r="BV1969" s="16"/>
      <c r="BW1969" s="16"/>
      <c r="BX1969" s="16"/>
    </row>
    <row r="1970">
      <c r="A1970" s="16" t="s">
        <v>9757</v>
      </c>
      <c r="B1970" s="16" t="s">
        <v>35</v>
      </c>
      <c r="C1970" s="201">
        <v>46048.0</v>
      </c>
      <c r="D1970" s="21" t="s">
        <v>12789</v>
      </c>
      <c r="E1970" s="16" t="s">
        <v>11710</v>
      </c>
      <c r="F1970" s="16" t="s">
        <v>11712</v>
      </c>
      <c r="G1970" s="16" t="s">
        <v>247</v>
      </c>
      <c r="H1970" s="16">
        <v>10.0</v>
      </c>
      <c r="I1970" s="16">
        <v>0.99</v>
      </c>
      <c r="J1970" s="16">
        <v>9.9</v>
      </c>
      <c r="K1970" s="16" t="s">
        <v>1046</v>
      </c>
      <c r="L1970" s="16">
        <v>1.0</v>
      </c>
      <c r="M1970" s="16">
        <v>9.98</v>
      </c>
      <c r="N1970" s="16">
        <v>9.98</v>
      </c>
      <c r="O1970" s="16" t="s">
        <v>691</v>
      </c>
      <c r="P1970" s="16">
        <v>1.0</v>
      </c>
      <c r="Q1970" s="16">
        <v>11.99</v>
      </c>
      <c r="R1970" s="16">
        <v>11.99</v>
      </c>
      <c r="S1970" s="16" t="s">
        <v>5563</v>
      </c>
      <c r="T1970" s="16">
        <v>1.0</v>
      </c>
      <c r="U1970" s="16">
        <v>12.99</v>
      </c>
      <c r="V1970" s="16">
        <v>12.99</v>
      </c>
      <c r="W1970" s="16"/>
      <c r="X1970" s="16"/>
      <c r="Y1970" s="16"/>
      <c r="Z1970" s="16">
        <v>0.0</v>
      </c>
      <c r="AD1970" s="16">
        <v>0.0</v>
      </c>
      <c r="AH1970" s="16">
        <v>0.0</v>
      </c>
      <c r="AL1970" s="16">
        <v>0.0</v>
      </c>
      <c r="AP1970" s="16">
        <v>0.0</v>
      </c>
      <c r="AT1970" s="16">
        <v>0.0</v>
      </c>
      <c r="AX1970" s="16">
        <v>0.0</v>
      </c>
      <c r="BF1970" s="16">
        <v>0.0</v>
      </c>
      <c r="BJ1970" s="16">
        <v>0.0</v>
      </c>
      <c r="BN1970" s="16">
        <v>0.0</v>
      </c>
      <c r="BO1970" s="16">
        <v>44.86</v>
      </c>
      <c r="BP1970" s="16" t="s">
        <v>11711</v>
      </c>
      <c r="BQ1970" s="16" t="b">
        <v>1</v>
      </c>
      <c r="BR1970" s="16">
        <v>44.86</v>
      </c>
      <c r="BS1970" s="21" t="s">
        <v>13941</v>
      </c>
      <c r="BT1970" s="16" t="b">
        <v>1</v>
      </c>
      <c r="BU1970" s="16" t="s">
        <v>546</v>
      </c>
      <c r="BV1970" s="16"/>
      <c r="BW1970" s="16"/>
      <c r="BX1970" s="16"/>
    </row>
    <row r="1971">
      <c r="A1971" s="16" t="s">
        <v>9764</v>
      </c>
      <c r="B1971" s="16" t="s">
        <v>35</v>
      </c>
      <c r="C1971" s="201">
        <v>46044.0</v>
      </c>
      <c r="D1971" s="16" t="s">
        <v>890</v>
      </c>
      <c r="E1971" s="16" t="s">
        <v>11714</v>
      </c>
      <c r="F1971" s="16" t="s">
        <v>11716</v>
      </c>
      <c r="G1971" s="16" t="s">
        <v>5808</v>
      </c>
      <c r="H1971" s="16">
        <v>1.0</v>
      </c>
      <c r="I1971" s="16">
        <v>322.18</v>
      </c>
      <c r="J1971" s="16">
        <v>322.18</v>
      </c>
      <c r="K1971" s="16"/>
      <c r="L1971" s="16"/>
      <c r="M1971" s="16"/>
      <c r="N1971" s="16">
        <v>0.0</v>
      </c>
      <c r="O1971" s="16"/>
      <c r="P1971" s="16"/>
      <c r="Q1971" s="16"/>
      <c r="R1971" s="16">
        <v>0.0</v>
      </c>
      <c r="S1971" s="16"/>
      <c r="T1971" s="16"/>
      <c r="U1971" s="16"/>
      <c r="V1971" s="16">
        <v>0.0</v>
      </c>
      <c r="W1971" s="16"/>
      <c r="X1971" s="16"/>
      <c r="Y1971" s="16"/>
      <c r="Z1971" s="16">
        <v>0.0</v>
      </c>
      <c r="AD1971" s="16">
        <v>0.0</v>
      </c>
      <c r="AH1971" s="16">
        <v>0.0</v>
      </c>
      <c r="AL1971" s="16">
        <v>0.0</v>
      </c>
      <c r="AP1971" s="16">
        <v>0.0</v>
      </c>
      <c r="AT1971" s="16">
        <v>0.0</v>
      </c>
      <c r="AX1971" s="16">
        <v>0.0</v>
      </c>
      <c r="BF1971" s="16">
        <v>0.0</v>
      </c>
      <c r="BJ1971" s="16">
        <v>0.0</v>
      </c>
      <c r="BN1971" s="16">
        <v>0.0</v>
      </c>
      <c r="BO1971" s="16">
        <v>322.18</v>
      </c>
      <c r="BP1971" s="16" t="s">
        <v>11715</v>
      </c>
      <c r="BQ1971" s="16" t="b">
        <v>1</v>
      </c>
      <c r="BR1971" s="16">
        <v>322.18</v>
      </c>
      <c r="BS1971" s="16"/>
      <c r="BT1971" s="16" t="b">
        <v>0</v>
      </c>
      <c r="BU1971" s="16" t="s">
        <v>546</v>
      </c>
      <c r="BV1971" s="16"/>
      <c r="BW1971" s="16"/>
      <c r="BX1971" s="16"/>
    </row>
    <row r="1972">
      <c r="A1972" s="16" t="s">
        <v>9766</v>
      </c>
      <c r="B1972" s="16" t="s">
        <v>35</v>
      </c>
      <c r="C1972" s="201">
        <v>46048.0</v>
      </c>
      <c r="D1972" s="16" t="s">
        <v>11718</v>
      </c>
      <c r="E1972" s="16" t="s">
        <v>11719</v>
      </c>
      <c r="F1972" s="16" t="s">
        <v>11361</v>
      </c>
      <c r="G1972" s="16" t="s">
        <v>152</v>
      </c>
      <c r="H1972" s="16">
        <v>1.0</v>
      </c>
      <c r="I1972" s="16">
        <v>12.35</v>
      </c>
      <c r="J1972" s="16">
        <v>12.35</v>
      </c>
      <c r="K1972" s="16"/>
      <c r="L1972" s="16"/>
      <c r="M1972" s="16"/>
      <c r="N1972" s="16">
        <v>0.0</v>
      </c>
      <c r="O1972" s="16"/>
      <c r="P1972" s="16"/>
      <c r="Q1972" s="16"/>
      <c r="R1972" s="16">
        <v>0.0</v>
      </c>
      <c r="S1972" s="16"/>
      <c r="T1972" s="16"/>
      <c r="U1972" s="16"/>
      <c r="V1972" s="16">
        <v>0.0</v>
      </c>
      <c r="W1972" s="16"/>
      <c r="X1972" s="16"/>
      <c r="Y1972" s="16"/>
      <c r="Z1972" s="16">
        <v>0.0</v>
      </c>
      <c r="AD1972" s="16">
        <v>0.0</v>
      </c>
      <c r="AH1972" s="16">
        <v>0.0</v>
      </c>
      <c r="AL1972" s="16">
        <v>0.0</v>
      </c>
      <c r="AP1972" s="16">
        <v>0.0</v>
      </c>
      <c r="AT1972" s="16">
        <v>0.0</v>
      </c>
      <c r="AX1972" s="16">
        <v>0.0</v>
      </c>
      <c r="BF1972" s="16">
        <v>0.0</v>
      </c>
      <c r="BJ1972" s="16">
        <v>0.0</v>
      </c>
      <c r="BN1972" s="16">
        <v>0.0</v>
      </c>
      <c r="BO1972" s="16">
        <v>12.35</v>
      </c>
      <c r="BP1972" s="16" t="s">
        <v>11720</v>
      </c>
      <c r="BQ1972" s="16" t="b">
        <v>1</v>
      </c>
      <c r="BR1972" s="16">
        <v>12.35</v>
      </c>
      <c r="BS1972" s="21" t="s">
        <v>13943</v>
      </c>
      <c r="BT1972" s="16" t="b">
        <v>1</v>
      </c>
      <c r="BU1972" s="16" t="s">
        <v>546</v>
      </c>
      <c r="BV1972" s="16"/>
      <c r="BW1972" s="16"/>
      <c r="BX1972" s="16"/>
    </row>
    <row r="1973">
      <c r="A1973" s="16" t="s">
        <v>9768</v>
      </c>
      <c r="B1973" s="16" t="s">
        <v>35</v>
      </c>
      <c r="C1973" s="201">
        <v>46048.0</v>
      </c>
      <c r="D1973" s="16"/>
      <c r="E1973" s="16"/>
      <c r="F1973" s="16" t="s">
        <v>1329</v>
      </c>
      <c r="G1973" s="16" t="s">
        <v>1168</v>
      </c>
      <c r="H1973" s="16">
        <v>1.0</v>
      </c>
      <c r="I1973" s="16">
        <v>500.0</v>
      </c>
      <c r="J1973" s="16">
        <v>500.0</v>
      </c>
      <c r="K1973" s="16"/>
      <c r="L1973" s="16"/>
      <c r="M1973" s="16"/>
      <c r="N1973" s="16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D1973" s="16"/>
      <c r="AH1973" s="16"/>
      <c r="AL1973" s="16"/>
      <c r="AP1973" s="16"/>
      <c r="AT1973" s="16"/>
      <c r="AX1973" s="16"/>
      <c r="BF1973" s="16"/>
      <c r="BJ1973" s="16"/>
      <c r="BN1973" s="16"/>
      <c r="BO1973" s="16">
        <v>500.0</v>
      </c>
      <c r="BP1973" s="16"/>
      <c r="BQ1973" s="16" t="b">
        <v>1</v>
      </c>
      <c r="BR1973" s="16">
        <v>500.0</v>
      </c>
      <c r="BS1973" s="16"/>
      <c r="BT1973" s="16"/>
      <c r="BU1973" s="16" t="s">
        <v>539</v>
      </c>
      <c r="BV1973" s="16" t="s">
        <v>227</v>
      </c>
      <c r="BW1973" s="16"/>
      <c r="BX1973" s="16"/>
    </row>
    <row r="1974">
      <c r="A1974" s="16" t="s">
        <v>9770</v>
      </c>
      <c r="B1974" s="16" t="s">
        <v>35</v>
      </c>
      <c r="C1974" s="201">
        <v>46048.0</v>
      </c>
      <c r="D1974" s="16"/>
      <c r="E1974" s="16"/>
      <c r="F1974" s="16" t="s">
        <v>1329</v>
      </c>
      <c r="G1974" s="16" t="s">
        <v>1168</v>
      </c>
      <c r="H1974" s="16">
        <v>1.0</v>
      </c>
      <c r="I1974" s="16">
        <v>500.0</v>
      </c>
      <c r="J1974" s="16">
        <v>500.0</v>
      </c>
      <c r="K1974" s="16"/>
      <c r="L1974" s="16"/>
      <c r="M1974" s="16"/>
      <c r="N1974" s="16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D1974" s="16"/>
      <c r="AH1974" s="16"/>
      <c r="AL1974" s="16"/>
      <c r="AP1974" s="16"/>
      <c r="AT1974" s="16"/>
      <c r="AX1974" s="16"/>
      <c r="BF1974" s="16"/>
      <c r="BJ1974" s="16"/>
      <c r="BN1974" s="16"/>
      <c r="BO1974" s="16">
        <v>500.0</v>
      </c>
      <c r="BP1974" s="16"/>
      <c r="BQ1974" s="16" t="b">
        <v>1</v>
      </c>
      <c r="BR1974" s="16">
        <v>500.0</v>
      </c>
      <c r="BS1974" s="16"/>
      <c r="BT1974" s="16"/>
      <c r="BU1974" s="16" t="s">
        <v>539</v>
      </c>
      <c r="BV1974" s="16" t="s">
        <v>2052</v>
      </c>
      <c r="BW1974" s="16"/>
      <c r="BX1974" s="16"/>
    </row>
    <row r="1975">
      <c r="A1975" s="16" t="s">
        <v>9773</v>
      </c>
      <c r="B1975" s="16" t="s">
        <v>35</v>
      </c>
      <c r="C1975" s="201">
        <v>46048.0</v>
      </c>
      <c r="D1975" s="16"/>
      <c r="E1975" s="16"/>
      <c r="F1975" s="16" t="s">
        <v>1329</v>
      </c>
      <c r="G1975" s="16" t="s">
        <v>1168</v>
      </c>
      <c r="H1975" s="16">
        <v>1.0</v>
      </c>
      <c r="I1975" s="16">
        <v>500.0</v>
      </c>
      <c r="J1975" s="16">
        <v>500.0</v>
      </c>
      <c r="K1975" s="16"/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D1975" s="16"/>
      <c r="AH1975" s="16"/>
      <c r="AL1975" s="16"/>
      <c r="AP1975" s="16"/>
      <c r="AT1975" s="16"/>
      <c r="AX1975" s="16"/>
      <c r="BF1975" s="16"/>
      <c r="BJ1975" s="16"/>
      <c r="BN1975" s="16"/>
      <c r="BO1975" s="16">
        <v>500.0</v>
      </c>
      <c r="BP1975" s="16"/>
      <c r="BQ1975" s="16" t="b">
        <v>1</v>
      </c>
      <c r="BR1975" s="16">
        <v>500.0</v>
      </c>
      <c r="BS1975" s="16"/>
      <c r="BT1975" s="16"/>
      <c r="BU1975" s="16" t="s">
        <v>539</v>
      </c>
      <c r="BV1975" s="16" t="s">
        <v>117</v>
      </c>
      <c r="BW1975" s="16"/>
      <c r="BX1975" s="16"/>
    </row>
    <row r="1976">
      <c r="A1976" s="16" t="s">
        <v>9775</v>
      </c>
      <c r="B1976" s="16" t="s">
        <v>35</v>
      </c>
      <c r="C1976" s="201">
        <v>46048.0</v>
      </c>
      <c r="D1976" s="16"/>
      <c r="E1976" s="16"/>
      <c r="F1976" s="16" t="s">
        <v>1329</v>
      </c>
      <c r="G1976" s="16" t="s">
        <v>1168</v>
      </c>
      <c r="H1976" s="16">
        <v>1.0</v>
      </c>
      <c r="I1976" s="16">
        <v>500.0</v>
      </c>
      <c r="J1976" s="16">
        <v>500.0</v>
      </c>
      <c r="K1976" s="16"/>
      <c r="L1976" s="16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16"/>
      <c r="AD1976" s="16"/>
      <c r="AH1976" s="16"/>
      <c r="AL1976" s="16"/>
      <c r="AP1976" s="16"/>
      <c r="AT1976" s="16"/>
      <c r="AX1976" s="16"/>
      <c r="BF1976" s="16"/>
      <c r="BJ1976" s="16"/>
      <c r="BN1976" s="16"/>
      <c r="BO1976" s="16">
        <v>500.0</v>
      </c>
      <c r="BP1976" s="16"/>
      <c r="BQ1976" s="16" t="b">
        <v>1</v>
      </c>
      <c r="BR1976" s="16">
        <v>500.0</v>
      </c>
      <c r="BS1976" s="16"/>
      <c r="BT1976" s="16"/>
      <c r="BU1976" s="16" t="s">
        <v>539</v>
      </c>
      <c r="BV1976" s="16" t="s">
        <v>6062</v>
      </c>
      <c r="BW1976" s="16"/>
      <c r="BX1976" s="16"/>
    </row>
    <row r="1977">
      <c r="A1977" s="16" t="s">
        <v>9777</v>
      </c>
      <c r="B1977" s="16" t="s">
        <v>35</v>
      </c>
      <c r="C1977" s="201">
        <v>46043.0</v>
      </c>
      <c r="D1977" s="16" t="s">
        <v>1807</v>
      </c>
      <c r="E1977" s="16" t="s">
        <v>11731</v>
      </c>
      <c r="F1977" s="16" t="s">
        <v>11734</v>
      </c>
      <c r="G1977" s="16" t="s">
        <v>152</v>
      </c>
      <c r="H1977" s="16">
        <v>1.0</v>
      </c>
      <c r="I1977" s="16">
        <v>10.85</v>
      </c>
      <c r="J1977" s="16">
        <v>10.85</v>
      </c>
      <c r="K1977" s="16"/>
      <c r="L1977" s="16"/>
      <c r="M1977" s="16"/>
      <c r="N1977" s="16">
        <v>0.0</v>
      </c>
      <c r="O1977" s="16"/>
      <c r="P1977" s="16"/>
      <c r="Q1977" s="16"/>
      <c r="R1977" s="16">
        <v>0.0</v>
      </c>
      <c r="S1977" s="16"/>
      <c r="T1977" s="16"/>
      <c r="U1977" s="16"/>
      <c r="V1977" s="16">
        <v>0.0</v>
      </c>
      <c r="W1977" s="16"/>
      <c r="X1977" s="16"/>
      <c r="Y1977" s="16"/>
      <c r="Z1977" s="16">
        <v>0.0</v>
      </c>
      <c r="AD1977" s="16">
        <v>0.0</v>
      </c>
      <c r="AH1977" s="16">
        <v>0.0</v>
      </c>
      <c r="AL1977" s="16">
        <v>0.0</v>
      </c>
      <c r="AP1977" s="16">
        <v>0.0</v>
      </c>
      <c r="AT1977" s="16">
        <v>0.0</v>
      </c>
      <c r="AX1977" s="16">
        <v>0.0</v>
      </c>
      <c r="BF1977" s="16">
        <v>0.0</v>
      </c>
      <c r="BJ1977" s="16">
        <v>0.0</v>
      </c>
      <c r="BN1977" s="16">
        <v>0.0</v>
      </c>
      <c r="BO1977" s="16">
        <v>10.85</v>
      </c>
      <c r="BP1977" s="16" t="s">
        <v>11733</v>
      </c>
      <c r="BQ1977" s="16" t="b">
        <v>1</v>
      </c>
      <c r="BR1977" s="16">
        <v>10.85</v>
      </c>
      <c r="BS1977" s="21" t="s">
        <v>13947</v>
      </c>
      <c r="BT1977" s="16" t="b">
        <v>1</v>
      </c>
      <c r="BU1977" s="16" t="s">
        <v>546</v>
      </c>
      <c r="BV1977" s="16"/>
      <c r="BW1977" s="16"/>
      <c r="BX1977" s="16"/>
    </row>
    <row r="1978">
      <c r="A1978" s="16" t="s">
        <v>9779</v>
      </c>
      <c r="B1978" s="16" t="s">
        <v>35</v>
      </c>
      <c r="C1978" s="201">
        <v>46041.0</v>
      </c>
      <c r="D1978" s="16" t="s">
        <v>1036</v>
      </c>
      <c r="E1978" s="16" t="s">
        <v>11736</v>
      </c>
      <c r="F1978" s="16" t="s">
        <v>11738</v>
      </c>
      <c r="G1978" s="16" t="s">
        <v>1668</v>
      </c>
      <c r="H1978" s="16">
        <v>1.0</v>
      </c>
      <c r="I1978" s="16">
        <v>128.0</v>
      </c>
      <c r="J1978" s="16">
        <v>128.0</v>
      </c>
      <c r="K1978" s="16"/>
      <c r="L1978" s="16"/>
      <c r="M1978" s="16"/>
      <c r="N1978" s="16">
        <v>0.0</v>
      </c>
      <c r="O1978" s="16"/>
      <c r="P1978" s="16"/>
      <c r="Q1978" s="16"/>
      <c r="R1978" s="16">
        <v>0.0</v>
      </c>
      <c r="S1978" s="16"/>
      <c r="T1978" s="16"/>
      <c r="U1978" s="16"/>
      <c r="V1978" s="16">
        <v>0.0</v>
      </c>
      <c r="W1978" s="16"/>
      <c r="X1978" s="16"/>
      <c r="Y1978" s="16"/>
      <c r="Z1978" s="16">
        <v>0.0</v>
      </c>
      <c r="AD1978" s="16">
        <v>0.0</v>
      </c>
      <c r="AH1978" s="16">
        <v>0.0</v>
      </c>
      <c r="AL1978" s="16">
        <v>0.0</v>
      </c>
      <c r="AP1978" s="16">
        <v>0.0</v>
      </c>
      <c r="AT1978" s="16">
        <v>0.0</v>
      </c>
      <c r="AX1978" s="16">
        <v>0.0</v>
      </c>
      <c r="BF1978" s="16">
        <v>0.0</v>
      </c>
      <c r="BJ1978" s="16">
        <v>0.0</v>
      </c>
      <c r="BN1978" s="16">
        <v>0.0</v>
      </c>
      <c r="BO1978" s="16">
        <v>128.0</v>
      </c>
      <c r="BP1978" s="16" t="s">
        <v>11737</v>
      </c>
      <c r="BQ1978" s="16" t="b">
        <v>1</v>
      </c>
      <c r="BR1978" s="16">
        <v>128.0</v>
      </c>
      <c r="BS1978" s="16"/>
      <c r="BT1978" s="16" t="b">
        <v>0</v>
      </c>
      <c r="BU1978" s="16" t="s">
        <v>546</v>
      </c>
      <c r="BV1978" s="16"/>
      <c r="BW1978" s="16"/>
      <c r="BX1978" s="16"/>
    </row>
    <row r="1979">
      <c r="A1979" s="16">
        <v>11812.0</v>
      </c>
      <c r="B1979" s="16" t="s">
        <v>35</v>
      </c>
      <c r="C1979" s="201">
        <v>46049.0</v>
      </c>
      <c r="D1979" s="16" t="s">
        <v>10315</v>
      </c>
      <c r="E1979" s="16"/>
      <c r="F1979" s="16" t="s">
        <v>11740</v>
      </c>
      <c r="G1979" s="16" t="s">
        <v>8792</v>
      </c>
      <c r="H1979" s="16">
        <v>1.0</v>
      </c>
      <c r="I1979" s="16">
        <v>0.01</v>
      </c>
      <c r="J1979" s="16">
        <v>0.01</v>
      </c>
      <c r="K1979" s="16"/>
      <c r="L1979" s="16"/>
      <c r="M1979" s="16"/>
      <c r="N1979" s="16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16"/>
      <c r="AD1979" s="16"/>
      <c r="AH1979" s="16"/>
      <c r="AL1979" s="16"/>
      <c r="AP1979" s="16"/>
      <c r="AT1979" s="16"/>
      <c r="AX1979" s="16"/>
      <c r="BF1979" s="16"/>
      <c r="BJ1979" s="16"/>
      <c r="BN1979" s="16"/>
      <c r="BO1979" s="16">
        <v>0.01</v>
      </c>
      <c r="BP1979" s="16"/>
      <c r="BQ1979" s="16" t="b">
        <v>1</v>
      </c>
      <c r="BR1979" s="16">
        <v>0.01</v>
      </c>
      <c r="BS1979" s="16"/>
      <c r="BT1979" s="16"/>
      <c r="BU1979" s="16" t="s">
        <v>539</v>
      </c>
      <c r="BV1979" s="16"/>
      <c r="BW1979" s="16"/>
      <c r="BX1979" s="16"/>
    </row>
    <row r="1980">
      <c r="A1980" s="16" t="s">
        <v>9783</v>
      </c>
      <c r="B1980" s="16" t="s">
        <v>35</v>
      </c>
      <c r="C1980" s="201">
        <v>46049.0</v>
      </c>
      <c r="D1980" s="16" t="s">
        <v>460</v>
      </c>
      <c r="E1980" s="16"/>
      <c r="F1980" s="16" t="s">
        <v>11742</v>
      </c>
      <c r="G1980" s="16" t="s">
        <v>3822</v>
      </c>
      <c r="H1980" s="16">
        <v>1.0</v>
      </c>
      <c r="I1980" s="16">
        <v>538.95</v>
      </c>
      <c r="J1980" s="16">
        <v>538.95</v>
      </c>
      <c r="K1980" s="16"/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D1980" s="16"/>
      <c r="AH1980" s="16"/>
      <c r="AL1980" s="16"/>
      <c r="AP1980" s="16"/>
      <c r="AT1980" s="16"/>
      <c r="AX1980" s="16"/>
      <c r="BF1980" s="16"/>
      <c r="BJ1980" s="16"/>
      <c r="BN1980" s="16"/>
      <c r="BO1980" s="16">
        <v>538.95</v>
      </c>
      <c r="BP1980" s="16"/>
      <c r="BQ1980" s="16" t="b">
        <v>1</v>
      </c>
      <c r="BR1980" s="16">
        <v>538.95</v>
      </c>
      <c r="BS1980" s="16"/>
      <c r="BT1980" s="16"/>
      <c r="BU1980" s="16" t="s">
        <v>539</v>
      </c>
      <c r="BV1980" s="16"/>
      <c r="BW1980" s="16"/>
      <c r="BX1980" s="16"/>
    </row>
    <row r="1981">
      <c r="A1981" s="16">
        <v>11822.0</v>
      </c>
      <c r="B1981" s="16" t="s">
        <v>35</v>
      </c>
      <c r="C1981" s="201">
        <v>46049.0</v>
      </c>
      <c r="D1981" s="16" t="s">
        <v>9825</v>
      </c>
      <c r="E1981" s="16"/>
      <c r="F1981" s="16" t="s">
        <v>9826</v>
      </c>
      <c r="G1981" s="16" t="s">
        <v>2870</v>
      </c>
      <c r="H1981" s="16">
        <v>1.0</v>
      </c>
      <c r="I1981" s="16">
        <v>524.18</v>
      </c>
      <c r="J1981" s="16">
        <v>524.18</v>
      </c>
      <c r="K1981" s="16"/>
      <c r="L1981" s="16"/>
      <c r="M1981" s="16"/>
      <c r="N1981" s="16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D1981" s="16"/>
      <c r="AH1981" s="16"/>
      <c r="AL1981" s="16"/>
      <c r="AP1981" s="16"/>
      <c r="AT1981" s="16"/>
      <c r="AX1981" s="16"/>
      <c r="BF1981" s="16"/>
      <c r="BJ1981" s="16"/>
      <c r="BN1981" s="16"/>
      <c r="BO1981" s="16">
        <v>524.18</v>
      </c>
      <c r="BP1981" s="16"/>
      <c r="BQ1981" s="16" t="b">
        <v>1</v>
      </c>
      <c r="BR1981" s="16">
        <v>524.18</v>
      </c>
      <c r="BS1981" s="16"/>
      <c r="BT1981" s="16"/>
      <c r="BU1981" s="16" t="s">
        <v>539</v>
      </c>
      <c r="BV1981" s="16"/>
      <c r="BW1981" s="16"/>
      <c r="BX1981" s="16"/>
    </row>
    <row r="1982">
      <c r="A1982" s="16">
        <v>11823.0</v>
      </c>
      <c r="B1982" s="16" t="s">
        <v>35</v>
      </c>
      <c r="C1982" s="201">
        <v>46049.0</v>
      </c>
      <c r="D1982" s="16" t="s">
        <v>9825</v>
      </c>
      <c r="E1982" s="16"/>
      <c r="F1982" s="16" t="s">
        <v>9835</v>
      </c>
      <c r="G1982" s="16" t="s">
        <v>2870</v>
      </c>
      <c r="H1982" s="16">
        <v>1.0</v>
      </c>
      <c r="I1982" s="16">
        <v>87.68</v>
      </c>
      <c r="J1982" s="16">
        <v>87.68</v>
      </c>
      <c r="K1982" s="16"/>
      <c r="L1982" s="16"/>
      <c r="M1982" s="16"/>
      <c r="N1982" s="16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D1982" s="16"/>
      <c r="AH1982" s="16"/>
      <c r="AL1982" s="16"/>
      <c r="AP1982" s="16"/>
      <c r="AT1982" s="16"/>
      <c r="AX1982" s="16"/>
      <c r="BF1982" s="16"/>
      <c r="BJ1982" s="16"/>
      <c r="BN1982" s="16"/>
      <c r="BO1982" s="16">
        <v>87.68</v>
      </c>
      <c r="BP1982" s="16"/>
      <c r="BQ1982" s="16" t="b">
        <v>1</v>
      </c>
      <c r="BR1982" s="16">
        <v>87.68</v>
      </c>
      <c r="BS1982" s="16"/>
      <c r="BT1982" s="16"/>
      <c r="BU1982" s="16" t="s">
        <v>539</v>
      </c>
      <c r="BV1982" s="16"/>
      <c r="BW1982" s="16"/>
      <c r="BX1982" s="16"/>
    </row>
    <row r="1983">
      <c r="A1983" s="16">
        <v>11824.0</v>
      </c>
      <c r="B1983" s="16" t="s">
        <v>35</v>
      </c>
      <c r="C1983" s="201">
        <v>46049.0</v>
      </c>
      <c r="D1983" s="16" t="s">
        <v>460</v>
      </c>
      <c r="E1983" s="16"/>
      <c r="F1983" s="16" t="s">
        <v>10550</v>
      </c>
      <c r="G1983" s="16" t="s">
        <v>1239</v>
      </c>
      <c r="H1983" s="16">
        <v>1.0</v>
      </c>
      <c r="I1983" s="16">
        <v>4083.0</v>
      </c>
      <c r="J1983" s="16">
        <v>4083.0</v>
      </c>
      <c r="K1983" s="16"/>
      <c r="L1983" s="16"/>
      <c r="M1983" s="16"/>
      <c r="N1983" s="16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D1983" s="16"/>
      <c r="AH1983" s="16"/>
      <c r="AL1983" s="16"/>
      <c r="AP1983" s="16"/>
      <c r="AT1983" s="16"/>
      <c r="AX1983" s="16"/>
      <c r="BF1983" s="16"/>
      <c r="BJ1983" s="16"/>
      <c r="BN1983" s="16"/>
      <c r="BO1983" s="16">
        <v>4083.0</v>
      </c>
      <c r="BP1983" s="16"/>
      <c r="BQ1983" s="16" t="b">
        <v>1</v>
      </c>
      <c r="BR1983" s="16">
        <v>4083.0</v>
      </c>
      <c r="BS1983" s="16"/>
      <c r="BT1983" s="16"/>
      <c r="BU1983" s="16" t="s">
        <v>539</v>
      </c>
      <c r="BV1983" s="16"/>
      <c r="BW1983" s="16"/>
      <c r="BX1983" s="16"/>
    </row>
    <row r="1984">
      <c r="A1984" s="16">
        <v>11825.0</v>
      </c>
      <c r="B1984" s="16" t="s">
        <v>35</v>
      </c>
      <c r="C1984" s="201">
        <v>46049.0</v>
      </c>
      <c r="D1984" s="16" t="s">
        <v>460</v>
      </c>
      <c r="E1984" s="16"/>
      <c r="F1984" s="16" t="s">
        <v>11326</v>
      </c>
      <c r="G1984" s="16" t="s">
        <v>1126</v>
      </c>
      <c r="H1984" s="16">
        <v>1.0</v>
      </c>
      <c r="I1984" s="16">
        <v>72.0</v>
      </c>
      <c r="J1984" s="16">
        <v>72.0</v>
      </c>
      <c r="K1984" s="16"/>
      <c r="L1984" s="16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16"/>
      <c r="AD1984" s="16"/>
      <c r="AH1984" s="16"/>
      <c r="AL1984" s="16"/>
      <c r="AP1984" s="16"/>
      <c r="AT1984" s="16"/>
      <c r="AX1984" s="16"/>
      <c r="BF1984" s="16"/>
      <c r="BJ1984" s="16"/>
      <c r="BN1984" s="16"/>
      <c r="BO1984" s="16">
        <v>72.0</v>
      </c>
      <c r="BP1984" s="16"/>
      <c r="BQ1984" s="16" t="b">
        <v>1</v>
      </c>
      <c r="BR1984" s="16">
        <v>72.0</v>
      </c>
      <c r="BS1984" s="16"/>
      <c r="BT1984" s="16"/>
      <c r="BU1984" s="16" t="s">
        <v>539</v>
      </c>
      <c r="BV1984" s="16"/>
      <c r="BW1984" s="16"/>
      <c r="BX1984" s="16"/>
    </row>
    <row r="1985">
      <c r="A1985" s="16">
        <v>11826.0</v>
      </c>
      <c r="B1985" s="16" t="s">
        <v>35</v>
      </c>
      <c r="C1985" s="201">
        <v>46049.0</v>
      </c>
      <c r="D1985" s="16" t="s">
        <v>460</v>
      </c>
      <c r="E1985" s="16"/>
      <c r="F1985" s="16" t="s">
        <v>4972</v>
      </c>
      <c r="G1985" s="16" t="s">
        <v>5640</v>
      </c>
      <c r="H1985" s="16">
        <v>1.0</v>
      </c>
      <c r="I1985" s="16">
        <v>22.0</v>
      </c>
      <c r="J1985" s="16">
        <v>22.0</v>
      </c>
      <c r="K1985" s="16"/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D1985" s="16"/>
      <c r="AH1985" s="16"/>
      <c r="AL1985" s="16"/>
      <c r="AP1985" s="16"/>
      <c r="AT1985" s="16"/>
      <c r="AX1985" s="16"/>
      <c r="BF1985" s="16"/>
      <c r="BJ1985" s="16"/>
      <c r="BN1985" s="16"/>
      <c r="BO1985" s="16">
        <v>22.0</v>
      </c>
      <c r="BP1985" s="16"/>
      <c r="BQ1985" s="16" t="b">
        <v>1</v>
      </c>
      <c r="BR1985" s="16">
        <v>22.0</v>
      </c>
      <c r="BS1985" s="16"/>
      <c r="BT1985" s="16"/>
      <c r="BU1985" s="16" t="s">
        <v>539</v>
      </c>
      <c r="BV1985" s="16"/>
      <c r="BW1985" s="16"/>
      <c r="BX1985" s="16"/>
    </row>
    <row r="1986">
      <c r="A1986" s="16">
        <v>11827.0</v>
      </c>
      <c r="B1986" s="16" t="s">
        <v>35</v>
      </c>
      <c r="C1986" s="201">
        <v>46049.0</v>
      </c>
      <c r="D1986" s="16" t="s">
        <v>460</v>
      </c>
      <c r="E1986" s="16"/>
      <c r="F1986" s="16" t="s">
        <v>4979</v>
      </c>
      <c r="G1986" s="16" t="s">
        <v>5973</v>
      </c>
      <c r="H1986" s="16">
        <v>1.0</v>
      </c>
      <c r="I1986" s="16">
        <v>10.0</v>
      </c>
      <c r="J1986" s="16">
        <v>10.0</v>
      </c>
      <c r="K1986" s="16"/>
      <c r="L1986" s="16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D1986" s="16"/>
      <c r="AH1986" s="16"/>
      <c r="AL1986" s="16"/>
      <c r="AP1986" s="16"/>
      <c r="AT1986" s="16"/>
      <c r="AX1986" s="16"/>
      <c r="BF1986" s="16"/>
      <c r="BJ1986" s="16"/>
      <c r="BN1986" s="16"/>
      <c r="BO1986" s="16">
        <v>10.0</v>
      </c>
      <c r="BP1986" s="16"/>
      <c r="BQ1986" s="16" t="b">
        <v>1</v>
      </c>
      <c r="BR1986" s="16">
        <v>10.0</v>
      </c>
      <c r="BS1986" s="16"/>
      <c r="BT1986" s="16"/>
      <c r="BU1986" s="16" t="s">
        <v>539</v>
      </c>
      <c r="BV1986" s="16"/>
      <c r="BW1986" s="16"/>
      <c r="BX1986" s="16"/>
    </row>
    <row r="1987">
      <c r="A1987" s="16" t="s">
        <v>9791</v>
      </c>
      <c r="B1987" s="16" t="s">
        <v>35</v>
      </c>
      <c r="C1987" s="201">
        <v>46049.0</v>
      </c>
      <c r="D1987" s="16" t="s">
        <v>460</v>
      </c>
      <c r="E1987" s="16"/>
      <c r="F1987" s="16" t="s">
        <v>11753</v>
      </c>
      <c r="G1987" s="16" t="s">
        <v>4176</v>
      </c>
      <c r="H1987" s="16">
        <v>1.0</v>
      </c>
      <c r="I1987" s="16">
        <v>46.5</v>
      </c>
      <c r="J1987" s="16">
        <v>46.5</v>
      </c>
      <c r="K1987" s="16"/>
      <c r="L1987" s="16"/>
      <c r="M1987" s="16"/>
      <c r="N1987" s="16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16"/>
      <c r="AD1987" s="16"/>
      <c r="AH1987" s="16"/>
      <c r="AL1987" s="16"/>
      <c r="AP1987" s="16"/>
      <c r="AT1987" s="16"/>
      <c r="AX1987" s="16"/>
      <c r="BF1987" s="16"/>
      <c r="BJ1987" s="16"/>
      <c r="BN1987" s="16"/>
      <c r="BO1987" s="16">
        <v>46.5</v>
      </c>
      <c r="BP1987" s="16"/>
      <c r="BQ1987" s="16" t="b">
        <v>1</v>
      </c>
      <c r="BR1987" s="16">
        <v>46.5</v>
      </c>
      <c r="BS1987" s="16"/>
      <c r="BT1987" s="16"/>
      <c r="BU1987" s="16" t="s">
        <v>539</v>
      </c>
      <c r="BV1987" s="16"/>
      <c r="BW1987" s="16"/>
      <c r="BX1987" s="16"/>
    </row>
    <row r="1988">
      <c r="A1988" s="16" t="s">
        <v>9793</v>
      </c>
      <c r="B1988" s="16" t="s">
        <v>35</v>
      </c>
      <c r="C1988" s="201">
        <v>46049.0</v>
      </c>
      <c r="D1988" s="16" t="s">
        <v>543</v>
      </c>
      <c r="E1988" s="16"/>
      <c r="F1988" s="16" t="s">
        <v>11757</v>
      </c>
      <c r="G1988" s="16">
        <v>1.2539885E7</v>
      </c>
      <c r="H1988" s="16">
        <v>1.0</v>
      </c>
      <c r="I1988" s="16">
        <v>500.0</v>
      </c>
      <c r="J1988" s="16">
        <v>500.0</v>
      </c>
      <c r="K1988" s="16"/>
      <c r="L1988" s="16"/>
      <c r="M1988" s="16"/>
      <c r="N1988" s="16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16"/>
      <c r="AD1988" s="16"/>
      <c r="AH1988" s="16"/>
      <c r="AL1988" s="16"/>
      <c r="AP1988" s="16"/>
      <c r="AT1988" s="16"/>
      <c r="AX1988" s="16"/>
      <c r="BF1988" s="16"/>
      <c r="BJ1988" s="16"/>
      <c r="BN1988" s="16"/>
      <c r="BO1988" s="16">
        <v>500.0</v>
      </c>
      <c r="BP1988" s="16"/>
      <c r="BQ1988" s="16" t="b">
        <v>1</v>
      </c>
      <c r="BR1988" s="16">
        <v>500.0</v>
      </c>
      <c r="BS1988" s="16"/>
      <c r="BT1988" s="16"/>
      <c r="BU1988" s="16" t="s">
        <v>539</v>
      </c>
      <c r="BV1988" s="16"/>
      <c r="BW1988" s="16"/>
      <c r="BX1988" s="16"/>
    </row>
    <row r="1989">
      <c r="A1989" s="16" t="s">
        <v>9795</v>
      </c>
      <c r="B1989" s="16" t="s">
        <v>35</v>
      </c>
      <c r="C1989" s="201">
        <v>46049.0</v>
      </c>
      <c r="D1989" s="16" t="s">
        <v>543</v>
      </c>
      <c r="E1989" s="16"/>
      <c r="F1989" s="16" t="s">
        <v>11760</v>
      </c>
      <c r="G1989" s="16">
        <v>1.2539885E7</v>
      </c>
      <c r="H1989" s="16">
        <v>1.0</v>
      </c>
      <c r="I1989" s="16">
        <v>500.0</v>
      </c>
      <c r="J1989" s="16">
        <v>500.0</v>
      </c>
      <c r="K1989" s="16"/>
      <c r="L1989" s="16"/>
      <c r="M1989" s="16"/>
      <c r="N1989" s="16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D1989" s="16"/>
      <c r="AH1989" s="16"/>
      <c r="AL1989" s="16"/>
      <c r="AP1989" s="16"/>
      <c r="AT1989" s="16"/>
      <c r="AX1989" s="16"/>
      <c r="BF1989" s="16"/>
      <c r="BJ1989" s="16"/>
      <c r="BN1989" s="16"/>
      <c r="BO1989" s="16">
        <v>500.0</v>
      </c>
      <c r="BP1989" s="16"/>
      <c r="BQ1989" s="16" t="b">
        <v>1</v>
      </c>
      <c r="BR1989" s="16">
        <v>500.0</v>
      </c>
      <c r="BS1989" s="16"/>
      <c r="BT1989" s="16"/>
      <c r="BU1989" s="16" t="s">
        <v>539</v>
      </c>
      <c r="BV1989" s="16"/>
      <c r="BW1989" s="16"/>
      <c r="BX1989" s="16"/>
    </row>
    <row r="1990">
      <c r="A1990" s="16" t="s">
        <v>10264</v>
      </c>
      <c r="B1990" s="16" t="s">
        <v>35</v>
      </c>
      <c r="C1990" s="201">
        <v>46050.0</v>
      </c>
      <c r="D1990" s="16" t="s">
        <v>233</v>
      </c>
      <c r="E1990" s="16" t="s">
        <v>11762</v>
      </c>
      <c r="F1990" s="16" t="s">
        <v>11764</v>
      </c>
      <c r="G1990" s="16"/>
      <c r="H1990" s="16"/>
      <c r="I1990" s="16"/>
      <c r="J1990" s="16"/>
      <c r="K1990" s="16"/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D1990" s="16"/>
      <c r="AH1990" s="16"/>
      <c r="AL1990" s="16"/>
      <c r="AP1990" s="16"/>
      <c r="AT1990" s="16"/>
      <c r="AX1990" s="16"/>
      <c r="BF1990" s="16"/>
      <c r="BJ1990" s="16"/>
      <c r="BN1990" s="16"/>
      <c r="BO1990" s="16"/>
      <c r="BP1990" s="16" t="s">
        <v>11763</v>
      </c>
      <c r="BQ1990" s="16" t="b">
        <v>0</v>
      </c>
      <c r="BR1990" s="16"/>
      <c r="BS1990" s="21" t="s">
        <v>13952</v>
      </c>
      <c r="BT1990" s="16" t="b">
        <v>1</v>
      </c>
      <c r="BU1990" s="16" t="s">
        <v>13953</v>
      </c>
      <c r="BV1990" s="16"/>
      <c r="BW1990" s="16"/>
      <c r="BX1990" s="16"/>
    </row>
    <row r="1991">
      <c r="A1991" s="16" t="s">
        <v>10274</v>
      </c>
      <c r="B1991" s="16" t="s">
        <v>35</v>
      </c>
      <c r="C1991" s="201">
        <v>46051.0</v>
      </c>
      <c r="D1991" s="16" t="s">
        <v>11765</v>
      </c>
      <c r="E1991" s="16" t="s">
        <v>11766</v>
      </c>
      <c r="F1991" s="16" t="s">
        <v>195</v>
      </c>
      <c r="G1991" s="16"/>
      <c r="H1991" s="16"/>
      <c r="I1991" s="16"/>
      <c r="J1991" s="16"/>
      <c r="K1991" s="16"/>
      <c r="L1991" s="16"/>
      <c r="M1991" s="16"/>
      <c r="N1991" s="16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D1991" s="16"/>
      <c r="AH1991" s="16"/>
      <c r="AL1991" s="16"/>
      <c r="AP1991" s="16"/>
      <c r="AT1991" s="16"/>
      <c r="AX1991" s="16"/>
      <c r="BF1991" s="16"/>
      <c r="BJ1991" s="16"/>
      <c r="BN1991" s="16"/>
      <c r="BO1991" s="16"/>
      <c r="BP1991" s="16" t="s">
        <v>11767</v>
      </c>
      <c r="BQ1991" s="16" t="b">
        <v>0</v>
      </c>
      <c r="BR1991" s="16"/>
      <c r="BS1991" s="16"/>
      <c r="BT1991" s="16" t="b">
        <v>0</v>
      </c>
      <c r="BU1991" s="16" t="s">
        <v>13953</v>
      </c>
      <c r="BV1991" s="16"/>
      <c r="BW1991" s="16"/>
      <c r="BX1991" s="16"/>
    </row>
    <row r="1992">
      <c r="A1992" s="16" t="s">
        <v>9797</v>
      </c>
      <c r="B1992" s="16" t="s">
        <v>35</v>
      </c>
      <c r="C1992" s="201">
        <v>46051.0</v>
      </c>
      <c r="D1992" s="16" t="s">
        <v>11677</v>
      </c>
      <c r="E1992" s="16"/>
      <c r="F1992" s="16" t="s">
        <v>11769</v>
      </c>
      <c r="G1992" s="16" t="s">
        <v>1022</v>
      </c>
      <c r="H1992" s="16">
        <v>1.0</v>
      </c>
      <c r="I1992" s="16">
        <v>97.2</v>
      </c>
      <c r="J1992" s="16">
        <v>97.2</v>
      </c>
      <c r="K1992" s="16"/>
      <c r="L1992" s="16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16"/>
      <c r="AD1992" s="16"/>
      <c r="AH1992" s="16"/>
      <c r="AL1992" s="16"/>
      <c r="AP1992" s="16"/>
      <c r="AT1992" s="16"/>
      <c r="AX1992" s="16"/>
      <c r="BF1992" s="16"/>
      <c r="BJ1992" s="16"/>
      <c r="BN1992" s="16"/>
      <c r="BO1992" s="16">
        <v>97.2</v>
      </c>
      <c r="BP1992" s="16"/>
      <c r="BQ1992" s="16" t="b">
        <v>1</v>
      </c>
      <c r="BR1992" s="16">
        <v>97.2</v>
      </c>
      <c r="BS1992" s="16"/>
      <c r="BT1992" s="16"/>
      <c r="BU1992" s="16" t="s">
        <v>539</v>
      </c>
      <c r="BV1992" s="16"/>
      <c r="BW1992" s="16"/>
      <c r="BX1992" s="16"/>
    </row>
    <row r="1993">
      <c r="A1993" s="16" t="s">
        <v>10307</v>
      </c>
      <c r="B1993" s="16" t="s">
        <v>35</v>
      </c>
      <c r="C1993" s="201">
        <v>46052.0</v>
      </c>
      <c r="D1993" s="16" t="s">
        <v>2039</v>
      </c>
      <c r="E1993" s="16" t="s">
        <v>11771</v>
      </c>
      <c r="F1993" s="16" t="s">
        <v>2178</v>
      </c>
      <c r="G1993" s="16"/>
      <c r="H1993" s="16"/>
      <c r="I1993" s="16"/>
      <c r="J1993" s="16"/>
      <c r="K1993" s="16"/>
      <c r="L1993" s="16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D1993" s="16"/>
      <c r="AH1993" s="16"/>
      <c r="AL1993" s="16"/>
      <c r="AP1993" s="16"/>
      <c r="AT1993" s="16"/>
      <c r="AX1993" s="16"/>
      <c r="BF1993" s="16"/>
      <c r="BJ1993" s="16"/>
      <c r="BN1993" s="16"/>
      <c r="BO1993" s="16"/>
      <c r="BP1993" s="16" t="s">
        <v>11772</v>
      </c>
      <c r="BQ1993" s="16" t="b">
        <v>0</v>
      </c>
      <c r="BR1993" s="16"/>
      <c r="BS1993" s="21" t="s">
        <v>13954</v>
      </c>
      <c r="BT1993" s="16" t="b">
        <v>1</v>
      </c>
      <c r="BU1993" s="16" t="s">
        <v>13953</v>
      </c>
      <c r="BV1993" s="16"/>
      <c r="BW1993" s="16"/>
      <c r="BX1993" s="16"/>
    </row>
    <row r="1994">
      <c r="A1994" s="16" t="s">
        <v>10292</v>
      </c>
      <c r="B1994" s="16" t="s">
        <v>35</v>
      </c>
      <c r="C1994" s="201">
        <v>46052.0</v>
      </c>
      <c r="D1994" s="21" t="s">
        <v>12789</v>
      </c>
      <c r="E1994" s="16" t="s">
        <v>11774</v>
      </c>
      <c r="F1994" s="16" t="s">
        <v>11625</v>
      </c>
      <c r="G1994" s="16"/>
      <c r="H1994" s="16"/>
      <c r="I1994" s="16"/>
      <c r="J1994" s="16"/>
      <c r="K1994" s="16"/>
      <c r="L1994" s="16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D1994" s="16"/>
      <c r="AH1994" s="16"/>
      <c r="AL1994" s="16"/>
      <c r="AP1994" s="16"/>
      <c r="AT1994" s="16"/>
      <c r="AX1994" s="16"/>
      <c r="BF1994" s="16"/>
      <c r="BJ1994" s="16"/>
      <c r="BN1994" s="16"/>
      <c r="BO1994" s="16"/>
      <c r="BP1994" s="16" t="s">
        <v>11775</v>
      </c>
      <c r="BQ1994" s="16" t="b">
        <v>0</v>
      </c>
      <c r="BR1994" s="16"/>
      <c r="BS1994" s="21" t="s">
        <v>13955</v>
      </c>
      <c r="BT1994" s="16" t="b">
        <v>1</v>
      </c>
      <c r="BU1994" s="16" t="s">
        <v>13953</v>
      </c>
      <c r="BV1994" s="16"/>
      <c r="BW1994" s="16"/>
      <c r="BX1994" s="16"/>
    </row>
    <row r="1995">
      <c r="A1995" s="16" t="s">
        <v>10314</v>
      </c>
      <c r="B1995" s="16" t="s">
        <v>35</v>
      </c>
      <c r="C1995" s="201">
        <v>46052.0</v>
      </c>
      <c r="D1995" s="16" t="s">
        <v>11779</v>
      </c>
      <c r="E1995" s="16" t="s">
        <v>11780</v>
      </c>
      <c r="F1995" s="16" t="s">
        <v>11782</v>
      </c>
      <c r="G1995" s="16"/>
      <c r="H1995" s="16"/>
      <c r="I1995" s="16"/>
      <c r="J1995" s="16"/>
      <c r="K1995" s="16"/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D1995" s="16"/>
      <c r="AH1995" s="16"/>
      <c r="AL1995" s="16"/>
      <c r="AP1995" s="16"/>
      <c r="AT1995" s="16"/>
      <c r="AX1995" s="16"/>
      <c r="BF1995" s="16"/>
      <c r="BJ1995" s="16"/>
      <c r="BN1995" s="16"/>
      <c r="BO1995" s="16"/>
      <c r="BP1995" s="16" t="s">
        <v>11781</v>
      </c>
      <c r="BQ1995" s="16" t="b">
        <v>0</v>
      </c>
      <c r="BR1995" s="16"/>
      <c r="BS1995" s="21" t="s">
        <v>13957</v>
      </c>
      <c r="BT1995" s="16" t="b">
        <v>1</v>
      </c>
      <c r="BU1995" s="16" t="s">
        <v>13953</v>
      </c>
      <c r="BV1995" s="16"/>
      <c r="BW1995" s="16"/>
      <c r="BX1995" s="16"/>
    </row>
    <row r="1996">
      <c r="A1996" s="16" t="s">
        <v>10319</v>
      </c>
      <c r="B1996" s="16" t="s">
        <v>35</v>
      </c>
      <c r="C1996" s="201">
        <v>46052.0</v>
      </c>
      <c r="D1996" s="16" t="s">
        <v>11784</v>
      </c>
      <c r="E1996" s="16" t="s">
        <v>11785</v>
      </c>
      <c r="F1996" s="16" t="s">
        <v>147</v>
      </c>
      <c r="G1996" s="16"/>
      <c r="H1996" s="16"/>
      <c r="I1996" s="16"/>
      <c r="J1996" s="16"/>
      <c r="K1996" s="16"/>
      <c r="L1996" s="16"/>
      <c r="M1996" s="16"/>
      <c r="N1996" s="16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16"/>
      <c r="AD1996" s="16"/>
      <c r="AH1996" s="16"/>
      <c r="AL1996" s="16"/>
      <c r="AP1996" s="16"/>
      <c r="AT1996" s="16"/>
      <c r="AX1996" s="16"/>
      <c r="BF1996" s="16"/>
      <c r="BJ1996" s="16"/>
      <c r="BN1996" s="16"/>
      <c r="BO1996" s="16"/>
      <c r="BP1996" s="16" t="s">
        <v>11787</v>
      </c>
      <c r="BQ1996" s="16" t="b">
        <v>0</v>
      </c>
      <c r="BR1996" s="16"/>
      <c r="BS1996" s="21" t="s">
        <v>13958</v>
      </c>
      <c r="BT1996" s="16" t="b">
        <v>1</v>
      </c>
      <c r="BU1996" s="16" t="s">
        <v>8596</v>
      </c>
      <c r="BV1996" s="16"/>
      <c r="BW1996" s="16"/>
      <c r="BX1996" s="16"/>
    </row>
    <row r="1997">
      <c r="A1997" s="16" t="s">
        <v>10324</v>
      </c>
      <c r="B1997" s="16" t="s">
        <v>35</v>
      </c>
      <c r="C1997" s="201">
        <v>46052.0</v>
      </c>
      <c r="D1997" s="16" t="s">
        <v>112</v>
      </c>
      <c r="E1997" s="16" t="s">
        <v>11789</v>
      </c>
      <c r="F1997" s="16" t="s">
        <v>157</v>
      </c>
      <c r="G1997" s="16"/>
      <c r="H1997" s="16"/>
      <c r="I1997" s="16"/>
      <c r="J1997" s="16"/>
      <c r="K1997" s="16"/>
      <c r="L1997" s="16"/>
      <c r="M1997" s="16"/>
      <c r="N1997" s="16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D1997" s="16"/>
      <c r="AH1997" s="16"/>
      <c r="AL1997" s="16"/>
      <c r="AP1997" s="16"/>
      <c r="AT1997" s="16"/>
      <c r="AX1997" s="16"/>
      <c r="BF1997" s="16"/>
      <c r="BJ1997" s="16"/>
      <c r="BN1997" s="16"/>
      <c r="BO1997" s="16"/>
      <c r="BP1997" s="16" t="s">
        <v>11790</v>
      </c>
      <c r="BQ1997" s="16" t="b">
        <v>0</v>
      </c>
      <c r="BR1997" s="16"/>
      <c r="BS1997" s="16"/>
      <c r="BT1997" s="16" t="b">
        <v>0</v>
      </c>
      <c r="BU1997" s="16" t="s">
        <v>13953</v>
      </c>
      <c r="BV1997" s="16"/>
      <c r="BW1997" s="16"/>
      <c r="BX1997" s="16"/>
    </row>
    <row r="1998">
      <c r="A1998" s="16">
        <v>11828.0</v>
      </c>
      <c r="B1998" s="16" t="s">
        <v>35</v>
      </c>
      <c r="C1998" s="201">
        <v>46054.0</v>
      </c>
      <c r="D1998" s="16"/>
      <c r="E1998" s="16"/>
      <c r="F1998" s="16" t="s">
        <v>8658</v>
      </c>
      <c r="G1998" s="16" t="s">
        <v>1239</v>
      </c>
      <c r="H1998" s="16">
        <v>1.0</v>
      </c>
      <c r="I1998" s="16">
        <v>1780.35</v>
      </c>
      <c r="J1998" s="16">
        <v>1780.35</v>
      </c>
      <c r="K1998" s="16"/>
      <c r="L1998" s="16"/>
      <c r="M1998" s="16"/>
      <c r="N1998" s="16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D1998" s="16"/>
      <c r="AH1998" s="16"/>
      <c r="AL1998" s="16"/>
      <c r="AP1998" s="16"/>
      <c r="AT1998" s="16"/>
      <c r="AX1998" s="16"/>
      <c r="BF1998" s="16"/>
      <c r="BJ1998" s="16"/>
      <c r="BN1998" s="16"/>
      <c r="BO1998" s="16">
        <v>1780.35</v>
      </c>
      <c r="BP1998" s="16"/>
      <c r="BQ1998" s="16" t="b">
        <v>1</v>
      </c>
      <c r="BR1998" s="16">
        <v>1780.35</v>
      </c>
      <c r="BS1998" s="16"/>
      <c r="BT1998" s="16"/>
      <c r="BU1998" s="16" t="s">
        <v>539</v>
      </c>
      <c r="BV1998" s="16" t="s">
        <v>2052</v>
      </c>
      <c r="BW1998" s="16"/>
      <c r="BX1998" s="16"/>
    </row>
    <row r="1999">
      <c r="A1999" s="16">
        <v>11829.0</v>
      </c>
      <c r="B1999" s="16" t="s">
        <v>35</v>
      </c>
      <c r="C1999" s="201">
        <v>46054.0</v>
      </c>
      <c r="D1999" s="16"/>
      <c r="E1999" s="16"/>
      <c r="F1999" s="16" t="s">
        <v>8658</v>
      </c>
      <c r="G1999" s="16" t="s">
        <v>1239</v>
      </c>
      <c r="H1999" s="16">
        <v>1.0</v>
      </c>
      <c r="I1999" s="16">
        <v>1744.98</v>
      </c>
      <c r="J1999" s="16">
        <v>1744.98</v>
      </c>
      <c r="K1999" s="16"/>
      <c r="L1999" s="16"/>
      <c r="M1999" s="16"/>
      <c r="N1999" s="16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D1999" s="16"/>
      <c r="AH1999" s="16"/>
      <c r="AL1999" s="16"/>
      <c r="AP1999" s="16"/>
      <c r="AT1999" s="16"/>
      <c r="AX1999" s="16"/>
      <c r="BF1999" s="16"/>
      <c r="BJ1999" s="16"/>
      <c r="BN1999" s="16"/>
      <c r="BO1999" s="16">
        <v>1744.98</v>
      </c>
      <c r="BP1999" s="16"/>
      <c r="BQ1999" s="16" t="b">
        <v>1</v>
      </c>
      <c r="BR1999" s="16">
        <v>1744.98</v>
      </c>
      <c r="BS1999" s="16"/>
      <c r="BT1999" s="16"/>
      <c r="BU1999" s="16" t="s">
        <v>539</v>
      </c>
      <c r="BV1999" s="16" t="s">
        <v>227</v>
      </c>
      <c r="BW1999" s="16"/>
      <c r="BX1999" s="16"/>
    </row>
    <row r="2000">
      <c r="A2000" s="16">
        <v>11830.0</v>
      </c>
      <c r="B2000" s="16" t="s">
        <v>35</v>
      </c>
      <c r="C2000" s="201">
        <v>46054.0</v>
      </c>
      <c r="D2000" s="16"/>
      <c r="E2000" s="16"/>
      <c r="F2000" s="16" t="s">
        <v>8658</v>
      </c>
      <c r="G2000" s="16" t="s">
        <v>1239</v>
      </c>
      <c r="H2000" s="16">
        <v>1.0</v>
      </c>
      <c r="I2000" s="16">
        <v>933.52</v>
      </c>
      <c r="J2000" s="16">
        <v>933.52</v>
      </c>
      <c r="K2000" s="16"/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D2000" s="16"/>
      <c r="AH2000" s="16"/>
      <c r="AL2000" s="16"/>
      <c r="AP2000" s="16"/>
      <c r="AT2000" s="16"/>
      <c r="AX2000" s="16"/>
      <c r="BF2000" s="16"/>
      <c r="BJ2000" s="16"/>
      <c r="BN2000" s="16"/>
      <c r="BO2000" s="16">
        <v>933.52</v>
      </c>
      <c r="BP2000" s="16"/>
      <c r="BQ2000" s="16" t="b">
        <v>1</v>
      </c>
      <c r="BR2000" s="16">
        <v>933.52</v>
      </c>
      <c r="BS2000" s="16"/>
      <c r="BT2000" s="16"/>
      <c r="BU2000" s="16" t="s">
        <v>539</v>
      </c>
      <c r="BV2000" s="16" t="s">
        <v>6062</v>
      </c>
      <c r="BW2000" s="16"/>
      <c r="BX2000" s="16"/>
    </row>
    <row r="2001">
      <c r="A2001" s="16">
        <v>11831.0</v>
      </c>
      <c r="B2001" s="16" t="s">
        <v>35</v>
      </c>
      <c r="C2001" s="201">
        <v>46054.0</v>
      </c>
      <c r="D2001" s="16"/>
      <c r="E2001" s="16"/>
      <c r="F2001" s="16" t="s">
        <v>8658</v>
      </c>
      <c r="G2001" s="16" t="s">
        <v>1239</v>
      </c>
      <c r="H2001" s="16">
        <v>1.0</v>
      </c>
      <c r="I2001" s="16">
        <v>3589.08</v>
      </c>
      <c r="J2001" s="16">
        <v>3589.08</v>
      </c>
      <c r="K2001" s="16"/>
      <c r="L2001" s="16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D2001" s="16"/>
      <c r="AH2001" s="16"/>
      <c r="AL2001" s="16"/>
      <c r="AP2001" s="16"/>
      <c r="AT2001" s="16"/>
      <c r="AX2001" s="16"/>
      <c r="BF2001" s="16"/>
      <c r="BJ2001" s="16"/>
      <c r="BN2001" s="16"/>
      <c r="BO2001" s="16">
        <v>3589.08</v>
      </c>
      <c r="BP2001" s="16"/>
      <c r="BQ2001" s="16" t="b">
        <v>1</v>
      </c>
      <c r="BR2001" s="16">
        <v>3589.08</v>
      </c>
      <c r="BS2001" s="16"/>
      <c r="BT2001" s="16"/>
      <c r="BU2001" s="16" t="s">
        <v>539</v>
      </c>
      <c r="BV2001" s="16" t="s">
        <v>218</v>
      </c>
      <c r="BW2001" s="16"/>
      <c r="BX2001" s="16"/>
    </row>
    <row r="2002">
      <c r="A2002" s="16" t="s">
        <v>9803</v>
      </c>
      <c r="B2002" s="16" t="s">
        <v>35</v>
      </c>
      <c r="C2002" s="201">
        <v>46054.0</v>
      </c>
      <c r="D2002" s="16"/>
      <c r="E2002" s="16"/>
      <c r="F2002" s="16" t="s">
        <v>11799</v>
      </c>
      <c r="G2002" s="16" t="s">
        <v>1239</v>
      </c>
      <c r="H2002" s="16">
        <v>1.0</v>
      </c>
      <c r="I2002" s="16">
        <v>2826.6</v>
      </c>
      <c r="J2002" s="16">
        <v>2826.6</v>
      </c>
      <c r="K2002" s="16"/>
      <c r="L2002" s="16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D2002" s="16"/>
      <c r="AH2002" s="16"/>
      <c r="AL2002" s="16"/>
      <c r="AP2002" s="16"/>
      <c r="AT2002" s="16"/>
      <c r="AX2002" s="16"/>
      <c r="BF2002" s="16"/>
      <c r="BJ2002" s="16"/>
      <c r="BN2002" s="16"/>
      <c r="BO2002" s="16">
        <v>2826.6</v>
      </c>
      <c r="BP2002" s="16"/>
      <c r="BQ2002" s="16" t="b">
        <v>1</v>
      </c>
      <c r="BR2002" s="16">
        <v>2826.6</v>
      </c>
      <c r="BS2002" s="16"/>
      <c r="BT2002" s="16"/>
      <c r="BU2002" s="16" t="s">
        <v>539</v>
      </c>
      <c r="BV2002" s="16" t="s">
        <v>117</v>
      </c>
      <c r="BW2002" s="16"/>
      <c r="BX2002" s="16"/>
    </row>
    <row r="2003">
      <c r="A2003" s="16" t="s">
        <v>9805</v>
      </c>
      <c r="B2003" s="16" t="s">
        <v>35</v>
      </c>
      <c r="C2003" s="201">
        <v>46054.0</v>
      </c>
      <c r="D2003" s="16"/>
      <c r="E2003" s="16"/>
      <c r="F2003" s="16" t="s">
        <v>8658</v>
      </c>
      <c r="G2003" s="16" t="s">
        <v>1239</v>
      </c>
      <c r="H2003" s="16">
        <v>1.0</v>
      </c>
      <c r="I2003" s="16">
        <v>2127.13</v>
      </c>
      <c r="J2003" s="16">
        <v>2127.13</v>
      </c>
      <c r="K2003" s="16"/>
      <c r="L2003" s="16"/>
      <c r="M2003" s="16"/>
      <c r="N2003" s="16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16"/>
      <c r="AD2003" s="16"/>
      <c r="AH2003" s="16"/>
      <c r="AL2003" s="16"/>
      <c r="AP2003" s="16"/>
      <c r="AT2003" s="16"/>
      <c r="AX2003" s="16"/>
      <c r="BF2003" s="16"/>
      <c r="BJ2003" s="16"/>
      <c r="BN2003" s="16"/>
      <c r="BO2003" s="16">
        <v>2127.13</v>
      </c>
      <c r="BP2003" s="16"/>
      <c r="BQ2003" s="16" t="b">
        <v>1</v>
      </c>
      <c r="BR2003" s="16">
        <v>2127.13</v>
      </c>
      <c r="BS2003" s="16"/>
      <c r="BT2003" s="16"/>
      <c r="BU2003" s="16" t="s">
        <v>539</v>
      </c>
      <c r="BV2003" s="16" t="s">
        <v>336</v>
      </c>
      <c r="BW2003" s="16"/>
      <c r="BX2003" s="16"/>
    </row>
    <row r="2004">
      <c r="A2004" s="16" t="s">
        <v>10330</v>
      </c>
      <c r="B2004" s="16" t="s">
        <v>35</v>
      </c>
      <c r="C2004" s="201">
        <v>46053.0</v>
      </c>
      <c r="D2004" s="16" t="s">
        <v>112</v>
      </c>
      <c r="E2004" s="16" t="s">
        <v>11804</v>
      </c>
      <c r="F2004" s="16" t="s">
        <v>157</v>
      </c>
      <c r="G2004" s="16"/>
      <c r="H2004" s="16"/>
      <c r="I2004" s="16"/>
      <c r="J2004" s="16"/>
      <c r="K2004" s="16"/>
      <c r="L2004" s="16"/>
      <c r="M2004" s="16"/>
      <c r="N2004" s="16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16"/>
      <c r="AD2004" s="16"/>
      <c r="AH2004" s="16"/>
      <c r="AL2004" s="16"/>
      <c r="AP2004" s="16"/>
      <c r="AT2004" s="16"/>
      <c r="AX2004" s="16"/>
      <c r="BF2004" s="16"/>
      <c r="BJ2004" s="16"/>
      <c r="BN2004" s="16"/>
      <c r="BO2004" s="16"/>
      <c r="BP2004" s="16" t="s">
        <v>11805</v>
      </c>
      <c r="BQ2004" s="16" t="b">
        <v>0</v>
      </c>
      <c r="BR2004" s="16"/>
      <c r="BS2004" s="16"/>
      <c r="BT2004" s="16" t="b">
        <v>0</v>
      </c>
      <c r="BU2004" s="16" t="s">
        <v>13953</v>
      </c>
      <c r="BV2004" s="16"/>
      <c r="BW2004" s="16"/>
      <c r="BX2004" s="16"/>
    </row>
    <row r="2005">
      <c r="A2005" s="16" t="s">
        <v>10338</v>
      </c>
      <c r="B2005" s="16" t="s">
        <v>35</v>
      </c>
      <c r="C2005" s="201">
        <v>46053.0</v>
      </c>
      <c r="D2005" s="21" t="s">
        <v>12789</v>
      </c>
      <c r="E2005" s="16" t="s">
        <v>11809</v>
      </c>
      <c r="F2005" s="16" t="s">
        <v>11625</v>
      </c>
      <c r="G2005" s="16"/>
      <c r="H2005" s="16"/>
      <c r="I2005" s="16"/>
      <c r="J2005" s="16"/>
      <c r="K2005" s="16"/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D2005" s="16"/>
      <c r="AH2005" s="16"/>
      <c r="AL2005" s="16"/>
      <c r="AP2005" s="16"/>
      <c r="AT2005" s="16"/>
      <c r="AX2005" s="16"/>
      <c r="BF2005" s="16"/>
      <c r="BJ2005" s="16"/>
      <c r="BN2005" s="16"/>
      <c r="BO2005" s="16"/>
      <c r="BP2005" s="16" t="s">
        <v>11810</v>
      </c>
      <c r="BQ2005" s="16" t="b">
        <v>0</v>
      </c>
      <c r="BR2005" s="16"/>
      <c r="BS2005" s="21" t="s">
        <v>13964</v>
      </c>
      <c r="BT2005" s="16" t="b">
        <v>1</v>
      </c>
      <c r="BU2005" s="16" t="s">
        <v>13953</v>
      </c>
      <c r="BV2005" s="16"/>
      <c r="BW2005" s="16"/>
      <c r="BX2005" s="16"/>
    </row>
    <row r="2006">
      <c r="A2006" s="16" t="s">
        <v>10340</v>
      </c>
      <c r="B2006" s="16" t="s">
        <v>35</v>
      </c>
      <c r="C2006" s="201">
        <v>46053.0</v>
      </c>
      <c r="D2006" s="16" t="s">
        <v>233</v>
      </c>
      <c r="E2006" s="16" t="s">
        <v>11812</v>
      </c>
      <c r="F2006" s="16" t="s">
        <v>11625</v>
      </c>
      <c r="G2006" s="16"/>
      <c r="H2006" s="16"/>
      <c r="I2006" s="16"/>
      <c r="J2006" s="16"/>
      <c r="K2006" s="16"/>
      <c r="L2006" s="16"/>
      <c r="M2006" s="16"/>
      <c r="N2006" s="16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D2006" s="16"/>
      <c r="AH2006" s="16"/>
      <c r="AL2006" s="16"/>
      <c r="AP2006" s="16"/>
      <c r="AT2006" s="16"/>
      <c r="AX2006" s="16"/>
      <c r="BF2006" s="16"/>
      <c r="BJ2006" s="16"/>
      <c r="BN2006" s="16"/>
      <c r="BO2006" s="16"/>
      <c r="BP2006" s="16" t="s">
        <v>11813</v>
      </c>
      <c r="BQ2006" s="16" t="b">
        <v>0</v>
      </c>
      <c r="BR2006" s="16"/>
      <c r="BS2006" s="21" t="s">
        <v>13966</v>
      </c>
      <c r="BT2006" s="16" t="b">
        <v>1</v>
      </c>
      <c r="BU2006" s="16" t="s">
        <v>8596</v>
      </c>
      <c r="BV2006" s="16"/>
      <c r="BW2006" s="16"/>
      <c r="BX2006" s="16"/>
    </row>
    <row r="2007">
      <c r="A2007" s="16" t="s">
        <v>10285</v>
      </c>
      <c r="B2007" s="16" t="s">
        <v>35</v>
      </c>
      <c r="C2007" s="201">
        <v>46051.0</v>
      </c>
      <c r="D2007" s="16" t="s">
        <v>11815</v>
      </c>
      <c r="E2007" s="16" t="s">
        <v>11816</v>
      </c>
      <c r="F2007" s="16" t="s">
        <v>11818</v>
      </c>
      <c r="G2007" s="16"/>
      <c r="H2007" s="16"/>
      <c r="I2007" s="16"/>
      <c r="J2007" s="16"/>
      <c r="K2007" s="16"/>
      <c r="L2007" s="16"/>
      <c r="M2007" s="16"/>
      <c r="N2007" s="16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D2007" s="16"/>
      <c r="AH2007" s="16"/>
      <c r="AL2007" s="16"/>
      <c r="AP2007" s="16"/>
      <c r="AT2007" s="16"/>
      <c r="AX2007" s="16"/>
      <c r="BF2007" s="16"/>
      <c r="BJ2007" s="16"/>
      <c r="BN2007" s="16"/>
      <c r="BO2007" s="16"/>
      <c r="BP2007" s="16" t="s">
        <v>11817</v>
      </c>
      <c r="BQ2007" s="16" t="b">
        <v>0</v>
      </c>
      <c r="BR2007" s="16"/>
      <c r="BS2007" s="21" t="s">
        <v>13967</v>
      </c>
      <c r="BT2007" s="16" t="b">
        <v>1</v>
      </c>
      <c r="BU2007" s="16" t="s">
        <v>8596</v>
      </c>
      <c r="BV2007" s="16"/>
      <c r="BW2007" s="16"/>
      <c r="BX2007" s="16"/>
    </row>
    <row r="2008">
      <c r="A2008" s="16" t="s">
        <v>10290</v>
      </c>
      <c r="B2008" s="16" t="s">
        <v>35</v>
      </c>
      <c r="C2008" s="201">
        <v>46051.0</v>
      </c>
      <c r="D2008" s="16" t="s">
        <v>11815</v>
      </c>
      <c r="E2008" s="16" t="s">
        <v>11820</v>
      </c>
      <c r="F2008" s="16" t="s">
        <v>11822</v>
      </c>
      <c r="G2008" s="16"/>
      <c r="H2008" s="16"/>
      <c r="I2008" s="16"/>
      <c r="J2008" s="16"/>
      <c r="K2008" s="16"/>
      <c r="L2008" s="16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16"/>
      <c r="AD2008" s="16"/>
      <c r="AH2008" s="16"/>
      <c r="AL2008" s="16"/>
      <c r="AP2008" s="16"/>
      <c r="AT2008" s="16"/>
      <c r="AX2008" s="16"/>
      <c r="BF2008" s="16"/>
      <c r="BJ2008" s="16"/>
      <c r="BN2008" s="16"/>
      <c r="BO2008" s="16"/>
      <c r="BP2008" s="16" t="s">
        <v>11821</v>
      </c>
      <c r="BQ2008" s="16" t="b">
        <v>0</v>
      </c>
      <c r="BR2008" s="16"/>
      <c r="BS2008" s="21" t="s">
        <v>13969</v>
      </c>
      <c r="BT2008" s="16" t="b">
        <v>1</v>
      </c>
      <c r="BU2008" s="16" t="s">
        <v>8596</v>
      </c>
      <c r="BV2008" s="16"/>
      <c r="BW2008" s="16"/>
      <c r="BX2008" s="16"/>
    </row>
    <row r="2009">
      <c r="A2009" s="16" t="s">
        <v>10359</v>
      </c>
      <c r="B2009" s="16" t="s">
        <v>35</v>
      </c>
      <c r="C2009" s="201">
        <v>46056.0</v>
      </c>
      <c r="D2009" s="16" t="s">
        <v>11765</v>
      </c>
      <c r="E2009" s="16" t="s">
        <v>11824</v>
      </c>
      <c r="F2009" s="16" t="s">
        <v>195</v>
      </c>
      <c r="G2009" s="16"/>
      <c r="H2009" s="16"/>
      <c r="I2009" s="16"/>
      <c r="J2009" s="16"/>
      <c r="K2009" s="16"/>
      <c r="L2009" s="16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D2009" s="16"/>
      <c r="AH2009" s="16"/>
      <c r="AL2009" s="16"/>
      <c r="AP2009" s="16"/>
      <c r="AT2009" s="16"/>
      <c r="AX2009" s="16"/>
      <c r="BF2009" s="16"/>
      <c r="BJ2009" s="16"/>
      <c r="BN2009" s="16"/>
      <c r="BO2009" s="16"/>
      <c r="BP2009" s="16" t="s">
        <v>11826</v>
      </c>
      <c r="BQ2009" s="16" t="b">
        <v>0</v>
      </c>
      <c r="BR2009" s="16"/>
      <c r="BS2009" s="16"/>
      <c r="BT2009" s="16" t="b">
        <v>0</v>
      </c>
      <c r="BU2009" s="16" t="s">
        <v>13953</v>
      </c>
      <c r="BV2009" s="16"/>
      <c r="BW2009" s="16"/>
      <c r="BX2009" s="16"/>
    </row>
    <row r="2010">
      <c r="A2010" s="16" t="s">
        <v>10370</v>
      </c>
      <c r="B2010" s="16" t="s">
        <v>35</v>
      </c>
      <c r="C2010" s="201">
        <v>46056.0</v>
      </c>
      <c r="D2010" s="16" t="s">
        <v>112</v>
      </c>
      <c r="E2010" s="16" t="s">
        <v>11829</v>
      </c>
      <c r="F2010" s="16" t="s">
        <v>157</v>
      </c>
      <c r="G2010" s="16"/>
      <c r="H2010" s="16"/>
      <c r="I2010" s="16"/>
      <c r="J2010" s="16"/>
      <c r="K2010" s="16"/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D2010" s="16"/>
      <c r="AH2010" s="16"/>
      <c r="AL2010" s="16"/>
      <c r="AP2010" s="16"/>
      <c r="AT2010" s="16"/>
      <c r="AX2010" s="16"/>
      <c r="BF2010" s="16"/>
      <c r="BJ2010" s="16"/>
      <c r="BN2010" s="16"/>
      <c r="BO2010" s="16"/>
      <c r="BP2010" s="16" t="s">
        <v>11830</v>
      </c>
      <c r="BQ2010" s="16" t="b">
        <v>0</v>
      </c>
      <c r="BR2010" s="16"/>
      <c r="BS2010" s="16"/>
      <c r="BT2010" s="16" t="b">
        <v>0</v>
      </c>
      <c r="BU2010" s="16" t="s">
        <v>13953</v>
      </c>
      <c r="BV2010" s="16"/>
      <c r="BW2010" s="16"/>
      <c r="BX2010" s="16"/>
    </row>
    <row r="2011">
      <c r="A2011" s="16" t="s">
        <v>10348</v>
      </c>
      <c r="B2011" s="16" t="s">
        <v>35</v>
      </c>
      <c r="C2011" s="201">
        <v>46055.0</v>
      </c>
      <c r="D2011" s="16" t="s">
        <v>11638</v>
      </c>
      <c r="E2011" s="16" t="s">
        <v>11832</v>
      </c>
      <c r="F2011" s="16" t="s">
        <v>11834</v>
      </c>
      <c r="G2011" s="16"/>
      <c r="H2011" s="16"/>
      <c r="I2011" s="16"/>
      <c r="J2011" s="16"/>
      <c r="K2011" s="16"/>
      <c r="L2011" s="16"/>
      <c r="M2011" s="16"/>
      <c r="N2011" s="16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16"/>
      <c r="AD2011" s="16"/>
      <c r="AH2011" s="16"/>
      <c r="AL2011" s="16"/>
      <c r="AP2011" s="16"/>
      <c r="AT2011" s="16"/>
      <c r="AX2011" s="16"/>
      <c r="BF2011" s="16"/>
      <c r="BJ2011" s="16"/>
      <c r="BN2011" s="16"/>
      <c r="BO2011" s="16"/>
      <c r="BP2011" s="16" t="s">
        <v>11833</v>
      </c>
      <c r="BQ2011" s="16" t="b">
        <v>0</v>
      </c>
      <c r="BR2011" s="16"/>
      <c r="BS2011" s="16"/>
      <c r="BT2011" s="16" t="b">
        <v>0</v>
      </c>
      <c r="BU2011" s="16" t="s">
        <v>13953</v>
      </c>
      <c r="BV2011" s="16"/>
      <c r="BW2011" s="16" t="s">
        <v>11836</v>
      </c>
      <c r="BX2011" s="16"/>
    </row>
    <row r="2012">
      <c r="A2012" s="16" t="s">
        <v>13972</v>
      </c>
      <c r="B2012" s="16" t="s">
        <v>35</v>
      </c>
      <c r="C2012" s="201">
        <v>46055.0</v>
      </c>
      <c r="D2012" s="16" t="s">
        <v>11638</v>
      </c>
      <c r="E2012" s="16" t="s">
        <v>13973</v>
      </c>
      <c r="F2012" s="16" t="s">
        <v>13974</v>
      </c>
      <c r="G2012" s="16"/>
      <c r="H2012" s="16"/>
      <c r="I2012" s="16"/>
      <c r="J2012" s="16"/>
      <c r="K2012" s="16"/>
      <c r="L2012" s="16"/>
      <c r="M2012" s="16"/>
      <c r="N2012" s="16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16"/>
      <c r="AD2012" s="16"/>
      <c r="AH2012" s="16"/>
      <c r="AL2012" s="16"/>
      <c r="AP2012" s="16"/>
      <c r="AT2012" s="16"/>
      <c r="AX2012" s="16"/>
      <c r="BF2012" s="16"/>
      <c r="BJ2012" s="16"/>
      <c r="BN2012" s="16"/>
      <c r="BO2012" s="16"/>
      <c r="BP2012" s="16" t="s">
        <v>13975</v>
      </c>
      <c r="BQ2012" s="16" t="b">
        <v>0</v>
      </c>
      <c r="BR2012" s="16"/>
      <c r="BS2012" s="16"/>
      <c r="BT2012" s="16" t="b">
        <v>0</v>
      </c>
      <c r="BU2012" s="16" t="s">
        <v>13953</v>
      </c>
      <c r="BV2012" s="16"/>
      <c r="BW2012" s="16" t="s">
        <v>13976</v>
      </c>
      <c r="BX2012" s="16"/>
    </row>
    <row r="2013">
      <c r="A2013" s="16" t="s">
        <v>9807</v>
      </c>
      <c r="B2013" s="16" t="s">
        <v>35</v>
      </c>
      <c r="C2013" s="201">
        <v>46056.0</v>
      </c>
      <c r="D2013" s="16" t="s">
        <v>460</v>
      </c>
      <c r="E2013" s="16"/>
      <c r="F2013" s="16" t="s">
        <v>11841</v>
      </c>
      <c r="G2013" s="16" t="s">
        <v>4937</v>
      </c>
      <c r="H2013" s="16">
        <v>1.0</v>
      </c>
      <c r="I2013" s="16">
        <v>20.0</v>
      </c>
      <c r="J2013" s="16">
        <v>20.0</v>
      </c>
      <c r="K2013" s="16"/>
      <c r="L2013" s="16"/>
      <c r="M2013" s="16"/>
      <c r="N2013" s="16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D2013" s="16"/>
      <c r="AH2013" s="16"/>
      <c r="AL2013" s="16"/>
      <c r="AP2013" s="16"/>
      <c r="AT2013" s="16"/>
      <c r="AX2013" s="16"/>
      <c r="BF2013" s="16"/>
      <c r="BJ2013" s="16"/>
      <c r="BN2013" s="16"/>
      <c r="BO2013" s="16">
        <v>20.0</v>
      </c>
      <c r="BP2013" s="16"/>
      <c r="BQ2013" s="16" t="b">
        <v>1</v>
      </c>
      <c r="BR2013" s="16">
        <v>20.0</v>
      </c>
      <c r="BS2013" s="16"/>
      <c r="BT2013" s="16"/>
      <c r="BU2013" s="16" t="s">
        <v>539</v>
      </c>
      <c r="BV2013" s="16"/>
      <c r="BW2013" s="16"/>
      <c r="BX2013" s="16"/>
    </row>
    <row r="2014">
      <c r="A2014" s="16" t="s">
        <v>9809</v>
      </c>
      <c r="B2014" s="16" t="s">
        <v>35</v>
      </c>
      <c r="C2014" s="201">
        <v>46056.0</v>
      </c>
      <c r="D2014" s="16" t="s">
        <v>460</v>
      </c>
      <c r="E2014" s="16"/>
      <c r="F2014" s="16" t="s">
        <v>11844</v>
      </c>
      <c r="G2014" s="16" t="s">
        <v>2012</v>
      </c>
      <c r="H2014" s="16">
        <v>1.0</v>
      </c>
      <c r="I2014" s="16">
        <v>539.8</v>
      </c>
      <c r="J2014" s="16">
        <v>539.8</v>
      </c>
      <c r="K2014" s="16"/>
      <c r="L2014" s="16"/>
      <c r="M2014" s="16"/>
      <c r="N2014" s="16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D2014" s="16"/>
      <c r="AH2014" s="16"/>
      <c r="AL2014" s="16"/>
      <c r="AP2014" s="16"/>
      <c r="AT2014" s="16"/>
      <c r="AX2014" s="16"/>
      <c r="BF2014" s="16"/>
      <c r="BJ2014" s="16"/>
      <c r="BN2014" s="16"/>
      <c r="BO2014" s="16">
        <v>539.8</v>
      </c>
      <c r="BP2014" s="16"/>
      <c r="BQ2014" s="16" t="b">
        <v>1</v>
      </c>
      <c r="BR2014" s="16">
        <v>539.8</v>
      </c>
      <c r="BS2014" s="16"/>
      <c r="BT2014" s="16"/>
      <c r="BU2014" s="16" t="s">
        <v>539</v>
      </c>
      <c r="BV2014" s="16"/>
      <c r="BW2014" s="16"/>
      <c r="BX2014" s="16"/>
    </row>
    <row r="2015">
      <c r="A2015" s="16" t="s">
        <v>9812</v>
      </c>
      <c r="B2015" s="16" t="s">
        <v>35</v>
      </c>
      <c r="C2015" s="201">
        <v>46056.0</v>
      </c>
      <c r="D2015" s="16" t="s">
        <v>460</v>
      </c>
      <c r="E2015" s="16"/>
      <c r="F2015" s="16" t="s">
        <v>11847</v>
      </c>
      <c r="G2015" s="16" t="s">
        <v>6829</v>
      </c>
      <c r="H2015" s="16">
        <v>1.0</v>
      </c>
      <c r="I2015" s="16">
        <v>764.0</v>
      </c>
      <c r="J2015" s="16">
        <v>764.0</v>
      </c>
      <c r="K2015" s="16"/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D2015" s="16"/>
      <c r="AH2015" s="16"/>
      <c r="AL2015" s="16"/>
      <c r="AP2015" s="16"/>
      <c r="AT2015" s="16"/>
      <c r="AX2015" s="16"/>
      <c r="BF2015" s="16"/>
      <c r="BJ2015" s="16"/>
      <c r="BN2015" s="16"/>
      <c r="BO2015" s="16">
        <v>764.0</v>
      </c>
      <c r="BP2015" s="16"/>
      <c r="BQ2015" s="16" t="b">
        <v>1</v>
      </c>
      <c r="BR2015" s="16">
        <v>764.0</v>
      </c>
      <c r="BS2015" s="16"/>
      <c r="BT2015" s="16"/>
      <c r="BU2015" s="16" t="s">
        <v>539</v>
      </c>
      <c r="BV2015" s="16"/>
      <c r="BW2015" s="16"/>
      <c r="BX2015" s="16"/>
    </row>
    <row r="2016">
      <c r="A2016" s="16" t="s">
        <v>9814</v>
      </c>
      <c r="B2016" s="16" t="s">
        <v>35</v>
      </c>
      <c r="C2016" s="201">
        <v>46056.0</v>
      </c>
      <c r="D2016" s="16" t="s">
        <v>460</v>
      </c>
      <c r="E2016" s="16"/>
      <c r="F2016" s="16" t="s">
        <v>11851</v>
      </c>
      <c r="G2016" s="16" t="s">
        <v>6274</v>
      </c>
      <c r="H2016" s="16">
        <v>1.0</v>
      </c>
      <c r="I2016" s="16">
        <v>218.95</v>
      </c>
      <c r="J2016" s="16">
        <v>218.95</v>
      </c>
      <c r="K2016" s="16"/>
      <c r="L2016" s="16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16"/>
      <c r="AD2016" s="16"/>
      <c r="AH2016" s="16"/>
      <c r="AL2016" s="16"/>
      <c r="AP2016" s="16"/>
      <c r="AT2016" s="16"/>
      <c r="AX2016" s="16"/>
      <c r="BF2016" s="16"/>
      <c r="BJ2016" s="16"/>
      <c r="BN2016" s="16"/>
      <c r="BO2016" s="16">
        <v>218.95</v>
      </c>
      <c r="BP2016" s="16"/>
      <c r="BQ2016" s="16" t="b">
        <v>1</v>
      </c>
      <c r="BR2016" s="16">
        <v>218.95</v>
      </c>
      <c r="BS2016" s="16"/>
      <c r="BT2016" s="16"/>
      <c r="BU2016" s="16" t="s">
        <v>539</v>
      </c>
      <c r="BV2016" s="16"/>
      <c r="BW2016" s="16"/>
      <c r="BX2016" s="16"/>
    </row>
    <row r="2017">
      <c r="A2017" s="16" t="s">
        <v>9817</v>
      </c>
      <c r="B2017" s="16" t="s">
        <v>35</v>
      </c>
      <c r="C2017" s="201">
        <v>46056.0</v>
      </c>
      <c r="D2017" s="16" t="s">
        <v>460</v>
      </c>
      <c r="E2017" s="16"/>
      <c r="F2017" s="16" t="s">
        <v>5721</v>
      </c>
      <c r="G2017" s="16" t="s">
        <v>1434</v>
      </c>
      <c r="H2017" s="16">
        <v>1.0</v>
      </c>
      <c r="I2017" s="16">
        <v>204.0</v>
      </c>
      <c r="J2017" s="16">
        <v>204.0</v>
      </c>
      <c r="K2017" s="16"/>
      <c r="L2017" s="16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D2017" s="16"/>
      <c r="AH2017" s="16"/>
      <c r="AL2017" s="16"/>
      <c r="AP2017" s="16"/>
      <c r="AT2017" s="16"/>
      <c r="AX2017" s="16"/>
      <c r="BF2017" s="16"/>
      <c r="BJ2017" s="16"/>
      <c r="BN2017" s="16"/>
      <c r="BO2017" s="16">
        <v>204.0</v>
      </c>
      <c r="BP2017" s="16"/>
      <c r="BQ2017" s="16" t="b">
        <v>1</v>
      </c>
      <c r="BR2017" s="16">
        <v>204.0</v>
      </c>
      <c r="BS2017" s="16"/>
      <c r="BT2017" s="16"/>
      <c r="BU2017" s="16" t="s">
        <v>539</v>
      </c>
      <c r="BV2017" s="16"/>
      <c r="BW2017" s="16"/>
      <c r="BX2017" s="16"/>
    </row>
    <row r="2018">
      <c r="A2018" s="16" t="s">
        <v>9819</v>
      </c>
      <c r="B2018" s="16" t="s">
        <v>35</v>
      </c>
      <c r="C2018" s="201">
        <v>46056.0</v>
      </c>
      <c r="D2018" s="16" t="s">
        <v>460</v>
      </c>
      <c r="E2018" s="16"/>
      <c r="F2018" s="16" t="s">
        <v>5721</v>
      </c>
      <c r="G2018" s="16" t="s">
        <v>1848</v>
      </c>
      <c r="H2018" s="16">
        <v>1.0</v>
      </c>
      <c r="I2018" s="16">
        <v>100.0</v>
      </c>
      <c r="J2018" s="16">
        <v>100.0</v>
      </c>
      <c r="K2018" s="16"/>
      <c r="L2018" s="16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D2018" s="16"/>
      <c r="AH2018" s="16"/>
      <c r="AL2018" s="16"/>
      <c r="AP2018" s="16"/>
      <c r="AT2018" s="16"/>
      <c r="AX2018" s="16"/>
      <c r="BF2018" s="16"/>
      <c r="BJ2018" s="16"/>
      <c r="BN2018" s="16"/>
      <c r="BO2018" s="16">
        <v>100.0</v>
      </c>
      <c r="BP2018" s="16"/>
      <c r="BQ2018" s="16" t="b">
        <v>1</v>
      </c>
      <c r="BR2018" s="16">
        <v>100.0</v>
      </c>
      <c r="BS2018" s="16"/>
      <c r="BT2018" s="16"/>
      <c r="BU2018" s="16" t="s">
        <v>539</v>
      </c>
      <c r="BV2018" s="16"/>
      <c r="BW2018" s="16"/>
      <c r="BX2018" s="16"/>
    </row>
    <row r="2019">
      <c r="A2019" s="16" t="s">
        <v>9821</v>
      </c>
      <c r="B2019" s="16" t="s">
        <v>35</v>
      </c>
      <c r="C2019" s="201">
        <v>46056.0</v>
      </c>
      <c r="D2019" s="16" t="s">
        <v>460</v>
      </c>
      <c r="E2019" s="16"/>
      <c r="F2019" s="16" t="s">
        <v>5721</v>
      </c>
      <c r="G2019" s="16" t="s">
        <v>1280</v>
      </c>
      <c r="H2019" s="16">
        <v>1.0</v>
      </c>
      <c r="I2019" s="16">
        <v>866.98</v>
      </c>
      <c r="J2019" s="16">
        <v>866.98</v>
      </c>
      <c r="K2019" s="16"/>
      <c r="L2019" s="16"/>
      <c r="M2019" s="16"/>
      <c r="N2019" s="16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16"/>
      <c r="AD2019" s="16"/>
      <c r="AH2019" s="16"/>
      <c r="AL2019" s="16"/>
      <c r="AP2019" s="16"/>
      <c r="AT2019" s="16"/>
      <c r="AX2019" s="16"/>
      <c r="BF2019" s="16"/>
      <c r="BJ2019" s="16"/>
      <c r="BN2019" s="16"/>
      <c r="BO2019" s="16">
        <v>866.98</v>
      </c>
      <c r="BP2019" s="16"/>
      <c r="BQ2019" s="16" t="b">
        <v>1</v>
      </c>
      <c r="BR2019" s="16">
        <v>866.98</v>
      </c>
      <c r="BS2019" s="16"/>
      <c r="BT2019" s="16"/>
      <c r="BU2019" s="16" t="s">
        <v>539</v>
      </c>
      <c r="BV2019" s="16"/>
      <c r="BW2019" s="16"/>
      <c r="BX2019" s="16"/>
    </row>
    <row r="2020">
      <c r="A2020" s="16">
        <v>11861.0</v>
      </c>
      <c r="B2020" s="16" t="s">
        <v>35</v>
      </c>
      <c r="C2020" s="201">
        <v>46056.0</v>
      </c>
      <c r="D2020" s="16" t="s">
        <v>1036</v>
      </c>
      <c r="E2020" s="16"/>
      <c r="F2020" s="16" t="s">
        <v>9926</v>
      </c>
      <c r="G2020" s="16" t="s">
        <v>1668</v>
      </c>
      <c r="H2020" s="16">
        <v>1.0</v>
      </c>
      <c r="I2020" s="16">
        <v>124.16</v>
      </c>
      <c r="J2020" s="16">
        <v>124.16</v>
      </c>
      <c r="K2020" s="16"/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D2020" s="16"/>
      <c r="AH2020" s="16"/>
      <c r="AL2020" s="16"/>
      <c r="AP2020" s="16"/>
      <c r="AT2020" s="16"/>
      <c r="AX2020" s="16"/>
      <c r="BF2020" s="16"/>
      <c r="BJ2020" s="16"/>
      <c r="BN2020" s="16"/>
      <c r="BO2020" s="16">
        <v>124.16</v>
      </c>
      <c r="BP2020" s="16"/>
      <c r="BQ2020" s="16" t="b">
        <v>1</v>
      </c>
      <c r="BR2020" s="16">
        <v>124.16</v>
      </c>
      <c r="BS2020" s="16"/>
      <c r="BT2020" s="16"/>
      <c r="BU2020" s="16" t="s">
        <v>539</v>
      </c>
      <c r="BV2020" s="16"/>
      <c r="BW2020" s="16"/>
      <c r="BX2020" s="16"/>
    </row>
    <row r="2021">
      <c r="A2021" s="16">
        <v>11862.0</v>
      </c>
      <c r="B2021" s="16" t="s">
        <v>35</v>
      </c>
      <c r="C2021" s="201">
        <v>46056.0</v>
      </c>
      <c r="D2021" s="16" t="s">
        <v>9929</v>
      </c>
      <c r="E2021" s="16"/>
      <c r="F2021" s="16" t="s">
        <v>9930</v>
      </c>
      <c r="G2021" s="16" t="s">
        <v>3218</v>
      </c>
      <c r="H2021" s="16">
        <v>1.0</v>
      </c>
      <c r="I2021" s="16">
        <v>9200.0</v>
      </c>
      <c r="J2021" s="16">
        <v>9200.0</v>
      </c>
      <c r="K2021" s="16"/>
      <c r="L2021" s="16"/>
      <c r="M2021" s="16"/>
      <c r="N2021" s="16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D2021" s="16"/>
      <c r="AH2021" s="16"/>
      <c r="AL2021" s="16"/>
      <c r="AP2021" s="16"/>
      <c r="AT2021" s="16"/>
      <c r="AX2021" s="16"/>
      <c r="BF2021" s="16"/>
      <c r="BJ2021" s="16"/>
      <c r="BN2021" s="16"/>
      <c r="BO2021" s="16">
        <v>9200.0</v>
      </c>
      <c r="BP2021" s="16"/>
      <c r="BQ2021" s="16" t="b">
        <v>1</v>
      </c>
      <c r="BR2021" s="16">
        <v>9200.0</v>
      </c>
      <c r="BS2021" s="16"/>
      <c r="BT2021" s="16"/>
      <c r="BU2021" s="16" t="s">
        <v>539</v>
      </c>
      <c r="BV2021" s="16"/>
      <c r="BW2021" s="16"/>
      <c r="BX2021" s="16"/>
    </row>
    <row r="2022">
      <c r="A2022" s="16">
        <v>11863.0</v>
      </c>
      <c r="B2022" s="16" t="s">
        <v>35</v>
      </c>
      <c r="C2022" s="201">
        <v>46056.0</v>
      </c>
      <c r="D2022" s="16" t="s">
        <v>3516</v>
      </c>
      <c r="E2022" s="16"/>
      <c r="F2022" s="16" t="s">
        <v>9933</v>
      </c>
      <c r="G2022" s="16" t="s">
        <v>8501</v>
      </c>
      <c r="H2022" s="16">
        <v>1.0</v>
      </c>
      <c r="I2022" s="16">
        <v>533.95</v>
      </c>
      <c r="J2022" s="16">
        <v>533.95</v>
      </c>
      <c r="K2022" s="16"/>
      <c r="L2022" s="16"/>
      <c r="M2022" s="16"/>
      <c r="N2022" s="16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D2022" s="16"/>
      <c r="AH2022" s="16"/>
      <c r="AL2022" s="16"/>
      <c r="AP2022" s="16"/>
      <c r="AT2022" s="16"/>
      <c r="AX2022" s="16"/>
      <c r="BF2022" s="16"/>
      <c r="BJ2022" s="16"/>
      <c r="BN2022" s="16"/>
      <c r="BO2022" s="16">
        <v>533.95</v>
      </c>
      <c r="BP2022" s="16"/>
      <c r="BQ2022" s="16" t="b">
        <v>1</v>
      </c>
      <c r="BR2022" s="16">
        <v>533.95</v>
      </c>
      <c r="BS2022" s="16"/>
      <c r="BT2022" s="16"/>
      <c r="BU2022" s="16" t="s">
        <v>539</v>
      </c>
      <c r="BV2022" s="16"/>
      <c r="BW2022" s="16"/>
      <c r="BX2022" s="16"/>
    </row>
    <row r="2023">
      <c r="A2023" s="16">
        <v>11864.0</v>
      </c>
      <c r="B2023" s="16" t="s">
        <v>35</v>
      </c>
      <c r="C2023" s="201">
        <v>46056.0</v>
      </c>
      <c r="D2023" s="16" t="s">
        <v>2439</v>
      </c>
      <c r="E2023" s="16"/>
      <c r="F2023" s="16" t="s">
        <v>5136</v>
      </c>
      <c r="G2023" s="16" t="s">
        <v>873</v>
      </c>
      <c r="H2023" s="16">
        <v>1.0</v>
      </c>
      <c r="I2023" s="16">
        <v>0.0</v>
      </c>
      <c r="J2023" s="16">
        <v>0.0</v>
      </c>
      <c r="K2023" s="16"/>
      <c r="L2023" s="16"/>
      <c r="M2023" s="16"/>
      <c r="N2023" s="16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D2023" s="16"/>
      <c r="AH2023" s="16"/>
      <c r="AL2023" s="16"/>
      <c r="AP2023" s="16"/>
      <c r="AT2023" s="16"/>
      <c r="AX2023" s="16"/>
      <c r="BF2023" s="16"/>
      <c r="BJ2023" s="16"/>
      <c r="BN2023" s="16"/>
      <c r="BO2023" s="16">
        <v>0.0</v>
      </c>
      <c r="BP2023" s="16"/>
      <c r="BQ2023" s="16" t="b">
        <v>1</v>
      </c>
      <c r="BR2023" s="16">
        <v>0.0</v>
      </c>
      <c r="BS2023" s="16"/>
      <c r="BT2023" s="16"/>
      <c r="BU2023" s="16" t="s">
        <v>539</v>
      </c>
      <c r="BV2023" s="16"/>
      <c r="BW2023" s="16"/>
      <c r="BX2023" s="16"/>
    </row>
    <row r="2024">
      <c r="A2024" s="16" t="s">
        <v>9830</v>
      </c>
      <c r="B2024" s="16" t="s">
        <v>35</v>
      </c>
      <c r="C2024" s="201">
        <v>46056.0</v>
      </c>
      <c r="D2024" s="16" t="s">
        <v>890</v>
      </c>
      <c r="E2024" s="16"/>
      <c r="F2024" s="16" t="s">
        <v>11863</v>
      </c>
      <c r="G2024" s="16" t="s">
        <v>7136</v>
      </c>
      <c r="H2024" s="16">
        <v>1.0</v>
      </c>
      <c r="I2024" s="16">
        <v>16.6</v>
      </c>
      <c r="J2024" s="16">
        <v>16.6</v>
      </c>
      <c r="K2024" s="16"/>
      <c r="L2024" s="16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16"/>
      <c r="AD2024" s="16"/>
      <c r="AH2024" s="16"/>
      <c r="AL2024" s="16"/>
      <c r="AP2024" s="16"/>
      <c r="AT2024" s="16"/>
      <c r="AX2024" s="16"/>
      <c r="BF2024" s="16"/>
      <c r="BJ2024" s="16"/>
      <c r="BN2024" s="16"/>
      <c r="BO2024" s="16">
        <v>16.6</v>
      </c>
      <c r="BP2024" s="16"/>
      <c r="BQ2024" s="16" t="b">
        <v>1</v>
      </c>
      <c r="BR2024" s="16">
        <v>16.6</v>
      </c>
      <c r="BS2024" s="16"/>
      <c r="BT2024" s="16"/>
      <c r="BU2024" s="16" t="s">
        <v>539</v>
      </c>
      <c r="BV2024" s="16"/>
      <c r="BW2024" s="16"/>
      <c r="BX2024" s="16"/>
    </row>
    <row r="2025">
      <c r="A2025" s="16" t="s">
        <v>9832</v>
      </c>
      <c r="B2025" s="16" t="s">
        <v>35</v>
      </c>
      <c r="C2025" s="201">
        <v>46056.0</v>
      </c>
      <c r="D2025" s="16" t="s">
        <v>11345</v>
      </c>
      <c r="E2025" s="16"/>
      <c r="F2025" s="16" t="s">
        <v>11866</v>
      </c>
      <c r="G2025" s="16" t="s">
        <v>9833</v>
      </c>
      <c r="H2025" s="16">
        <v>1.0</v>
      </c>
      <c r="I2025" s="16">
        <v>50.0</v>
      </c>
      <c r="J2025" s="16">
        <v>50.0</v>
      </c>
      <c r="K2025" s="16"/>
      <c r="L2025" s="16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D2025" s="16"/>
      <c r="AH2025" s="16"/>
      <c r="AL2025" s="16"/>
      <c r="AP2025" s="16"/>
      <c r="AT2025" s="16"/>
      <c r="AX2025" s="16"/>
      <c r="BF2025" s="16"/>
      <c r="BJ2025" s="16"/>
      <c r="BN2025" s="16"/>
      <c r="BO2025" s="16">
        <v>50.0</v>
      </c>
      <c r="BP2025" s="16"/>
      <c r="BQ2025" s="16" t="b">
        <v>1</v>
      </c>
      <c r="BR2025" s="16">
        <v>50.0</v>
      </c>
      <c r="BS2025" s="16"/>
      <c r="BT2025" s="16"/>
      <c r="BU2025" s="16" t="s">
        <v>539</v>
      </c>
      <c r="BV2025" s="16"/>
      <c r="BW2025" s="16"/>
      <c r="BX2025" s="16"/>
    </row>
    <row r="2026">
      <c r="A2026" s="16" t="s">
        <v>10270</v>
      </c>
      <c r="B2026" s="16" t="s">
        <v>35</v>
      </c>
      <c r="C2026" s="201">
        <v>46050.0</v>
      </c>
      <c r="D2026" s="16" t="s">
        <v>11209</v>
      </c>
      <c r="E2026" s="16" t="s">
        <v>11868</v>
      </c>
      <c r="F2026" s="16" t="s">
        <v>11492</v>
      </c>
      <c r="G2026" s="16"/>
      <c r="H2026" s="16"/>
      <c r="I2026" s="16"/>
      <c r="J2026" s="16"/>
      <c r="K2026" s="16"/>
      <c r="L2026" s="16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D2026" s="16"/>
      <c r="AH2026" s="16"/>
      <c r="AL2026" s="16"/>
      <c r="AP2026" s="16"/>
      <c r="AT2026" s="16"/>
      <c r="AX2026" s="16"/>
      <c r="BF2026" s="16"/>
      <c r="BJ2026" s="16"/>
      <c r="BN2026" s="16"/>
      <c r="BO2026" s="16"/>
      <c r="BP2026" s="16" t="s">
        <v>11869</v>
      </c>
      <c r="BQ2026" s="16" t="b">
        <v>0</v>
      </c>
      <c r="BR2026" s="16"/>
      <c r="BS2026" s="16"/>
      <c r="BT2026" s="16" t="b">
        <v>0</v>
      </c>
      <c r="BU2026" s="16" t="s">
        <v>13953</v>
      </c>
      <c r="BV2026" s="16"/>
      <c r="BW2026" s="16"/>
      <c r="BX2026" s="16"/>
    </row>
    <row r="2027">
      <c r="A2027" s="16" t="s">
        <v>10384</v>
      </c>
      <c r="B2027" s="16" t="s">
        <v>35</v>
      </c>
      <c r="C2027" s="201">
        <v>46058.0</v>
      </c>
      <c r="D2027" s="16" t="s">
        <v>11784</v>
      </c>
      <c r="E2027" s="16" t="s">
        <v>11872</v>
      </c>
      <c r="F2027" s="16" t="s">
        <v>147</v>
      </c>
      <c r="G2027" s="16"/>
      <c r="H2027" s="16"/>
      <c r="I2027" s="16"/>
      <c r="J2027" s="16"/>
      <c r="K2027" s="16"/>
      <c r="L2027" s="16"/>
      <c r="M2027" s="16"/>
      <c r="N2027" s="16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16"/>
      <c r="AD2027" s="16"/>
      <c r="AH2027" s="16"/>
      <c r="AL2027" s="16"/>
      <c r="AP2027" s="16"/>
      <c r="AT2027" s="16"/>
      <c r="AX2027" s="16"/>
      <c r="BF2027" s="16"/>
      <c r="BJ2027" s="16"/>
      <c r="BN2027" s="16"/>
      <c r="BO2027" s="16"/>
      <c r="BP2027" s="16" t="s">
        <v>11873</v>
      </c>
      <c r="BQ2027" s="16" t="b">
        <v>0</v>
      </c>
      <c r="BR2027" s="16"/>
      <c r="BS2027" s="21" t="s">
        <v>13987</v>
      </c>
      <c r="BT2027" s="16" t="b">
        <v>1</v>
      </c>
      <c r="BU2027" s="16" t="s">
        <v>13953</v>
      </c>
      <c r="BV2027" s="16"/>
      <c r="BW2027" s="16"/>
      <c r="BX2027" s="16"/>
    </row>
    <row r="2028">
      <c r="A2028" s="16" t="s">
        <v>10258</v>
      </c>
      <c r="B2028" s="16" t="s">
        <v>35</v>
      </c>
      <c r="C2028" s="201">
        <v>46043.0</v>
      </c>
      <c r="D2028" s="16" t="s">
        <v>890</v>
      </c>
      <c r="E2028" s="16" t="s">
        <v>11877</v>
      </c>
      <c r="F2028" s="16" t="s">
        <v>11879</v>
      </c>
      <c r="G2028" s="16"/>
      <c r="H2028" s="16"/>
      <c r="I2028" s="16"/>
      <c r="J2028" s="16"/>
      <c r="K2028" s="16"/>
      <c r="L2028" s="16"/>
      <c r="M2028" s="16"/>
      <c r="N2028" s="16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16"/>
      <c r="AD2028" s="16"/>
      <c r="AH2028" s="16"/>
      <c r="AL2028" s="16"/>
      <c r="AP2028" s="16"/>
      <c r="AT2028" s="16"/>
      <c r="AX2028" s="16"/>
      <c r="BF2028" s="16"/>
      <c r="BJ2028" s="16"/>
      <c r="BN2028" s="16"/>
      <c r="BO2028" s="16"/>
      <c r="BP2028" s="16" t="s">
        <v>11878</v>
      </c>
      <c r="BQ2028" s="16" t="b">
        <v>0</v>
      </c>
      <c r="BR2028" s="16"/>
      <c r="BS2028" s="16"/>
      <c r="BT2028" s="16" t="b">
        <v>0</v>
      </c>
      <c r="BU2028" s="16" t="s">
        <v>13953</v>
      </c>
      <c r="BV2028" s="16"/>
      <c r="BW2028" s="16"/>
      <c r="BX2028" s="16"/>
    </row>
    <row r="2029">
      <c r="A2029" s="16" t="s">
        <v>10352</v>
      </c>
      <c r="B2029" s="16" t="s">
        <v>35</v>
      </c>
      <c r="C2029" s="201">
        <v>46055.0</v>
      </c>
      <c r="D2029" s="16" t="s">
        <v>890</v>
      </c>
      <c r="E2029" s="16" t="s">
        <v>11882</v>
      </c>
      <c r="F2029" s="16" t="s">
        <v>11884</v>
      </c>
      <c r="G2029" s="16"/>
      <c r="H2029" s="16"/>
      <c r="I2029" s="16"/>
      <c r="J2029" s="16"/>
      <c r="K2029" s="16"/>
      <c r="L2029" s="16"/>
      <c r="M2029" s="16"/>
      <c r="N2029" s="16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D2029" s="16"/>
      <c r="AH2029" s="16"/>
      <c r="AL2029" s="16"/>
      <c r="AP2029" s="16"/>
      <c r="AT2029" s="16"/>
      <c r="AX2029" s="16"/>
      <c r="BF2029" s="16"/>
      <c r="BJ2029" s="16"/>
      <c r="BN2029" s="16"/>
      <c r="BO2029" s="16"/>
      <c r="BP2029" s="16" t="s">
        <v>11883</v>
      </c>
      <c r="BQ2029" s="16" t="b">
        <v>0</v>
      </c>
      <c r="BR2029" s="16"/>
      <c r="BS2029" s="16"/>
      <c r="BT2029" s="16" t="b">
        <v>0</v>
      </c>
      <c r="BU2029" s="16" t="s">
        <v>13953</v>
      </c>
      <c r="BV2029" s="16"/>
      <c r="BW2029" s="16" t="s">
        <v>11887</v>
      </c>
      <c r="BX2029" s="16"/>
    </row>
    <row r="2030">
      <c r="A2030" s="16" t="s">
        <v>10435</v>
      </c>
      <c r="B2030" s="16" t="s">
        <v>35</v>
      </c>
      <c r="C2030" s="201">
        <v>46060.0</v>
      </c>
      <c r="D2030" s="16" t="s">
        <v>112</v>
      </c>
      <c r="E2030" s="16" t="s">
        <v>11889</v>
      </c>
      <c r="F2030" s="16" t="s">
        <v>157</v>
      </c>
      <c r="G2030" s="16"/>
      <c r="H2030" s="16"/>
      <c r="I2030" s="16"/>
      <c r="J2030" s="16"/>
      <c r="K2030" s="16"/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D2030" s="16"/>
      <c r="AH2030" s="16"/>
      <c r="AL2030" s="16"/>
      <c r="AP2030" s="16"/>
      <c r="AT2030" s="16"/>
      <c r="AX2030" s="16"/>
      <c r="BF2030" s="16"/>
      <c r="BJ2030" s="16"/>
      <c r="BN2030" s="16"/>
      <c r="BO2030" s="16"/>
      <c r="BP2030" s="16" t="s">
        <v>11890</v>
      </c>
      <c r="BQ2030" s="16" t="b">
        <v>0</v>
      </c>
      <c r="BR2030" s="16"/>
      <c r="BS2030" s="16"/>
      <c r="BT2030" s="16" t="b">
        <v>0</v>
      </c>
      <c r="BU2030" s="16" t="s">
        <v>13953</v>
      </c>
      <c r="BV2030" s="16"/>
      <c r="BW2030" s="16"/>
      <c r="BX2030" s="16"/>
    </row>
    <row r="2031">
      <c r="A2031" s="16" t="s">
        <v>10406</v>
      </c>
      <c r="B2031" s="16" t="s">
        <v>35</v>
      </c>
      <c r="C2031" s="201">
        <v>46059.0</v>
      </c>
      <c r="D2031" s="16" t="s">
        <v>112</v>
      </c>
      <c r="E2031" s="16" t="s">
        <v>11892</v>
      </c>
      <c r="F2031" s="16" t="s">
        <v>157</v>
      </c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D2031" s="16"/>
      <c r="AH2031" s="16"/>
      <c r="AL2031" s="16"/>
      <c r="AP2031" s="16"/>
      <c r="AT2031" s="16"/>
      <c r="AX2031" s="16"/>
      <c r="BF2031" s="16"/>
      <c r="BJ2031" s="16"/>
      <c r="BN2031" s="16"/>
      <c r="BO2031" s="16"/>
      <c r="BP2031" s="16" t="s">
        <v>11893</v>
      </c>
      <c r="BQ2031" s="16" t="b">
        <v>0</v>
      </c>
      <c r="BR2031" s="16"/>
      <c r="BS2031" s="16"/>
      <c r="BT2031" s="16" t="b">
        <v>0</v>
      </c>
      <c r="BU2031" s="16" t="s">
        <v>13953</v>
      </c>
      <c r="BV2031" s="16"/>
      <c r="BW2031" s="16"/>
      <c r="BX2031" s="16"/>
    </row>
    <row r="2032">
      <c r="A2032" s="16" t="s">
        <v>10444</v>
      </c>
      <c r="B2032" s="16" t="s">
        <v>35</v>
      </c>
      <c r="C2032" s="201">
        <v>46062.0</v>
      </c>
      <c r="D2032" s="16" t="s">
        <v>11779</v>
      </c>
      <c r="E2032" s="16" t="s">
        <v>11895</v>
      </c>
      <c r="F2032" s="16" t="s">
        <v>11898</v>
      </c>
      <c r="G2032" s="16"/>
      <c r="H2032" s="16"/>
      <c r="I2032" s="16"/>
      <c r="J2032" s="16"/>
      <c r="K2032" s="16"/>
      <c r="L2032" s="16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16"/>
      <c r="AD2032" s="16"/>
      <c r="AH2032" s="16"/>
      <c r="AL2032" s="16"/>
      <c r="AP2032" s="16"/>
      <c r="AT2032" s="16"/>
      <c r="AX2032" s="16"/>
      <c r="BF2032" s="16"/>
      <c r="BJ2032" s="16"/>
      <c r="BN2032" s="16"/>
      <c r="BO2032" s="16"/>
      <c r="BP2032" s="16" t="s">
        <v>11896</v>
      </c>
      <c r="BQ2032" s="16" t="b">
        <v>0</v>
      </c>
      <c r="BR2032" s="16"/>
      <c r="BS2032" s="21" t="s">
        <v>13990</v>
      </c>
      <c r="BT2032" s="16" t="b">
        <v>1</v>
      </c>
      <c r="BU2032" s="16" t="s">
        <v>13953</v>
      </c>
      <c r="BV2032" s="16"/>
      <c r="BW2032" s="16"/>
      <c r="BX2032" s="16"/>
    </row>
    <row r="2033">
      <c r="A2033" s="16" t="s">
        <v>10391</v>
      </c>
      <c r="B2033" s="16" t="s">
        <v>35</v>
      </c>
      <c r="C2033" s="201">
        <v>46058.0</v>
      </c>
      <c r="D2033" s="16" t="s">
        <v>890</v>
      </c>
      <c r="E2033" s="16" t="s">
        <v>11901</v>
      </c>
      <c r="F2033" s="16" t="s">
        <v>11903</v>
      </c>
      <c r="G2033" s="16"/>
      <c r="H2033" s="16"/>
      <c r="I2033" s="16"/>
      <c r="J2033" s="16"/>
      <c r="K2033" s="16"/>
      <c r="L2033" s="16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D2033" s="16"/>
      <c r="AH2033" s="16"/>
      <c r="AL2033" s="16"/>
      <c r="AP2033" s="16"/>
      <c r="AT2033" s="16"/>
      <c r="AX2033" s="16"/>
      <c r="BF2033" s="16"/>
      <c r="BJ2033" s="16"/>
      <c r="BN2033" s="16"/>
      <c r="BO2033" s="16"/>
      <c r="BP2033" s="16" t="s">
        <v>11902</v>
      </c>
      <c r="BQ2033" s="16" t="b">
        <v>0</v>
      </c>
      <c r="BR2033" s="16"/>
      <c r="BS2033" s="16"/>
      <c r="BT2033" s="16" t="b">
        <v>0</v>
      </c>
      <c r="BU2033" s="16" t="s">
        <v>13953</v>
      </c>
      <c r="BV2033" s="16"/>
      <c r="BW2033" s="16" t="s">
        <v>11904</v>
      </c>
      <c r="BX2033" s="16"/>
    </row>
    <row r="2034">
      <c r="A2034" s="16" t="s">
        <v>10427</v>
      </c>
      <c r="B2034" s="16" t="s">
        <v>35</v>
      </c>
      <c r="C2034" s="201">
        <v>46061.0</v>
      </c>
      <c r="D2034" s="16" t="s">
        <v>11449</v>
      </c>
      <c r="E2034" s="16" t="s">
        <v>11908</v>
      </c>
      <c r="F2034" s="16" t="s">
        <v>11361</v>
      </c>
      <c r="G2034" s="16"/>
      <c r="H2034" s="16"/>
      <c r="I2034" s="16"/>
      <c r="J2034" s="16"/>
      <c r="K2034" s="16"/>
      <c r="L2034" s="16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D2034" s="16"/>
      <c r="AH2034" s="16"/>
      <c r="AL2034" s="16"/>
      <c r="AP2034" s="16"/>
      <c r="AT2034" s="16"/>
      <c r="AX2034" s="16"/>
      <c r="BF2034" s="16"/>
      <c r="BJ2034" s="16"/>
      <c r="BN2034" s="16"/>
      <c r="BO2034" s="16"/>
      <c r="BP2034" s="16" t="s">
        <v>11909</v>
      </c>
      <c r="BQ2034" s="16" t="b">
        <v>0</v>
      </c>
      <c r="BR2034" s="16"/>
      <c r="BS2034" s="21" t="s">
        <v>13991</v>
      </c>
      <c r="BT2034" s="16" t="b">
        <v>1</v>
      </c>
      <c r="BU2034" s="16" t="s">
        <v>13953</v>
      </c>
      <c r="BV2034" s="16"/>
      <c r="BW2034" s="16"/>
      <c r="BX2034" s="16"/>
    </row>
    <row r="2035">
      <c r="A2035" s="16" t="s">
        <v>10396</v>
      </c>
      <c r="B2035" s="16" t="s">
        <v>35</v>
      </c>
      <c r="C2035" s="201">
        <v>46058.0</v>
      </c>
      <c r="D2035" s="16" t="s">
        <v>11913</v>
      </c>
      <c r="E2035" s="16" t="s">
        <v>11915</v>
      </c>
      <c r="F2035" s="16" t="s">
        <v>11917</v>
      </c>
      <c r="G2035" s="16"/>
      <c r="H2035" s="16"/>
      <c r="I2035" s="16"/>
      <c r="J2035" s="16"/>
      <c r="K2035" s="16"/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D2035" s="16"/>
      <c r="AH2035" s="16"/>
      <c r="AL2035" s="16"/>
      <c r="AP2035" s="16"/>
      <c r="AT2035" s="16"/>
      <c r="AX2035" s="16"/>
      <c r="BF2035" s="16"/>
      <c r="BJ2035" s="16"/>
      <c r="BN2035" s="16"/>
      <c r="BO2035" s="16"/>
      <c r="BP2035" s="16" t="s">
        <v>11916</v>
      </c>
      <c r="BQ2035" s="16" t="b">
        <v>0</v>
      </c>
      <c r="BR2035" s="16"/>
      <c r="BS2035" s="21" t="s">
        <v>13993</v>
      </c>
      <c r="BT2035" s="16" t="b">
        <v>1</v>
      </c>
      <c r="BU2035" s="16" t="s">
        <v>13953</v>
      </c>
      <c r="BV2035" s="16"/>
      <c r="BW2035" s="16"/>
      <c r="BX2035" s="16"/>
    </row>
    <row r="2036">
      <c r="A2036" s="16" t="s">
        <v>10415</v>
      </c>
      <c r="B2036" s="16" t="s">
        <v>35</v>
      </c>
      <c r="C2036" s="201">
        <v>46059.0</v>
      </c>
      <c r="D2036" s="16" t="s">
        <v>307</v>
      </c>
      <c r="E2036" s="16" t="s">
        <v>11919</v>
      </c>
      <c r="F2036" s="16" t="s">
        <v>456</v>
      </c>
      <c r="G2036" s="16"/>
      <c r="H2036" s="16"/>
      <c r="I2036" s="16"/>
      <c r="J2036" s="16"/>
      <c r="K2036" s="16"/>
      <c r="L2036" s="16"/>
      <c r="M2036" s="16"/>
      <c r="N2036" s="16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16"/>
      <c r="AD2036" s="16"/>
      <c r="AH2036" s="16"/>
      <c r="AL2036" s="16"/>
      <c r="AP2036" s="16"/>
      <c r="AT2036" s="16"/>
      <c r="AX2036" s="16"/>
      <c r="BF2036" s="16"/>
      <c r="BJ2036" s="16"/>
      <c r="BN2036" s="16"/>
      <c r="BO2036" s="16"/>
      <c r="BP2036" s="16" t="s">
        <v>11920</v>
      </c>
      <c r="BQ2036" s="16" t="b">
        <v>0</v>
      </c>
      <c r="BR2036" s="16"/>
      <c r="BS2036" s="21" t="s">
        <v>13994</v>
      </c>
      <c r="BT2036" s="16" t="b">
        <v>1</v>
      </c>
      <c r="BU2036" s="16" t="s">
        <v>13953</v>
      </c>
      <c r="BV2036" s="16"/>
      <c r="BW2036" s="16"/>
      <c r="BX2036" s="16"/>
    </row>
    <row r="2037">
      <c r="A2037" s="16" t="s">
        <v>10418</v>
      </c>
      <c r="B2037" s="16" t="s">
        <v>35</v>
      </c>
      <c r="C2037" s="201">
        <v>46059.0</v>
      </c>
      <c r="D2037" s="16" t="s">
        <v>307</v>
      </c>
      <c r="E2037" s="16" t="s">
        <v>11921</v>
      </c>
      <c r="F2037" s="16" t="s">
        <v>11924</v>
      </c>
      <c r="G2037" s="16"/>
      <c r="H2037" s="16"/>
      <c r="I2037" s="16"/>
      <c r="J2037" s="16"/>
      <c r="K2037" s="16"/>
      <c r="L2037" s="16"/>
      <c r="M2037" s="16"/>
      <c r="N2037" s="16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D2037" s="16"/>
      <c r="AH2037" s="16"/>
      <c r="AL2037" s="16"/>
      <c r="AP2037" s="16"/>
      <c r="AT2037" s="16"/>
      <c r="AX2037" s="16"/>
      <c r="BF2037" s="16"/>
      <c r="BJ2037" s="16"/>
      <c r="BN2037" s="16"/>
      <c r="BO2037" s="16"/>
      <c r="BP2037" s="16" t="s">
        <v>11922</v>
      </c>
      <c r="BQ2037" s="16" t="b">
        <v>0</v>
      </c>
      <c r="BR2037" s="16"/>
      <c r="BS2037" s="21" t="s">
        <v>13995</v>
      </c>
      <c r="BT2037" s="16" t="b">
        <v>1</v>
      </c>
      <c r="BU2037" s="16" t="s">
        <v>13953</v>
      </c>
      <c r="BV2037" s="16"/>
      <c r="BW2037" s="16"/>
      <c r="BX2037" s="16"/>
    </row>
    <row r="2038">
      <c r="A2038" s="16" t="s">
        <v>10422</v>
      </c>
      <c r="B2038" s="16" t="s">
        <v>35</v>
      </c>
      <c r="C2038" s="201">
        <v>46059.0</v>
      </c>
      <c r="D2038" s="16" t="s">
        <v>11926</v>
      </c>
      <c r="E2038" s="16" t="s">
        <v>11927</v>
      </c>
      <c r="F2038" s="16" t="s">
        <v>140</v>
      </c>
      <c r="G2038" s="16"/>
      <c r="H2038" s="16"/>
      <c r="I2038" s="16"/>
      <c r="J2038" s="16"/>
      <c r="K2038" s="16"/>
      <c r="L2038" s="16"/>
      <c r="M2038" s="16"/>
      <c r="N2038" s="16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D2038" s="16"/>
      <c r="AH2038" s="16"/>
      <c r="AL2038" s="16"/>
      <c r="AP2038" s="16"/>
      <c r="AT2038" s="16"/>
      <c r="AX2038" s="16"/>
      <c r="BF2038" s="16"/>
      <c r="BJ2038" s="16"/>
      <c r="BN2038" s="16"/>
      <c r="BO2038" s="16"/>
      <c r="BP2038" s="16" t="s">
        <v>11928</v>
      </c>
      <c r="BQ2038" s="16" t="b">
        <v>0</v>
      </c>
      <c r="BR2038" s="16"/>
      <c r="BS2038" s="16"/>
      <c r="BT2038" s="16" t="b">
        <v>0</v>
      </c>
      <c r="BU2038" s="16" t="s">
        <v>13953</v>
      </c>
      <c r="BV2038" s="16"/>
      <c r="BW2038" s="16"/>
      <c r="BX2038" s="16"/>
    </row>
    <row r="2039">
      <c r="A2039" s="16" t="s">
        <v>10431</v>
      </c>
      <c r="B2039" s="16" t="s">
        <v>35</v>
      </c>
      <c r="C2039" s="201">
        <v>46061.0</v>
      </c>
      <c r="D2039" s="16" t="s">
        <v>11926</v>
      </c>
      <c r="E2039" s="16" t="s">
        <v>11930</v>
      </c>
      <c r="F2039" s="16" t="s">
        <v>140</v>
      </c>
      <c r="G2039" s="16"/>
      <c r="H2039" s="16"/>
      <c r="I2039" s="16"/>
      <c r="J2039" s="16"/>
      <c r="K2039" s="16"/>
      <c r="L2039" s="16"/>
      <c r="M2039" s="16"/>
      <c r="N2039" s="16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D2039" s="16"/>
      <c r="AH2039" s="16"/>
      <c r="AL2039" s="16"/>
      <c r="AP2039" s="16"/>
      <c r="AT2039" s="16"/>
      <c r="AX2039" s="16"/>
      <c r="BF2039" s="16"/>
      <c r="BJ2039" s="16"/>
      <c r="BN2039" s="16"/>
      <c r="BO2039" s="16"/>
      <c r="BP2039" s="16" t="s">
        <v>11932</v>
      </c>
      <c r="BQ2039" s="16" t="b">
        <v>0</v>
      </c>
      <c r="BR2039" s="16"/>
      <c r="BS2039" s="16"/>
      <c r="BT2039" s="16" t="b">
        <v>0</v>
      </c>
      <c r="BU2039" s="16" t="s">
        <v>13953</v>
      </c>
      <c r="BV2039" s="16"/>
      <c r="BW2039" s="16"/>
      <c r="BX2039" s="16"/>
    </row>
    <row r="2040">
      <c r="A2040" s="16" t="s">
        <v>10474</v>
      </c>
      <c r="B2040" s="16" t="s">
        <v>35</v>
      </c>
      <c r="C2040" s="201">
        <v>46063.0</v>
      </c>
      <c r="D2040" s="16" t="s">
        <v>11935</v>
      </c>
      <c r="E2040" s="16" t="s">
        <v>11936</v>
      </c>
      <c r="F2040" s="16" t="s">
        <v>11938</v>
      </c>
      <c r="G2040" s="16"/>
      <c r="H2040" s="16"/>
      <c r="I2040" s="16"/>
      <c r="J2040" s="16"/>
      <c r="K2040" s="16"/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D2040" s="16"/>
      <c r="AH2040" s="16"/>
      <c r="AL2040" s="16"/>
      <c r="AP2040" s="16"/>
      <c r="AT2040" s="16"/>
      <c r="AX2040" s="16"/>
      <c r="BF2040" s="16"/>
      <c r="BJ2040" s="16"/>
      <c r="BN2040" s="16"/>
      <c r="BO2040" s="16"/>
      <c r="BP2040" s="16" t="s">
        <v>11937</v>
      </c>
      <c r="BQ2040" s="16" t="b">
        <v>0</v>
      </c>
      <c r="BR2040" s="16"/>
      <c r="BS2040" s="16"/>
      <c r="BT2040" s="16" t="b">
        <v>0</v>
      </c>
      <c r="BU2040" s="16" t="s">
        <v>13953</v>
      </c>
      <c r="BV2040" s="16"/>
      <c r="BW2040" s="16"/>
      <c r="BX2040" s="16"/>
    </row>
    <row r="2041">
      <c r="A2041" s="16" t="s">
        <v>10478</v>
      </c>
      <c r="B2041" s="16" t="s">
        <v>35</v>
      </c>
      <c r="C2041" s="201">
        <v>46063.0</v>
      </c>
      <c r="D2041" s="16" t="s">
        <v>8787</v>
      </c>
      <c r="E2041" s="16" t="s">
        <v>11940</v>
      </c>
      <c r="F2041" s="16" t="s">
        <v>1324</v>
      </c>
      <c r="G2041" s="16"/>
      <c r="H2041" s="16"/>
      <c r="I2041" s="16"/>
      <c r="J2041" s="16"/>
      <c r="K2041" s="16"/>
      <c r="L2041" s="16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D2041" s="16"/>
      <c r="AH2041" s="16"/>
      <c r="AL2041" s="16"/>
      <c r="AP2041" s="16"/>
      <c r="AT2041" s="16"/>
      <c r="AX2041" s="16"/>
      <c r="BF2041" s="16"/>
      <c r="BJ2041" s="16"/>
      <c r="BN2041" s="16"/>
      <c r="BO2041" s="16"/>
      <c r="BP2041" s="16" t="s">
        <v>11942</v>
      </c>
      <c r="BQ2041" s="16" t="b">
        <v>0</v>
      </c>
      <c r="BR2041" s="16"/>
      <c r="BS2041" s="21" t="s">
        <v>13999</v>
      </c>
      <c r="BT2041" s="16" t="b">
        <v>1</v>
      </c>
      <c r="BU2041" s="16" t="s">
        <v>13953</v>
      </c>
      <c r="BV2041" s="16"/>
      <c r="BW2041" s="16"/>
      <c r="BX2041" s="16"/>
    </row>
    <row r="2042">
      <c r="A2042" s="16" t="s">
        <v>10456</v>
      </c>
      <c r="B2042" s="16" t="s">
        <v>35</v>
      </c>
      <c r="C2042" s="201">
        <v>46062.0</v>
      </c>
      <c r="D2042" s="16" t="s">
        <v>11765</v>
      </c>
      <c r="E2042" s="16" t="s">
        <v>11944</v>
      </c>
      <c r="F2042" s="16" t="s">
        <v>195</v>
      </c>
      <c r="G2042" s="16"/>
      <c r="H2042" s="16"/>
      <c r="I2042" s="16"/>
      <c r="J2042" s="16"/>
      <c r="K2042" s="16"/>
      <c r="L2042" s="16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D2042" s="16"/>
      <c r="AH2042" s="16"/>
      <c r="AL2042" s="16"/>
      <c r="AP2042" s="16"/>
      <c r="AT2042" s="16"/>
      <c r="AX2042" s="16"/>
      <c r="BF2042" s="16"/>
      <c r="BJ2042" s="16"/>
      <c r="BN2042" s="16"/>
      <c r="BO2042" s="16"/>
      <c r="BP2042" s="16" t="s">
        <v>11945</v>
      </c>
      <c r="BQ2042" s="16" t="b">
        <v>0</v>
      </c>
      <c r="BR2042" s="16"/>
      <c r="BS2042" s="16"/>
      <c r="BT2042" s="16" t="b">
        <v>0</v>
      </c>
      <c r="BU2042" s="16" t="s">
        <v>13953</v>
      </c>
      <c r="BV2042" s="16"/>
      <c r="BW2042" s="16" t="s">
        <v>11946</v>
      </c>
      <c r="BX2042" s="16" t="s">
        <v>14001</v>
      </c>
    </row>
    <row r="2043">
      <c r="A2043" s="16" t="s">
        <v>10399</v>
      </c>
      <c r="B2043" s="16" t="s">
        <v>35</v>
      </c>
      <c r="C2043" s="201">
        <v>46058.0</v>
      </c>
      <c r="D2043" s="16" t="s">
        <v>890</v>
      </c>
      <c r="E2043" s="16" t="s">
        <v>11949</v>
      </c>
      <c r="F2043" s="16" t="s">
        <v>11951</v>
      </c>
      <c r="G2043" s="16"/>
      <c r="H2043" s="16"/>
      <c r="I2043" s="16"/>
      <c r="J2043" s="16"/>
      <c r="K2043" s="16"/>
      <c r="L2043" s="16"/>
      <c r="M2043" s="16"/>
      <c r="N2043" s="16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16"/>
      <c r="AD2043" s="16"/>
      <c r="AH2043" s="16"/>
      <c r="AL2043" s="16"/>
      <c r="AP2043" s="16"/>
      <c r="AT2043" s="16"/>
      <c r="AX2043" s="16"/>
      <c r="BF2043" s="16"/>
      <c r="BJ2043" s="16"/>
      <c r="BN2043" s="16"/>
      <c r="BO2043" s="16"/>
      <c r="BP2043" s="16" t="s">
        <v>11950</v>
      </c>
      <c r="BQ2043" s="16" t="b">
        <v>0</v>
      </c>
      <c r="BR2043" s="16"/>
      <c r="BS2043" s="16"/>
      <c r="BT2043" s="16" t="b">
        <v>0</v>
      </c>
      <c r="BU2043" s="16" t="s">
        <v>13953</v>
      </c>
      <c r="BV2043" s="16"/>
      <c r="BW2043" s="16"/>
      <c r="BX2043" s="16"/>
    </row>
    <row r="2044">
      <c r="A2044" s="16">
        <v>11866.0</v>
      </c>
      <c r="B2044" s="16" t="s">
        <v>35</v>
      </c>
      <c r="C2044" s="201">
        <v>46063.0</v>
      </c>
      <c r="D2044" s="16" t="s">
        <v>10315</v>
      </c>
      <c r="E2044" s="16"/>
      <c r="F2044" s="16" t="s">
        <v>11007</v>
      </c>
      <c r="G2044" s="16" t="s">
        <v>8792</v>
      </c>
      <c r="H2044" s="16">
        <v>1.0</v>
      </c>
      <c r="I2044" s="16">
        <v>0.01</v>
      </c>
      <c r="J2044" s="16">
        <v>0.01</v>
      </c>
      <c r="K2044" s="16"/>
      <c r="L2044" s="16"/>
      <c r="M2044" s="16"/>
      <c r="N2044" s="16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16"/>
      <c r="AD2044" s="16"/>
      <c r="AH2044" s="16"/>
      <c r="AL2044" s="16"/>
      <c r="AP2044" s="16"/>
      <c r="AT2044" s="16"/>
      <c r="AX2044" s="16"/>
      <c r="BF2044" s="16"/>
      <c r="BJ2044" s="16"/>
      <c r="BN2044" s="16"/>
      <c r="BO2044" s="16">
        <v>0.01</v>
      </c>
      <c r="BP2044" s="16"/>
      <c r="BQ2044" s="16" t="b">
        <v>1</v>
      </c>
      <c r="BR2044" s="16">
        <v>0.01</v>
      </c>
      <c r="BS2044" s="16"/>
      <c r="BT2044" s="16"/>
      <c r="BU2044" s="16" t="s">
        <v>539</v>
      </c>
      <c r="BV2044" s="16"/>
      <c r="BW2044" s="16"/>
      <c r="BX2044" s="16"/>
    </row>
    <row r="2045">
      <c r="A2045" s="16">
        <v>11868.0</v>
      </c>
      <c r="B2045" s="16" t="s">
        <v>35</v>
      </c>
      <c r="C2045" s="201">
        <v>46063.0</v>
      </c>
      <c r="D2045" s="16" t="s">
        <v>7740</v>
      </c>
      <c r="E2045" s="16"/>
      <c r="F2045" s="16" t="s">
        <v>11955</v>
      </c>
      <c r="G2045" s="16" t="s">
        <v>6322</v>
      </c>
      <c r="H2045" s="16">
        <v>1.0</v>
      </c>
      <c r="I2045" s="16">
        <v>0.01</v>
      </c>
      <c r="J2045" s="16">
        <v>0.01</v>
      </c>
      <c r="K2045" s="16"/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D2045" s="16"/>
      <c r="AH2045" s="16"/>
      <c r="AL2045" s="16"/>
      <c r="AP2045" s="16"/>
      <c r="AT2045" s="16"/>
      <c r="AX2045" s="16"/>
      <c r="BF2045" s="16"/>
      <c r="BJ2045" s="16"/>
      <c r="BN2045" s="16"/>
      <c r="BO2045" s="16">
        <v>0.01</v>
      </c>
      <c r="BP2045" s="16"/>
      <c r="BQ2045" s="16" t="b">
        <v>1</v>
      </c>
      <c r="BR2045" s="16">
        <v>0.01</v>
      </c>
      <c r="BS2045" s="16"/>
      <c r="BT2045" s="16"/>
      <c r="BU2045" s="16" t="s">
        <v>539</v>
      </c>
      <c r="BV2045" s="16"/>
      <c r="BW2045" s="16"/>
      <c r="BX2045" s="16"/>
    </row>
    <row r="2046">
      <c r="A2046" s="16">
        <v>11877.0</v>
      </c>
      <c r="B2046" s="16" t="s">
        <v>35</v>
      </c>
      <c r="C2046" s="201">
        <v>46063.0</v>
      </c>
      <c r="D2046" s="16" t="s">
        <v>10092</v>
      </c>
      <c r="E2046" s="16"/>
      <c r="F2046" s="16" t="s">
        <v>10093</v>
      </c>
      <c r="G2046" s="16" t="s">
        <v>8603</v>
      </c>
      <c r="H2046" s="16">
        <v>1.0</v>
      </c>
      <c r="I2046" s="16">
        <v>181.37</v>
      </c>
      <c r="J2046" s="16">
        <v>181.37</v>
      </c>
      <c r="K2046" s="16"/>
      <c r="L2046" s="16"/>
      <c r="M2046" s="16"/>
      <c r="N2046" s="16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D2046" s="16"/>
      <c r="AH2046" s="16"/>
      <c r="AL2046" s="16"/>
      <c r="AP2046" s="16"/>
      <c r="AT2046" s="16"/>
      <c r="AX2046" s="16"/>
      <c r="BF2046" s="16"/>
      <c r="BJ2046" s="16"/>
      <c r="BN2046" s="16"/>
      <c r="BO2046" s="16">
        <v>181.37</v>
      </c>
      <c r="BP2046" s="16"/>
      <c r="BQ2046" s="16" t="b">
        <v>1</v>
      </c>
      <c r="BR2046" s="16">
        <v>181.37</v>
      </c>
      <c r="BS2046" s="16"/>
      <c r="BT2046" s="16"/>
      <c r="BU2046" s="16" t="s">
        <v>539</v>
      </c>
      <c r="BV2046" s="16"/>
      <c r="BW2046" s="16"/>
      <c r="BX2046" s="16"/>
    </row>
    <row r="2047">
      <c r="A2047" s="16">
        <v>11878.0</v>
      </c>
      <c r="B2047" s="16" t="s">
        <v>35</v>
      </c>
      <c r="C2047" s="201">
        <v>46063.0</v>
      </c>
      <c r="D2047" s="16" t="s">
        <v>2280</v>
      </c>
      <c r="E2047" s="16"/>
      <c r="F2047" s="16" t="s">
        <v>10095</v>
      </c>
      <c r="G2047" s="16" t="s">
        <v>9257</v>
      </c>
      <c r="H2047" s="16">
        <v>1.0</v>
      </c>
      <c r="I2047" s="16">
        <v>989.73</v>
      </c>
      <c r="J2047" s="16">
        <v>989.73</v>
      </c>
      <c r="K2047" s="16"/>
      <c r="L2047" s="16"/>
      <c r="M2047" s="16"/>
      <c r="N2047" s="16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D2047" s="16"/>
      <c r="AH2047" s="16"/>
      <c r="AL2047" s="16"/>
      <c r="AP2047" s="16"/>
      <c r="AT2047" s="16"/>
      <c r="AX2047" s="16"/>
      <c r="BF2047" s="16"/>
      <c r="BJ2047" s="16"/>
      <c r="BN2047" s="16"/>
      <c r="BO2047" s="16">
        <v>989.73</v>
      </c>
      <c r="BP2047" s="16"/>
      <c r="BQ2047" s="16" t="b">
        <v>1</v>
      </c>
      <c r="BR2047" s="16">
        <v>989.73</v>
      </c>
      <c r="BS2047" s="16"/>
      <c r="BT2047" s="16"/>
      <c r="BU2047" s="16" t="s">
        <v>539</v>
      </c>
      <c r="BV2047" s="16"/>
      <c r="BW2047" s="16"/>
      <c r="BX2047" s="16"/>
    </row>
    <row r="2048">
      <c r="A2048" s="16">
        <v>11879.0</v>
      </c>
      <c r="B2048" s="16" t="s">
        <v>35</v>
      </c>
      <c r="C2048" s="201">
        <v>46063.0</v>
      </c>
      <c r="D2048" s="16" t="s">
        <v>2248</v>
      </c>
      <c r="E2048" s="16"/>
      <c r="F2048" s="16" t="s">
        <v>8055</v>
      </c>
      <c r="G2048" s="16" t="s">
        <v>3218</v>
      </c>
      <c r="H2048" s="16">
        <v>1.0</v>
      </c>
      <c r="I2048" s="16">
        <v>185.0</v>
      </c>
      <c r="J2048" s="16">
        <v>185.0</v>
      </c>
      <c r="K2048" s="16"/>
      <c r="L2048" s="16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16"/>
      <c r="AD2048" s="16"/>
      <c r="AH2048" s="16"/>
      <c r="AL2048" s="16"/>
      <c r="AP2048" s="16"/>
      <c r="AT2048" s="16"/>
      <c r="AX2048" s="16"/>
      <c r="BF2048" s="16"/>
      <c r="BJ2048" s="16"/>
      <c r="BN2048" s="16"/>
      <c r="BO2048" s="16">
        <v>185.0</v>
      </c>
      <c r="BP2048" s="16"/>
      <c r="BQ2048" s="16" t="b">
        <v>1</v>
      </c>
      <c r="BR2048" s="16">
        <v>185.0</v>
      </c>
      <c r="BS2048" s="16"/>
      <c r="BT2048" s="16"/>
      <c r="BU2048" s="16" t="s">
        <v>539</v>
      </c>
      <c r="BV2048" s="16"/>
      <c r="BW2048" s="16"/>
      <c r="BX2048" s="16"/>
    </row>
    <row r="2049">
      <c r="A2049" s="16">
        <v>11885.0</v>
      </c>
      <c r="B2049" s="16" t="s">
        <v>35</v>
      </c>
      <c r="C2049" s="201">
        <v>46063.0</v>
      </c>
      <c r="D2049" s="16" t="s">
        <v>3516</v>
      </c>
      <c r="E2049" s="16"/>
      <c r="F2049" s="16" t="s">
        <v>10131</v>
      </c>
      <c r="G2049" s="16" t="s">
        <v>1159</v>
      </c>
      <c r="H2049" s="16">
        <v>1.0</v>
      </c>
      <c r="I2049" s="16">
        <v>1432.01</v>
      </c>
      <c r="J2049" s="16">
        <v>1432.01</v>
      </c>
      <c r="K2049" s="16"/>
      <c r="L2049" s="16"/>
      <c r="M2049" s="16"/>
      <c r="N2049" s="16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16"/>
      <c r="AD2049" s="16"/>
      <c r="AH2049" s="16"/>
      <c r="AL2049" s="16"/>
      <c r="AP2049" s="16"/>
      <c r="AT2049" s="16"/>
      <c r="AX2049" s="16"/>
      <c r="BF2049" s="16"/>
      <c r="BJ2049" s="16"/>
      <c r="BN2049" s="16"/>
      <c r="BO2049" s="16">
        <v>1432.01</v>
      </c>
      <c r="BP2049" s="16"/>
      <c r="BQ2049" s="16" t="b">
        <v>1</v>
      </c>
      <c r="BR2049" s="16">
        <v>1432.01</v>
      </c>
      <c r="BS2049" s="16"/>
      <c r="BT2049" s="16"/>
      <c r="BU2049" s="16" t="s">
        <v>539</v>
      </c>
      <c r="BV2049" s="16"/>
      <c r="BW2049" s="16"/>
      <c r="BX2049" s="16"/>
    </row>
    <row r="2050">
      <c r="A2050" s="16" t="s">
        <v>9843</v>
      </c>
      <c r="B2050" s="16" t="s">
        <v>35</v>
      </c>
      <c r="C2050" s="201">
        <v>46063.0</v>
      </c>
      <c r="D2050" s="16" t="s">
        <v>1864</v>
      </c>
      <c r="E2050" s="16"/>
      <c r="F2050" s="16" t="s">
        <v>11963</v>
      </c>
      <c r="G2050" s="16" t="s">
        <v>2448</v>
      </c>
      <c r="H2050" s="16">
        <v>1.0</v>
      </c>
      <c r="I2050" s="16">
        <v>1183.57</v>
      </c>
      <c r="J2050" s="16">
        <v>1183.57</v>
      </c>
      <c r="K2050" s="16"/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D2050" s="16"/>
      <c r="AH2050" s="16"/>
      <c r="AL2050" s="16"/>
      <c r="AP2050" s="16"/>
      <c r="AT2050" s="16"/>
      <c r="AX2050" s="16"/>
      <c r="BF2050" s="16"/>
      <c r="BJ2050" s="16"/>
      <c r="BN2050" s="16"/>
      <c r="BO2050" s="16">
        <v>1183.57</v>
      </c>
      <c r="BP2050" s="16"/>
      <c r="BQ2050" s="16" t="b">
        <v>1</v>
      </c>
      <c r="BR2050" s="16">
        <v>1183.57</v>
      </c>
      <c r="BS2050" s="16"/>
      <c r="BT2050" s="16"/>
      <c r="BU2050" s="16" t="s">
        <v>539</v>
      </c>
      <c r="BV2050" s="16"/>
      <c r="BW2050" s="16"/>
      <c r="BX2050" s="16"/>
    </row>
    <row r="2051">
      <c r="A2051" s="16" t="s">
        <v>9845</v>
      </c>
      <c r="B2051" s="16" t="s">
        <v>35</v>
      </c>
      <c r="C2051" s="201">
        <v>46063.0</v>
      </c>
      <c r="D2051" s="16" t="s">
        <v>1864</v>
      </c>
      <c r="E2051" s="16"/>
      <c r="F2051" s="16" t="s">
        <v>11966</v>
      </c>
      <c r="G2051" s="16" t="s">
        <v>2448</v>
      </c>
      <c r="H2051" s="16">
        <v>1.0</v>
      </c>
      <c r="I2051" s="16">
        <v>164.07</v>
      </c>
      <c r="J2051" s="16">
        <v>164.07</v>
      </c>
      <c r="K2051" s="16"/>
      <c r="L2051" s="16"/>
      <c r="M2051" s="16"/>
      <c r="N2051" s="16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16"/>
      <c r="AD2051" s="16"/>
      <c r="AH2051" s="16"/>
      <c r="AL2051" s="16"/>
      <c r="AP2051" s="16"/>
      <c r="AT2051" s="16"/>
      <c r="AX2051" s="16"/>
      <c r="BF2051" s="16"/>
      <c r="BJ2051" s="16"/>
      <c r="BN2051" s="16"/>
      <c r="BO2051" s="16">
        <v>164.07</v>
      </c>
      <c r="BP2051" s="16"/>
      <c r="BQ2051" s="16" t="b">
        <v>1</v>
      </c>
      <c r="BR2051" s="16">
        <v>164.07</v>
      </c>
      <c r="BS2051" s="16"/>
      <c r="BT2051" s="16"/>
      <c r="BU2051" s="16" t="s">
        <v>539</v>
      </c>
      <c r="BV2051" s="16"/>
      <c r="BW2051" s="16"/>
      <c r="BX2051" s="16"/>
    </row>
    <row r="2052">
      <c r="A2052" s="16" t="s">
        <v>10484</v>
      </c>
      <c r="B2052" s="16" t="s">
        <v>35</v>
      </c>
      <c r="C2052" s="201">
        <v>46064.0</v>
      </c>
      <c r="D2052" s="16" t="s">
        <v>112</v>
      </c>
      <c r="E2052" s="16" t="s">
        <v>11968</v>
      </c>
      <c r="F2052" s="16" t="s">
        <v>157</v>
      </c>
      <c r="G2052" s="16"/>
      <c r="H2052" s="16"/>
      <c r="I2052" s="16"/>
      <c r="J2052" s="16"/>
      <c r="K2052" s="16"/>
      <c r="L2052" s="16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D2052" s="16"/>
      <c r="AH2052" s="16"/>
      <c r="AL2052" s="16"/>
      <c r="AP2052" s="16"/>
      <c r="AT2052" s="16"/>
      <c r="AX2052" s="16"/>
      <c r="BF2052" s="16"/>
      <c r="BJ2052" s="16"/>
      <c r="BN2052" s="16"/>
      <c r="BO2052" s="16"/>
      <c r="BP2052" s="16" t="s">
        <v>11969</v>
      </c>
      <c r="BQ2052" s="16" t="b">
        <v>0</v>
      </c>
      <c r="BR2052" s="16"/>
      <c r="BS2052" s="16"/>
      <c r="BT2052" s="16" t="b">
        <v>0</v>
      </c>
      <c r="BU2052" s="16" t="s">
        <v>13953</v>
      </c>
      <c r="BV2052" s="16"/>
      <c r="BW2052" s="16"/>
      <c r="BX2052" s="16"/>
    </row>
    <row r="2053">
      <c r="A2053" s="16" t="s">
        <v>10379</v>
      </c>
      <c r="B2053" s="16" t="s">
        <v>35</v>
      </c>
      <c r="C2053" s="201">
        <v>46057.0</v>
      </c>
      <c r="D2053" s="16" t="s">
        <v>3427</v>
      </c>
      <c r="E2053" s="16" t="s">
        <v>11971</v>
      </c>
      <c r="F2053" s="16" t="s">
        <v>11974</v>
      </c>
      <c r="G2053" s="16"/>
      <c r="H2053" s="16"/>
      <c r="I2053" s="16"/>
      <c r="J2053" s="16"/>
      <c r="K2053" s="16"/>
      <c r="L2053" s="16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D2053" s="16"/>
      <c r="AH2053" s="16"/>
      <c r="AL2053" s="16"/>
      <c r="AP2053" s="16"/>
      <c r="AT2053" s="16"/>
      <c r="AX2053" s="16"/>
      <c r="BF2053" s="16"/>
      <c r="BJ2053" s="16"/>
      <c r="BN2053" s="16"/>
      <c r="BO2053" s="16"/>
      <c r="BP2053" s="16" t="s">
        <v>11972</v>
      </c>
      <c r="BQ2053" s="16" t="b">
        <v>0</v>
      </c>
      <c r="BR2053" s="16"/>
      <c r="BS2053" s="16"/>
      <c r="BT2053" s="16" t="b">
        <v>0</v>
      </c>
      <c r="BU2053" s="16" t="s">
        <v>13953</v>
      </c>
      <c r="BV2053" s="16"/>
      <c r="BW2053" s="16"/>
      <c r="BX2053" s="16"/>
    </row>
    <row r="2054">
      <c r="A2054" s="16" t="s">
        <v>10489</v>
      </c>
      <c r="B2054" s="16" t="s">
        <v>35</v>
      </c>
      <c r="C2054" s="201">
        <v>46066.0</v>
      </c>
      <c r="D2054" s="21" t="s">
        <v>12789</v>
      </c>
      <c r="E2054" s="16" t="s">
        <v>11978</v>
      </c>
      <c r="F2054" s="16" t="s">
        <v>11625</v>
      </c>
      <c r="G2054" s="16"/>
      <c r="H2054" s="16"/>
      <c r="I2054" s="16"/>
      <c r="J2054" s="16"/>
      <c r="K2054" s="16"/>
      <c r="L2054" s="16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D2054" s="16"/>
      <c r="AH2054" s="16"/>
      <c r="AL2054" s="16"/>
      <c r="AP2054" s="16"/>
      <c r="AT2054" s="16"/>
      <c r="AX2054" s="16"/>
      <c r="BF2054" s="16"/>
      <c r="BJ2054" s="16"/>
      <c r="BN2054" s="16"/>
      <c r="BO2054" s="16"/>
      <c r="BP2054" s="16" t="s">
        <v>11979</v>
      </c>
      <c r="BQ2054" s="16" t="b">
        <v>0</v>
      </c>
      <c r="BR2054" s="16"/>
      <c r="BS2054" s="21" t="s">
        <v>14008</v>
      </c>
      <c r="BT2054" s="16" t="b">
        <v>1</v>
      </c>
      <c r="BU2054" s="16" t="s">
        <v>13953</v>
      </c>
      <c r="BV2054" s="16"/>
      <c r="BW2054" s="16"/>
      <c r="BX2054" s="16"/>
    </row>
    <row r="2055">
      <c r="A2055" s="16" t="s">
        <v>10505</v>
      </c>
      <c r="B2055" s="16" t="s">
        <v>35</v>
      </c>
      <c r="C2055" s="201">
        <v>46066.0</v>
      </c>
      <c r="D2055" s="16" t="s">
        <v>112</v>
      </c>
      <c r="E2055" s="16" t="s">
        <v>11981</v>
      </c>
      <c r="F2055" s="16" t="s">
        <v>157</v>
      </c>
      <c r="G2055" s="16"/>
      <c r="H2055" s="16"/>
      <c r="I2055" s="16"/>
      <c r="J2055" s="16"/>
      <c r="K2055" s="16"/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D2055" s="16"/>
      <c r="AH2055" s="16"/>
      <c r="AL2055" s="16"/>
      <c r="AP2055" s="16"/>
      <c r="AT2055" s="16"/>
      <c r="AX2055" s="16"/>
      <c r="BF2055" s="16"/>
      <c r="BJ2055" s="16"/>
      <c r="BN2055" s="16"/>
      <c r="BO2055" s="16"/>
      <c r="BP2055" s="16" t="s">
        <v>11983</v>
      </c>
      <c r="BQ2055" s="16" t="b">
        <v>0</v>
      </c>
      <c r="BR2055" s="16"/>
      <c r="BS2055" s="16"/>
      <c r="BT2055" s="16" t="b">
        <v>0</v>
      </c>
      <c r="BU2055" s="16" t="s">
        <v>13953</v>
      </c>
      <c r="BV2055" s="16"/>
      <c r="BW2055" s="16"/>
      <c r="BX2055" s="16"/>
    </row>
    <row r="2056">
      <c r="A2056" s="16" t="s">
        <v>10513</v>
      </c>
      <c r="B2056" s="16" t="s">
        <v>35</v>
      </c>
      <c r="C2056" s="201">
        <v>46066.0</v>
      </c>
      <c r="D2056" s="16" t="s">
        <v>11926</v>
      </c>
      <c r="E2056" s="16" t="s">
        <v>11986</v>
      </c>
      <c r="F2056" s="16" t="s">
        <v>140</v>
      </c>
      <c r="G2056" s="16"/>
      <c r="H2056" s="16"/>
      <c r="I2056" s="16"/>
      <c r="J2056" s="16"/>
      <c r="K2056" s="16"/>
      <c r="L2056" s="16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D2056" s="16"/>
      <c r="AH2056" s="16"/>
      <c r="AL2056" s="16"/>
      <c r="AP2056" s="16"/>
      <c r="AT2056" s="16"/>
      <c r="AX2056" s="16"/>
      <c r="BF2056" s="16"/>
      <c r="BJ2056" s="16"/>
      <c r="BN2056" s="16"/>
      <c r="BO2056" s="16"/>
      <c r="BP2056" s="16" t="s">
        <v>11987</v>
      </c>
      <c r="BQ2056" s="16" t="b">
        <v>0</v>
      </c>
      <c r="BR2056" s="16"/>
      <c r="BS2056" s="16"/>
      <c r="BT2056" s="16" t="b">
        <v>0</v>
      </c>
      <c r="BU2056" s="16" t="s">
        <v>13953</v>
      </c>
      <c r="BV2056" s="16"/>
      <c r="BW2056" s="16"/>
      <c r="BX2056" s="16"/>
    </row>
    <row r="2057">
      <c r="A2057" s="16" t="s">
        <v>10515</v>
      </c>
      <c r="B2057" s="16" t="s">
        <v>35</v>
      </c>
      <c r="C2057" s="201">
        <v>46069.0</v>
      </c>
      <c r="D2057" s="16" t="s">
        <v>11784</v>
      </c>
      <c r="E2057" s="16" t="s">
        <v>11990</v>
      </c>
      <c r="F2057" s="16" t="s">
        <v>147</v>
      </c>
      <c r="G2057" s="16"/>
      <c r="H2057" s="16"/>
      <c r="I2057" s="16"/>
      <c r="J2057" s="16"/>
      <c r="K2057" s="16"/>
      <c r="L2057" s="16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D2057" s="16"/>
      <c r="AH2057" s="16"/>
      <c r="AL2057" s="16"/>
      <c r="AP2057" s="16"/>
      <c r="AT2057" s="16"/>
      <c r="AX2057" s="16"/>
      <c r="BF2057" s="16"/>
      <c r="BJ2057" s="16"/>
      <c r="BN2057" s="16"/>
      <c r="BO2057" s="16"/>
      <c r="BP2057" s="16" t="s">
        <v>11991</v>
      </c>
      <c r="BQ2057" s="16" t="b">
        <v>0</v>
      </c>
      <c r="BR2057" s="16"/>
      <c r="BS2057" s="21" t="s">
        <v>14010</v>
      </c>
      <c r="BT2057" s="16" t="b">
        <v>1</v>
      </c>
      <c r="BU2057" s="16" t="s">
        <v>13953</v>
      </c>
      <c r="BV2057" s="16"/>
      <c r="BW2057" s="16"/>
      <c r="BX2057" s="16"/>
    </row>
    <row r="2058">
      <c r="A2058" s="16">
        <v>11895.0</v>
      </c>
      <c r="B2058" s="16" t="s">
        <v>35</v>
      </c>
      <c r="C2058" s="201">
        <v>46070.0</v>
      </c>
      <c r="D2058" s="16" t="s">
        <v>3516</v>
      </c>
      <c r="E2058" s="16"/>
      <c r="F2058" s="16" t="s">
        <v>9762</v>
      </c>
      <c r="G2058" s="16" t="s">
        <v>2662</v>
      </c>
      <c r="H2058" s="16">
        <v>1.0</v>
      </c>
      <c r="I2058" s="16">
        <v>15844.56</v>
      </c>
      <c r="J2058" s="16">
        <v>15844.56</v>
      </c>
      <c r="K2058" s="16"/>
      <c r="L2058" s="16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D2058" s="16"/>
      <c r="AH2058" s="16"/>
      <c r="AL2058" s="16"/>
      <c r="AP2058" s="16"/>
      <c r="AT2058" s="16"/>
      <c r="AX2058" s="16"/>
      <c r="BF2058" s="16"/>
      <c r="BJ2058" s="16"/>
      <c r="BN2058" s="16"/>
      <c r="BO2058" s="16">
        <v>15844.56</v>
      </c>
      <c r="BP2058" s="16"/>
      <c r="BQ2058" s="16" t="b">
        <v>1</v>
      </c>
      <c r="BR2058" s="16">
        <v>15844.56</v>
      </c>
      <c r="BS2058" s="16"/>
      <c r="BT2058" s="16"/>
      <c r="BU2058" s="16" t="s">
        <v>539</v>
      </c>
      <c r="BV2058" s="16"/>
      <c r="BW2058" s="16"/>
      <c r="BX2058" s="16"/>
    </row>
    <row r="2059">
      <c r="A2059" s="16" t="s">
        <v>9848</v>
      </c>
      <c r="B2059" s="16" t="s">
        <v>35</v>
      </c>
      <c r="C2059" s="201">
        <v>46070.0</v>
      </c>
      <c r="D2059" s="16" t="s">
        <v>1160</v>
      </c>
      <c r="E2059" s="16"/>
      <c r="F2059" s="16" t="s">
        <v>11193</v>
      </c>
      <c r="G2059" s="16" t="s">
        <v>8651</v>
      </c>
      <c r="H2059" s="16">
        <v>1.0</v>
      </c>
      <c r="I2059" s="16">
        <v>1497.92</v>
      </c>
      <c r="J2059" s="16">
        <v>1497.92</v>
      </c>
      <c r="K2059" s="16"/>
      <c r="L2059" s="16"/>
      <c r="M2059" s="16"/>
      <c r="N2059" s="16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16"/>
      <c r="AD2059" s="16"/>
      <c r="AH2059" s="16"/>
      <c r="AL2059" s="16"/>
      <c r="AP2059" s="16"/>
      <c r="AT2059" s="16"/>
      <c r="AX2059" s="16"/>
      <c r="BF2059" s="16"/>
      <c r="BJ2059" s="16"/>
      <c r="BN2059" s="16"/>
      <c r="BO2059" s="16">
        <v>1497.92</v>
      </c>
      <c r="BP2059" s="16"/>
      <c r="BQ2059" s="16" t="b">
        <v>1</v>
      </c>
      <c r="BR2059" s="16">
        <v>1497.92</v>
      </c>
      <c r="BS2059" s="16"/>
      <c r="BT2059" s="16"/>
      <c r="BU2059" s="16" t="s">
        <v>539</v>
      </c>
      <c r="BV2059" s="16"/>
      <c r="BW2059" s="16"/>
      <c r="BX2059" s="16"/>
    </row>
    <row r="2060">
      <c r="A2060" s="16" t="s">
        <v>9850</v>
      </c>
      <c r="B2060" s="16" t="s">
        <v>35</v>
      </c>
      <c r="C2060" s="201">
        <v>46070.0</v>
      </c>
      <c r="D2060" s="16" t="s">
        <v>1864</v>
      </c>
      <c r="E2060" s="16"/>
      <c r="F2060" s="16" t="s">
        <v>11997</v>
      </c>
      <c r="G2060" s="16" t="s">
        <v>9706</v>
      </c>
      <c r="H2060" s="16">
        <v>1.0</v>
      </c>
      <c r="I2060" s="16">
        <v>49.5</v>
      </c>
      <c r="J2060" s="16">
        <v>49.5</v>
      </c>
      <c r="K2060" s="16"/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D2060" s="16"/>
      <c r="AH2060" s="16"/>
      <c r="AL2060" s="16"/>
      <c r="AP2060" s="16"/>
      <c r="AT2060" s="16"/>
      <c r="AX2060" s="16"/>
      <c r="BF2060" s="16"/>
      <c r="BJ2060" s="16"/>
      <c r="BN2060" s="16"/>
      <c r="BO2060" s="16">
        <v>49.5</v>
      </c>
      <c r="BP2060" s="16"/>
      <c r="BQ2060" s="16" t="b">
        <v>1</v>
      </c>
      <c r="BR2060" s="16">
        <v>49.5</v>
      </c>
      <c r="BS2060" s="16"/>
      <c r="BT2060" s="16"/>
      <c r="BU2060" s="16" t="s">
        <v>539</v>
      </c>
      <c r="BV2060" s="16"/>
      <c r="BW2060" s="16"/>
      <c r="BX2060" s="16"/>
    </row>
    <row r="2061">
      <c r="A2061" s="16" t="s">
        <v>9852</v>
      </c>
      <c r="B2061" s="16" t="s">
        <v>35</v>
      </c>
      <c r="C2061" s="201">
        <v>46071.0</v>
      </c>
      <c r="D2061" s="16" t="s">
        <v>460</v>
      </c>
      <c r="E2061" s="16"/>
      <c r="F2061" s="16" t="s">
        <v>11999</v>
      </c>
      <c r="G2061" s="16" t="s">
        <v>4406</v>
      </c>
      <c r="H2061" s="16">
        <v>1.0</v>
      </c>
      <c r="I2061" s="16">
        <v>149.5</v>
      </c>
      <c r="J2061" s="16">
        <v>149.5</v>
      </c>
      <c r="K2061" s="16"/>
      <c r="L2061" s="16"/>
      <c r="M2061" s="16"/>
      <c r="N2061" s="16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D2061" s="16"/>
      <c r="AH2061" s="16"/>
      <c r="AL2061" s="16"/>
      <c r="AP2061" s="16"/>
      <c r="AT2061" s="16"/>
      <c r="AX2061" s="16"/>
      <c r="BF2061" s="16"/>
      <c r="BJ2061" s="16"/>
      <c r="BN2061" s="16"/>
      <c r="BO2061" s="16">
        <v>149.5</v>
      </c>
      <c r="BP2061" s="16"/>
      <c r="BQ2061" s="16" t="b">
        <v>1</v>
      </c>
      <c r="BR2061" s="16">
        <v>149.5</v>
      </c>
      <c r="BS2061" s="16"/>
      <c r="BT2061" s="16"/>
      <c r="BU2061" s="16" t="s">
        <v>539</v>
      </c>
      <c r="BV2061" s="16"/>
      <c r="BW2061" s="16"/>
      <c r="BX2061" s="16"/>
    </row>
    <row r="2062">
      <c r="A2062" s="16" t="s">
        <v>9855</v>
      </c>
      <c r="B2062" s="16" t="s">
        <v>35</v>
      </c>
      <c r="C2062" s="201">
        <v>46071.0</v>
      </c>
      <c r="D2062" s="16" t="s">
        <v>460</v>
      </c>
      <c r="E2062" s="16"/>
      <c r="F2062" s="16" t="s">
        <v>12001</v>
      </c>
      <c r="G2062" s="16" t="s">
        <v>305</v>
      </c>
      <c r="H2062" s="16">
        <v>1.0</v>
      </c>
      <c r="I2062" s="16">
        <v>87.9</v>
      </c>
      <c r="J2062" s="16">
        <v>87.9</v>
      </c>
      <c r="K2062" s="16"/>
      <c r="L2062" s="16"/>
      <c r="M2062" s="16"/>
      <c r="N2062" s="16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D2062" s="16"/>
      <c r="AH2062" s="16"/>
      <c r="AL2062" s="16"/>
      <c r="AP2062" s="16"/>
      <c r="AT2062" s="16"/>
      <c r="AX2062" s="16"/>
      <c r="BF2062" s="16"/>
      <c r="BJ2062" s="16"/>
      <c r="BN2062" s="16"/>
      <c r="BO2062" s="16">
        <v>87.9</v>
      </c>
      <c r="BP2062" s="16"/>
      <c r="BQ2062" s="16" t="b">
        <v>1</v>
      </c>
      <c r="BR2062" s="16">
        <v>87.9</v>
      </c>
      <c r="BS2062" s="16"/>
      <c r="BT2062" s="16"/>
      <c r="BU2062" s="16" t="s">
        <v>539</v>
      </c>
      <c r="BV2062" s="16"/>
      <c r="BW2062" s="16"/>
      <c r="BX2062" s="16"/>
    </row>
    <row r="2063">
      <c r="A2063" s="16">
        <v>11894.0</v>
      </c>
      <c r="B2063" s="16" t="s">
        <v>35</v>
      </c>
      <c r="C2063" s="201">
        <v>46071.0</v>
      </c>
      <c r="D2063" s="16" t="s">
        <v>3516</v>
      </c>
      <c r="E2063" s="16"/>
      <c r="F2063" s="16" t="s">
        <v>9759</v>
      </c>
      <c r="G2063" s="16" t="s">
        <v>2448</v>
      </c>
      <c r="H2063" s="16">
        <v>1.0</v>
      </c>
      <c r="I2063" s="16">
        <v>1460.79</v>
      </c>
      <c r="J2063" s="16">
        <v>1460.79</v>
      </c>
      <c r="K2063" s="16"/>
      <c r="L2063" s="16"/>
      <c r="M2063" s="16"/>
      <c r="N2063" s="16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D2063" s="16"/>
      <c r="AH2063" s="16"/>
      <c r="AL2063" s="16"/>
      <c r="AP2063" s="16"/>
      <c r="AT2063" s="16"/>
      <c r="AX2063" s="16"/>
      <c r="BF2063" s="16"/>
      <c r="BJ2063" s="16"/>
      <c r="BN2063" s="16"/>
      <c r="BO2063" s="16">
        <v>1460.79</v>
      </c>
      <c r="BP2063" s="16"/>
      <c r="BQ2063" s="16" t="b">
        <v>1</v>
      </c>
      <c r="BR2063" s="16">
        <v>1460.79</v>
      </c>
      <c r="BS2063" s="16"/>
      <c r="BT2063" s="16"/>
      <c r="BU2063" s="16" t="s">
        <v>539</v>
      </c>
      <c r="BV2063" s="16"/>
      <c r="BW2063" s="16"/>
      <c r="BX2063" s="16"/>
    </row>
    <row r="2064">
      <c r="A2064" s="16" t="s">
        <v>9858</v>
      </c>
      <c r="B2064" s="16" t="s">
        <v>35</v>
      </c>
      <c r="C2064" s="201">
        <v>46071.0</v>
      </c>
      <c r="D2064" s="16" t="s">
        <v>890</v>
      </c>
      <c r="E2064" s="16"/>
      <c r="F2064" s="16" t="s">
        <v>12006</v>
      </c>
      <c r="G2064" s="16" t="s">
        <v>8458</v>
      </c>
      <c r="H2064" s="16">
        <v>1.0</v>
      </c>
      <c r="I2064" s="16">
        <v>2945.92</v>
      </c>
      <c r="J2064" s="16">
        <v>2945.92</v>
      </c>
      <c r="K2064" s="16"/>
      <c r="L2064" s="16"/>
      <c r="M2064" s="16"/>
      <c r="N2064" s="16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16"/>
      <c r="AD2064" s="16"/>
      <c r="AH2064" s="16"/>
      <c r="AL2064" s="16"/>
      <c r="AP2064" s="16"/>
      <c r="AT2064" s="16"/>
      <c r="AX2064" s="16"/>
      <c r="BF2064" s="16"/>
      <c r="BJ2064" s="16"/>
      <c r="BN2064" s="16"/>
      <c r="BO2064" s="16">
        <v>2945.92</v>
      </c>
      <c r="BP2064" s="16"/>
      <c r="BQ2064" s="16" t="b">
        <v>1</v>
      </c>
      <c r="BR2064" s="16">
        <v>2945.92</v>
      </c>
      <c r="BS2064" s="16"/>
      <c r="BT2064" s="16"/>
      <c r="BU2064" s="16" t="s">
        <v>539</v>
      </c>
      <c r="BV2064" s="16"/>
      <c r="BW2064" s="16"/>
      <c r="BX2064" s="16"/>
    </row>
    <row r="2065">
      <c r="A2065" s="16" t="s">
        <v>10532</v>
      </c>
      <c r="B2065" s="16" t="s">
        <v>35</v>
      </c>
      <c r="C2065" s="201">
        <v>46072.0</v>
      </c>
      <c r="D2065" s="16" t="s">
        <v>2039</v>
      </c>
      <c r="E2065" s="16" t="s">
        <v>12010</v>
      </c>
      <c r="F2065" s="16" t="s">
        <v>605</v>
      </c>
      <c r="G2065" s="16"/>
      <c r="H2065" s="16"/>
      <c r="I2065" s="16"/>
      <c r="J2065" s="16"/>
      <c r="K2065" s="16"/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D2065" s="16"/>
      <c r="AH2065" s="16"/>
      <c r="AL2065" s="16"/>
      <c r="AP2065" s="16"/>
      <c r="AT2065" s="16"/>
      <c r="AX2065" s="16"/>
      <c r="BF2065" s="16"/>
      <c r="BJ2065" s="16"/>
      <c r="BN2065" s="16"/>
      <c r="BO2065" s="16"/>
      <c r="BP2065" s="16" t="s">
        <v>12011</v>
      </c>
      <c r="BQ2065" s="16" t="b">
        <v>0</v>
      </c>
      <c r="BR2065" s="16"/>
      <c r="BS2065" s="21" t="s">
        <v>14017</v>
      </c>
      <c r="BT2065" s="16" t="b">
        <v>1</v>
      </c>
      <c r="BU2065" s="16" t="s">
        <v>13953</v>
      </c>
      <c r="BV2065" s="16"/>
      <c r="BW2065" s="16"/>
      <c r="BX2065" s="16"/>
    </row>
    <row r="2066">
      <c r="A2066" s="16" t="s">
        <v>14018</v>
      </c>
      <c r="B2066" s="16" t="s">
        <v>35</v>
      </c>
      <c r="C2066" s="201">
        <v>46070.0</v>
      </c>
      <c r="D2066" s="16" t="s">
        <v>890</v>
      </c>
      <c r="E2066" s="16" t="s">
        <v>14019</v>
      </c>
      <c r="F2066" s="16" t="s">
        <v>14020</v>
      </c>
      <c r="G2066" s="16"/>
      <c r="H2066" s="16"/>
      <c r="I2066" s="16"/>
      <c r="J2066" s="16"/>
      <c r="K2066" s="16"/>
      <c r="L2066" s="16"/>
      <c r="M2066" s="16"/>
      <c r="N2066" s="16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16"/>
      <c r="AD2066" s="16"/>
      <c r="AH2066" s="16"/>
      <c r="AL2066" s="16"/>
      <c r="AP2066" s="16"/>
      <c r="AT2066" s="16"/>
      <c r="AX2066" s="16"/>
      <c r="BF2066" s="16"/>
      <c r="BJ2066" s="16"/>
      <c r="BN2066" s="16"/>
      <c r="BO2066" s="16"/>
      <c r="BP2066" s="16" t="s">
        <v>14022</v>
      </c>
      <c r="BQ2066" s="16" t="b">
        <v>0</v>
      </c>
      <c r="BR2066" s="16"/>
      <c r="BS2066" s="16"/>
      <c r="BT2066" s="16" t="b">
        <v>0</v>
      </c>
      <c r="BU2066" s="16" t="s">
        <v>13953</v>
      </c>
      <c r="BV2066" s="16"/>
      <c r="BW2066" s="16" t="s">
        <v>14023</v>
      </c>
      <c r="BX2066" s="16"/>
    </row>
    <row r="2067">
      <c r="A2067" s="16" t="s">
        <v>10534</v>
      </c>
      <c r="B2067" s="16" t="s">
        <v>35</v>
      </c>
      <c r="C2067" s="201">
        <v>46072.0</v>
      </c>
      <c r="D2067" s="16" t="s">
        <v>11765</v>
      </c>
      <c r="E2067" s="16" t="s">
        <v>12016</v>
      </c>
      <c r="F2067" s="16" t="s">
        <v>195</v>
      </c>
      <c r="G2067" s="16"/>
      <c r="H2067" s="16"/>
      <c r="I2067" s="16"/>
      <c r="J2067" s="16"/>
      <c r="K2067" s="16"/>
      <c r="L2067" s="16"/>
      <c r="M2067" s="16"/>
      <c r="N2067" s="16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16"/>
      <c r="AD2067" s="16"/>
      <c r="AH2067" s="16"/>
      <c r="AL2067" s="16"/>
      <c r="AP2067" s="16"/>
      <c r="AT2067" s="16"/>
      <c r="AX2067" s="16"/>
      <c r="BF2067" s="16"/>
      <c r="BJ2067" s="16"/>
      <c r="BN2067" s="16"/>
      <c r="BO2067" s="16"/>
      <c r="BP2067" s="16" t="s">
        <v>12017</v>
      </c>
      <c r="BQ2067" s="16" t="b">
        <v>0</v>
      </c>
      <c r="BR2067" s="16"/>
      <c r="BS2067" s="16"/>
      <c r="BT2067" s="16" t="b">
        <v>0</v>
      </c>
      <c r="BU2067" s="16" t="s">
        <v>13953</v>
      </c>
      <c r="BV2067" s="16"/>
      <c r="BW2067" s="16" t="s">
        <v>12018</v>
      </c>
      <c r="BX2067" s="16"/>
    </row>
    <row r="2068">
      <c r="A2068" s="16" t="s">
        <v>10521</v>
      </c>
      <c r="B2068" s="16" t="s">
        <v>35</v>
      </c>
      <c r="C2068" s="201">
        <v>46071.0</v>
      </c>
      <c r="D2068" s="16" t="s">
        <v>12021</v>
      </c>
      <c r="E2068" s="16" t="s">
        <v>12022</v>
      </c>
      <c r="F2068" s="16" t="s">
        <v>12025</v>
      </c>
      <c r="G2068" s="16"/>
      <c r="H2068" s="16"/>
      <c r="I2068" s="16"/>
      <c r="J2068" s="16"/>
      <c r="K2068" s="16"/>
      <c r="L2068" s="16"/>
      <c r="M2068" s="16"/>
      <c r="N2068" s="16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16"/>
      <c r="AD2068" s="16"/>
      <c r="AH2068" s="16"/>
      <c r="AL2068" s="16"/>
      <c r="AP2068" s="16"/>
      <c r="AT2068" s="16"/>
      <c r="AX2068" s="16"/>
      <c r="BF2068" s="16"/>
      <c r="BJ2068" s="16"/>
      <c r="BN2068" s="16"/>
      <c r="BO2068" s="16"/>
      <c r="BP2068" s="16" t="s">
        <v>12023</v>
      </c>
      <c r="BQ2068" s="16" t="b">
        <v>0</v>
      </c>
      <c r="BR2068" s="16"/>
      <c r="BS2068" s="21" t="s">
        <v>14025</v>
      </c>
      <c r="BT2068" s="16" t="b">
        <v>1</v>
      </c>
      <c r="BU2068" s="16" t="s">
        <v>13953</v>
      </c>
      <c r="BV2068" s="16"/>
      <c r="BW2068" s="16"/>
      <c r="BX2068" s="16"/>
    </row>
    <row r="2069">
      <c r="A2069" s="16" t="s">
        <v>10524</v>
      </c>
      <c r="B2069" s="16" t="s">
        <v>35</v>
      </c>
      <c r="C2069" s="201">
        <v>46071.0</v>
      </c>
      <c r="D2069" s="16" t="s">
        <v>11219</v>
      </c>
      <c r="E2069" s="16" t="s">
        <v>12028</v>
      </c>
      <c r="F2069" s="16" t="s">
        <v>12030</v>
      </c>
      <c r="G2069" s="16"/>
      <c r="H2069" s="16"/>
      <c r="I2069" s="16"/>
      <c r="J2069" s="16"/>
      <c r="K2069" s="16"/>
      <c r="L2069" s="16"/>
      <c r="M2069" s="16"/>
      <c r="N2069" s="16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D2069" s="16"/>
      <c r="AH2069" s="16"/>
      <c r="AL2069" s="16"/>
      <c r="AP2069" s="16"/>
      <c r="AT2069" s="16"/>
      <c r="AX2069" s="16"/>
      <c r="BF2069" s="16"/>
      <c r="BJ2069" s="16"/>
      <c r="BN2069" s="16"/>
      <c r="BO2069" s="16"/>
      <c r="BP2069" s="16" t="s">
        <v>12029</v>
      </c>
      <c r="BQ2069" s="16" t="b">
        <v>0</v>
      </c>
      <c r="BR2069" s="16"/>
      <c r="BS2069" s="21" t="s">
        <v>14027</v>
      </c>
      <c r="BT2069" s="16" t="b">
        <v>1</v>
      </c>
      <c r="BU2069" s="16" t="s">
        <v>13953</v>
      </c>
      <c r="BV2069" s="16"/>
      <c r="BW2069" s="16"/>
      <c r="BX2069" s="16"/>
    </row>
    <row r="2070">
      <c r="A2070" s="16" t="s">
        <v>10526</v>
      </c>
      <c r="B2070" s="16" t="s">
        <v>35</v>
      </c>
      <c r="C2070" s="201">
        <v>46071.0</v>
      </c>
      <c r="D2070" s="16" t="s">
        <v>112</v>
      </c>
      <c r="E2070" s="16" t="s">
        <v>12033</v>
      </c>
      <c r="F2070" s="16" t="s">
        <v>157</v>
      </c>
      <c r="G2070" s="16"/>
      <c r="H2070" s="16"/>
      <c r="I2070" s="16"/>
      <c r="J2070" s="16"/>
      <c r="K2070" s="16"/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D2070" s="16"/>
      <c r="AH2070" s="16"/>
      <c r="AL2070" s="16"/>
      <c r="AP2070" s="16"/>
      <c r="AT2070" s="16"/>
      <c r="AX2070" s="16"/>
      <c r="BF2070" s="16"/>
      <c r="BJ2070" s="16"/>
      <c r="BN2070" s="16"/>
      <c r="BO2070" s="16"/>
      <c r="BP2070" s="16" t="s">
        <v>12034</v>
      </c>
      <c r="BQ2070" s="16" t="b">
        <v>0</v>
      </c>
      <c r="BR2070" s="16"/>
      <c r="BS2070" s="16"/>
      <c r="BT2070" s="16" t="b">
        <v>0</v>
      </c>
      <c r="BU2070" s="16" t="s">
        <v>13953</v>
      </c>
      <c r="BV2070" s="16"/>
      <c r="BW2070" s="16"/>
      <c r="BX2070" s="16"/>
    </row>
    <row r="2071">
      <c r="A2071" s="16" t="s">
        <v>10561</v>
      </c>
      <c r="B2071" s="16" t="s">
        <v>35</v>
      </c>
      <c r="C2071" s="201">
        <v>46074.0</v>
      </c>
      <c r="D2071" s="16" t="s">
        <v>1129</v>
      </c>
      <c r="E2071" s="16" t="s">
        <v>12037</v>
      </c>
      <c r="F2071" s="16" t="s">
        <v>12039</v>
      </c>
      <c r="G2071" s="16"/>
      <c r="H2071" s="16"/>
      <c r="I2071" s="16"/>
      <c r="J2071" s="16"/>
      <c r="K2071" s="16"/>
      <c r="L2071" s="16"/>
      <c r="M2071" s="16"/>
      <c r="N2071" s="16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D2071" s="16"/>
      <c r="AH2071" s="16"/>
      <c r="AL2071" s="16"/>
      <c r="AP2071" s="16"/>
      <c r="AT2071" s="16"/>
      <c r="AX2071" s="16"/>
      <c r="BF2071" s="16"/>
      <c r="BJ2071" s="16"/>
      <c r="BN2071" s="16"/>
      <c r="BO2071" s="16"/>
      <c r="BP2071" s="16" t="s">
        <v>12038</v>
      </c>
      <c r="BQ2071" s="16" t="b">
        <v>0</v>
      </c>
      <c r="BR2071" s="16"/>
      <c r="BS2071" s="21" t="s">
        <v>14029</v>
      </c>
      <c r="BT2071" s="16" t="b">
        <v>1</v>
      </c>
      <c r="BU2071" s="16" t="s">
        <v>13953</v>
      </c>
      <c r="BV2071" s="16"/>
      <c r="BW2071" s="16"/>
      <c r="BX2071" s="16"/>
    </row>
    <row r="2072">
      <c r="A2072" s="16" t="s">
        <v>10569</v>
      </c>
      <c r="B2072" s="16" t="s">
        <v>35</v>
      </c>
      <c r="C2072" s="201">
        <v>46074.0</v>
      </c>
      <c r="D2072" s="16" t="s">
        <v>12041</v>
      </c>
      <c r="E2072" s="16" t="s">
        <v>12042</v>
      </c>
      <c r="F2072" s="16" t="s">
        <v>1915</v>
      </c>
      <c r="G2072" s="16"/>
      <c r="H2072" s="16"/>
      <c r="I2072" s="16"/>
      <c r="J2072" s="16"/>
      <c r="K2072" s="16"/>
      <c r="L2072" s="16"/>
      <c r="M2072" s="16"/>
      <c r="N2072" s="16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16"/>
      <c r="AD2072" s="16"/>
      <c r="AH2072" s="16"/>
      <c r="AL2072" s="16"/>
      <c r="AP2072" s="16"/>
      <c r="AT2072" s="16"/>
      <c r="AX2072" s="16"/>
      <c r="BF2072" s="16"/>
      <c r="BJ2072" s="16"/>
      <c r="BN2072" s="16"/>
      <c r="BO2072" s="16"/>
      <c r="BP2072" s="16" t="s">
        <v>12043</v>
      </c>
      <c r="BQ2072" s="16" t="b">
        <v>0</v>
      </c>
      <c r="BR2072" s="16"/>
      <c r="BS2072" s="21" t="s">
        <v>14030</v>
      </c>
      <c r="BT2072" s="16" t="b">
        <v>1</v>
      </c>
      <c r="BU2072" s="16" t="s">
        <v>13953</v>
      </c>
      <c r="BV2072" s="16"/>
      <c r="BW2072" s="16"/>
      <c r="BX2072" s="16"/>
    </row>
    <row r="2073">
      <c r="A2073" s="16" t="s">
        <v>10575</v>
      </c>
      <c r="B2073" s="16" t="s">
        <v>35</v>
      </c>
      <c r="C2073" s="201">
        <v>46074.0</v>
      </c>
      <c r="D2073" s="16" t="s">
        <v>2039</v>
      </c>
      <c r="E2073" s="16" t="s">
        <v>12046</v>
      </c>
      <c r="F2073" s="16" t="s">
        <v>12048</v>
      </c>
      <c r="G2073" s="16"/>
      <c r="H2073" s="16"/>
      <c r="I2073" s="16"/>
      <c r="J2073" s="16"/>
      <c r="K2073" s="16"/>
      <c r="L2073" s="16"/>
      <c r="M2073" s="16"/>
      <c r="N2073" s="16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16"/>
      <c r="AD2073" s="16"/>
      <c r="AH2073" s="16"/>
      <c r="AL2073" s="16"/>
      <c r="AP2073" s="16"/>
      <c r="AT2073" s="16"/>
      <c r="AX2073" s="16"/>
      <c r="BF2073" s="16"/>
      <c r="BJ2073" s="16"/>
      <c r="BN2073" s="16"/>
      <c r="BO2073" s="16"/>
      <c r="BP2073" s="16" t="s">
        <v>12047</v>
      </c>
      <c r="BQ2073" s="16" t="b">
        <v>0</v>
      </c>
      <c r="BR2073" s="16"/>
      <c r="BS2073" s="21" t="s">
        <v>14032</v>
      </c>
      <c r="BT2073" s="16" t="b">
        <v>1</v>
      </c>
      <c r="BU2073" s="16" t="s">
        <v>13953</v>
      </c>
      <c r="BV2073" s="16"/>
      <c r="BW2073" s="16"/>
      <c r="BX2073" s="16"/>
    </row>
    <row r="2074">
      <c r="A2074" s="16" t="s">
        <v>10580</v>
      </c>
      <c r="B2074" s="16" t="s">
        <v>35</v>
      </c>
      <c r="C2074" s="201">
        <v>46074.0</v>
      </c>
      <c r="D2074" s="16" t="s">
        <v>307</v>
      </c>
      <c r="E2074" s="16" t="s">
        <v>12051</v>
      </c>
      <c r="F2074" s="16" t="s">
        <v>12053</v>
      </c>
      <c r="G2074" s="16"/>
      <c r="H2074" s="16"/>
      <c r="I2074" s="16"/>
      <c r="J2074" s="16"/>
      <c r="K2074" s="16"/>
      <c r="L2074" s="16"/>
      <c r="M2074" s="16"/>
      <c r="N2074" s="16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16"/>
      <c r="AD2074" s="16"/>
      <c r="AH2074" s="16"/>
      <c r="AL2074" s="16"/>
      <c r="AP2074" s="16"/>
      <c r="AT2074" s="16"/>
      <c r="AX2074" s="16"/>
      <c r="BF2074" s="16"/>
      <c r="BJ2074" s="16"/>
      <c r="BN2074" s="16"/>
      <c r="BO2074" s="16"/>
      <c r="BP2074" s="16" t="s">
        <v>12052</v>
      </c>
      <c r="BQ2074" s="16" t="b">
        <v>0</v>
      </c>
      <c r="BR2074" s="16"/>
      <c r="BS2074" s="21" t="s">
        <v>14034</v>
      </c>
      <c r="BT2074" s="16" t="b">
        <v>1</v>
      </c>
      <c r="BU2074" s="16" t="s">
        <v>13953</v>
      </c>
      <c r="BV2074" s="16"/>
      <c r="BW2074" s="16"/>
      <c r="BX2074" s="16"/>
    </row>
    <row r="2075">
      <c r="A2075" s="16" t="s">
        <v>10543</v>
      </c>
      <c r="B2075" s="16" t="s">
        <v>35</v>
      </c>
      <c r="C2075" s="201">
        <v>46073.0</v>
      </c>
      <c r="D2075" s="21" t="s">
        <v>12789</v>
      </c>
      <c r="E2075" s="16" t="s">
        <v>12056</v>
      </c>
      <c r="F2075" s="16" t="s">
        <v>11625</v>
      </c>
      <c r="G2075" s="16"/>
      <c r="H2075" s="16"/>
      <c r="I2075" s="16"/>
      <c r="J2075" s="16"/>
      <c r="K2075" s="16"/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D2075" s="16"/>
      <c r="AH2075" s="16"/>
      <c r="AL2075" s="16"/>
      <c r="AP2075" s="16"/>
      <c r="AT2075" s="16"/>
      <c r="AX2075" s="16"/>
      <c r="BF2075" s="16"/>
      <c r="BJ2075" s="16"/>
      <c r="BN2075" s="16"/>
      <c r="BO2075" s="16"/>
      <c r="BP2075" s="16" t="s">
        <v>12057</v>
      </c>
      <c r="BQ2075" s="16" t="b">
        <v>0</v>
      </c>
      <c r="BR2075" s="16"/>
      <c r="BS2075" s="21" t="s">
        <v>14035</v>
      </c>
      <c r="BT2075" s="16" t="b">
        <v>1</v>
      </c>
      <c r="BU2075" s="16" t="s">
        <v>13953</v>
      </c>
      <c r="BV2075" s="16"/>
      <c r="BW2075" s="16"/>
      <c r="BX2075" s="16"/>
    </row>
    <row r="2076">
      <c r="A2076" s="16" t="s">
        <v>10553</v>
      </c>
      <c r="B2076" s="16" t="s">
        <v>35</v>
      </c>
      <c r="C2076" s="201">
        <v>46073.0</v>
      </c>
      <c r="D2076" s="16" t="s">
        <v>112</v>
      </c>
      <c r="E2076" s="16" t="s">
        <v>12060</v>
      </c>
      <c r="F2076" s="16" t="s">
        <v>157</v>
      </c>
      <c r="G2076" s="16"/>
      <c r="H2076" s="16"/>
      <c r="I2076" s="16"/>
      <c r="J2076" s="16"/>
      <c r="K2076" s="16"/>
      <c r="L2076" s="16"/>
      <c r="M2076" s="16"/>
      <c r="N2076" s="16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16"/>
      <c r="AD2076" s="16"/>
      <c r="AH2076" s="16"/>
      <c r="AL2076" s="16"/>
      <c r="AP2076" s="16"/>
      <c r="AT2076" s="16"/>
      <c r="AX2076" s="16"/>
      <c r="BF2076" s="16"/>
      <c r="BJ2076" s="16"/>
      <c r="BN2076" s="16"/>
      <c r="BO2076" s="16"/>
      <c r="BP2076" s="16" t="s">
        <v>12061</v>
      </c>
      <c r="BQ2076" s="16" t="b">
        <v>0</v>
      </c>
      <c r="BR2076" s="16"/>
      <c r="BS2076" s="16"/>
      <c r="BT2076" s="16" t="b">
        <v>0</v>
      </c>
      <c r="BU2076" s="16" t="s">
        <v>13953</v>
      </c>
      <c r="BV2076" s="16"/>
      <c r="BW2076" s="16"/>
      <c r="BX2076" s="16"/>
    </row>
    <row r="2077">
      <c r="A2077" s="16" t="s">
        <v>10518</v>
      </c>
      <c r="B2077" s="16" t="s">
        <v>35</v>
      </c>
      <c r="C2077" s="201">
        <v>46069.0</v>
      </c>
      <c r="D2077" s="16" t="s">
        <v>890</v>
      </c>
      <c r="E2077" s="16" t="s">
        <v>14036</v>
      </c>
      <c r="F2077" s="16" t="s">
        <v>14037</v>
      </c>
      <c r="G2077" s="16"/>
      <c r="H2077" s="16"/>
      <c r="I2077" s="16"/>
      <c r="J2077" s="16"/>
      <c r="K2077" s="16"/>
      <c r="L2077" s="16"/>
      <c r="M2077" s="16"/>
      <c r="N2077" s="16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D2077" s="16"/>
      <c r="AH2077" s="16"/>
      <c r="AL2077" s="16"/>
      <c r="AP2077" s="16"/>
      <c r="AT2077" s="16"/>
      <c r="AX2077" s="16"/>
      <c r="BF2077" s="16"/>
      <c r="BJ2077" s="16"/>
      <c r="BN2077" s="16"/>
      <c r="BO2077" s="16"/>
      <c r="BP2077" s="16" t="s">
        <v>12065</v>
      </c>
      <c r="BQ2077" s="16" t="b">
        <v>0</v>
      </c>
      <c r="BR2077" s="16"/>
      <c r="BS2077" s="16"/>
      <c r="BT2077" s="16" t="b">
        <v>0</v>
      </c>
      <c r="BU2077" s="16" t="s">
        <v>8596</v>
      </c>
      <c r="BV2077" s="16"/>
      <c r="BW2077" s="16" t="s">
        <v>12067</v>
      </c>
      <c r="BX2077" s="16"/>
    </row>
    <row r="2078">
      <c r="A2078" s="16" t="s">
        <v>10583</v>
      </c>
      <c r="B2078" s="16" t="s">
        <v>35</v>
      </c>
      <c r="C2078" s="201">
        <v>46076.0</v>
      </c>
      <c r="D2078" s="16" t="s">
        <v>11926</v>
      </c>
      <c r="E2078" s="16" t="s">
        <v>12069</v>
      </c>
      <c r="F2078" s="16" t="s">
        <v>140</v>
      </c>
      <c r="G2078" s="16"/>
      <c r="H2078" s="16"/>
      <c r="I2078" s="16"/>
      <c r="J2078" s="16"/>
      <c r="K2078" s="16"/>
      <c r="L2078" s="16"/>
      <c r="M2078" s="16"/>
      <c r="N2078" s="16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D2078" s="16"/>
      <c r="AH2078" s="16"/>
      <c r="AL2078" s="16"/>
      <c r="AP2078" s="16"/>
      <c r="AT2078" s="16"/>
      <c r="AX2078" s="16"/>
      <c r="BF2078" s="16"/>
      <c r="BJ2078" s="16"/>
      <c r="BN2078" s="16"/>
      <c r="BO2078" s="16"/>
      <c r="BP2078" s="16" t="s">
        <v>12070</v>
      </c>
      <c r="BQ2078" s="16" t="b">
        <v>0</v>
      </c>
      <c r="BR2078" s="16"/>
      <c r="BS2078" s="16"/>
      <c r="BT2078" s="16" t="b">
        <v>0</v>
      </c>
      <c r="BU2078" s="16" t="s">
        <v>13953</v>
      </c>
      <c r="BV2078" s="16"/>
      <c r="BW2078" s="16"/>
      <c r="BX2078" s="16"/>
    </row>
    <row r="2079">
      <c r="A2079" s="16" t="s">
        <v>10585</v>
      </c>
      <c r="B2079" s="16" t="s">
        <v>35</v>
      </c>
      <c r="C2079" s="201">
        <v>46077.0</v>
      </c>
      <c r="D2079" s="16" t="s">
        <v>11779</v>
      </c>
      <c r="E2079" s="16" t="s">
        <v>12074</v>
      </c>
      <c r="F2079" s="16" t="s">
        <v>11782</v>
      </c>
      <c r="G2079" s="16"/>
      <c r="H2079" s="16"/>
      <c r="I2079" s="16"/>
      <c r="J2079" s="16"/>
      <c r="K2079" s="16"/>
      <c r="L2079" s="16"/>
      <c r="M2079" s="16"/>
      <c r="N2079" s="16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D2079" s="16"/>
      <c r="AH2079" s="16"/>
      <c r="AL2079" s="16"/>
      <c r="AP2079" s="16"/>
      <c r="AT2079" s="16"/>
      <c r="AX2079" s="16"/>
      <c r="BF2079" s="16"/>
      <c r="BJ2079" s="16"/>
      <c r="BN2079" s="16"/>
      <c r="BO2079" s="16"/>
      <c r="BP2079" s="16" t="s">
        <v>12075</v>
      </c>
      <c r="BQ2079" s="16" t="b">
        <v>0</v>
      </c>
      <c r="BR2079" s="16"/>
      <c r="BS2079" s="21" t="s">
        <v>14041</v>
      </c>
      <c r="BT2079" s="16" t="b">
        <v>1</v>
      </c>
      <c r="BU2079" s="16" t="s">
        <v>13953</v>
      </c>
      <c r="BV2079" s="16"/>
      <c r="BW2079" s="16"/>
      <c r="BX2079" s="16"/>
    </row>
    <row r="2080">
      <c r="A2080" s="16">
        <v>11766.0</v>
      </c>
      <c r="B2080" s="16" t="s">
        <v>35</v>
      </c>
      <c r="C2080" s="201">
        <v>46077.0</v>
      </c>
      <c r="D2080" s="16" t="s">
        <v>890</v>
      </c>
      <c r="E2080" s="16"/>
      <c r="F2080" s="16" t="s">
        <v>10085</v>
      </c>
      <c r="G2080" s="16" t="s">
        <v>6956</v>
      </c>
      <c r="H2080" s="16">
        <v>1.0</v>
      </c>
      <c r="I2080" s="16">
        <v>1098.0</v>
      </c>
      <c r="J2080" s="16">
        <v>1098.0</v>
      </c>
      <c r="K2080" s="16"/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D2080" s="16"/>
      <c r="AH2080" s="16"/>
      <c r="AL2080" s="16"/>
      <c r="AP2080" s="16"/>
      <c r="AT2080" s="16"/>
      <c r="AX2080" s="16"/>
      <c r="BF2080" s="16"/>
      <c r="BJ2080" s="16"/>
      <c r="BN2080" s="16"/>
      <c r="BO2080" s="16">
        <v>1098.0</v>
      </c>
      <c r="BP2080" s="16"/>
      <c r="BQ2080" s="16" t="b">
        <v>1</v>
      </c>
      <c r="BR2080" s="16">
        <v>1098.0</v>
      </c>
      <c r="BS2080" s="16"/>
      <c r="BT2080" s="16"/>
      <c r="BU2080" s="16" t="s">
        <v>539</v>
      </c>
      <c r="BV2080" s="16"/>
      <c r="BW2080" s="16"/>
      <c r="BX2080" s="16"/>
    </row>
    <row r="2081">
      <c r="A2081" s="16">
        <v>11767.0</v>
      </c>
      <c r="B2081" s="16" t="s">
        <v>35</v>
      </c>
      <c r="C2081" s="201">
        <v>46077.0</v>
      </c>
      <c r="D2081" s="16" t="s">
        <v>890</v>
      </c>
      <c r="E2081" s="16"/>
      <c r="F2081" s="16" t="s">
        <v>10089</v>
      </c>
      <c r="G2081" s="16" t="s">
        <v>7344</v>
      </c>
      <c r="H2081" s="16">
        <v>1.0</v>
      </c>
      <c r="I2081" s="16">
        <v>625.0</v>
      </c>
      <c r="J2081" s="16">
        <v>625.0</v>
      </c>
      <c r="K2081" s="16"/>
      <c r="L2081" s="16"/>
      <c r="M2081" s="16"/>
      <c r="N2081" s="16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16"/>
      <c r="AD2081" s="16"/>
      <c r="AH2081" s="16"/>
      <c r="AL2081" s="16"/>
      <c r="AP2081" s="16"/>
      <c r="AT2081" s="16"/>
      <c r="AX2081" s="16"/>
      <c r="BF2081" s="16"/>
      <c r="BJ2081" s="16"/>
      <c r="BN2081" s="16"/>
      <c r="BO2081" s="16">
        <v>625.0</v>
      </c>
      <c r="BP2081" s="16"/>
      <c r="BQ2081" s="16" t="b">
        <v>1</v>
      </c>
      <c r="BR2081" s="16">
        <v>625.0</v>
      </c>
      <c r="BS2081" s="16"/>
      <c r="BT2081" s="16"/>
      <c r="BU2081" s="16" t="s">
        <v>539</v>
      </c>
      <c r="BV2081" s="16"/>
      <c r="BW2081" s="16"/>
      <c r="BX2081" s="16"/>
    </row>
    <row r="2082">
      <c r="A2082" s="16">
        <v>11771.0</v>
      </c>
      <c r="B2082" s="16" t="s">
        <v>35</v>
      </c>
      <c r="C2082" s="201">
        <v>46077.0</v>
      </c>
      <c r="D2082" s="16" t="s">
        <v>890</v>
      </c>
      <c r="E2082" s="16"/>
      <c r="F2082" s="16" t="s">
        <v>4010</v>
      </c>
      <c r="G2082" s="16" t="s">
        <v>4831</v>
      </c>
      <c r="H2082" s="16">
        <v>1.0</v>
      </c>
      <c r="I2082" s="16">
        <v>375.0</v>
      </c>
      <c r="J2082" s="16">
        <v>375.0</v>
      </c>
      <c r="K2082" s="16"/>
      <c r="L2082" s="16"/>
      <c r="M2082" s="16"/>
      <c r="N2082" s="16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16"/>
      <c r="AD2082" s="16"/>
      <c r="AH2082" s="16"/>
      <c r="AL2082" s="16"/>
      <c r="AP2082" s="16"/>
      <c r="AT2082" s="16"/>
      <c r="AX2082" s="16"/>
      <c r="BF2082" s="16"/>
      <c r="BJ2082" s="16"/>
      <c r="BN2082" s="16"/>
      <c r="BO2082" s="16">
        <v>375.0</v>
      </c>
      <c r="BP2082" s="16"/>
      <c r="BQ2082" s="16" t="b">
        <v>1</v>
      </c>
      <c r="BR2082" s="16">
        <v>375.0</v>
      </c>
      <c r="BS2082" s="16"/>
      <c r="BT2082" s="16"/>
      <c r="BU2082" s="16" t="s">
        <v>539</v>
      </c>
      <c r="BV2082" s="16"/>
      <c r="BW2082" s="16"/>
      <c r="BX2082" s="16"/>
    </row>
    <row r="2083">
      <c r="A2083" s="16" t="s">
        <v>9863</v>
      </c>
      <c r="B2083" s="16" t="s">
        <v>35</v>
      </c>
      <c r="C2083" s="201">
        <v>46077.0</v>
      </c>
      <c r="D2083" s="16" t="s">
        <v>890</v>
      </c>
      <c r="E2083" s="16"/>
      <c r="F2083" s="16" t="s">
        <v>12083</v>
      </c>
      <c r="G2083" s="16" t="s">
        <v>1517</v>
      </c>
      <c r="H2083" s="16">
        <v>1.0</v>
      </c>
      <c r="I2083" s="16">
        <v>1362.87</v>
      </c>
      <c r="J2083" s="16">
        <v>1362.87</v>
      </c>
      <c r="K2083" s="16"/>
      <c r="L2083" s="16"/>
      <c r="M2083" s="16"/>
      <c r="N2083" s="16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16"/>
      <c r="AD2083" s="16"/>
      <c r="AH2083" s="16"/>
      <c r="AL2083" s="16"/>
      <c r="AP2083" s="16"/>
      <c r="AT2083" s="16"/>
      <c r="AX2083" s="16"/>
      <c r="BF2083" s="16"/>
      <c r="BJ2083" s="16"/>
      <c r="BN2083" s="16"/>
      <c r="BO2083" s="16">
        <v>1362.87</v>
      </c>
      <c r="BP2083" s="16"/>
      <c r="BQ2083" s="16" t="b">
        <v>1</v>
      </c>
      <c r="BR2083" s="16">
        <v>1362.87</v>
      </c>
      <c r="BS2083" s="16"/>
      <c r="BT2083" s="16"/>
      <c r="BU2083" s="16" t="s">
        <v>539</v>
      </c>
      <c r="BV2083" s="16"/>
      <c r="BW2083" s="16"/>
      <c r="BX2083" s="16"/>
    </row>
    <row r="2084">
      <c r="A2084" s="16" t="s">
        <v>9865</v>
      </c>
      <c r="B2084" s="16" t="s">
        <v>35</v>
      </c>
      <c r="C2084" s="201">
        <v>46077.0</v>
      </c>
      <c r="D2084" s="16" t="s">
        <v>890</v>
      </c>
      <c r="E2084" s="16"/>
      <c r="F2084" s="16" t="s">
        <v>12087</v>
      </c>
      <c r="G2084" s="16" t="s">
        <v>1517</v>
      </c>
      <c r="H2084" s="16">
        <v>1.0</v>
      </c>
      <c r="I2084" s="16">
        <v>6.24</v>
      </c>
      <c r="J2084" s="16">
        <v>6.24</v>
      </c>
      <c r="K2084" s="16"/>
      <c r="L2084" s="16"/>
      <c r="M2084" s="16"/>
      <c r="N2084" s="16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16"/>
      <c r="AD2084" s="16"/>
      <c r="AH2084" s="16"/>
      <c r="AL2084" s="16"/>
      <c r="AP2084" s="16"/>
      <c r="AT2084" s="16"/>
      <c r="AX2084" s="16"/>
      <c r="BF2084" s="16"/>
      <c r="BJ2084" s="16"/>
      <c r="BN2084" s="16"/>
      <c r="BO2084" s="16">
        <v>6.24</v>
      </c>
      <c r="BP2084" s="16"/>
      <c r="BQ2084" s="16" t="b">
        <v>1</v>
      </c>
      <c r="BR2084" s="16">
        <v>6.24</v>
      </c>
      <c r="BS2084" s="16"/>
      <c r="BT2084" s="16"/>
      <c r="BU2084" s="16" t="s">
        <v>539</v>
      </c>
      <c r="BV2084" s="16"/>
      <c r="BW2084" s="16"/>
      <c r="BX2084" s="16"/>
    </row>
    <row r="2085">
      <c r="A2085" s="16">
        <v>11911.0</v>
      </c>
      <c r="B2085" s="16" t="s">
        <v>35</v>
      </c>
      <c r="C2085" s="201">
        <v>46077.0</v>
      </c>
      <c r="D2085" s="16" t="s">
        <v>460</v>
      </c>
      <c r="E2085" s="16"/>
      <c r="F2085" s="224">
        <v>46300.0</v>
      </c>
      <c r="G2085" s="16" t="s">
        <v>8404</v>
      </c>
      <c r="H2085" s="16">
        <v>1.0</v>
      </c>
      <c r="I2085" s="16">
        <v>249.23</v>
      </c>
      <c r="J2085" s="16">
        <v>249.23</v>
      </c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D2085" s="16"/>
      <c r="AH2085" s="16"/>
      <c r="AL2085" s="16"/>
      <c r="AP2085" s="16"/>
      <c r="AT2085" s="16"/>
      <c r="AX2085" s="16"/>
      <c r="BF2085" s="16"/>
      <c r="BJ2085" s="16"/>
      <c r="BN2085" s="16"/>
      <c r="BO2085" s="16">
        <v>249.23</v>
      </c>
      <c r="BP2085" s="16"/>
      <c r="BQ2085" s="16" t="b">
        <v>1</v>
      </c>
      <c r="BR2085" s="16">
        <v>249.23</v>
      </c>
      <c r="BS2085" s="16"/>
      <c r="BT2085" s="16"/>
      <c r="BU2085" s="16" t="s">
        <v>539</v>
      </c>
      <c r="BV2085" s="16"/>
      <c r="BW2085" s="16"/>
      <c r="BX2085" s="16"/>
    </row>
    <row r="2086">
      <c r="A2086" s="16">
        <v>11914.0</v>
      </c>
      <c r="B2086" s="16" t="s">
        <v>35</v>
      </c>
      <c r="C2086" s="201">
        <v>46077.0</v>
      </c>
      <c r="D2086" s="16" t="s">
        <v>9825</v>
      </c>
      <c r="E2086" s="16"/>
      <c r="F2086" s="16" t="s">
        <v>9826</v>
      </c>
      <c r="G2086" s="16" t="s">
        <v>2870</v>
      </c>
      <c r="H2086" s="16">
        <v>1.0</v>
      </c>
      <c r="I2086" s="16">
        <v>422.33</v>
      </c>
      <c r="J2086" s="16">
        <v>422.33</v>
      </c>
      <c r="K2086" s="16"/>
      <c r="L2086" s="16"/>
      <c r="M2086" s="16"/>
      <c r="N2086" s="16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D2086" s="16"/>
      <c r="AH2086" s="16"/>
      <c r="AL2086" s="16"/>
      <c r="AP2086" s="16"/>
      <c r="AT2086" s="16"/>
      <c r="AX2086" s="16"/>
      <c r="BF2086" s="16"/>
      <c r="BJ2086" s="16"/>
      <c r="BN2086" s="16"/>
      <c r="BO2086" s="16">
        <v>422.33</v>
      </c>
      <c r="BP2086" s="16"/>
      <c r="BQ2086" s="16" t="b">
        <v>1</v>
      </c>
      <c r="BR2086" s="16">
        <v>422.33</v>
      </c>
      <c r="BS2086" s="16"/>
      <c r="BT2086" s="16"/>
      <c r="BU2086" s="16" t="s">
        <v>539</v>
      </c>
      <c r="BV2086" s="16"/>
      <c r="BW2086" s="16"/>
      <c r="BX2086" s="16"/>
    </row>
    <row r="2087">
      <c r="A2087" s="16">
        <v>11915.0</v>
      </c>
      <c r="B2087" s="16" t="s">
        <v>35</v>
      </c>
      <c r="C2087" s="201">
        <v>46077.0</v>
      </c>
      <c r="D2087" s="16" t="s">
        <v>9825</v>
      </c>
      <c r="E2087" s="16"/>
      <c r="F2087" s="16" t="s">
        <v>9835</v>
      </c>
      <c r="G2087" s="16" t="s">
        <v>2870</v>
      </c>
      <c r="H2087" s="16">
        <v>1.0</v>
      </c>
      <c r="I2087" s="16">
        <v>87.68</v>
      </c>
      <c r="J2087" s="16">
        <v>87.68</v>
      </c>
      <c r="K2087" s="16"/>
      <c r="L2087" s="16"/>
      <c r="M2087" s="16"/>
      <c r="N2087" s="16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D2087" s="16"/>
      <c r="AH2087" s="16"/>
      <c r="AL2087" s="16"/>
      <c r="AP2087" s="16"/>
      <c r="AT2087" s="16"/>
      <c r="AX2087" s="16"/>
      <c r="BF2087" s="16"/>
      <c r="BJ2087" s="16"/>
      <c r="BN2087" s="16"/>
      <c r="BO2087" s="16">
        <v>87.68</v>
      </c>
      <c r="BP2087" s="16"/>
      <c r="BQ2087" s="16" t="b">
        <v>1</v>
      </c>
      <c r="BR2087" s="16">
        <v>87.68</v>
      </c>
      <c r="BS2087" s="16"/>
      <c r="BT2087" s="16"/>
      <c r="BU2087" s="16" t="s">
        <v>539</v>
      </c>
      <c r="BV2087" s="16"/>
      <c r="BW2087" s="16"/>
      <c r="BX2087" s="16"/>
    </row>
    <row r="2088">
      <c r="A2088" s="16">
        <v>11916.0</v>
      </c>
      <c r="B2088" s="16" t="s">
        <v>35</v>
      </c>
      <c r="C2088" s="201">
        <v>46077.0</v>
      </c>
      <c r="D2088" s="16" t="s">
        <v>460</v>
      </c>
      <c r="E2088" s="16"/>
      <c r="F2088" s="16" t="s">
        <v>10550</v>
      </c>
      <c r="G2088" s="16" t="s">
        <v>1239</v>
      </c>
      <c r="H2088" s="16">
        <v>1.0</v>
      </c>
      <c r="I2088" s="16">
        <v>4083.0</v>
      </c>
      <c r="J2088" s="16">
        <v>4083.0</v>
      </c>
      <c r="K2088" s="16"/>
      <c r="L2088" s="16"/>
      <c r="M2088" s="16"/>
      <c r="N2088" s="16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16"/>
      <c r="AD2088" s="16"/>
      <c r="AH2088" s="16"/>
      <c r="AL2088" s="16"/>
      <c r="AP2088" s="16"/>
      <c r="AT2088" s="16"/>
      <c r="AX2088" s="16"/>
      <c r="BF2088" s="16"/>
      <c r="BJ2088" s="16"/>
      <c r="BN2088" s="16"/>
      <c r="BO2088" s="16">
        <v>4083.0</v>
      </c>
      <c r="BP2088" s="16"/>
      <c r="BQ2088" s="16" t="b">
        <v>1</v>
      </c>
      <c r="BR2088" s="16">
        <v>4083.0</v>
      </c>
      <c r="BS2088" s="16"/>
      <c r="BT2088" s="16"/>
      <c r="BU2088" s="16" t="s">
        <v>539</v>
      </c>
      <c r="BV2088" s="16"/>
      <c r="BW2088" s="16"/>
      <c r="BX2088" s="16"/>
    </row>
    <row r="2089">
      <c r="A2089" s="16">
        <v>11917.0</v>
      </c>
      <c r="B2089" s="16" t="s">
        <v>35</v>
      </c>
      <c r="C2089" s="201">
        <v>46077.0</v>
      </c>
      <c r="D2089" s="16" t="s">
        <v>460</v>
      </c>
      <c r="E2089" s="16"/>
      <c r="F2089" s="16" t="s">
        <v>11326</v>
      </c>
      <c r="G2089" s="16" t="s">
        <v>1126</v>
      </c>
      <c r="H2089" s="16">
        <v>1.0</v>
      </c>
      <c r="I2089" s="16">
        <v>72.0</v>
      </c>
      <c r="J2089" s="16">
        <v>72.0</v>
      </c>
      <c r="K2089" s="16"/>
      <c r="L2089" s="16"/>
      <c r="M2089" s="16"/>
      <c r="N2089" s="16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16"/>
      <c r="AD2089" s="16"/>
      <c r="AH2089" s="16"/>
      <c r="AL2089" s="16"/>
      <c r="AP2089" s="16"/>
      <c r="AT2089" s="16"/>
      <c r="AX2089" s="16"/>
      <c r="BF2089" s="16"/>
      <c r="BJ2089" s="16"/>
      <c r="BN2089" s="16"/>
      <c r="BO2089" s="16">
        <v>72.0</v>
      </c>
      <c r="BP2089" s="16"/>
      <c r="BQ2089" s="16" t="b">
        <v>1</v>
      </c>
      <c r="BR2089" s="16">
        <v>72.0</v>
      </c>
      <c r="BS2089" s="16"/>
      <c r="BT2089" s="16"/>
      <c r="BU2089" s="16" t="s">
        <v>539</v>
      </c>
      <c r="BV2089" s="16"/>
      <c r="BW2089" s="16"/>
      <c r="BX2089" s="16"/>
    </row>
    <row r="2090">
      <c r="A2090" s="16">
        <v>11918.0</v>
      </c>
      <c r="B2090" s="16" t="s">
        <v>35</v>
      </c>
      <c r="C2090" s="201">
        <v>46077.0</v>
      </c>
      <c r="D2090" s="16" t="s">
        <v>460</v>
      </c>
      <c r="E2090" s="16"/>
      <c r="F2090" s="16" t="s">
        <v>4972</v>
      </c>
      <c r="G2090" s="16" t="s">
        <v>5640</v>
      </c>
      <c r="H2090" s="16">
        <v>1.0</v>
      </c>
      <c r="I2090" s="16">
        <v>22.0</v>
      </c>
      <c r="J2090" s="16">
        <v>22.0</v>
      </c>
      <c r="K2090" s="16"/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D2090" s="16"/>
      <c r="AH2090" s="16"/>
      <c r="AL2090" s="16"/>
      <c r="AP2090" s="16"/>
      <c r="AT2090" s="16"/>
      <c r="AX2090" s="16"/>
      <c r="BF2090" s="16"/>
      <c r="BJ2090" s="16"/>
      <c r="BN2090" s="16"/>
      <c r="BO2090" s="16">
        <v>22.0</v>
      </c>
      <c r="BP2090" s="16"/>
      <c r="BQ2090" s="16" t="b">
        <v>1</v>
      </c>
      <c r="BR2090" s="16">
        <v>22.0</v>
      </c>
      <c r="BS2090" s="16"/>
      <c r="BT2090" s="16"/>
      <c r="BU2090" s="16" t="s">
        <v>539</v>
      </c>
      <c r="BV2090" s="16"/>
      <c r="BW2090" s="16"/>
      <c r="BX2090" s="16"/>
    </row>
    <row r="2091">
      <c r="A2091" s="16">
        <v>11919.0</v>
      </c>
      <c r="B2091" s="16" t="s">
        <v>35</v>
      </c>
      <c r="C2091" s="201">
        <v>46077.0</v>
      </c>
      <c r="D2091" s="16" t="s">
        <v>460</v>
      </c>
      <c r="E2091" s="16"/>
      <c r="F2091" s="16" t="s">
        <v>4979</v>
      </c>
      <c r="G2091" s="16" t="s">
        <v>5973</v>
      </c>
      <c r="H2091" s="16">
        <v>1.0</v>
      </c>
      <c r="I2091" s="16">
        <v>10.0</v>
      </c>
      <c r="J2091" s="16">
        <v>10.0</v>
      </c>
      <c r="K2091" s="16"/>
      <c r="L2091" s="16"/>
      <c r="M2091" s="16"/>
      <c r="N2091" s="16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16"/>
      <c r="AD2091" s="16"/>
      <c r="AH2091" s="16"/>
      <c r="AL2091" s="16"/>
      <c r="AP2091" s="16"/>
      <c r="AT2091" s="16"/>
      <c r="AX2091" s="16"/>
      <c r="BF2091" s="16"/>
      <c r="BJ2091" s="16"/>
      <c r="BN2091" s="16"/>
      <c r="BO2091" s="16">
        <v>10.0</v>
      </c>
      <c r="BP2091" s="16"/>
      <c r="BQ2091" s="16" t="b">
        <v>1</v>
      </c>
      <c r="BR2091" s="16">
        <v>10.0</v>
      </c>
      <c r="BS2091" s="16"/>
      <c r="BT2091" s="16"/>
      <c r="BU2091" s="16" t="s">
        <v>539</v>
      </c>
      <c r="BV2091" s="16"/>
      <c r="BW2091" s="16"/>
      <c r="BX2091" s="16"/>
    </row>
    <row r="2092">
      <c r="A2092" s="16">
        <v>11925.0</v>
      </c>
      <c r="B2092" s="16" t="s">
        <v>35</v>
      </c>
      <c r="C2092" s="201">
        <v>46077.0</v>
      </c>
      <c r="D2092" s="16" t="s">
        <v>460</v>
      </c>
      <c r="E2092" s="16"/>
      <c r="F2092" s="16" t="s">
        <v>12100</v>
      </c>
      <c r="G2092" s="16" t="s">
        <v>9874</v>
      </c>
      <c r="H2092" s="16">
        <v>1.0</v>
      </c>
      <c r="I2092" s="16">
        <v>70.0</v>
      </c>
      <c r="J2092" s="16">
        <v>70.0</v>
      </c>
      <c r="K2092" s="16"/>
      <c r="L2092" s="16"/>
      <c r="M2092" s="16"/>
      <c r="N2092" s="16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16"/>
      <c r="AD2092" s="16"/>
      <c r="AH2092" s="16"/>
      <c r="AL2092" s="16"/>
      <c r="AP2092" s="16"/>
      <c r="AT2092" s="16"/>
      <c r="AX2092" s="16"/>
      <c r="BF2092" s="16"/>
      <c r="BJ2092" s="16"/>
      <c r="BN2092" s="16"/>
      <c r="BO2092" s="16">
        <v>70.0</v>
      </c>
      <c r="BP2092" s="16"/>
      <c r="BQ2092" s="16" t="b">
        <v>1</v>
      </c>
      <c r="BR2092" s="16">
        <v>70.0</v>
      </c>
      <c r="BS2092" s="16"/>
      <c r="BT2092" s="16"/>
      <c r="BU2092" s="16" t="s">
        <v>539</v>
      </c>
      <c r="BV2092" s="16"/>
      <c r="BW2092" s="16"/>
      <c r="BX2092" s="16"/>
    </row>
    <row r="2093">
      <c r="A2093" s="16" t="s">
        <v>9876</v>
      </c>
      <c r="B2093" s="16" t="s">
        <v>35</v>
      </c>
      <c r="C2093" s="201">
        <v>46077.0</v>
      </c>
      <c r="D2093" s="16" t="s">
        <v>890</v>
      </c>
      <c r="E2093" s="16"/>
      <c r="F2093" s="16" t="s">
        <v>12105</v>
      </c>
      <c r="G2093" s="16" t="s">
        <v>1517</v>
      </c>
      <c r="H2093" s="16">
        <v>1.0</v>
      </c>
      <c r="I2093" s="16">
        <v>2265.27</v>
      </c>
      <c r="J2093" s="16">
        <v>2265.27</v>
      </c>
      <c r="K2093" s="16"/>
      <c r="L2093" s="16"/>
      <c r="M2093" s="16"/>
      <c r="N2093" s="16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D2093" s="16"/>
      <c r="AH2093" s="16"/>
      <c r="AL2093" s="16"/>
      <c r="AP2093" s="16"/>
      <c r="AT2093" s="16"/>
      <c r="AX2093" s="16"/>
      <c r="BF2093" s="16"/>
      <c r="BJ2093" s="16"/>
      <c r="BN2093" s="16"/>
      <c r="BO2093" s="16">
        <v>2265.27</v>
      </c>
      <c r="BP2093" s="16"/>
      <c r="BQ2093" s="16" t="b">
        <v>1</v>
      </c>
      <c r="BR2093" s="16">
        <v>2265.27</v>
      </c>
      <c r="BS2093" s="16"/>
      <c r="BT2093" s="16"/>
      <c r="BU2093" s="16" t="s">
        <v>539</v>
      </c>
      <c r="BV2093" s="16"/>
      <c r="BW2093" s="16"/>
      <c r="BX2093" s="16"/>
    </row>
    <row r="2094">
      <c r="A2094" s="16" t="s">
        <v>9878</v>
      </c>
      <c r="B2094" s="16" t="s">
        <v>35</v>
      </c>
      <c r="C2094" s="201">
        <v>46077.0</v>
      </c>
      <c r="D2094" s="16" t="s">
        <v>890</v>
      </c>
      <c r="E2094" s="16"/>
      <c r="F2094" s="16" t="s">
        <v>12107</v>
      </c>
      <c r="G2094" s="16" t="s">
        <v>8458</v>
      </c>
      <c r="H2094" s="16">
        <v>1.0</v>
      </c>
      <c r="I2094" s="16">
        <v>4549.85</v>
      </c>
      <c r="J2094" s="16">
        <v>4549.85</v>
      </c>
      <c r="K2094" s="16"/>
      <c r="L2094" s="16"/>
      <c r="M2094" s="16"/>
      <c r="N2094" s="16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D2094" s="16"/>
      <c r="AH2094" s="16"/>
      <c r="AL2094" s="16"/>
      <c r="AP2094" s="16"/>
      <c r="AT2094" s="16"/>
      <c r="AX2094" s="16"/>
      <c r="BF2094" s="16"/>
      <c r="BJ2094" s="16"/>
      <c r="BN2094" s="16"/>
      <c r="BO2094" s="16">
        <v>4549.85</v>
      </c>
      <c r="BP2094" s="16"/>
      <c r="BQ2094" s="16" t="b">
        <v>1</v>
      </c>
      <c r="BR2094" s="16">
        <v>4549.85</v>
      </c>
      <c r="BS2094" s="16"/>
      <c r="BT2094" s="16"/>
      <c r="BU2094" s="16" t="s">
        <v>539</v>
      </c>
      <c r="BV2094" s="16"/>
      <c r="BW2094" s="16"/>
      <c r="BX2094" s="16"/>
    </row>
    <row r="2095">
      <c r="A2095" s="16" t="s">
        <v>9880</v>
      </c>
      <c r="B2095" s="16" t="s">
        <v>35</v>
      </c>
      <c r="C2095" s="201">
        <v>46077.0</v>
      </c>
      <c r="D2095" s="16" t="s">
        <v>890</v>
      </c>
      <c r="E2095" s="16"/>
      <c r="F2095" s="16" t="s">
        <v>12112</v>
      </c>
      <c r="G2095" s="16" t="s">
        <v>8458</v>
      </c>
      <c r="H2095" s="16">
        <v>1.0</v>
      </c>
      <c r="I2095" s="16">
        <v>348.0</v>
      </c>
      <c r="J2095" s="16">
        <v>348.0</v>
      </c>
      <c r="K2095" s="16"/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D2095" s="16"/>
      <c r="AH2095" s="16"/>
      <c r="AL2095" s="16"/>
      <c r="AP2095" s="16"/>
      <c r="AT2095" s="16"/>
      <c r="AX2095" s="16"/>
      <c r="BF2095" s="16"/>
      <c r="BJ2095" s="16"/>
      <c r="BN2095" s="16"/>
      <c r="BO2095" s="16">
        <v>348.0</v>
      </c>
      <c r="BP2095" s="16"/>
      <c r="BQ2095" s="16" t="b">
        <v>1</v>
      </c>
      <c r="BR2095" s="16">
        <v>348.0</v>
      </c>
      <c r="BS2095" s="16"/>
      <c r="BT2095" s="16"/>
      <c r="BU2095" s="16" t="s">
        <v>539</v>
      </c>
      <c r="BV2095" s="16"/>
      <c r="BW2095" s="16"/>
      <c r="BX2095" s="16"/>
    </row>
    <row r="2096">
      <c r="A2096" s="16" t="s">
        <v>9882</v>
      </c>
      <c r="B2096" s="16" t="s">
        <v>35</v>
      </c>
      <c r="C2096" s="201">
        <v>46078.0</v>
      </c>
      <c r="D2096" s="16" t="s">
        <v>890</v>
      </c>
      <c r="E2096" s="16"/>
      <c r="F2096" s="16" t="s">
        <v>12116</v>
      </c>
      <c r="G2096" s="16" t="s">
        <v>8458</v>
      </c>
      <c r="H2096" s="16">
        <v>1.0</v>
      </c>
      <c r="I2096" s="16">
        <v>5290.0</v>
      </c>
      <c r="J2096" s="16">
        <v>5290.0</v>
      </c>
      <c r="K2096" s="16"/>
      <c r="L2096" s="16"/>
      <c r="M2096" s="16"/>
      <c r="N2096" s="16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16"/>
      <c r="AD2096" s="16"/>
      <c r="AH2096" s="16"/>
      <c r="AL2096" s="16"/>
      <c r="AP2096" s="16"/>
      <c r="AT2096" s="16"/>
      <c r="AX2096" s="16"/>
      <c r="BF2096" s="16"/>
      <c r="BJ2096" s="16"/>
      <c r="BN2096" s="16"/>
      <c r="BO2096" s="16">
        <v>5290.0</v>
      </c>
      <c r="BP2096" s="16"/>
      <c r="BQ2096" s="16" t="b">
        <v>1</v>
      </c>
      <c r="BR2096" s="16">
        <v>5290.0</v>
      </c>
      <c r="BS2096" s="16"/>
      <c r="BT2096" s="16"/>
      <c r="BU2096" s="16" t="s">
        <v>539</v>
      </c>
      <c r="BV2096" s="16"/>
      <c r="BW2096" s="16"/>
      <c r="BX2096" s="16"/>
    </row>
    <row r="2097">
      <c r="A2097" s="16" t="s">
        <v>10610</v>
      </c>
      <c r="B2097" s="16" t="s">
        <v>35</v>
      </c>
      <c r="C2097" s="201">
        <v>46079.0</v>
      </c>
      <c r="D2097" s="21" t="s">
        <v>12789</v>
      </c>
      <c r="E2097" s="16" t="s">
        <v>12119</v>
      </c>
      <c r="F2097" s="16" t="s">
        <v>11734</v>
      </c>
      <c r="G2097" s="16"/>
      <c r="H2097" s="16"/>
      <c r="I2097" s="16"/>
      <c r="J2097" s="16"/>
      <c r="K2097" s="16"/>
      <c r="L2097" s="16"/>
      <c r="M2097" s="16"/>
      <c r="N2097" s="16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16"/>
      <c r="AD2097" s="16"/>
      <c r="AH2097" s="16"/>
      <c r="AL2097" s="16"/>
      <c r="AP2097" s="16"/>
      <c r="AT2097" s="16"/>
      <c r="AX2097" s="16"/>
      <c r="BF2097" s="16"/>
      <c r="BJ2097" s="16"/>
      <c r="BN2097" s="16"/>
      <c r="BO2097" s="16"/>
      <c r="BP2097" s="16" t="s">
        <v>12120</v>
      </c>
      <c r="BQ2097" s="16" t="b">
        <v>0</v>
      </c>
      <c r="BR2097" s="16"/>
      <c r="BS2097" s="21" t="s">
        <v>14049</v>
      </c>
      <c r="BT2097" s="16" t="b">
        <v>1</v>
      </c>
      <c r="BU2097" s="16" t="s">
        <v>13953</v>
      </c>
      <c r="BV2097" s="16"/>
      <c r="BW2097" s="16"/>
      <c r="BX2097" s="16"/>
    </row>
    <row r="2098">
      <c r="A2098" s="16" t="s">
        <v>10599</v>
      </c>
      <c r="B2098" s="16" t="s">
        <v>35</v>
      </c>
      <c r="C2098" s="201">
        <v>46078.0</v>
      </c>
      <c r="D2098" s="16" t="s">
        <v>11784</v>
      </c>
      <c r="E2098" s="16" t="s">
        <v>12125</v>
      </c>
      <c r="F2098" s="16" t="s">
        <v>147</v>
      </c>
      <c r="G2098" s="16"/>
      <c r="H2098" s="16"/>
      <c r="I2098" s="16"/>
      <c r="J2098" s="16"/>
      <c r="K2098" s="16"/>
      <c r="L2098" s="16"/>
      <c r="M2098" s="16"/>
      <c r="N2098" s="16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16"/>
      <c r="AD2098" s="16"/>
      <c r="AH2098" s="16"/>
      <c r="AL2098" s="16"/>
      <c r="AP2098" s="16"/>
      <c r="AT2098" s="16"/>
      <c r="AX2098" s="16"/>
      <c r="BF2098" s="16"/>
      <c r="BJ2098" s="16"/>
      <c r="BN2098" s="16"/>
      <c r="BO2098" s="16"/>
      <c r="BP2098" s="16" t="s">
        <v>12127</v>
      </c>
      <c r="BQ2098" s="16" t="b">
        <v>0</v>
      </c>
      <c r="BR2098" s="16"/>
      <c r="BS2098" s="21" t="s">
        <v>14051</v>
      </c>
      <c r="BT2098" s="16" t="b">
        <v>1</v>
      </c>
      <c r="BU2098" s="16" t="s">
        <v>13953</v>
      </c>
      <c r="BV2098" s="16"/>
      <c r="BW2098" s="16"/>
      <c r="BX2098" s="16"/>
    </row>
    <row r="2099">
      <c r="A2099" s="16" t="s">
        <v>10608</v>
      </c>
      <c r="B2099" s="16" t="s">
        <v>35</v>
      </c>
      <c r="C2099" s="201">
        <v>46078.0</v>
      </c>
      <c r="D2099" s="16" t="s">
        <v>2039</v>
      </c>
      <c r="E2099" s="16" t="s">
        <v>12130</v>
      </c>
      <c r="F2099" s="16" t="s">
        <v>12133</v>
      </c>
      <c r="G2099" s="16"/>
      <c r="H2099" s="16"/>
      <c r="I2099" s="16"/>
      <c r="J2099" s="16"/>
      <c r="K2099" s="16"/>
      <c r="L2099" s="16"/>
      <c r="M2099" s="16"/>
      <c r="N2099" s="16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16"/>
      <c r="AD2099" s="16"/>
      <c r="AH2099" s="16"/>
      <c r="AL2099" s="16"/>
      <c r="AP2099" s="16"/>
      <c r="AT2099" s="16"/>
      <c r="AX2099" s="16"/>
      <c r="BF2099" s="16"/>
      <c r="BJ2099" s="16"/>
      <c r="BN2099" s="16"/>
      <c r="BO2099" s="16"/>
      <c r="BP2099" s="16" t="s">
        <v>12131</v>
      </c>
      <c r="BQ2099" s="16" t="b">
        <v>0</v>
      </c>
      <c r="BR2099" s="16"/>
      <c r="BS2099" s="21" t="s">
        <v>14053</v>
      </c>
      <c r="BT2099" s="16" t="b">
        <v>1</v>
      </c>
      <c r="BU2099" s="16" t="s">
        <v>13953</v>
      </c>
      <c r="BV2099" s="16"/>
      <c r="BW2099" s="16"/>
      <c r="BX2099" s="16"/>
    </row>
    <row r="2100">
      <c r="A2100" s="16" t="s">
        <v>9885</v>
      </c>
      <c r="B2100" s="16" t="s">
        <v>35</v>
      </c>
      <c r="C2100" s="201">
        <v>46079.0</v>
      </c>
      <c r="D2100" s="16"/>
      <c r="E2100" s="16"/>
      <c r="F2100" s="16" t="s">
        <v>1329</v>
      </c>
      <c r="G2100" s="16" t="s">
        <v>1168</v>
      </c>
      <c r="H2100" s="16">
        <v>1.0</v>
      </c>
      <c r="I2100" s="16">
        <v>500.0</v>
      </c>
      <c r="J2100" s="16">
        <v>500.0</v>
      </c>
      <c r="K2100" s="16"/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D2100" s="16"/>
      <c r="AH2100" s="16"/>
      <c r="AL2100" s="16"/>
      <c r="AP2100" s="16"/>
      <c r="AT2100" s="16"/>
      <c r="AX2100" s="16"/>
      <c r="BF2100" s="16"/>
      <c r="BJ2100" s="16"/>
      <c r="BN2100" s="16"/>
      <c r="BO2100" s="16">
        <v>500.0</v>
      </c>
      <c r="BP2100" s="16"/>
      <c r="BQ2100" s="16" t="b">
        <v>1</v>
      </c>
      <c r="BR2100" s="16">
        <v>500.0</v>
      </c>
      <c r="BS2100" s="16"/>
      <c r="BT2100" s="16"/>
      <c r="BU2100" s="16" t="s">
        <v>539</v>
      </c>
      <c r="BV2100" s="16" t="s">
        <v>2052</v>
      </c>
      <c r="BW2100" s="16"/>
      <c r="BX2100" s="16"/>
    </row>
    <row r="2101">
      <c r="A2101" s="16" t="s">
        <v>9887</v>
      </c>
      <c r="B2101" s="16" t="s">
        <v>35</v>
      </c>
      <c r="C2101" s="201">
        <v>46079.0</v>
      </c>
      <c r="D2101" s="16"/>
      <c r="E2101" s="16"/>
      <c r="F2101" s="16" t="s">
        <v>1329</v>
      </c>
      <c r="G2101" s="16" t="s">
        <v>1168</v>
      </c>
      <c r="H2101" s="16">
        <v>1.0</v>
      </c>
      <c r="I2101" s="16">
        <v>500.0</v>
      </c>
      <c r="J2101" s="16">
        <v>500.0</v>
      </c>
      <c r="K2101" s="16"/>
      <c r="L2101" s="16"/>
      <c r="M2101" s="16"/>
      <c r="N2101" s="16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D2101" s="16"/>
      <c r="AH2101" s="16"/>
      <c r="AL2101" s="16"/>
      <c r="AP2101" s="16"/>
      <c r="AT2101" s="16"/>
      <c r="AX2101" s="16"/>
      <c r="BF2101" s="16"/>
      <c r="BJ2101" s="16"/>
      <c r="BN2101" s="16"/>
      <c r="BO2101" s="16">
        <v>500.0</v>
      </c>
      <c r="BP2101" s="16"/>
      <c r="BQ2101" s="16" t="b">
        <v>1</v>
      </c>
      <c r="BR2101" s="16">
        <v>500.0</v>
      </c>
      <c r="BS2101" s="16"/>
      <c r="BT2101" s="16"/>
      <c r="BU2101" s="16" t="s">
        <v>539</v>
      </c>
      <c r="BV2101" s="16" t="s">
        <v>117</v>
      </c>
      <c r="BW2101" s="16"/>
      <c r="BX2101" s="16"/>
    </row>
    <row r="2102">
      <c r="A2102" s="16" t="s">
        <v>9890</v>
      </c>
      <c r="B2102" s="16" t="s">
        <v>35</v>
      </c>
      <c r="C2102" s="201">
        <v>46080.0</v>
      </c>
      <c r="D2102" s="16"/>
      <c r="E2102" s="16"/>
      <c r="F2102" s="16" t="s">
        <v>1329</v>
      </c>
      <c r="G2102" s="16" t="s">
        <v>1168</v>
      </c>
      <c r="H2102" s="16">
        <v>1.0</v>
      </c>
      <c r="I2102" s="16">
        <v>500.0</v>
      </c>
      <c r="J2102" s="16">
        <v>500.0</v>
      </c>
      <c r="K2102" s="16"/>
      <c r="L2102" s="16"/>
      <c r="M2102" s="16"/>
      <c r="N2102" s="16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D2102" s="16"/>
      <c r="AH2102" s="16"/>
      <c r="AL2102" s="16"/>
      <c r="AP2102" s="16"/>
      <c r="AT2102" s="16"/>
      <c r="AX2102" s="16"/>
      <c r="BF2102" s="16"/>
      <c r="BJ2102" s="16"/>
      <c r="BN2102" s="16"/>
      <c r="BO2102" s="16">
        <v>500.0</v>
      </c>
      <c r="BP2102" s="16"/>
      <c r="BQ2102" s="16" t="b">
        <v>1</v>
      </c>
      <c r="BR2102" s="16">
        <v>500.0</v>
      </c>
      <c r="BS2102" s="16"/>
      <c r="BT2102" s="16"/>
      <c r="BU2102" s="16" t="s">
        <v>539</v>
      </c>
      <c r="BV2102" s="16" t="s">
        <v>227</v>
      </c>
      <c r="BW2102" s="16"/>
      <c r="BX2102" s="16"/>
    </row>
    <row r="2103">
      <c r="A2103" s="16" t="s">
        <v>10614</v>
      </c>
      <c r="B2103" s="16" t="s">
        <v>35</v>
      </c>
      <c r="C2103" s="201">
        <v>46079.0</v>
      </c>
      <c r="D2103" s="16" t="s">
        <v>12140</v>
      </c>
      <c r="E2103" s="16" t="s">
        <v>12141</v>
      </c>
      <c r="F2103" s="16" t="s">
        <v>3903</v>
      </c>
      <c r="G2103" s="16"/>
      <c r="H2103" s="16"/>
      <c r="I2103" s="16"/>
      <c r="J2103" s="16"/>
      <c r="K2103" s="16"/>
      <c r="L2103" s="16"/>
      <c r="M2103" s="16"/>
      <c r="N2103" s="16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D2103" s="16"/>
      <c r="AH2103" s="16"/>
      <c r="AL2103" s="16"/>
      <c r="AP2103" s="16"/>
      <c r="AT2103" s="16"/>
      <c r="AX2103" s="16"/>
      <c r="BF2103" s="16"/>
      <c r="BJ2103" s="16"/>
      <c r="BN2103" s="16"/>
      <c r="BO2103" s="16"/>
      <c r="BP2103" s="16" t="s">
        <v>12142</v>
      </c>
      <c r="BQ2103" s="16" t="b">
        <v>0</v>
      </c>
      <c r="BR2103" s="16"/>
      <c r="BS2103" s="21" t="s">
        <v>14058</v>
      </c>
      <c r="BT2103" s="16" t="b">
        <v>1</v>
      </c>
      <c r="BU2103" s="16" t="s">
        <v>13953</v>
      </c>
      <c r="BV2103" s="16"/>
      <c r="BW2103" s="16"/>
      <c r="BX2103" s="16"/>
    </row>
    <row r="2104">
      <c r="A2104" s="16" t="s">
        <v>10630</v>
      </c>
      <c r="B2104" s="16" t="s">
        <v>35</v>
      </c>
      <c r="C2104" s="201">
        <v>46080.0</v>
      </c>
      <c r="D2104" s="16" t="s">
        <v>112</v>
      </c>
      <c r="E2104" s="16" t="s">
        <v>12146</v>
      </c>
      <c r="F2104" s="16" t="s">
        <v>157</v>
      </c>
      <c r="G2104" s="16"/>
      <c r="H2104" s="16"/>
      <c r="I2104" s="16"/>
      <c r="J2104" s="16"/>
      <c r="K2104" s="16"/>
      <c r="L2104" s="16"/>
      <c r="M2104" s="16"/>
      <c r="N2104" s="16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16"/>
      <c r="AD2104" s="16"/>
      <c r="AH2104" s="16"/>
      <c r="AL2104" s="16"/>
      <c r="AP2104" s="16"/>
      <c r="AT2104" s="16"/>
      <c r="AX2104" s="16"/>
      <c r="BF2104" s="16"/>
      <c r="BJ2104" s="16"/>
      <c r="BN2104" s="16"/>
      <c r="BO2104" s="16"/>
      <c r="BP2104" s="16" t="s">
        <v>12147</v>
      </c>
      <c r="BQ2104" s="16" t="b">
        <v>0</v>
      </c>
      <c r="BR2104" s="16"/>
      <c r="BS2104" s="16"/>
      <c r="BT2104" s="16" t="b">
        <v>0</v>
      </c>
      <c r="BU2104" s="16" t="s">
        <v>13953</v>
      </c>
      <c r="BV2104" s="16"/>
      <c r="BW2104" s="16"/>
      <c r="BX2104" s="16"/>
    </row>
    <row r="2105">
      <c r="A2105" s="16" t="s">
        <v>10640</v>
      </c>
      <c r="B2105" s="16" t="s">
        <v>35</v>
      </c>
      <c r="C2105" s="201">
        <v>46080.0</v>
      </c>
      <c r="D2105" s="16" t="s">
        <v>233</v>
      </c>
      <c r="E2105" s="16" t="s">
        <v>12149</v>
      </c>
      <c r="F2105" s="16" t="s">
        <v>12152</v>
      </c>
      <c r="G2105" s="16"/>
      <c r="H2105" s="16"/>
      <c r="I2105" s="16"/>
      <c r="J2105" s="16"/>
      <c r="K2105" s="16"/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D2105" s="16"/>
      <c r="AH2105" s="16"/>
      <c r="AL2105" s="16"/>
      <c r="AP2105" s="16"/>
      <c r="AT2105" s="16"/>
      <c r="AX2105" s="16"/>
      <c r="BF2105" s="16"/>
      <c r="BJ2105" s="16"/>
      <c r="BN2105" s="16"/>
      <c r="BO2105" s="16"/>
      <c r="BP2105" s="16" t="s">
        <v>12151</v>
      </c>
      <c r="BQ2105" s="16" t="b">
        <v>0</v>
      </c>
      <c r="BR2105" s="16"/>
      <c r="BS2105" s="21" t="s">
        <v>14062</v>
      </c>
      <c r="BT2105" s="16" t="b">
        <v>1</v>
      </c>
      <c r="BU2105" s="16" t="s">
        <v>13953</v>
      </c>
      <c r="BV2105" s="16"/>
      <c r="BW2105" s="16"/>
      <c r="BX2105" s="16"/>
    </row>
    <row r="2106">
      <c r="A2106" s="16" t="s">
        <v>10650</v>
      </c>
      <c r="B2106" s="16" t="s">
        <v>35</v>
      </c>
      <c r="C2106" s="201">
        <v>46080.0</v>
      </c>
      <c r="D2106" s="21" t="s">
        <v>12789</v>
      </c>
      <c r="E2106" s="16" t="s">
        <v>12155</v>
      </c>
      <c r="F2106" s="16" t="s">
        <v>11625</v>
      </c>
      <c r="G2106" s="16"/>
      <c r="H2106" s="16"/>
      <c r="I2106" s="16"/>
      <c r="J2106" s="16"/>
      <c r="K2106" s="16"/>
      <c r="L2106" s="16"/>
      <c r="M2106" s="16"/>
      <c r="N2106" s="16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16"/>
      <c r="AD2106" s="16"/>
      <c r="AH2106" s="16"/>
      <c r="AL2106" s="16"/>
      <c r="AP2106" s="16"/>
      <c r="AT2106" s="16"/>
      <c r="AX2106" s="16"/>
      <c r="BF2106" s="16"/>
      <c r="BJ2106" s="16"/>
      <c r="BN2106" s="16"/>
      <c r="BO2106" s="16"/>
      <c r="BP2106" s="16" t="s">
        <v>12156</v>
      </c>
      <c r="BQ2106" s="16" t="b">
        <v>0</v>
      </c>
      <c r="BR2106" s="16"/>
      <c r="BS2106" s="21" t="s">
        <v>14064</v>
      </c>
      <c r="BT2106" s="16" t="b">
        <v>1</v>
      </c>
      <c r="BU2106" s="16" t="s">
        <v>13953</v>
      </c>
      <c r="BV2106" s="16"/>
      <c r="BW2106" s="16"/>
      <c r="BX2106" s="16"/>
    </row>
    <row r="2107">
      <c r="A2107" s="16">
        <v>11922.0</v>
      </c>
      <c r="B2107" s="16" t="s">
        <v>35</v>
      </c>
      <c r="C2107" s="201">
        <v>46081.0</v>
      </c>
      <c r="D2107" s="16"/>
      <c r="E2107" s="16"/>
      <c r="F2107" s="16" t="s">
        <v>8658</v>
      </c>
      <c r="G2107" s="16" t="s">
        <v>1239</v>
      </c>
      <c r="H2107" s="16">
        <v>1.0</v>
      </c>
      <c r="I2107" s="16">
        <v>1362.7</v>
      </c>
      <c r="J2107" s="16">
        <v>1362.7</v>
      </c>
      <c r="K2107" s="16"/>
      <c r="L2107" s="16"/>
      <c r="M2107" s="16"/>
      <c r="N2107" s="16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16"/>
      <c r="AD2107" s="16"/>
      <c r="AH2107" s="16"/>
      <c r="AL2107" s="16"/>
      <c r="AP2107" s="16"/>
      <c r="AT2107" s="16"/>
      <c r="AX2107" s="16"/>
      <c r="BF2107" s="16"/>
      <c r="BJ2107" s="16"/>
      <c r="BN2107" s="16"/>
      <c r="BO2107" s="16">
        <v>1362.7</v>
      </c>
      <c r="BP2107" s="16"/>
      <c r="BQ2107" s="16" t="b">
        <v>1</v>
      </c>
      <c r="BR2107" s="16">
        <v>1362.7</v>
      </c>
      <c r="BS2107" s="16"/>
      <c r="BT2107" s="16"/>
      <c r="BU2107" s="16" t="s">
        <v>539</v>
      </c>
      <c r="BV2107" s="16" t="s">
        <v>117</v>
      </c>
      <c r="BW2107" s="16"/>
      <c r="BX2107" s="16"/>
    </row>
    <row r="2108">
      <c r="A2108" s="16" t="s">
        <v>10588</v>
      </c>
      <c r="B2108" s="16" t="s">
        <v>35</v>
      </c>
      <c r="C2108" s="201">
        <v>46077.0</v>
      </c>
      <c r="D2108" s="16" t="s">
        <v>890</v>
      </c>
      <c r="E2108" s="16" t="s">
        <v>12161</v>
      </c>
      <c r="F2108" s="16" t="s">
        <v>12164</v>
      </c>
      <c r="G2108" s="16"/>
      <c r="H2108" s="16"/>
      <c r="I2108" s="16"/>
      <c r="J2108" s="16"/>
      <c r="K2108" s="16"/>
      <c r="L2108" s="16"/>
      <c r="M2108" s="16"/>
      <c r="N2108" s="16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16"/>
      <c r="AD2108" s="16"/>
      <c r="AH2108" s="16"/>
      <c r="AL2108" s="16"/>
      <c r="AP2108" s="16"/>
      <c r="AT2108" s="16"/>
      <c r="AX2108" s="16"/>
      <c r="BF2108" s="16"/>
      <c r="BJ2108" s="16"/>
      <c r="BN2108" s="16"/>
      <c r="BO2108" s="16"/>
      <c r="BP2108" s="16" t="s">
        <v>12162</v>
      </c>
      <c r="BQ2108" s="16" t="b">
        <v>0</v>
      </c>
      <c r="BR2108" s="16"/>
      <c r="BS2108" s="16"/>
      <c r="BT2108" s="16" t="b">
        <v>0</v>
      </c>
      <c r="BU2108" s="16" t="s">
        <v>13953</v>
      </c>
      <c r="BV2108" s="16"/>
      <c r="BW2108" s="16" t="s">
        <v>12165</v>
      </c>
      <c r="BX2108" s="16"/>
    </row>
    <row r="2109">
      <c r="A2109" s="16" t="s">
        <v>10595</v>
      </c>
      <c r="B2109" s="16" t="s">
        <v>35</v>
      </c>
      <c r="C2109" s="201">
        <v>46077.0</v>
      </c>
      <c r="D2109" s="16" t="s">
        <v>890</v>
      </c>
      <c r="E2109" s="16" t="s">
        <v>12168</v>
      </c>
      <c r="F2109" s="16" t="s">
        <v>12171</v>
      </c>
      <c r="G2109" s="16"/>
      <c r="H2109" s="16"/>
      <c r="I2109" s="16"/>
      <c r="J2109" s="16"/>
      <c r="K2109" s="16"/>
      <c r="L2109" s="16"/>
      <c r="M2109" s="16"/>
      <c r="N2109" s="16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D2109" s="16"/>
      <c r="AH2109" s="16"/>
      <c r="AL2109" s="16"/>
      <c r="AP2109" s="16"/>
      <c r="AT2109" s="16"/>
      <c r="AX2109" s="16"/>
      <c r="BF2109" s="16"/>
      <c r="BJ2109" s="16"/>
      <c r="BN2109" s="16"/>
      <c r="BO2109" s="16"/>
      <c r="BP2109" s="16" t="s">
        <v>12169</v>
      </c>
      <c r="BQ2109" s="16" t="b">
        <v>0</v>
      </c>
      <c r="BR2109" s="16"/>
      <c r="BS2109" s="16"/>
      <c r="BT2109" s="16" t="b">
        <v>0</v>
      </c>
      <c r="BU2109" s="16" t="s">
        <v>13953</v>
      </c>
      <c r="BV2109" s="16"/>
      <c r="BW2109" s="16"/>
      <c r="BX2109" s="16"/>
    </row>
    <row r="2110">
      <c r="A2110" s="16" t="s">
        <v>10617</v>
      </c>
      <c r="B2110" s="16" t="s">
        <v>35</v>
      </c>
      <c r="C2110" s="201">
        <v>46079.0</v>
      </c>
      <c r="D2110" s="16" t="s">
        <v>11765</v>
      </c>
      <c r="E2110" s="16" t="s">
        <v>12173</v>
      </c>
      <c r="F2110" s="16" t="s">
        <v>195</v>
      </c>
      <c r="G2110" s="16"/>
      <c r="H2110" s="16"/>
      <c r="I2110" s="16"/>
      <c r="J2110" s="16"/>
      <c r="K2110" s="16"/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D2110" s="16"/>
      <c r="AH2110" s="16"/>
      <c r="AL2110" s="16"/>
      <c r="AP2110" s="16"/>
      <c r="AT2110" s="16"/>
      <c r="AX2110" s="16"/>
      <c r="BF2110" s="16"/>
      <c r="BJ2110" s="16"/>
      <c r="BN2110" s="16"/>
      <c r="BO2110" s="16"/>
      <c r="BP2110" s="16" t="s">
        <v>12174</v>
      </c>
      <c r="BQ2110" s="16" t="b">
        <v>0</v>
      </c>
      <c r="BR2110" s="16"/>
      <c r="BS2110" s="16"/>
      <c r="BT2110" s="16" t="b">
        <v>0</v>
      </c>
      <c r="BU2110" s="16" t="s">
        <v>13953</v>
      </c>
      <c r="BV2110" s="16"/>
      <c r="BW2110" s="16"/>
      <c r="BX2110" s="16"/>
    </row>
    <row r="2111">
      <c r="A2111" s="16" t="s">
        <v>10668</v>
      </c>
      <c r="B2111" s="16" t="s">
        <v>35</v>
      </c>
      <c r="C2111" s="201">
        <v>46081.0</v>
      </c>
      <c r="D2111" s="16" t="s">
        <v>11926</v>
      </c>
      <c r="E2111" s="16" t="s">
        <v>12178</v>
      </c>
      <c r="F2111" s="16" t="s">
        <v>140</v>
      </c>
      <c r="G2111" s="16"/>
      <c r="H2111" s="16"/>
      <c r="I2111" s="16"/>
      <c r="J2111" s="16"/>
      <c r="K2111" s="16"/>
      <c r="L2111" s="16"/>
      <c r="M2111" s="16"/>
      <c r="N2111" s="16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D2111" s="16"/>
      <c r="AH2111" s="16"/>
      <c r="AL2111" s="16"/>
      <c r="AP2111" s="16"/>
      <c r="AT2111" s="16"/>
      <c r="AX2111" s="16"/>
      <c r="BF2111" s="16"/>
      <c r="BJ2111" s="16"/>
      <c r="BN2111" s="16"/>
      <c r="BO2111" s="16"/>
      <c r="BP2111" s="16" t="s">
        <v>12180</v>
      </c>
      <c r="BQ2111" s="16" t="b">
        <v>0</v>
      </c>
      <c r="BR2111" s="16"/>
      <c r="BS2111" s="16"/>
      <c r="BT2111" s="16" t="b">
        <v>0</v>
      </c>
      <c r="BU2111" s="16" t="s">
        <v>13953</v>
      </c>
      <c r="BV2111" s="16"/>
      <c r="BW2111" s="16"/>
      <c r="BX2111" s="16"/>
    </row>
    <row r="2112">
      <c r="A2112" s="16" t="s">
        <v>10696</v>
      </c>
      <c r="B2112" s="16" t="s">
        <v>35</v>
      </c>
      <c r="C2112" s="201">
        <v>46083.0</v>
      </c>
      <c r="D2112" s="16" t="s">
        <v>11779</v>
      </c>
      <c r="E2112" s="16" t="s">
        <v>12183</v>
      </c>
      <c r="F2112" s="16" t="s">
        <v>12185</v>
      </c>
      <c r="G2112" s="16"/>
      <c r="H2112" s="16"/>
      <c r="I2112" s="16"/>
      <c r="J2112" s="16"/>
      <c r="K2112" s="16"/>
      <c r="L2112" s="16"/>
      <c r="M2112" s="16"/>
      <c r="N2112" s="16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16"/>
      <c r="AD2112" s="16"/>
      <c r="AH2112" s="16"/>
      <c r="AL2112" s="16"/>
      <c r="AP2112" s="16"/>
      <c r="AT2112" s="16"/>
      <c r="AX2112" s="16"/>
      <c r="BF2112" s="16"/>
      <c r="BJ2112" s="16"/>
      <c r="BN2112" s="16"/>
      <c r="BO2112" s="16"/>
      <c r="BP2112" s="16" t="s">
        <v>12184</v>
      </c>
      <c r="BQ2112" s="16" t="b">
        <v>0</v>
      </c>
      <c r="BR2112" s="16"/>
      <c r="BS2112" s="21" t="s">
        <v>14072</v>
      </c>
      <c r="BT2112" s="16" t="b">
        <v>1</v>
      </c>
      <c r="BU2112" s="16" t="s">
        <v>13953</v>
      </c>
      <c r="BV2112" s="16"/>
      <c r="BW2112" s="16"/>
      <c r="BX2112" s="16"/>
    </row>
    <row r="2113">
      <c r="A2113" s="16" t="s">
        <v>10702</v>
      </c>
      <c r="B2113" s="16" t="s">
        <v>35</v>
      </c>
      <c r="C2113" s="201">
        <v>46083.0</v>
      </c>
      <c r="D2113" s="16" t="s">
        <v>112</v>
      </c>
      <c r="E2113" s="16" t="s">
        <v>12189</v>
      </c>
      <c r="F2113" s="16" t="s">
        <v>157</v>
      </c>
      <c r="G2113" s="16"/>
      <c r="H2113" s="16"/>
      <c r="I2113" s="16"/>
      <c r="J2113" s="16"/>
      <c r="K2113" s="16"/>
      <c r="L2113" s="16"/>
      <c r="M2113" s="16"/>
      <c r="N2113" s="16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16"/>
      <c r="AD2113" s="16"/>
      <c r="AH2113" s="16"/>
      <c r="AL2113" s="16"/>
      <c r="AP2113" s="16"/>
      <c r="AT2113" s="16"/>
      <c r="AX2113" s="16"/>
      <c r="BF2113" s="16"/>
      <c r="BJ2113" s="16"/>
      <c r="BN2113" s="16"/>
      <c r="BO2113" s="16"/>
      <c r="BP2113" s="16" t="s">
        <v>12190</v>
      </c>
      <c r="BQ2113" s="16" t="b">
        <v>0</v>
      </c>
      <c r="BR2113" s="16"/>
      <c r="BS2113" s="16"/>
      <c r="BT2113" s="16" t="b">
        <v>0</v>
      </c>
      <c r="BU2113" s="16" t="s">
        <v>13953</v>
      </c>
      <c r="BV2113" s="16"/>
      <c r="BW2113" s="16"/>
      <c r="BX2113" s="16"/>
    </row>
    <row r="2114">
      <c r="A2114" s="16" t="s">
        <v>10672</v>
      </c>
      <c r="B2114" s="16" t="s">
        <v>35</v>
      </c>
      <c r="C2114" s="201">
        <v>46082.0</v>
      </c>
      <c r="D2114" s="16" t="s">
        <v>12191</v>
      </c>
      <c r="E2114" s="16" t="s">
        <v>12192</v>
      </c>
      <c r="F2114" s="16" t="s">
        <v>12194</v>
      </c>
      <c r="G2114" s="16"/>
      <c r="H2114" s="16"/>
      <c r="I2114" s="16"/>
      <c r="J2114" s="16"/>
      <c r="K2114" s="16"/>
      <c r="L2114" s="16"/>
      <c r="M2114" s="16"/>
      <c r="N2114" s="16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16"/>
      <c r="AD2114" s="16"/>
      <c r="AH2114" s="16"/>
      <c r="AL2114" s="16"/>
      <c r="AP2114" s="16"/>
      <c r="AT2114" s="16"/>
      <c r="AX2114" s="16"/>
      <c r="BF2114" s="16"/>
      <c r="BJ2114" s="16"/>
      <c r="BN2114" s="16"/>
      <c r="BO2114" s="16"/>
      <c r="BP2114" s="16" t="s">
        <v>12193</v>
      </c>
      <c r="BQ2114" s="16" t="b">
        <v>0</v>
      </c>
      <c r="BR2114" s="16"/>
      <c r="BS2114" s="21" t="s">
        <v>14074</v>
      </c>
      <c r="BT2114" s="16" t="b">
        <v>1</v>
      </c>
      <c r="BU2114" s="16" t="s">
        <v>13953</v>
      </c>
      <c r="BV2114" s="16"/>
      <c r="BW2114" s="16"/>
      <c r="BX2114" s="16"/>
    </row>
    <row r="2115">
      <c r="A2115" s="16" t="s">
        <v>10693</v>
      </c>
      <c r="B2115" s="16" t="s">
        <v>35</v>
      </c>
      <c r="C2115" s="201">
        <v>46082.0</v>
      </c>
      <c r="D2115" s="21" t="s">
        <v>12789</v>
      </c>
      <c r="E2115" s="16" t="s">
        <v>12196</v>
      </c>
      <c r="F2115" s="16" t="s">
        <v>8510</v>
      </c>
      <c r="G2115" s="16"/>
      <c r="H2115" s="16"/>
      <c r="I2115" s="16"/>
      <c r="J2115" s="16"/>
      <c r="K2115" s="16"/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D2115" s="16"/>
      <c r="AH2115" s="16"/>
      <c r="AL2115" s="16"/>
      <c r="AP2115" s="16"/>
      <c r="AT2115" s="16"/>
      <c r="AX2115" s="16"/>
      <c r="BF2115" s="16"/>
      <c r="BJ2115" s="16"/>
      <c r="BN2115" s="16"/>
      <c r="BO2115" s="16"/>
      <c r="BP2115" s="16" t="s">
        <v>12197</v>
      </c>
      <c r="BQ2115" s="16" t="b">
        <v>0</v>
      </c>
      <c r="BR2115" s="16"/>
      <c r="BS2115" s="21" t="s">
        <v>14075</v>
      </c>
      <c r="BT2115" s="16" t="b">
        <v>1</v>
      </c>
      <c r="BU2115" s="16" t="s">
        <v>13953</v>
      </c>
      <c r="BV2115" s="16"/>
      <c r="BW2115" s="16"/>
      <c r="BX2115" s="16"/>
    </row>
    <row r="2116">
      <c r="A2116" s="16" t="s">
        <v>10559</v>
      </c>
      <c r="B2116" s="16" t="s">
        <v>35</v>
      </c>
      <c r="C2116" s="201">
        <v>46073.0</v>
      </c>
      <c r="D2116" s="16" t="s">
        <v>3155</v>
      </c>
      <c r="E2116" s="16" t="s">
        <v>12200</v>
      </c>
      <c r="F2116" s="16" t="s">
        <v>9926</v>
      </c>
      <c r="G2116" s="16"/>
      <c r="H2116" s="16"/>
      <c r="I2116" s="16"/>
      <c r="J2116" s="16"/>
      <c r="K2116" s="16"/>
      <c r="L2116" s="16"/>
      <c r="M2116" s="16"/>
      <c r="N2116" s="16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16"/>
      <c r="AD2116" s="16"/>
      <c r="AH2116" s="16"/>
      <c r="AL2116" s="16"/>
      <c r="AP2116" s="16"/>
      <c r="AT2116" s="16"/>
      <c r="AX2116" s="16"/>
      <c r="BF2116" s="16"/>
      <c r="BJ2116" s="16"/>
      <c r="BN2116" s="16"/>
      <c r="BO2116" s="16"/>
      <c r="BP2116" s="16" t="s">
        <v>12202</v>
      </c>
      <c r="BQ2116" s="16" t="b">
        <v>0</v>
      </c>
      <c r="BR2116" s="16"/>
      <c r="BS2116" s="16"/>
      <c r="BT2116" s="16" t="b">
        <v>0</v>
      </c>
      <c r="BU2116" s="16" t="s">
        <v>13953</v>
      </c>
      <c r="BV2116" s="16"/>
      <c r="BW2116" s="16"/>
      <c r="BX2116" s="16"/>
    </row>
    <row r="2117">
      <c r="A2117" s="16" t="s">
        <v>10712</v>
      </c>
      <c r="B2117" s="16" t="s">
        <v>35</v>
      </c>
      <c r="C2117" s="201">
        <v>46083.0</v>
      </c>
      <c r="D2117" s="16" t="s">
        <v>11926</v>
      </c>
      <c r="E2117" s="16" t="s">
        <v>12203</v>
      </c>
      <c r="F2117" s="16" t="s">
        <v>140</v>
      </c>
      <c r="G2117" s="16"/>
      <c r="H2117" s="16"/>
      <c r="I2117" s="16"/>
      <c r="J2117" s="16"/>
      <c r="K2117" s="16"/>
      <c r="L2117" s="16"/>
      <c r="M2117" s="16"/>
      <c r="N2117" s="16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D2117" s="16"/>
      <c r="AH2117" s="16"/>
      <c r="AL2117" s="16"/>
      <c r="AP2117" s="16"/>
      <c r="AT2117" s="16"/>
      <c r="AX2117" s="16"/>
      <c r="BF2117" s="16"/>
      <c r="BJ2117" s="16"/>
      <c r="BN2117" s="16"/>
      <c r="BO2117" s="16"/>
      <c r="BP2117" s="16" t="s">
        <v>12204</v>
      </c>
      <c r="BQ2117" s="16" t="b">
        <v>0</v>
      </c>
      <c r="BR2117" s="16"/>
      <c r="BS2117" s="16"/>
      <c r="BT2117" s="16" t="b">
        <v>0</v>
      </c>
      <c r="BU2117" s="16" t="s">
        <v>13953</v>
      </c>
      <c r="BV2117" s="16"/>
      <c r="BW2117" s="16"/>
      <c r="BX2117" s="16"/>
    </row>
    <row r="2118">
      <c r="A2118" s="16" t="s">
        <v>9896</v>
      </c>
      <c r="B2118" s="16" t="s">
        <v>35</v>
      </c>
      <c r="C2118" s="201">
        <v>46083.0</v>
      </c>
      <c r="D2118" s="16" t="s">
        <v>460</v>
      </c>
      <c r="E2118" s="16"/>
      <c r="F2118" s="16" t="s">
        <v>12208</v>
      </c>
      <c r="G2118" s="16" t="s">
        <v>9897</v>
      </c>
      <c r="H2118" s="16">
        <v>1.0</v>
      </c>
      <c r="I2118" s="16">
        <v>264.55</v>
      </c>
      <c r="J2118" s="16">
        <v>264.55</v>
      </c>
      <c r="K2118" s="16"/>
      <c r="L2118" s="16"/>
      <c r="M2118" s="16"/>
      <c r="N2118" s="16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D2118" s="16"/>
      <c r="AH2118" s="16"/>
      <c r="AL2118" s="16"/>
      <c r="AP2118" s="16"/>
      <c r="AT2118" s="16"/>
      <c r="AX2118" s="16"/>
      <c r="BF2118" s="16"/>
      <c r="BJ2118" s="16"/>
      <c r="BN2118" s="16"/>
      <c r="BO2118" s="16">
        <v>264.55</v>
      </c>
      <c r="BP2118" s="16"/>
      <c r="BQ2118" s="16" t="b">
        <v>1</v>
      </c>
      <c r="BR2118" s="16">
        <v>264.55</v>
      </c>
      <c r="BS2118" s="16"/>
      <c r="BT2118" s="16"/>
      <c r="BU2118" s="16" t="s">
        <v>539</v>
      </c>
      <c r="BV2118" s="16"/>
      <c r="BW2118" s="16"/>
      <c r="BX2118" s="16"/>
    </row>
    <row r="2119">
      <c r="A2119" s="16">
        <v>11913.0</v>
      </c>
      <c r="B2119" s="16" t="s">
        <v>35</v>
      </c>
      <c r="C2119" s="201">
        <v>46083.0</v>
      </c>
      <c r="D2119" s="16" t="s">
        <v>10315</v>
      </c>
      <c r="E2119" s="16"/>
      <c r="F2119" s="16" t="s">
        <v>12212</v>
      </c>
      <c r="G2119" s="16" t="s">
        <v>8792</v>
      </c>
      <c r="H2119" s="16">
        <v>1.0</v>
      </c>
      <c r="I2119" s="16">
        <v>0.01</v>
      </c>
      <c r="J2119" s="16">
        <v>0.01</v>
      </c>
      <c r="K2119" s="16"/>
      <c r="L2119" s="16"/>
      <c r="M2119" s="16"/>
      <c r="N2119" s="16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D2119" s="16"/>
      <c r="AH2119" s="16"/>
      <c r="AL2119" s="16"/>
      <c r="AP2119" s="16"/>
      <c r="AT2119" s="16"/>
      <c r="AX2119" s="16"/>
      <c r="BF2119" s="16"/>
      <c r="BJ2119" s="16"/>
      <c r="BN2119" s="16"/>
      <c r="BO2119" s="16">
        <v>0.01</v>
      </c>
      <c r="BP2119" s="16"/>
      <c r="BQ2119" s="16" t="b">
        <v>1</v>
      </c>
      <c r="BR2119" s="16">
        <v>0.01</v>
      </c>
      <c r="BS2119" s="16"/>
      <c r="BT2119" s="16"/>
      <c r="BU2119" s="16" t="s">
        <v>539</v>
      </c>
      <c r="BV2119" s="16"/>
      <c r="BW2119" s="16"/>
      <c r="BX2119" s="16"/>
    </row>
    <row r="2120">
      <c r="A2120" s="16">
        <v>11920.0</v>
      </c>
      <c r="B2120" s="16" t="s">
        <v>35</v>
      </c>
      <c r="C2120" s="201">
        <v>46083.0</v>
      </c>
      <c r="D2120" s="16"/>
      <c r="E2120" s="16"/>
      <c r="F2120" s="16" t="s">
        <v>8658</v>
      </c>
      <c r="G2120" s="16" t="s">
        <v>1239</v>
      </c>
      <c r="H2120" s="16">
        <v>1.0</v>
      </c>
      <c r="I2120" s="16">
        <v>1710.65</v>
      </c>
      <c r="J2120" s="16">
        <v>1710.65</v>
      </c>
      <c r="K2120" s="16"/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D2120" s="16"/>
      <c r="AH2120" s="16"/>
      <c r="AL2120" s="16"/>
      <c r="AP2120" s="16"/>
      <c r="AT2120" s="16"/>
      <c r="AX2120" s="16"/>
      <c r="BF2120" s="16"/>
      <c r="BJ2120" s="16"/>
      <c r="BN2120" s="16"/>
      <c r="BO2120" s="16">
        <v>1710.65</v>
      </c>
      <c r="BP2120" s="16"/>
      <c r="BQ2120" s="16" t="b">
        <v>1</v>
      </c>
      <c r="BR2120" s="16">
        <v>1710.65</v>
      </c>
      <c r="BS2120" s="16"/>
      <c r="BT2120" s="16"/>
      <c r="BU2120" s="16" t="s">
        <v>539</v>
      </c>
      <c r="BV2120" s="16" t="s">
        <v>2052</v>
      </c>
      <c r="BW2120" s="16"/>
      <c r="BX2120" s="16"/>
    </row>
    <row r="2121">
      <c r="A2121" s="16">
        <v>11921.0</v>
      </c>
      <c r="B2121" s="16" t="s">
        <v>35</v>
      </c>
      <c r="C2121" s="201">
        <v>46082.0</v>
      </c>
      <c r="D2121" s="16"/>
      <c r="E2121" s="16"/>
      <c r="F2121" s="16" t="s">
        <v>8658</v>
      </c>
      <c r="G2121" s="16" t="s">
        <v>1239</v>
      </c>
      <c r="H2121" s="16">
        <v>1.0</v>
      </c>
      <c r="I2121" s="16">
        <v>1681.43</v>
      </c>
      <c r="J2121" s="16">
        <v>1681.43</v>
      </c>
      <c r="K2121" s="16"/>
      <c r="L2121" s="16"/>
      <c r="M2121" s="16"/>
      <c r="N2121" s="16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16"/>
      <c r="AD2121" s="16"/>
      <c r="AH2121" s="16"/>
      <c r="AL2121" s="16"/>
      <c r="AP2121" s="16"/>
      <c r="AT2121" s="16"/>
      <c r="AX2121" s="16"/>
      <c r="BF2121" s="16"/>
      <c r="BJ2121" s="16"/>
      <c r="BN2121" s="16"/>
      <c r="BO2121" s="16">
        <v>1681.43</v>
      </c>
      <c r="BP2121" s="16"/>
      <c r="BQ2121" s="16" t="b">
        <v>1</v>
      </c>
      <c r="BR2121" s="16">
        <v>1681.43</v>
      </c>
      <c r="BS2121" s="16"/>
      <c r="BT2121" s="16"/>
      <c r="BU2121" s="16" t="s">
        <v>539</v>
      </c>
      <c r="BV2121" s="16" t="s">
        <v>227</v>
      </c>
      <c r="BW2121" s="16"/>
      <c r="BX2121" s="16"/>
    </row>
    <row r="2122">
      <c r="A2122" s="16">
        <v>11923.0</v>
      </c>
      <c r="B2122" s="16" t="s">
        <v>35</v>
      </c>
      <c r="C2122" s="201">
        <v>46083.0</v>
      </c>
      <c r="D2122" s="16"/>
      <c r="E2122" s="16"/>
      <c r="F2122" s="16" t="s">
        <v>8658</v>
      </c>
      <c r="G2122" s="16" t="s">
        <v>1239</v>
      </c>
      <c r="H2122" s="16">
        <v>1.0</v>
      </c>
      <c r="I2122" s="16">
        <v>4540.04</v>
      </c>
      <c r="J2122" s="16">
        <v>4540.04</v>
      </c>
      <c r="K2122" s="16"/>
      <c r="L2122" s="16"/>
      <c r="M2122" s="16"/>
      <c r="N2122" s="16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16"/>
      <c r="AD2122" s="16"/>
      <c r="AH2122" s="16"/>
      <c r="AL2122" s="16"/>
      <c r="AP2122" s="16"/>
      <c r="AT2122" s="16"/>
      <c r="AX2122" s="16"/>
      <c r="BF2122" s="16"/>
      <c r="BJ2122" s="16"/>
      <c r="BN2122" s="16"/>
      <c r="BO2122" s="16">
        <v>4540.04</v>
      </c>
      <c r="BP2122" s="16"/>
      <c r="BQ2122" s="16" t="b">
        <v>1</v>
      </c>
      <c r="BR2122" s="16">
        <v>4540.04</v>
      </c>
      <c r="BS2122" s="16"/>
      <c r="BT2122" s="16"/>
      <c r="BU2122" s="16" t="s">
        <v>539</v>
      </c>
      <c r="BV2122" s="16" t="s">
        <v>218</v>
      </c>
      <c r="BW2122" s="16"/>
      <c r="BX2122" s="16"/>
    </row>
    <row r="2123">
      <c r="A2123" s="16">
        <v>11924.0</v>
      </c>
      <c r="B2123" s="16" t="s">
        <v>35</v>
      </c>
      <c r="C2123" s="201">
        <v>46083.0</v>
      </c>
      <c r="D2123" s="16"/>
      <c r="E2123" s="16"/>
      <c r="F2123" s="16" t="s">
        <v>8658</v>
      </c>
      <c r="G2123" s="16" t="s">
        <v>1239</v>
      </c>
      <c r="H2123" s="16">
        <v>1.0</v>
      </c>
      <c r="I2123" s="16">
        <v>2191.19</v>
      </c>
      <c r="J2123" s="16">
        <v>2191.19</v>
      </c>
      <c r="K2123" s="16"/>
      <c r="L2123" s="16"/>
      <c r="M2123" s="16"/>
      <c r="N2123" s="16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16"/>
      <c r="AD2123" s="16"/>
      <c r="AH2123" s="16"/>
      <c r="AL2123" s="16"/>
      <c r="AP2123" s="16"/>
      <c r="AT2123" s="16"/>
      <c r="AX2123" s="16"/>
      <c r="BF2123" s="16"/>
      <c r="BJ2123" s="16"/>
      <c r="BN2123" s="16"/>
      <c r="BO2123" s="16">
        <v>2191.19</v>
      </c>
      <c r="BP2123" s="16"/>
      <c r="BQ2123" s="16" t="b">
        <v>1</v>
      </c>
      <c r="BR2123" s="16">
        <v>2191.19</v>
      </c>
      <c r="BS2123" s="16"/>
      <c r="BT2123" s="16"/>
      <c r="BU2123" s="16" t="s">
        <v>539</v>
      </c>
      <c r="BV2123" s="16" t="s">
        <v>336</v>
      </c>
      <c r="BW2123" s="16"/>
      <c r="BX2123" s="16"/>
    </row>
    <row r="2124">
      <c r="A2124" s="16" t="s">
        <v>9914</v>
      </c>
      <c r="B2124" s="16" t="s">
        <v>35</v>
      </c>
      <c r="C2124" s="201">
        <v>46084.0</v>
      </c>
      <c r="D2124" s="16" t="s">
        <v>2280</v>
      </c>
      <c r="E2124" s="16"/>
      <c r="F2124" s="16" t="s">
        <v>8658</v>
      </c>
      <c r="G2124" s="16" t="s">
        <v>9257</v>
      </c>
      <c r="H2124" s="16">
        <v>1.0</v>
      </c>
      <c r="I2124" s="16">
        <v>3322.57</v>
      </c>
      <c r="J2124" s="16">
        <v>3322.57</v>
      </c>
      <c r="K2124" s="16"/>
      <c r="L2124" s="16"/>
      <c r="M2124" s="16"/>
      <c r="N2124" s="16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16"/>
      <c r="AD2124" s="16"/>
      <c r="AH2124" s="16"/>
      <c r="AL2124" s="16"/>
      <c r="AP2124" s="16"/>
      <c r="AT2124" s="16"/>
      <c r="AX2124" s="16"/>
      <c r="BF2124" s="16"/>
      <c r="BJ2124" s="16"/>
      <c r="BN2124" s="16"/>
      <c r="BO2124" s="16">
        <v>3322.57</v>
      </c>
      <c r="BP2124" s="16"/>
      <c r="BQ2124" s="16" t="b">
        <v>1</v>
      </c>
      <c r="BR2124" s="16">
        <v>3322.57</v>
      </c>
      <c r="BS2124" s="16"/>
      <c r="BT2124" s="16"/>
      <c r="BU2124" s="16" t="s">
        <v>539</v>
      </c>
      <c r="BV2124" s="16"/>
      <c r="BW2124" s="16"/>
      <c r="BX2124" s="16"/>
    </row>
    <row r="2125">
      <c r="A2125" s="16" t="s">
        <v>10664</v>
      </c>
      <c r="B2125" s="16" t="s">
        <v>35</v>
      </c>
      <c r="C2125" s="201">
        <v>46080.0</v>
      </c>
      <c r="D2125" s="16" t="s">
        <v>890</v>
      </c>
      <c r="E2125" s="16" t="s">
        <v>12228</v>
      </c>
      <c r="F2125" s="16" t="s">
        <v>12231</v>
      </c>
      <c r="G2125" s="16"/>
      <c r="H2125" s="16"/>
      <c r="I2125" s="16"/>
      <c r="J2125" s="16"/>
      <c r="K2125" s="16"/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D2125" s="16"/>
      <c r="AH2125" s="16"/>
      <c r="AL2125" s="16"/>
      <c r="AP2125" s="16"/>
      <c r="AT2125" s="16"/>
      <c r="AX2125" s="16"/>
      <c r="BF2125" s="16"/>
      <c r="BJ2125" s="16"/>
      <c r="BN2125" s="16"/>
      <c r="BO2125" s="16"/>
      <c r="BP2125" s="16" t="s">
        <v>12230</v>
      </c>
      <c r="BQ2125" s="16" t="b">
        <v>0</v>
      </c>
      <c r="BR2125" s="16"/>
      <c r="BS2125" s="16"/>
      <c r="BT2125" s="16" t="b">
        <v>0</v>
      </c>
      <c r="BU2125" s="16" t="s">
        <v>13953</v>
      </c>
      <c r="BV2125" s="16"/>
      <c r="BW2125" s="16"/>
      <c r="BX2125" s="16"/>
    </row>
    <row r="2126">
      <c r="A2126" s="16" t="s">
        <v>10724</v>
      </c>
      <c r="B2126" s="16" t="s">
        <v>35</v>
      </c>
      <c r="C2126" s="201">
        <v>46085.0</v>
      </c>
      <c r="D2126" s="16" t="s">
        <v>420</v>
      </c>
      <c r="E2126" s="16" t="s">
        <v>12233</v>
      </c>
      <c r="F2126" s="16" t="s">
        <v>12235</v>
      </c>
      <c r="G2126" s="16"/>
      <c r="H2126" s="16"/>
      <c r="I2126" s="16"/>
      <c r="J2126" s="16"/>
      <c r="K2126" s="16"/>
      <c r="L2126" s="16"/>
      <c r="M2126" s="16"/>
      <c r="N2126" s="16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D2126" s="16"/>
      <c r="AH2126" s="16"/>
      <c r="AL2126" s="16"/>
      <c r="AP2126" s="16"/>
      <c r="AT2126" s="16"/>
      <c r="AX2126" s="16"/>
      <c r="BF2126" s="16"/>
      <c r="BJ2126" s="16"/>
      <c r="BN2126" s="16"/>
      <c r="BO2126" s="16"/>
      <c r="BP2126" s="16" t="s">
        <v>12234</v>
      </c>
      <c r="BQ2126" s="16" t="b">
        <v>0</v>
      </c>
      <c r="BR2126" s="16"/>
      <c r="BS2126" s="16"/>
      <c r="BT2126" s="16" t="b">
        <v>0</v>
      </c>
      <c r="BU2126" s="16" t="s">
        <v>13953</v>
      </c>
      <c r="BV2126" s="16"/>
      <c r="BW2126" s="16" t="s">
        <v>12236</v>
      </c>
      <c r="BX2126" s="16"/>
    </row>
    <row r="2127">
      <c r="A2127" s="16" t="s">
        <v>10764</v>
      </c>
      <c r="B2127" s="16" t="s">
        <v>35</v>
      </c>
      <c r="C2127" s="201">
        <v>46086.0</v>
      </c>
      <c r="D2127" s="16" t="s">
        <v>11765</v>
      </c>
      <c r="E2127" s="16" t="s">
        <v>12238</v>
      </c>
      <c r="F2127" s="16" t="s">
        <v>195</v>
      </c>
      <c r="G2127" s="16"/>
      <c r="H2127" s="16"/>
      <c r="I2127" s="16"/>
      <c r="J2127" s="16"/>
      <c r="K2127" s="16"/>
      <c r="L2127" s="16"/>
      <c r="M2127" s="16"/>
      <c r="N2127" s="16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D2127" s="16"/>
      <c r="AH2127" s="16"/>
      <c r="AL2127" s="16"/>
      <c r="AP2127" s="16"/>
      <c r="AT2127" s="16"/>
      <c r="AX2127" s="16"/>
      <c r="BF2127" s="16"/>
      <c r="BJ2127" s="16"/>
      <c r="BN2127" s="16"/>
      <c r="BO2127" s="16"/>
      <c r="BP2127" s="16" t="s">
        <v>12240</v>
      </c>
      <c r="BQ2127" s="16" t="b">
        <v>0</v>
      </c>
      <c r="BR2127" s="16"/>
      <c r="BS2127" s="16"/>
      <c r="BT2127" s="16" t="b">
        <v>0</v>
      </c>
      <c r="BU2127" s="16" t="s">
        <v>13953</v>
      </c>
      <c r="BV2127" s="16"/>
      <c r="BW2127" s="16" t="s">
        <v>12241</v>
      </c>
      <c r="BX2127" s="16"/>
    </row>
    <row r="2128">
      <c r="A2128" s="16" t="s">
        <v>10714</v>
      </c>
      <c r="B2128" s="16" t="s">
        <v>35</v>
      </c>
      <c r="C2128" s="201">
        <v>46084.0</v>
      </c>
      <c r="D2128" s="16" t="s">
        <v>890</v>
      </c>
      <c r="E2128" s="16" t="s">
        <v>12243</v>
      </c>
      <c r="F2128" s="16" t="s">
        <v>12245</v>
      </c>
      <c r="G2128" s="16"/>
      <c r="H2128" s="16"/>
      <c r="I2128" s="16"/>
      <c r="J2128" s="16"/>
      <c r="K2128" s="16"/>
      <c r="L2128" s="16"/>
      <c r="M2128" s="16"/>
      <c r="N2128" s="16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16"/>
      <c r="AD2128" s="16"/>
      <c r="AH2128" s="16"/>
      <c r="AL2128" s="16"/>
      <c r="AP2128" s="16"/>
      <c r="AT2128" s="16"/>
      <c r="AX2128" s="16"/>
      <c r="BF2128" s="16"/>
      <c r="BJ2128" s="16"/>
      <c r="BN2128" s="16"/>
      <c r="BO2128" s="16"/>
      <c r="BP2128" s="16" t="s">
        <v>12244</v>
      </c>
      <c r="BQ2128" s="16" t="b">
        <v>0</v>
      </c>
      <c r="BR2128" s="16"/>
      <c r="BS2128" s="16"/>
      <c r="BT2128" s="16" t="b">
        <v>0</v>
      </c>
      <c r="BU2128" s="16" t="s">
        <v>13953</v>
      </c>
      <c r="BV2128" s="16"/>
      <c r="BW2128" s="16" t="s">
        <v>12247</v>
      </c>
      <c r="BX2128" s="16"/>
    </row>
    <row r="2129">
      <c r="A2129" s="16" t="s">
        <v>10778</v>
      </c>
      <c r="B2129" s="16" t="s">
        <v>35</v>
      </c>
      <c r="C2129" s="201">
        <v>46086.0</v>
      </c>
      <c r="D2129" s="16" t="s">
        <v>307</v>
      </c>
      <c r="E2129" s="16" t="s">
        <v>12249</v>
      </c>
      <c r="F2129" s="16" t="s">
        <v>12252</v>
      </c>
      <c r="G2129" s="16"/>
      <c r="H2129" s="16"/>
      <c r="I2129" s="16"/>
      <c r="J2129" s="16"/>
      <c r="K2129" s="16"/>
      <c r="L2129" s="16"/>
      <c r="M2129" s="16"/>
      <c r="N2129" s="16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16"/>
      <c r="AD2129" s="16"/>
      <c r="AH2129" s="16"/>
      <c r="AL2129" s="16"/>
      <c r="AP2129" s="16"/>
      <c r="AT2129" s="16"/>
      <c r="AX2129" s="16"/>
      <c r="BF2129" s="16"/>
      <c r="BJ2129" s="16"/>
      <c r="BN2129" s="16"/>
      <c r="BO2129" s="16"/>
      <c r="BP2129" s="16" t="s">
        <v>12251</v>
      </c>
      <c r="BQ2129" s="16" t="b">
        <v>0</v>
      </c>
      <c r="BR2129" s="16"/>
      <c r="BS2129" s="21" t="s">
        <v>14081</v>
      </c>
      <c r="BT2129" s="16" t="b">
        <v>1</v>
      </c>
      <c r="BU2129" s="16" t="s">
        <v>13953</v>
      </c>
      <c r="BV2129" s="16"/>
      <c r="BW2129" s="16"/>
      <c r="BX2129" s="16"/>
    </row>
    <row r="2130">
      <c r="A2130" s="16" t="s">
        <v>10720</v>
      </c>
      <c r="B2130" s="16" t="s">
        <v>35</v>
      </c>
      <c r="C2130" s="201">
        <v>46084.0</v>
      </c>
      <c r="D2130" s="16" t="s">
        <v>12255</v>
      </c>
      <c r="E2130" s="16" t="s">
        <v>12256</v>
      </c>
      <c r="F2130" s="16" t="s">
        <v>12258</v>
      </c>
      <c r="G2130" s="16"/>
      <c r="H2130" s="16"/>
      <c r="I2130" s="16"/>
      <c r="J2130" s="16"/>
      <c r="K2130" s="16"/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D2130" s="16"/>
      <c r="AH2130" s="16"/>
      <c r="AL2130" s="16"/>
      <c r="AP2130" s="16"/>
      <c r="AT2130" s="16"/>
      <c r="AX2130" s="16"/>
      <c r="BF2130" s="16"/>
      <c r="BJ2130" s="16"/>
      <c r="BN2130" s="16"/>
      <c r="BO2130" s="16"/>
      <c r="BP2130" s="16" t="s">
        <v>12257</v>
      </c>
      <c r="BQ2130" s="16" t="b">
        <v>0</v>
      </c>
      <c r="BR2130" s="16"/>
      <c r="BS2130" s="21" t="s">
        <v>14082</v>
      </c>
      <c r="BT2130" s="16" t="b">
        <v>1</v>
      </c>
      <c r="BU2130" s="16" t="s">
        <v>13953</v>
      </c>
      <c r="BV2130" s="16"/>
      <c r="BW2130" s="16"/>
      <c r="BX2130" s="16"/>
    </row>
    <row r="2131">
      <c r="A2131" s="16" t="s">
        <v>10760</v>
      </c>
      <c r="B2131" s="16" t="s">
        <v>35</v>
      </c>
      <c r="C2131" s="201">
        <v>46085.0</v>
      </c>
      <c r="D2131" s="16" t="s">
        <v>233</v>
      </c>
      <c r="E2131" s="16" t="s">
        <v>12260</v>
      </c>
      <c r="F2131" s="16" t="s">
        <v>11361</v>
      </c>
      <c r="G2131" s="16"/>
      <c r="H2131" s="16"/>
      <c r="I2131" s="16"/>
      <c r="J2131" s="16"/>
      <c r="K2131" s="16"/>
      <c r="L2131" s="16"/>
      <c r="M2131" s="16"/>
      <c r="N2131" s="16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16"/>
      <c r="AD2131" s="16"/>
      <c r="AH2131" s="16"/>
      <c r="AL2131" s="16"/>
      <c r="AP2131" s="16"/>
      <c r="AT2131" s="16"/>
      <c r="AX2131" s="16"/>
      <c r="BF2131" s="16"/>
      <c r="BJ2131" s="16"/>
      <c r="BN2131" s="16"/>
      <c r="BO2131" s="16"/>
      <c r="BP2131" s="16" t="s">
        <v>12261</v>
      </c>
      <c r="BQ2131" s="16" t="b">
        <v>0</v>
      </c>
      <c r="BR2131" s="16"/>
      <c r="BS2131" s="21" t="s">
        <v>14083</v>
      </c>
      <c r="BT2131" s="16" t="b">
        <v>1</v>
      </c>
      <c r="BU2131" s="16" t="s">
        <v>13953</v>
      </c>
      <c r="BV2131" s="16"/>
      <c r="BW2131" s="16"/>
      <c r="BX2131" s="16"/>
    </row>
    <row r="2132">
      <c r="A2132" s="16" t="s">
        <v>10836</v>
      </c>
      <c r="B2132" s="16" t="s">
        <v>35</v>
      </c>
      <c r="C2132" s="201">
        <v>46088.0</v>
      </c>
      <c r="D2132" s="16" t="s">
        <v>112</v>
      </c>
      <c r="E2132" s="16" t="s">
        <v>12264</v>
      </c>
      <c r="F2132" s="16" t="s">
        <v>157</v>
      </c>
      <c r="G2132" s="16"/>
      <c r="H2132" s="16"/>
      <c r="I2132" s="16"/>
      <c r="J2132" s="16"/>
      <c r="K2132" s="16"/>
      <c r="L2132" s="16"/>
      <c r="M2132" s="16"/>
      <c r="N2132" s="16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16"/>
      <c r="AD2132" s="16"/>
      <c r="AH2132" s="16"/>
      <c r="AL2132" s="16"/>
      <c r="AP2132" s="16"/>
      <c r="AT2132" s="16"/>
      <c r="AX2132" s="16"/>
      <c r="BF2132" s="16"/>
      <c r="BJ2132" s="16"/>
      <c r="BN2132" s="16"/>
      <c r="BO2132" s="16"/>
      <c r="BP2132" s="16" t="s">
        <v>12265</v>
      </c>
      <c r="BQ2132" s="16" t="b">
        <v>0</v>
      </c>
      <c r="BR2132" s="16"/>
      <c r="BS2132" s="16"/>
      <c r="BT2132" s="16" t="b">
        <v>0</v>
      </c>
      <c r="BU2132" s="16" t="s">
        <v>13953</v>
      </c>
      <c r="BV2132" s="16"/>
      <c r="BW2132" s="16"/>
      <c r="BX2132" s="16"/>
    </row>
    <row r="2133">
      <c r="A2133" s="16" t="s">
        <v>10789</v>
      </c>
      <c r="B2133" s="16" t="s">
        <v>35</v>
      </c>
      <c r="C2133" s="201">
        <v>46087.0</v>
      </c>
      <c r="D2133" s="16" t="s">
        <v>11784</v>
      </c>
      <c r="E2133" s="16" t="s">
        <v>12267</v>
      </c>
      <c r="F2133" s="16" t="s">
        <v>147</v>
      </c>
      <c r="G2133" s="16"/>
      <c r="H2133" s="16"/>
      <c r="I2133" s="16"/>
      <c r="J2133" s="16"/>
      <c r="K2133" s="16"/>
      <c r="L2133" s="16"/>
      <c r="M2133" s="16"/>
      <c r="N2133" s="16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D2133" s="16"/>
      <c r="AH2133" s="16"/>
      <c r="AL2133" s="16"/>
      <c r="AP2133" s="16"/>
      <c r="AT2133" s="16"/>
      <c r="AX2133" s="16"/>
      <c r="BF2133" s="16"/>
      <c r="BJ2133" s="16"/>
      <c r="BN2133" s="16"/>
      <c r="BO2133" s="16"/>
      <c r="BP2133" s="16" t="s">
        <v>12268</v>
      </c>
      <c r="BQ2133" s="16" t="b">
        <v>0</v>
      </c>
      <c r="BR2133" s="16"/>
      <c r="BS2133" s="21" t="s">
        <v>14086</v>
      </c>
      <c r="BT2133" s="16" t="b">
        <v>1</v>
      </c>
      <c r="BU2133" s="16" t="s">
        <v>13953</v>
      </c>
      <c r="BV2133" s="16"/>
      <c r="BW2133" s="16"/>
      <c r="BX2133" s="16"/>
    </row>
    <row r="2134">
      <c r="A2134" s="16" t="s">
        <v>10796</v>
      </c>
      <c r="B2134" s="16" t="s">
        <v>35</v>
      </c>
      <c r="C2134" s="201">
        <v>46087.0</v>
      </c>
      <c r="D2134" s="16" t="s">
        <v>12270</v>
      </c>
      <c r="E2134" s="16" t="s">
        <v>12271</v>
      </c>
      <c r="F2134" s="16" t="s">
        <v>11625</v>
      </c>
      <c r="G2134" s="16"/>
      <c r="H2134" s="16"/>
      <c r="I2134" s="16"/>
      <c r="J2134" s="16"/>
      <c r="K2134" s="16"/>
      <c r="L2134" s="16"/>
      <c r="M2134" s="16"/>
      <c r="N2134" s="16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D2134" s="16"/>
      <c r="AH2134" s="16"/>
      <c r="AL2134" s="16"/>
      <c r="AP2134" s="16"/>
      <c r="AT2134" s="16"/>
      <c r="AX2134" s="16"/>
      <c r="BF2134" s="16"/>
      <c r="BJ2134" s="16"/>
      <c r="BN2134" s="16"/>
      <c r="BO2134" s="16"/>
      <c r="BP2134" s="16" t="s">
        <v>12273</v>
      </c>
      <c r="BQ2134" s="16" t="b">
        <v>0</v>
      </c>
      <c r="BR2134" s="16"/>
      <c r="BS2134" s="21" t="s">
        <v>14088</v>
      </c>
      <c r="BT2134" s="16" t="b">
        <v>1</v>
      </c>
      <c r="BU2134" s="16" t="s">
        <v>13953</v>
      </c>
      <c r="BV2134" s="16"/>
      <c r="BW2134" s="16"/>
      <c r="BX2134" s="16"/>
    </row>
    <row r="2135">
      <c r="A2135" s="16" t="s">
        <v>10814</v>
      </c>
      <c r="B2135" s="16" t="s">
        <v>35</v>
      </c>
      <c r="C2135" s="201">
        <v>46087.0</v>
      </c>
      <c r="D2135" s="16" t="s">
        <v>12275</v>
      </c>
      <c r="E2135" s="16" t="s">
        <v>12276</v>
      </c>
      <c r="F2135" s="16" t="s">
        <v>12278</v>
      </c>
      <c r="G2135" s="16"/>
      <c r="H2135" s="16"/>
      <c r="I2135" s="16"/>
      <c r="J2135" s="16"/>
      <c r="K2135" s="16"/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D2135" s="16"/>
      <c r="AH2135" s="16"/>
      <c r="AL2135" s="16"/>
      <c r="AP2135" s="16"/>
      <c r="AT2135" s="16"/>
      <c r="AX2135" s="16"/>
      <c r="BF2135" s="16"/>
      <c r="BJ2135" s="16"/>
      <c r="BN2135" s="16"/>
      <c r="BO2135" s="16"/>
      <c r="BP2135" s="16" t="s">
        <v>12277</v>
      </c>
      <c r="BQ2135" s="16" t="b">
        <v>0</v>
      </c>
      <c r="BR2135" s="16"/>
      <c r="BS2135" s="21" t="s">
        <v>14089</v>
      </c>
      <c r="BT2135" s="16" t="b">
        <v>1</v>
      </c>
      <c r="BU2135" s="16" t="s">
        <v>13953</v>
      </c>
      <c r="BV2135" s="16"/>
      <c r="BW2135" s="16"/>
      <c r="BX2135" s="16"/>
    </row>
    <row r="2136">
      <c r="A2136" s="21" t="s">
        <v>10817</v>
      </c>
      <c r="B2136" s="16" t="s">
        <v>35</v>
      </c>
      <c r="C2136" s="201">
        <v>46087.0</v>
      </c>
      <c r="D2136" s="16" t="s">
        <v>12280</v>
      </c>
      <c r="E2136" s="16" t="s">
        <v>12281</v>
      </c>
      <c r="F2136" s="16" t="s">
        <v>12284</v>
      </c>
      <c r="G2136" s="16"/>
      <c r="H2136" s="16"/>
      <c r="I2136" s="16"/>
      <c r="J2136" s="16"/>
      <c r="K2136" s="16"/>
      <c r="L2136" s="16"/>
      <c r="M2136" s="16"/>
      <c r="N2136" s="16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16"/>
      <c r="AD2136" s="16"/>
      <c r="AH2136" s="16"/>
      <c r="AL2136" s="16"/>
      <c r="AP2136" s="16"/>
      <c r="AT2136" s="16"/>
      <c r="AX2136" s="16"/>
      <c r="BF2136" s="16"/>
      <c r="BJ2136" s="16"/>
      <c r="BN2136" s="16"/>
      <c r="BO2136" s="16"/>
      <c r="BP2136" s="16" t="s">
        <v>12282</v>
      </c>
      <c r="BQ2136" s="16" t="b">
        <v>0</v>
      </c>
      <c r="BR2136" s="16"/>
      <c r="BS2136" s="21" t="s">
        <v>14091</v>
      </c>
      <c r="BT2136" s="16" t="b">
        <v>1</v>
      </c>
      <c r="BU2136" s="16" t="s">
        <v>13953</v>
      </c>
      <c r="BV2136" s="16"/>
      <c r="BW2136" s="16"/>
      <c r="BX2136" s="16"/>
    </row>
    <row r="2137">
      <c r="A2137" s="16" t="s">
        <v>10783</v>
      </c>
      <c r="B2137" s="16" t="s">
        <v>35</v>
      </c>
      <c r="C2137" s="201">
        <v>46086.0</v>
      </c>
      <c r="D2137" s="16" t="s">
        <v>890</v>
      </c>
      <c r="E2137" s="16" t="s">
        <v>12286</v>
      </c>
      <c r="F2137" s="16" t="s">
        <v>12288</v>
      </c>
      <c r="G2137" s="16"/>
      <c r="H2137" s="16"/>
      <c r="I2137" s="16"/>
      <c r="J2137" s="16"/>
      <c r="K2137" s="16"/>
      <c r="L2137" s="16"/>
      <c r="M2137" s="16"/>
      <c r="N2137" s="16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16"/>
      <c r="AD2137" s="16"/>
      <c r="AH2137" s="16"/>
      <c r="AL2137" s="16"/>
      <c r="AP2137" s="16"/>
      <c r="AT2137" s="16"/>
      <c r="AX2137" s="16"/>
      <c r="BF2137" s="16"/>
      <c r="BJ2137" s="16"/>
      <c r="BN2137" s="16"/>
      <c r="BO2137" s="16"/>
      <c r="BP2137" s="16" t="s">
        <v>12287</v>
      </c>
      <c r="BQ2137" s="16" t="b">
        <v>0</v>
      </c>
      <c r="BR2137" s="16"/>
      <c r="BS2137" s="16"/>
      <c r="BT2137" s="16" t="b">
        <v>0</v>
      </c>
      <c r="BU2137" s="16" t="s">
        <v>13953</v>
      </c>
      <c r="BV2137" s="16"/>
      <c r="BW2137" s="16"/>
      <c r="BX2137" s="16"/>
    </row>
    <row r="2138">
      <c r="A2138" s="16" t="s">
        <v>10848</v>
      </c>
      <c r="B2138" s="16" t="s">
        <v>35</v>
      </c>
      <c r="C2138" s="201">
        <v>46090.0</v>
      </c>
      <c r="D2138" s="21" t="s">
        <v>12789</v>
      </c>
      <c r="E2138" s="16" t="s">
        <v>12290</v>
      </c>
      <c r="F2138" s="16" t="s">
        <v>11361</v>
      </c>
      <c r="G2138" s="16"/>
      <c r="H2138" s="16"/>
      <c r="I2138" s="16"/>
      <c r="J2138" s="16"/>
      <c r="K2138" s="16"/>
      <c r="L2138" s="16"/>
      <c r="M2138" s="16"/>
      <c r="N2138" s="16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16"/>
      <c r="AD2138" s="16"/>
      <c r="AH2138" s="16"/>
      <c r="AL2138" s="16"/>
      <c r="AP2138" s="16"/>
      <c r="AT2138" s="16"/>
      <c r="AX2138" s="16"/>
      <c r="BF2138" s="16"/>
      <c r="BJ2138" s="16"/>
      <c r="BN2138" s="16"/>
      <c r="BO2138" s="16"/>
      <c r="BP2138" s="16" t="s">
        <v>12291</v>
      </c>
      <c r="BQ2138" s="16" t="b">
        <v>0</v>
      </c>
      <c r="BR2138" s="16"/>
      <c r="BS2138" s="21" t="s">
        <v>14092</v>
      </c>
      <c r="BT2138" s="16" t="b">
        <v>1</v>
      </c>
      <c r="BU2138" s="16" t="s">
        <v>13953</v>
      </c>
      <c r="BV2138" s="16"/>
      <c r="BW2138" s="16"/>
      <c r="BX2138" s="16"/>
    </row>
    <row r="2139">
      <c r="A2139" s="16" t="s">
        <v>10854</v>
      </c>
      <c r="B2139" s="16" t="s">
        <v>35</v>
      </c>
      <c r="C2139" s="201">
        <v>46090.0</v>
      </c>
      <c r="D2139" s="16" t="s">
        <v>11779</v>
      </c>
      <c r="E2139" s="16" t="s">
        <v>12293</v>
      </c>
      <c r="F2139" s="16" t="s">
        <v>12295</v>
      </c>
      <c r="G2139" s="16"/>
      <c r="H2139" s="16"/>
      <c r="I2139" s="16"/>
      <c r="J2139" s="16"/>
      <c r="K2139" s="16"/>
      <c r="L2139" s="16"/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16"/>
      <c r="AD2139" s="16"/>
      <c r="AH2139" s="16"/>
      <c r="AL2139" s="16"/>
      <c r="AP2139" s="16"/>
      <c r="AT2139" s="16"/>
      <c r="AX2139" s="16"/>
      <c r="BF2139" s="16"/>
      <c r="BJ2139" s="16"/>
      <c r="BN2139" s="16"/>
      <c r="BO2139" s="16"/>
      <c r="BP2139" s="16" t="s">
        <v>12294</v>
      </c>
      <c r="BQ2139" s="16" t="b">
        <v>0</v>
      </c>
      <c r="BR2139" s="16"/>
      <c r="BS2139" s="21" t="s">
        <v>14093</v>
      </c>
      <c r="BT2139" s="16" t="b">
        <v>1</v>
      </c>
      <c r="BU2139" s="16" t="s">
        <v>13953</v>
      </c>
      <c r="BV2139" s="16"/>
      <c r="BW2139" s="16"/>
      <c r="BX2139" s="16"/>
    </row>
    <row r="2140">
      <c r="A2140" s="16">
        <v>11964.0</v>
      </c>
      <c r="B2140" s="16" t="s">
        <v>35</v>
      </c>
      <c r="C2140" s="201">
        <v>46090.0</v>
      </c>
      <c r="D2140" s="16" t="s">
        <v>2439</v>
      </c>
      <c r="E2140" s="16"/>
      <c r="F2140" s="16" t="s">
        <v>12298</v>
      </c>
      <c r="G2140" s="16" t="s">
        <v>873</v>
      </c>
      <c r="H2140" s="16">
        <v>1.0</v>
      </c>
      <c r="I2140" s="16">
        <v>0.0</v>
      </c>
      <c r="J2140" s="16">
        <v>0.0</v>
      </c>
      <c r="K2140" s="16"/>
      <c r="L2140" s="16"/>
      <c r="M2140" s="16"/>
      <c r="N2140" s="16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16"/>
      <c r="AD2140" s="16"/>
      <c r="AH2140" s="16"/>
      <c r="AL2140" s="16"/>
      <c r="AP2140" s="16"/>
      <c r="AT2140" s="16"/>
      <c r="AX2140" s="16"/>
      <c r="BF2140" s="16"/>
      <c r="BJ2140" s="16"/>
      <c r="BN2140" s="16"/>
      <c r="BO2140" s="16">
        <v>0.0</v>
      </c>
      <c r="BP2140" s="16"/>
      <c r="BQ2140" s="16" t="b">
        <v>1</v>
      </c>
      <c r="BR2140" s="16">
        <v>0.0</v>
      </c>
      <c r="BS2140" s="16"/>
      <c r="BT2140" s="16"/>
      <c r="BU2140" s="16" t="s">
        <v>2051</v>
      </c>
      <c r="BV2140" s="16"/>
      <c r="BW2140" s="16"/>
      <c r="BX2140" s="16"/>
    </row>
    <row r="2141">
      <c r="A2141" s="16">
        <v>11965.0</v>
      </c>
      <c r="B2141" s="16" t="s">
        <v>35</v>
      </c>
      <c r="C2141" s="201">
        <v>46090.0</v>
      </c>
      <c r="D2141" s="16" t="s">
        <v>10315</v>
      </c>
      <c r="E2141" s="16"/>
      <c r="F2141" s="16" t="s">
        <v>12301</v>
      </c>
      <c r="G2141" s="16" t="s">
        <v>8792</v>
      </c>
      <c r="H2141" s="16">
        <v>1.0</v>
      </c>
      <c r="I2141" s="16">
        <v>0.01</v>
      </c>
      <c r="J2141" s="16">
        <v>0.01</v>
      </c>
      <c r="K2141" s="16"/>
      <c r="L2141" s="16"/>
      <c r="M2141" s="16"/>
      <c r="N2141" s="16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D2141" s="16"/>
      <c r="AH2141" s="16"/>
      <c r="AL2141" s="16"/>
      <c r="AP2141" s="16"/>
      <c r="AT2141" s="16"/>
      <c r="AX2141" s="16"/>
      <c r="BF2141" s="16"/>
      <c r="BJ2141" s="16"/>
      <c r="BN2141" s="16"/>
      <c r="BO2141" s="16">
        <v>0.01</v>
      </c>
      <c r="BP2141" s="16"/>
      <c r="BQ2141" s="16" t="b">
        <v>1</v>
      </c>
      <c r="BR2141" s="16">
        <v>0.01</v>
      </c>
      <c r="BS2141" s="16"/>
      <c r="BT2141" s="16"/>
      <c r="BU2141" s="16" t="s">
        <v>2051</v>
      </c>
      <c r="BV2141" s="16"/>
      <c r="BW2141" s="16"/>
      <c r="BX2141" s="16"/>
    </row>
    <row r="2142">
      <c r="A2142" s="16" t="s">
        <v>9919</v>
      </c>
      <c r="B2142" s="16" t="s">
        <v>35</v>
      </c>
      <c r="C2142" s="201">
        <v>46091.0</v>
      </c>
      <c r="D2142" s="16" t="s">
        <v>1160</v>
      </c>
      <c r="E2142" s="16"/>
      <c r="F2142" s="16" t="s">
        <v>11193</v>
      </c>
      <c r="G2142" s="16" t="s">
        <v>8651</v>
      </c>
      <c r="H2142" s="16">
        <v>1.0</v>
      </c>
      <c r="I2142" s="16">
        <v>939.11</v>
      </c>
      <c r="J2142" s="16">
        <v>939.11</v>
      </c>
      <c r="K2142" s="16"/>
      <c r="L2142" s="16"/>
      <c r="M2142" s="16"/>
      <c r="N2142" s="16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D2142" s="16"/>
      <c r="AH2142" s="16"/>
      <c r="AL2142" s="16"/>
      <c r="AP2142" s="16"/>
      <c r="AT2142" s="16"/>
      <c r="AX2142" s="16"/>
      <c r="BF2142" s="16"/>
      <c r="BJ2142" s="16"/>
      <c r="BN2142" s="16"/>
      <c r="BO2142" s="16">
        <v>939.11</v>
      </c>
      <c r="BP2142" s="16"/>
      <c r="BQ2142" s="16" t="b">
        <v>1</v>
      </c>
      <c r="BR2142" s="16">
        <v>939.11</v>
      </c>
      <c r="BS2142" s="16"/>
      <c r="BT2142" s="16"/>
      <c r="BU2142" s="16" t="s">
        <v>2051</v>
      </c>
      <c r="BV2142" s="16"/>
      <c r="BW2142" s="16"/>
      <c r="BX2142" s="16"/>
    </row>
    <row r="2143">
      <c r="A2143" s="16" t="s">
        <v>9921</v>
      </c>
      <c r="B2143" s="16" t="s">
        <v>35</v>
      </c>
      <c r="C2143" s="201">
        <v>46091.0</v>
      </c>
      <c r="D2143" s="16" t="s">
        <v>890</v>
      </c>
      <c r="E2143" s="16"/>
      <c r="F2143" s="16" t="s">
        <v>12305</v>
      </c>
      <c r="G2143" s="16" t="s">
        <v>8458</v>
      </c>
      <c r="H2143" s="16">
        <v>1.0</v>
      </c>
      <c r="I2143" s="16">
        <v>1197.98</v>
      </c>
      <c r="J2143" s="16">
        <v>1197.98</v>
      </c>
      <c r="K2143" s="16"/>
      <c r="L2143" s="16"/>
      <c r="M2143" s="16"/>
      <c r="N2143" s="16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D2143" s="16"/>
      <c r="AH2143" s="16"/>
      <c r="AL2143" s="16"/>
      <c r="AP2143" s="16"/>
      <c r="AT2143" s="16"/>
      <c r="AX2143" s="16"/>
      <c r="BF2143" s="16"/>
      <c r="BJ2143" s="16"/>
      <c r="BN2143" s="16"/>
      <c r="BO2143" s="16">
        <v>1197.98</v>
      </c>
      <c r="BP2143" s="16"/>
      <c r="BQ2143" s="16" t="b">
        <v>1</v>
      </c>
      <c r="BR2143" s="16">
        <v>1197.98</v>
      </c>
      <c r="BS2143" s="16"/>
      <c r="BT2143" s="16"/>
      <c r="BU2143" s="16" t="s">
        <v>2051</v>
      </c>
      <c r="BV2143" s="16"/>
      <c r="BW2143" s="16"/>
      <c r="BX2143" s="16"/>
    </row>
    <row r="2144">
      <c r="A2144" s="16" t="s">
        <v>9923</v>
      </c>
      <c r="B2144" s="16" t="s">
        <v>35</v>
      </c>
      <c r="C2144" s="201">
        <v>46091.0</v>
      </c>
      <c r="D2144" s="16" t="s">
        <v>3516</v>
      </c>
      <c r="E2144" s="16"/>
      <c r="F2144" s="16" t="s">
        <v>6721</v>
      </c>
      <c r="G2144" s="16" t="s">
        <v>8501</v>
      </c>
      <c r="H2144" s="16">
        <v>1.0</v>
      </c>
      <c r="I2144" s="16">
        <v>533.95</v>
      </c>
      <c r="J2144" s="16">
        <v>533.95</v>
      </c>
      <c r="K2144" s="16"/>
      <c r="L2144" s="16"/>
      <c r="M2144" s="16"/>
      <c r="N2144" s="16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16"/>
      <c r="AD2144" s="16"/>
      <c r="AH2144" s="16"/>
      <c r="AL2144" s="16"/>
      <c r="AP2144" s="16"/>
      <c r="AT2144" s="16"/>
      <c r="AX2144" s="16"/>
      <c r="BF2144" s="16"/>
      <c r="BJ2144" s="16"/>
      <c r="BN2144" s="16"/>
      <c r="BO2144" s="16">
        <v>533.95</v>
      </c>
      <c r="BP2144" s="16"/>
      <c r="BQ2144" s="16" t="b">
        <v>1</v>
      </c>
      <c r="BR2144" s="16">
        <v>533.95</v>
      </c>
      <c r="BS2144" s="16"/>
      <c r="BT2144" s="16"/>
      <c r="BU2144" s="16" t="s">
        <v>2051</v>
      </c>
      <c r="BV2144" s="16"/>
      <c r="BW2144" s="16"/>
      <c r="BX2144" s="16"/>
    </row>
    <row r="2145">
      <c r="A2145" s="16" t="s">
        <v>9925</v>
      </c>
      <c r="B2145" s="16" t="s">
        <v>35</v>
      </c>
      <c r="C2145" s="201">
        <v>46091.0</v>
      </c>
      <c r="D2145" s="16" t="s">
        <v>10092</v>
      </c>
      <c r="E2145" s="16"/>
      <c r="F2145" s="16" t="s">
        <v>6721</v>
      </c>
      <c r="G2145" s="16" t="s">
        <v>8603</v>
      </c>
      <c r="H2145" s="16">
        <v>1.0</v>
      </c>
      <c r="I2145" s="16">
        <v>181.37</v>
      </c>
      <c r="J2145" s="16">
        <v>181.37</v>
      </c>
      <c r="K2145" s="16"/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  <c r="AD2145" s="16"/>
      <c r="AH2145" s="16"/>
      <c r="AL2145" s="16"/>
      <c r="AP2145" s="16"/>
      <c r="AT2145" s="16"/>
      <c r="AX2145" s="16"/>
      <c r="BF2145" s="16"/>
      <c r="BJ2145" s="16"/>
      <c r="BN2145" s="16"/>
      <c r="BO2145" s="16">
        <v>181.37</v>
      </c>
      <c r="BP2145" s="16"/>
      <c r="BQ2145" s="16" t="b">
        <v>1</v>
      </c>
      <c r="BR2145" s="16">
        <v>181.37</v>
      </c>
      <c r="BS2145" s="16"/>
      <c r="BT2145" s="16"/>
      <c r="BU2145" s="16" t="s">
        <v>2051</v>
      </c>
      <c r="BV2145" s="16"/>
      <c r="BW2145" s="16"/>
      <c r="BX2145" s="16"/>
    </row>
    <row r="2146">
      <c r="A2146" s="16">
        <v>11962.0</v>
      </c>
      <c r="B2146" s="16" t="s">
        <v>35</v>
      </c>
      <c r="C2146" s="201">
        <v>46091.0</v>
      </c>
      <c r="D2146" s="16" t="s">
        <v>9929</v>
      </c>
      <c r="E2146" s="16"/>
      <c r="F2146" s="16" t="s">
        <v>9930</v>
      </c>
      <c r="G2146" s="16" t="s">
        <v>3218</v>
      </c>
      <c r="H2146" s="16">
        <v>1.0</v>
      </c>
      <c r="I2146" s="16">
        <v>9200.0</v>
      </c>
      <c r="J2146" s="16">
        <v>9200.0</v>
      </c>
      <c r="K2146" s="16"/>
      <c r="L2146" s="16"/>
      <c r="M2146" s="16"/>
      <c r="N2146" s="16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16"/>
      <c r="AD2146" s="16"/>
      <c r="AH2146" s="16"/>
      <c r="AL2146" s="16"/>
      <c r="AP2146" s="16"/>
      <c r="AT2146" s="16"/>
      <c r="AX2146" s="16"/>
      <c r="BF2146" s="16"/>
      <c r="BJ2146" s="16"/>
      <c r="BN2146" s="16"/>
      <c r="BO2146" s="16">
        <v>9200.0</v>
      </c>
      <c r="BP2146" s="16"/>
      <c r="BQ2146" s="16" t="b">
        <v>1</v>
      </c>
      <c r="BR2146" s="16">
        <v>9200.0</v>
      </c>
      <c r="BS2146" s="16"/>
      <c r="BT2146" s="16"/>
      <c r="BU2146" s="16" t="s">
        <v>2051</v>
      </c>
      <c r="BV2146" s="16"/>
      <c r="BW2146" s="16"/>
      <c r="BX2146" s="16"/>
    </row>
    <row r="2147">
      <c r="A2147" s="16">
        <v>11966.0</v>
      </c>
      <c r="B2147" s="16" t="s">
        <v>35</v>
      </c>
      <c r="C2147" s="201">
        <v>46091.0</v>
      </c>
      <c r="D2147" s="16" t="s">
        <v>7740</v>
      </c>
      <c r="E2147" s="16"/>
      <c r="F2147" s="16" t="s">
        <v>12318</v>
      </c>
      <c r="G2147" s="16" t="s">
        <v>9254</v>
      </c>
      <c r="H2147" s="16">
        <v>1.0</v>
      </c>
      <c r="I2147" s="16">
        <v>0.0</v>
      </c>
      <c r="J2147" s="16">
        <v>0.0</v>
      </c>
      <c r="K2147" s="16"/>
      <c r="L2147" s="16"/>
      <c r="M2147" s="16"/>
      <c r="N2147" s="16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16"/>
      <c r="AD2147" s="16"/>
      <c r="AH2147" s="16"/>
      <c r="AL2147" s="16"/>
      <c r="AP2147" s="16"/>
      <c r="AT2147" s="16"/>
      <c r="AX2147" s="16"/>
      <c r="BF2147" s="16"/>
      <c r="BJ2147" s="16"/>
      <c r="BN2147" s="16"/>
      <c r="BO2147" s="16">
        <v>0.0</v>
      </c>
      <c r="BP2147" s="16"/>
      <c r="BQ2147" s="16" t="b">
        <v>1</v>
      </c>
      <c r="BR2147" s="16">
        <v>0.0</v>
      </c>
      <c r="BS2147" s="16"/>
      <c r="BT2147" s="16"/>
      <c r="BU2147" s="16" t="s">
        <v>2051</v>
      </c>
      <c r="BV2147" s="16"/>
      <c r="BW2147" s="16"/>
      <c r="BX2147" s="16"/>
    </row>
    <row r="2148">
      <c r="A2148" s="16">
        <v>11971.0</v>
      </c>
      <c r="B2148" s="16" t="s">
        <v>35</v>
      </c>
      <c r="C2148" s="201">
        <v>46091.0</v>
      </c>
      <c r="D2148" s="16" t="s">
        <v>2248</v>
      </c>
      <c r="E2148" s="16"/>
      <c r="F2148" s="16" t="s">
        <v>8055</v>
      </c>
      <c r="G2148" s="16" t="s">
        <v>3218</v>
      </c>
      <c r="H2148" s="16">
        <v>1.0</v>
      </c>
      <c r="I2148" s="16">
        <v>185.0</v>
      </c>
      <c r="J2148" s="16">
        <v>185.0</v>
      </c>
      <c r="K2148" s="16"/>
      <c r="L2148" s="16"/>
      <c r="M2148" s="16"/>
      <c r="N2148" s="16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16"/>
      <c r="AD2148" s="16"/>
      <c r="AH2148" s="16"/>
      <c r="AL2148" s="16"/>
      <c r="AP2148" s="16"/>
      <c r="AT2148" s="16"/>
      <c r="AX2148" s="16"/>
      <c r="BF2148" s="16"/>
      <c r="BJ2148" s="16"/>
      <c r="BN2148" s="16"/>
      <c r="BO2148" s="16">
        <v>185.0</v>
      </c>
      <c r="BP2148" s="16"/>
      <c r="BQ2148" s="16" t="b">
        <v>1</v>
      </c>
      <c r="BR2148" s="16">
        <v>185.0</v>
      </c>
      <c r="BS2148" s="16"/>
      <c r="BT2148" s="16"/>
      <c r="BU2148" s="16" t="s">
        <v>2051</v>
      </c>
      <c r="BV2148" s="16"/>
      <c r="BW2148" s="16"/>
      <c r="BX2148" s="16"/>
    </row>
    <row r="2149">
      <c r="A2149" s="16">
        <v>11973.0</v>
      </c>
      <c r="B2149" s="16" t="s">
        <v>35</v>
      </c>
      <c r="C2149" s="201">
        <v>46091.0</v>
      </c>
      <c r="D2149" s="16" t="s">
        <v>3516</v>
      </c>
      <c r="E2149" s="16"/>
      <c r="F2149" s="16" t="s">
        <v>10131</v>
      </c>
      <c r="G2149" s="16" t="s">
        <v>1159</v>
      </c>
      <c r="H2149" s="16">
        <v>1.0</v>
      </c>
      <c r="I2149" s="16">
        <v>1472.97</v>
      </c>
      <c r="J2149" s="16">
        <v>1472.97</v>
      </c>
      <c r="K2149" s="16"/>
      <c r="L2149" s="16"/>
      <c r="M2149" s="16"/>
      <c r="N2149" s="16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D2149" s="16"/>
      <c r="AH2149" s="16"/>
      <c r="AL2149" s="16"/>
      <c r="AP2149" s="16"/>
      <c r="AT2149" s="16"/>
      <c r="AX2149" s="16"/>
      <c r="BF2149" s="16"/>
      <c r="BJ2149" s="16"/>
      <c r="BN2149" s="16"/>
      <c r="BO2149" s="16">
        <v>1472.97</v>
      </c>
      <c r="BP2149" s="16"/>
      <c r="BQ2149" s="16" t="b">
        <v>1</v>
      </c>
      <c r="BR2149" s="16">
        <v>1472.97</v>
      </c>
      <c r="BS2149" s="16"/>
      <c r="BT2149" s="16"/>
      <c r="BU2149" s="16" t="s">
        <v>2051</v>
      </c>
      <c r="BV2149" s="16"/>
      <c r="BW2149" s="16"/>
      <c r="BX2149" s="16"/>
    </row>
    <row r="2150">
      <c r="A2150" s="16" t="s">
        <v>9935</v>
      </c>
      <c r="B2150" s="16" t="s">
        <v>35</v>
      </c>
      <c r="C2150" s="201">
        <v>46091.0</v>
      </c>
      <c r="D2150" s="16" t="s">
        <v>543</v>
      </c>
      <c r="E2150" s="16"/>
      <c r="F2150" s="16" t="s">
        <v>12325</v>
      </c>
      <c r="G2150" s="16">
        <v>1.2539885E7</v>
      </c>
      <c r="H2150" s="16">
        <v>1.0</v>
      </c>
      <c r="I2150" s="16">
        <v>221.88</v>
      </c>
      <c r="J2150" s="16">
        <v>221.88</v>
      </c>
      <c r="K2150" s="16"/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D2150" s="16"/>
      <c r="AH2150" s="16"/>
      <c r="AL2150" s="16"/>
      <c r="AP2150" s="16"/>
      <c r="AT2150" s="16"/>
      <c r="AX2150" s="16"/>
      <c r="BF2150" s="16"/>
      <c r="BJ2150" s="16"/>
      <c r="BN2150" s="16"/>
      <c r="BO2150" s="16">
        <v>221.88</v>
      </c>
      <c r="BP2150" s="16"/>
      <c r="BQ2150" s="16" t="b">
        <v>1</v>
      </c>
      <c r="BR2150" s="16">
        <v>221.88</v>
      </c>
      <c r="BS2150" s="16"/>
      <c r="BT2150" s="16"/>
      <c r="BU2150" s="16" t="s">
        <v>539</v>
      </c>
      <c r="BV2150" s="16"/>
      <c r="BW2150" s="16"/>
      <c r="BX2150" s="16"/>
    </row>
    <row r="2151">
      <c r="A2151" s="16" t="s">
        <v>9937</v>
      </c>
      <c r="B2151" s="16" t="s">
        <v>35</v>
      </c>
      <c r="C2151" s="201">
        <v>46091.0</v>
      </c>
      <c r="D2151" s="16" t="s">
        <v>2685</v>
      </c>
      <c r="E2151" s="16"/>
      <c r="F2151" s="16" t="s">
        <v>6721</v>
      </c>
      <c r="G2151" s="16" t="s">
        <v>9938</v>
      </c>
      <c r="H2151" s="16">
        <v>1.0</v>
      </c>
      <c r="I2151" s="16">
        <v>28.12</v>
      </c>
      <c r="J2151" s="16">
        <v>28.12</v>
      </c>
      <c r="K2151" s="16"/>
      <c r="L2151" s="16"/>
      <c r="M2151" s="16"/>
      <c r="N2151" s="16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D2151" s="16"/>
      <c r="AH2151" s="16"/>
      <c r="AL2151" s="16"/>
      <c r="AP2151" s="16"/>
      <c r="AT2151" s="16"/>
      <c r="AX2151" s="16"/>
      <c r="BF2151" s="16"/>
      <c r="BJ2151" s="16"/>
      <c r="BN2151" s="16"/>
      <c r="BO2151" s="16">
        <v>28.12</v>
      </c>
      <c r="BP2151" s="16"/>
      <c r="BQ2151" s="16" t="b">
        <v>1</v>
      </c>
      <c r="BR2151" s="16">
        <v>28.12</v>
      </c>
      <c r="BS2151" s="16"/>
      <c r="BT2151" s="16"/>
      <c r="BU2151" s="16" t="s">
        <v>2051</v>
      </c>
      <c r="BV2151" s="16"/>
      <c r="BW2151" s="16"/>
      <c r="BX2151" s="16"/>
    </row>
    <row r="2152">
      <c r="A2152" s="16" t="s">
        <v>9940</v>
      </c>
      <c r="B2152" s="16" t="s">
        <v>35</v>
      </c>
      <c r="C2152" s="201">
        <v>46091.0</v>
      </c>
      <c r="D2152" s="16" t="s">
        <v>543</v>
      </c>
      <c r="E2152" s="16"/>
      <c r="F2152" s="16" t="s">
        <v>12332</v>
      </c>
      <c r="G2152" s="16">
        <v>1.2539885E7</v>
      </c>
      <c r="H2152" s="16">
        <v>1.0</v>
      </c>
      <c r="I2152" s="16">
        <v>250.0</v>
      </c>
      <c r="J2152" s="16">
        <v>250.0</v>
      </c>
      <c r="K2152" s="16"/>
      <c r="L2152" s="16"/>
      <c r="M2152" s="16"/>
      <c r="N2152" s="16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16"/>
      <c r="AD2152" s="16"/>
      <c r="AH2152" s="16"/>
      <c r="AL2152" s="16"/>
      <c r="AP2152" s="16"/>
      <c r="AT2152" s="16"/>
      <c r="AX2152" s="16"/>
      <c r="BF2152" s="16"/>
      <c r="BJ2152" s="16"/>
      <c r="BN2152" s="16"/>
      <c r="BO2152" s="16">
        <v>250.0</v>
      </c>
      <c r="BP2152" s="16"/>
      <c r="BQ2152" s="16" t="b">
        <v>1</v>
      </c>
      <c r="BR2152" s="16">
        <v>250.0</v>
      </c>
      <c r="BS2152" s="16"/>
      <c r="BT2152" s="16"/>
      <c r="BU2152" s="16" t="s">
        <v>2051</v>
      </c>
      <c r="BV2152" s="16"/>
      <c r="BW2152" s="16"/>
      <c r="BX2152" s="16"/>
    </row>
    <row r="2153">
      <c r="A2153" s="16" t="s">
        <v>10831</v>
      </c>
      <c r="B2153" s="16" t="s">
        <v>35</v>
      </c>
      <c r="C2153" s="201">
        <v>46087.0</v>
      </c>
      <c r="D2153" s="16" t="s">
        <v>12334</v>
      </c>
      <c r="E2153" s="16" t="s">
        <v>12335</v>
      </c>
      <c r="F2153" s="16" t="s">
        <v>12338</v>
      </c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D2153" s="16"/>
      <c r="AH2153" s="16"/>
      <c r="AL2153" s="16"/>
      <c r="AP2153" s="16"/>
      <c r="AT2153" s="16"/>
      <c r="AX2153" s="16"/>
      <c r="BF2153" s="16"/>
      <c r="BJ2153" s="16"/>
      <c r="BN2153" s="16"/>
      <c r="BO2153" s="16"/>
      <c r="BP2153" s="16" t="s">
        <v>12337</v>
      </c>
      <c r="BQ2153" s="16" t="b">
        <v>0</v>
      </c>
      <c r="BR2153" s="16"/>
      <c r="BS2153" s="16"/>
      <c r="BT2153" s="16" t="b">
        <v>0</v>
      </c>
      <c r="BU2153" s="16" t="s">
        <v>13953</v>
      </c>
      <c r="BV2153" s="16"/>
      <c r="BW2153" s="16"/>
      <c r="BX2153" s="16"/>
    </row>
    <row r="2154">
      <c r="A2154" s="16" t="s">
        <v>9943</v>
      </c>
      <c r="B2154" s="16" t="s">
        <v>35</v>
      </c>
      <c r="C2154" s="201">
        <v>46093.0</v>
      </c>
      <c r="D2154" s="16" t="s">
        <v>1864</v>
      </c>
      <c r="E2154" s="16"/>
      <c r="F2154" s="16" t="s">
        <v>12342</v>
      </c>
      <c r="G2154" s="16" t="s">
        <v>2448</v>
      </c>
      <c r="H2154" s="16">
        <v>1.0</v>
      </c>
      <c r="I2154" s="16">
        <v>29.09</v>
      </c>
      <c r="J2154" s="16">
        <v>29.09</v>
      </c>
      <c r="K2154" s="16"/>
      <c r="L2154" s="16"/>
      <c r="M2154" s="16"/>
      <c r="N2154" s="16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16"/>
      <c r="AD2154" s="16"/>
      <c r="AH2154" s="16"/>
      <c r="AL2154" s="16"/>
      <c r="AP2154" s="16"/>
      <c r="AT2154" s="16"/>
      <c r="AX2154" s="16"/>
      <c r="BF2154" s="16"/>
      <c r="BJ2154" s="16"/>
      <c r="BN2154" s="16"/>
      <c r="BO2154" s="16">
        <v>29.09</v>
      </c>
      <c r="BP2154" s="16"/>
      <c r="BQ2154" s="16" t="b">
        <v>1</v>
      </c>
      <c r="BR2154" s="16">
        <v>29.09</v>
      </c>
      <c r="BS2154" s="16"/>
      <c r="BT2154" s="16"/>
      <c r="BU2154" s="16" t="s">
        <v>539</v>
      </c>
      <c r="BV2154" s="16"/>
      <c r="BW2154" s="16"/>
      <c r="BX2154" s="16"/>
    </row>
    <row r="2155">
      <c r="A2155" s="16" t="s">
        <v>10860</v>
      </c>
      <c r="B2155" s="16" t="s">
        <v>35</v>
      </c>
      <c r="C2155" s="201">
        <v>46094.0</v>
      </c>
      <c r="D2155" s="16" t="s">
        <v>5053</v>
      </c>
      <c r="E2155" s="16" t="s">
        <v>12344</v>
      </c>
      <c r="F2155" s="16" t="s">
        <v>11625</v>
      </c>
      <c r="G2155" s="16"/>
      <c r="H2155" s="16"/>
      <c r="I2155" s="16"/>
      <c r="J2155" s="16"/>
      <c r="K2155" s="16"/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  <c r="AD2155" s="16"/>
      <c r="AH2155" s="16"/>
      <c r="AL2155" s="16"/>
      <c r="AP2155" s="16"/>
      <c r="AT2155" s="16"/>
      <c r="AX2155" s="16"/>
      <c r="BF2155" s="16"/>
      <c r="BJ2155" s="16"/>
      <c r="BN2155" s="16"/>
      <c r="BO2155" s="16"/>
      <c r="BP2155" s="16" t="s">
        <v>12346</v>
      </c>
      <c r="BQ2155" s="16" t="b">
        <v>0</v>
      </c>
      <c r="BR2155" s="16"/>
      <c r="BS2155" s="21" t="s">
        <v>14100</v>
      </c>
      <c r="BT2155" s="16" t="b">
        <v>1</v>
      </c>
      <c r="BU2155" s="16" t="s">
        <v>13953</v>
      </c>
      <c r="BV2155" s="16"/>
      <c r="BW2155" s="16"/>
      <c r="BX2155" s="16"/>
    </row>
    <row r="2156">
      <c r="A2156" s="16" t="s">
        <v>10865</v>
      </c>
      <c r="B2156" s="16" t="s">
        <v>35</v>
      </c>
      <c r="C2156" s="201">
        <v>46094.0</v>
      </c>
      <c r="D2156" s="21" t="s">
        <v>12789</v>
      </c>
      <c r="E2156" s="16" t="s">
        <v>12350</v>
      </c>
      <c r="F2156" s="16" t="s">
        <v>11625</v>
      </c>
      <c r="G2156" s="16"/>
      <c r="H2156" s="16"/>
      <c r="I2156" s="16"/>
      <c r="J2156" s="16"/>
      <c r="K2156" s="16"/>
      <c r="L2156" s="16"/>
      <c r="M2156" s="16"/>
      <c r="N2156" s="16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16"/>
      <c r="AD2156" s="16"/>
      <c r="AH2156" s="16"/>
      <c r="AL2156" s="16"/>
      <c r="AP2156" s="16"/>
      <c r="AT2156" s="16"/>
      <c r="AX2156" s="16"/>
      <c r="BF2156" s="16"/>
      <c r="BJ2156" s="16"/>
      <c r="BN2156" s="16"/>
      <c r="BO2156" s="16"/>
      <c r="BP2156" s="16" t="s">
        <v>12352</v>
      </c>
      <c r="BQ2156" s="16" t="b">
        <v>0</v>
      </c>
      <c r="BR2156" s="16"/>
      <c r="BS2156" s="21" t="s">
        <v>14101</v>
      </c>
      <c r="BT2156" s="16" t="b">
        <v>1</v>
      </c>
      <c r="BU2156" s="16" t="s">
        <v>13953</v>
      </c>
      <c r="BV2156" s="16"/>
      <c r="BW2156" s="16"/>
      <c r="BX2156" s="16"/>
    </row>
    <row r="2157">
      <c r="A2157" s="16" t="s">
        <v>10872</v>
      </c>
      <c r="B2157" s="16" t="s">
        <v>35</v>
      </c>
      <c r="C2157" s="201">
        <v>46094.0</v>
      </c>
      <c r="D2157" s="16" t="s">
        <v>2096</v>
      </c>
      <c r="E2157" s="16" t="s">
        <v>12356</v>
      </c>
      <c r="F2157" s="16" t="s">
        <v>925</v>
      </c>
      <c r="G2157" s="16"/>
      <c r="H2157" s="16"/>
      <c r="I2157" s="16"/>
      <c r="J2157" s="16"/>
      <c r="K2157" s="16"/>
      <c r="L2157" s="16"/>
      <c r="M2157" s="16"/>
      <c r="N2157" s="16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D2157" s="16"/>
      <c r="AH2157" s="16"/>
      <c r="AL2157" s="16"/>
      <c r="AP2157" s="16"/>
      <c r="AT2157" s="16"/>
      <c r="AX2157" s="16"/>
      <c r="BF2157" s="16"/>
      <c r="BJ2157" s="16"/>
      <c r="BN2157" s="16"/>
      <c r="BO2157" s="16"/>
      <c r="BP2157" s="16" t="s">
        <v>12357</v>
      </c>
      <c r="BQ2157" s="16" t="b">
        <v>0</v>
      </c>
      <c r="BR2157" s="16"/>
      <c r="BS2157" s="21" t="s">
        <v>14102</v>
      </c>
      <c r="BT2157" s="16" t="b">
        <v>1</v>
      </c>
      <c r="BU2157" s="16" t="s">
        <v>13953</v>
      </c>
      <c r="BV2157" s="16"/>
      <c r="BW2157" s="16"/>
      <c r="BX2157" s="16"/>
    </row>
    <row r="2158">
      <c r="A2158" s="16" t="s">
        <v>10875</v>
      </c>
      <c r="B2158" s="16" t="s">
        <v>35</v>
      </c>
      <c r="C2158" s="201">
        <v>46094.0</v>
      </c>
      <c r="D2158" s="16" t="s">
        <v>11926</v>
      </c>
      <c r="E2158" s="16" t="s">
        <v>12362</v>
      </c>
      <c r="F2158" s="16" t="s">
        <v>140</v>
      </c>
      <c r="G2158" s="16"/>
      <c r="H2158" s="16"/>
      <c r="I2158" s="16"/>
      <c r="J2158" s="16"/>
      <c r="K2158" s="16"/>
      <c r="L2158" s="16"/>
      <c r="M2158" s="16"/>
      <c r="N2158" s="16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D2158" s="16"/>
      <c r="AH2158" s="16"/>
      <c r="AL2158" s="16"/>
      <c r="AP2158" s="16"/>
      <c r="AT2158" s="16"/>
      <c r="AX2158" s="16"/>
      <c r="BF2158" s="16"/>
      <c r="BJ2158" s="16"/>
      <c r="BN2158" s="16"/>
      <c r="BO2158" s="16"/>
      <c r="BP2158" s="16" t="s">
        <v>12363</v>
      </c>
      <c r="BQ2158" s="16" t="b">
        <v>0</v>
      </c>
      <c r="BR2158" s="16"/>
      <c r="BS2158" s="16"/>
      <c r="BT2158" s="16" t="b">
        <v>0</v>
      </c>
      <c r="BU2158" s="16" t="s">
        <v>13953</v>
      </c>
      <c r="BV2158" s="16"/>
      <c r="BW2158" s="16"/>
      <c r="BX2158" s="16"/>
    </row>
    <row r="2159">
      <c r="A2159" s="16" t="s">
        <v>10858</v>
      </c>
      <c r="B2159" s="16" t="s">
        <v>35</v>
      </c>
      <c r="C2159" s="201">
        <v>46091.0</v>
      </c>
      <c r="D2159" s="16" t="s">
        <v>11926</v>
      </c>
      <c r="E2159" s="16" t="s">
        <v>12366</v>
      </c>
      <c r="F2159" s="16" t="s">
        <v>140</v>
      </c>
      <c r="G2159" s="16"/>
      <c r="H2159" s="16"/>
      <c r="I2159" s="16"/>
      <c r="J2159" s="16"/>
      <c r="K2159" s="16"/>
      <c r="L2159" s="16"/>
      <c r="M2159" s="16"/>
      <c r="N2159" s="16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D2159" s="16"/>
      <c r="AH2159" s="16"/>
      <c r="AL2159" s="16"/>
      <c r="AP2159" s="16"/>
      <c r="AT2159" s="16"/>
      <c r="AX2159" s="16"/>
      <c r="BF2159" s="16"/>
      <c r="BJ2159" s="16"/>
      <c r="BN2159" s="16"/>
      <c r="BO2159" s="16"/>
      <c r="BP2159" s="16" t="s">
        <v>12367</v>
      </c>
      <c r="BQ2159" s="16" t="b">
        <v>0</v>
      </c>
      <c r="BR2159" s="16"/>
      <c r="BS2159" s="16"/>
      <c r="BT2159" s="16" t="b">
        <v>0</v>
      </c>
      <c r="BU2159" s="16" t="s">
        <v>13953</v>
      </c>
      <c r="BV2159" s="16"/>
      <c r="BW2159" s="16"/>
      <c r="BX2159" s="16"/>
    </row>
    <row r="2160">
      <c r="A2160" s="16" t="s">
        <v>10934</v>
      </c>
      <c r="B2160" s="16" t="s">
        <v>35</v>
      </c>
      <c r="C2160" s="201">
        <v>46094.0</v>
      </c>
      <c r="D2160" s="16" t="s">
        <v>112</v>
      </c>
      <c r="E2160" s="16" t="s">
        <v>12370</v>
      </c>
      <c r="F2160" s="16" t="s">
        <v>157</v>
      </c>
      <c r="G2160" s="16"/>
      <c r="H2160" s="16"/>
      <c r="I2160" s="16"/>
      <c r="J2160" s="16"/>
      <c r="K2160" s="16"/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D2160" s="16"/>
      <c r="AH2160" s="16"/>
      <c r="AL2160" s="16"/>
      <c r="AP2160" s="16"/>
      <c r="AT2160" s="16"/>
      <c r="AX2160" s="16"/>
      <c r="BF2160" s="16"/>
      <c r="BJ2160" s="16"/>
      <c r="BN2160" s="16"/>
      <c r="BO2160" s="16"/>
      <c r="BP2160" s="16" t="s">
        <v>12371</v>
      </c>
      <c r="BQ2160" s="16" t="b">
        <v>0</v>
      </c>
      <c r="BR2160" s="16"/>
      <c r="BS2160" s="16"/>
      <c r="BT2160" s="16" t="b">
        <v>0</v>
      </c>
      <c r="BU2160" s="16" t="s">
        <v>13953</v>
      </c>
      <c r="BV2160" s="16"/>
      <c r="BW2160" s="16"/>
      <c r="BX2160" s="16"/>
    </row>
    <row r="2161">
      <c r="A2161" s="16" t="s">
        <v>10916</v>
      </c>
      <c r="B2161" s="16" t="s">
        <v>35</v>
      </c>
      <c r="C2161" s="201">
        <v>46093.0</v>
      </c>
      <c r="D2161" s="16" t="s">
        <v>11765</v>
      </c>
      <c r="E2161" s="16" t="s">
        <v>12374</v>
      </c>
      <c r="F2161" s="16" t="s">
        <v>195</v>
      </c>
      <c r="G2161" s="16"/>
      <c r="H2161" s="16"/>
      <c r="I2161" s="16"/>
      <c r="J2161" s="16"/>
      <c r="K2161" s="16"/>
      <c r="L2161" s="16"/>
      <c r="M2161" s="16"/>
      <c r="N2161" s="16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16"/>
      <c r="AD2161" s="16"/>
      <c r="AH2161" s="16"/>
      <c r="AL2161" s="16"/>
      <c r="AP2161" s="16"/>
      <c r="AT2161" s="16"/>
      <c r="AX2161" s="16"/>
      <c r="BF2161" s="16"/>
      <c r="BJ2161" s="16"/>
      <c r="BN2161" s="16"/>
      <c r="BO2161" s="16"/>
      <c r="BP2161" s="16" t="s">
        <v>12376</v>
      </c>
      <c r="BQ2161" s="16" t="b">
        <v>0</v>
      </c>
      <c r="BR2161" s="16"/>
      <c r="BS2161" s="16"/>
      <c r="BT2161" s="16" t="b">
        <v>0</v>
      </c>
      <c r="BU2161" s="16" t="s">
        <v>13953</v>
      </c>
      <c r="BV2161" s="16"/>
      <c r="BW2161" s="16" t="s">
        <v>12378</v>
      </c>
      <c r="BX2161" s="16"/>
    </row>
    <row r="2162">
      <c r="A2162" s="16" t="s">
        <v>10878</v>
      </c>
      <c r="B2162" s="16" t="s">
        <v>35</v>
      </c>
      <c r="C2162" s="201">
        <v>46096.0</v>
      </c>
      <c r="D2162" s="16" t="s">
        <v>11219</v>
      </c>
      <c r="E2162" s="16" t="s">
        <v>12381</v>
      </c>
      <c r="F2162" s="16" t="s">
        <v>157</v>
      </c>
      <c r="G2162" s="16"/>
      <c r="H2162" s="16"/>
      <c r="I2162" s="16"/>
      <c r="J2162" s="16"/>
      <c r="K2162" s="16"/>
      <c r="L2162" s="16"/>
      <c r="M2162" s="16"/>
      <c r="N2162" s="16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16"/>
      <c r="AD2162" s="16"/>
      <c r="AH2162" s="16"/>
      <c r="AL2162" s="16"/>
      <c r="AP2162" s="16"/>
      <c r="AT2162" s="16"/>
      <c r="AX2162" s="16"/>
      <c r="BF2162" s="16"/>
      <c r="BJ2162" s="16"/>
      <c r="BN2162" s="16"/>
      <c r="BO2162" s="16"/>
      <c r="BP2162" s="16" t="s">
        <v>12383</v>
      </c>
      <c r="BQ2162" s="16" t="b">
        <v>0</v>
      </c>
      <c r="BR2162" s="16"/>
      <c r="BS2162" s="21" t="s">
        <v>14107</v>
      </c>
      <c r="BT2162" s="16" t="b">
        <v>1</v>
      </c>
      <c r="BU2162" s="16" t="s">
        <v>13953</v>
      </c>
      <c r="BV2162" s="16"/>
      <c r="BW2162" s="16"/>
      <c r="BX2162" s="16"/>
    </row>
    <row r="2163">
      <c r="A2163" s="16" t="s">
        <v>10887</v>
      </c>
      <c r="B2163" s="16" t="s">
        <v>35</v>
      </c>
      <c r="C2163" s="201">
        <v>46097.0</v>
      </c>
      <c r="D2163" s="16" t="s">
        <v>11926</v>
      </c>
      <c r="E2163" s="16" t="s">
        <v>12386</v>
      </c>
      <c r="F2163" s="16" t="s">
        <v>140</v>
      </c>
      <c r="G2163" s="16"/>
      <c r="H2163" s="16"/>
      <c r="I2163" s="16"/>
      <c r="J2163" s="16"/>
      <c r="K2163" s="16"/>
      <c r="L2163" s="16"/>
      <c r="M2163" s="16"/>
      <c r="N2163" s="16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16"/>
      <c r="AD2163" s="16"/>
      <c r="AH2163" s="16"/>
      <c r="AL2163" s="16"/>
      <c r="AP2163" s="16"/>
      <c r="AT2163" s="16"/>
      <c r="AX2163" s="16"/>
      <c r="BF2163" s="16"/>
      <c r="BJ2163" s="16"/>
      <c r="BN2163" s="16"/>
      <c r="BO2163" s="16"/>
      <c r="BP2163" s="16" t="s">
        <v>12387</v>
      </c>
      <c r="BQ2163" s="16" t="b">
        <v>0</v>
      </c>
      <c r="BR2163" s="16"/>
      <c r="BS2163" s="16"/>
      <c r="BT2163" s="16" t="b">
        <v>0</v>
      </c>
      <c r="BU2163" s="16" t="s">
        <v>13953</v>
      </c>
      <c r="BV2163" s="16"/>
      <c r="BW2163" s="16"/>
      <c r="BX2163" s="16"/>
    </row>
    <row r="2164">
      <c r="A2164" s="21" t="s">
        <v>10945</v>
      </c>
      <c r="B2164" s="16" t="s">
        <v>35</v>
      </c>
      <c r="C2164" s="201">
        <v>46097.0</v>
      </c>
      <c r="D2164" s="16" t="s">
        <v>112</v>
      </c>
      <c r="E2164" s="16" t="s">
        <v>12389</v>
      </c>
      <c r="F2164" s="16" t="s">
        <v>157</v>
      </c>
      <c r="G2164" s="16"/>
      <c r="H2164" s="16"/>
      <c r="I2164" s="16"/>
      <c r="J2164" s="16"/>
      <c r="K2164" s="16"/>
      <c r="L2164" s="16"/>
      <c r="M2164" s="16"/>
      <c r="N2164" s="16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16"/>
      <c r="AD2164" s="16"/>
      <c r="AH2164" s="16"/>
      <c r="AL2164" s="16"/>
      <c r="AP2164" s="16"/>
      <c r="AT2164" s="16"/>
      <c r="AX2164" s="16"/>
      <c r="BF2164" s="16"/>
      <c r="BJ2164" s="16"/>
      <c r="BN2164" s="16"/>
      <c r="BO2164" s="16"/>
      <c r="BP2164" s="16" t="s">
        <v>12392</v>
      </c>
      <c r="BQ2164" s="16" t="b">
        <v>0</v>
      </c>
      <c r="BR2164" s="16"/>
      <c r="BS2164" s="16"/>
      <c r="BT2164" s="16" t="b">
        <v>0</v>
      </c>
      <c r="BU2164" s="16" t="s">
        <v>13953</v>
      </c>
      <c r="BV2164" s="16"/>
      <c r="BW2164" s="16"/>
      <c r="BX2164" s="16"/>
    </row>
    <row r="2165">
      <c r="A2165" s="16" t="s">
        <v>9945</v>
      </c>
      <c r="B2165" s="16" t="s">
        <v>35</v>
      </c>
      <c r="C2165" s="201">
        <v>46097.0</v>
      </c>
      <c r="D2165" s="16" t="s">
        <v>890</v>
      </c>
      <c r="E2165" s="16"/>
      <c r="F2165" s="16" t="s">
        <v>12395</v>
      </c>
      <c r="G2165" s="16" t="s">
        <v>1517</v>
      </c>
      <c r="H2165" s="16">
        <v>1.0</v>
      </c>
      <c r="I2165" s="16">
        <v>280.66</v>
      </c>
      <c r="J2165" s="16">
        <v>280.66</v>
      </c>
      <c r="K2165" s="16"/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D2165" s="16"/>
      <c r="AH2165" s="16"/>
      <c r="AL2165" s="16"/>
      <c r="AP2165" s="16"/>
      <c r="AT2165" s="16"/>
      <c r="AX2165" s="16"/>
      <c r="BF2165" s="16"/>
      <c r="BJ2165" s="16"/>
      <c r="BN2165" s="16"/>
      <c r="BO2165" s="16">
        <v>280.66</v>
      </c>
      <c r="BP2165" s="16"/>
      <c r="BQ2165" s="16" t="b">
        <v>1</v>
      </c>
      <c r="BR2165" s="16">
        <v>280.66</v>
      </c>
      <c r="BS2165" s="16"/>
      <c r="BT2165" s="16"/>
      <c r="BU2165" s="16" t="s">
        <v>2051</v>
      </c>
      <c r="BV2165" s="16"/>
      <c r="BW2165" s="16"/>
      <c r="BX2165" s="16"/>
    </row>
    <row r="2166">
      <c r="A2166" s="16" t="s">
        <v>9948</v>
      </c>
      <c r="B2166" s="16" t="s">
        <v>35</v>
      </c>
      <c r="C2166" s="201">
        <v>46097.0</v>
      </c>
      <c r="D2166" s="16" t="s">
        <v>890</v>
      </c>
      <c r="E2166" s="16"/>
      <c r="F2166" s="16" t="s">
        <v>12398</v>
      </c>
      <c r="G2166" s="16" t="s">
        <v>8458</v>
      </c>
      <c r="H2166" s="16">
        <v>1.0</v>
      </c>
      <c r="I2166" s="16">
        <v>1336.0</v>
      </c>
      <c r="J2166" s="16">
        <v>1336.0</v>
      </c>
      <c r="K2166" s="16"/>
      <c r="L2166" s="16"/>
      <c r="M2166" s="16"/>
      <c r="N2166" s="16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16"/>
      <c r="AD2166" s="16"/>
      <c r="AH2166" s="16"/>
      <c r="AL2166" s="16"/>
      <c r="AP2166" s="16"/>
      <c r="AT2166" s="16"/>
      <c r="AX2166" s="16"/>
      <c r="BF2166" s="16"/>
      <c r="BJ2166" s="16"/>
      <c r="BN2166" s="16"/>
      <c r="BO2166" s="16">
        <v>1336.0</v>
      </c>
      <c r="BP2166" s="16"/>
      <c r="BQ2166" s="16" t="b">
        <v>1</v>
      </c>
      <c r="BR2166" s="16">
        <v>1336.0</v>
      </c>
      <c r="BS2166" s="16"/>
      <c r="BT2166" s="16"/>
      <c r="BU2166" s="16" t="s">
        <v>2051</v>
      </c>
      <c r="BV2166" s="16"/>
      <c r="BW2166" s="16"/>
      <c r="BX2166" s="16"/>
    </row>
    <row r="2167">
      <c r="A2167" s="16" t="s">
        <v>9951</v>
      </c>
      <c r="B2167" s="16" t="s">
        <v>35</v>
      </c>
      <c r="C2167" s="201">
        <v>46097.0</v>
      </c>
      <c r="D2167" s="16" t="s">
        <v>460</v>
      </c>
      <c r="E2167" s="16"/>
      <c r="F2167" s="16" t="s">
        <v>12402</v>
      </c>
      <c r="G2167" s="16" t="s">
        <v>9952</v>
      </c>
      <c r="H2167" s="16">
        <v>1.0</v>
      </c>
      <c r="I2167" s="16">
        <v>9779.0</v>
      </c>
      <c r="J2167" s="16">
        <v>9779.0</v>
      </c>
      <c r="K2167" s="16"/>
      <c r="L2167" s="16"/>
      <c r="M2167" s="16"/>
      <c r="N2167" s="16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D2167" s="16"/>
      <c r="AH2167" s="16"/>
      <c r="AL2167" s="16"/>
      <c r="AP2167" s="16"/>
      <c r="AT2167" s="16"/>
      <c r="AX2167" s="16"/>
      <c r="BF2167" s="16"/>
      <c r="BJ2167" s="16"/>
      <c r="BN2167" s="16"/>
      <c r="BO2167" s="16">
        <v>9779.0</v>
      </c>
      <c r="BP2167" s="16"/>
      <c r="BQ2167" s="16" t="b">
        <v>1</v>
      </c>
      <c r="BR2167" s="16">
        <v>9779.0</v>
      </c>
      <c r="BS2167" s="16"/>
      <c r="BT2167" s="16"/>
      <c r="BU2167" s="16" t="s">
        <v>2051</v>
      </c>
      <c r="BV2167" s="16"/>
      <c r="BW2167" s="16"/>
      <c r="BX2167" s="16"/>
    </row>
    <row r="2168">
      <c r="A2168" s="16">
        <v>11978.0</v>
      </c>
      <c r="B2168" s="16" t="s">
        <v>35</v>
      </c>
      <c r="C2168" s="201">
        <v>46097.0</v>
      </c>
      <c r="D2168" s="16" t="s">
        <v>3516</v>
      </c>
      <c r="E2168" s="16"/>
      <c r="F2168" s="16" t="s">
        <v>9762</v>
      </c>
      <c r="G2168" s="16" t="s">
        <v>2662</v>
      </c>
      <c r="H2168" s="16">
        <v>1.0</v>
      </c>
      <c r="I2168" s="16">
        <v>12718.91</v>
      </c>
      <c r="J2168" s="16">
        <v>12718.91</v>
      </c>
      <c r="K2168" s="16"/>
      <c r="L2168" s="16"/>
      <c r="M2168" s="16"/>
      <c r="N2168" s="16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16"/>
      <c r="AD2168" s="16"/>
      <c r="AH2168" s="16"/>
      <c r="AL2168" s="16"/>
      <c r="AP2168" s="16"/>
      <c r="AT2168" s="16"/>
      <c r="AX2168" s="16"/>
      <c r="BF2168" s="16"/>
      <c r="BJ2168" s="16"/>
      <c r="BN2168" s="16"/>
      <c r="BO2168" s="16">
        <v>12718.91</v>
      </c>
      <c r="BP2168" s="16"/>
      <c r="BQ2168" s="16" t="b">
        <v>1</v>
      </c>
      <c r="BR2168" s="16">
        <v>12718.91</v>
      </c>
      <c r="BS2168" s="16"/>
      <c r="BT2168" s="16"/>
      <c r="BU2168" s="16" t="s">
        <v>2051</v>
      </c>
      <c r="BV2168" s="16"/>
      <c r="BW2168" s="16"/>
      <c r="BX2168" s="16"/>
    </row>
    <row r="2169">
      <c r="A2169" s="16" t="s">
        <v>9958</v>
      </c>
      <c r="B2169" s="16" t="s">
        <v>35</v>
      </c>
      <c r="C2169" s="201">
        <v>46097.0</v>
      </c>
      <c r="D2169" s="16" t="s">
        <v>890</v>
      </c>
      <c r="E2169" s="16"/>
      <c r="F2169" s="16" t="s">
        <v>12408</v>
      </c>
      <c r="G2169" s="16" t="s">
        <v>1517</v>
      </c>
      <c r="H2169" s="16">
        <v>1.0</v>
      </c>
      <c r="I2169" s="16">
        <v>494.24</v>
      </c>
      <c r="J2169" s="16">
        <v>494.24</v>
      </c>
      <c r="K2169" s="16"/>
      <c r="L2169" s="16"/>
      <c r="M2169" s="16"/>
      <c r="N2169" s="16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16"/>
      <c r="AD2169" s="16"/>
      <c r="AH2169" s="16"/>
      <c r="AL2169" s="16"/>
      <c r="AP2169" s="16"/>
      <c r="AT2169" s="16"/>
      <c r="AX2169" s="16"/>
      <c r="BF2169" s="16"/>
      <c r="BJ2169" s="16"/>
      <c r="BN2169" s="16"/>
      <c r="BO2169" s="16">
        <v>494.24</v>
      </c>
      <c r="BP2169" s="16"/>
      <c r="BQ2169" s="16" t="b">
        <v>1</v>
      </c>
      <c r="BR2169" s="16">
        <v>494.24</v>
      </c>
      <c r="BS2169" s="16"/>
      <c r="BT2169" s="16"/>
      <c r="BU2169" s="16" t="s">
        <v>2051</v>
      </c>
      <c r="BV2169" s="16"/>
      <c r="BW2169" s="16"/>
      <c r="BX2169" s="16"/>
    </row>
    <row r="2170">
      <c r="A2170" s="16" t="s">
        <v>9962</v>
      </c>
      <c r="B2170" s="16" t="s">
        <v>35</v>
      </c>
      <c r="C2170" s="201">
        <v>46097.0</v>
      </c>
      <c r="D2170" s="16" t="s">
        <v>890</v>
      </c>
      <c r="E2170" s="16"/>
      <c r="F2170" s="16" t="s">
        <v>12411</v>
      </c>
      <c r="G2170" s="16" t="s">
        <v>1517</v>
      </c>
      <c r="H2170" s="16">
        <v>1.0</v>
      </c>
      <c r="I2170" s="16">
        <v>1765.11</v>
      </c>
      <c r="J2170" s="16">
        <v>1765.11</v>
      </c>
      <c r="K2170" s="16"/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  <c r="AD2170" s="16"/>
      <c r="AH2170" s="16"/>
      <c r="AL2170" s="16"/>
      <c r="AP2170" s="16"/>
      <c r="AT2170" s="16"/>
      <c r="AX2170" s="16"/>
      <c r="BF2170" s="16"/>
      <c r="BJ2170" s="16"/>
      <c r="BN2170" s="16"/>
      <c r="BO2170" s="16">
        <v>1765.11</v>
      </c>
      <c r="BP2170" s="16"/>
      <c r="BQ2170" s="16" t="b">
        <v>1</v>
      </c>
      <c r="BR2170" s="16">
        <v>1765.11</v>
      </c>
      <c r="BS2170" s="16"/>
      <c r="BT2170" s="16"/>
      <c r="BU2170" s="16" t="s">
        <v>2051</v>
      </c>
      <c r="BV2170" s="16"/>
      <c r="BW2170" s="16"/>
      <c r="BX2170" s="16"/>
    </row>
    <row r="2171">
      <c r="A2171" s="16" t="s">
        <v>9966</v>
      </c>
      <c r="B2171" s="16" t="s">
        <v>35</v>
      </c>
      <c r="C2171" s="201">
        <v>46097.0</v>
      </c>
      <c r="D2171" s="16" t="s">
        <v>890</v>
      </c>
      <c r="E2171" s="16"/>
      <c r="F2171" s="16" t="s">
        <v>12416</v>
      </c>
      <c r="G2171" s="16" t="s">
        <v>1517</v>
      </c>
      <c r="H2171" s="16">
        <v>1.0</v>
      </c>
      <c r="I2171" s="16">
        <v>69.87</v>
      </c>
      <c r="J2171" s="16">
        <v>69.87</v>
      </c>
      <c r="K2171" s="16"/>
      <c r="L2171" s="16"/>
      <c r="M2171" s="16"/>
      <c r="N2171" s="16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16"/>
      <c r="AD2171" s="16"/>
      <c r="AH2171" s="16"/>
      <c r="AL2171" s="16"/>
      <c r="AP2171" s="16"/>
      <c r="AT2171" s="16"/>
      <c r="AX2171" s="16"/>
      <c r="BF2171" s="16"/>
      <c r="BJ2171" s="16"/>
      <c r="BN2171" s="16"/>
      <c r="BO2171" s="16">
        <v>69.87</v>
      </c>
      <c r="BP2171" s="16"/>
      <c r="BQ2171" s="16" t="b">
        <v>1</v>
      </c>
      <c r="BR2171" s="16">
        <v>69.87</v>
      </c>
      <c r="BS2171" s="16"/>
      <c r="BT2171" s="16"/>
      <c r="BU2171" s="16" t="s">
        <v>2051</v>
      </c>
      <c r="BV2171" s="16"/>
      <c r="BW2171" s="16"/>
      <c r="BX2171" s="16"/>
    </row>
    <row r="2172">
      <c r="A2172" s="16" t="s">
        <v>9969</v>
      </c>
      <c r="B2172" s="16" t="s">
        <v>35</v>
      </c>
      <c r="C2172" s="201">
        <v>46097.0</v>
      </c>
      <c r="D2172" s="16" t="s">
        <v>11638</v>
      </c>
      <c r="E2172" s="16"/>
      <c r="F2172" s="16" t="s">
        <v>12420</v>
      </c>
      <c r="G2172" s="16" t="s">
        <v>1653</v>
      </c>
      <c r="H2172" s="16">
        <v>1.0</v>
      </c>
      <c r="I2172" s="16">
        <v>722.96</v>
      </c>
      <c r="J2172" s="16">
        <v>722.96</v>
      </c>
      <c r="K2172" s="16"/>
      <c r="L2172" s="16"/>
      <c r="M2172" s="16"/>
      <c r="N2172" s="16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16"/>
      <c r="AD2172" s="16"/>
      <c r="AH2172" s="16"/>
      <c r="AL2172" s="16"/>
      <c r="AP2172" s="16"/>
      <c r="AT2172" s="16"/>
      <c r="AX2172" s="16"/>
      <c r="BF2172" s="16"/>
      <c r="BJ2172" s="16"/>
      <c r="BN2172" s="16"/>
      <c r="BO2172" s="16">
        <v>722.96</v>
      </c>
      <c r="BP2172" s="16"/>
      <c r="BQ2172" s="16" t="b">
        <v>1</v>
      </c>
      <c r="BR2172" s="16">
        <v>722.96</v>
      </c>
      <c r="BS2172" s="16"/>
      <c r="BT2172" s="16"/>
      <c r="BU2172" s="16" t="s">
        <v>2051</v>
      </c>
      <c r="BV2172" s="16"/>
      <c r="BW2172" s="16"/>
      <c r="BX2172" s="16"/>
    </row>
    <row r="2173">
      <c r="A2173" s="16" t="s">
        <v>10889</v>
      </c>
      <c r="B2173" s="16" t="s">
        <v>35</v>
      </c>
      <c r="C2173" s="201">
        <v>46097.0</v>
      </c>
      <c r="D2173" s="16" t="s">
        <v>12334</v>
      </c>
      <c r="E2173" s="16" t="s">
        <v>12422</v>
      </c>
      <c r="F2173" s="16" t="s">
        <v>12425</v>
      </c>
      <c r="G2173" s="16"/>
      <c r="H2173" s="16"/>
      <c r="I2173" s="16"/>
      <c r="J2173" s="16"/>
      <c r="K2173" s="16"/>
      <c r="L2173" s="16"/>
      <c r="M2173" s="16"/>
      <c r="N2173" s="16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D2173" s="16"/>
      <c r="AH2173" s="16"/>
      <c r="AL2173" s="16"/>
      <c r="AP2173" s="16"/>
      <c r="AT2173" s="16"/>
      <c r="AX2173" s="16"/>
      <c r="BF2173" s="16"/>
      <c r="BJ2173" s="16"/>
      <c r="BN2173" s="16"/>
      <c r="BO2173" s="16"/>
      <c r="BP2173" s="16" t="s">
        <v>12424</v>
      </c>
      <c r="BQ2173" s="16" t="b">
        <v>0</v>
      </c>
      <c r="BR2173" s="16"/>
      <c r="BS2173" s="16"/>
      <c r="BT2173" s="16" t="b">
        <v>0</v>
      </c>
      <c r="BU2173" s="16" t="s">
        <v>13953</v>
      </c>
      <c r="BV2173" s="16"/>
      <c r="BW2173" s="16"/>
      <c r="BX2173" s="16"/>
    </row>
    <row r="2174">
      <c r="A2174" s="16" t="s">
        <v>9973</v>
      </c>
      <c r="B2174" s="16" t="s">
        <v>35</v>
      </c>
      <c r="C2174" s="201">
        <v>46098.0</v>
      </c>
      <c r="D2174" s="16" t="s">
        <v>890</v>
      </c>
      <c r="E2174" s="16"/>
      <c r="F2174" s="16" t="s">
        <v>12430</v>
      </c>
      <c r="G2174" s="16" t="s">
        <v>1517</v>
      </c>
      <c r="H2174" s="16">
        <v>1.0</v>
      </c>
      <c r="I2174" s="16">
        <v>3008.05</v>
      </c>
      <c r="J2174" s="16">
        <v>3008.05</v>
      </c>
      <c r="K2174" s="16"/>
      <c r="L2174" s="16"/>
      <c r="M2174" s="16"/>
      <c r="N2174" s="16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D2174" s="16"/>
      <c r="AH2174" s="16"/>
      <c r="AL2174" s="16"/>
      <c r="AP2174" s="16"/>
      <c r="AT2174" s="16"/>
      <c r="AX2174" s="16"/>
      <c r="BF2174" s="16"/>
      <c r="BJ2174" s="16"/>
      <c r="BN2174" s="16"/>
      <c r="BO2174" s="16">
        <v>3008.05</v>
      </c>
      <c r="BP2174" s="16"/>
      <c r="BQ2174" s="16" t="b">
        <v>1</v>
      </c>
      <c r="BR2174" s="16">
        <v>3008.05</v>
      </c>
      <c r="BS2174" s="16"/>
      <c r="BT2174" s="16"/>
      <c r="BU2174" s="16" t="s">
        <v>2051</v>
      </c>
      <c r="BV2174" s="16"/>
      <c r="BW2174" s="16"/>
      <c r="BX2174" s="16"/>
    </row>
    <row r="2175">
      <c r="A2175" s="16" t="s">
        <v>9975</v>
      </c>
      <c r="B2175" s="16" t="s">
        <v>35</v>
      </c>
      <c r="C2175" s="201">
        <v>46098.0</v>
      </c>
      <c r="D2175" s="16" t="s">
        <v>890</v>
      </c>
      <c r="E2175" s="16"/>
      <c r="F2175" s="16" t="s">
        <v>12433</v>
      </c>
      <c r="G2175" s="16" t="s">
        <v>1517</v>
      </c>
      <c r="H2175" s="16">
        <v>1.0</v>
      </c>
      <c r="I2175" s="16">
        <v>61.83</v>
      </c>
      <c r="J2175" s="16">
        <v>61.83</v>
      </c>
      <c r="K2175" s="16"/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D2175" s="16"/>
      <c r="AH2175" s="16"/>
      <c r="AL2175" s="16"/>
      <c r="AP2175" s="16"/>
      <c r="AT2175" s="16"/>
      <c r="AX2175" s="16"/>
      <c r="BF2175" s="16"/>
      <c r="BJ2175" s="16"/>
      <c r="BN2175" s="16"/>
      <c r="BO2175" s="16">
        <v>61.83</v>
      </c>
      <c r="BP2175" s="16"/>
      <c r="BQ2175" s="16" t="b">
        <v>1</v>
      </c>
      <c r="BR2175" s="16">
        <v>61.83</v>
      </c>
      <c r="BS2175" s="16"/>
      <c r="BT2175" s="16"/>
      <c r="BU2175" s="16" t="s">
        <v>2051</v>
      </c>
      <c r="BV2175" s="16"/>
      <c r="BW2175" s="16"/>
      <c r="BX2175" s="16"/>
    </row>
    <row r="2176">
      <c r="A2176" s="16">
        <v>11977.0</v>
      </c>
      <c r="B2176" s="16" t="s">
        <v>35</v>
      </c>
      <c r="C2176" s="201">
        <v>46098.0</v>
      </c>
      <c r="D2176" s="16" t="s">
        <v>3516</v>
      </c>
      <c r="E2176" s="16"/>
      <c r="F2176" s="16" t="s">
        <v>9759</v>
      </c>
      <c r="G2176" s="16" t="s">
        <v>2448</v>
      </c>
      <c r="H2176" s="16">
        <v>1.0</v>
      </c>
      <c r="I2176" s="16">
        <v>907.14</v>
      </c>
      <c r="J2176" s="16">
        <v>907.14</v>
      </c>
      <c r="K2176" s="16"/>
      <c r="L2176" s="16"/>
      <c r="M2176" s="16"/>
      <c r="N2176" s="16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16"/>
      <c r="AD2176" s="16"/>
      <c r="AH2176" s="16"/>
      <c r="AL2176" s="16"/>
      <c r="AP2176" s="16"/>
      <c r="AT2176" s="16"/>
      <c r="AX2176" s="16"/>
      <c r="BF2176" s="16"/>
      <c r="BJ2176" s="16"/>
      <c r="BN2176" s="16"/>
      <c r="BO2176" s="16">
        <v>907.14</v>
      </c>
      <c r="BP2176" s="16"/>
      <c r="BQ2176" s="16" t="b">
        <v>1</v>
      </c>
      <c r="BR2176" s="16">
        <v>907.14</v>
      </c>
      <c r="BS2176" s="16"/>
      <c r="BT2176" s="16"/>
      <c r="BU2176" s="16" t="s">
        <v>2051</v>
      </c>
      <c r="BV2176" s="16"/>
      <c r="BW2176" s="16"/>
      <c r="BX2176" s="16"/>
    </row>
    <row r="2177">
      <c r="A2177" s="16" t="s">
        <v>9981</v>
      </c>
      <c r="B2177" s="16" t="s">
        <v>35</v>
      </c>
      <c r="C2177" s="201">
        <v>46098.0</v>
      </c>
      <c r="D2177" s="16" t="s">
        <v>890</v>
      </c>
      <c r="E2177" s="16"/>
      <c r="F2177" s="16" t="s">
        <v>12438</v>
      </c>
      <c r="G2177" s="16" t="s">
        <v>1517</v>
      </c>
      <c r="H2177" s="16">
        <v>1.0</v>
      </c>
      <c r="I2177" s="16">
        <v>3.6</v>
      </c>
      <c r="J2177" s="16">
        <v>3.6</v>
      </c>
      <c r="K2177" s="16"/>
      <c r="L2177" s="16"/>
      <c r="M2177" s="16"/>
      <c r="N2177" s="16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16"/>
      <c r="AD2177" s="16"/>
      <c r="AH2177" s="16"/>
      <c r="AL2177" s="16"/>
      <c r="AP2177" s="16"/>
      <c r="AT2177" s="16"/>
      <c r="AX2177" s="16"/>
      <c r="BF2177" s="16"/>
      <c r="BJ2177" s="16"/>
      <c r="BN2177" s="16"/>
      <c r="BO2177" s="16">
        <v>3.6</v>
      </c>
      <c r="BP2177" s="16"/>
      <c r="BQ2177" s="16" t="b">
        <v>1</v>
      </c>
      <c r="BR2177" s="16">
        <v>3.6</v>
      </c>
      <c r="BS2177" s="16"/>
      <c r="BT2177" s="16"/>
      <c r="BU2177" s="16" t="s">
        <v>2051</v>
      </c>
      <c r="BV2177" s="16"/>
      <c r="BW2177" s="16"/>
      <c r="BX2177" s="16"/>
    </row>
    <row r="2178">
      <c r="A2178" s="16" t="s">
        <v>9983</v>
      </c>
      <c r="B2178" s="16" t="s">
        <v>35</v>
      </c>
      <c r="C2178" s="201">
        <v>46098.0</v>
      </c>
      <c r="D2178" s="16" t="s">
        <v>460</v>
      </c>
      <c r="E2178" s="16"/>
      <c r="F2178" s="16" t="s">
        <v>4017</v>
      </c>
      <c r="G2178" s="16" t="s">
        <v>4937</v>
      </c>
      <c r="H2178" s="16">
        <v>1.0</v>
      </c>
      <c r="I2178" s="16">
        <v>20.0</v>
      </c>
      <c r="J2178" s="16">
        <v>20.0</v>
      </c>
      <c r="K2178" s="16"/>
      <c r="L2178" s="16"/>
      <c r="M2178" s="16"/>
      <c r="N2178" s="16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16"/>
      <c r="AD2178" s="16"/>
      <c r="AH2178" s="16"/>
      <c r="AL2178" s="16"/>
      <c r="AP2178" s="16"/>
      <c r="AT2178" s="16"/>
      <c r="AX2178" s="16"/>
      <c r="BF2178" s="16"/>
      <c r="BJ2178" s="16"/>
      <c r="BN2178" s="16"/>
      <c r="BO2178" s="16">
        <v>20.0</v>
      </c>
      <c r="BP2178" s="16"/>
      <c r="BQ2178" s="16" t="b">
        <v>1</v>
      </c>
      <c r="BR2178" s="16">
        <v>20.0</v>
      </c>
      <c r="BS2178" s="16"/>
      <c r="BT2178" s="16"/>
      <c r="BU2178" s="16" t="s">
        <v>2051</v>
      </c>
      <c r="BV2178" s="16"/>
      <c r="BW2178" s="16"/>
      <c r="BX2178" s="16"/>
    </row>
    <row r="2179">
      <c r="A2179" s="16" t="s">
        <v>10976</v>
      </c>
      <c r="B2179" s="16" t="s">
        <v>35</v>
      </c>
      <c r="C2179" s="201">
        <v>46101.0</v>
      </c>
      <c r="D2179" s="21" t="s">
        <v>12789</v>
      </c>
      <c r="E2179" s="16" t="s">
        <v>12442</v>
      </c>
      <c r="F2179" s="16" t="s">
        <v>11625</v>
      </c>
      <c r="G2179" s="16"/>
      <c r="H2179" s="16"/>
      <c r="I2179" s="16"/>
      <c r="J2179" s="16"/>
      <c r="K2179" s="16"/>
      <c r="L2179" s="16"/>
      <c r="M2179" s="16"/>
      <c r="N2179" s="16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16"/>
      <c r="AD2179" s="16"/>
      <c r="AH2179" s="16"/>
      <c r="AL2179" s="16"/>
      <c r="AP2179" s="16"/>
      <c r="AT2179" s="16"/>
      <c r="AX2179" s="16"/>
      <c r="BF2179" s="16"/>
      <c r="BJ2179" s="16"/>
      <c r="BN2179" s="16"/>
      <c r="BO2179" s="16"/>
      <c r="BP2179" s="16" t="s">
        <v>12444</v>
      </c>
      <c r="BQ2179" s="16" t="b">
        <v>0</v>
      </c>
      <c r="BR2179" s="16"/>
      <c r="BS2179" s="21" t="s">
        <v>14115</v>
      </c>
      <c r="BT2179" s="16" t="b">
        <v>1</v>
      </c>
      <c r="BU2179" s="16" t="s">
        <v>13953</v>
      </c>
      <c r="BV2179" s="16"/>
      <c r="BW2179" s="16"/>
      <c r="BX2179" s="16"/>
    </row>
    <row r="2180">
      <c r="A2180" s="16" t="s">
        <v>10989</v>
      </c>
      <c r="B2180" s="16" t="s">
        <v>35</v>
      </c>
      <c r="C2180" s="201">
        <v>46101.0</v>
      </c>
      <c r="D2180" s="16" t="s">
        <v>11926</v>
      </c>
      <c r="E2180" s="16" t="s">
        <v>12448</v>
      </c>
      <c r="F2180" s="16" t="s">
        <v>140</v>
      </c>
      <c r="G2180" s="16"/>
      <c r="H2180" s="16"/>
      <c r="I2180" s="16"/>
      <c r="J2180" s="16"/>
      <c r="K2180" s="16"/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D2180" s="16"/>
      <c r="AH2180" s="16"/>
      <c r="AL2180" s="16"/>
      <c r="AP2180" s="16"/>
      <c r="AT2180" s="16"/>
      <c r="AX2180" s="16"/>
      <c r="BF2180" s="16"/>
      <c r="BJ2180" s="16"/>
      <c r="BN2180" s="16"/>
      <c r="BO2180" s="16"/>
      <c r="BP2180" s="16" t="s">
        <v>12449</v>
      </c>
      <c r="BQ2180" s="16" t="b">
        <v>0</v>
      </c>
      <c r="BR2180" s="16"/>
      <c r="BS2180" s="16"/>
      <c r="BT2180" s="16" t="b">
        <v>0</v>
      </c>
      <c r="BU2180" s="16" t="s">
        <v>13953</v>
      </c>
      <c r="BV2180" s="16"/>
      <c r="BW2180" s="16"/>
      <c r="BX2180" s="16"/>
    </row>
    <row r="2181">
      <c r="A2181" s="16" t="s">
        <v>10992</v>
      </c>
      <c r="B2181" s="16" t="s">
        <v>35</v>
      </c>
      <c r="C2181" s="201">
        <v>46101.0</v>
      </c>
      <c r="D2181" s="16" t="s">
        <v>112</v>
      </c>
      <c r="E2181" s="16" t="s">
        <v>12453</v>
      </c>
      <c r="F2181" s="16" t="s">
        <v>157</v>
      </c>
      <c r="G2181" s="16"/>
      <c r="H2181" s="16"/>
      <c r="I2181" s="16"/>
      <c r="J2181" s="16"/>
      <c r="K2181" s="16"/>
      <c r="L2181" s="16"/>
      <c r="M2181" s="16"/>
      <c r="N2181" s="16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D2181" s="16"/>
      <c r="AH2181" s="16"/>
      <c r="AL2181" s="16"/>
      <c r="AP2181" s="16"/>
      <c r="AT2181" s="16"/>
      <c r="AX2181" s="16"/>
      <c r="BF2181" s="16"/>
      <c r="BJ2181" s="16"/>
      <c r="BN2181" s="16"/>
      <c r="BO2181" s="16"/>
      <c r="BP2181" s="16" t="s">
        <v>12454</v>
      </c>
      <c r="BQ2181" s="16" t="b">
        <v>0</v>
      </c>
      <c r="BR2181" s="16"/>
      <c r="BS2181" s="16"/>
      <c r="BT2181" s="16" t="b">
        <v>0</v>
      </c>
      <c r="BU2181" s="16" t="s">
        <v>13953</v>
      </c>
      <c r="BV2181" s="16"/>
      <c r="BW2181" s="16"/>
      <c r="BX2181" s="16"/>
    </row>
    <row r="2182">
      <c r="A2182" s="16" t="s">
        <v>10952</v>
      </c>
      <c r="B2182" s="16" t="s">
        <v>35</v>
      </c>
      <c r="C2182" s="201">
        <v>46100.0</v>
      </c>
      <c r="D2182" s="16" t="s">
        <v>11765</v>
      </c>
      <c r="E2182" s="16" t="s">
        <v>12458</v>
      </c>
      <c r="F2182" s="16" t="s">
        <v>195</v>
      </c>
      <c r="G2182" s="16"/>
      <c r="H2182" s="16"/>
      <c r="I2182" s="16"/>
      <c r="J2182" s="16"/>
      <c r="K2182" s="16"/>
      <c r="L2182" s="16"/>
      <c r="M2182" s="16"/>
      <c r="N2182" s="16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D2182" s="16"/>
      <c r="AH2182" s="16"/>
      <c r="AL2182" s="16"/>
      <c r="AP2182" s="16"/>
      <c r="AT2182" s="16"/>
      <c r="AX2182" s="16"/>
      <c r="BF2182" s="16"/>
      <c r="BJ2182" s="16"/>
      <c r="BN2182" s="16"/>
      <c r="BO2182" s="16"/>
      <c r="BP2182" s="16" t="s">
        <v>12459</v>
      </c>
      <c r="BQ2182" s="16" t="b">
        <v>0</v>
      </c>
      <c r="BR2182" s="16"/>
      <c r="BS2182" s="16"/>
      <c r="BT2182" s="16" t="b">
        <v>0</v>
      </c>
      <c r="BU2182" s="16" t="s">
        <v>13953</v>
      </c>
      <c r="BV2182" s="16"/>
      <c r="BW2182" s="16" t="s">
        <v>12461</v>
      </c>
      <c r="BX2182" s="16"/>
    </row>
    <row r="2183">
      <c r="A2183" s="16" t="s">
        <v>10896</v>
      </c>
      <c r="B2183" s="16" t="s">
        <v>35</v>
      </c>
      <c r="C2183" s="201">
        <v>46098.0</v>
      </c>
      <c r="D2183" s="16" t="s">
        <v>890</v>
      </c>
      <c r="E2183" s="16" t="s">
        <v>12465</v>
      </c>
      <c r="F2183" s="16" t="s">
        <v>12469</v>
      </c>
      <c r="G2183" s="16"/>
      <c r="H2183" s="16"/>
      <c r="I2183" s="16"/>
      <c r="J2183" s="16"/>
      <c r="K2183" s="16"/>
      <c r="L2183" s="16"/>
      <c r="M2183" s="16"/>
      <c r="N2183" s="16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D2183" s="16"/>
      <c r="AH2183" s="16"/>
      <c r="AL2183" s="16"/>
      <c r="AP2183" s="16"/>
      <c r="AT2183" s="16"/>
      <c r="AX2183" s="16"/>
      <c r="BF2183" s="16"/>
      <c r="BJ2183" s="16"/>
      <c r="BN2183" s="16"/>
      <c r="BO2183" s="16"/>
      <c r="BP2183" s="16" t="s">
        <v>12467</v>
      </c>
      <c r="BQ2183" s="16" t="b">
        <v>0</v>
      </c>
      <c r="BR2183" s="16"/>
      <c r="BS2183" s="16"/>
      <c r="BT2183" s="16" t="b">
        <v>0</v>
      </c>
      <c r="BU2183" s="16" t="s">
        <v>13953</v>
      </c>
      <c r="BV2183" s="16"/>
      <c r="BW2183" s="16" t="s">
        <v>12470</v>
      </c>
      <c r="BX2183" s="16"/>
    </row>
    <row r="2184">
      <c r="A2184" s="16" t="s">
        <v>10908</v>
      </c>
      <c r="B2184" s="16" t="s">
        <v>35</v>
      </c>
      <c r="C2184" s="201">
        <v>46100.0</v>
      </c>
      <c r="D2184" s="16" t="s">
        <v>11784</v>
      </c>
      <c r="E2184" s="16" t="s">
        <v>12473</v>
      </c>
      <c r="F2184" s="16" t="s">
        <v>147</v>
      </c>
      <c r="G2184" s="16"/>
      <c r="H2184" s="16"/>
      <c r="I2184" s="16"/>
      <c r="J2184" s="16"/>
      <c r="K2184" s="16"/>
      <c r="L2184" s="16"/>
      <c r="M2184" s="16"/>
      <c r="N2184" s="16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16"/>
      <c r="AD2184" s="16"/>
      <c r="AH2184" s="16"/>
      <c r="AL2184" s="16"/>
      <c r="AP2184" s="16"/>
      <c r="AT2184" s="16"/>
      <c r="AX2184" s="16"/>
      <c r="BF2184" s="16"/>
      <c r="BJ2184" s="16"/>
      <c r="BN2184" s="16"/>
      <c r="BO2184" s="16"/>
      <c r="BP2184" s="16" t="s">
        <v>12474</v>
      </c>
      <c r="BQ2184" s="16" t="b">
        <v>0</v>
      </c>
      <c r="BR2184" s="16"/>
      <c r="BS2184" s="21" t="s">
        <v>14118</v>
      </c>
      <c r="BT2184" s="16" t="b">
        <v>1</v>
      </c>
      <c r="BU2184" s="16" t="s">
        <v>13953</v>
      </c>
      <c r="BV2184" s="16"/>
      <c r="BW2184" s="16"/>
      <c r="BX2184" s="16"/>
    </row>
    <row r="2185">
      <c r="A2185" s="16" t="s">
        <v>11006</v>
      </c>
      <c r="B2185" s="16" t="s">
        <v>35</v>
      </c>
      <c r="C2185" s="201">
        <v>46104.0</v>
      </c>
      <c r="D2185" s="16" t="s">
        <v>11926</v>
      </c>
      <c r="E2185" s="16" t="s">
        <v>12477</v>
      </c>
      <c r="F2185" s="16" t="s">
        <v>140</v>
      </c>
      <c r="G2185" s="16"/>
      <c r="H2185" s="16"/>
      <c r="I2185" s="16"/>
      <c r="J2185" s="16"/>
      <c r="K2185" s="16"/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D2185" s="16"/>
      <c r="AH2185" s="16"/>
      <c r="AL2185" s="16"/>
      <c r="AP2185" s="16"/>
      <c r="AT2185" s="16"/>
      <c r="AX2185" s="16"/>
      <c r="BF2185" s="16"/>
      <c r="BJ2185" s="16"/>
      <c r="BN2185" s="16"/>
      <c r="BO2185" s="16"/>
      <c r="BP2185" s="16" t="s">
        <v>12478</v>
      </c>
      <c r="BQ2185" s="16" t="b">
        <v>0</v>
      </c>
      <c r="BR2185" s="16"/>
      <c r="BS2185" s="16"/>
      <c r="BT2185" s="16" t="b">
        <v>0</v>
      </c>
      <c r="BU2185" s="16" t="s">
        <v>13953</v>
      </c>
      <c r="BV2185" s="16"/>
      <c r="BW2185" s="16"/>
      <c r="BX2185" s="16"/>
    </row>
    <row r="2186">
      <c r="A2186" s="16" t="s">
        <v>10999</v>
      </c>
      <c r="B2186" s="16" t="s">
        <v>35</v>
      </c>
      <c r="C2186" s="201">
        <v>46103.0</v>
      </c>
      <c r="D2186" s="21" t="s">
        <v>12789</v>
      </c>
      <c r="E2186" s="16" t="s">
        <v>12483</v>
      </c>
      <c r="F2186" s="16" t="s">
        <v>157</v>
      </c>
      <c r="G2186" s="16"/>
      <c r="H2186" s="16"/>
      <c r="I2186" s="16"/>
      <c r="J2186" s="16"/>
      <c r="K2186" s="16"/>
      <c r="L2186" s="16"/>
      <c r="M2186" s="16"/>
      <c r="N2186" s="16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D2186" s="16"/>
      <c r="AH2186" s="16"/>
      <c r="AL2186" s="16"/>
      <c r="AP2186" s="16"/>
      <c r="AT2186" s="16"/>
      <c r="AX2186" s="16"/>
      <c r="BF2186" s="16"/>
      <c r="BJ2186" s="16"/>
      <c r="BN2186" s="16"/>
      <c r="BO2186" s="16"/>
      <c r="BP2186" s="16" t="s">
        <v>12484</v>
      </c>
      <c r="BQ2186" s="16" t="b">
        <v>0</v>
      </c>
      <c r="BR2186" s="16"/>
      <c r="BS2186" s="21" t="s">
        <v>14120</v>
      </c>
      <c r="BT2186" s="16" t="b">
        <v>1</v>
      </c>
      <c r="BU2186" s="16" t="s">
        <v>13953</v>
      </c>
      <c r="BV2186" s="16"/>
      <c r="BW2186" s="16"/>
      <c r="BX2186" s="16"/>
    </row>
    <row r="2187">
      <c r="A2187" s="16" t="s">
        <v>11002</v>
      </c>
      <c r="B2187" s="16" t="s">
        <v>35</v>
      </c>
      <c r="C2187" s="201">
        <v>46103.0</v>
      </c>
      <c r="D2187" s="16" t="s">
        <v>12488</v>
      </c>
      <c r="E2187" s="16" t="s">
        <v>12489</v>
      </c>
      <c r="F2187" s="16" t="s">
        <v>157</v>
      </c>
      <c r="G2187" s="16"/>
      <c r="H2187" s="16"/>
      <c r="I2187" s="16"/>
      <c r="J2187" s="16"/>
      <c r="K2187" s="16"/>
      <c r="L2187" s="16"/>
      <c r="M2187" s="16"/>
      <c r="N2187" s="16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D2187" s="16"/>
      <c r="AH2187" s="16"/>
      <c r="AL2187" s="16"/>
      <c r="AP2187" s="16"/>
      <c r="AT2187" s="16"/>
      <c r="AX2187" s="16"/>
      <c r="BF2187" s="16"/>
      <c r="BJ2187" s="16"/>
      <c r="BN2187" s="16"/>
      <c r="BO2187" s="16"/>
      <c r="BP2187" s="16" t="s">
        <v>12490</v>
      </c>
      <c r="BQ2187" s="16" t="b">
        <v>0</v>
      </c>
      <c r="BR2187" s="16"/>
      <c r="BS2187" s="21" t="s">
        <v>14121</v>
      </c>
      <c r="BT2187" s="16" t="b">
        <v>1</v>
      </c>
      <c r="BU2187" s="16" t="s">
        <v>13953</v>
      </c>
      <c r="BV2187" s="16"/>
      <c r="BW2187" s="16"/>
      <c r="BX2187" s="16"/>
    </row>
    <row r="2188">
      <c r="A2188" s="16">
        <v>11875.0</v>
      </c>
      <c r="B2188" s="16" t="s">
        <v>35</v>
      </c>
      <c r="C2188" s="201">
        <v>46104.0</v>
      </c>
      <c r="D2188" s="16" t="s">
        <v>890</v>
      </c>
      <c r="E2188" s="16"/>
      <c r="F2188" s="16" t="s">
        <v>10085</v>
      </c>
      <c r="G2188" s="16" t="s">
        <v>6956</v>
      </c>
      <c r="H2188" s="16">
        <v>1.0</v>
      </c>
      <c r="I2188" s="16">
        <v>1098.0</v>
      </c>
      <c r="J2188" s="16">
        <v>1098.0</v>
      </c>
      <c r="K2188" s="16"/>
      <c r="L2188" s="16"/>
      <c r="M2188" s="16"/>
      <c r="N2188" s="16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16"/>
      <c r="AD2188" s="16"/>
      <c r="AH2188" s="16"/>
      <c r="AL2188" s="16"/>
      <c r="AP2188" s="16"/>
      <c r="AT2188" s="16"/>
      <c r="AX2188" s="16"/>
      <c r="BF2188" s="16"/>
      <c r="BJ2188" s="16"/>
      <c r="BN2188" s="16"/>
      <c r="BO2188" s="16">
        <v>1098.0</v>
      </c>
      <c r="BP2188" s="16"/>
      <c r="BQ2188" s="16" t="b">
        <v>1</v>
      </c>
      <c r="BR2188" s="16">
        <v>1098.0</v>
      </c>
      <c r="BS2188" s="16"/>
      <c r="BT2188" s="16"/>
      <c r="BU2188" s="16" t="s">
        <v>539</v>
      </c>
      <c r="BV2188" s="16"/>
      <c r="BW2188" s="16"/>
      <c r="BX2188" s="16"/>
    </row>
    <row r="2189">
      <c r="A2189" s="16">
        <v>11876.0</v>
      </c>
      <c r="B2189" s="16" t="s">
        <v>35</v>
      </c>
      <c r="C2189" s="201">
        <v>46104.0</v>
      </c>
      <c r="D2189" s="16" t="s">
        <v>890</v>
      </c>
      <c r="E2189" s="16"/>
      <c r="F2189" s="16" t="s">
        <v>10089</v>
      </c>
      <c r="G2189" s="16" t="s">
        <v>7344</v>
      </c>
      <c r="H2189" s="16">
        <v>1.0</v>
      </c>
      <c r="I2189" s="16">
        <v>700.0</v>
      </c>
      <c r="J2189" s="16">
        <v>700.0</v>
      </c>
      <c r="K2189" s="16"/>
      <c r="L2189" s="16"/>
      <c r="M2189" s="16"/>
      <c r="N2189" s="16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D2189" s="16"/>
      <c r="AH2189" s="16"/>
      <c r="AL2189" s="16"/>
      <c r="AP2189" s="16"/>
      <c r="AT2189" s="16"/>
      <c r="AX2189" s="16"/>
      <c r="BF2189" s="16"/>
      <c r="BJ2189" s="16"/>
      <c r="BN2189" s="16"/>
      <c r="BO2189" s="16">
        <v>700.0</v>
      </c>
      <c r="BP2189" s="16"/>
      <c r="BQ2189" s="16" t="b">
        <v>1</v>
      </c>
      <c r="BR2189" s="16">
        <v>700.0</v>
      </c>
      <c r="BS2189" s="16"/>
      <c r="BT2189" s="16"/>
      <c r="BU2189" s="16" t="s">
        <v>539</v>
      </c>
      <c r="BV2189" s="16"/>
      <c r="BW2189" s="16"/>
      <c r="BX2189" s="16"/>
    </row>
    <row r="2190">
      <c r="A2190" s="16">
        <v>11880.0</v>
      </c>
      <c r="B2190" s="16" t="s">
        <v>35</v>
      </c>
      <c r="C2190" s="201">
        <v>46104.0</v>
      </c>
      <c r="D2190" s="16" t="s">
        <v>890</v>
      </c>
      <c r="E2190" s="16"/>
      <c r="F2190" s="16" t="s">
        <v>4010</v>
      </c>
      <c r="G2190" s="16" t="s">
        <v>4831</v>
      </c>
      <c r="H2190" s="16">
        <v>1.0</v>
      </c>
      <c r="I2190" s="16">
        <v>396.0</v>
      </c>
      <c r="J2190" s="16">
        <v>396.0</v>
      </c>
      <c r="K2190" s="16"/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D2190" s="16"/>
      <c r="AH2190" s="16"/>
      <c r="AL2190" s="16"/>
      <c r="AP2190" s="16"/>
      <c r="AT2190" s="16"/>
      <c r="AX2190" s="16"/>
      <c r="BF2190" s="16"/>
      <c r="BJ2190" s="16"/>
      <c r="BN2190" s="16"/>
      <c r="BO2190" s="16">
        <v>396.0</v>
      </c>
      <c r="BP2190" s="16"/>
      <c r="BQ2190" s="16" t="b">
        <v>1</v>
      </c>
      <c r="BR2190" s="16">
        <v>396.0</v>
      </c>
      <c r="BS2190" s="16"/>
      <c r="BT2190" s="16"/>
      <c r="BU2190" s="16" t="s">
        <v>539</v>
      </c>
      <c r="BV2190" s="16"/>
      <c r="BW2190" s="16"/>
      <c r="BX2190" s="16"/>
    </row>
    <row r="2191">
      <c r="A2191" s="16" t="s">
        <v>9994</v>
      </c>
      <c r="B2191" s="16" t="s">
        <v>35</v>
      </c>
      <c r="C2191" s="201">
        <v>46104.0</v>
      </c>
      <c r="D2191" s="16" t="s">
        <v>460</v>
      </c>
      <c r="E2191" s="16"/>
      <c r="F2191" s="16" t="s">
        <v>12496</v>
      </c>
      <c r="G2191" s="16" t="s">
        <v>3987</v>
      </c>
      <c r="H2191" s="16">
        <v>1.0</v>
      </c>
      <c r="I2191" s="16">
        <v>635.0</v>
      </c>
      <c r="J2191" s="16">
        <v>635.0</v>
      </c>
      <c r="K2191" s="16"/>
      <c r="L2191" s="16"/>
      <c r="M2191" s="16"/>
      <c r="N2191" s="16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D2191" s="16"/>
      <c r="AH2191" s="16"/>
      <c r="AL2191" s="16"/>
      <c r="AP2191" s="16"/>
      <c r="AT2191" s="16"/>
      <c r="AX2191" s="16"/>
      <c r="BF2191" s="16"/>
      <c r="BJ2191" s="16"/>
      <c r="BN2191" s="16"/>
      <c r="BO2191" s="16">
        <v>635.0</v>
      </c>
      <c r="BP2191" s="16"/>
      <c r="BQ2191" s="16" t="b">
        <v>1</v>
      </c>
      <c r="BR2191" s="16">
        <v>635.0</v>
      </c>
      <c r="BS2191" s="16"/>
      <c r="BT2191" s="16"/>
      <c r="BU2191" s="16" t="s">
        <v>2051</v>
      </c>
      <c r="BV2191" s="16"/>
      <c r="BW2191" s="16"/>
      <c r="BX2191" s="16"/>
    </row>
    <row r="2192">
      <c r="A2192" s="16">
        <v>11996.0</v>
      </c>
      <c r="B2192" s="16" t="s">
        <v>35</v>
      </c>
      <c r="C2192" s="201">
        <v>46104.0</v>
      </c>
      <c r="D2192" s="16" t="s">
        <v>460</v>
      </c>
      <c r="E2192" s="16"/>
      <c r="F2192" s="224">
        <v>46301.0</v>
      </c>
      <c r="G2192" s="16" t="s">
        <v>8404</v>
      </c>
      <c r="H2192" s="16">
        <v>1.0</v>
      </c>
      <c r="I2192" s="16">
        <v>249.23</v>
      </c>
      <c r="J2192" s="16">
        <v>249.23</v>
      </c>
      <c r="K2192" s="16"/>
      <c r="L2192" s="16"/>
      <c r="M2192" s="16"/>
      <c r="N2192" s="16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16"/>
      <c r="AD2192" s="16"/>
      <c r="AH2192" s="16"/>
      <c r="AL2192" s="16"/>
      <c r="AP2192" s="16"/>
      <c r="AT2192" s="16"/>
      <c r="AX2192" s="16"/>
      <c r="BF2192" s="16"/>
      <c r="BJ2192" s="16"/>
      <c r="BN2192" s="16"/>
      <c r="BO2192" s="16">
        <v>249.23</v>
      </c>
      <c r="BP2192" s="16"/>
      <c r="BQ2192" s="16" t="b">
        <v>1</v>
      </c>
      <c r="BR2192" s="16">
        <v>249.23</v>
      </c>
      <c r="BS2192" s="16"/>
      <c r="BT2192" s="16"/>
      <c r="BU2192" s="16" t="s">
        <v>2051</v>
      </c>
      <c r="BV2192" s="16"/>
      <c r="BW2192" s="16"/>
      <c r="BX2192" s="16"/>
    </row>
    <row r="2193">
      <c r="A2193" s="16">
        <v>11997.0</v>
      </c>
      <c r="B2193" s="16" t="s">
        <v>35</v>
      </c>
      <c r="C2193" s="201">
        <v>46104.0</v>
      </c>
      <c r="D2193" s="16" t="s">
        <v>10315</v>
      </c>
      <c r="E2193" s="16"/>
      <c r="F2193" s="16" t="s">
        <v>12501</v>
      </c>
      <c r="G2193" s="16" t="s">
        <v>8792</v>
      </c>
      <c r="H2193" s="16">
        <v>1.0</v>
      </c>
      <c r="I2193" s="16">
        <v>0.01</v>
      </c>
      <c r="J2193" s="16">
        <v>0.01</v>
      </c>
      <c r="K2193" s="16"/>
      <c r="L2193" s="16"/>
      <c r="M2193" s="16"/>
      <c r="N2193" s="16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D2193" s="16"/>
      <c r="AH2193" s="16"/>
      <c r="AL2193" s="16"/>
      <c r="AP2193" s="16"/>
      <c r="AT2193" s="16"/>
      <c r="AX2193" s="16"/>
      <c r="BF2193" s="16"/>
      <c r="BJ2193" s="16"/>
      <c r="BN2193" s="16"/>
      <c r="BO2193" s="16">
        <v>0.01</v>
      </c>
      <c r="BP2193" s="16"/>
      <c r="BQ2193" s="16" t="b">
        <v>1</v>
      </c>
      <c r="BR2193" s="16">
        <v>0.01</v>
      </c>
      <c r="BS2193" s="16"/>
      <c r="BT2193" s="16"/>
      <c r="BU2193" s="16" t="s">
        <v>2051</v>
      </c>
      <c r="BV2193" s="16"/>
      <c r="BW2193" s="16"/>
      <c r="BX2193" s="16"/>
    </row>
    <row r="2194">
      <c r="A2194" s="16" t="s">
        <v>10002</v>
      </c>
      <c r="B2194" s="16" t="s">
        <v>35</v>
      </c>
      <c r="C2194" s="201">
        <v>46104.0</v>
      </c>
      <c r="D2194" s="16" t="s">
        <v>460</v>
      </c>
      <c r="E2194" s="16"/>
      <c r="F2194" s="16" t="s">
        <v>12503</v>
      </c>
      <c r="G2194" s="16" t="s">
        <v>9609</v>
      </c>
      <c r="H2194" s="16">
        <v>1.0</v>
      </c>
      <c r="I2194" s="16">
        <v>133.3</v>
      </c>
      <c r="J2194" s="16">
        <v>133.3</v>
      </c>
      <c r="K2194" s="16"/>
      <c r="L2194" s="16"/>
      <c r="M2194" s="16"/>
      <c r="N2194" s="16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16"/>
      <c r="AD2194" s="16"/>
      <c r="AH2194" s="16"/>
      <c r="AL2194" s="16"/>
      <c r="AP2194" s="16"/>
      <c r="AT2194" s="16"/>
      <c r="AX2194" s="16"/>
      <c r="BF2194" s="16"/>
      <c r="BJ2194" s="16"/>
      <c r="BN2194" s="16"/>
      <c r="BO2194" s="16">
        <v>133.3</v>
      </c>
      <c r="BP2194" s="16"/>
      <c r="BQ2194" s="16" t="b">
        <v>1</v>
      </c>
      <c r="BR2194" s="16">
        <v>133.3</v>
      </c>
      <c r="BS2194" s="16"/>
      <c r="BT2194" s="16"/>
      <c r="BU2194" s="16" t="s">
        <v>2051</v>
      </c>
      <c r="BV2194" s="16"/>
      <c r="BW2194" s="16"/>
      <c r="BX2194" s="16"/>
    </row>
    <row r="2195">
      <c r="A2195" s="16" t="s">
        <v>11009</v>
      </c>
      <c r="B2195" s="16" t="s">
        <v>35</v>
      </c>
      <c r="C2195" s="201">
        <v>46105.0</v>
      </c>
      <c r="D2195" s="21" t="s">
        <v>12789</v>
      </c>
      <c r="E2195" s="16" t="s">
        <v>12505</v>
      </c>
      <c r="F2195" s="16" t="s">
        <v>12508</v>
      </c>
      <c r="G2195" s="16"/>
      <c r="H2195" s="16"/>
      <c r="I2195" s="16"/>
      <c r="J2195" s="16"/>
      <c r="K2195" s="16"/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D2195" s="16"/>
      <c r="AH2195" s="16"/>
      <c r="AL2195" s="16"/>
      <c r="AP2195" s="16"/>
      <c r="AT2195" s="16"/>
      <c r="AX2195" s="16"/>
      <c r="BF2195" s="16"/>
      <c r="BJ2195" s="16"/>
      <c r="BN2195" s="16"/>
      <c r="BO2195" s="16"/>
      <c r="BP2195" s="16" t="s">
        <v>12507</v>
      </c>
      <c r="BQ2195" s="16" t="b">
        <v>0</v>
      </c>
      <c r="BR2195" s="16"/>
      <c r="BS2195" s="21" t="s">
        <v>14122</v>
      </c>
      <c r="BT2195" s="16" t="b">
        <v>1</v>
      </c>
      <c r="BU2195" s="16" t="s">
        <v>13953</v>
      </c>
      <c r="BV2195" s="16"/>
      <c r="BW2195" s="16"/>
      <c r="BX2195" s="16"/>
    </row>
    <row r="2196">
      <c r="A2196" s="16" t="s">
        <v>10903</v>
      </c>
      <c r="B2196" s="16" t="s">
        <v>35</v>
      </c>
      <c r="C2196" s="201">
        <v>46098.0</v>
      </c>
      <c r="D2196" s="16" t="s">
        <v>9260</v>
      </c>
      <c r="E2196" s="16" t="s">
        <v>12510</v>
      </c>
      <c r="F2196" s="16" t="s">
        <v>12513</v>
      </c>
      <c r="G2196" s="16"/>
      <c r="H2196" s="16"/>
      <c r="I2196" s="16"/>
      <c r="J2196" s="16"/>
      <c r="K2196" s="16"/>
      <c r="L2196" s="16"/>
      <c r="M2196" s="16"/>
      <c r="N2196" s="16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16"/>
      <c r="AD2196" s="16"/>
      <c r="AH2196" s="16"/>
      <c r="AL2196" s="16"/>
      <c r="AP2196" s="16"/>
      <c r="AT2196" s="16"/>
      <c r="AX2196" s="16"/>
      <c r="BF2196" s="16"/>
      <c r="BJ2196" s="16"/>
      <c r="BN2196" s="16"/>
      <c r="BO2196" s="16"/>
      <c r="BP2196" s="16" t="s">
        <v>12512</v>
      </c>
      <c r="BQ2196" s="16" t="b">
        <v>0</v>
      </c>
      <c r="BR2196" s="16"/>
      <c r="BS2196" s="16"/>
      <c r="BT2196" s="16" t="b">
        <v>0</v>
      </c>
      <c r="BU2196" s="16" t="s">
        <v>13953</v>
      </c>
      <c r="BV2196" s="16"/>
      <c r="BW2196" s="16" t="s">
        <v>12514</v>
      </c>
      <c r="BX2196" s="16"/>
    </row>
    <row r="2197">
      <c r="A2197" s="16" t="s">
        <v>10004</v>
      </c>
      <c r="B2197" s="16" t="s">
        <v>35</v>
      </c>
      <c r="C2197" s="201">
        <v>46105.0</v>
      </c>
      <c r="D2197" s="16" t="s">
        <v>890</v>
      </c>
      <c r="E2197" s="16"/>
      <c r="F2197" s="16" t="s">
        <v>12516</v>
      </c>
      <c r="G2197" s="16" t="s">
        <v>8458</v>
      </c>
      <c r="H2197" s="16">
        <v>1.0</v>
      </c>
      <c r="I2197" s="16">
        <v>4875.0</v>
      </c>
      <c r="J2197" s="16">
        <v>4875.0</v>
      </c>
      <c r="K2197" s="16"/>
      <c r="L2197" s="16"/>
      <c r="M2197" s="16"/>
      <c r="N2197" s="16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16"/>
      <c r="AD2197" s="16"/>
      <c r="AH2197" s="16"/>
      <c r="AL2197" s="16"/>
      <c r="AP2197" s="16"/>
      <c r="AT2197" s="16"/>
      <c r="AX2197" s="16"/>
      <c r="BF2197" s="16"/>
      <c r="BJ2197" s="16"/>
      <c r="BN2197" s="16"/>
      <c r="BO2197" s="16">
        <v>4875.0</v>
      </c>
      <c r="BP2197" s="16"/>
      <c r="BQ2197" s="16" t="b">
        <v>1</v>
      </c>
      <c r="BR2197" s="16">
        <v>4875.0</v>
      </c>
      <c r="BS2197" s="16"/>
      <c r="BT2197" s="16"/>
      <c r="BU2197" s="16" t="s">
        <v>2051</v>
      </c>
      <c r="BV2197" s="16"/>
      <c r="BW2197" s="16"/>
      <c r="BX2197" s="16"/>
    </row>
    <row r="2198">
      <c r="A2198" s="16" t="s">
        <v>11025</v>
      </c>
      <c r="B2198" s="16" t="s">
        <v>35</v>
      </c>
      <c r="C2198" s="201">
        <v>46108.0</v>
      </c>
      <c r="D2198" s="16" t="s">
        <v>11926</v>
      </c>
      <c r="E2198" s="16" t="s">
        <v>12517</v>
      </c>
      <c r="F2198" s="16" t="s">
        <v>140</v>
      </c>
      <c r="G2198" s="16"/>
      <c r="H2198" s="16"/>
      <c r="I2198" s="16"/>
      <c r="J2198" s="16"/>
      <c r="K2198" s="16"/>
      <c r="L2198" s="16"/>
      <c r="M2198" s="16"/>
      <c r="N2198" s="16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16"/>
      <c r="AD2198" s="16"/>
      <c r="AH2198" s="16"/>
      <c r="AL2198" s="16"/>
      <c r="AP2198" s="16"/>
      <c r="AT2198" s="16"/>
      <c r="AX2198" s="16"/>
      <c r="BF2198" s="16"/>
      <c r="BJ2198" s="16"/>
      <c r="BN2198" s="16"/>
      <c r="BO2198" s="16"/>
      <c r="BP2198" s="16" t="s">
        <v>12518</v>
      </c>
      <c r="BQ2198" s="16" t="b">
        <v>0</v>
      </c>
      <c r="BR2198" s="16"/>
      <c r="BS2198" s="16"/>
      <c r="BT2198" s="16" t="b">
        <v>0</v>
      </c>
      <c r="BU2198" s="16" t="s">
        <v>13953</v>
      </c>
      <c r="BV2198" s="16"/>
      <c r="BW2198" s="16"/>
      <c r="BX2198" s="16"/>
    </row>
    <row r="2199">
      <c r="A2199" s="16" t="s">
        <v>11027</v>
      </c>
      <c r="B2199" s="16" t="s">
        <v>35</v>
      </c>
      <c r="C2199" s="201">
        <v>46108.0</v>
      </c>
      <c r="D2199" s="16" t="s">
        <v>112</v>
      </c>
      <c r="E2199" s="16" t="s">
        <v>12521</v>
      </c>
      <c r="F2199" s="16" t="s">
        <v>157</v>
      </c>
      <c r="G2199" s="16"/>
      <c r="H2199" s="16"/>
      <c r="I2199" s="16"/>
      <c r="J2199" s="16"/>
      <c r="K2199" s="16"/>
      <c r="L2199" s="16"/>
      <c r="M2199" s="16"/>
      <c r="N2199" s="16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16"/>
      <c r="AD2199" s="16"/>
      <c r="AH2199" s="16"/>
      <c r="AL2199" s="16"/>
      <c r="AP2199" s="16"/>
      <c r="AT2199" s="16"/>
      <c r="AX2199" s="16"/>
      <c r="BF2199" s="16"/>
      <c r="BJ2199" s="16"/>
      <c r="BN2199" s="16"/>
      <c r="BO2199" s="16"/>
      <c r="BP2199" s="16" t="s">
        <v>12523</v>
      </c>
      <c r="BQ2199" s="16" t="b">
        <v>0</v>
      </c>
      <c r="BR2199" s="16"/>
      <c r="BS2199" s="16"/>
      <c r="BT2199" s="16" t="b">
        <v>0</v>
      </c>
      <c r="BU2199" s="16" t="s">
        <v>13953</v>
      </c>
      <c r="BV2199" s="16"/>
      <c r="BW2199" s="16"/>
      <c r="BX2199" s="16"/>
    </row>
    <row r="2200">
      <c r="A2200" s="16" t="s">
        <v>11011</v>
      </c>
      <c r="B2200" s="16" t="s">
        <v>35</v>
      </c>
      <c r="C2200" s="201">
        <v>46107.0</v>
      </c>
      <c r="D2200" s="21" t="s">
        <v>12789</v>
      </c>
      <c r="E2200" s="16" t="s">
        <v>12527</v>
      </c>
      <c r="F2200" s="16" t="s">
        <v>11361</v>
      </c>
      <c r="G2200" s="16"/>
      <c r="H2200" s="16"/>
      <c r="I2200" s="16"/>
      <c r="J2200" s="16"/>
      <c r="K2200" s="16"/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D2200" s="16"/>
      <c r="AH2200" s="16"/>
      <c r="AL2200" s="16"/>
      <c r="AP2200" s="16"/>
      <c r="AT2200" s="16"/>
      <c r="AX2200" s="16"/>
      <c r="BF2200" s="16"/>
      <c r="BJ2200" s="16"/>
      <c r="BN2200" s="16"/>
      <c r="BO2200" s="16"/>
      <c r="BP2200" s="16" t="s">
        <v>12529</v>
      </c>
      <c r="BQ2200" s="16" t="b">
        <v>0</v>
      </c>
      <c r="BR2200" s="16"/>
      <c r="BS2200" s="21" t="s">
        <v>14123</v>
      </c>
      <c r="BT2200" s="16" t="b">
        <v>1</v>
      </c>
      <c r="BU2200" s="16" t="s">
        <v>13953</v>
      </c>
      <c r="BV2200" s="16"/>
      <c r="BW2200" s="16"/>
      <c r="BX2200" s="16"/>
    </row>
    <row r="2201">
      <c r="A2201" s="16" t="s">
        <v>11014</v>
      </c>
      <c r="B2201" s="16" t="s">
        <v>35</v>
      </c>
      <c r="C2201" s="201">
        <v>46107.0</v>
      </c>
      <c r="D2201" s="16" t="s">
        <v>11765</v>
      </c>
      <c r="E2201" s="16" t="s">
        <v>12532</v>
      </c>
      <c r="F2201" s="16" t="s">
        <v>195</v>
      </c>
      <c r="G2201" s="16"/>
      <c r="H2201" s="16"/>
      <c r="I2201" s="16"/>
      <c r="J2201" s="16"/>
      <c r="K2201" s="16"/>
      <c r="L2201" s="16"/>
      <c r="M2201" s="16"/>
      <c r="N2201" s="16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D2201" s="16"/>
      <c r="AH2201" s="16"/>
      <c r="AL2201" s="16"/>
      <c r="AP2201" s="16"/>
      <c r="AT2201" s="16"/>
      <c r="AX2201" s="16"/>
      <c r="BF2201" s="16"/>
      <c r="BJ2201" s="16"/>
      <c r="BN2201" s="16"/>
      <c r="BO2201" s="16"/>
      <c r="BP2201" s="16" t="s">
        <v>12533</v>
      </c>
      <c r="BQ2201" s="16" t="b">
        <v>0</v>
      </c>
      <c r="BR2201" s="16"/>
      <c r="BS2201" s="16"/>
      <c r="BT2201" s="16" t="b">
        <v>0</v>
      </c>
      <c r="BU2201" s="16" t="s">
        <v>13953</v>
      </c>
      <c r="BV2201" s="16"/>
      <c r="BW2201" s="16" t="s">
        <v>12535</v>
      </c>
      <c r="BX2201" s="16"/>
    </row>
    <row r="2202">
      <c r="A2202" s="16" t="s">
        <v>11033</v>
      </c>
      <c r="B2202" s="16" t="s">
        <v>35</v>
      </c>
      <c r="C2202" s="201">
        <v>46108.0</v>
      </c>
      <c r="D2202" s="16" t="s">
        <v>1036</v>
      </c>
      <c r="E2202" s="16" t="s">
        <v>12540</v>
      </c>
      <c r="F2202" s="16" t="s">
        <v>1960</v>
      </c>
      <c r="G2202" s="16"/>
      <c r="H2202" s="16"/>
      <c r="I2202" s="16"/>
      <c r="J2202" s="16"/>
      <c r="K2202" s="16"/>
      <c r="L2202" s="16"/>
      <c r="M2202" s="16"/>
      <c r="N2202" s="16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D2202" s="16"/>
      <c r="AH2202" s="16"/>
      <c r="AL2202" s="16"/>
      <c r="AP2202" s="16"/>
      <c r="AT2202" s="16"/>
      <c r="AX2202" s="16"/>
      <c r="BF2202" s="16"/>
      <c r="BJ2202" s="16"/>
      <c r="BN2202" s="16"/>
      <c r="BO2202" s="16"/>
      <c r="BP2202" s="16" t="s">
        <v>12541</v>
      </c>
      <c r="BQ2202" s="16" t="b">
        <v>0</v>
      </c>
      <c r="BR2202" s="16"/>
      <c r="BS2202" s="16"/>
      <c r="BT2202" s="16" t="b">
        <v>0</v>
      </c>
      <c r="BU2202" s="16" t="s">
        <v>13953</v>
      </c>
      <c r="BV2202" s="16"/>
      <c r="BW2202" s="16"/>
      <c r="BX2202" s="16"/>
    </row>
    <row r="2203">
      <c r="A2203" s="16" t="s">
        <v>11073</v>
      </c>
      <c r="B2203" s="16" t="s">
        <v>35</v>
      </c>
      <c r="C2203" s="201">
        <v>46111.0</v>
      </c>
      <c r="D2203" s="16" t="s">
        <v>11926</v>
      </c>
      <c r="E2203" s="16" t="s">
        <v>12544</v>
      </c>
      <c r="F2203" s="16" t="s">
        <v>140</v>
      </c>
      <c r="G2203" s="16"/>
      <c r="H2203" s="16"/>
      <c r="I2203" s="16"/>
      <c r="J2203" s="16"/>
      <c r="K2203" s="16"/>
      <c r="L2203" s="16"/>
      <c r="M2203" s="16"/>
      <c r="N2203" s="16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D2203" s="16"/>
      <c r="AH2203" s="16"/>
      <c r="AL2203" s="16"/>
      <c r="AP2203" s="16"/>
      <c r="AT2203" s="16"/>
      <c r="AX2203" s="16"/>
      <c r="BF2203" s="16"/>
      <c r="BJ2203" s="16"/>
      <c r="BN2203" s="16"/>
      <c r="BO2203" s="16"/>
      <c r="BP2203" s="16" t="s">
        <v>12545</v>
      </c>
      <c r="BQ2203" s="16" t="b">
        <v>0</v>
      </c>
      <c r="BR2203" s="16"/>
      <c r="BS2203" s="16"/>
      <c r="BT2203" s="16" t="b">
        <v>0</v>
      </c>
      <c r="BU2203" s="16" t="s">
        <v>13953</v>
      </c>
      <c r="BV2203" s="16"/>
      <c r="BW2203" s="16"/>
      <c r="BX2203" s="16"/>
    </row>
    <row r="2204">
      <c r="A2204" s="16" t="s">
        <v>11076</v>
      </c>
      <c r="B2204" s="16" t="s">
        <v>35</v>
      </c>
      <c r="C2204" s="201">
        <v>46111.0</v>
      </c>
      <c r="D2204" s="16" t="s">
        <v>112</v>
      </c>
      <c r="E2204" s="16" t="s">
        <v>12546</v>
      </c>
      <c r="F2204" s="16" t="s">
        <v>157</v>
      </c>
      <c r="G2204" s="16"/>
      <c r="H2204" s="16"/>
      <c r="I2204" s="16"/>
      <c r="J2204" s="16"/>
      <c r="K2204" s="16"/>
      <c r="L2204" s="16"/>
      <c r="M2204" s="16"/>
      <c r="N2204" s="16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16"/>
      <c r="AD2204" s="16"/>
      <c r="AH2204" s="16"/>
      <c r="AL2204" s="16"/>
      <c r="AP2204" s="16"/>
      <c r="AT2204" s="16"/>
      <c r="AX2204" s="16"/>
      <c r="BF2204" s="16"/>
      <c r="BJ2204" s="16"/>
      <c r="BN2204" s="16"/>
      <c r="BO2204" s="16"/>
      <c r="BP2204" s="16" t="s">
        <v>12547</v>
      </c>
      <c r="BQ2204" s="16" t="b">
        <v>0</v>
      </c>
      <c r="BR2204" s="16"/>
      <c r="BS2204" s="16"/>
      <c r="BT2204" s="16" t="b">
        <v>0</v>
      </c>
      <c r="BU2204" s="16" t="s">
        <v>13953</v>
      </c>
      <c r="BV2204" s="16"/>
      <c r="BW2204" s="16"/>
      <c r="BX2204" s="16"/>
    </row>
    <row r="2205">
      <c r="A2205" s="16" t="s">
        <v>11070</v>
      </c>
      <c r="B2205" s="16" t="s">
        <v>35</v>
      </c>
      <c r="C2205" s="201">
        <v>46109.0</v>
      </c>
      <c r="D2205" s="16" t="s">
        <v>11219</v>
      </c>
      <c r="E2205" s="16" t="s">
        <v>12548</v>
      </c>
      <c r="F2205" s="16" t="s">
        <v>11734</v>
      </c>
      <c r="G2205" s="16"/>
      <c r="H2205" s="16"/>
      <c r="I2205" s="16"/>
      <c r="J2205" s="16"/>
      <c r="K2205" s="16"/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D2205" s="16"/>
      <c r="AH2205" s="16"/>
      <c r="AL2205" s="16"/>
      <c r="AP2205" s="16"/>
      <c r="AT2205" s="16"/>
      <c r="AX2205" s="16"/>
      <c r="BF2205" s="16"/>
      <c r="BJ2205" s="16"/>
      <c r="BN2205" s="16"/>
      <c r="BO2205" s="16"/>
      <c r="BP2205" s="16" t="s">
        <v>12549</v>
      </c>
      <c r="BQ2205" s="16" t="b">
        <v>0</v>
      </c>
      <c r="BR2205" s="16"/>
      <c r="BS2205" s="21" t="s">
        <v>14124</v>
      </c>
      <c r="BT2205" s="16" t="b">
        <v>1</v>
      </c>
      <c r="BU2205" s="16" t="s">
        <v>13953</v>
      </c>
      <c r="BV2205" s="16"/>
      <c r="BW2205" s="16"/>
      <c r="BX2205" s="16"/>
    </row>
    <row r="2206">
      <c r="A2206" s="16" t="s">
        <v>11035</v>
      </c>
      <c r="B2206" s="16" t="s">
        <v>35</v>
      </c>
      <c r="C2206" s="201">
        <v>46108.0</v>
      </c>
      <c r="D2206" s="16" t="s">
        <v>233</v>
      </c>
      <c r="E2206" s="16" t="s">
        <v>12550</v>
      </c>
      <c r="F2206" s="16" t="s">
        <v>11625</v>
      </c>
      <c r="G2206" s="16"/>
      <c r="H2206" s="16"/>
      <c r="I2206" s="16"/>
      <c r="J2206" s="16"/>
      <c r="K2206" s="16"/>
      <c r="L2206" s="16"/>
      <c r="M2206" s="16"/>
      <c r="N2206" s="16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16"/>
      <c r="AD2206" s="16"/>
      <c r="AH2206" s="16"/>
      <c r="AL2206" s="16"/>
      <c r="AP2206" s="16"/>
      <c r="AT2206" s="16"/>
      <c r="AX2206" s="16"/>
      <c r="BF2206" s="16"/>
      <c r="BJ2206" s="16"/>
      <c r="BN2206" s="16"/>
      <c r="BO2206" s="16"/>
      <c r="BP2206" s="16" t="s">
        <v>12551</v>
      </c>
      <c r="BQ2206" s="16" t="b">
        <v>0</v>
      </c>
      <c r="BR2206" s="16"/>
      <c r="BS2206" s="21" t="s">
        <v>14125</v>
      </c>
      <c r="BT2206" s="16" t="b">
        <v>1</v>
      </c>
      <c r="BU2206" s="16" t="s">
        <v>8596</v>
      </c>
      <c r="BV2206" s="16"/>
      <c r="BW2206" s="16"/>
      <c r="BX2206" s="16"/>
    </row>
    <row r="2207">
      <c r="A2207" s="16" t="s">
        <v>11054</v>
      </c>
      <c r="B2207" s="16" t="s">
        <v>35</v>
      </c>
      <c r="C2207" s="201">
        <v>46108.0</v>
      </c>
      <c r="D2207" s="16" t="s">
        <v>11784</v>
      </c>
      <c r="E2207" s="16" t="s">
        <v>12552</v>
      </c>
      <c r="F2207" s="16" t="s">
        <v>147</v>
      </c>
      <c r="G2207" s="16"/>
      <c r="H2207" s="16"/>
      <c r="I2207" s="16"/>
      <c r="J2207" s="16"/>
      <c r="K2207" s="16"/>
      <c r="L2207" s="16"/>
      <c r="M2207" s="16"/>
      <c r="N2207" s="16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16"/>
      <c r="AD2207" s="16"/>
      <c r="AH2207" s="16"/>
      <c r="AL2207" s="16"/>
      <c r="AP2207" s="16"/>
      <c r="AT2207" s="16"/>
      <c r="AX2207" s="16"/>
      <c r="BF2207" s="16"/>
      <c r="BJ2207" s="16"/>
      <c r="BN2207" s="16"/>
      <c r="BO2207" s="16"/>
      <c r="BP2207" s="16" t="s">
        <v>12553</v>
      </c>
      <c r="BQ2207" s="16" t="b">
        <v>0</v>
      </c>
      <c r="BR2207" s="16"/>
      <c r="BS2207" s="21" t="s">
        <v>14126</v>
      </c>
      <c r="BT2207" s="16" t="b">
        <v>1</v>
      </c>
      <c r="BU2207" s="16" t="s">
        <v>13953</v>
      </c>
      <c r="BV2207" s="16"/>
      <c r="BW2207" s="16"/>
      <c r="BX2207" s="16"/>
    </row>
    <row r="2208">
      <c r="A2208" s="16" t="s">
        <v>11060</v>
      </c>
      <c r="B2208" s="16" t="s">
        <v>35</v>
      </c>
      <c r="C2208" s="201">
        <v>46108.0</v>
      </c>
      <c r="D2208" s="16" t="s">
        <v>11784</v>
      </c>
      <c r="E2208" s="16" t="s">
        <v>12552</v>
      </c>
      <c r="F2208" s="16" t="s">
        <v>147</v>
      </c>
      <c r="G2208" s="16"/>
      <c r="H2208" s="16"/>
      <c r="I2208" s="16"/>
      <c r="J2208" s="16"/>
      <c r="K2208" s="16"/>
      <c r="L2208" s="16"/>
      <c r="M2208" s="16"/>
      <c r="N2208" s="16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16"/>
      <c r="AD2208" s="16"/>
      <c r="AH2208" s="16"/>
      <c r="AL2208" s="16"/>
      <c r="AP2208" s="16"/>
      <c r="AT2208" s="16"/>
      <c r="AX2208" s="16"/>
      <c r="BF2208" s="16"/>
      <c r="BJ2208" s="16"/>
      <c r="BN2208" s="16"/>
      <c r="BO2208" s="16"/>
      <c r="BP2208" s="16" t="s">
        <v>12554</v>
      </c>
      <c r="BQ2208" s="16" t="b">
        <v>0</v>
      </c>
      <c r="BR2208" s="16"/>
      <c r="BS2208" s="21" t="s">
        <v>14127</v>
      </c>
      <c r="BT2208" s="16" t="b">
        <v>1</v>
      </c>
      <c r="BU2208" s="16" t="s">
        <v>13953</v>
      </c>
      <c r="BV2208" s="16"/>
      <c r="BW2208" s="16"/>
      <c r="BX2208" s="16"/>
    </row>
    <row r="2209">
      <c r="A2209" s="16">
        <v>11967.0</v>
      </c>
      <c r="B2209" s="16" t="s">
        <v>35</v>
      </c>
      <c r="C2209" s="201">
        <v>46112.0</v>
      </c>
      <c r="D2209" s="16" t="s">
        <v>890</v>
      </c>
      <c r="E2209" s="16"/>
      <c r="F2209" s="16" t="s">
        <v>10085</v>
      </c>
      <c r="G2209" s="16" t="s">
        <v>6956</v>
      </c>
      <c r="H2209" s="16">
        <v>1.0</v>
      </c>
      <c r="I2209" s="16">
        <v>1148.0</v>
      </c>
      <c r="J2209" s="16">
        <v>1148.0</v>
      </c>
      <c r="K2209" s="16"/>
      <c r="L2209" s="16"/>
      <c r="M2209" s="16"/>
      <c r="N2209" s="16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D2209" s="16"/>
      <c r="AH2209" s="16"/>
      <c r="AL2209" s="16"/>
      <c r="AP2209" s="16"/>
      <c r="AT2209" s="16"/>
      <c r="AX2209" s="16"/>
      <c r="BF2209" s="16"/>
      <c r="BJ2209" s="16"/>
      <c r="BN2209" s="16"/>
      <c r="BO2209" s="16">
        <v>1148.0</v>
      </c>
      <c r="BP2209" s="16"/>
      <c r="BQ2209" s="16" t="b">
        <v>1</v>
      </c>
      <c r="BR2209" s="16">
        <v>1148.0</v>
      </c>
      <c r="BS2209" s="16"/>
      <c r="BT2209" s="16"/>
      <c r="BU2209" s="16" t="s">
        <v>539</v>
      </c>
      <c r="BV2209" s="16"/>
      <c r="BW2209" s="16"/>
      <c r="BX2209" s="16"/>
    </row>
    <row r="2210">
      <c r="A2210" s="16">
        <v>11968.0</v>
      </c>
      <c r="B2210" s="16" t="s">
        <v>35</v>
      </c>
      <c r="C2210" s="201">
        <v>46112.0</v>
      </c>
      <c r="D2210" s="16" t="s">
        <v>890</v>
      </c>
      <c r="E2210" s="16"/>
      <c r="F2210" s="16" t="s">
        <v>10089</v>
      </c>
      <c r="G2210" s="16" t="s">
        <v>7344</v>
      </c>
      <c r="H2210" s="16">
        <v>1.0</v>
      </c>
      <c r="I2210" s="16">
        <v>700.0</v>
      </c>
      <c r="J2210" s="16">
        <v>700.0</v>
      </c>
      <c r="K2210" s="16"/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D2210" s="16"/>
      <c r="AH2210" s="16"/>
      <c r="AL2210" s="16"/>
      <c r="AP2210" s="16"/>
      <c r="AT2210" s="16"/>
      <c r="AX2210" s="16"/>
      <c r="BF2210" s="16"/>
      <c r="BJ2210" s="16"/>
      <c r="BN2210" s="16"/>
      <c r="BO2210" s="16">
        <v>700.0</v>
      </c>
      <c r="BP2210" s="16"/>
      <c r="BQ2210" s="16" t="b">
        <v>1</v>
      </c>
      <c r="BR2210" s="16">
        <v>700.0</v>
      </c>
      <c r="BS2210" s="16"/>
      <c r="BT2210" s="16"/>
      <c r="BU2210" s="16" t="s">
        <v>539</v>
      </c>
      <c r="BV2210" s="16"/>
      <c r="BW2210" s="16"/>
      <c r="BX2210" s="16"/>
    </row>
    <row r="2211">
      <c r="A2211" s="16">
        <v>11972.0</v>
      </c>
      <c r="B2211" s="16" t="s">
        <v>35</v>
      </c>
      <c r="C2211" s="201">
        <v>46112.0</v>
      </c>
      <c r="D2211" s="16" t="s">
        <v>890</v>
      </c>
      <c r="E2211" s="16"/>
      <c r="F2211" s="16" t="s">
        <v>4010</v>
      </c>
      <c r="G2211" s="16" t="s">
        <v>4831</v>
      </c>
      <c r="H2211" s="16">
        <v>1.0</v>
      </c>
      <c r="I2211" s="16">
        <v>396.0</v>
      </c>
      <c r="J2211" s="16">
        <v>396.0</v>
      </c>
      <c r="K2211" s="16"/>
      <c r="L2211" s="16"/>
      <c r="M2211" s="16"/>
      <c r="N2211" s="16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D2211" s="16"/>
      <c r="AH2211" s="16"/>
      <c r="AL2211" s="16"/>
      <c r="AP2211" s="16"/>
      <c r="AT2211" s="16"/>
      <c r="AX2211" s="16"/>
      <c r="BF2211" s="16"/>
      <c r="BJ2211" s="16"/>
      <c r="BN2211" s="16"/>
      <c r="BO2211" s="16">
        <v>396.0</v>
      </c>
      <c r="BP2211" s="16"/>
      <c r="BQ2211" s="16" t="b">
        <v>1</v>
      </c>
      <c r="BR2211" s="16">
        <v>396.0</v>
      </c>
      <c r="BS2211" s="16"/>
      <c r="BT2211" s="16"/>
      <c r="BU2211" s="16" t="s">
        <v>539</v>
      </c>
      <c r="BV2211" s="16"/>
      <c r="BW2211" s="16"/>
      <c r="BX2211" s="16"/>
    </row>
    <row r="2212">
      <c r="A2212" s="16" t="s">
        <v>10014</v>
      </c>
      <c r="B2212" s="16" t="s">
        <v>35</v>
      </c>
      <c r="C2212" s="201">
        <v>46112.0</v>
      </c>
      <c r="D2212" s="16" t="s">
        <v>11638</v>
      </c>
      <c r="E2212" s="16"/>
      <c r="F2212" s="16" t="s">
        <v>605</v>
      </c>
      <c r="G2212" s="16" t="s">
        <v>1653</v>
      </c>
      <c r="H2212" s="16">
        <v>1.0</v>
      </c>
      <c r="I2212" s="16">
        <v>722.95</v>
      </c>
      <c r="J2212" s="16">
        <v>722.95</v>
      </c>
      <c r="K2212" s="16"/>
      <c r="L2212" s="16"/>
      <c r="M2212" s="16"/>
      <c r="N2212" s="16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16"/>
      <c r="AD2212" s="16"/>
      <c r="AH2212" s="16"/>
      <c r="AL2212" s="16"/>
      <c r="AP2212" s="16"/>
      <c r="AT2212" s="16"/>
      <c r="AX2212" s="16"/>
      <c r="BF2212" s="16"/>
      <c r="BJ2212" s="16"/>
      <c r="BN2212" s="16"/>
      <c r="BO2212" s="16">
        <v>722.95</v>
      </c>
      <c r="BP2212" s="16"/>
      <c r="BQ2212" s="16" t="b">
        <v>1</v>
      </c>
      <c r="BR2212" s="16">
        <v>722.95</v>
      </c>
      <c r="BS2212" s="16"/>
      <c r="BT2212" s="16"/>
      <c r="BU2212" s="16" t="s">
        <v>539</v>
      </c>
      <c r="BV2212" s="16"/>
      <c r="BW2212" s="16"/>
      <c r="BX2212" s="16"/>
    </row>
    <row r="2213">
      <c r="A2213" s="16" t="s">
        <v>10018</v>
      </c>
      <c r="B2213" s="16" t="s">
        <v>35</v>
      </c>
      <c r="C2213" s="201">
        <v>46112.0</v>
      </c>
      <c r="D2213" s="16" t="s">
        <v>890</v>
      </c>
      <c r="E2213" s="16"/>
      <c r="F2213" s="16" t="s">
        <v>12555</v>
      </c>
      <c r="G2213" s="16" t="s">
        <v>1517</v>
      </c>
      <c r="H2213" s="16">
        <v>1.0</v>
      </c>
      <c r="I2213" s="16">
        <v>2039.89</v>
      </c>
      <c r="J2213" s="16">
        <v>2039.89</v>
      </c>
      <c r="K2213" s="16"/>
      <c r="L2213" s="16"/>
      <c r="M2213" s="16"/>
      <c r="N2213" s="16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16"/>
      <c r="AD2213" s="16"/>
      <c r="AH2213" s="16"/>
      <c r="AL2213" s="16"/>
      <c r="AP2213" s="16"/>
      <c r="AT2213" s="16"/>
      <c r="AX2213" s="16"/>
      <c r="BF2213" s="16"/>
      <c r="BJ2213" s="16"/>
      <c r="BN2213" s="16"/>
      <c r="BO2213" s="16">
        <v>2039.89</v>
      </c>
      <c r="BP2213" s="16"/>
      <c r="BQ2213" s="16" t="b">
        <v>1</v>
      </c>
      <c r="BR2213" s="16">
        <v>2039.89</v>
      </c>
      <c r="BS2213" s="16"/>
      <c r="BT2213" s="16"/>
      <c r="BU2213" s="16" t="s">
        <v>539</v>
      </c>
      <c r="BV2213" s="16"/>
      <c r="BW2213" s="16"/>
      <c r="BX2213" s="16"/>
    </row>
    <row r="2214">
      <c r="A2214" s="16" t="s">
        <v>11093</v>
      </c>
      <c r="B2214" s="16" t="s">
        <v>35</v>
      </c>
      <c r="C2214" s="201">
        <v>46112.0</v>
      </c>
      <c r="D2214" s="16" t="s">
        <v>420</v>
      </c>
      <c r="E2214" s="16" t="s">
        <v>12556</v>
      </c>
      <c r="F2214" s="16" t="s">
        <v>12235</v>
      </c>
      <c r="G2214" s="16"/>
      <c r="H2214" s="16"/>
      <c r="I2214" s="16"/>
      <c r="J2214" s="16"/>
      <c r="K2214" s="16"/>
      <c r="L2214" s="16"/>
      <c r="M2214" s="16"/>
      <c r="N2214" s="16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16"/>
      <c r="AD2214" s="16"/>
      <c r="AH2214" s="16"/>
      <c r="AL2214" s="16"/>
      <c r="AP2214" s="16"/>
      <c r="AT2214" s="16"/>
      <c r="AX2214" s="16"/>
      <c r="BF2214" s="16"/>
      <c r="BJ2214" s="16"/>
      <c r="BN2214" s="16"/>
      <c r="BO2214" s="16"/>
      <c r="BP2214" s="16" t="s">
        <v>12557</v>
      </c>
      <c r="BQ2214" s="16" t="b">
        <v>0</v>
      </c>
      <c r="BR2214" s="16"/>
      <c r="BS2214" s="16"/>
      <c r="BT2214" s="16" t="b">
        <v>0</v>
      </c>
      <c r="BU2214" s="16" t="s">
        <v>13953</v>
      </c>
      <c r="BV2214" s="16"/>
      <c r="BW2214" s="16"/>
      <c r="BX2214" s="16"/>
    </row>
    <row r="2215">
      <c r="A2215" s="16" t="s">
        <v>11123</v>
      </c>
      <c r="B2215" s="16" t="s">
        <v>35</v>
      </c>
      <c r="C2215" s="201">
        <v>46113.0</v>
      </c>
      <c r="D2215" s="16" t="s">
        <v>11765</v>
      </c>
      <c r="E2215" s="16" t="s">
        <v>12558</v>
      </c>
      <c r="F2215" s="16" t="s">
        <v>195</v>
      </c>
      <c r="G2215" s="16"/>
      <c r="H2215" s="16"/>
      <c r="I2215" s="16"/>
      <c r="J2215" s="16"/>
      <c r="K2215" s="16"/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D2215" s="16"/>
      <c r="AH2215" s="16"/>
      <c r="AL2215" s="16"/>
      <c r="AP2215" s="16"/>
      <c r="AT2215" s="16"/>
      <c r="AX2215" s="16"/>
      <c r="BF2215" s="16"/>
      <c r="BJ2215" s="16"/>
      <c r="BN2215" s="16"/>
      <c r="BO2215" s="16"/>
      <c r="BP2215" s="16" t="s">
        <v>12559</v>
      </c>
      <c r="BQ2215" s="16" t="b">
        <v>0</v>
      </c>
      <c r="BR2215" s="16"/>
      <c r="BS2215" s="16"/>
      <c r="BT2215" s="16" t="b">
        <v>0</v>
      </c>
      <c r="BU2215" s="16" t="s">
        <v>13953</v>
      </c>
      <c r="BV2215" s="16"/>
      <c r="BW2215" s="16" t="s">
        <v>12560</v>
      </c>
      <c r="BX2215" s="16"/>
    </row>
    <row r="2216">
      <c r="A2216" s="16">
        <v>12022.0</v>
      </c>
      <c r="B2216" s="16" t="s">
        <v>35</v>
      </c>
      <c r="C2216" s="201">
        <v>46114.0</v>
      </c>
      <c r="D2216" s="16" t="s">
        <v>9825</v>
      </c>
      <c r="E2216" s="16"/>
      <c r="F2216" s="16" t="s">
        <v>9826</v>
      </c>
      <c r="G2216" s="16" t="s">
        <v>2870</v>
      </c>
      <c r="H2216" s="16">
        <v>1.0</v>
      </c>
      <c r="I2216" s="16">
        <v>87.68</v>
      </c>
      <c r="J2216" s="16">
        <v>87.68</v>
      </c>
      <c r="K2216" s="16"/>
      <c r="L2216" s="16"/>
      <c r="M2216" s="16"/>
      <c r="N2216" s="16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16"/>
      <c r="AD2216" s="16"/>
      <c r="AH2216" s="16"/>
      <c r="AL2216" s="16"/>
      <c r="AP2216" s="16"/>
      <c r="AT2216" s="16"/>
      <c r="AX2216" s="16"/>
      <c r="BF2216" s="16"/>
      <c r="BJ2216" s="16"/>
      <c r="BN2216" s="16"/>
      <c r="BO2216" s="16">
        <v>87.68</v>
      </c>
      <c r="BP2216" s="16"/>
      <c r="BQ2216" s="16" t="b">
        <v>1</v>
      </c>
      <c r="BR2216" s="16">
        <v>87.68</v>
      </c>
      <c r="BS2216" s="16"/>
      <c r="BT2216" s="16"/>
      <c r="BU2216" s="16" t="s">
        <v>539</v>
      </c>
      <c r="BV2216" s="16"/>
      <c r="BW2216" s="16"/>
      <c r="BX2216" s="16"/>
    </row>
    <row r="2217">
      <c r="A2217" s="16">
        <v>12023.0</v>
      </c>
      <c r="B2217" s="16" t="s">
        <v>35</v>
      </c>
      <c r="C2217" s="201">
        <v>46114.0</v>
      </c>
      <c r="D2217" s="16" t="s">
        <v>9825</v>
      </c>
      <c r="E2217" s="16"/>
      <c r="F2217" s="16" t="s">
        <v>9835</v>
      </c>
      <c r="G2217" s="16" t="s">
        <v>2870</v>
      </c>
      <c r="H2217" s="16">
        <v>1.0</v>
      </c>
      <c r="I2217" s="16">
        <v>553.28</v>
      </c>
      <c r="J2217" s="16">
        <v>553.28</v>
      </c>
      <c r="K2217" s="16"/>
      <c r="L2217" s="16"/>
      <c r="M2217" s="16"/>
      <c r="N2217" s="16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D2217" s="16"/>
      <c r="AH2217" s="16"/>
      <c r="AL2217" s="16"/>
      <c r="AP2217" s="16"/>
      <c r="AT2217" s="16"/>
      <c r="AX2217" s="16"/>
      <c r="BF2217" s="16"/>
      <c r="BJ2217" s="16"/>
      <c r="BN2217" s="16"/>
      <c r="BO2217" s="16">
        <v>553.28</v>
      </c>
      <c r="BP2217" s="16"/>
      <c r="BQ2217" s="16" t="b">
        <v>1</v>
      </c>
      <c r="BR2217" s="16">
        <v>553.28</v>
      </c>
      <c r="BS2217" s="16"/>
      <c r="BT2217" s="16"/>
      <c r="BU2217" s="16" t="s">
        <v>539</v>
      </c>
      <c r="BV2217" s="16"/>
      <c r="BW2217" s="16"/>
      <c r="BX2217" s="16"/>
    </row>
    <row r="2218">
      <c r="A2218" s="16">
        <v>12024.0</v>
      </c>
      <c r="B2218" s="16" t="s">
        <v>35</v>
      </c>
      <c r="C2218" s="201">
        <v>46114.0</v>
      </c>
      <c r="D2218" s="16" t="s">
        <v>460</v>
      </c>
      <c r="E2218" s="16"/>
      <c r="F2218" s="16" t="s">
        <v>10550</v>
      </c>
      <c r="G2218" s="16" t="s">
        <v>1239</v>
      </c>
      <c r="H2218" s="16">
        <v>1.0</v>
      </c>
      <c r="I2218" s="16">
        <v>4083.0</v>
      </c>
      <c r="J2218" s="16">
        <v>4083.0</v>
      </c>
      <c r="K2218" s="16"/>
      <c r="L2218" s="16"/>
      <c r="M2218" s="16"/>
      <c r="N2218" s="16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D2218" s="16"/>
      <c r="AH2218" s="16"/>
      <c r="AL2218" s="16"/>
      <c r="AP2218" s="16"/>
      <c r="AT2218" s="16"/>
      <c r="AX2218" s="16"/>
      <c r="BF2218" s="16"/>
      <c r="BJ2218" s="16"/>
      <c r="BN2218" s="16"/>
      <c r="BO2218" s="16">
        <v>4083.0</v>
      </c>
      <c r="BP2218" s="16"/>
      <c r="BQ2218" s="16" t="b">
        <v>1</v>
      </c>
      <c r="BR2218" s="16">
        <v>4083.0</v>
      </c>
      <c r="BS2218" s="16"/>
      <c r="BT2218" s="16"/>
      <c r="BU2218" s="16" t="s">
        <v>539</v>
      </c>
      <c r="BV2218" s="16"/>
      <c r="BW2218" s="16"/>
      <c r="BX2218" s="16"/>
    </row>
    <row r="2219">
      <c r="A2219" s="16">
        <v>12025.0</v>
      </c>
      <c r="B2219" s="16" t="s">
        <v>35</v>
      </c>
      <c r="C2219" s="201">
        <v>46114.0</v>
      </c>
      <c r="D2219" s="16" t="s">
        <v>460</v>
      </c>
      <c r="E2219" s="16"/>
      <c r="F2219" s="16" t="s">
        <v>11326</v>
      </c>
      <c r="G2219" s="16" t="s">
        <v>1126</v>
      </c>
      <c r="H2219" s="16">
        <v>1.0</v>
      </c>
      <c r="I2219" s="16">
        <v>72.0</v>
      </c>
      <c r="J2219" s="16">
        <v>72.0</v>
      </c>
      <c r="K2219" s="16"/>
      <c r="L2219" s="16"/>
      <c r="M2219" s="16"/>
      <c r="N2219" s="16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D2219" s="16"/>
      <c r="AH2219" s="16"/>
      <c r="AL2219" s="16"/>
      <c r="AP2219" s="16"/>
      <c r="AT2219" s="16"/>
      <c r="AX2219" s="16"/>
      <c r="BF2219" s="16"/>
      <c r="BJ2219" s="16"/>
      <c r="BN2219" s="16"/>
      <c r="BO2219" s="16">
        <v>72.0</v>
      </c>
      <c r="BP2219" s="16"/>
      <c r="BQ2219" s="16" t="b">
        <v>1</v>
      </c>
      <c r="BR2219" s="16">
        <v>72.0</v>
      </c>
      <c r="BS2219" s="16"/>
      <c r="BT2219" s="16"/>
      <c r="BU2219" s="16" t="s">
        <v>539</v>
      </c>
      <c r="BV2219" s="16"/>
      <c r="BW2219" s="16"/>
      <c r="BX2219" s="16"/>
    </row>
    <row r="2220">
      <c r="A2220" s="16">
        <v>12026.0</v>
      </c>
      <c r="B2220" s="16" t="s">
        <v>35</v>
      </c>
      <c r="C2220" s="201">
        <v>46114.0</v>
      </c>
      <c r="D2220" s="16"/>
      <c r="E2220" s="16"/>
      <c r="F2220" s="16" t="s">
        <v>8658</v>
      </c>
      <c r="G2220" s="16" t="s">
        <v>1239</v>
      </c>
      <c r="H2220" s="16">
        <v>1.0</v>
      </c>
      <c r="I2220" s="16">
        <v>1846.78</v>
      </c>
      <c r="J2220" s="16">
        <v>1846.78</v>
      </c>
      <c r="K2220" s="16"/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D2220" s="16"/>
      <c r="AH2220" s="16"/>
      <c r="AL2220" s="16"/>
      <c r="AP2220" s="16"/>
      <c r="AT2220" s="16"/>
      <c r="AX2220" s="16"/>
      <c r="BF2220" s="16"/>
      <c r="BJ2220" s="16"/>
      <c r="BN2220" s="16"/>
      <c r="BO2220" s="16">
        <v>1846.78</v>
      </c>
      <c r="BP2220" s="16"/>
      <c r="BQ2220" s="16" t="b">
        <v>1</v>
      </c>
      <c r="BR2220" s="16">
        <v>1846.78</v>
      </c>
      <c r="BS2220" s="16"/>
      <c r="BT2220" s="16"/>
      <c r="BU2220" s="16" t="s">
        <v>539</v>
      </c>
      <c r="BV2220" s="16" t="s">
        <v>2052</v>
      </c>
      <c r="BW2220" s="16"/>
      <c r="BX2220" s="16"/>
    </row>
    <row r="2221">
      <c r="A2221" s="16">
        <v>12027.0</v>
      </c>
      <c r="B2221" s="16" t="s">
        <v>35</v>
      </c>
      <c r="C2221" s="201">
        <v>46114.0</v>
      </c>
      <c r="D2221" s="16"/>
      <c r="E2221" s="16"/>
      <c r="F2221" s="16" t="s">
        <v>8658</v>
      </c>
      <c r="G2221" s="16" t="s">
        <v>1239</v>
      </c>
      <c r="H2221" s="16">
        <v>1.0</v>
      </c>
      <c r="I2221" s="16">
        <v>975.91</v>
      </c>
      <c r="J2221" s="16">
        <v>975.91</v>
      </c>
      <c r="K2221" s="16"/>
      <c r="L2221" s="16"/>
      <c r="M2221" s="16"/>
      <c r="N2221" s="16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16"/>
      <c r="AD2221" s="16"/>
      <c r="AH2221" s="16"/>
      <c r="AL2221" s="16"/>
      <c r="AP2221" s="16"/>
      <c r="AT2221" s="16"/>
      <c r="AX2221" s="16"/>
      <c r="BF2221" s="16"/>
      <c r="BJ2221" s="16"/>
      <c r="BN2221" s="16"/>
      <c r="BO2221" s="16">
        <v>975.91</v>
      </c>
      <c r="BP2221" s="16"/>
      <c r="BQ2221" s="16" t="b">
        <v>1</v>
      </c>
      <c r="BR2221" s="16">
        <v>975.91</v>
      </c>
      <c r="BS2221" s="16"/>
      <c r="BT2221" s="16"/>
      <c r="BU2221" s="16" t="s">
        <v>539</v>
      </c>
      <c r="BV2221" s="16" t="s">
        <v>227</v>
      </c>
      <c r="BW2221" s="16"/>
      <c r="BX2221" s="16"/>
    </row>
    <row r="2222">
      <c r="A2222" s="16">
        <v>12028.0</v>
      </c>
      <c r="B2222" s="16" t="s">
        <v>35</v>
      </c>
      <c r="C2222" s="201">
        <v>46114.0</v>
      </c>
      <c r="D2222" s="16"/>
      <c r="E2222" s="16"/>
      <c r="F2222" s="16" t="s">
        <v>8658</v>
      </c>
      <c r="G2222" s="16" t="s">
        <v>1239</v>
      </c>
      <c r="H2222" s="16">
        <v>1.0</v>
      </c>
      <c r="I2222" s="16">
        <v>1592.32</v>
      </c>
      <c r="J2222" s="16">
        <v>1592.32</v>
      </c>
      <c r="K2222" s="16"/>
      <c r="L2222" s="16"/>
      <c r="M2222" s="16"/>
      <c r="N2222" s="16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16"/>
      <c r="AD2222" s="16"/>
      <c r="AH2222" s="16"/>
      <c r="AL2222" s="16"/>
      <c r="AP2222" s="16"/>
      <c r="AT2222" s="16"/>
      <c r="AX2222" s="16"/>
      <c r="BF2222" s="16"/>
      <c r="BJ2222" s="16"/>
      <c r="BN2222" s="16"/>
      <c r="BO2222" s="16">
        <v>1592.32</v>
      </c>
      <c r="BP2222" s="16"/>
      <c r="BQ2222" s="16" t="b">
        <v>1</v>
      </c>
      <c r="BR2222" s="16">
        <v>1592.32</v>
      </c>
      <c r="BS2222" s="16"/>
      <c r="BT2222" s="16"/>
      <c r="BU2222" s="16" t="s">
        <v>539</v>
      </c>
      <c r="BV2222" s="16" t="s">
        <v>117</v>
      </c>
      <c r="BW2222" s="16"/>
      <c r="BX2222" s="16"/>
    </row>
    <row r="2223">
      <c r="A2223" s="16">
        <v>12029.0</v>
      </c>
      <c r="B2223" s="16" t="s">
        <v>35</v>
      </c>
      <c r="C2223" s="201">
        <v>46114.0</v>
      </c>
      <c r="D2223" s="16"/>
      <c r="E2223" s="16"/>
      <c r="F2223" s="16" t="s">
        <v>8658</v>
      </c>
      <c r="G2223" s="16" t="s">
        <v>1239</v>
      </c>
      <c r="H2223" s="16">
        <v>1.0</v>
      </c>
      <c r="I2223" s="16">
        <v>4608.33</v>
      </c>
      <c r="J2223" s="16">
        <v>4608.33</v>
      </c>
      <c r="K2223" s="16"/>
      <c r="L2223" s="16"/>
      <c r="M2223" s="16"/>
      <c r="N2223" s="16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16"/>
      <c r="AD2223" s="16"/>
      <c r="AH2223" s="16"/>
      <c r="AL2223" s="16"/>
      <c r="AP2223" s="16"/>
      <c r="AT2223" s="16"/>
      <c r="AX2223" s="16"/>
      <c r="BF2223" s="16"/>
      <c r="BJ2223" s="16"/>
      <c r="BN2223" s="16"/>
      <c r="BO2223" s="16">
        <v>4608.33</v>
      </c>
      <c r="BP2223" s="16"/>
      <c r="BQ2223" s="16" t="b">
        <v>1</v>
      </c>
      <c r="BR2223" s="16">
        <v>4608.33</v>
      </c>
      <c r="BS2223" s="16"/>
      <c r="BT2223" s="16"/>
      <c r="BU2223" s="16" t="s">
        <v>539</v>
      </c>
      <c r="BV2223" s="16" t="s">
        <v>218</v>
      </c>
      <c r="BW2223" s="16"/>
      <c r="BX2223" s="16"/>
    </row>
    <row r="2224">
      <c r="A2224" s="16">
        <v>12030.0</v>
      </c>
      <c r="B2224" s="16" t="s">
        <v>35</v>
      </c>
      <c r="C2224" s="201">
        <v>46114.0</v>
      </c>
      <c r="D2224" s="16"/>
      <c r="E2224" s="16"/>
      <c r="F2224" s="16" t="s">
        <v>8658</v>
      </c>
      <c r="G2224" s="16" t="s">
        <v>1239</v>
      </c>
      <c r="H2224" s="16">
        <v>1.0</v>
      </c>
      <c r="I2224" s="16">
        <v>2266.83</v>
      </c>
      <c r="J2224" s="16">
        <v>2266.83</v>
      </c>
      <c r="K2224" s="16"/>
      <c r="L2224" s="16"/>
      <c r="M2224" s="16"/>
      <c r="N2224" s="16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16"/>
      <c r="AD2224" s="16"/>
      <c r="AH2224" s="16"/>
      <c r="AL2224" s="16"/>
      <c r="AP2224" s="16"/>
      <c r="AT2224" s="16"/>
      <c r="AX2224" s="16"/>
      <c r="BF2224" s="16"/>
      <c r="BJ2224" s="16"/>
      <c r="BN2224" s="16"/>
      <c r="BO2224" s="16">
        <v>2266.83</v>
      </c>
      <c r="BP2224" s="16"/>
      <c r="BQ2224" s="16" t="b">
        <v>1</v>
      </c>
      <c r="BR2224" s="16">
        <v>2266.83</v>
      </c>
      <c r="BS2224" s="16"/>
      <c r="BT2224" s="16"/>
      <c r="BU2224" s="16" t="s">
        <v>539</v>
      </c>
      <c r="BV2224" s="16" t="s">
        <v>336</v>
      </c>
      <c r="BW2224" s="16"/>
      <c r="BX2224" s="16"/>
    </row>
    <row r="2225">
      <c r="A2225" s="16">
        <v>12031.0</v>
      </c>
      <c r="B2225" s="16" t="s">
        <v>35</v>
      </c>
      <c r="C2225" s="201">
        <v>46114.0</v>
      </c>
      <c r="D2225" s="16" t="s">
        <v>460</v>
      </c>
      <c r="E2225" s="16"/>
      <c r="F2225" s="16" t="s">
        <v>12100</v>
      </c>
      <c r="G2225" s="16" t="s">
        <v>9874</v>
      </c>
      <c r="H2225" s="16">
        <v>1.0</v>
      </c>
      <c r="I2225" s="16">
        <v>70.0</v>
      </c>
      <c r="J2225" s="16">
        <v>70.0</v>
      </c>
      <c r="K2225" s="16"/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D2225" s="16"/>
      <c r="AH2225" s="16"/>
      <c r="AL2225" s="16"/>
      <c r="AP2225" s="16"/>
      <c r="AT2225" s="16"/>
      <c r="AX2225" s="16"/>
      <c r="BF2225" s="16"/>
      <c r="BJ2225" s="16"/>
      <c r="BN2225" s="16"/>
      <c r="BO2225" s="16">
        <v>70.0</v>
      </c>
      <c r="BP2225" s="16"/>
      <c r="BQ2225" s="16" t="b">
        <v>1</v>
      </c>
      <c r="BR2225" s="16">
        <v>70.0</v>
      </c>
      <c r="BS2225" s="16"/>
      <c r="BT2225" s="16"/>
      <c r="BU2225" s="16" t="s">
        <v>539</v>
      </c>
      <c r="BV2225" s="16"/>
      <c r="BW2225" s="16"/>
      <c r="BX2225" s="16"/>
    </row>
    <row r="2226">
      <c r="A2226" s="16" t="s">
        <v>11147</v>
      </c>
      <c r="B2226" s="16" t="s">
        <v>35</v>
      </c>
      <c r="C2226" s="201">
        <v>46114.0</v>
      </c>
      <c r="D2226" s="16" t="s">
        <v>12255</v>
      </c>
      <c r="E2226" s="16" t="s">
        <v>12561</v>
      </c>
      <c r="F2226" s="16" t="s">
        <v>1324</v>
      </c>
      <c r="G2226" s="16"/>
      <c r="H2226" s="16"/>
      <c r="I2226" s="16"/>
      <c r="J2226" s="16"/>
      <c r="K2226" s="16"/>
      <c r="L2226" s="16"/>
      <c r="M2226" s="16"/>
      <c r="N2226" s="16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D2226" s="16"/>
      <c r="AH2226" s="16"/>
      <c r="AL2226" s="16"/>
      <c r="AP2226" s="16"/>
      <c r="AT2226" s="16"/>
      <c r="AX2226" s="16"/>
      <c r="BF2226" s="16"/>
      <c r="BJ2226" s="16"/>
      <c r="BN2226" s="16"/>
      <c r="BO2226" s="16"/>
      <c r="BP2226" s="16" t="s">
        <v>12562</v>
      </c>
      <c r="BQ2226" s="16" t="b">
        <v>0</v>
      </c>
      <c r="BR2226" s="16"/>
      <c r="BS2226" s="21" t="s">
        <v>14129</v>
      </c>
      <c r="BT2226" s="16" t="b">
        <v>1</v>
      </c>
      <c r="BU2226" s="16" t="s">
        <v>13953</v>
      </c>
      <c r="BV2226" s="16"/>
      <c r="BW2226" s="16"/>
      <c r="BX2226" s="16"/>
    </row>
    <row r="2227">
      <c r="A2227" s="16" t="s">
        <v>11150</v>
      </c>
      <c r="B2227" s="16" t="s">
        <v>35</v>
      </c>
      <c r="C2227" s="201">
        <v>46114.0</v>
      </c>
      <c r="D2227" s="16" t="s">
        <v>233</v>
      </c>
      <c r="E2227" s="16" t="s">
        <v>12563</v>
      </c>
      <c r="F2227" s="16" t="s">
        <v>11625</v>
      </c>
      <c r="G2227" s="16"/>
      <c r="H2227" s="16"/>
      <c r="I2227" s="16"/>
      <c r="J2227" s="16"/>
      <c r="K2227" s="16"/>
      <c r="L2227" s="16"/>
      <c r="M2227" s="16"/>
      <c r="N2227" s="16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D2227" s="16"/>
      <c r="AH2227" s="16"/>
      <c r="AL2227" s="16"/>
      <c r="AP2227" s="16"/>
      <c r="AT2227" s="16"/>
      <c r="AX2227" s="16"/>
      <c r="BF2227" s="16"/>
      <c r="BJ2227" s="16"/>
      <c r="BN2227" s="16"/>
      <c r="BO2227" s="16"/>
      <c r="BP2227" s="16" t="s">
        <v>12564</v>
      </c>
      <c r="BQ2227" s="16" t="b">
        <v>0</v>
      </c>
      <c r="BR2227" s="16"/>
      <c r="BS2227" s="21" t="s">
        <v>14130</v>
      </c>
      <c r="BT2227" s="16" t="b">
        <v>1</v>
      </c>
      <c r="BU2227" s="16" t="s">
        <v>13953</v>
      </c>
      <c r="BV2227" s="16"/>
      <c r="BW2227" s="16"/>
      <c r="BX2227" s="16"/>
    </row>
    <row r="2228">
      <c r="A2228" s="16" t="s">
        <v>11162</v>
      </c>
      <c r="B2228" s="16" t="s">
        <v>35</v>
      </c>
      <c r="C2228" s="201">
        <v>46114.0</v>
      </c>
      <c r="D2228" s="16" t="s">
        <v>11926</v>
      </c>
      <c r="E2228" s="16" t="s">
        <v>12565</v>
      </c>
      <c r="F2228" s="16" t="s">
        <v>140</v>
      </c>
      <c r="G2228" s="16"/>
      <c r="H2228" s="16"/>
      <c r="I2228" s="16"/>
      <c r="J2228" s="16"/>
      <c r="K2228" s="16"/>
      <c r="L2228" s="16"/>
      <c r="M2228" s="16"/>
      <c r="N2228" s="16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16"/>
      <c r="AD2228" s="16"/>
      <c r="AH2228" s="16"/>
      <c r="AL2228" s="16"/>
      <c r="AP2228" s="16"/>
      <c r="AT2228" s="16"/>
      <c r="AX2228" s="16"/>
      <c r="BF2228" s="16"/>
      <c r="BJ2228" s="16"/>
      <c r="BN2228" s="16"/>
      <c r="BO2228" s="16"/>
      <c r="BP2228" s="16" t="s">
        <v>12566</v>
      </c>
      <c r="BQ2228" s="16" t="b">
        <v>0</v>
      </c>
      <c r="BR2228" s="16"/>
      <c r="BS2228" s="16"/>
      <c r="BT2228" s="16" t="b">
        <v>0</v>
      </c>
      <c r="BU2228" s="16" t="s">
        <v>13953</v>
      </c>
      <c r="BV2228" s="16"/>
      <c r="BW2228" s="16"/>
      <c r="BX2228" s="16"/>
    </row>
    <row r="2229">
      <c r="A2229" s="16" t="s">
        <v>11166</v>
      </c>
      <c r="B2229" s="16" t="s">
        <v>35</v>
      </c>
      <c r="C2229" s="201">
        <v>46114.0</v>
      </c>
      <c r="D2229" s="16" t="s">
        <v>112</v>
      </c>
      <c r="E2229" s="16" t="s">
        <v>12567</v>
      </c>
      <c r="F2229" s="16" t="s">
        <v>157</v>
      </c>
      <c r="G2229" s="16"/>
      <c r="H2229" s="16"/>
      <c r="I2229" s="16"/>
      <c r="J2229" s="16"/>
      <c r="K2229" s="16"/>
      <c r="L2229" s="16"/>
      <c r="M2229" s="16"/>
      <c r="N2229" s="16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16"/>
      <c r="AD2229" s="16"/>
      <c r="AH2229" s="16"/>
      <c r="AL2229" s="16"/>
      <c r="AP2229" s="16"/>
      <c r="AT2229" s="16"/>
      <c r="AX2229" s="16"/>
      <c r="BF2229" s="16"/>
      <c r="BJ2229" s="16"/>
      <c r="BN2229" s="16"/>
      <c r="BO2229" s="16"/>
      <c r="BP2229" s="16" t="s">
        <v>12568</v>
      </c>
      <c r="BQ2229" s="16" t="b">
        <v>0</v>
      </c>
      <c r="BR2229" s="16"/>
      <c r="BS2229" s="16"/>
      <c r="BT2229" s="16" t="b">
        <v>0</v>
      </c>
      <c r="BU2229" s="16" t="s">
        <v>13953</v>
      </c>
      <c r="BV2229" s="16"/>
      <c r="BW2229" s="16"/>
      <c r="BX2229" s="16"/>
    </row>
    <row r="2230">
      <c r="A2230" s="16" t="s">
        <v>11085</v>
      </c>
      <c r="B2230" s="16" t="s">
        <v>35</v>
      </c>
      <c r="C2230" s="201">
        <v>46112.0</v>
      </c>
      <c r="D2230" s="16" t="s">
        <v>890</v>
      </c>
      <c r="E2230" s="16" t="s">
        <v>12569</v>
      </c>
      <c r="F2230" s="16" t="s">
        <v>12571</v>
      </c>
      <c r="G2230" s="16"/>
      <c r="H2230" s="16"/>
      <c r="I2230" s="16"/>
      <c r="J2230" s="16"/>
      <c r="K2230" s="16"/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D2230" s="16"/>
      <c r="AH2230" s="16"/>
      <c r="AL2230" s="16"/>
      <c r="AP2230" s="16"/>
      <c r="AT2230" s="16"/>
      <c r="AX2230" s="16"/>
      <c r="BF2230" s="16"/>
      <c r="BJ2230" s="16"/>
      <c r="BN2230" s="16"/>
      <c r="BO2230" s="16"/>
      <c r="BP2230" s="16" t="s">
        <v>12570</v>
      </c>
      <c r="BQ2230" s="16" t="b">
        <v>0</v>
      </c>
      <c r="BR2230" s="16"/>
      <c r="BS2230" s="16"/>
      <c r="BT2230" s="16" t="b">
        <v>0</v>
      </c>
      <c r="BU2230" s="16" t="s">
        <v>13953</v>
      </c>
      <c r="BV2230" s="16"/>
      <c r="BW2230" s="16" t="s">
        <v>12572</v>
      </c>
      <c r="BX2230" s="16" t="s">
        <v>12573</v>
      </c>
    </row>
    <row r="2231">
      <c r="A2231" s="16" t="s">
        <v>11112</v>
      </c>
      <c r="B2231" s="16" t="s">
        <v>35</v>
      </c>
      <c r="C2231" s="201">
        <v>46112.0</v>
      </c>
      <c r="D2231" s="16" t="s">
        <v>890</v>
      </c>
      <c r="E2231" s="16" t="s">
        <v>12574</v>
      </c>
      <c r="F2231" s="16" t="s">
        <v>12576</v>
      </c>
      <c r="G2231" s="16"/>
      <c r="H2231" s="16"/>
      <c r="I2231" s="16"/>
      <c r="J2231" s="16"/>
      <c r="K2231" s="16"/>
      <c r="L2231" s="16"/>
      <c r="M2231" s="16"/>
      <c r="N2231" s="16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16"/>
      <c r="AD2231" s="16"/>
      <c r="AH2231" s="16"/>
      <c r="AL2231" s="16"/>
      <c r="AP2231" s="16"/>
      <c r="AT2231" s="16"/>
      <c r="AX2231" s="16"/>
      <c r="BF2231" s="16"/>
      <c r="BJ2231" s="16"/>
      <c r="BN2231" s="16"/>
      <c r="BO2231" s="16"/>
      <c r="BP2231" s="16" t="s">
        <v>12575</v>
      </c>
      <c r="BQ2231" s="16" t="b">
        <v>0</v>
      </c>
      <c r="BR2231" s="16"/>
      <c r="BS2231" s="16"/>
      <c r="BT2231" s="16" t="b">
        <v>0</v>
      </c>
      <c r="BU2231" s="16" t="s">
        <v>13953</v>
      </c>
      <c r="BV2231" s="16"/>
      <c r="BW2231" s="16"/>
      <c r="BX2231" s="16"/>
    </row>
    <row r="2232">
      <c r="A2232" s="16" t="s">
        <v>11173</v>
      </c>
      <c r="B2232" s="16" t="s">
        <v>35</v>
      </c>
      <c r="C2232" s="201">
        <v>46115.0</v>
      </c>
      <c r="D2232" s="16" t="s">
        <v>12577</v>
      </c>
      <c r="E2232" s="16" t="s">
        <v>12578</v>
      </c>
      <c r="F2232" s="16" t="s">
        <v>12580</v>
      </c>
      <c r="G2232" s="16"/>
      <c r="H2232" s="16"/>
      <c r="I2232" s="16"/>
      <c r="J2232" s="16"/>
      <c r="K2232" s="16"/>
      <c r="L2232" s="16"/>
      <c r="M2232" s="16"/>
      <c r="N2232" s="16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16"/>
      <c r="AD2232" s="16"/>
      <c r="AH2232" s="16"/>
      <c r="AL2232" s="16"/>
      <c r="AP2232" s="16"/>
      <c r="AT2232" s="16"/>
      <c r="AX2232" s="16"/>
      <c r="BF2232" s="16"/>
      <c r="BJ2232" s="16"/>
      <c r="BN2232" s="16"/>
      <c r="BO2232" s="16"/>
      <c r="BP2232" s="16" t="s">
        <v>12579</v>
      </c>
      <c r="BQ2232" s="16" t="b">
        <v>0</v>
      </c>
      <c r="BR2232" s="16"/>
      <c r="BS2232" s="21" t="s">
        <v>14137</v>
      </c>
      <c r="BT2232" s="16" t="b">
        <v>1</v>
      </c>
      <c r="BU2232" s="16" t="s">
        <v>8596</v>
      </c>
      <c r="BV2232" s="16"/>
      <c r="BW2232" s="16"/>
      <c r="BX2232" s="16"/>
    </row>
    <row r="2233">
      <c r="A2233" s="16" t="s">
        <v>11177</v>
      </c>
      <c r="B2233" s="16" t="s">
        <v>35</v>
      </c>
      <c r="C2233" s="201">
        <v>46116.0</v>
      </c>
      <c r="D2233" s="16" t="s">
        <v>112</v>
      </c>
      <c r="E2233" s="16" t="s">
        <v>12581</v>
      </c>
      <c r="F2233" s="16" t="s">
        <v>12583</v>
      </c>
      <c r="G2233" s="16"/>
      <c r="H2233" s="16"/>
      <c r="I2233" s="16"/>
      <c r="J2233" s="16"/>
      <c r="K2233" s="16"/>
      <c r="L2233" s="16"/>
      <c r="M2233" s="16"/>
      <c r="N2233" s="16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D2233" s="16"/>
      <c r="AH2233" s="16"/>
      <c r="AL2233" s="16"/>
      <c r="AP2233" s="16"/>
      <c r="AT2233" s="16"/>
      <c r="AX2233" s="16"/>
      <c r="BF2233" s="16"/>
      <c r="BJ2233" s="16"/>
      <c r="BN2233" s="16"/>
      <c r="BO2233" s="16"/>
      <c r="BP2233" s="16" t="s">
        <v>12582</v>
      </c>
      <c r="BQ2233" s="16" t="b">
        <v>0</v>
      </c>
      <c r="BR2233" s="16"/>
      <c r="BS2233" s="21" t="s">
        <v>14139</v>
      </c>
      <c r="BT2233" s="16" t="b">
        <v>1</v>
      </c>
      <c r="BU2233" s="16" t="s">
        <v>13953</v>
      </c>
      <c r="BV2233" s="16"/>
      <c r="BW2233" s="16"/>
      <c r="BX2233" s="16"/>
    </row>
    <row r="2234">
      <c r="A2234" s="16" t="s">
        <v>11179</v>
      </c>
      <c r="B2234" s="16" t="s">
        <v>35</v>
      </c>
      <c r="C2234" s="201">
        <v>46116.0</v>
      </c>
      <c r="D2234" s="16" t="s">
        <v>11718</v>
      </c>
      <c r="E2234" s="16" t="s">
        <v>12584</v>
      </c>
      <c r="F2234" s="16" t="s">
        <v>11625</v>
      </c>
      <c r="G2234" s="16"/>
      <c r="H2234" s="16"/>
      <c r="I2234" s="16"/>
      <c r="J2234" s="16"/>
      <c r="K2234" s="16"/>
      <c r="L2234" s="16"/>
      <c r="M2234" s="16"/>
      <c r="N2234" s="16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D2234" s="16"/>
      <c r="AH2234" s="16"/>
      <c r="AL2234" s="16"/>
      <c r="AP2234" s="16"/>
      <c r="AT2234" s="16"/>
      <c r="AX2234" s="16"/>
      <c r="BF2234" s="16"/>
      <c r="BJ2234" s="16"/>
      <c r="BN2234" s="16"/>
      <c r="BO2234" s="16"/>
      <c r="BP2234" s="16" t="s">
        <v>12585</v>
      </c>
      <c r="BQ2234" s="16" t="b">
        <v>0</v>
      </c>
      <c r="BR2234" s="16"/>
      <c r="BS2234" s="21" t="s">
        <v>14140</v>
      </c>
      <c r="BT2234" s="16" t="b">
        <v>1</v>
      </c>
      <c r="BU2234" s="16" t="s">
        <v>13953</v>
      </c>
      <c r="BV2234" s="16"/>
      <c r="BW2234" s="16"/>
      <c r="BX2234" s="16"/>
    </row>
    <row r="2235">
      <c r="A2235" s="16" t="s">
        <v>11181</v>
      </c>
      <c r="B2235" s="16" t="s">
        <v>35</v>
      </c>
      <c r="C2235" s="201">
        <v>46119.0</v>
      </c>
      <c r="D2235" s="21" t="s">
        <v>12869</v>
      </c>
      <c r="E2235" s="16" t="s">
        <v>12586</v>
      </c>
      <c r="F2235" s="16" t="s">
        <v>12588</v>
      </c>
      <c r="G2235" s="16"/>
      <c r="H2235" s="16"/>
      <c r="I2235" s="16"/>
      <c r="J2235" s="16"/>
      <c r="K2235" s="16"/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D2235" s="16"/>
      <c r="AH2235" s="16"/>
      <c r="AL2235" s="16"/>
      <c r="AP2235" s="16"/>
      <c r="AT2235" s="16"/>
      <c r="AX2235" s="16"/>
      <c r="BF2235" s="16"/>
      <c r="BJ2235" s="16"/>
      <c r="BN2235" s="16"/>
      <c r="BO2235" s="16"/>
      <c r="BP2235" s="16" t="s">
        <v>12587</v>
      </c>
      <c r="BQ2235" s="16" t="b">
        <v>0</v>
      </c>
      <c r="BR2235" s="16"/>
      <c r="BS2235" s="16"/>
      <c r="BT2235" s="16" t="b">
        <v>0</v>
      </c>
      <c r="BU2235" s="16" t="s">
        <v>13953</v>
      </c>
      <c r="BV2235" s="16"/>
      <c r="BW2235" s="16"/>
      <c r="BX2235" s="16"/>
    </row>
    <row r="2236">
      <c r="A2236" s="16">
        <v>12015.0</v>
      </c>
      <c r="B2236" s="16" t="s">
        <v>35</v>
      </c>
      <c r="C2236" s="201">
        <v>46119.0</v>
      </c>
      <c r="D2236" s="16" t="s">
        <v>1036</v>
      </c>
      <c r="E2236" s="16"/>
      <c r="F2236" s="16" t="s">
        <v>9926</v>
      </c>
      <c r="G2236" s="16" t="s">
        <v>1668</v>
      </c>
      <c r="H2236" s="16">
        <v>1.0</v>
      </c>
      <c r="I2236" s="16">
        <v>134.83</v>
      </c>
      <c r="J2236" s="16">
        <v>134.83</v>
      </c>
      <c r="K2236" s="16"/>
      <c r="L2236" s="16"/>
      <c r="M2236" s="16"/>
      <c r="N2236" s="16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16"/>
      <c r="AD2236" s="16"/>
      <c r="AH2236" s="16"/>
      <c r="AL2236" s="16"/>
      <c r="AP2236" s="16"/>
      <c r="AT2236" s="16"/>
      <c r="AX2236" s="16"/>
      <c r="BF2236" s="16"/>
      <c r="BJ2236" s="16"/>
      <c r="BN2236" s="16"/>
      <c r="BO2236" s="16">
        <v>134.83</v>
      </c>
      <c r="BP2236" s="16"/>
      <c r="BQ2236" s="16" t="b">
        <v>1</v>
      </c>
      <c r="BR2236" s="16">
        <v>134.83</v>
      </c>
      <c r="BS2236" s="16"/>
      <c r="BT2236" s="16"/>
      <c r="BU2236" s="16" t="s">
        <v>539</v>
      </c>
      <c r="BV2236" s="16"/>
      <c r="BW2236" s="16"/>
      <c r="BX2236" s="16"/>
    </row>
    <row r="2237">
      <c r="A2237" s="16">
        <v>12016.0</v>
      </c>
      <c r="B2237" s="16" t="s">
        <v>35</v>
      </c>
      <c r="C2237" s="201">
        <v>46119.0</v>
      </c>
      <c r="D2237" s="16" t="s">
        <v>9929</v>
      </c>
      <c r="E2237" s="16"/>
      <c r="F2237" s="16" t="s">
        <v>9930</v>
      </c>
      <c r="G2237" s="16" t="s">
        <v>3218</v>
      </c>
      <c r="H2237" s="16">
        <v>1.0</v>
      </c>
      <c r="I2237" s="16">
        <v>9200.0</v>
      </c>
      <c r="J2237" s="16">
        <v>9200.0</v>
      </c>
      <c r="K2237" s="16"/>
      <c r="L2237" s="16"/>
      <c r="M2237" s="16"/>
      <c r="N2237" s="16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16"/>
      <c r="AD2237" s="16"/>
      <c r="AH2237" s="16"/>
      <c r="AL2237" s="16"/>
      <c r="AP2237" s="16"/>
      <c r="AT2237" s="16"/>
      <c r="AX2237" s="16"/>
      <c r="BF2237" s="16"/>
      <c r="BJ2237" s="16"/>
      <c r="BN2237" s="16"/>
      <c r="BO2237" s="16">
        <v>9200.0</v>
      </c>
      <c r="BP2237" s="16"/>
      <c r="BQ2237" s="16" t="b">
        <v>1</v>
      </c>
      <c r="BR2237" s="16">
        <v>9200.0</v>
      </c>
      <c r="BS2237" s="16"/>
      <c r="BT2237" s="16"/>
      <c r="BU2237" s="16" t="s">
        <v>539</v>
      </c>
      <c r="BV2237" s="16"/>
      <c r="BW2237" s="16"/>
      <c r="BX2237" s="16"/>
    </row>
    <row r="2238">
      <c r="A2238" s="16">
        <v>12017.0</v>
      </c>
      <c r="B2238" s="16" t="s">
        <v>35</v>
      </c>
      <c r="C2238" s="201">
        <v>46119.0</v>
      </c>
      <c r="D2238" s="16" t="s">
        <v>3516</v>
      </c>
      <c r="E2238" s="16"/>
      <c r="F2238" s="16" t="s">
        <v>9933</v>
      </c>
      <c r="G2238" s="16" t="s">
        <v>8501</v>
      </c>
      <c r="H2238" s="16">
        <v>1.0</v>
      </c>
      <c r="I2238" s="16">
        <v>533.95</v>
      </c>
      <c r="J2238" s="16">
        <v>533.95</v>
      </c>
      <c r="K2238" s="16"/>
      <c r="L2238" s="16"/>
      <c r="M2238" s="16"/>
      <c r="N2238" s="16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16"/>
      <c r="AD2238" s="16"/>
      <c r="AH2238" s="16"/>
      <c r="AL2238" s="16"/>
      <c r="AP2238" s="16"/>
      <c r="AT2238" s="16"/>
      <c r="AX2238" s="16"/>
      <c r="BF2238" s="16"/>
      <c r="BJ2238" s="16"/>
      <c r="BN2238" s="16"/>
      <c r="BO2238" s="16">
        <v>533.95</v>
      </c>
      <c r="BP2238" s="16"/>
      <c r="BQ2238" s="16" t="b">
        <v>1</v>
      </c>
      <c r="BR2238" s="16">
        <v>533.95</v>
      </c>
      <c r="BS2238" s="16"/>
      <c r="BT2238" s="16"/>
      <c r="BU2238" s="16" t="s">
        <v>539</v>
      </c>
      <c r="BV2238" s="16"/>
      <c r="BW2238" s="16"/>
      <c r="BX2238" s="16"/>
    </row>
    <row r="2239">
      <c r="A2239" s="16">
        <v>12018.0</v>
      </c>
      <c r="B2239" s="16" t="s">
        <v>35</v>
      </c>
      <c r="C2239" s="201">
        <v>46119.0</v>
      </c>
      <c r="D2239" s="16" t="s">
        <v>2439</v>
      </c>
      <c r="E2239" s="16"/>
      <c r="F2239" s="16" t="s">
        <v>12589</v>
      </c>
      <c r="G2239" s="16" t="s">
        <v>873</v>
      </c>
      <c r="H2239" s="16">
        <v>1.0</v>
      </c>
      <c r="I2239" s="16">
        <v>0.0</v>
      </c>
      <c r="J2239" s="16">
        <v>0.0</v>
      </c>
      <c r="K2239" s="16"/>
      <c r="L2239" s="16"/>
      <c r="M2239" s="16"/>
      <c r="N2239" s="16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16"/>
      <c r="AD2239" s="16"/>
      <c r="AH2239" s="16"/>
      <c r="AL2239" s="16"/>
      <c r="AP2239" s="16"/>
      <c r="AT2239" s="16"/>
      <c r="AX2239" s="16"/>
      <c r="BF2239" s="16"/>
      <c r="BJ2239" s="16"/>
      <c r="BN2239" s="16"/>
      <c r="BO2239" s="16">
        <v>0.0</v>
      </c>
      <c r="BP2239" s="16"/>
      <c r="BQ2239" s="16" t="b">
        <v>1</v>
      </c>
      <c r="BR2239" s="16">
        <v>0.0</v>
      </c>
      <c r="BS2239" s="16"/>
      <c r="BT2239" s="16"/>
      <c r="BU2239" s="16" t="s">
        <v>539</v>
      </c>
      <c r="BV2239" s="16"/>
      <c r="BW2239" s="16"/>
      <c r="BX2239" s="16"/>
    </row>
    <row r="2240">
      <c r="A2240" s="16">
        <v>12019.0</v>
      </c>
      <c r="B2240" s="16" t="s">
        <v>35</v>
      </c>
      <c r="C2240" s="201">
        <v>46119.0</v>
      </c>
      <c r="D2240" s="16" t="s">
        <v>10315</v>
      </c>
      <c r="E2240" s="16"/>
      <c r="F2240" s="16" t="s">
        <v>12590</v>
      </c>
      <c r="G2240" s="16" t="s">
        <v>8792</v>
      </c>
      <c r="H2240" s="16">
        <v>1.0</v>
      </c>
      <c r="I2240" s="16">
        <v>0.01</v>
      </c>
      <c r="J2240" s="16">
        <v>0.01</v>
      </c>
      <c r="K2240" s="16"/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D2240" s="16"/>
      <c r="AH2240" s="16"/>
      <c r="AL2240" s="16"/>
      <c r="AP2240" s="16"/>
      <c r="AT2240" s="16"/>
      <c r="AX2240" s="16"/>
      <c r="BF2240" s="16"/>
      <c r="BJ2240" s="16"/>
      <c r="BN2240" s="16"/>
      <c r="BO2240" s="16">
        <v>0.01</v>
      </c>
      <c r="BP2240" s="16"/>
      <c r="BQ2240" s="16" t="b">
        <v>1</v>
      </c>
      <c r="BR2240" s="16">
        <v>0.01</v>
      </c>
      <c r="BS2240" s="16"/>
      <c r="BT2240" s="16"/>
      <c r="BU2240" s="16" t="s">
        <v>539</v>
      </c>
      <c r="BV2240" s="16"/>
      <c r="BW2240" s="16"/>
      <c r="BX2240" s="16"/>
    </row>
    <row r="2241">
      <c r="A2241" s="16" t="s">
        <v>10062</v>
      </c>
      <c r="B2241" s="16" t="s">
        <v>35</v>
      </c>
      <c r="C2241" s="201">
        <v>46119.0</v>
      </c>
      <c r="D2241" s="16" t="s">
        <v>460</v>
      </c>
      <c r="E2241" s="16"/>
      <c r="F2241" s="16" t="s">
        <v>12591</v>
      </c>
      <c r="G2241" s="16" t="s">
        <v>10065</v>
      </c>
      <c r="H2241" s="16">
        <v>1.0</v>
      </c>
      <c r="I2241" s="16">
        <v>145.0</v>
      </c>
      <c r="J2241" s="16">
        <v>145.0</v>
      </c>
      <c r="K2241" s="16"/>
      <c r="L2241" s="16"/>
      <c r="M2241" s="16"/>
      <c r="N2241" s="16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D2241" s="16"/>
      <c r="AH2241" s="16"/>
      <c r="AL2241" s="16"/>
      <c r="AP2241" s="16"/>
      <c r="AT2241" s="16"/>
      <c r="AX2241" s="16"/>
      <c r="BF2241" s="16"/>
      <c r="BJ2241" s="16"/>
      <c r="BN2241" s="16"/>
      <c r="BO2241" s="16">
        <v>145.0</v>
      </c>
      <c r="BP2241" s="16"/>
      <c r="BQ2241" s="16" t="b">
        <v>1</v>
      </c>
      <c r="BR2241" s="16">
        <v>145.0</v>
      </c>
      <c r="BS2241" s="16"/>
      <c r="BT2241" s="16"/>
      <c r="BU2241" s="16" t="s">
        <v>539</v>
      </c>
      <c r="BV2241" s="16"/>
      <c r="BW2241" s="16"/>
      <c r="BX2241" s="16"/>
    </row>
    <row r="2242">
      <c r="A2242" s="16" t="s">
        <v>10069</v>
      </c>
      <c r="B2242" s="16" t="s">
        <v>35</v>
      </c>
      <c r="C2242" s="201">
        <v>46119.0</v>
      </c>
      <c r="D2242" s="16" t="s">
        <v>460</v>
      </c>
      <c r="E2242" s="16"/>
      <c r="F2242" s="16" t="s">
        <v>12592</v>
      </c>
      <c r="G2242" s="16" t="s">
        <v>5856</v>
      </c>
      <c r="H2242" s="16">
        <v>1.0</v>
      </c>
      <c r="I2242" s="16">
        <v>62.9</v>
      </c>
      <c r="J2242" s="16">
        <v>62.9</v>
      </c>
      <c r="K2242" s="16"/>
      <c r="L2242" s="16"/>
      <c r="M2242" s="16"/>
      <c r="N2242" s="16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16"/>
      <c r="AD2242" s="16"/>
      <c r="AH2242" s="16"/>
      <c r="AL2242" s="16"/>
      <c r="AP2242" s="16"/>
      <c r="AT2242" s="16"/>
      <c r="AX2242" s="16"/>
      <c r="BF2242" s="16"/>
      <c r="BJ2242" s="16"/>
      <c r="BN2242" s="16"/>
      <c r="BO2242" s="16">
        <v>62.9</v>
      </c>
      <c r="BP2242" s="16"/>
      <c r="BQ2242" s="16" t="b">
        <v>1</v>
      </c>
      <c r="BR2242" s="16">
        <v>62.9</v>
      </c>
      <c r="BS2242" s="16"/>
      <c r="BT2242" s="16"/>
      <c r="BU2242" s="16" t="s">
        <v>539</v>
      </c>
      <c r="BV2242" s="16"/>
      <c r="BW2242" s="16"/>
      <c r="BX2242" s="16"/>
    </row>
    <row r="2243">
      <c r="A2243" s="16">
        <v>12034.0</v>
      </c>
      <c r="B2243" s="16" t="s">
        <v>35</v>
      </c>
      <c r="C2243" s="201">
        <v>46119.0</v>
      </c>
      <c r="D2243" s="16" t="s">
        <v>7740</v>
      </c>
      <c r="E2243" s="16"/>
      <c r="F2243" s="16" t="s">
        <v>12593</v>
      </c>
      <c r="G2243" s="16" t="s">
        <v>9254</v>
      </c>
      <c r="H2243" s="16">
        <v>1.0</v>
      </c>
      <c r="I2243" s="16">
        <v>0.0</v>
      </c>
      <c r="J2243" s="16">
        <v>0.0</v>
      </c>
      <c r="K2243" s="16"/>
      <c r="L2243" s="16"/>
      <c r="M2243" s="16"/>
      <c r="N2243" s="16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D2243" s="16"/>
      <c r="AH2243" s="16"/>
      <c r="AL2243" s="16"/>
      <c r="AP2243" s="16"/>
      <c r="AT2243" s="16"/>
      <c r="AX2243" s="16"/>
      <c r="BF2243" s="16"/>
      <c r="BJ2243" s="16"/>
      <c r="BN2243" s="16"/>
      <c r="BO2243" s="16">
        <v>0.0</v>
      </c>
      <c r="BP2243" s="16"/>
      <c r="BQ2243" s="16" t="b">
        <v>1</v>
      </c>
      <c r="BR2243" s="16">
        <v>0.0</v>
      </c>
      <c r="BS2243" s="16"/>
      <c r="BT2243" s="16"/>
      <c r="BU2243" s="16" t="s">
        <v>539</v>
      </c>
      <c r="BV2243" s="16"/>
      <c r="BW2243" s="16"/>
      <c r="BX2243" s="16"/>
    </row>
    <row r="2244">
      <c r="A2244" s="16" t="s">
        <v>10077</v>
      </c>
      <c r="B2244" s="16" t="s">
        <v>35</v>
      </c>
      <c r="C2244" s="201">
        <v>46119.0</v>
      </c>
      <c r="D2244" s="16" t="s">
        <v>460</v>
      </c>
      <c r="E2244" s="16"/>
      <c r="F2244" s="16" t="s">
        <v>12594</v>
      </c>
      <c r="G2244" s="16" t="s">
        <v>10078</v>
      </c>
      <c r="H2244" s="16">
        <v>1.0</v>
      </c>
      <c r="I2244" s="16">
        <v>1136.0</v>
      </c>
      <c r="J2244" s="16">
        <v>1136.0</v>
      </c>
      <c r="K2244" s="16"/>
      <c r="L2244" s="16"/>
      <c r="M2244" s="16"/>
      <c r="N2244" s="16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16"/>
      <c r="AD2244" s="16"/>
      <c r="AH2244" s="16"/>
      <c r="AL2244" s="16"/>
      <c r="AP2244" s="16"/>
      <c r="AT2244" s="16"/>
      <c r="AX2244" s="16"/>
      <c r="BF2244" s="16"/>
      <c r="BJ2244" s="16"/>
      <c r="BN2244" s="16"/>
      <c r="BO2244" s="16">
        <v>1136.0</v>
      </c>
      <c r="BP2244" s="16"/>
      <c r="BQ2244" s="16" t="b">
        <v>1</v>
      </c>
      <c r="BR2244" s="16">
        <v>1136.0</v>
      </c>
      <c r="BS2244" s="16"/>
      <c r="BT2244" s="16"/>
      <c r="BU2244" s="16" t="s">
        <v>539</v>
      </c>
      <c r="BV2244" s="16"/>
      <c r="BW2244" s="16"/>
      <c r="BX2244" s="16"/>
    </row>
    <row r="2245">
      <c r="A2245" s="16" t="s">
        <v>10080</v>
      </c>
      <c r="B2245" s="16" t="s">
        <v>35</v>
      </c>
      <c r="C2245" s="201">
        <v>46119.0</v>
      </c>
      <c r="D2245" s="16"/>
      <c r="E2245" s="16"/>
      <c r="F2245" s="16" t="s">
        <v>1791</v>
      </c>
      <c r="G2245" s="16" t="s">
        <v>1239</v>
      </c>
      <c r="H2245" s="16">
        <v>1.0</v>
      </c>
      <c r="I2245" s="16">
        <v>2790.21</v>
      </c>
      <c r="J2245" s="16">
        <v>2790.21</v>
      </c>
      <c r="K2245" s="16"/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D2245" s="16"/>
      <c r="AH2245" s="16"/>
      <c r="AL2245" s="16"/>
      <c r="AP2245" s="16"/>
      <c r="AT2245" s="16"/>
      <c r="AX2245" s="16"/>
      <c r="BF2245" s="16"/>
      <c r="BJ2245" s="16"/>
      <c r="BN2245" s="16"/>
      <c r="BO2245" s="16">
        <v>2790.21</v>
      </c>
      <c r="BP2245" s="16"/>
      <c r="BQ2245" s="16" t="b">
        <v>1</v>
      </c>
      <c r="BR2245" s="16">
        <v>2790.21</v>
      </c>
      <c r="BS2245" s="16"/>
      <c r="BT2245" s="16"/>
      <c r="BU2245" s="16" t="s">
        <v>539</v>
      </c>
      <c r="BV2245" s="16" t="s">
        <v>227</v>
      </c>
      <c r="BW2245" s="16"/>
      <c r="BX2245" s="16"/>
    </row>
    <row r="2246">
      <c r="A2246" s="16" t="s">
        <v>11140</v>
      </c>
      <c r="B2246" s="16" t="s">
        <v>35</v>
      </c>
      <c r="C2246" s="201">
        <v>46113.0</v>
      </c>
      <c r="D2246" s="16" t="s">
        <v>12334</v>
      </c>
      <c r="E2246" s="16" t="s">
        <v>12595</v>
      </c>
      <c r="F2246" s="16" t="s">
        <v>12597</v>
      </c>
      <c r="G2246" s="16"/>
      <c r="H2246" s="16"/>
      <c r="I2246" s="16"/>
      <c r="J2246" s="16"/>
      <c r="K2246" s="16"/>
      <c r="L2246" s="16"/>
      <c r="M2246" s="16"/>
      <c r="N2246" s="16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16"/>
      <c r="AD2246" s="16"/>
      <c r="AH2246" s="16"/>
      <c r="AL2246" s="16"/>
      <c r="AP2246" s="16"/>
      <c r="AT2246" s="16"/>
      <c r="AX2246" s="16"/>
      <c r="BF2246" s="16"/>
      <c r="BJ2246" s="16"/>
      <c r="BN2246" s="16"/>
      <c r="BO2246" s="16"/>
      <c r="BP2246" s="16" t="s">
        <v>12596</v>
      </c>
      <c r="BQ2246" s="16" t="b">
        <v>0</v>
      </c>
      <c r="BR2246" s="16"/>
      <c r="BS2246" s="16"/>
      <c r="BT2246" s="16" t="b">
        <v>0</v>
      </c>
      <c r="BU2246" s="16" t="s">
        <v>13953</v>
      </c>
      <c r="BV2246" s="16"/>
      <c r="BW2246" s="16"/>
      <c r="BX2246" s="16"/>
    </row>
    <row r="2247">
      <c r="A2247" s="16" t="s">
        <v>11192</v>
      </c>
      <c r="B2247" s="16" t="s">
        <v>35</v>
      </c>
      <c r="C2247" s="201">
        <v>46121.0</v>
      </c>
      <c r="D2247" s="16" t="s">
        <v>11926</v>
      </c>
      <c r="E2247" s="16" t="s">
        <v>12598</v>
      </c>
      <c r="F2247" s="16" t="s">
        <v>140</v>
      </c>
      <c r="G2247" s="16"/>
      <c r="H2247" s="16"/>
      <c r="I2247" s="16"/>
      <c r="J2247" s="16"/>
      <c r="K2247" s="16"/>
      <c r="L2247" s="16"/>
      <c r="M2247" s="16"/>
      <c r="N2247" s="16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16"/>
      <c r="AD2247" s="16"/>
      <c r="AH2247" s="16"/>
      <c r="AL2247" s="16"/>
      <c r="AP2247" s="16"/>
      <c r="AT2247" s="16"/>
      <c r="AX2247" s="16"/>
      <c r="BF2247" s="16"/>
      <c r="BJ2247" s="16"/>
      <c r="BN2247" s="16"/>
      <c r="BO2247" s="16"/>
      <c r="BP2247" s="16" t="s">
        <v>12599</v>
      </c>
      <c r="BQ2247" s="16" t="b">
        <v>0</v>
      </c>
      <c r="BR2247" s="16"/>
      <c r="BS2247" s="16"/>
      <c r="BT2247" s="16" t="b">
        <v>0</v>
      </c>
      <c r="BU2247" s="16" t="s">
        <v>13953</v>
      </c>
      <c r="BV2247" s="16"/>
      <c r="BW2247" s="16"/>
      <c r="BX2247" s="16"/>
    </row>
    <row r="2248">
      <c r="A2248" s="16" t="s">
        <v>11195</v>
      </c>
      <c r="B2248" s="16" t="s">
        <v>35</v>
      </c>
      <c r="C2248" s="201">
        <v>46121.0</v>
      </c>
      <c r="D2248" s="16" t="s">
        <v>11765</v>
      </c>
      <c r="E2248" s="16" t="s">
        <v>12600</v>
      </c>
      <c r="F2248" s="16" t="s">
        <v>195</v>
      </c>
      <c r="G2248" s="16"/>
      <c r="H2248" s="16"/>
      <c r="I2248" s="16"/>
      <c r="J2248" s="16"/>
      <c r="K2248" s="16"/>
      <c r="L2248" s="16"/>
      <c r="M2248" s="16"/>
      <c r="N2248" s="16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16"/>
      <c r="AD2248" s="16"/>
      <c r="AH2248" s="16"/>
      <c r="AL2248" s="16"/>
      <c r="AP2248" s="16"/>
      <c r="AT2248" s="16"/>
      <c r="AX2248" s="16"/>
      <c r="BF2248" s="16"/>
      <c r="BJ2248" s="16"/>
      <c r="BN2248" s="16"/>
      <c r="BO2248" s="16"/>
      <c r="BP2248" s="16" t="s">
        <v>12601</v>
      </c>
      <c r="BQ2248" s="16" t="b">
        <v>0</v>
      </c>
      <c r="BR2248" s="16"/>
      <c r="BS2248" s="16"/>
      <c r="BT2248" s="16" t="b">
        <v>0</v>
      </c>
      <c r="BU2248" s="16" t="s">
        <v>13953</v>
      </c>
      <c r="BV2248" s="16"/>
      <c r="BW2248" s="16" t="s">
        <v>12602</v>
      </c>
      <c r="BX2248" s="16"/>
    </row>
    <row r="2249">
      <c r="A2249" s="16" t="s">
        <v>11143</v>
      </c>
      <c r="B2249" s="16" t="s">
        <v>35</v>
      </c>
      <c r="C2249" s="201">
        <v>46113.0</v>
      </c>
      <c r="D2249" s="16" t="s">
        <v>12334</v>
      </c>
      <c r="E2249" s="16" t="s">
        <v>12603</v>
      </c>
      <c r="F2249" s="16" t="s">
        <v>12605</v>
      </c>
      <c r="G2249" s="16"/>
      <c r="H2249" s="16"/>
      <c r="I2249" s="16"/>
      <c r="J2249" s="16"/>
      <c r="K2249" s="16"/>
      <c r="L2249" s="16"/>
      <c r="M2249" s="16"/>
      <c r="N2249" s="16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D2249" s="16"/>
      <c r="AH2249" s="16"/>
      <c r="AL2249" s="16"/>
      <c r="AP2249" s="16"/>
      <c r="AT2249" s="16"/>
      <c r="AX2249" s="16"/>
      <c r="BF2249" s="16"/>
      <c r="BJ2249" s="16"/>
      <c r="BN2249" s="16"/>
      <c r="BO2249" s="16"/>
      <c r="BP2249" s="16" t="s">
        <v>12604</v>
      </c>
      <c r="BQ2249" s="16" t="b">
        <v>0</v>
      </c>
      <c r="BR2249" s="16"/>
      <c r="BS2249" s="16"/>
      <c r="BT2249" s="16" t="b">
        <v>0</v>
      </c>
      <c r="BU2249" s="16" t="s">
        <v>13953</v>
      </c>
      <c r="BV2249" s="16"/>
      <c r="BW2249" s="16"/>
      <c r="BX2249" s="16"/>
    </row>
    <row r="2250">
      <c r="A2250" s="16" t="s">
        <v>11206</v>
      </c>
      <c r="B2250" s="16" t="s">
        <v>35</v>
      </c>
      <c r="C2250" s="201">
        <v>46121.0</v>
      </c>
      <c r="D2250" s="16" t="s">
        <v>12255</v>
      </c>
      <c r="E2250" s="16" t="s">
        <v>12606</v>
      </c>
      <c r="F2250" s="16" t="s">
        <v>1324</v>
      </c>
      <c r="G2250" s="16"/>
      <c r="H2250" s="16"/>
      <c r="I2250" s="16"/>
      <c r="J2250" s="16"/>
      <c r="K2250" s="16"/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D2250" s="16"/>
      <c r="AH2250" s="16"/>
      <c r="AL2250" s="16"/>
      <c r="AP2250" s="16"/>
      <c r="AT2250" s="16"/>
      <c r="AX2250" s="16"/>
      <c r="BF2250" s="16"/>
      <c r="BJ2250" s="16"/>
      <c r="BN2250" s="16"/>
      <c r="BO2250" s="16"/>
      <c r="BP2250" s="16" t="s">
        <v>12607</v>
      </c>
      <c r="BQ2250" s="16" t="b">
        <v>0</v>
      </c>
      <c r="BR2250" s="16"/>
      <c r="BS2250" s="21" t="s">
        <v>14161</v>
      </c>
      <c r="BT2250" s="16" t="b">
        <v>1</v>
      </c>
      <c r="BU2250" s="16" t="s">
        <v>13953</v>
      </c>
      <c r="BV2250" s="16"/>
      <c r="BW2250" s="16"/>
      <c r="BX2250" s="16"/>
    </row>
    <row r="2251">
      <c r="A2251" s="16" t="s">
        <v>11242</v>
      </c>
      <c r="B2251" s="16" t="s">
        <v>35</v>
      </c>
      <c r="C2251" s="201">
        <v>46124.0</v>
      </c>
      <c r="D2251" s="21" t="s">
        <v>12789</v>
      </c>
      <c r="E2251" s="16" t="s">
        <v>12608</v>
      </c>
      <c r="F2251" s="16" t="s">
        <v>12610</v>
      </c>
      <c r="G2251" s="16"/>
      <c r="H2251" s="16"/>
      <c r="I2251" s="16"/>
      <c r="J2251" s="16"/>
      <c r="K2251" s="16"/>
      <c r="L2251" s="16"/>
      <c r="M2251" s="16"/>
      <c r="N2251" s="16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D2251" s="16"/>
      <c r="AH2251" s="16"/>
      <c r="AL2251" s="16"/>
      <c r="AP2251" s="16"/>
      <c r="AT2251" s="16"/>
      <c r="AX2251" s="16"/>
      <c r="BF2251" s="16"/>
      <c r="BJ2251" s="16"/>
      <c r="BN2251" s="16"/>
      <c r="BO2251" s="16"/>
      <c r="BP2251" s="16" t="s">
        <v>12609</v>
      </c>
      <c r="BQ2251" s="16" t="b">
        <v>0</v>
      </c>
      <c r="BR2251" s="16"/>
      <c r="BS2251" s="21" t="s">
        <v>14165</v>
      </c>
      <c r="BT2251" s="16" t="b">
        <v>1</v>
      </c>
      <c r="BU2251" s="16" t="s">
        <v>13953</v>
      </c>
      <c r="BV2251" s="16"/>
      <c r="BW2251" s="16"/>
      <c r="BX2251" s="16"/>
    </row>
    <row r="2252">
      <c r="A2252" s="16" t="s">
        <v>11208</v>
      </c>
      <c r="B2252" s="16" t="s">
        <v>35</v>
      </c>
      <c r="C2252" s="201">
        <v>46122.0</v>
      </c>
      <c r="D2252" s="21" t="s">
        <v>12789</v>
      </c>
      <c r="E2252" s="16" t="s">
        <v>12611</v>
      </c>
      <c r="F2252" s="16" t="s">
        <v>11625</v>
      </c>
      <c r="G2252" s="16"/>
      <c r="H2252" s="16"/>
      <c r="I2252" s="16"/>
      <c r="J2252" s="16"/>
      <c r="K2252" s="16"/>
      <c r="L2252" s="16"/>
      <c r="M2252" s="16"/>
      <c r="N2252" s="16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16"/>
      <c r="AD2252" s="16"/>
      <c r="AH2252" s="16"/>
      <c r="AL2252" s="16"/>
      <c r="AP2252" s="16"/>
      <c r="AT2252" s="16"/>
      <c r="AX2252" s="16"/>
      <c r="BF2252" s="16"/>
      <c r="BJ2252" s="16"/>
      <c r="BN2252" s="16"/>
      <c r="BO2252" s="16"/>
      <c r="BP2252" s="16" t="s">
        <v>12612</v>
      </c>
      <c r="BQ2252" s="16" t="b">
        <v>0</v>
      </c>
      <c r="BR2252" s="16"/>
      <c r="BS2252" s="21" t="s">
        <v>14167</v>
      </c>
      <c r="BT2252" s="16" t="b">
        <v>1</v>
      </c>
      <c r="BU2252" s="16" t="s">
        <v>13953</v>
      </c>
      <c r="BV2252" s="16"/>
      <c r="BW2252" s="16"/>
      <c r="BX2252" s="16"/>
    </row>
    <row r="2253">
      <c r="A2253" s="16" t="s">
        <v>11226</v>
      </c>
      <c r="B2253" s="16" t="s">
        <v>35</v>
      </c>
      <c r="C2253" s="201">
        <v>46122.0</v>
      </c>
      <c r="D2253" s="16" t="s">
        <v>12613</v>
      </c>
      <c r="E2253" s="16" t="s">
        <v>12614</v>
      </c>
      <c r="F2253" s="16" t="s">
        <v>12616</v>
      </c>
      <c r="G2253" s="16"/>
      <c r="H2253" s="16"/>
      <c r="I2253" s="16"/>
      <c r="J2253" s="16"/>
      <c r="K2253" s="16"/>
      <c r="L2253" s="16"/>
      <c r="M2253" s="16"/>
      <c r="N2253" s="16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16"/>
      <c r="AD2253" s="16"/>
      <c r="AH2253" s="16"/>
      <c r="AL2253" s="16"/>
      <c r="AP2253" s="16"/>
      <c r="AT2253" s="16"/>
      <c r="AX2253" s="16"/>
      <c r="BF2253" s="16"/>
      <c r="BJ2253" s="16"/>
      <c r="BN2253" s="16"/>
      <c r="BO2253" s="16"/>
      <c r="BP2253" s="16" t="s">
        <v>12615</v>
      </c>
      <c r="BQ2253" s="16" t="b">
        <v>0</v>
      </c>
      <c r="BR2253" s="16"/>
      <c r="BS2253" s="21" t="s">
        <v>14170</v>
      </c>
      <c r="BT2253" s="16" t="b">
        <v>1</v>
      </c>
      <c r="BU2253" s="16" t="s">
        <v>13953</v>
      </c>
      <c r="BV2253" s="16"/>
      <c r="BW2253" s="16"/>
      <c r="BX2253" s="16"/>
    </row>
    <row r="2254">
      <c r="A2254" s="16" t="s">
        <v>11233</v>
      </c>
      <c r="B2254" s="16" t="s">
        <v>35</v>
      </c>
      <c r="C2254" s="201">
        <v>46122.0</v>
      </c>
      <c r="D2254" s="16" t="s">
        <v>112</v>
      </c>
      <c r="E2254" s="16" t="s">
        <v>12617</v>
      </c>
      <c r="F2254" s="16" t="s">
        <v>157</v>
      </c>
      <c r="G2254" s="16"/>
      <c r="H2254" s="16"/>
      <c r="I2254" s="16"/>
      <c r="J2254" s="16"/>
      <c r="K2254" s="16"/>
      <c r="L2254" s="16"/>
      <c r="M2254" s="16"/>
      <c r="N2254" s="16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16"/>
      <c r="AD2254" s="16"/>
      <c r="AH2254" s="16"/>
      <c r="AL2254" s="16"/>
      <c r="AP2254" s="16"/>
      <c r="AT2254" s="16"/>
      <c r="AX2254" s="16"/>
      <c r="BF2254" s="16"/>
      <c r="BJ2254" s="16"/>
      <c r="BN2254" s="16"/>
      <c r="BO2254" s="16"/>
      <c r="BP2254" s="16" t="s">
        <v>12618</v>
      </c>
      <c r="BQ2254" s="16" t="b">
        <v>0</v>
      </c>
      <c r="BR2254" s="16"/>
      <c r="BS2254" s="16"/>
      <c r="BT2254" s="16" t="b">
        <v>0</v>
      </c>
      <c r="BU2254" s="16" t="s">
        <v>13953</v>
      </c>
      <c r="BV2254" s="16"/>
      <c r="BW2254" s="16"/>
      <c r="BX2254" s="16"/>
    </row>
    <row r="2255">
      <c r="A2255" s="16" t="s">
        <v>10083</v>
      </c>
      <c r="B2255" s="16" t="s">
        <v>35</v>
      </c>
      <c r="C2255" s="201">
        <v>46126.0</v>
      </c>
      <c r="D2255" s="16" t="s">
        <v>9260</v>
      </c>
      <c r="E2255" s="16"/>
      <c r="F2255" s="16" t="s">
        <v>12619</v>
      </c>
      <c r="G2255" s="16" t="s">
        <v>10084</v>
      </c>
      <c r="H2255" s="16">
        <v>1.0</v>
      </c>
      <c r="I2255" s="16">
        <v>131.62</v>
      </c>
      <c r="J2255" s="16">
        <v>131.62</v>
      </c>
      <c r="K2255" s="16"/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D2255" s="16"/>
      <c r="AH2255" s="16"/>
      <c r="AL2255" s="16"/>
      <c r="AP2255" s="16"/>
      <c r="AT2255" s="16"/>
      <c r="AX2255" s="16"/>
      <c r="BF2255" s="16"/>
      <c r="BJ2255" s="16"/>
      <c r="BN2255" s="16"/>
      <c r="BO2255" s="16">
        <v>131.62</v>
      </c>
      <c r="BP2255" s="16"/>
      <c r="BQ2255" s="16" t="b">
        <v>1</v>
      </c>
      <c r="BR2255" s="16">
        <v>131.62</v>
      </c>
      <c r="BS2255" s="16"/>
      <c r="BT2255" s="16"/>
      <c r="BU2255" s="16" t="s">
        <v>539</v>
      </c>
      <c r="BV2255" s="16"/>
      <c r="BW2255" s="16"/>
      <c r="BX2255" s="16"/>
    </row>
    <row r="2256">
      <c r="A2256" s="16" t="s">
        <v>10087</v>
      </c>
      <c r="B2256" s="16" t="s">
        <v>35</v>
      </c>
      <c r="C2256" s="201">
        <v>46126.0</v>
      </c>
      <c r="D2256" s="16" t="s">
        <v>890</v>
      </c>
      <c r="E2256" s="16"/>
      <c r="F2256" s="16" t="s">
        <v>12620</v>
      </c>
      <c r="G2256" s="16" t="s">
        <v>8458</v>
      </c>
      <c r="H2256" s="16">
        <v>1.0</v>
      </c>
      <c r="I2256" s="16">
        <v>6692.0</v>
      </c>
      <c r="J2256" s="16">
        <v>6692.0</v>
      </c>
      <c r="K2256" s="16"/>
      <c r="L2256" s="16"/>
      <c r="M2256" s="16"/>
      <c r="N2256" s="16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16"/>
      <c r="AD2256" s="16"/>
      <c r="AH2256" s="16"/>
      <c r="AL2256" s="16"/>
      <c r="AP2256" s="16"/>
      <c r="AT2256" s="16"/>
      <c r="AX2256" s="16"/>
      <c r="BF2256" s="16"/>
      <c r="BJ2256" s="16"/>
      <c r="BN2256" s="16"/>
      <c r="BO2256" s="16">
        <v>6692.0</v>
      </c>
      <c r="BP2256" s="16"/>
      <c r="BQ2256" s="16" t="b">
        <v>1</v>
      </c>
      <c r="BR2256" s="16">
        <v>6692.0</v>
      </c>
      <c r="BS2256" s="16"/>
      <c r="BT2256" s="16"/>
      <c r="BU2256" s="16" t="s">
        <v>539</v>
      </c>
      <c r="BV2256" s="16"/>
      <c r="BW2256" s="16"/>
      <c r="BX2256" s="16"/>
    </row>
    <row r="2257">
      <c r="A2257" s="16" t="s">
        <v>10090</v>
      </c>
      <c r="B2257" s="16" t="s">
        <v>35</v>
      </c>
      <c r="C2257" s="201">
        <v>46126.0</v>
      </c>
      <c r="D2257" s="16" t="s">
        <v>890</v>
      </c>
      <c r="E2257" s="16"/>
      <c r="F2257" s="16" t="s">
        <v>12621</v>
      </c>
      <c r="G2257" s="16" t="s">
        <v>1517</v>
      </c>
      <c r="H2257" s="16">
        <v>1.0</v>
      </c>
      <c r="I2257" s="16">
        <v>2607.37</v>
      </c>
      <c r="J2257" s="16">
        <v>2607.37</v>
      </c>
      <c r="K2257" s="16"/>
      <c r="L2257" s="16"/>
      <c r="M2257" s="16"/>
      <c r="N2257" s="16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D2257" s="16"/>
      <c r="AH2257" s="16"/>
      <c r="AL2257" s="16"/>
      <c r="AP2257" s="16"/>
      <c r="AT2257" s="16"/>
      <c r="AX2257" s="16"/>
      <c r="BF2257" s="16"/>
      <c r="BJ2257" s="16"/>
      <c r="BN2257" s="16"/>
      <c r="BO2257" s="16">
        <v>2607.37</v>
      </c>
      <c r="BP2257" s="16"/>
      <c r="BQ2257" s="16" t="b">
        <v>1</v>
      </c>
      <c r="BR2257" s="16">
        <v>2607.37</v>
      </c>
      <c r="BS2257" s="16"/>
      <c r="BT2257" s="16"/>
      <c r="BU2257" s="16" t="s">
        <v>539</v>
      </c>
      <c r="BV2257" s="16"/>
      <c r="BW2257" s="16"/>
      <c r="BX2257" s="16"/>
    </row>
    <row r="2258">
      <c r="A2258" s="16">
        <v>12045.0</v>
      </c>
      <c r="B2258" s="16" t="s">
        <v>35</v>
      </c>
      <c r="C2258" s="201">
        <v>46126.0</v>
      </c>
      <c r="D2258" s="16" t="s">
        <v>10092</v>
      </c>
      <c r="E2258" s="16"/>
      <c r="F2258" s="16" t="s">
        <v>10093</v>
      </c>
      <c r="G2258" s="16" t="s">
        <v>8603</v>
      </c>
      <c r="H2258" s="16">
        <v>1.0</v>
      </c>
      <c r="I2258" s="16">
        <v>181.37</v>
      </c>
      <c r="J2258" s="16">
        <v>181.37</v>
      </c>
      <c r="K2258" s="16"/>
      <c r="L2258" s="16"/>
      <c r="M2258" s="16"/>
      <c r="N2258" s="16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D2258" s="16"/>
      <c r="AH2258" s="16"/>
      <c r="AL2258" s="16"/>
      <c r="AP2258" s="16"/>
      <c r="AT2258" s="16"/>
      <c r="AX2258" s="16"/>
      <c r="BF2258" s="16"/>
      <c r="BJ2258" s="16"/>
      <c r="BN2258" s="16"/>
      <c r="BO2258" s="16">
        <v>181.37</v>
      </c>
      <c r="BP2258" s="16"/>
      <c r="BQ2258" s="16" t="b">
        <v>1</v>
      </c>
      <c r="BR2258" s="16">
        <v>181.37</v>
      </c>
      <c r="BS2258" s="16"/>
      <c r="BT2258" s="16"/>
      <c r="BU2258" s="16" t="s">
        <v>539</v>
      </c>
      <c r="BV2258" s="16"/>
      <c r="BW2258" s="16"/>
      <c r="BX2258" s="16"/>
    </row>
    <row r="2259">
      <c r="A2259" s="16">
        <v>12046.0</v>
      </c>
      <c r="B2259" s="16" t="s">
        <v>35</v>
      </c>
      <c r="C2259" s="201">
        <v>46126.0</v>
      </c>
      <c r="D2259" s="16" t="s">
        <v>2280</v>
      </c>
      <c r="E2259" s="16"/>
      <c r="F2259" s="16" t="s">
        <v>10095</v>
      </c>
      <c r="G2259" s="16" t="s">
        <v>9257</v>
      </c>
      <c r="H2259" s="16">
        <v>1.0</v>
      </c>
      <c r="I2259" s="16">
        <v>3720.53</v>
      </c>
      <c r="J2259" s="16">
        <v>3720.53</v>
      </c>
      <c r="K2259" s="16"/>
      <c r="L2259" s="16"/>
      <c r="M2259" s="16"/>
      <c r="N2259" s="16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D2259" s="16"/>
      <c r="AH2259" s="16"/>
      <c r="AL2259" s="16"/>
      <c r="AP2259" s="16"/>
      <c r="AT2259" s="16"/>
      <c r="AX2259" s="16"/>
      <c r="BF2259" s="16"/>
      <c r="BJ2259" s="16"/>
      <c r="BN2259" s="16"/>
      <c r="BO2259" s="16">
        <v>3720.53</v>
      </c>
      <c r="BP2259" s="16"/>
      <c r="BQ2259" s="16" t="b">
        <v>1</v>
      </c>
      <c r="BR2259" s="16">
        <v>3720.53</v>
      </c>
      <c r="BS2259" s="16"/>
      <c r="BT2259" s="16"/>
      <c r="BU2259" s="16" t="s">
        <v>539</v>
      </c>
      <c r="BV2259" s="16"/>
      <c r="BW2259" s="16"/>
      <c r="BX2259" s="16"/>
    </row>
    <row r="2260">
      <c r="A2260" s="16">
        <v>12047.0</v>
      </c>
      <c r="B2260" s="16" t="s">
        <v>35</v>
      </c>
      <c r="C2260" s="201">
        <v>46126.0</v>
      </c>
      <c r="D2260" s="16" t="s">
        <v>2248</v>
      </c>
      <c r="E2260" s="16"/>
      <c r="F2260" s="16" t="s">
        <v>8055</v>
      </c>
      <c r="G2260" s="16" t="s">
        <v>3218</v>
      </c>
      <c r="H2260" s="16">
        <v>1.0</v>
      </c>
      <c r="I2260" s="16">
        <v>185.0</v>
      </c>
      <c r="J2260" s="16">
        <v>185.0</v>
      </c>
      <c r="K2260" s="16"/>
      <c r="L2260" s="16"/>
      <c r="M2260" s="16"/>
      <c r="N2260" s="16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16"/>
      <c r="AD2260" s="16"/>
      <c r="AH2260" s="16"/>
      <c r="AL2260" s="16"/>
      <c r="AP2260" s="16"/>
      <c r="AT2260" s="16"/>
      <c r="AX2260" s="16"/>
      <c r="BF2260" s="16"/>
      <c r="BJ2260" s="16"/>
      <c r="BN2260" s="16"/>
      <c r="BO2260" s="16">
        <v>185.0</v>
      </c>
      <c r="BP2260" s="16"/>
      <c r="BQ2260" s="16" t="b">
        <v>1</v>
      </c>
      <c r="BR2260" s="16">
        <v>185.0</v>
      </c>
      <c r="BS2260" s="16"/>
      <c r="BT2260" s="16"/>
      <c r="BU2260" s="16" t="s">
        <v>539</v>
      </c>
      <c r="BV2260" s="16"/>
      <c r="BW2260" s="16"/>
      <c r="BX2260" s="16"/>
    </row>
    <row r="2261">
      <c r="A2261" s="16">
        <v>12049.0</v>
      </c>
      <c r="B2261" s="16" t="s">
        <v>35</v>
      </c>
      <c r="C2261" s="201">
        <v>46126.0</v>
      </c>
      <c r="D2261" s="16" t="s">
        <v>3516</v>
      </c>
      <c r="E2261" s="16"/>
      <c r="F2261" s="16" t="s">
        <v>10131</v>
      </c>
      <c r="G2261" s="16" t="s">
        <v>1159</v>
      </c>
      <c r="H2261" s="16">
        <v>1.0</v>
      </c>
      <c r="I2261" s="16">
        <v>1470.0</v>
      </c>
      <c r="J2261" s="16">
        <v>1470.0</v>
      </c>
      <c r="K2261" s="16"/>
      <c r="L2261" s="16"/>
      <c r="M2261" s="16"/>
      <c r="N2261" s="16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16"/>
      <c r="AD2261" s="16"/>
      <c r="AH2261" s="16"/>
      <c r="AL2261" s="16"/>
      <c r="AP2261" s="16"/>
      <c r="AT2261" s="16"/>
      <c r="AX2261" s="16"/>
      <c r="BF2261" s="16"/>
      <c r="BJ2261" s="16"/>
      <c r="BN2261" s="16"/>
      <c r="BO2261" s="16">
        <v>1470.0</v>
      </c>
      <c r="BP2261" s="16"/>
      <c r="BQ2261" s="16" t="b">
        <v>1</v>
      </c>
      <c r="BR2261" s="16">
        <v>1470.0</v>
      </c>
      <c r="BS2261" s="16"/>
      <c r="BT2261" s="16"/>
      <c r="BU2261" s="16" t="s">
        <v>539</v>
      </c>
      <c r="BV2261" s="16"/>
      <c r="BW2261" s="16"/>
      <c r="BX2261" s="16"/>
    </row>
    <row r="2262">
      <c r="A2262" s="16" t="s">
        <v>10099</v>
      </c>
      <c r="B2262" s="16" t="s">
        <v>35</v>
      </c>
      <c r="C2262" s="201">
        <v>46126.0</v>
      </c>
      <c r="D2262" s="16" t="s">
        <v>1160</v>
      </c>
      <c r="E2262" s="16"/>
      <c r="F2262" s="16" t="s">
        <v>11193</v>
      </c>
      <c r="G2262" s="16" t="s">
        <v>8651</v>
      </c>
      <c r="H2262" s="16">
        <v>1.0</v>
      </c>
      <c r="I2262" s="16">
        <v>906.48</v>
      </c>
      <c r="J2262" s="16">
        <v>906.48</v>
      </c>
      <c r="K2262" s="16"/>
      <c r="L2262" s="16"/>
      <c r="M2262" s="16"/>
      <c r="N2262" s="16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16"/>
      <c r="AD2262" s="16"/>
      <c r="AH2262" s="16"/>
      <c r="AL2262" s="16"/>
      <c r="AP2262" s="16"/>
      <c r="AT2262" s="16"/>
      <c r="AX2262" s="16"/>
      <c r="BF2262" s="16"/>
      <c r="BJ2262" s="16"/>
      <c r="BN2262" s="16"/>
      <c r="BO2262" s="16">
        <v>906.48</v>
      </c>
      <c r="BP2262" s="16"/>
      <c r="BQ2262" s="16" t="b">
        <v>1</v>
      </c>
      <c r="BR2262" s="16">
        <v>906.48</v>
      </c>
      <c r="BS2262" s="16"/>
      <c r="BT2262" s="16"/>
      <c r="BU2262" s="16" t="s">
        <v>539</v>
      </c>
      <c r="BV2262" s="16"/>
      <c r="BW2262" s="16"/>
      <c r="BX2262" s="16"/>
    </row>
    <row r="2263">
      <c r="A2263" s="16">
        <v>12062.0</v>
      </c>
      <c r="B2263" s="16" t="s">
        <v>35</v>
      </c>
      <c r="C2263" s="201">
        <v>46126.0</v>
      </c>
      <c r="D2263" s="16" t="s">
        <v>3516</v>
      </c>
      <c r="E2263" s="16"/>
      <c r="F2263" s="16" t="s">
        <v>9759</v>
      </c>
      <c r="G2263" s="16" t="s">
        <v>2448</v>
      </c>
      <c r="H2263" s="16">
        <v>1.0</v>
      </c>
      <c r="I2263" s="16">
        <v>1626.37</v>
      </c>
      <c r="J2263" s="16">
        <v>1626.37</v>
      </c>
      <c r="K2263" s="16"/>
      <c r="L2263" s="16"/>
      <c r="M2263" s="16"/>
      <c r="N2263" s="16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16"/>
      <c r="AD2263" s="16"/>
      <c r="AH2263" s="16"/>
      <c r="AL2263" s="16"/>
      <c r="AP2263" s="16"/>
      <c r="AT2263" s="16"/>
      <c r="AX2263" s="16"/>
      <c r="BF2263" s="16"/>
      <c r="BJ2263" s="16"/>
      <c r="BN2263" s="16"/>
      <c r="BO2263" s="16">
        <v>1626.37</v>
      </c>
      <c r="BP2263" s="16"/>
      <c r="BQ2263" s="16" t="b">
        <v>1</v>
      </c>
      <c r="BR2263" s="16">
        <v>1626.37</v>
      </c>
      <c r="BS2263" s="16"/>
      <c r="BT2263" s="16"/>
      <c r="BU2263" s="16" t="s">
        <v>539</v>
      </c>
      <c r="BV2263" s="16"/>
      <c r="BW2263" s="16"/>
      <c r="BX2263" s="16"/>
    </row>
    <row r="2264">
      <c r="A2264" s="16" t="s">
        <v>10104</v>
      </c>
      <c r="B2264" s="16" t="s">
        <v>35</v>
      </c>
      <c r="C2264" s="201">
        <v>46126.0</v>
      </c>
      <c r="D2264" s="16" t="s">
        <v>1864</v>
      </c>
      <c r="E2264" s="16"/>
      <c r="F2264" s="16" t="s">
        <v>4579</v>
      </c>
      <c r="G2264" s="16" t="s">
        <v>9706</v>
      </c>
      <c r="H2264" s="16">
        <v>1.0</v>
      </c>
      <c r="I2264" s="16">
        <v>30.75</v>
      </c>
      <c r="J2264" s="16">
        <v>30.75</v>
      </c>
      <c r="K2264" s="16"/>
      <c r="L2264" s="16"/>
      <c r="M2264" s="16"/>
      <c r="N2264" s="16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16"/>
      <c r="AD2264" s="16"/>
      <c r="AH2264" s="16"/>
      <c r="AL2264" s="16"/>
      <c r="AP2264" s="16"/>
      <c r="AT2264" s="16"/>
      <c r="AX2264" s="16"/>
      <c r="BF2264" s="16"/>
      <c r="BJ2264" s="16"/>
      <c r="BN2264" s="16"/>
      <c r="BO2264" s="16">
        <v>30.75</v>
      </c>
      <c r="BP2264" s="16"/>
      <c r="BQ2264" s="16" t="b">
        <v>1</v>
      </c>
      <c r="BR2264" s="16">
        <v>30.75</v>
      </c>
      <c r="BS2264" s="16"/>
      <c r="BT2264" s="16"/>
      <c r="BU2264" s="16" t="s">
        <v>539</v>
      </c>
      <c r="BV2264" s="16"/>
      <c r="BW2264" s="16"/>
      <c r="BX2264" s="16"/>
    </row>
    <row r="2265">
      <c r="A2265" s="16" t="s">
        <v>10108</v>
      </c>
      <c r="B2265" s="16" t="s">
        <v>35</v>
      </c>
      <c r="C2265" s="201">
        <v>46126.0</v>
      </c>
      <c r="D2265" s="16" t="s">
        <v>890</v>
      </c>
      <c r="E2265" s="16"/>
      <c r="F2265" s="16" t="s">
        <v>12624</v>
      </c>
      <c r="G2265" s="16" t="s">
        <v>1517</v>
      </c>
      <c r="H2265" s="16">
        <v>1.0</v>
      </c>
      <c r="I2265" s="16">
        <v>12023.24</v>
      </c>
      <c r="J2265" s="16">
        <v>12023.24</v>
      </c>
      <c r="K2265" s="16"/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D2265" s="16"/>
      <c r="AH2265" s="16"/>
      <c r="AL2265" s="16"/>
      <c r="AP2265" s="16"/>
      <c r="AT2265" s="16"/>
      <c r="AX2265" s="16"/>
      <c r="BF2265" s="16"/>
      <c r="BJ2265" s="16"/>
      <c r="BN2265" s="16"/>
      <c r="BO2265" s="16">
        <v>12023.24</v>
      </c>
      <c r="BP2265" s="16"/>
      <c r="BQ2265" s="16" t="b">
        <v>1</v>
      </c>
      <c r="BR2265" s="16">
        <v>12023.24</v>
      </c>
      <c r="BS2265" s="16"/>
      <c r="BT2265" s="16"/>
      <c r="BU2265" s="16" t="s">
        <v>539</v>
      </c>
      <c r="BV2265" s="16"/>
      <c r="BW2265" s="16"/>
      <c r="BX2265" s="16"/>
    </row>
    <row r="2266">
      <c r="A2266" s="16" t="s">
        <v>11245</v>
      </c>
      <c r="B2266" s="16" t="s">
        <v>35</v>
      </c>
      <c r="C2266" s="201">
        <v>46125.0</v>
      </c>
      <c r="D2266" s="16" t="s">
        <v>12334</v>
      </c>
      <c r="E2266" s="16" t="s">
        <v>12625</v>
      </c>
      <c r="F2266" s="16" t="s">
        <v>12627</v>
      </c>
      <c r="G2266" s="16"/>
      <c r="H2266" s="16"/>
      <c r="I2266" s="16"/>
      <c r="J2266" s="16"/>
      <c r="K2266" s="16"/>
      <c r="L2266" s="16"/>
      <c r="M2266" s="16"/>
      <c r="N2266" s="16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16"/>
      <c r="AD2266" s="16"/>
      <c r="AH2266" s="16"/>
      <c r="AL2266" s="16"/>
      <c r="AP2266" s="16"/>
      <c r="AT2266" s="16"/>
      <c r="AX2266" s="16"/>
      <c r="BF2266" s="16"/>
      <c r="BJ2266" s="16"/>
      <c r="BN2266" s="16"/>
      <c r="BO2266" s="16"/>
      <c r="BP2266" s="16" t="s">
        <v>12626</v>
      </c>
      <c r="BQ2266" s="16" t="b">
        <v>0</v>
      </c>
      <c r="BR2266" s="16"/>
      <c r="BS2266" s="16"/>
      <c r="BT2266" s="16" t="b">
        <v>0</v>
      </c>
      <c r="BU2266" s="16" t="s">
        <v>13953</v>
      </c>
      <c r="BV2266" s="16"/>
      <c r="BW2266" s="16"/>
      <c r="BX2266" s="16"/>
    </row>
    <row r="2267">
      <c r="A2267" s="16" t="s">
        <v>11183</v>
      </c>
      <c r="B2267" s="16" t="s">
        <v>35</v>
      </c>
      <c r="C2267" s="201">
        <v>46119.0</v>
      </c>
      <c r="D2267" s="16" t="s">
        <v>9260</v>
      </c>
      <c r="E2267" s="16" t="s">
        <v>12628</v>
      </c>
      <c r="F2267" s="16" t="s">
        <v>12630</v>
      </c>
      <c r="G2267" s="16"/>
      <c r="H2267" s="16"/>
      <c r="I2267" s="16"/>
      <c r="J2267" s="16"/>
      <c r="K2267" s="16"/>
      <c r="L2267" s="16"/>
      <c r="M2267" s="16"/>
      <c r="N2267" s="16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D2267" s="16"/>
      <c r="AH2267" s="16"/>
      <c r="AL2267" s="16"/>
      <c r="AP2267" s="16"/>
      <c r="AT2267" s="16"/>
      <c r="AX2267" s="16"/>
      <c r="BF2267" s="16"/>
      <c r="BJ2267" s="16"/>
      <c r="BN2267" s="16"/>
      <c r="BO2267" s="16"/>
      <c r="BP2267" s="16" t="s">
        <v>12629</v>
      </c>
      <c r="BQ2267" s="16" t="b">
        <v>0</v>
      </c>
      <c r="BR2267" s="16"/>
      <c r="BS2267" s="16"/>
      <c r="BT2267" s="16" t="b">
        <v>0</v>
      </c>
      <c r="BU2267" s="16" t="s">
        <v>13953</v>
      </c>
      <c r="BV2267" s="16"/>
      <c r="BW2267" s="16"/>
      <c r="BX2267" s="16"/>
    </row>
    <row r="2268">
      <c r="A2268" s="16" t="s">
        <v>11119</v>
      </c>
      <c r="B2268" s="16" t="s">
        <v>35</v>
      </c>
      <c r="C2268" s="201">
        <v>46112.0</v>
      </c>
      <c r="D2268" s="16" t="s">
        <v>9260</v>
      </c>
      <c r="E2268" s="16" t="s">
        <v>12631</v>
      </c>
      <c r="F2268" s="16" t="s">
        <v>12633</v>
      </c>
      <c r="G2268" s="16"/>
      <c r="H2268" s="16"/>
      <c r="I2268" s="16"/>
      <c r="J2268" s="16"/>
      <c r="K2268" s="16"/>
      <c r="L2268" s="16"/>
      <c r="M2268" s="16"/>
      <c r="N2268" s="16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16"/>
      <c r="AD2268" s="16"/>
      <c r="AH2268" s="16"/>
      <c r="AL2268" s="16"/>
      <c r="AP2268" s="16"/>
      <c r="AT2268" s="16"/>
      <c r="AX2268" s="16"/>
      <c r="BF2268" s="16"/>
      <c r="BJ2268" s="16"/>
      <c r="BN2268" s="16"/>
      <c r="BO2268" s="16"/>
      <c r="BP2268" s="16" t="s">
        <v>12632</v>
      </c>
      <c r="BQ2268" s="16" t="b">
        <v>0</v>
      </c>
      <c r="BR2268" s="16"/>
      <c r="BS2268" s="16"/>
      <c r="BT2268" s="16" t="b">
        <v>0</v>
      </c>
      <c r="BU2268" s="16" t="s">
        <v>13953</v>
      </c>
      <c r="BV2268" s="16"/>
      <c r="BW2268" s="16" t="s">
        <v>12634</v>
      </c>
      <c r="BX2268" s="16"/>
    </row>
    <row r="2269">
      <c r="A2269" s="16" t="s">
        <v>10112</v>
      </c>
      <c r="B2269" s="16" t="s">
        <v>35</v>
      </c>
      <c r="C2269" s="201">
        <v>46126.0</v>
      </c>
      <c r="D2269" s="16"/>
      <c r="E2269" s="16"/>
      <c r="F2269" s="16" t="s">
        <v>1329</v>
      </c>
      <c r="G2269" s="16" t="s">
        <v>1168</v>
      </c>
      <c r="H2269" s="16">
        <v>1.0</v>
      </c>
      <c r="I2269" s="16">
        <v>500.0</v>
      </c>
      <c r="J2269" s="16">
        <v>500.0</v>
      </c>
      <c r="K2269" s="16"/>
      <c r="L2269" s="16"/>
      <c r="M2269" s="16"/>
      <c r="N2269" s="16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16"/>
      <c r="AD2269" s="16"/>
      <c r="AH2269" s="16"/>
      <c r="AL2269" s="16"/>
      <c r="AP2269" s="16"/>
      <c r="AT2269" s="16"/>
      <c r="AX2269" s="16"/>
      <c r="BF2269" s="16"/>
      <c r="BJ2269" s="16"/>
      <c r="BN2269" s="16"/>
      <c r="BO2269" s="16">
        <v>500.0</v>
      </c>
      <c r="BP2269" s="16"/>
      <c r="BQ2269" s="16" t="b">
        <v>1</v>
      </c>
      <c r="BR2269" s="16">
        <v>500.0</v>
      </c>
      <c r="BS2269" s="16"/>
      <c r="BT2269" s="16"/>
      <c r="BU2269" s="16" t="s">
        <v>8596</v>
      </c>
      <c r="BV2269" s="16" t="s">
        <v>2052</v>
      </c>
      <c r="BW2269" s="16"/>
      <c r="BX2269" s="16"/>
    </row>
    <row r="2270">
      <c r="A2270" s="16" t="s">
        <v>10114</v>
      </c>
      <c r="B2270" s="16" t="s">
        <v>35</v>
      </c>
      <c r="C2270" s="201">
        <v>46126.0</v>
      </c>
      <c r="D2270" s="16"/>
      <c r="E2270" s="16"/>
      <c r="F2270" s="16" t="s">
        <v>1329</v>
      </c>
      <c r="G2270" s="16" t="s">
        <v>1168</v>
      </c>
      <c r="H2270" s="16">
        <v>1.0</v>
      </c>
      <c r="I2270" s="16">
        <v>500.0</v>
      </c>
      <c r="J2270" s="16">
        <v>500.0</v>
      </c>
      <c r="K2270" s="16"/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D2270" s="16"/>
      <c r="AH2270" s="16"/>
      <c r="AL2270" s="16"/>
      <c r="AP2270" s="16"/>
      <c r="AT2270" s="16"/>
      <c r="AX2270" s="16"/>
      <c r="BF2270" s="16"/>
      <c r="BJ2270" s="16"/>
      <c r="BN2270" s="16"/>
      <c r="BO2270" s="16">
        <v>500.0</v>
      </c>
      <c r="BP2270" s="16"/>
      <c r="BQ2270" s="16" t="b">
        <v>1</v>
      </c>
      <c r="BR2270" s="16">
        <v>500.0</v>
      </c>
      <c r="BS2270" s="16"/>
      <c r="BT2270" s="16"/>
      <c r="BU2270" s="16" t="s">
        <v>8596</v>
      </c>
      <c r="BV2270" s="16" t="s">
        <v>336</v>
      </c>
      <c r="BW2270" s="16"/>
      <c r="BX2270" s="16"/>
    </row>
    <row r="2271">
      <c r="A2271" s="16" t="s">
        <v>10118</v>
      </c>
      <c r="B2271" s="16" t="s">
        <v>35</v>
      </c>
      <c r="C2271" s="201">
        <v>46126.0</v>
      </c>
      <c r="D2271" s="16"/>
      <c r="E2271" s="16"/>
      <c r="F2271" s="16" t="s">
        <v>1329</v>
      </c>
      <c r="G2271" s="16" t="s">
        <v>1168</v>
      </c>
      <c r="H2271" s="16">
        <v>1.0</v>
      </c>
      <c r="I2271" s="16">
        <v>500.0</v>
      </c>
      <c r="J2271" s="16">
        <v>500.0</v>
      </c>
      <c r="K2271" s="16"/>
      <c r="L2271" s="16"/>
      <c r="M2271" s="16"/>
      <c r="N2271" s="16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16"/>
      <c r="AD2271" s="16"/>
      <c r="AH2271" s="16"/>
      <c r="AL2271" s="16"/>
      <c r="AP2271" s="16"/>
      <c r="AT2271" s="16"/>
      <c r="AX2271" s="16"/>
      <c r="BF2271" s="16"/>
      <c r="BJ2271" s="16"/>
      <c r="BN2271" s="16"/>
      <c r="BO2271" s="16">
        <v>500.0</v>
      </c>
      <c r="BP2271" s="16"/>
      <c r="BQ2271" s="16" t="b">
        <v>1</v>
      </c>
      <c r="BR2271" s="16">
        <v>500.0</v>
      </c>
      <c r="BS2271" s="16"/>
      <c r="BT2271" s="16"/>
      <c r="BU2271" s="16" t="s">
        <v>8596</v>
      </c>
      <c r="BV2271" s="16" t="s">
        <v>227</v>
      </c>
      <c r="BW2271" s="16"/>
      <c r="BX2271" s="16"/>
    </row>
    <row r="2272">
      <c r="A2272" s="16" t="s">
        <v>10122</v>
      </c>
      <c r="B2272" s="16" t="s">
        <v>35</v>
      </c>
      <c r="C2272" s="201">
        <v>46126.0</v>
      </c>
      <c r="D2272" s="16"/>
      <c r="E2272" s="16"/>
      <c r="F2272" s="16" t="s">
        <v>1329</v>
      </c>
      <c r="G2272" s="16" t="s">
        <v>1168</v>
      </c>
      <c r="H2272" s="16">
        <v>1.0</v>
      </c>
      <c r="I2272" s="16">
        <v>500.0</v>
      </c>
      <c r="J2272" s="16">
        <v>500.0</v>
      </c>
      <c r="K2272" s="16"/>
      <c r="L2272" s="16"/>
      <c r="M2272" s="16"/>
      <c r="N2272" s="16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16"/>
      <c r="AD2272" s="16"/>
      <c r="AH2272" s="16"/>
      <c r="AL2272" s="16"/>
      <c r="AP2272" s="16"/>
      <c r="AT2272" s="16"/>
      <c r="AX2272" s="16"/>
      <c r="BF2272" s="16"/>
      <c r="BJ2272" s="16"/>
      <c r="BN2272" s="16"/>
      <c r="BO2272" s="16">
        <v>500.0</v>
      </c>
      <c r="BP2272" s="16"/>
      <c r="BQ2272" s="16" t="b">
        <v>1</v>
      </c>
      <c r="BR2272" s="16">
        <v>500.0</v>
      </c>
      <c r="BS2272" s="16"/>
      <c r="BT2272" s="16"/>
      <c r="BU2272" s="16" t="s">
        <v>8596</v>
      </c>
      <c r="BV2272" s="16" t="s">
        <v>117</v>
      </c>
      <c r="BW2272" s="16"/>
      <c r="BX2272" s="16"/>
    </row>
    <row r="2273">
      <c r="A2273" s="16" t="s">
        <v>10124</v>
      </c>
      <c r="B2273" s="16" t="s">
        <v>35</v>
      </c>
      <c r="C2273" s="201">
        <v>46126.0</v>
      </c>
      <c r="D2273" s="16"/>
      <c r="E2273" s="16"/>
      <c r="F2273" s="16" t="s">
        <v>1329</v>
      </c>
      <c r="G2273" s="16" t="s">
        <v>1168</v>
      </c>
      <c r="H2273" s="16">
        <v>1.0</v>
      </c>
      <c r="I2273" s="16">
        <v>500.0</v>
      </c>
      <c r="J2273" s="16">
        <v>500.0</v>
      </c>
      <c r="K2273" s="16"/>
      <c r="L2273" s="16"/>
      <c r="M2273" s="16"/>
      <c r="N2273" s="16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D2273" s="16"/>
      <c r="AH2273" s="16"/>
      <c r="AL2273" s="16"/>
      <c r="AP2273" s="16"/>
      <c r="AT2273" s="16"/>
      <c r="AX2273" s="16"/>
      <c r="BF2273" s="16"/>
      <c r="BJ2273" s="16"/>
      <c r="BN2273" s="16"/>
      <c r="BO2273" s="16">
        <v>500.0</v>
      </c>
      <c r="BP2273" s="16"/>
      <c r="BQ2273" s="16" t="b">
        <v>1</v>
      </c>
      <c r="BR2273" s="16">
        <v>500.0</v>
      </c>
      <c r="BS2273" s="16"/>
      <c r="BT2273" s="16"/>
      <c r="BU2273" s="16" t="s">
        <v>8596</v>
      </c>
      <c r="BV2273" s="16" t="s">
        <v>218</v>
      </c>
      <c r="BW2273" s="16"/>
      <c r="BX2273" s="16"/>
    </row>
    <row r="2274">
      <c r="A2274" s="16" t="s">
        <v>11247</v>
      </c>
      <c r="B2274" s="16" t="s">
        <v>35</v>
      </c>
      <c r="C2274" s="201">
        <v>46126.0</v>
      </c>
      <c r="D2274" s="16" t="s">
        <v>9260</v>
      </c>
      <c r="E2274" s="16" t="s">
        <v>12635</v>
      </c>
      <c r="F2274" s="16" t="s">
        <v>12637</v>
      </c>
      <c r="G2274" s="16"/>
      <c r="H2274" s="16"/>
      <c r="I2274" s="16"/>
      <c r="J2274" s="16"/>
      <c r="K2274" s="16"/>
      <c r="L2274" s="16"/>
      <c r="M2274" s="16"/>
      <c r="N2274" s="16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D2274" s="16"/>
      <c r="AH2274" s="16"/>
      <c r="AL2274" s="16"/>
      <c r="AP2274" s="16"/>
      <c r="AT2274" s="16"/>
      <c r="AX2274" s="16"/>
      <c r="BF2274" s="16"/>
      <c r="BJ2274" s="16"/>
      <c r="BN2274" s="16"/>
      <c r="BO2274" s="16"/>
      <c r="BP2274" s="16" t="s">
        <v>12636</v>
      </c>
      <c r="BQ2274" s="16" t="b">
        <v>0</v>
      </c>
      <c r="BR2274" s="16"/>
      <c r="BS2274" s="16"/>
      <c r="BT2274" s="16" t="b">
        <v>0</v>
      </c>
      <c r="BU2274" s="16" t="s">
        <v>13953</v>
      </c>
      <c r="BV2274" s="16"/>
      <c r="BW2274" s="16" t="s">
        <v>12638</v>
      </c>
      <c r="BX2274" s="16"/>
    </row>
    <row r="2275">
      <c r="A2275" s="16" t="s">
        <v>11258</v>
      </c>
      <c r="B2275" s="16" t="s">
        <v>35</v>
      </c>
      <c r="C2275" s="201">
        <v>46128.0</v>
      </c>
      <c r="D2275" s="16" t="s">
        <v>11926</v>
      </c>
      <c r="E2275" s="16" t="s">
        <v>12639</v>
      </c>
      <c r="F2275" s="16" t="s">
        <v>140</v>
      </c>
      <c r="G2275" s="16"/>
      <c r="H2275" s="16"/>
      <c r="I2275" s="16"/>
      <c r="J2275" s="16"/>
      <c r="K2275" s="16"/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D2275" s="16"/>
      <c r="AH2275" s="16"/>
      <c r="AL2275" s="16"/>
      <c r="AP2275" s="16"/>
      <c r="AT2275" s="16"/>
      <c r="AX2275" s="16"/>
      <c r="BF2275" s="16"/>
      <c r="BJ2275" s="16"/>
      <c r="BN2275" s="16"/>
      <c r="BO2275" s="16"/>
      <c r="BP2275" s="16" t="s">
        <v>12640</v>
      </c>
      <c r="BQ2275" s="16" t="b">
        <v>0</v>
      </c>
      <c r="BR2275" s="16"/>
      <c r="BS2275" s="16"/>
      <c r="BT2275" s="16" t="b">
        <v>0</v>
      </c>
      <c r="BU2275" s="16" t="s">
        <v>13953</v>
      </c>
      <c r="BV2275" s="16"/>
      <c r="BW2275" s="16"/>
      <c r="BX2275" s="16"/>
    </row>
    <row r="2276">
      <c r="A2276" s="16" t="s">
        <v>11261</v>
      </c>
      <c r="B2276" s="16" t="s">
        <v>35</v>
      </c>
      <c r="C2276" s="201">
        <v>46128.0</v>
      </c>
      <c r="D2276" s="16" t="s">
        <v>11765</v>
      </c>
      <c r="E2276" s="16" t="s">
        <v>12641</v>
      </c>
      <c r="F2276" s="16" t="s">
        <v>195</v>
      </c>
      <c r="G2276" s="16"/>
      <c r="H2276" s="16"/>
      <c r="I2276" s="16"/>
      <c r="J2276" s="16"/>
      <c r="K2276" s="16"/>
      <c r="L2276" s="16"/>
      <c r="M2276" s="16"/>
      <c r="N2276" s="16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16"/>
      <c r="AD2276" s="16"/>
      <c r="AH2276" s="16"/>
      <c r="AL2276" s="16"/>
      <c r="AP2276" s="16"/>
      <c r="AT2276" s="16"/>
      <c r="AX2276" s="16"/>
      <c r="BF2276" s="16"/>
      <c r="BJ2276" s="16"/>
      <c r="BN2276" s="16"/>
      <c r="BO2276" s="16"/>
      <c r="BP2276" s="16" t="s">
        <v>12642</v>
      </c>
      <c r="BQ2276" s="16" t="b">
        <v>0</v>
      </c>
      <c r="BR2276" s="16"/>
      <c r="BS2276" s="16"/>
      <c r="BT2276" s="16" t="b">
        <v>0</v>
      </c>
      <c r="BU2276" s="16" t="s">
        <v>13953</v>
      </c>
      <c r="BV2276" s="16"/>
      <c r="BW2276" s="16"/>
      <c r="BX2276" s="16"/>
    </row>
    <row r="2277">
      <c r="A2277" s="16" t="s">
        <v>11266</v>
      </c>
      <c r="B2277" s="16" t="s">
        <v>35</v>
      </c>
      <c r="C2277" s="201">
        <v>46128.0</v>
      </c>
      <c r="D2277" s="21" t="s">
        <v>12789</v>
      </c>
      <c r="E2277" s="16" t="s">
        <v>12643</v>
      </c>
      <c r="F2277" s="16" t="s">
        <v>11625</v>
      </c>
      <c r="G2277" s="16"/>
      <c r="H2277" s="16"/>
      <c r="I2277" s="16"/>
      <c r="J2277" s="16"/>
      <c r="K2277" s="16"/>
      <c r="L2277" s="16"/>
      <c r="M2277" s="16"/>
      <c r="N2277" s="16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16"/>
      <c r="AD2277" s="16"/>
      <c r="AH2277" s="16"/>
      <c r="AL2277" s="16"/>
      <c r="AP2277" s="16"/>
      <c r="AT2277" s="16"/>
      <c r="AX2277" s="16"/>
      <c r="BF2277" s="16"/>
      <c r="BJ2277" s="16"/>
      <c r="BN2277" s="16"/>
      <c r="BO2277" s="16"/>
      <c r="BP2277" s="16" t="s">
        <v>12644</v>
      </c>
      <c r="BQ2277" s="16" t="b">
        <v>0</v>
      </c>
      <c r="BR2277" s="16"/>
      <c r="BS2277" s="21" t="s">
        <v>14183</v>
      </c>
      <c r="BT2277" s="16" t="b">
        <v>1</v>
      </c>
      <c r="BU2277" s="16" t="s">
        <v>13953</v>
      </c>
      <c r="BV2277" s="16"/>
      <c r="BW2277" s="16"/>
      <c r="BX2277" s="16"/>
    </row>
    <row r="2278">
      <c r="A2278" s="16" t="s">
        <v>11280</v>
      </c>
      <c r="B2278" s="16" t="s">
        <v>35</v>
      </c>
      <c r="C2278" s="201">
        <v>46128.0</v>
      </c>
      <c r="D2278" s="16" t="s">
        <v>11784</v>
      </c>
      <c r="E2278" s="16" t="s">
        <v>12645</v>
      </c>
      <c r="F2278" s="16" t="s">
        <v>147</v>
      </c>
      <c r="G2278" s="16"/>
      <c r="H2278" s="16"/>
      <c r="I2278" s="16"/>
      <c r="J2278" s="16"/>
      <c r="K2278" s="16"/>
      <c r="L2278" s="16"/>
      <c r="M2278" s="16"/>
      <c r="N2278" s="16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16"/>
      <c r="AD2278" s="16"/>
      <c r="AH2278" s="16"/>
      <c r="AL2278" s="16"/>
      <c r="AP2278" s="16"/>
      <c r="AT2278" s="16"/>
      <c r="AX2278" s="16"/>
      <c r="BF2278" s="16"/>
      <c r="BJ2278" s="16"/>
      <c r="BN2278" s="16"/>
      <c r="BO2278" s="16"/>
      <c r="BP2278" s="16" t="s">
        <v>12646</v>
      </c>
      <c r="BQ2278" s="16" t="b">
        <v>0</v>
      </c>
      <c r="BR2278" s="16"/>
      <c r="BS2278" s="21" t="s">
        <v>14184</v>
      </c>
      <c r="BT2278" s="16" t="b">
        <v>1</v>
      </c>
      <c r="BU2278" s="16" t="s">
        <v>13953</v>
      </c>
      <c r="BV2278" s="16"/>
      <c r="BW2278" s="16"/>
      <c r="BX2278" s="16"/>
    </row>
    <row r="2279">
      <c r="A2279" s="16" t="s">
        <v>11284</v>
      </c>
      <c r="B2279" s="16" t="s">
        <v>35</v>
      </c>
      <c r="C2279" s="201">
        <v>46129.0</v>
      </c>
      <c r="D2279" s="16" t="s">
        <v>112</v>
      </c>
      <c r="E2279" s="16" t="s">
        <v>12647</v>
      </c>
      <c r="F2279" s="16" t="s">
        <v>157</v>
      </c>
      <c r="G2279" s="16"/>
      <c r="H2279" s="16"/>
      <c r="I2279" s="16"/>
      <c r="J2279" s="16"/>
      <c r="K2279" s="16"/>
      <c r="L2279" s="16"/>
      <c r="M2279" s="16"/>
      <c r="N2279" s="16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16"/>
      <c r="AD2279" s="16"/>
      <c r="AH2279" s="16"/>
      <c r="AL2279" s="16"/>
      <c r="AP2279" s="16"/>
      <c r="AT2279" s="16"/>
      <c r="AX2279" s="16"/>
      <c r="BF2279" s="16"/>
      <c r="BJ2279" s="16"/>
      <c r="BN2279" s="16"/>
      <c r="BO2279" s="16"/>
      <c r="BP2279" s="16" t="s">
        <v>12648</v>
      </c>
      <c r="BQ2279" s="16" t="b">
        <v>0</v>
      </c>
      <c r="BR2279" s="16"/>
      <c r="BS2279" s="16"/>
      <c r="BT2279" s="16" t="b">
        <v>0</v>
      </c>
      <c r="BU2279" s="16" t="s">
        <v>13953</v>
      </c>
      <c r="BV2279" s="16"/>
      <c r="BW2279" s="16"/>
      <c r="BX2279" s="16"/>
    </row>
    <row r="2280">
      <c r="A2280" s="16" t="s">
        <v>11299</v>
      </c>
      <c r="B2280" s="16" t="s">
        <v>35</v>
      </c>
      <c r="C2280" s="201">
        <v>46132.0</v>
      </c>
      <c r="D2280" s="16" t="s">
        <v>112</v>
      </c>
      <c r="E2280" s="16" t="s">
        <v>12649</v>
      </c>
      <c r="F2280" s="16" t="s">
        <v>157</v>
      </c>
      <c r="G2280" s="16"/>
      <c r="H2280" s="16"/>
      <c r="I2280" s="16"/>
      <c r="J2280" s="16"/>
      <c r="K2280" s="16"/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D2280" s="16"/>
      <c r="AH2280" s="16"/>
      <c r="AL2280" s="16"/>
      <c r="AP2280" s="16"/>
      <c r="AT2280" s="16"/>
      <c r="AX2280" s="16"/>
      <c r="BF2280" s="16"/>
      <c r="BJ2280" s="16"/>
      <c r="BN2280" s="16"/>
      <c r="BO2280" s="16"/>
      <c r="BP2280" s="16" t="s">
        <v>12650</v>
      </c>
      <c r="BQ2280" s="16" t="b">
        <v>0</v>
      </c>
      <c r="BR2280" s="16"/>
      <c r="BS2280" s="16"/>
      <c r="BT2280" s="16" t="b">
        <v>0</v>
      </c>
      <c r="BU2280" s="16" t="s">
        <v>13953</v>
      </c>
      <c r="BV2280" s="16"/>
      <c r="BW2280" s="16"/>
      <c r="BX2280" s="16"/>
    </row>
    <row r="2281">
      <c r="A2281" s="16" t="s">
        <v>11305</v>
      </c>
      <c r="B2281" s="16" t="s">
        <v>35</v>
      </c>
      <c r="C2281" s="201">
        <v>46132.0</v>
      </c>
      <c r="D2281" s="16" t="s">
        <v>11926</v>
      </c>
      <c r="E2281" s="16" t="s">
        <v>12651</v>
      </c>
      <c r="F2281" s="16" t="s">
        <v>140</v>
      </c>
      <c r="G2281" s="16"/>
      <c r="H2281" s="16"/>
      <c r="I2281" s="16"/>
      <c r="J2281" s="16"/>
      <c r="K2281" s="16"/>
      <c r="L2281" s="16"/>
      <c r="M2281" s="16"/>
      <c r="N2281" s="16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D2281" s="16"/>
      <c r="AH2281" s="16"/>
      <c r="AL2281" s="16"/>
      <c r="AP2281" s="16"/>
      <c r="AT2281" s="16"/>
      <c r="AX2281" s="16"/>
      <c r="BF2281" s="16"/>
      <c r="BJ2281" s="16"/>
      <c r="BN2281" s="16"/>
      <c r="BO2281" s="16"/>
      <c r="BP2281" s="16" t="s">
        <v>12652</v>
      </c>
      <c r="BQ2281" s="16" t="b">
        <v>0</v>
      </c>
      <c r="BR2281" s="16"/>
      <c r="BS2281" s="16"/>
      <c r="BT2281" s="16" t="b">
        <v>0</v>
      </c>
      <c r="BU2281" s="16" t="s">
        <v>13953</v>
      </c>
      <c r="BV2281" s="16"/>
      <c r="BW2281" s="16"/>
      <c r="BX2281" s="16"/>
    </row>
    <row r="2282">
      <c r="A2282" s="16" t="s">
        <v>11293</v>
      </c>
      <c r="B2282" s="16" t="s">
        <v>35</v>
      </c>
      <c r="C2282" s="201">
        <v>46130.0</v>
      </c>
      <c r="D2282" s="16" t="s">
        <v>11219</v>
      </c>
      <c r="E2282" s="16" t="s">
        <v>12653</v>
      </c>
      <c r="F2282" s="16" t="s">
        <v>11734</v>
      </c>
      <c r="G2282" s="16"/>
      <c r="H2282" s="16"/>
      <c r="I2282" s="16"/>
      <c r="J2282" s="16"/>
      <c r="K2282" s="16"/>
      <c r="L2282" s="16"/>
      <c r="M2282" s="16"/>
      <c r="N2282" s="16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D2282" s="16"/>
      <c r="AH2282" s="16"/>
      <c r="AL2282" s="16"/>
      <c r="AP2282" s="16"/>
      <c r="AT2282" s="16"/>
      <c r="AX2282" s="16"/>
      <c r="BF2282" s="16"/>
      <c r="BJ2282" s="16"/>
      <c r="BN2282" s="16"/>
      <c r="BO2282" s="16"/>
      <c r="BP2282" s="16" t="s">
        <v>12654</v>
      </c>
      <c r="BQ2282" s="16" t="b">
        <v>0</v>
      </c>
      <c r="BR2282" s="16"/>
      <c r="BS2282" s="21" t="s">
        <v>14190</v>
      </c>
      <c r="BT2282" s="16" t="b">
        <v>1</v>
      </c>
      <c r="BU2282" s="16" t="s">
        <v>13953</v>
      </c>
      <c r="BV2282" s="16"/>
      <c r="BW2282" s="16"/>
      <c r="BX2282" s="16"/>
    </row>
    <row r="2283">
      <c r="A2283" s="16" t="s">
        <v>11251</v>
      </c>
      <c r="B2283" s="16" t="s">
        <v>35</v>
      </c>
      <c r="C2283" s="201">
        <v>46126.0</v>
      </c>
      <c r="D2283" s="16" t="s">
        <v>890</v>
      </c>
      <c r="E2283" s="16" t="s">
        <v>12655</v>
      </c>
      <c r="F2283" s="16" t="s">
        <v>12657</v>
      </c>
      <c r="G2283" s="16"/>
      <c r="H2283" s="16"/>
      <c r="I2283" s="16"/>
      <c r="J2283" s="16"/>
      <c r="K2283" s="16"/>
      <c r="L2283" s="16"/>
      <c r="M2283" s="16"/>
      <c r="N2283" s="16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D2283" s="16"/>
      <c r="AH2283" s="16"/>
      <c r="AL2283" s="16"/>
      <c r="AP2283" s="16"/>
      <c r="AT2283" s="16"/>
      <c r="AX2283" s="16"/>
      <c r="BF2283" s="16"/>
      <c r="BJ2283" s="16"/>
      <c r="BN2283" s="16"/>
      <c r="BO2283" s="16"/>
      <c r="BP2283" s="16" t="s">
        <v>12656</v>
      </c>
      <c r="BQ2283" s="16" t="b">
        <v>0</v>
      </c>
      <c r="BR2283" s="16"/>
      <c r="BS2283" s="16"/>
      <c r="BT2283" s="16" t="b">
        <v>0</v>
      </c>
      <c r="BU2283" s="16" t="s">
        <v>13953</v>
      </c>
      <c r="BV2283" s="16"/>
      <c r="BW2283" s="16"/>
      <c r="BX2283" s="16"/>
    </row>
    <row r="2284">
      <c r="A2284" s="16">
        <v>12043.0</v>
      </c>
      <c r="B2284" s="16" t="s">
        <v>35</v>
      </c>
      <c r="C2284" s="201">
        <v>46132.0</v>
      </c>
      <c r="D2284" s="16" t="s">
        <v>890</v>
      </c>
      <c r="E2284" s="16"/>
      <c r="F2284" s="16" t="s">
        <v>10085</v>
      </c>
      <c r="G2284" s="16" t="s">
        <v>6956</v>
      </c>
      <c r="H2284" s="16">
        <v>1.0</v>
      </c>
      <c r="I2284" s="16">
        <v>1148.0</v>
      </c>
      <c r="J2284" s="16">
        <v>1148.0</v>
      </c>
      <c r="K2284" s="16"/>
      <c r="L2284" s="16"/>
      <c r="M2284" s="16"/>
      <c r="N2284" s="16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16"/>
      <c r="AD2284" s="16"/>
      <c r="AH2284" s="16"/>
      <c r="AL2284" s="16"/>
      <c r="AP2284" s="16"/>
      <c r="AT2284" s="16"/>
      <c r="AX2284" s="16"/>
      <c r="BF2284" s="16"/>
      <c r="BJ2284" s="16"/>
      <c r="BN2284" s="16"/>
      <c r="BO2284" s="16">
        <v>1148.0</v>
      </c>
      <c r="BP2284" s="16"/>
      <c r="BQ2284" s="16" t="b">
        <v>1</v>
      </c>
      <c r="BR2284" s="16">
        <v>1148.0</v>
      </c>
      <c r="BS2284" s="16"/>
      <c r="BT2284" s="16"/>
      <c r="BU2284" s="16" t="s">
        <v>539</v>
      </c>
      <c r="BV2284" s="16"/>
      <c r="BW2284" s="16"/>
      <c r="BX2284" s="16"/>
    </row>
    <row r="2285">
      <c r="A2285" s="16">
        <v>12044.0</v>
      </c>
      <c r="B2285" s="16" t="s">
        <v>35</v>
      </c>
      <c r="C2285" s="201">
        <v>46132.0</v>
      </c>
      <c r="D2285" s="16" t="s">
        <v>890</v>
      </c>
      <c r="E2285" s="16"/>
      <c r="F2285" s="16" t="s">
        <v>10089</v>
      </c>
      <c r="G2285" s="16" t="s">
        <v>7344</v>
      </c>
      <c r="H2285" s="16">
        <v>1.0</v>
      </c>
      <c r="I2285" s="16">
        <v>700.0</v>
      </c>
      <c r="J2285" s="16">
        <v>700.0</v>
      </c>
      <c r="K2285" s="16"/>
      <c r="L2285" s="16"/>
      <c r="M2285" s="16"/>
      <c r="N2285" s="16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16"/>
      <c r="AD2285" s="16"/>
      <c r="AH2285" s="16"/>
      <c r="AL2285" s="16"/>
      <c r="AP2285" s="16"/>
      <c r="AT2285" s="16"/>
      <c r="AX2285" s="16"/>
      <c r="BF2285" s="16"/>
      <c r="BJ2285" s="16"/>
      <c r="BN2285" s="16"/>
      <c r="BO2285" s="16">
        <v>700.0</v>
      </c>
      <c r="BP2285" s="16"/>
      <c r="BQ2285" s="16" t="b">
        <v>1</v>
      </c>
      <c r="BR2285" s="16">
        <v>700.0</v>
      </c>
      <c r="BS2285" s="16"/>
      <c r="BT2285" s="16"/>
      <c r="BU2285" s="16" t="s">
        <v>539</v>
      </c>
      <c r="BV2285" s="16"/>
      <c r="BW2285" s="16"/>
      <c r="BX2285" s="16"/>
    </row>
    <row r="2286">
      <c r="A2286" s="16">
        <v>12048.0</v>
      </c>
      <c r="B2286" s="16" t="s">
        <v>35</v>
      </c>
      <c r="C2286" s="201">
        <v>46132.0</v>
      </c>
      <c r="D2286" s="16" t="s">
        <v>890</v>
      </c>
      <c r="E2286" s="16"/>
      <c r="F2286" s="16" t="s">
        <v>4010</v>
      </c>
      <c r="G2286" s="16" t="s">
        <v>4831</v>
      </c>
      <c r="H2286" s="16">
        <v>1.0</v>
      </c>
      <c r="I2286" s="16">
        <v>396.0</v>
      </c>
      <c r="J2286" s="16">
        <v>396.0</v>
      </c>
      <c r="K2286" s="16"/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D2286" s="16"/>
      <c r="AH2286" s="16"/>
      <c r="AL2286" s="16"/>
      <c r="AP2286" s="16"/>
      <c r="AT2286" s="16"/>
      <c r="AX2286" s="16"/>
      <c r="BF2286" s="16"/>
      <c r="BJ2286" s="16"/>
      <c r="BN2286" s="16"/>
      <c r="BO2286" s="16">
        <v>396.0</v>
      </c>
      <c r="BP2286" s="16"/>
      <c r="BQ2286" s="16" t="b">
        <v>1</v>
      </c>
      <c r="BR2286" s="16">
        <v>396.0</v>
      </c>
      <c r="BS2286" s="16"/>
      <c r="BT2286" s="16"/>
      <c r="BU2286" s="16" t="s">
        <v>539</v>
      </c>
      <c r="BV2286" s="16"/>
      <c r="BW2286" s="16"/>
      <c r="BX2286" s="16"/>
    </row>
    <row r="2287">
      <c r="A2287" s="16">
        <v>12063.0</v>
      </c>
      <c r="B2287" s="16" t="s">
        <v>35</v>
      </c>
      <c r="C2287" s="201">
        <v>46132.0</v>
      </c>
      <c r="D2287" s="16" t="s">
        <v>3516</v>
      </c>
      <c r="E2287" s="16"/>
      <c r="F2287" s="16" t="s">
        <v>9762</v>
      </c>
      <c r="G2287" s="16" t="s">
        <v>2662</v>
      </c>
      <c r="H2287" s="16">
        <v>1.0</v>
      </c>
      <c r="I2287" s="16">
        <v>15577.0</v>
      </c>
      <c r="J2287" s="16">
        <v>15577.0</v>
      </c>
      <c r="K2287" s="16"/>
      <c r="L2287" s="16"/>
      <c r="M2287" s="16"/>
      <c r="N2287" s="16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16"/>
      <c r="AD2287" s="16"/>
      <c r="AH2287" s="16"/>
      <c r="AL2287" s="16"/>
      <c r="AP2287" s="16"/>
      <c r="AT2287" s="16"/>
      <c r="AX2287" s="16"/>
      <c r="BF2287" s="16"/>
      <c r="BJ2287" s="16"/>
      <c r="BN2287" s="16"/>
      <c r="BO2287" s="16">
        <v>15577.0</v>
      </c>
      <c r="BP2287" s="16"/>
      <c r="BQ2287" s="16" t="b">
        <v>1</v>
      </c>
      <c r="BR2287" s="16">
        <v>15577.0</v>
      </c>
      <c r="BS2287" s="16"/>
      <c r="BT2287" s="16"/>
      <c r="BU2287" s="16" t="s">
        <v>539</v>
      </c>
      <c r="BV2287" s="16"/>
      <c r="BW2287" s="16"/>
      <c r="BX2287" s="16"/>
    </row>
    <row r="2288">
      <c r="A2288" s="16" t="s">
        <v>10136</v>
      </c>
      <c r="B2288" s="16" t="s">
        <v>35</v>
      </c>
      <c r="C2288" s="201">
        <v>46132.0</v>
      </c>
      <c r="D2288" s="16" t="s">
        <v>890</v>
      </c>
      <c r="E2288" s="16"/>
      <c r="F2288" s="16" t="s">
        <v>12659</v>
      </c>
      <c r="G2288" s="16" t="s">
        <v>1517</v>
      </c>
      <c r="H2288" s="16">
        <v>1.0</v>
      </c>
      <c r="I2288" s="16">
        <v>125.89</v>
      </c>
      <c r="J2288" s="16">
        <v>125.89</v>
      </c>
      <c r="K2288" s="16"/>
      <c r="L2288" s="16"/>
      <c r="M2288" s="16"/>
      <c r="N2288" s="16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16"/>
      <c r="AD2288" s="16"/>
      <c r="AH2288" s="16"/>
      <c r="AL2288" s="16"/>
      <c r="AP2288" s="16"/>
      <c r="AT2288" s="16"/>
      <c r="AX2288" s="16"/>
      <c r="BF2288" s="16"/>
      <c r="BJ2288" s="16"/>
      <c r="BN2288" s="16"/>
      <c r="BO2288" s="16">
        <v>125.89</v>
      </c>
      <c r="BP2288" s="16"/>
      <c r="BQ2288" s="16" t="b">
        <v>1</v>
      </c>
      <c r="BR2288" s="16">
        <v>125.89</v>
      </c>
      <c r="BS2288" s="16"/>
      <c r="BT2288" s="16"/>
      <c r="BU2288" s="16" t="s">
        <v>539</v>
      </c>
      <c r="BV2288" s="16"/>
      <c r="BW2288" s="16"/>
      <c r="BX2288" s="16"/>
    </row>
    <row r="2289">
      <c r="A2289" s="16" t="s">
        <v>10139</v>
      </c>
      <c r="B2289" s="16" t="s">
        <v>35</v>
      </c>
      <c r="C2289" s="201">
        <v>46132.0</v>
      </c>
      <c r="D2289" s="16" t="s">
        <v>673</v>
      </c>
      <c r="E2289" s="16"/>
      <c r="F2289" s="16" t="s">
        <v>12660</v>
      </c>
      <c r="G2289" s="16" t="s">
        <v>2715</v>
      </c>
      <c r="H2289" s="16">
        <v>1.0</v>
      </c>
      <c r="I2289" s="16">
        <v>1427.54</v>
      </c>
      <c r="J2289" s="16">
        <v>1427.54</v>
      </c>
      <c r="K2289" s="16"/>
      <c r="L2289" s="16"/>
      <c r="M2289" s="16"/>
      <c r="N2289" s="16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D2289" s="16"/>
      <c r="AH2289" s="16"/>
      <c r="AL2289" s="16"/>
      <c r="AP2289" s="16"/>
      <c r="AT2289" s="16"/>
      <c r="AX2289" s="16"/>
      <c r="BF2289" s="16"/>
      <c r="BJ2289" s="16"/>
      <c r="BN2289" s="16"/>
      <c r="BO2289" s="16">
        <v>1427.54</v>
      </c>
      <c r="BP2289" s="16"/>
      <c r="BQ2289" s="16" t="b">
        <v>1</v>
      </c>
      <c r="BR2289" s="16">
        <v>1427.54</v>
      </c>
      <c r="BS2289" s="16"/>
      <c r="BT2289" s="16"/>
      <c r="BU2289" s="16" t="s">
        <v>539</v>
      </c>
      <c r="BV2289" s="16"/>
      <c r="BW2289" s="16"/>
      <c r="BX2289" s="16"/>
    </row>
    <row r="2290">
      <c r="A2290" s="16" t="s">
        <v>10142</v>
      </c>
      <c r="B2290" s="16" t="s">
        <v>35</v>
      </c>
      <c r="C2290" s="201">
        <v>46132.0</v>
      </c>
      <c r="D2290" s="16" t="s">
        <v>673</v>
      </c>
      <c r="E2290" s="16"/>
      <c r="F2290" s="16" t="s">
        <v>12661</v>
      </c>
      <c r="G2290" s="16" t="s">
        <v>2715</v>
      </c>
      <c r="H2290" s="16">
        <v>1.0</v>
      </c>
      <c r="I2290" s="16">
        <v>1427.54</v>
      </c>
      <c r="J2290" s="16">
        <v>1427.54</v>
      </c>
      <c r="K2290" s="16"/>
      <c r="L2290" s="16"/>
      <c r="M2290" s="16"/>
      <c r="N2290" s="16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D2290" s="16"/>
      <c r="AH2290" s="16"/>
      <c r="AL2290" s="16"/>
      <c r="AP2290" s="16"/>
      <c r="AT2290" s="16"/>
      <c r="AX2290" s="16"/>
      <c r="BF2290" s="16"/>
      <c r="BJ2290" s="16"/>
      <c r="BN2290" s="16"/>
      <c r="BO2290" s="16">
        <v>1427.54</v>
      </c>
      <c r="BP2290" s="16"/>
      <c r="BQ2290" s="16" t="b">
        <v>1</v>
      </c>
      <c r="BR2290" s="16">
        <v>1427.54</v>
      </c>
      <c r="BS2290" s="16"/>
      <c r="BT2290" s="16"/>
      <c r="BU2290" s="16" t="s">
        <v>539</v>
      </c>
      <c r="BV2290" s="16"/>
      <c r="BW2290" s="16"/>
      <c r="BX2290" s="16"/>
    </row>
    <row r="2291">
      <c r="A2291" s="16">
        <v>12082.0</v>
      </c>
      <c r="B2291" s="16" t="s">
        <v>35</v>
      </c>
      <c r="C2291" s="201">
        <v>46132.0</v>
      </c>
      <c r="D2291" s="16" t="s">
        <v>10315</v>
      </c>
      <c r="E2291" s="16"/>
      <c r="F2291" s="16" t="s">
        <v>12662</v>
      </c>
      <c r="G2291" s="16" t="s">
        <v>8792</v>
      </c>
      <c r="H2291" s="16">
        <v>1.0</v>
      </c>
      <c r="I2291" s="16">
        <v>0.01</v>
      </c>
      <c r="J2291" s="16">
        <v>0.01</v>
      </c>
      <c r="K2291" s="16"/>
      <c r="L2291" s="16"/>
      <c r="M2291" s="16"/>
      <c r="N2291" s="16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D2291" s="16"/>
      <c r="AH2291" s="16"/>
      <c r="AL2291" s="16"/>
      <c r="AP2291" s="16"/>
      <c r="AT2291" s="16"/>
      <c r="AX2291" s="16"/>
      <c r="BF2291" s="16"/>
      <c r="BJ2291" s="16"/>
      <c r="BN2291" s="16"/>
      <c r="BO2291" s="16">
        <v>0.01</v>
      </c>
      <c r="BP2291" s="16"/>
      <c r="BQ2291" s="16" t="b">
        <v>1</v>
      </c>
      <c r="BR2291" s="16">
        <v>0.01</v>
      </c>
      <c r="BS2291" s="16"/>
      <c r="BT2291" s="16"/>
      <c r="BU2291" s="16" t="s">
        <v>539</v>
      </c>
      <c r="BV2291" s="16"/>
      <c r="BW2291" s="16"/>
      <c r="BX2291" s="16"/>
    </row>
    <row r="2292">
      <c r="A2292" s="16">
        <v>12081.0</v>
      </c>
      <c r="B2292" s="16" t="s">
        <v>35</v>
      </c>
      <c r="C2292" s="201">
        <v>46134.0</v>
      </c>
      <c r="D2292" s="16" t="s">
        <v>460</v>
      </c>
      <c r="E2292" s="16"/>
      <c r="F2292" s="224">
        <v>46302.0</v>
      </c>
      <c r="G2292" s="16" t="s">
        <v>8404</v>
      </c>
      <c r="H2292" s="16">
        <v>1.0</v>
      </c>
      <c r="I2292" s="16">
        <v>249.23</v>
      </c>
      <c r="J2292" s="16">
        <v>249.23</v>
      </c>
      <c r="K2292" s="16"/>
      <c r="L2292" s="16"/>
      <c r="M2292" s="16"/>
      <c r="N2292" s="16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16"/>
      <c r="AD2292" s="16"/>
      <c r="AH2292" s="16"/>
      <c r="AL2292" s="16"/>
      <c r="AP2292" s="16"/>
      <c r="AT2292" s="16"/>
      <c r="AX2292" s="16"/>
      <c r="BF2292" s="16"/>
      <c r="BJ2292" s="16"/>
      <c r="BN2292" s="16"/>
      <c r="BO2292" s="16">
        <v>249.23</v>
      </c>
      <c r="BP2292" s="16"/>
      <c r="BQ2292" s="16" t="b">
        <v>1</v>
      </c>
      <c r="BR2292" s="16">
        <v>249.23</v>
      </c>
      <c r="BS2292" s="16"/>
      <c r="BT2292" s="16"/>
      <c r="BU2292" s="16" t="s">
        <v>539</v>
      </c>
      <c r="BV2292" s="16"/>
      <c r="BW2292" s="16"/>
      <c r="BX2292" s="16"/>
    </row>
    <row r="2293">
      <c r="A2293" s="16" t="s">
        <v>11255</v>
      </c>
      <c r="B2293" s="16" t="s">
        <v>35</v>
      </c>
      <c r="C2293" s="201">
        <v>46126.0</v>
      </c>
      <c r="D2293" s="16" t="s">
        <v>1036</v>
      </c>
      <c r="E2293" s="16" t="s">
        <v>12663</v>
      </c>
      <c r="F2293" s="16" t="s">
        <v>9926</v>
      </c>
      <c r="G2293" s="16"/>
      <c r="H2293" s="16"/>
      <c r="I2293" s="16"/>
      <c r="J2293" s="16"/>
      <c r="K2293" s="16"/>
      <c r="L2293" s="16"/>
      <c r="M2293" s="16"/>
      <c r="N2293" s="16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16"/>
      <c r="AD2293" s="16"/>
      <c r="AH2293" s="16"/>
      <c r="AL2293" s="16"/>
      <c r="AP2293" s="16"/>
      <c r="AT2293" s="16"/>
      <c r="AX2293" s="16"/>
      <c r="BF2293" s="16"/>
      <c r="BJ2293" s="16"/>
      <c r="BN2293" s="16"/>
      <c r="BO2293" s="16"/>
      <c r="BP2293" s="16" t="s">
        <v>12664</v>
      </c>
      <c r="BQ2293" s="16" t="b">
        <v>0</v>
      </c>
      <c r="BR2293" s="16"/>
      <c r="BS2293" s="16"/>
      <c r="BT2293" s="16" t="b">
        <v>0</v>
      </c>
      <c r="BU2293" s="16" t="s">
        <v>13953</v>
      </c>
      <c r="BV2293" s="16"/>
      <c r="BW2293" s="16"/>
      <c r="BX2293" s="16"/>
    </row>
    <row r="2294">
      <c r="A2294" s="16" t="s">
        <v>11309</v>
      </c>
      <c r="B2294" s="16" t="s">
        <v>35</v>
      </c>
      <c r="C2294" s="201">
        <v>46134.0</v>
      </c>
      <c r="D2294" s="16" t="s">
        <v>11219</v>
      </c>
      <c r="E2294" s="16" t="s">
        <v>12665</v>
      </c>
      <c r="F2294" s="16" t="s">
        <v>12668</v>
      </c>
      <c r="G2294" s="16"/>
      <c r="H2294" s="16"/>
      <c r="I2294" s="16"/>
      <c r="J2294" s="16"/>
      <c r="K2294" s="16"/>
      <c r="L2294" s="16"/>
      <c r="M2294" s="16"/>
      <c r="N2294" s="16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16"/>
      <c r="AD2294" s="16"/>
      <c r="AH2294" s="16"/>
      <c r="AL2294" s="16"/>
      <c r="AP2294" s="16"/>
      <c r="AT2294" s="16"/>
      <c r="AX2294" s="16"/>
      <c r="BF2294" s="16"/>
      <c r="BJ2294" s="16"/>
      <c r="BN2294" s="16"/>
      <c r="BO2294" s="16"/>
      <c r="BP2294" s="16" t="s">
        <v>12667</v>
      </c>
      <c r="BQ2294" s="16" t="b">
        <v>0</v>
      </c>
      <c r="BR2294" s="16"/>
      <c r="BS2294" s="21" t="s">
        <v>14205</v>
      </c>
      <c r="BT2294" s="16" t="b">
        <v>1</v>
      </c>
      <c r="BU2294" s="16" t="s">
        <v>13953</v>
      </c>
      <c r="BV2294" s="16"/>
      <c r="BW2294" s="16"/>
      <c r="BX2294" s="16"/>
    </row>
    <row r="2295">
      <c r="A2295" s="16" t="s">
        <v>11331</v>
      </c>
      <c r="B2295" s="16" t="s">
        <v>35</v>
      </c>
      <c r="C2295" s="201">
        <v>46136.0</v>
      </c>
      <c r="D2295" s="16" t="s">
        <v>112</v>
      </c>
      <c r="E2295" s="16" t="s">
        <v>12670</v>
      </c>
      <c r="F2295" s="16" t="s">
        <v>157</v>
      </c>
      <c r="G2295" s="16"/>
      <c r="H2295" s="16"/>
      <c r="I2295" s="16"/>
      <c r="J2295" s="16"/>
      <c r="K2295" s="16"/>
      <c r="L2295" s="16"/>
      <c r="M2295" s="16"/>
      <c r="N2295" s="16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16"/>
      <c r="AD2295" s="16"/>
      <c r="AH2295" s="16"/>
      <c r="AL2295" s="16"/>
      <c r="AP2295" s="16"/>
      <c r="AT2295" s="16"/>
      <c r="AX2295" s="16"/>
      <c r="BF2295" s="16"/>
      <c r="BJ2295" s="16"/>
      <c r="BN2295" s="16"/>
      <c r="BO2295" s="16"/>
      <c r="BP2295" s="16" t="s">
        <v>12671</v>
      </c>
      <c r="BQ2295" s="16" t="b">
        <v>0</v>
      </c>
      <c r="BR2295" s="16"/>
      <c r="BS2295" s="16"/>
      <c r="BT2295" s="16" t="b">
        <v>0</v>
      </c>
      <c r="BU2295" s="16" t="s">
        <v>13953</v>
      </c>
      <c r="BV2295" s="16"/>
      <c r="BW2295" s="16"/>
      <c r="BX2295" s="16"/>
    </row>
    <row r="2296">
      <c r="A2296" s="16" t="s">
        <v>11311</v>
      </c>
      <c r="B2296" s="16" t="s">
        <v>35</v>
      </c>
      <c r="C2296" s="201">
        <v>46135.0</v>
      </c>
      <c r="D2296" s="16" t="s">
        <v>2096</v>
      </c>
      <c r="E2296" s="16" t="s">
        <v>12672</v>
      </c>
      <c r="F2296" s="16" t="s">
        <v>12674</v>
      </c>
      <c r="G2296" s="16"/>
      <c r="H2296" s="16"/>
      <c r="I2296" s="16"/>
      <c r="J2296" s="16"/>
      <c r="K2296" s="16"/>
      <c r="L2296" s="16"/>
      <c r="M2296" s="16"/>
      <c r="N2296" s="16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16"/>
      <c r="AD2296" s="16"/>
      <c r="AH2296" s="16"/>
      <c r="AL2296" s="16"/>
      <c r="AP2296" s="16"/>
      <c r="AT2296" s="16"/>
      <c r="AX2296" s="16"/>
      <c r="BF2296" s="16"/>
      <c r="BJ2296" s="16"/>
      <c r="BN2296" s="16"/>
      <c r="BO2296" s="16"/>
      <c r="BP2296" s="16" t="s">
        <v>12673</v>
      </c>
      <c r="BQ2296" s="16" t="b">
        <v>0</v>
      </c>
      <c r="BR2296" s="16"/>
      <c r="BS2296" s="21" t="s">
        <v>14207</v>
      </c>
      <c r="BT2296" s="16" t="b">
        <v>1</v>
      </c>
      <c r="BU2296" s="16" t="s">
        <v>13953</v>
      </c>
      <c r="BV2296" s="16"/>
      <c r="BW2296" s="16"/>
      <c r="BX2296" s="16"/>
    </row>
    <row r="2297">
      <c r="A2297" s="16" t="s">
        <v>11314</v>
      </c>
      <c r="B2297" s="16" t="s">
        <v>35</v>
      </c>
      <c r="C2297" s="201">
        <v>46135.0</v>
      </c>
      <c r="D2297" s="16" t="s">
        <v>12675</v>
      </c>
      <c r="E2297" s="16" t="s">
        <v>12676</v>
      </c>
      <c r="F2297" s="16" t="s">
        <v>9170</v>
      </c>
      <c r="G2297" s="16"/>
      <c r="H2297" s="16"/>
      <c r="I2297" s="16"/>
      <c r="J2297" s="16"/>
      <c r="K2297" s="16"/>
      <c r="L2297" s="16"/>
      <c r="M2297" s="16"/>
      <c r="N2297" s="16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D2297" s="16"/>
      <c r="AH2297" s="16"/>
      <c r="AL2297" s="16"/>
      <c r="AP2297" s="16"/>
      <c r="AT2297" s="16"/>
      <c r="AX2297" s="16"/>
      <c r="BF2297" s="16"/>
      <c r="BJ2297" s="16"/>
      <c r="BN2297" s="16"/>
      <c r="BO2297" s="16"/>
      <c r="BP2297" s="16" t="s">
        <v>12677</v>
      </c>
      <c r="BQ2297" s="16" t="b">
        <v>0</v>
      </c>
      <c r="BR2297" s="16"/>
      <c r="BS2297" s="21" t="s">
        <v>14209</v>
      </c>
      <c r="BT2297" s="16" t="b">
        <v>1</v>
      </c>
      <c r="BU2297" s="16" t="s">
        <v>13953</v>
      </c>
      <c r="BV2297" s="16"/>
      <c r="BW2297" s="16"/>
      <c r="BX2297" s="16"/>
    </row>
    <row r="2298">
      <c r="A2298" s="16" t="s">
        <v>11337</v>
      </c>
      <c r="B2298" s="16" t="s">
        <v>35</v>
      </c>
      <c r="C2298" s="201">
        <v>46136.0</v>
      </c>
      <c r="D2298" s="16" t="s">
        <v>233</v>
      </c>
      <c r="E2298" s="16" t="s">
        <v>12678</v>
      </c>
      <c r="F2298" s="16" t="s">
        <v>11625</v>
      </c>
      <c r="G2298" s="16"/>
      <c r="H2298" s="16"/>
      <c r="I2298" s="16"/>
      <c r="J2298" s="16"/>
      <c r="K2298" s="16"/>
      <c r="L2298" s="16"/>
      <c r="M2298" s="16"/>
      <c r="N2298" s="16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D2298" s="16"/>
      <c r="AH2298" s="16"/>
      <c r="AL2298" s="16"/>
      <c r="AP2298" s="16"/>
      <c r="AT2298" s="16"/>
      <c r="AX2298" s="16"/>
      <c r="BF2298" s="16"/>
      <c r="BJ2298" s="16"/>
      <c r="BN2298" s="16"/>
      <c r="BO2298" s="16"/>
      <c r="BP2298" s="16" t="s">
        <v>12679</v>
      </c>
      <c r="BQ2298" s="16" t="b">
        <v>0</v>
      </c>
      <c r="BR2298" s="16"/>
      <c r="BS2298" s="21" t="s">
        <v>14210</v>
      </c>
      <c r="BT2298" s="16" t="b">
        <v>1</v>
      </c>
      <c r="BU2298" s="16" t="s">
        <v>13953</v>
      </c>
      <c r="BV2298" s="16"/>
      <c r="BW2298" s="16"/>
      <c r="BX2298" s="16"/>
    </row>
    <row r="2299">
      <c r="A2299" s="16" t="s">
        <v>11346</v>
      </c>
      <c r="B2299" s="16" t="s">
        <v>35</v>
      </c>
      <c r="C2299" s="201">
        <v>46136.0</v>
      </c>
      <c r="D2299" s="21" t="s">
        <v>12789</v>
      </c>
      <c r="E2299" s="16" t="s">
        <v>12680</v>
      </c>
      <c r="F2299" s="16" t="s">
        <v>12682</v>
      </c>
      <c r="G2299" s="16"/>
      <c r="H2299" s="16"/>
      <c r="I2299" s="16"/>
      <c r="J2299" s="16"/>
      <c r="K2299" s="16"/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D2299" s="16"/>
      <c r="AH2299" s="16"/>
      <c r="AL2299" s="16"/>
      <c r="AP2299" s="16"/>
      <c r="AT2299" s="16"/>
      <c r="AX2299" s="16"/>
      <c r="BF2299" s="16"/>
      <c r="BJ2299" s="16"/>
      <c r="BN2299" s="16"/>
      <c r="BO2299" s="16"/>
      <c r="BP2299" s="16" t="s">
        <v>12681</v>
      </c>
      <c r="BQ2299" s="16" t="b">
        <v>0</v>
      </c>
      <c r="BR2299" s="16"/>
      <c r="BS2299" s="21" t="s">
        <v>14211</v>
      </c>
      <c r="BT2299" s="16" t="b">
        <v>1</v>
      </c>
      <c r="BU2299" s="16" t="s">
        <v>13953</v>
      </c>
      <c r="BV2299" s="16"/>
      <c r="BW2299" s="16"/>
      <c r="BX2299" s="16"/>
    </row>
    <row r="2300">
      <c r="A2300" s="16" t="s">
        <v>11350</v>
      </c>
      <c r="B2300" s="16" t="s">
        <v>35</v>
      </c>
      <c r="C2300" s="201">
        <v>46136.0</v>
      </c>
      <c r="D2300" s="16" t="s">
        <v>2039</v>
      </c>
      <c r="E2300" s="16" t="s">
        <v>12685</v>
      </c>
      <c r="F2300" s="16" t="s">
        <v>12687</v>
      </c>
      <c r="G2300" s="16"/>
      <c r="H2300" s="16"/>
      <c r="I2300" s="16"/>
      <c r="J2300" s="16"/>
      <c r="K2300" s="16"/>
      <c r="L2300" s="16"/>
      <c r="M2300" s="16"/>
      <c r="N2300" s="16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16"/>
      <c r="AD2300" s="16"/>
      <c r="AH2300" s="16"/>
      <c r="AL2300" s="16"/>
      <c r="AP2300" s="16"/>
      <c r="AT2300" s="16"/>
      <c r="AX2300" s="16"/>
      <c r="BF2300" s="16"/>
      <c r="BJ2300" s="16"/>
      <c r="BN2300" s="16"/>
      <c r="BO2300" s="16"/>
      <c r="BP2300" s="16" t="s">
        <v>12686</v>
      </c>
      <c r="BQ2300" s="16" t="b">
        <v>0</v>
      </c>
      <c r="BR2300" s="16"/>
      <c r="BS2300" s="21" t="s">
        <v>14213</v>
      </c>
      <c r="BT2300" s="16" t="b">
        <v>1</v>
      </c>
      <c r="BU2300" s="16" t="s">
        <v>13953</v>
      </c>
      <c r="BV2300" s="16"/>
      <c r="BW2300" s="16"/>
      <c r="BX2300" s="16"/>
    </row>
    <row r="2301">
      <c r="A2301" s="16" t="s">
        <v>11318</v>
      </c>
      <c r="B2301" s="16" t="s">
        <v>35</v>
      </c>
      <c r="C2301" s="201">
        <v>46135.0</v>
      </c>
      <c r="D2301" s="16" t="s">
        <v>11765</v>
      </c>
      <c r="E2301" s="16" t="s">
        <v>12688</v>
      </c>
      <c r="F2301" s="16" t="s">
        <v>195</v>
      </c>
      <c r="G2301" s="16"/>
      <c r="H2301" s="16"/>
      <c r="I2301" s="16"/>
      <c r="J2301" s="16"/>
      <c r="K2301" s="16"/>
      <c r="L2301" s="16"/>
      <c r="M2301" s="16"/>
      <c r="N2301" s="16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16"/>
      <c r="AD2301" s="16"/>
      <c r="AH2301" s="16"/>
      <c r="AL2301" s="16"/>
      <c r="AP2301" s="16"/>
      <c r="AT2301" s="16"/>
      <c r="AX2301" s="16"/>
      <c r="BF2301" s="16"/>
      <c r="BJ2301" s="16"/>
      <c r="BN2301" s="16"/>
      <c r="BO2301" s="16"/>
      <c r="BP2301" s="16" t="s">
        <v>12689</v>
      </c>
      <c r="BQ2301" s="16" t="b">
        <v>0</v>
      </c>
      <c r="BR2301" s="16"/>
      <c r="BS2301" s="16"/>
      <c r="BT2301" s="16" t="b">
        <v>0</v>
      </c>
      <c r="BU2301" s="16" t="s">
        <v>13953</v>
      </c>
      <c r="BV2301" s="16"/>
      <c r="BW2301" s="16" t="s">
        <v>12690</v>
      </c>
      <c r="BX2301" s="16"/>
    </row>
    <row r="2302">
      <c r="A2302" s="16" t="s">
        <v>11329</v>
      </c>
      <c r="B2302" s="16" t="s">
        <v>35</v>
      </c>
      <c r="C2302" s="201">
        <v>46135.0</v>
      </c>
      <c r="D2302" s="16" t="s">
        <v>11926</v>
      </c>
      <c r="E2302" s="16" t="s">
        <v>12691</v>
      </c>
      <c r="F2302" s="16" t="s">
        <v>140</v>
      </c>
      <c r="G2302" s="16"/>
      <c r="H2302" s="16"/>
      <c r="I2302" s="16"/>
      <c r="J2302" s="16"/>
      <c r="K2302" s="16"/>
      <c r="L2302" s="16"/>
      <c r="M2302" s="16"/>
      <c r="N2302" s="16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16"/>
      <c r="AD2302" s="16"/>
      <c r="AH2302" s="16"/>
      <c r="AL2302" s="16"/>
      <c r="AP2302" s="16"/>
      <c r="AT2302" s="16"/>
      <c r="AX2302" s="16"/>
      <c r="BF2302" s="16"/>
      <c r="BJ2302" s="16"/>
      <c r="BN2302" s="16"/>
      <c r="BO2302" s="16"/>
      <c r="BP2302" s="16" t="s">
        <v>12692</v>
      </c>
      <c r="BQ2302" s="16" t="b">
        <v>0</v>
      </c>
      <c r="BR2302" s="16"/>
      <c r="BS2302" s="16"/>
      <c r="BT2302" s="16" t="b">
        <v>0</v>
      </c>
      <c r="BU2302" s="16" t="s">
        <v>13953</v>
      </c>
      <c r="BV2302" s="16"/>
      <c r="BW2302" s="16"/>
      <c r="BX2302" s="16"/>
    </row>
    <row r="2303">
      <c r="A2303" s="16" t="s">
        <v>10146</v>
      </c>
      <c r="B2303" s="16" t="s">
        <v>35</v>
      </c>
      <c r="C2303" s="201">
        <v>46137.0</v>
      </c>
      <c r="D2303" s="16" t="s">
        <v>12694</v>
      </c>
      <c r="E2303" s="16"/>
      <c r="F2303" s="16" t="s">
        <v>12696</v>
      </c>
      <c r="G2303" s="16" t="s">
        <v>10147</v>
      </c>
      <c r="H2303" s="16">
        <v>1.0</v>
      </c>
      <c r="I2303" s="16">
        <v>1093.4</v>
      </c>
      <c r="J2303" s="16">
        <v>1093.4</v>
      </c>
      <c r="K2303" s="16"/>
      <c r="L2303" s="16"/>
      <c r="M2303" s="16"/>
      <c r="N2303" s="16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16"/>
      <c r="AD2303" s="16"/>
      <c r="AH2303" s="16"/>
      <c r="AL2303" s="16"/>
      <c r="AP2303" s="16"/>
      <c r="AT2303" s="16"/>
      <c r="AX2303" s="16"/>
      <c r="BF2303" s="16"/>
      <c r="BJ2303" s="16"/>
      <c r="BN2303" s="16"/>
      <c r="BO2303" s="16">
        <v>1093.4</v>
      </c>
      <c r="BP2303" s="16"/>
      <c r="BQ2303" s="16" t="b">
        <v>1</v>
      </c>
      <c r="BR2303" s="16">
        <v>1093.4</v>
      </c>
      <c r="BS2303" s="16"/>
      <c r="BT2303" s="16"/>
      <c r="BU2303" s="16" t="s">
        <v>539</v>
      </c>
      <c r="BV2303" s="16"/>
      <c r="BW2303" s="16"/>
      <c r="BX2303" s="16"/>
    </row>
    <row r="2304">
      <c r="A2304" s="16" t="s">
        <v>11355</v>
      </c>
      <c r="B2304" s="16" t="s">
        <v>35</v>
      </c>
      <c r="C2304" s="201">
        <v>46139.0</v>
      </c>
      <c r="D2304" s="16" t="s">
        <v>11926</v>
      </c>
      <c r="E2304" s="16" t="s">
        <v>12698</v>
      </c>
      <c r="F2304" s="16" t="s">
        <v>140</v>
      </c>
      <c r="G2304" s="16"/>
      <c r="H2304" s="16"/>
      <c r="I2304" s="16"/>
      <c r="J2304" s="16"/>
      <c r="K2304" s="16"/>
      <c r="L2304" s="16"/>
      <c r="M2304" s="16"/>
      <c r="N2304" s="16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16"/>
      <c r="AD2304" s="16"/>
      <c r="AH2304" s="16"/>
      <c r="AL2304" s="16"/>
      <c r="AP2304" s="16"/>
      <c r="AT2304" s="16"/>
      <c r="AX2304" s="16"/>
      <c r="BF2304" s="16"/>
      <c r="BJ2304" s="16"/>
      <c r="BN2304" s="16"/>
      <c r="BO2304" s="16"/>
      <c r="BP2304" s="16" t="s">
        <v>12699</v>
      </c>
      <c r="BQ2304" s="16" t="b">
        <v>0</v>
      </c>
      <c r="BR2304" s="16"/>
      <c r="BS2304" s="16"/>
      <c r="BT2304" s="16" t="b">
        <v>0</v>
      </c>
      <c r="BU2304" s="16" t="s">
        <v>13953</v>
      </c>
      <c r="BV2304" s="16"/>
      <c r="BW2304" s="16"/>
      <c r="BX2304" s="16"/>
    </row>
    <row r="2305">
      <c r="A2305" s="16" t="s">
        <v>172</v>
      </c>
      <c r="B2305" s="16" t="s">
        <v>35</v>
      </c>
      <c r="C2305" s="201">
        <v>46139.0</v>
      </c>
      <c r="D2305" s="16" t="s">
        <v>12021</v>
      </c>
      <c r="E2305" s="16" t="s">
        <v>12700</v>
      </c>
      <c r="F2305" s="16" t="s">
        <v>12702</v>
      </c>
      <c r="G2305" s="16"/>
      <c r="H2305" s="16"/>
      <c r="I2305" s="16"/>
      <c r="J2305" s="16"/>
      <c r="K2305" s="16"/>
      <c r="L2305" s="16"/>
      <c r="M2305" s="16"/>
      <c r="N2305" s="16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D2305" s="16"/>
      <c r="AH2305" s="16"/>
      <c r="AL2305" s="16"/>
      <c r="AP2305" s="16"/>
      <c r="AT2305" s="16"/>
      <c r="AX2305" s="16"/>
      <c r="BF2305" s="16"/>
      <c r="BJ2305" s="16"/>
      <c r="BN2305" s="16"/>
      <c r="BO2305" s="16"/>
      <c r="BP2305" s="16" t="s">
        <v>12701</v>
      </c>
      <c r="BQ2305" s="16" t="b">
        <v>0</v>
      </c>
      <c r="BR2305" s="16"/>
      <c r="BS2305" s="21" t="s">
        <v>14218</v>
      </c>
      <c r="BT2305" s="16" t="b">
        <v>1</v>
      </c>
      <c r="BU2305" s="16" t="s">
        <v>13953</v>
      </c>
      <c r="BV2305" s="16"/>
      <c r="BW2305" s="16"/>
      <c r="BX2305" s="16"/>
    </row>
    <row r="2306">
      <c r="A2306" s="16" t="s">
        <v>10151</v>
      </c>
      <c r="B2306" s="16" t="s">
        <v>35</v>
      </c>
      <c r="C2306" s="201">
        <v>46139.0</v>
      </c>
      <c r="D2306" s="16" t="s">
        <v>890</v>
      </c>
      <c r="E2306" s="16"/>
      <c r="F2306" s="16" t="s">
        <v>12703</v>
      </c>
      <c r="G2306" s="16" t="s">
        <v>8458</v>
      </c>
      <c r="H2306" s="16">
        <v>1.0</v>
      </c>
      <c r="I2306" s="16">
        <v>2324.0</v>
      </c>
      <c r="J2306" s="16">
        <v>2324.0</v>
      </c>
      <c r="K2306" s="16"/>
      <c r="L2306" s="16"/>
      <c r="M2306" s="16"/>
      <c r="N2306" s="16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D2306" s="16"/>
      <c r="AH2306" s="16"/>
      <c r="AL2306" s="16"/>
      <c r="AP2306" s="16"/>
      <c r="AT2306" s="16"/>
      <c r="AX2306" s="16"/>
      <c r="BF2306" s="16"/>
      <c r="BJ2306" s="16"/>
      <c r="BN2306" s="16"/>
      <c r="BO2306" s="16">
        <v>2324.0</v>
      </c>
      <c r="BP2306" s="16"/>
      <c r="BQ2306" s="16" t="b">
        <v>1</v>
      </c>
      <c r="BR2306" s="16">
        <v>2324.0</v>
      </c>
      <c r="BS2306" s="16"/>
      <c r="BT2306" s="16"/>
      <c r="BU2306" s="16" t="s">
        <v>539</v>
      </c>
      <c r="BV2306" s="16"/>
      <c r="BW2306" s="16"/>
      <c r="BX2306" s="16"/>
    </row>
    <row r="2307">
      <c r="A2307" s="16" t="s">
        <v>10155</v>
      </c>
      <c r="B2307" s="16" t="s">
        <v>35</v>
      </c>
      <c r="C2307" s="201">
        <v>46139.0</v>
      </c>
      <c r="D2307" s="16" t="s">
        <v>890</v>
      </c>
      <c r="E2307" s="16"/>
      <c r="F2307" s="16" t="s">
        <v>12704</v>
      </c>
      <c r="G2307" s="16" t="s">
        <v>1517</v>
      </c>
      <c r="H2307" s="16">
        <v>1.0</v>
      </c>
      <c r="I2307" s="16">
        <v>303.81</v>
      </c>
      <c r="J2307" s="16">
        <v>303.81</v>
      </c>
      <c r="K2307" s="16"/>
      <c r="L2307" s="16"/>
      <c r="M2307" s="16"/>
      <c r="N2307" s="16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D2307" s="16"/>
      <c r="AH2307" s="16"/>
      <c r="AL2307" s="16"/>
      <c r="AP2307" s="16"/>
      <c r="AT2307" s="16"/>
      <c r="AX2307" s="16"/>
      <c r="BF2307" s="16"/>
      <c r="BJ2307" s="16"/>
      <c r="BN2307" s="16"/>
      <c r="BO2307" s="16">
        <v>303.81</v>
      </c>
      <c r="BP2307" s="16"/>
      <c r="BQ2307" s="16" t="b">
        <v>1</v>
      </c>
      <c r="BR2307" s="16">
        <v>303.81</v>
      </c>
      <c r="BS2307" s="16"/>
      <c r="BT2307" s="16"/>
      <c r="BU2307" s="16" t="s">
        <v>539</v>
      </c>
      <c r="BV2307" s="16"/>
      <c r="BW2307" s="16"/>
      <c r="BX2307" s="16"/>
    </row>
    <row r="2308">
      <c r="A2308" s="16">
        <v>12087.0</v>
      </c>
      <c r="B2308" s="16" t="s">
        <v>35</v>
      </c>
      <c r="C2308" s="201">
        <v>46139.0</v>
      </c>
      <c r="D2308" s="16" t="s">
        <v>9825</v>
      </c>
      <c r="E2308" s="16"/>
      <c r="F2308" s="16" t="s">
        <v>9826</v>
      </c>
      <c r="G2308" s="16" t="s">
        <v>2870</v>
      </c>
      <c r="H2308" s="16">
        <v>1.0</v>
      </c>
      <c r="I2308" s="16">
        <v>422.33</v>
      </c>
      <c r="J2308" s="16">
        <v>422.33</v>
      </c>
      <c r="K2308" s="16"/>
      <c r="L2308" s="16"/>
      <c r="M2308" s="16"/>
      <c r="N2308" s="16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16"/>
      <c r="AD2308" s="16"/>
      <c r="AH2308" s="16"/>
      <c r="AL2308" s="16"/>
      <c r="AP2308" s="16"/>
      <c r="AT2308" s="16"/>
      <c r="AX2308" s="16"/>
      <c r="BF2308" s="16"/>
      <c r="BJ2308" s="16"/>
      <c r="BN2308" s="16"/>
      <c r="BO2308" s="16">
        <v>422.33</v>
      </c>
      <c r="BP2308" s="16"/>
      <c r="BQ2308" s="16" t="b">
        <v>1</v>
      </c>
      <c r="BR2308" s="16">
        <v>422.33</v>
      </c>
      <c r="BS2308" s="16"/>
      <c r="BT2308" s="16"/>
      <c r="BU2308" s="16" t="s">
        <v>539</v>
      </c>
      <c r="BV2308" s="16"/>
      <c r="BW2308" s="16"/>
      <c r="BX2308" s="16"/>
    </row>
    <row r="2309">
      <c r="A2309" s="16">
        <v>12088.0</v>
      </c>
      <c r="B2309" s="16" t="s">
        <v>35</v>
      </c>
      <c r="C2309" s="201">
        <v>46139.0</v>
      </c>
      <c r="D2309" s="16" t="s">
        <v>9825</v>
      </c>
      <c r="E2309" s="16"/>
      <c r="F2309" s="16" t="s">
        <v>9835</v>
      </c>
      <c r="G2309" s="16" t="s">
        <v>2870</v>
      </c>
      <c r="H2309" s="16">
        <v>1.0</v>
      </c>
      <c r="I2309" s="16">
        <v>87.68</v>
      </c>
      <c r="J2309" s="16">
        <v>87.68</v>
      </c>
      <c r="K2309" s="16"/>
      <c r="L2309" s="16"/>
      <c r="M2309" s="16"/>
      <c r="N2309" s="16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16"/>
      <c r="AD2309" s="16"/>
      <c r="AH2309" s="16"/>
      <c r="AL2309" s="16"/>
      <c r="AP2309" s="16"/>
      <c r="AT2309" s="16"/>
      <c r="AX2309" s="16"/>
      <c r="BF2309" s="16"/>
      <c r="BJ2309" s="16"/>
      <c r="BN2309" s="16"/>
      <c r="BO2309" s="16">
        <v>87.68</v>
      </c>
      <c r="BP2309" s="16"/>
      <c r="BQ2309" s="16" t="b">
        <v>1</v>
      </c>
      <c r="BR2309" s="16">
        <v>87.68</v>
      </c>
      <c r="BS2309" s="16"/>
      <c r="BT2309" s="16"/>
      <c r="BU2309" s="16" t="s">
        <v>539</v>
      </c>
      <c r="BV2309" s="16"/>
      <c r="BW2309" s="16"/>
      <c r="BX2309" s="16"/>
    </row>
    <row r="2310">
      <c r="A2310" s="16">
        <v>12089.0</v>
      </c>
      <c r="B2310" s="16" t="s">
        <v>35</v>
      </c>
      <c r="C2310" s="201">
        <v>46139.0</v>
      </c>
      <c r="D2310" s="16" t="s">
        <v>2294</v>
      </c>
      <c r="E2310" s="16"/>
      <c r="F2310" s="16" t="s">
        <v>12705</v>
      </c>
      <c r="G2310" s="16" t="s">
        <v>1239</v>
      </c>
      <c r="H2310" s="16">
        <v>1.0</v>
      </c>
      <c r="I2310" s="16">
        <v>4619.0</v>
      </c>
      <c r="J2310" s="16">
        <v>4619.0</v>
      </c>
      <c r="K2310" s="16"/>
      <c r="L2310" s="16"/>
      <c r="M2310" s="16"/>
      <c r="N2310" s="16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16"/>
      <c r="AD2310" s="16"/>
      <c r="AH2310" s="16"/>
      <c r="AL2310" s="16"/>
      <c r="AP2310" s="16"/>
      <c r="AT2310" s="16"/>
      <c r="AX2310" s="16"/>
      <c r="BF2310" s="16"/>
      <c r="BJ2310" s="16"/>
      <c r="BN2310" s="16"/>
      <c r="BO2310" s="16">
        <v>4619.0</v>
      </c>
      <c r="BP2310" s="16"/>
      <c r="BQ2310" s="16" t="b">
        <v>1</v>
      </c>
      <c r="BR2310" s="16">
        <v>4619.0</v>
      </c>
      <c r="BS2310" s="16"/>
      <c r="BT2310" s="16"/>
      <c r="BU2310" s="16" t="s">
        <v>539</v>
      </c>
      <c r="BV2310" s="16"/>
      <c r="BW2310" s="16"/>
      <c r="BX2310" s="16"/>
    </row>
    <row r="2311">
      <c r="A2311" s="16">
        <v>12090.0</v>
      </c>
      <c r="B2311" s="16" t="s">
        <v>35</v>
      </c>
      <c r="C2311" s="201">
        <v>46139.0</v>
      </c>
      <c r="D2311" s="16" t="s">
        <v>460</v>
      </c>
      <c r="E2311" s="16"/>
      <c r="F2311" s="16" t="s">
        <v>11326</v>
      </c>
      <c r="G2311" s="16" t="s">
        <v>1126</v>
      </c>
      <c r="H2311" s="16">
        <v>1.0</v>
      </c>
      <c r="I2311" s="16">
        <v>72.0</v>
      </c>
      <c r="J2311" s="16">
        <v>72.0</v>
      </c>
      <c r="K2311" s="16"/>
      <c r="L2311" s="16"/>
      <c r="M2311" s="16"/>
      <c r="N2311" s="16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16"/>
      <c r="AD2311" s="16"/>
      <c r="AH2311" s="16"/>
      <c r="AL2311" s="16"/>
      <c r="AP2311" s="16"/>
      <c r="AT2311" s="16"/>
      <c r="AX2311" s="16"/>
      <c r="BF2311" s="16"/>
      <c r="BJ2311" s="16"/>
      <c r="BN2311" s="16"/>
      <c r="BO2311" s="16">
        <v>72.0</v>
      </c>
      <c r="BP2311" s="16"/>
      <c r="BQ2311" s="16" t="b">
        <v>1</v>
      </c>
      <c r="BR2311" s="16">
        <v>72.0</v>
      </c>
      <c r="BS2311" s="16"/>
      <c r="BT2311" s="16"/>
      <c r="BU2311" s="16" t="s">
        <v>539</v>
      </c>
      <c r="BV2311" s="16"/>
      <c r="BW2311" s="16"/>
      <c r="BX2311" s="16"/>
    </row>
    <row r="2312">
      <c r="A2312" s="16">
        <v>12096.0</v>
      </c>
      <c r="B2312" s="16" t="s">
        <v>35</v>
      </c>
      <c r="C2312" s="201">
        <v>46139.0</v>
      </c>
      <c r="D2312" s="16" t="s">
        <v>460</v>
      </c>
      <c r="E2312" s="16"/>
      <c r="F2312" s="16" t="s">
        <v>12709</v>
      </c>
      <c r="G2312" s="16" t="s">
        <v>9874</v>
      </c>
      <c r="H2312" s="16">
        <v>1.0</v>
      </c>
      <c r="I2312" s="16">
        <v>70.0</v>
      </c>
      <c r="J2312" s="16">
        <v>70.0</v>
      </c>
      <c r="K2312" s="16"/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D2312" s="16"/>
      <c r="AH2312" s="16"/>
      <c r="AL2312" s="16"/>
      <c r="AP2312" s="16"/>
      <c r="AT2312" s="16"/>
      <c r="AX2312" s="16"/>
      <c r="BF2312" s="16"/>
      <c r="BJ2312" s="16"/>
      <c r="BN2312" s="16"/>
      <c r="BO2312" s="16">
        <v>70.0</v>
      </c>
      <c r="BP2312" s="16"/>
      <c r="BQ2312" s="16" t="b">
        <v>1</v>
      </c>
      <c r="BR2312" s="16">
        <v>70.0</v>
      </c>
      <c r="BS2312" s="16"/>
      <c r="BT2312" s="16"/>
      <c r="BU2312" s="16" t="s">
        <v>539</v>
      </c>
      <c r="BV2312" s="16"/>
      <c r="BW2312" s="16"/>
      <c r="BX2312" s="16"/>
    </row>
    <row r="2313">
      <c r="A2313" s="16" t="s">
        <v>278</v>
      </c>
      <c r="B2313" s="16" t="s">
        <v>35</v>
      </c>
      <c r="C2313" s="201">
        <v>46142.0</v>
      </c>
      <c r="D2313" s="16" t="s">
        <v>12255</v>
      </c>
      <c r="E2313" s="16" t="s">
        <v>12710</v>
      </c>
      <c r="F2313" s="16" t="s">
        <v>1324</v>
      </c>
      <c r="G2313" s="16"/>
      <c r="H2313" s="16"/>
      <c r="I2313" s="16"/>
      <c r="J2313" s="16"/>
      <c r="K2313" s="16"/>
      <c r="L2313" s="16"/>
      <c r="M2313" s="16"/>
      <c r="N2313" s="16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D2313" s="16"/>
      <c r="AH2313" s="16"/>
      <c r="AL2313" s="16"/>
      <c r="AP2313" s="16"/>
      <c r="AT2313" s="16"/>
      <c r="AX2313" s="16"/>
      <c r="BF2313" s="16"/>
      <c r="BJ2313" s="16"/>
      <c r="BN2313" s="16"/>
      <c r="BO2313" s="16"/>
      <c r="BP2313" s="16" t="s">
        <v>12711</v>
      </c>
      <c r="BQ2313" s="16" t="b">
        <v>0</v>
      </c>
      <c r="BR2313" s="16"/>
      <c r="BS2313" s="21" t="s">
        <v>14226</v>
      </c>
      <c r="BT2313" s="16" t="b">
        <v>1</v>
      </c>
      <c r="BU2313" s="16" t="s">
        <v>13953</v>
      </c>
      <c r="BV2313" s="16"/>
      <c r="BW2313" s="16"/>
      <c r="BX2313" s="16"/>
    </row>
    <row r="2314">
      <c r="A2314" s="16" t="s">
        <v>283</v>
      </c>
      <c r="B2314" s="16" t="s">
        <v>35</v>
      </c>
      <c r="C2314" s="201">
        <v>46142.0</v>
      </c>
      <c r="D2314" s="21" t="s">
        <v>12789</v>
      </c>
      <c r="E2314" s="16" t="s">
        <v>12712</v>
      </c>
      <c r="F2314" s="16" t="s">
        <v>11625</v>
      </c>
      <c r="G2314" s="16"/>
      <c r="H2314" s="16"/>
      <c r="I2314" s="16"/>
      <c r="J2314" s="16"/>
      <c r="K2314" s="16"/>
      <c r="L2314" s="16"/>
      <c r="M2314" s="16"/>
      <c r="N2314" s="16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D2314" s="16"/>
      <c r="AH2314" s="16"/>
      <c r="AL2314" s="16"/>
      <c r="AP2314" s="16"/>
      <c r="AT2314" s="16"/>
      <c r="AX2314" s="16"/>
      <c r="BF2314" s="16"/>
      <c r="BJ2314" s="16"/>
      <c r="BN2314" s="16"/>
      <c r="BO2314" s="16"/>
      <c r="BP2314" s="16" t="s">
        <v>12713</v>
      </c>
      <c r="BQ2314" s="16" t="b">
        <v>0</v>
      </c>
      <c r="BR2314" s="16"/>
      <c r="BS2314" s="21" t="s">
        <v>14227</v>
      </c>
      <c r="BT2314" s="16" t="b">
        <v>1</v>
      </c>
      <c r="BU2314" s="16" t="s">
        <v>13953</v>
      </c>
      <c r="BV2314" s="16"/>
      <c r="BW2314" s="16"/>
      <c r="BX2314" s="16"/>
    </row>
    <row r="2315">
      <c r="A2315" s="16" t="s">
        <v>11396</v>
      </c>
      <c r="B2315" s="16" t="s">
        <v>35</v>
      </c>
      <c r="C2315" s="201">
        <v>46142.0</v>
      </c>
      <c r="D2315" s="16" t="s">
        <v>11926</v>
      </c>
      <c r="E2315" s="16" t="s">
        <v>12715</v>
      </c>
      <c r="F2315" s="16" t="s">
        <v>140</v>
      </c>
      <c r="G2315" s="16"/>
      <c r="H2315" s="16"/>
      <c r="I2315" s="16"/>
      <c r="J2315" s="16"/>
      <c r="K2315" s="16"/>
      <c r="L2315" s="16"/>
      <c r="M2315" s="16"/>
      <c r="N2315" s="16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D2315" s="16"/>
      <c r="AH2315" s="16"/>
      <c r="AL2315" s="16"/>
      <c r="AP2315" s="16"/>
      <c r="AT2315" s="16"/>
      <c r="AX2315" s="16"/>
      <c r="BF2315" s="16"/>
      <c r="BJ2315" s="16"/>
      <c r="BN2315" s="16"/>
      <c r="BO2315" s="16"/>
      <c r="BP2315" s="16" t="s">
        <v>12716</v>
      </c>
      <c r="BQ2315" s="16" t="b">
        <v>0</v>
      </c>
      <c r="BR2315" s="16"/>
      <c r="BS2315" s="16"/>
      <c r="BT2315" s="16" t="b">
        <v>0</v>
      </c>
      <c r="BU2315" s="16" t="s">
        <v>13953</v>
      </c>
      <c r="BV2315" s="16"/>
      <c r="BW2315" s="16"/>
      <c r="BX2315" s="16"/>
    </row>
    <row r="2316">
      <c r="A2316" s="16" t="s">
        <v>11400</v>
      </c>
      <c r="B2316" s="16" t="s">
        <v>35</v>
      </c>
      <c r="C2316" s="201">
        <v>46142.0</v>
      </c>
      <c r="D2316" s="16" t="s">
        <v>112</v>
      </c>
      <c r="E2316" s="16" t="s">
        <v>12717</v>
      </c>
      <c r="F2316" s="16" t="s">
        <v>157</v>
      </c>
      <c r="G2316" s="16"/>
      <c r="H2316" s="16"/>
      <c r="I2316" s="16"/>
      <c r="J2316" s="16"/>
      <c r="K2316" s="16"/>
      <c r="L2316" s="16"/>
      <c r="M2316" s="16"/>
      <c r="N2316" s="16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16"/>
      <c r="AD2316" s="16"/>
      <c r="AH2316" s="16"/>
      <c r="AL2316" s="16"/>
      <c r="AP2316" s="16"/>
      <c r="AT2316" s="16"/>
      <c r="AX2316" s="16"/>
      <c r="BF2316" s="16"/>
      <c r="BJ2316" s="16"/>
      <c r="BN2316" s="16"/>
      <c r="BO2316" s="16"/>
      <c r="BP2316" s="16" t="s">
        <v>12718</v>
      </c>
      <c r="BQ2316" s="16" t="b">
        <v>0</v>
      </c>
      <c r="BR2316" s="16"/>
      <c r="BS2316" s="16"/>
      <c r="BT2316" s="16" t="b">
        <v>0</v>
      </c>
      <c r="BU2316" s="16" t="s">
        <v>13953</v>
      </c>
      <c r="BV2316" s="16"/>
      <c r="BW2316" s="16"/>
      <c r="BX2316" s="16"/>
    </row>
    <row r="2317">
      <c r="A2317" s="16" t="s">
        <v>11363</v>
      </c>
      <c r="B2317" s="16" t="s">
        <v>35</v>
      </c>
      <c r="C2317" s="201">
        <v>46140.0</v>
      </c>
      <c r="D2317" s="16" t="s">
        <v>9260</v>
      </c>
      <c r="E2317" s="16" t="s">
        <v>12721</v>
      </c>
      <c r="F2317" s="16" t="s">
        <v>12724</v>
      </c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D2317" s="16"/>
      <c r="AH2317" s="16"/>
      <c r="AL2317" s="16"/>
      <c r="AP2317" s="16"/>
      <c r="AT2317" s="16"/>
      <c r="AX2317" s="16"/>
      <c r="BF2317" s="16"/>
      <c r="BJ2317" s="16"/>
      <c r="BN2317" s="16"/>
      <c r="BO2317" s="16"/>
      <c r="BP2317" s="16" t="s">
        <v>12723</v>
      </c>
      <c r="BQ2317" s="16" t="b">
        <v>0</v>
      </c>
      <c r="BR2317" s="16"/>
      <c r="BS2317" s="16"/>
      <c r="BT2317" s="16" t="b">
        <v>0</v>
      </c>
      <c r="BU2317" s="16" t="s">
        <v>13953</v>
      </c>
      <c r="BV2317" s="16"/>
      <c r="BW2317" s="16"/>
      <c r="BX2317" s="16"/>
    </row>
    <row r="2318">
      <c r="A2318" s="16" t="s">
        <v>11368</v>
      </c>
      <c r="B2318" s="16" t="s">
        <v>35</v>
      </c>
      <c r="C2318" s="201">
        <v>46140.0</v>
      </c>
      <c r="D2318" s="16" t="s">
        <v>9260</v>
      </c>
      <c r="E2318" s="16" t="s">
        <v>12725</v>
      </c>
      <c r="F2318" s="16" t="s">
        <v>12727</v>
      </c>
      <c r="G2318" s="16"/>
      <c r="H2318" s="16"/>
      <c r="I2318" s="16"/>
      <c r="J2318" s="16"/>
      <c r="K2318" s="16"/>
      <c r="L2318" s="16"/>
      <c r="M2318" s="16"/>
      <c r="N2318" s="16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16"/>
      <c r="AD2318" s="16"/>
      <c r="AH2318" s="16"/>
      <c r="AL2318" s="16"/>
      <c r="AP2318" s="16"/>
      <c r="AT2318" s="16"/>
      <c r="AX2318" s="16"/>
      <c r="BF2318" s="16"/>
      <c r="BJ2318" s="16"/>
      <c r="BN2318" s="16"/>
      <c r="BO2318" s="16"/>
      <c r="BP2318" s="16" t="s">
        <v>12726</v>
      </c>
      <c r="BQ2318" s="16" t="b">
        <v>0</v>
      </c>
      <c r="BR2318" s="16"/>
      <c r="BS2318" s="16"/>
      <c r="BT2318" s="16" t="b">
        <v>0</v>
      </c>
      <c r="BU2318" s="16" t="s">
        <v>13953</v>
      </c>
      <c r="BV2318" s="16"/>
      <c r="BW2318" s="16" t="s">
        <v>12728</v>
      </c>
      <c r="BX2318" s="16"/>
    </row>
    <row r="2319">
      <c r="A2319" s="16" t="s">
        <v>11373</v>
      </c>
      <c r="B2319" s="16" t="s">
        <v>35</v>
      </c>
      <c r="C2319" s="201">
        <v>46140.0</v>
      </c>
      <c r="D2319" s="16" t="s">
        <v>9260</v>
      </c>
      <c r="E2319" s="16" t="s">
        <v>12729</v>
      </c>
      <c r="F2319" s="16" t="s">
        <v>12731</v>
      </c>
      <c r="G2319" s="16"/>
      <c r="H2319" s="16"/>
      <c r="I2319" s="16"/>
      <c r="J2319" s="16"/>
      <c r="K2319" s="16"/>
      <c r="L2319" s="16"/>
      <c r="M2319" s="16"/>
      <c r="N2319" s="16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16"/>
      <c r="AD2319" s="16"/>
      <c r="AH2319" s="16"/>
      <c r="AL2319" s="16"/>
      <c r="AP2319" s="16"/>
      <c r="AT2319" s="16"/>
      <c r="AX2319" s="16"/>
      <c r="BF2319" s="16"/>
      <c r="BJ2319" s="16"/>
      <c r="BN2319" s="16"/>
      <c r="BO2319" s="16"/>
      <c r="BP2319" s="16" t="s">
        <v>12730</v>
      </c>
      <c r="BQ2319" s="16" t="b">
        <v>0</v>
      </c>
      <c r="BR2319" s="16"/>
      <c r="BS2319" s="16"/>
      <c r="BT2319" s="16" t="b">
        <v>0</v>
      </c>
      <c r="BU2319" s="16" t="s">
        <v>13953</v>
      </c>
      <c r="BV2319" s="16"/>
      <c r="BW2319" s="16"/>
      <c r="BX2319" s="16"/>
    </row>
    <row r="2320">
      <c r="A2320" s="16" t="s">
        <v>10169</v>
      </c>
      <c r="B2320" s="16" t="s">
        <v>35</v>
      </c>
      <c r="C2320" s="201">
        <v>46142.0</v>
      </c>
      <c r="D2320" s="16"/>
      <c r="E2320" s="16"/>
      <c r="F2320" s="16" t="s">
        <v>12732</v>
      </c>
      <c r="G2320" s="16" t="s">
        <v>1239</v>
      </c>
      <c r="H2320" s="16">
        <v>1.0</v>
      </c>
      <c r="I2320" s="16">
        <v>2835.38</v>
      </c>
      <c r="J2320" s="16">
        <v>2835.38</v>
      </c>
      <c r="K2320" s="16"/>
      <c r="L2320" s="16"/>
      <c r="M2320" s="16"/>
      <c r="N2320" s="16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16"/>
      <c r="AD2320" s="16"/>
      <c r="AH2320" s="16"/>
      <c r="AL2320" s="16"/>
      <c r="AP2320" s="16"/>
      <c r="AT2320" s="16"/>
      <c r="AX2320" s="16"/>
      <c r="BF2320" s="16"/>
      <c r="BJ2320" s="16"/>
      <c r="BN2320" s="16"/>
      <c r="BO2320" s="16">
        <v>2835.38</v>
      </c>
      <c r="BP2320" s="16"/>
      <c r="BQ2320" s="16" t="b">
        <v>1</v>
      </c>
      <c r="BR2320" s="16">
        <v>2835.38</v>
      </c>
      <c r="BS2320" s="16"/>
      <c r="BT2320" s="16"/>
      <c r="BU2320" s="16" t="s">
        <v>539</v>
      </c>
      <c r="BV2320" s="16" t="s">
        <v>2052</v>
      </c>
      <c r="BW2320" s="16"/>
      <c r="BX2320" s="16"/>
    </row>
    <row r="2321">
      <c r="A2321" s="16">
        <v>12091.0</v>
      </c>
      <c r="B2321" s="16" t="s">
        <v>35</v>
      </c>
      <c r="C2321" s="201">
        <v>46142.0</v>
      </c>
      <c r="D2321" s="16"/>
      <c r="E2321" s="16"/>
      <c r="F2321" s="16" t="s">
        <v>8658</v>
      </c>
      <c r="G2321" s="16" t="s">
        <v>1239</v>
      </c>
      <c r="H2321" s="16">
        <v>1.0</v>
      </c>
      <c r="I2321" s="16">
        <v>1952.22</v>
      </c>
      <c r="J2321" s="16">
        <v>1952.22</v>
      </c>
      <c r="K2321" s="16"/>
      <c r="L2321" s="16"/>
      <c r="M2321" s="16"/>
      <c r="N2321" s="16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D2321" s="16"/>
      <c r="AH2321" s="16"/>
      <c r="AL2321" s="16"/>
      <c r="AP2321" s="16"/>
      <c r="AT2321" s="16"/>
      <c r="AX2321" s="16"/>
      <c r="BF2321" s="16"/>
      <c r="BJ2321" s="16"/>
      <c r="BN2321" s="16"/>
      <c r="BO2321" s="16">
        <v>1952.22</v>
      </c>
      <c r="BP2321" s="16"/>
      <c r="BQ2321" s="16" t="b">
        <v>1</v>
      </c>
      <c r="BR2321" s="16">
        <v>1952.22</v>
      </c>
      <c r="BS2321" s="16"/>
      <c r="BT2321" s="16"/>
      <c r="BU2321" s="16" t="s">
        <v>539</v>
      </c>
      <c r="BV2321" s="16" t="s">
        <v>2052</v>
      </c>
      <c r="BW2321" s="16"/>
      <c r="BX2321" s="16"/>
    </row>
    <row r="2322">
      <c r="A2322" s="16">
        <v>12092.0</v>
      </c>
      <c r="B2322" s="16" t="s">
        <v>35</v>
      </c>
      <c r="C2322" s="201">
        <v>46142.0</v>
      </c>
      <c r="D2322" s="16"/>
      <c r="E2322" s="16"/>
      <c r="F2322" s="16" t="s">
        <v>8658</v>
      </c>
      <c r="G2322" s="16" t="s">
        <v>1239</v>
      </c>
      <c r="H2322" s="16">
        <v>1.0</v>
      </c>
      <c r="I2322" s="16">
        <v>2007.04</v>
      </c>
      <c r="J2322" s="16">
        <v>2007.04</v>
      </c>
      <c r="K2322" s="16"/>
      <c r="L2322" s="16"/>
      <c r="M2322" s="16"/>
      <c r="N2322" s="16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D2322" s="16"/>
      <c r="AH2322" s="16"/>
      <c r="AL2322" s="16"/>
      <c r="AP2322" s="16"/>
      <c r="AT2322" s="16"/>
      <c r="AX2322" s="16"/>
      <c r="BF2322" s="16"/>
      <c r="BJ2322" s="16"/>
      <c r="BN2322" s="16"/>
      <c r="BO2322" s="16">
        <v>2007.04</v>
      </c>
      <c r="BP2322" s="16"/>
      <c r="BQ2322" s="16" t="b">
        <v>1</v>
      </c>
      <c r="BR2322" s="16">
        <v>2007.04</v>
      </c>
      <c r="BS2322" s="16"/>
      <c r="BT2322" s="16"/>
      <c r="BU2322" s="16" t="s">
        <v>539</v>
      </c>
      <c r="BV2322" s="16" t="s">
        <v>227</v>
      </c>
      <c r="BW2322" s="16"/>
      <c r="BX2322" s="16"/>
    </row>
    <row r="2323">
      <c r="A2323" s="16">
        <v>12093.0</v>
      </c>
      <c r="B2323" s="16" t="s">
        <v>35</v>
      </c>
      <c r="C2323" s="201">
        <v>46142.0</v>
      </c>
      <c r="D2323" s="16"/>
      <c r="E2323" s="16"/>
      <c r="F2323" s="16" t="s">
        <v>8658</v>
      </c>
      <c r="G2323" s="16" t="s">
        <v>1239</v>
      </c>
      <c r="H2323" s="16">
        <v>1.0</v>
      </c>
      <c r="I2323" s="16">
        <v>1575.04</v>
      </c>
      <c r="J2323" s="16">
        <v>1575.04</v>
      </c>
      <c r="K2323" s="16"/>
      <c r="L2323" s="16"/>
      <c r="M2323" s="16"/>
      <c r="N2323" s="16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D2323" s="16"/>
      <c r="AH2323" s="16"/>
      <c r="AL2323" s="16"/>
      <c r="AP2323" s="16"/>
      <c r="AT2323" s="16"/>
      <c r="AX2323" s="16"/>
      <c r="BF2323" s="16"/>
      <c r="BJ2323" s="16"/>
      <c r="BN2323" s="16"/>
      <c r="BO2323" s="16">
        <v>1575.04</v>
      </c>
      <c r="BP2323" s="16"/>
      <c r="BQ2323" s="16" t="b">
        <v>1</v>
      </c>
      <c r="BR2323" s="16">
        <v>1575.04</v>
      </c>
      <c r="BS2323" s="16"/>
      <c r="BT2323" s="16"/>
      <c r="BU2323" s="16" t="s">
        <v>539</v>
      </c>
      <c r="BV2323" s="16" t="s">
        <v>117</v>
      </c>
      <c r="BW2323" s="16"/>
      <c r="BX2323" s="16"/>
    </row>
    <row r="2324">
      <c r="A2324" s="16">
        <v>12094.0</v>
      </c>
      <c r="B2324" s="16" t="s">
        <v>35</v>
      </c>
      <c r="C2324" s="201">
        <v>46142.0</v>
      </c>
      <c r="D2324" s="16"/>
      <c r="E2324" s="16"/>
      <c r="F2324" s="16" t="s">
        <v>8658</v>
      </c>
      <c r="G2324" s="16" t="s">
        <v>1239</v>
      </c>
      <c r="H2324" s="16">
        <v>1.0</v>
      </c>
      <c r="I2324" s="16">
        <v>4479.15</v>
      </c>
      <c r="J2324" s="16">
        <v>4479.15</v>
      </c>
      <c r="K2324" s="16"/>
      <c r="L2324" s="16"/>
      <c r="M2324" s="16"/>
      <c r="N2324" s="16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16"/>
      <c r="AD2324" s="16"/>
      <c r="AH2324" s="16"/>
      <c r="AL2324" s="16"/>
      <c r="AP2324" s="16"/>
      <c r="AT2324" s="16"/>
      <c r="AX2324" s="16"/>
      <c r="BF2324" s="16"/>
      <c r="BJ2324" s="16"/>
      <c r="BN2324" s="16"/>
      <c r="BO2324" s="16">
        <v>4479.15</v>
      </c>
      <c r="BP2324" s="16"/>
      <c r="BQ2324" s="16" t="b">
        <v>1</v>
      </c>
      <c r="BR2324" s="16">
        <v>4479.15</v>
      </c>
      <c r="BS2324" s="16"/>
      <c r="BT2324" s="16"/>
      <c r="BU2324" s="16" t="s">
        <v>539</v>
      </c>
      <c r="BV2324" s="16" t="s">
        <v>218</v>
      </c>
      <c r="BW2324" s="16"/>
      <c r="BX2324" s="16"/>
    </row>
    <row r="2325">
      <c r="A2325" s="16">
        <v>12095.0</v>
      </c>
      <c r="B2325" s="16" t="s">
        <v>35</v>
      </c>
      <c r="C2325" s="201">
        <v>46142.0</v>
      </c>
      <c r="D2325" s="16"/>
      <c r="E2325" s="16"/>
      <c r="F2325" s="16" t="s">
        <v>8658</v>
      </c>
      <c r="G2325" s="16" t="s">
        <v>1239</v>
      </c>
      <c r="H2325" s="16">
        <v>1.0</v>
      </c>
      <c r="I2325" s="16">
        <v>1967.46</v>
      </c>
      <c r="J2325" s="16">
        <v>1967.46</v>
      </c>
      <c r="K2325" s="16"/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D2325" s="16"/>
      <c r="AH2325" s="16"/>
      <c r="AL2325" s="16"/>
      <c r="AP2325" s="16"/>
      <c r="AT2325" s="16"/>
      <c r="AX2325" s="16"/>
      <c r="BF2325" s="16"/>
      <c r="BJ2325" s="16"/>
      <c r="BN2325" s="16"/>
      <c r="BO2325" s="16">
        <v>1967.46</v>
      </c>
      <c r="BP2325" s="16"/>
      <c r="BQ2325" s="16" t="b">
        <v>1</v>
      </c>
      <c r="BR2325" s="16">
        <v>1967.46</v>
      </c>
      <c r="BS2325" s="16"/>
      <c r="BT2325" s="16"/>
      <c r="BU2325" s="16" t="s">
        <v>539</v>
      </c>
      <c r="BV2325" s="16" t="s">
        <v>336</v>
      </c>
      <c r="BW2325" s="16"/>
      <c r="BX2325" s="16"/>
    </row>
    <row r="2326">
      <c r="A2326" s="16" t="s">
        <v>11409</v>
      </c>
      <c r="B2326" s="16" t="s">
        <v>35</v>
      </c>
      <c r="C2326" s="201">
        <v>46144.0</v>
      </c>
      <c r="D2326" s="16" t="s">
        <v>112</v>
      </c>
      <c r="E2326" s="16" t="s">
        <v>12735</v>
      </c>
      <c r="F2326" s="16" t="s">
        <v>157</v>
      </c>
      <c r="G2326" s="16"/>
      <c r="H2326" s="16"/>
      <c r="I2326" s="16"/>
      <c r="J2326" s="16"/>
      <c r="K2326" s="16"/>
      <c r="L2326" s="16"/>
      <c r="M2326" s="16"/>
      <c r="N2326" s="16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16"/>
      <c r="AD2326" s="16"/>
      <c r="AH2326" s="16"/>
      <c r="AL2326" s="16"/>
      <c r="AP2326" s="16"/>
      <c r="AT2326" s="16"/>
      <c r="AX2326" s="16"/>
      <c r="BF2326" s="16"/>
      <c r="BJ2326" s="16"/>
      <c r="BN2326" s="16"/>
      <c r="BO2326" s="16"/>
      <c r="BP2326" s="16" t="s">
        <v>12736</v>
      </c>
      <c r="BQ2326" s="16" t="b">
        <v>0</v>
      </c>
      <c r="BR2326" s="16"/>
      <c r="BS2326" s="16"/>
      <c r="BT2326" s="16" t="b">
        <v>0</v>
      </c>
      <c r="BU2326" s="16" t="s">
        <v>13953</v>
      </c>
      <c r="BV2326" s="16"/>
      <c r="BW2326" s="16"/>
      <c r="BX2326" s="16"/>
    </row>
    <row r="2327">
      <c r="A2327" s="16" t="s">
        <v>11378</v>
      </c>
      <c r="B2327" s="16" t="s">
        <v>35</v>
      </c>
      <c r="C2327" s="201">
        <v>46140.0</v>
      </c>
      <c r="D2327" s="16" t="s">
        <v>9260</v>
      </c>
      <c r="E2327" s="16" t="s">
        <v>12737</v>
      </c>
      <c r="F2327" s="16" t="s">
        <v>12739</v>
      </c>
      <c r="G2327" s="16"/>
      <c r="H2327" s="16"/>
      <c r="I2327" s="16"/>
      <c r="J2327" s="16"/>
      <c r="K2327" s="16"/>
      <c r="L2327" s="16"/>
      <c r="M2327" s="16"/>
      <c r="N2327" s="16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16"/>
      <c r="AD2327" s="16"/>
      <c r="AH2327" s="16"/>
      <c r="AL2327" s="16"/>
      <c r="AP2327" s="16"/>
      <c r="AT2327" s="16"/>
      <c r="AX2327" s="16"/>
      <c r="BF2327" s="16"/>
      <c r="BJ2327" s="16"/>
      <c r="BN2327" s="16"/>
      <c r="BO2327" s="16"/>
      <c r="BP2327" s="16" t="s">
        <v>12738</v>
      </c>
      <c r="BQ2327" s="16" t="b">
        <v>0</v>
      </c>
      <c r="BR2327" s="16"/>
      <c r="BS2327" s="16"/>
      <c r="BT2327" s="16" t="b">
        <v>0</v>
      </c>
      <c r="BU2327" s="16" t="s">
        <v>13953</v>
      </c>
      <c r="BV2327" s="16"/>
      <c r="BW2327" s="16"/>
      <c r="BX2327" s="16"/>
    </row>
    <row r="2328">
      <c r="A2328" s="16" t="s">
        <v>11384</v>
      </c>
      <c r="B2328" s="16" t="s">
        <v>35</v>
      </c>
      <c r="C2328" s="201">
        <v>46140.0</v>
      </c>
      <c r="D2328" s="16" t="s">
        <v>9260</v>
      </c>
      <c r="E2328" s="16" t="s">
        <v>12740</v>
      </c>
      <c r="F2328" s="16" t="s">
        <v>12742</v>
      </c>
      <c r="G2328" s="16"/>
      <c r="H2328" s="16"/>
      <c r="I2328" s="16"/>
      <c r="J2328" s="16"/>
      <c r="K2328" s="16"/>
      <c r="L2328" s="16"/>
      <c r="M2328" s="16"/>
      <c r="N2328" s="16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16"/>
      <c r="AD2328" s="16"/>
      <c r="AH2328" s="16"/>
      <c r="AL2328" s="16"/>
      <c r="AP2328" s="16"/>
      <c r="AT2328" s="16"/>
      <c r="AX2328" s="16"/>
      <c r="BF2328" s="16"/>
      <c r="BJ2328" s="16"/>
      <c r="BN2328" s="16"/>
      <c r="BO2328" s="16"/>
      <c r="BP2328" s="16" t="s">
        <v>12741</v>
      </c>
      <c r="BQ2328" s="16" t="b">
        <v>0</v>
      </c>
      <c r="BR2328" s="16"/>
      <c r="BS2328" s="16"/>
      <c r="BT2328" s="16" t="b">
        <v>0</v>
      </c>
      <c r="BU2328" s="16" t="s">
        <v>13953</v>
      </c>
      <c r="BV2328" s="16"/>
      <c r="BW2328" s="16" t="s">
        <v>12743</v>
      </c>
      <c r="BX2328" s="16"/>
    </row>
    <row r="2329">
      <c r="A2329" s="16">
        <v>12104.0</v>
      </c>
      <c r="B2329" s="16" t="s">
        <v>35</v>
      </c>
      <c r="C2329" s="201">
        <v>46146.0</v>
      </c>
      <c r="D2329" s="16" t="s">
        <v>9929</v>
      </c>
      <c r="E2329" s="16"/>
      <c r="F2329" s="16" t="s">
        <v>9930</v>
      </c>
      <c r="G2329" s="16" t="s">
        <v>3218</v>
      </c>
      <c r="H2329" s="16">
        <v>1.0</v>
      </c>
      <c r="I2329" s="16">
        <v>9200.0</v>
      </c>
      <c r="J2329" s="16">
        <v>9200.0</v>
      </c>
      <c r="K2329" s="16"/>
      <c r="L2329" s="16"/>
      <c r="M2329" s="16"/>
      <c r="N2329" s="16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D2329" s="16"/>
      <c r="AH2329" s="16"/>
      <c r="AL2329" s="16"/>
      <c r="AP2329" s="16"/>
      <c r="AT2329" s="16"/>
      <c r="AX2329" s="16"/>
      <c r="BF2329" s="16"/>
      <c r="BJ2329" s="16"/>
      <c r="BN2329" s="16"/>
      <c r="BO2329" s="16">
        <v>9200.0</v>
      </c>
      <c r="BP2329" s="16"/>
      <c r="BQ2329" s="16" t="b">
        <v>1</v>
      </c>
      <c r="BR2329" s="16">
        <v>9200.0</v>
      </c>
      <c r="BS2329" s="16"/>
      <c r="BT2329" s="16"/>
      <c r="BU2329" s="16" t="s">
        <v>539</v>
      </c>
      <c r="BV2329" s="16"/>
      <c r="BW2329" s="16"/>
      <c r="BX2329" s="16"/>
    </row>
    <row r="2330">
      <c r="A2330" s="16">
        <v>12105.0</v>
      </c>
      <c r="B2330" s="16" t="s">
        <v>35</v>
      </c>
      <c r="C2330" s="201">
        <v>46147.0</v>
      </c>
      <c r="D2330" s="16" t="s">
        <v>3516</v>
      </c>
      <c r="E2330" s="16"/>
      <c r="F2330" s="16" t="s">
        <v>9933</v>
      </c>
      <c r="G2330" s="16" t="s">
        <v>8501</v>
      </c>
      <c r="H2330" s="16">
        <v>1.0</v>
      </c>
      <c r="I2330" s="16">
        <v>533.95</v>
      </c>
      <c r="J2330" s="16">
        <v>533.95</v>
      </c>
      <c r="K2330" s="16"/>
      <c r="L2330" s="16"/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D2330" s="16"/>
      <c r="AH2330" s="16"/>
      <c r="AL2330" s="16"/>
      <c r="AP2330" s="16"/>
      <c r="AT2330" s="16"/>
      <c r="AX2330" s="16"/>
      <c r="BF2330" s="16"/>
      <c r="BJ2330" s="16"/>
      <c r="BN2330" s="16"/>
      <c r="BO2330" s="16">
        <v>533.95</v>
      </c>
      <c r="BP2330" s="16"/>
      <c r="BQ2330" s="16" t="b">
        <v>1</v>
      </c>
      <c r="BR2330" s="16">
        <v>533.95</v>
      </c>
      <c r="BS2330" s="16"/>
      <c r="BT2330" s="16"/>
      <c r="BU2330" s="16" t="s">
        <v>539</v>
      </c>
      <c r="BV2330" s="16"/>
      <c r="BW2330" s="16"/>
      <c r="BX2330" s="16"/>
    </row>
    <row r="2331">
      <c r="A2331" s="16">
        <v>12106.0</v>
      </c>
      <c r="B2331" s="16" t="s">
        <v>35</v>
      </c>
      <c r="C2331" s="201">
        <v>46147.0</v>
      </c>
      <c r="D2331" s="16" t="s">
        <v>2439</v>
      </c>
      <c r="E2331" s="16"/>
      <c r="F2331" s="16" t="s">
        <v>12745</v>
      </c>
      <c r="G2331" s="16" t="s">
        <v>873</v>
      </c>
      <c r="H2331" s="16">
        <v>1.0</v>
      </c>
      <c r="I2331" s="16">
        <v>0.0</v>
      </c>
      <c r="J2331" s="16">
        <v>0.0</v>
      </c>
      <c r="K2331" s="16"/>
      <c r="L2331" s="16"/>
      <c r="M2331" s="16"/>
      <c r="N2331" s="16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D2331" s="16"/>
      <c r="AH2331" s="16"/>
      <c r="AL2331" s="16"/>
      <c r="AP2331" s="16"/>
      <c r="AT2331" s="16"/>
      <c r="AX2331" s="16"/>
      <c r="BF2331" s="16"/>
      <c r="BJ2331" s="16"/>
      <c r="BN2331" s="16"/>
      <c r="BO2331" s="16">
        <v>0.0</v>
      </c>
      <c r="BP2331" s="16"/>
      <c r="BQ2331" s="16" t="b">
        <v>1</v>
      </c>
      <c r="BR2331" s="16">
        <v>0.0</v>
      </c>
      <c r="BS2331" s="16"/>
      <c r="BT2331" s="16"/>
      <c r="BU2331" s="16" t="s">
        <v>539</v>
      </c>
      <c r="BV2331" s="16"/>
      <c r="BW2331" s="16"/>
      <c r="BX2331" s="16"/>
    </row>
    <row r="2332">
      <c r="A2332" s="16">
        <v>12107.0</v>
      </c>
      <c r="B2332" s="16" t="s">
        <v>35</v>
      </c>
      <c r="C2332" s="201">
        <v>46147.0</v>
      </c>
      <c r="D2332" s="16" t="s">
        <v>10315</v>
      </c>
      <c r="E2332" s="16"/>
      <c r="F2332" s="16" t="s">
        <v>12747</v>
      </c>
      <c r="G2332" s="16" t="s">
        <v>8792</v>
      </c>
      <c r="H2332" s="16">
        <v>1.0</v>
      </c>
      <c r="I2332" s="16">
        <v>0.01</v>
      </c>
      <c r="J2332" s="16">
        <v>0.01</v>
      </c>
      <c r="K2332" s="16"/>
      <c r="L2332" s="16"/>
      <c r="M2332" s="16"/>
      <c r="N2332" s="16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16"/>
      <c r="AD2332" s="16"/>
      <c r="AH2332" s="16"/>
      <c r="AL2332" s="16"/>
      <c r="AP2332" s="16"/>
      <c r="AT2332" s="16"/>
      <c r="AX2332" s="16"/>
      <c r="BF2332" s="16"/>
      <c r="BJ2332" s="16"/>
      <c r="BN2332" s="16"/>
      <c r="BO2332" s="16">
        <v>0.01</v>
      </c>
      <c r="BP2332" s="16"/>
      <c r="BQ2332" s="16" t="b">
        <v>1</v>
      </c>
      <c r="BR2332" s="16">
        <v>0.01</v>
      </c>
      <c r="BS2332" s="16"/>
      <c r="BT2332" s="16"/>
      <c r="BU2332" s="16" t="s">
        <v>539</v>
      </c>
      <c r="BV2332" s="16"/>
      <c r="BW2332" s="16"/>
      <c r="BX2332" s="16"/>
    </row>
    <row r="2333">
      <c r="A2333" s="16">
        <v>12113.0</v>
      </c>
      <c r="B2333" s="16" t="s">
        <v>35</v>
      </c>
      <c r="C2333" s="201">
        <v>46147.0</v>
      </c>
      <c r="D2333" s="16" t="s">
        <v>7740</v>
      </c>
      <c r="E2333" s="16"/>
      <c r="F2333" s="16" t="s">
        <v>12745</v>
      </c>
      <c r="G2333" s="16" t="s">
        <v>9254</v>
      </c>
      <c r="H2333" s="16">
        <v>1.0</v>
      </c>
      <c r="I2333" s="16">
        <v>0.0</v>
      </c>
      <c r="J2333" s="16">
        <v>0.0</v>
      </c>
      <c r="K2333" s="16"/>
      <c r="L2333" s="16"/>
      <c r="M2333" s="16"/>
      <c r="N2333" s="16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16"/>
      <c r="AD2333" s="16"/>
      <c r="AH2333" s="16"/>
      <c r="AL2333" s="16"/>
      <c r="AP2333" s="16"/>
      <c r="AT2333" s="16"/>
      <c r="AX2333" s="16"/>
      <c r="BF2333" s="16"/>
      <c r="BJ2333" s="16"/>
      <c r="BN2333" s="16"/>
      <c r="BO2333" s="16">
        <v>0.0</v>
      </c>
      <c r="BP2333" s="16"/>
      <c r="BQ2333" s="16" t="b">
        <v>1</v>
      </c>
      <c r="BR2333" s="16">
        <v>0.0</v>
      </c>
      <c r="BS2333" s="16"/>
      <c r="BT2333" s="16"/>
      <c r="BU2333" s="16" t="s">
        <v>539</v>
      </c>
      <c r="BV2333" s="16"/>
      <c r="BW2333" s="16"/>
      <c r="BX2333" s="16"/>
    </row>
    <row r="2334">
      <c r="A2334" s="16" t="s">
        <v>10194</v>
      </c>
      <c r="B2334" s="16" t="s">
        <v>35</v>
      </c>
      <c r="C2334" s="201">
        <v>46147.0</v>
      </c>
      <c r="D2334" s="16" t="s">
        <v>890</v>
      </c>
      <c r="E2334" s="16"/>
      <c r="F2334" s="16" t="s">
        <v>12748</v>
      </c>
      <c r="G2334" s="16" t="s">
        <v>8458</v>
      </c>
      <c r="H2334" s="16">
        <v>1.0</v>
      </c>
      <c r="I2334" s="16">
        <v>30.0</v>
      </c>
      <c r="J2334" s="16">
        <v>30.0</v>
      </c>
      <c r="K2334" s="16"/>
      <c r="L2334" s="16"/>
      <c r="M2334" s="16"/>
      <c r="N2334" s="16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16"/>
      <c r="AD2334" s="16"/>
      <c r="AH2334" s="16"/>
      <c r="AL2334" s="16"/>
      <c r="AP2334" s="16"/>
      <c r="AT2334" s="16"/>
      <c r="AX2334" s="16"/>
      <c r="BF2334" s="16"/>
      <c r="BJ2334" s="16"/>
      <c r="BN2334" s="16"/>
      <c r="BO2334" s="16">
        <v>30.0</v>
      </c>
      <c r="BP2334" s="16"/>
      <c r="BQ2334" s="16" t="b">
        <v>1</v>
      </c>
      <c r="BR2334" s="16">
        <v>30.0</v>
      </c>
      <c r="BS2334" s="16"/>
      <c r="BT2334" s="16"/>
      <c r="BU2334" s="16" t="s">
        <v>539</v>
      </c>
      <c r="BV2334" s="16"/>
      <c r="BW2334" s="16"/>
      <c r="BX2334" s="16"/>
    </row>
    <row r="2335">
      <c r="A2335" s="16" t="s">
        <v>10198</v>
      </c>
      <c r="B2335" s="16" t="s">
        <v>35</v>
      </c>
      <c r="C2335" s="201">
        <v>46153.0</v>
      </c>
      <c r="D2335" s="16" t="s">
        <v>890</v>
      </c>
      <c r="E2335" s="16"/>
      <c r="F2335" s="16" t="s">
        <v>12750</v>
      </c>
      <c r="G2335" s="16" t="s">
        <v>1517</v>
      </c>
      <c r="H2335" s="16">
        <v>1.0</v>
      </c>
      <c r="I2335" s="16">
        <v>1.75</v>
      </c>
      <c r="J2335" s="16">
        <v>1.75</v>
      </c>
      <c r="K2335" s="16"/>
      <c r="L2335" s="16"/>
      <c r="M2335" s="16"/>
      <c r="N2335" s="16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16"/>
      <c r="AD2335" s="16"/>
      <c r="AH2335" s="16"/>
      <c r="AL2335" s="16"/>
      <c r="AP2335" s="16"/>
      <c r="AT2335" s="16"/>
      <c r="AX2335" s="16"/>
      <c r="BF2335" s="16"/>
      <c r="BJ2335" s="16"/>
      <c r="BN2335" s="16"/>
      <c r="BO2335" s="16">
        <v>1.75</v>
      </c>
      <c r="BP2335" s="16"/>
      <c r="BQ2335" s="16" t="b">
        <v>1</v>
      </c>
      <c r="BR2335" s="16">
        <v>1.75</v>
      </c>
      <c r="BS2335" s="16"/>
      <c r="BT2335" s="16"/>
      <c r="BU2335" s="16" t="s">
        <v>539</v>
      </c>
      <c r="BV2335" s="16"/>
      <c r="BW2335" s="16"/>
      <c r="BX2335" s="16"/>
    </row>
    <row r="2336">
      <c r="A2336" s="16">
        <v>1.4564904E8</v>
      </c>
      <c r="B2336" s="16" t="s">
        <v>35</v>
      </c>
      <c r="C2336" s="201">
        <v>46153.0</v>
      </c>
      <c r="D2336" s="16" t="s">
        <v>890</v>
      </c>
      <c r="E2336" s="16"/>
      <c r="F2336" s="16" t="s">
        <v>12751</v>
      </c>
      <c r="G2336" s="16" t="s">
        <v>8458</v>
      </c>
      <c r="H2336" s="16">
        <v>1.0</v>
      </c>
      <c r="I2336" s="16">
        <v>2223.0</v>
      </c>
      <c r="J2336" s="16">
        <v>2223.0</v>
      </c>
      <c r="K2336" s="16"/>
      <c r="L2336" s="16"/>
      <c r="M2336" s="16"/>
      <c r="N2336" s="16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16"/>
      <c r="AD2336" s="16"/>
      <c r="AH2336" s="16"/>
      <c r="AL2336" s="16"/>
      <c r="AP2336" s="16"/>
      <c r="AT2336" s="16"/>
      <c r="AX2336" s="16"/>
      <c r="BF2336" s="16"/>
      <c r="BJ2336" s="16"/>
      <c r="BN2336" s="16"/>
      <c r="BO2336" s="16">
        <v>2223.0</v>
      </c>
      <c r="BP2336" s="16"/>
      <c r="BQ2336" s="16" t="b">
        <v>1</v>
      </c>
      <c r="BR2336" s="16">
        <v>2223.0</v>
      </c>
      <c r="BS2336" s="16"/>
      <c r="BT2336" s="16"/>
      <c r="BU2336" s="16" t="s">
        <v>539</v>
      </c>
      <c r="BV2336" s="16"/>
      <c r="BW2336" s="16"/>
      <c r="BX2336" s="16"/>
    </row>
    <row r="2337">
      <c r="A2337" s="16" t="s">
        <v>10203</v>
      </c>
      <c r="B2337" s="16" t="s">
        <v>35</v>
      </c>
      <c r="C2337" s="201">
        <v>46153.0</v>
      </c>
      <c r="D2337" s="16" t="s">
        <v>890</v>
      </c>
      <c r="E2337" s="16"/>
      <c r="F2337" s="16" t="s">
        <v>12754</v>
      </c>
      <c r="G2337" s="16" t="s">
        <v>1517</v>
      </c>
      <c r="H2337" s="16">
        <v>1.0</v>
      </c>
      <c r="I2337" s="16">
        <v>647.58</v>
      </c>
      <c r="J2337" s="16">
        <v>647.58</v>
      </c>
      <c r="K2337" s="16"/>
      <c r="L2337" s="16"/>
      <c r="M2337" s="16"/>
      <c r="N2337" s="16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16"/>
      <c r="AD2337" s="16"/>
      <c r="AH2337" s="16"/>
      <c r="AL2337" s="16"/>
      <c r="AP2337" s="16"/>
      <c r="AT2337" s="16"/>
      <c r="AX2337" s="16"/>
      <c r="BF2337" s="16"/>
      <c r="BJ2337" s="16"/>
      <c r="BN2337" s="16"/>
      <c r="BO2337" s="16">
        <v>647.58</v>
      </c>
      <c r="BP2337" s="16"/>
      <c r="BQ2337" s="16" t="b">
        <v>1</v>
      </c>
      <c r="BR2337" s="16">
        <v>647.58</v>
      </c>
      <c r="BS2337" s="16"/>
      <c r="BT2337" s="16"/>
      <c r="BU2337" s="16" t="s">
        <v>539</v>
      </c>
      <c r="BV2337" s="16"/>
      <c r="BW2337" s="16"/>
      <c r="BX2337" s="16"/>
    </row>
    <row r="2338">
      <c r="A2338" s="16" t="s">
        <v>10205</v>
      </c>
      <c r="B2338" s="16" t="s">
        <v>35</v>
      </c>
      <c r="C2338" s="201">
        <v>46153.0</v>
      </c>
      <c r="D2338" s="16" t="s">
        <v>890</v>
      </c>
      <c r="E2338" s="16"/>
      <c r="F2338" s="16" t="s">
        <v>12755</v>
      </c>
      <c r="G2338" s="16" t="s">
        <v>1517</v>
      </c>
      <c r="H2338" s="16">
        <v>1.0</v>
      </c>
      <c r="I2338" s="16">
        <v>5.18</v>
      </c>
      <c r="J2338" s="16">
        <v>5.18</v>
      </c>
      <c r="K2338" s="16"/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  <c r="AD2338" s="16"/>
      <c r="AH2338" s="16"/>
      <c r="AL2338" s="16"/>
      <c r="AP2338" s="16"/>
      <c r="AT2338" s="16"/>
      <c r="AX2338" s="16"/>
      <c r="BF2338" s="16"/>
      <c r="BJ2338" s="16"/>
      <c r="BN2338" s="16"/>
      <c r="BO2338" s="16">
        <v>5.18</v>
      </c>
      <c r="BP2338" s="16"/>
      <c r="BQ2338" s="16" t="b">
        <v>1</v>
      </c>
      <c r="BR2338" s="16">
        <v>5.18</v>
      </c>
      <c r="BS2338" s="16"/>
      <c r="BT2338" s="16"/>
      <c r="BU2338" s="16" t="s">
        <v>539</v>
      </c>
      <c r="BV2338" s="16"/>
      <c r="BW2338" s="16"/>
      <c r="BX2338" s="16"/>
    </row>
    <row r="2339">
      <c r="A2339" s="16">
        <v>12123.0</v>
      </c>
      <c r="B2339" s="16" t="s">
        <v>35</v>
      </c>
      <c r="C2339" s="201">
        <v>46153.0</v>
      </c>
      <c r="D2339" s="16" t="s">
        <v>10092</v>
      </c>
      <c r="E2339" s="16"/>
      <c r="F2339" s="16" t="s">
        <v>10093</v>
      </c>
      <c r="G2339" s="16" t="s">
        <v>8603</v>
      </c>
      <c r="H2339" s="16">
        <v>1.0</v>
      </c>
      <c r="I2339" s="16">
        <v>181.37</v>
      </c>
      <c r="J2339" s="16">
        <v>181.37</v>
      </c>
      <c r="K2339" s="16"/>
      <c r="L2339" s="16"/>
      <c r="M2339" s="16"/>
      <c r="N2339" s="16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16"/>
      <c r="AD2339" s="16"/>
      <c r="AH2339" s="16"/>
      <c r="AL2339" s="16"/>
      <c r="AP2339" s="16"/>
      <c r="AT2339" s="16"/>
      <c r="AX2339" s="16"/>
      <c r="BF2339" s="16"/>
      <c r="BJ2339" s="16"/>
      <c r="BN2339" s="16"/>
      <c r="BO2339" s="16">
        <v>181.37</v>
      </c>
      <c r="BP2339" s="16"/>
      <c r="BQ2339" s="16" t="b">
        <v>1</v>
      </c>
      <c r="BR2339" s="16">
        <v>181.37</v>
      </c>
      <c r="BS2339" s="16"/>
      <c r="BT2339" s="16"/>
      <c r="BU2339" s="16" t="s">
        <v>539</v>
      </c>
      <c r="BV2339" s="16"/>
      <c r="BW2339" s="16"/>
      <c r="BX2339" s="16"/>
    </row>
    <row r="2340">
      <c r="A2340" s="16">
        <v>12124.0</v>
      </c>
      <c r="B2340" s="16" t="s">
        <v>35</v>
      </c>
      <c r="C2340" s="201">
        <v>46153.0</v>
      </c>
      <c r="D2340" s="16" t="s">
        <v>2280</v>
      </c>
      <c r="E2340" s="16"/>
      <c r="F2340" s="16" t="s">
        <v>10095</v>
      </c>
      <c r="G2340" s="16" t="s">
        <v>9257</v>
      </c>
      <c r="H2340" s="16">
        <v>1.0</v>
      </c>
      <c r="I2340" s="16">
        <v>1644.72</v>
      </c>
      <c r="J2340" s="16">
        <v>1644.72</v>
      </c>
      <c r="K2340" s="16"/>
      <c r="L2340" s="16"/>
      <c r="M2340" s="16"/>
      <c r="N2340" s="16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16"/>
      <c r="AD2340" s="16"/>
      <c r="AH2340" s="16"/>
      <c r="AL2340" s="16"/>
      <c r="AP2340" s="16"/>
      <c r="AT2340" s="16"/>
      <c r="AX2340" s="16"/>
      <c r="BF2340" s="16"/>
      <c r="BJ2340" s="16"/>
      <c r="BN2340" s="16"/>
      <c r="BO2340" s="16">
        <v>1644.72</v>
      </c>
      <c r="BP2340" s="16"/>
      <c r="BQ2340" s="16" t="b">
        <v>1</v>
      </c>
      <c r="BR2340" s="16">
        <v>1644.72</v>
      </c>
      <c r="BS2340" s="16"/>
      <c r="BT2340" s="16"/>
      <c r="BU2340" s="16" t="s">
        <v>539</v>
      </c>
      <c r="BV2340" s="16"/>
      <c r="BW2340" s="16"/>
      <c r="BX2340" s="16"/>
    </row>
    <row r="2341">
      <c r="A2341" s="16">
        <v>12125.0</v>
      </c>
      <c r="B2341" s="16" t="s">
        <v>35</v>
      </c>
      <c r="C2341" s="201">
        <v>46153.0</v>
      </c>
      <c r="D2341" s="16" t="s">
        <v>2248</v>
      </c>
      <c r="E2341" s="16"/>
      <c r="F2341" s="16" t="s">
        <v>8055</v>
      </c>
      <c r="G2341" s="16" t="s">
        <v>3218</v>
      </c>
      <c r="H2341" s="16">
        <v>1.0</v>
      </c>
      <c r="I2341" s="16">
        <v>185.0</v>
      </c>
      <c r="J2341" s="16">
        <v>185.0</v>
      </c>
      <c r="K2341" s="16"/>
      <c r="L2341" s="16"/>
      <c r="M2341" s="16"/>
      <c r="N2341" s="16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D2341" s="16"/>
      <c r="AH2341" s="16"/>
      <c r="AL2341" s="16"/>
      <c r="AP2341" s="16"/>
      <c r="AT2341" s="16"/>
      <c r="AX2341" s="16"/>
      <c r="BF2341" s="16"/>
      <c r="BJ2341" s="16"/>
      <c r="BN2341" s="16"/>
      <c r="BO2341" s="16">
        <v>185.0</v>
      </c>
      <c r="BP2341" s="16"/>
      <c r="BQ2341" s="16" t="b">
        <v>1</v>
      </c>
      <c r="BR2341" s="16">
        <v>185.0</v>
      </c>
      <c r="BS2341" s="16"/>
      <c r="BT2341" s="16"/>
      <c r="BU2341" s="16" t="s">
        <v>539</v>
      </c>
      <c r="BV2341" s="16"/>
      <c r="BW2341" s="16"/>
      <c r="BX2341" s="16"/>
    </row>
    <row r="2342">
      <c r="A2342" s="16">
        <v>12126.0</v>
      </c>
      <c r="B2342" s="16" t="s">
        <v>35</v>
      </c>
      <c r="C2342" s="201">
        <v>46153.0</v>
      </c>
      <c r="D2342" s="16" t="s">
        <v>890</v>
      </c>
      <c r="E2342" s="16"/>
      <c r="F2342" s="16" t="s">
        <v>4010</v>
      </c>
      <c r="G2342" s="16" t="s">
        <v>4831</v>
      </c>
      <c r="H2342" s="16">
        <v>1.0</v>
      </c>
      <c r="I2342" s="16">
        <v>396.0</v>
      </c>
      <c r="J2342" s="16">
        <v>396.0</v>
      </c>
      <c r="K2342" s="16"/>
      <c r="L2342" s="16"/>
      <c r="M2342" s="16"/>
      <c r="N2342" s="16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D2342" s="16"/>
      <c r="AH2342" s="16"/>
      <c r="AL2342" s="16"/>
      <c r="AP2342" s="16"/>
      <c r="AT2342" s="16"/>
      <c r="AX2342" s="16"/>
      <c r="BF2342" s="16"/>
      <c r="BJ2342" s="16"/>
      <c r="BN2342" s="16"/>
      <c r="BO2342" s="16">
        <v>396.0</v>
      </c>
      <c r="BP2342" s="16"/>
      <c r="BQ2342" s="16" t="b">
        <v>1</v>
      </c>
      <c r="BR2342" s="16">
        <v>396.0</v>
      </c>
      <c r="BS2342" s="16"/>
      <c r="BT2342" s="16"/>
      <c r="BU2342" s="16" t="s">
        <v>539</v>
      </c>
      <c r="BV2342" s="16"/>
      <c r="BW2342" s="16"/>
      <c r="BX2342" s="16"/>
    </row>
    <row r="2343">
      <c r="A2343" s="16" t="s">
        <v>10213</v>
      </c>
      <c r="B2343" s="16" t="s">
        <v>35</v>
      </c>
      <c r="C2343" s="201">
        <v>46153.0</v>
      </c>
      <c r="D2343" s="16" t="s">
        <v>460</v>
      </c>
      <c r="E2343" s="16"/>
      <c r="F2343" s="16" t="s">
        <v>12758</v>
      </c>
      <c r="G2343" s="16" t="s">
        <v>10214</v>
      </c>
      <c r="H2343" s="16">
        <v>1.0</v>
      </c>
      <c r="I2343" s="16">
        <v>42.7</v>
      </c>
      <c r="J2343" s="16">
        <v>42.7</v>
      </c>
      <c r="K2343" s="16"/>
      <c r="L2343" s="16"/>
      <c r="M2343" s="16"/>
      <c r="N2343" s="16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D2343" s="16"/>
      <c r="AH2343" s="16"/>
      <c r="AL2343" s="16"/>
      <c r="AP2343" s="16"/>
      <c r="AT2343" s="16"/>
      <c r="AX2343" s="16"/>
      <c r="BF2343" s="16"/>
      <c r="BJ2343" s="16"/>
      <c r="BN2343" s="16"/>
      <c r="BO2343" s="16">
        <v>42.7</v>
      </c>
      <c r="BP2343" s="16"/>
      <c r="BQ2343" s="16" t="b">
        <v>1</v>
      </c>
      <c r="BR2343" s="16">
        <v>42.7</v>
      </c>
      <c r="BS2343" s="16"/>
      <c r="BT2343" s="16"/>
      <c r="BU2343" s="16" t="s">
        <v>539</v>
      </c>
      <c r="BV2343" s="16"/>
      <c r="BW2343" s="16"/>
      <c r="BX2343" s="16"/>
    </row>
    <row r="2344">
      <c r="A2344" s="16" t="s">
        <v>10218</v>
      </c>
      <c r="B2344" s="16" t="s">
        <v>35</v>
      </c>
      <c r="C2344" s="201">
        <v>46153.0</v>
      </c>
      <c r="D2344" s="16" t="s">
        <v>460</v>
      </c>
      <c r="E2344" s="16"/>
      <c r="F2344" s="16" t="s">
        <v>12760</v>
      </c>
      <c r="G2344" s="16" t="s">
        <v>5636</v>
      </c>
      <c r="H2344" s="16">
        <v>1.0</v>
      </c>
      <c r="I2344" s="16">
        <v>240.5</v>
      </c>
      <c r="J2344" s="16">
        <v>240.5</v>
      </c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16"/>
      <c r="AD2344" s="16"/>
      <c r="AH2344" s="16"/>
      <c r="AL2344" s="16"/>
      <c r="AP2344" s="16"/>
      <c r="AT2344" s="16"/>
      <c r="AX2344" s="16"/>
      <c r="BF2344" s="16"/>
      <c r="BJ2344" s="16"/>
      <c r="BN2344" s="16"/>
      <c r="BO2344" s="16">
        <v>240.5</v>
      </c>
      <c r="BP2344" s="16"/>
      <c r="BQ2344" s="16" t="b">
        <v>1</v>
      </c>
      <c r="BR2344" s="16">
        <v>240.5</v>
      </c>
      <c r="BS2344" s="16"/>
      <c r="BT2344" s="16"/>
      <c r="BU2344" s="16" t="s">
        <v>539</v>
      </c>
      <c r="BV2344" s="16"/>
      <c r="BW2344" s="16"/>
      <c r="BX2344" s="16"/>
    </row>
    <row r="2345">
      <c r="A2345" s="16" t="s">
        <v>10220</v>
      </c>
      <c r="B2345" s="16" t="s">
        <v>35</v>
      </c>
      <c r="C2345" s="201">
        <v>46153.0</v>
      </c>
      <c r="D2345" s="16" t="s">
        <v>460</v>
      </c>
      <c r="E2345" s="16"/>
      <c r="F2345" s="16" t="s">
        <v>12763</v>
      </c>
      <c r="G2345" s="16" t="s">
        <v>10065</v>
      </c>
      <c r="H2345" s="16">
        <v>1.0</v>
      </c>
      <c r="I2345" s="16">
        <v>83.0</v>
      </c>
      <c r="J2345" s="16">
        <v>83.0</v>
      </c>
      <c r="K2345" s="16"/>
      <c r="L2345" s="16"/>
      <c r="M2345" s="16"/>
      <c r="N2345" s="16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16"/>
      <c r="AD2345" s="16"/>
      <c r="AH2345" s="16"/>
      <c r="AL2345" s="16"/>
      <c r="AP2345" s="16"/>
      <c r="AT2345" s="16"/>
      <c r="AX2345" s="16"/>
      <c r="BF2345" s="16"/>
      <c r="BJ2345" s="16"/>
      <c r="BN2345" s="16"/>
      <c r="BO2345" s="16">
        <v>83.0</v>
      </c>
      <c r="BP2345" s="16"/>
      <c r="BQ2345" s="16" t="b">
        <v>1</v>
      </c>
      <c r="BR2345" s="16">
        <v>83.0</v>
      </c>
      <c r="BS2345" s="16"/>
      <c r="BT2345" s="16"/>
      <c r="BU2345" s="16" t="s">
        <v>539</v>
      </c>
      <c r="BV2345" s="16"/>
      <c r="BW2345" s="16"/>
      <c r="BX2345" s="16"/>
    </row>
    <row r="2346">
      <c r="A2346" s="16" t="s">
        <v>10223</v>
      </c>
      <c r="B2346" s="16" t="s">
        <v>35</v>
      </c>
      <c r="C2346" s="201">
        <v>46153.0</v>
      </c>
      <c r="D2346" s="16" t="s">
        <v>890</v>
      </c>
      <c r="E2346" s="16"/>
      <c r="F2346" s="16" t="s">
        <v>12764</v>
      </c>
      <c r="G2346" s="16" t="s">
        <v>3833</v>
      </c>
      <c r="H2346" s="16">
        <v>1.0</v>
      </c>
      <c r="I2346" s="16">
        <v>2986.17</v>
      </c>
      <c r="J2346" s="16">
        <v>2986.17</v>
      </c>
      <c r="K2346" s="16"/>
      <c r="L2346" s="16"/>
      <c r="M2346" s="16"/>
      <c r="N2346" s="16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16"/>
      <c r="AD2346" s="16"/>
      <c r="AH2346" s="16"/>
      <c r="AL2346" s="16"/>
      <c r="AP2346" s="16"/>
      <c r="AT2346" s="16"/>
      <c r="AX2346" s="16"/>
      <c r="BF2346" s="16"/>
      <c r="BJ2346" s="16"/>
      <c r="BN2346" s="16"/>
      <c r="BO2346" s="16">
        <v>2986.17</v>
      </c>
      <c r="BP2346" s="16"/>
      <c r="BQ2346" s="16" t="b">
        <v>1</v>
      </c>
      <c r="BR2346" s="16">
        <v>2986.17</v>
      </c>
      <c r="BS2346" s="16"/>
      <c r="BT2346" s="16"/>
      <c r="BU2346" s="16" t="s">
        <v>539</v>
      </c>
      <c r="BV2346" s="16"/>
      <c r="BW2346" s="16"/>
      <c r="BX2346" s="16"/>
    </row>
    <row r="2347">
      <c r="A2347" s="16" t="s">
        <v>10226</v>
      </c>
      <c r="B2347" s="16" t="s">
        <v>35</v>
      </c>
      <c r="C2347" s="201">
        <v>46153.0</v>
      </c>
      <c r="D2347" s="16" t="s">
        <v>1864</v>
      </c>
      <c r="E2347" s="16"/>
      <c r="F2347" s="16" t="s">
        <v>7232</v>
      </c>
      <c r="G2347" s="16" t="s">
        <v>9706</v>
      </c>
      <c r="H2347" s="16">
        <v>1.0</v>
      </c>
      <c r="I2347" s="16">
        <v>23.47</v>
      </c>
      <c r="J2347" s="16">
        <v>23.47</v>
      </c>
      <c r="K2347" s="16"/>
      <c r="L2347" s="16"/>
      <c r="M2347" s="16"/>
      <c r="N2347" s="16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16"/>
      <c r="AD2347" s="16"/>
      <c r="AH2347" s="16"/>
      <c r="AL2347" s="16"/>
      <c r="AP2347" s="16"/>
      <c r="AT2347" s="16"/>
      <c r="AX2347" s="16"/>
      <c r="BF2347" s="16"/>
      <c r="BJ2347" s="16"/>
      <c r="BN2347" s="16"/>
      <c r="BO2347" s="16">
        <v>23.47</v>
      </c>
      <c r="BP2347" s="16"/>
      <c r="BQ2347" s="16" t="b">
        <v>1</v>
      </c>
      <c r="BR2347" s="16">
        <v>23.47</v>
      </c>
      <c r="BS2347" s="16"/>
      <c r="BT2347" s="16"/>
      <c r="BU2347" s="16" t="s">
        <v>539</v>
      </c>
      <c r="BV2347" s="16"/>
      <c r="BW2347" s="16"/>
      <c r="BX2347" s="16"/>
    </row>
    <row r="2348">
      <c r="A2348" s="16">
        <v>12121.0</v>
      </c>
      <c r="B2348" s="16" t="s">
        <v>35</v>
      </c>
      <c r="C2348" s="201">
        <v>46154.0</v>
      </c>
      <c r="D2348" s="16" t="s">
        <v>890</v>
      </c>
      <c r="E2348" s="16"/>
      <c r="F2348" s="16" t="s">
        <v>10085</v>
      </c>
      <c r="G2348" s="16" t="s">
        <v>6956</v>
      </c>
      <c r="H2348" s="16">
        <v>1.0</v>
      </c>
      <c r="I2348" s="16">
        <v>1148.0</v>
      </c>
      <c r="J2348" s="16">
        <v>1148.0</v>
      </c>
      <c r="K2348" s="16"/>
      <c r="L2348" s="16"/>
      <c r="M2348" s="16"/>
      <c r="N2348" s="16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16"/>
      <c r="AD2348" s="16"/>
      <c r="AH2348" s="16"/>
      <c r="AL2348" s="16"/>
      <c r="AP2348" s="16"/>
      <c r="AT2348" s="16"/>
      <c r="AX2348" s="16"/>
      <c r="BF2348" s="16"/>
      <c r="BJ2348" s="16"/>
      <c r="BN2348" s="16"/>
      <c r="BO2348" s="16">
        <v>1148.0</v>
      </c>
      <c r="BP2348" s="16"/>
      <c r="BQ2348" s="16" t="b">
        <v>1</v>
      </c>
      <c r="BR2348" s="16">
        <v>1148.0</v>
      </c>
      <c r="BS2348" s="16"/>
      <c r="BT2348" s="16"/>
      <c r="BU2348" s="16" t="s">
        <v>539</v>
      </c>
      <c r="BV2348" s="16"/>
      <c r="BW2348" s="16"/>
      <c r="BX2348" s="16"/>
    </row>
    <row r="2349">
      <c r="A2349" s="16">
        <v>12122.0</v>
      </c>
      <c r="B2349" s="16" t="s">
        <v>35</v>
      </c>
      <c r="C2349" s="201">
        <v>46154.0</v>
      </c>
      <c r="D2349" s="16" t="s">
        <v>890</v>
      </c>
      <c r="E2349" s="16"/>
      <c r="F2349" s="16" t="s">
        <v>10089</v>
      </c>
      <c r="G2349" s="16" t="s">
        <v>7344</v>
      </c>
      <c r="H2349" s="16">
        <v>1.0</v>
      </c>
      <c r="I2349" s="16">
        <v>1033.0</v>
      </c>
      <c r="J2349" s="16">
        <v>1033.0</v>
      </c>
      <c r="K2349" s="16"/>
      <c r="L2349" s="16"/>
      <c r="M2349" s="16"/>
      <c r="N2349" s="16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D2349" s="16"/>
      <c r="AH2349" s="16"/>
      <c r="AL2349" s="16"/>
      <c r="AP2349" s="16"/>
      <c r="AT2349" s="16"/>
      <c r="AX2349" s="16"/>
      <c r="BF2349" s="16"/>
      <c r="BJ2349" s="16"/>
      <c r="BN2349" s="16"/>
      <c r="BO2349" s="16">
        <v>1033.0</v>
      </c>
      <c r="BP2349" s="16"/>
      <c r="BQ2349" s="16" t="b">
        <v>1</v>
      </c>
      <c r="BR2349" s="16">
        <v>1033.0</v>
      </c>
      <c r="BS2349" s="16"/>
      <c r="BT2349" s="16"/>
      <c r="BU2349" s="16" t="s">
        <v>539</v>
      </c>
      <c r="BV2349" s="16"/>
      <c r="BW2349" s="16"/>
      <c r="BX2349" s="16"/>
    </row>
    <row r="2350">
      <c r="A2350" s="16" t="s">
        <v>10233</v>
      </c>
      <c r="B2350" s="16" t="s">
        <v>35</v>
      </c>
      <c r="C2350" s="201">
        <v>46155.0</v>
      </c>
      <c r="D2350" s="16"/>
      <c r="E2350" s="16"/>
      <c r="F2350" s="16" t="s">
        <v>12766</v>
      </c>
      <c r="G2350" s="16" t="s">
        <v>1168</v>
      </c>
      <c r="H2350" s="16">
        <v>1.0</v>
      </c>
      <c r="I2350" s="16">
        <v>500.0</v>
      </c>
      <c r="J2350" s="16">
        <v>500.0</v>
      </c>
      <c r="K2350" s="16"/>
      <c r="L2350" s="16"/>
      <c r="M2350" s="16"/>
      <c r="N2350" s="16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D2350" s="16"/>
      <c r="AH2350" s="16"/>
      <c r="AL2350" s="16"/>
      <c r="AP2350" s="16"/>
      <c r="AT2350" s="16"/>
      <c r="AX2350" s="16"/>
      <c r="BF2350" s="16"/>
      <c r="BJ2350" s="16"/>
      <c r="BN2350" s="16"/>
      <c r="BO2350" s="16">
        <v>500.0</v>
      </c>
      <c r="BP2350" s="16"/>
      <c r="BQ2350" s="16" t="b">
        <v>1</v>
      </c>
      <c r="BR2350" s="16">
        <v>500.0</v>
      </c>
      <c r="BS2350" s="16"/>
      <c r="BT2350" s="16"/>
      <c r="BU2350" s="16" t="s">
        <v>539</v>
      </c>
      <c r="BV2350" s="16" t="s">
        <v>117</v>
      </c>
      <c r="BW2350" s="16"/>
      <c r="BX2350" s="16"/>
    </row>
    <row r="2351">
      <c r="A2351" s="16" t="s">
        <v>10236</v>
      </c>
      <c r="B2351" s="16" t="s">
        <v>35</v>
      </c>
      <c r="C2351" s="201">
        <v>46155.0</v>
      </c>
      <c r="D2351" s="16"/>
      <c r="E2351" s="16"/>
      <c r="F2351" s="16" t="s">
        <v>12766</v>
      </c>
      <c r="G2351" s="16" t="s">
        <v>1168</v>
      </c>
      <c r="H2351" s="16">
        <v>1.0</v>
      </c>
      <c r="I2351" s="16">
        <v>500.0</v>
      </c>
      <c r="J2351" s="16">
        <v>500.0</v>
      </c>
      <c r="K2351" s="16"/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D2351" s="16"/>
      <c r="AH2351" s="16"/>
      <c r="AL2351" s="16"/>
      <c r="AP2351" s="16"/>
      <c r="AT2351" s="16"/>
      <c r="AX2351" s="16"/>
      <c r="BF2351" s="16"/>
      <c r="BJ2351" s="16"/>
      <c r="BN2351" s="16"/>
      <c r="BO2351" s="16">
        <v>500.0</v>
      </c>
      <c r="BP2351" s="16"/>
      <c r="BQ2351" s="16" t="b">
        <v>1</v>
      </c>
      <c r="BR2351" s="16">
        <v>500.0</v>
      </c>
      <c r="BS2351" s="16"/>
      <c r="BT2351" s="16"/>
      <c r="BU2351" s="16" t="s">
        <v>539</v>
      </c>
      <c r="BV2351" s="16" t="s">
        <v>2052</v>
      </c>
      <c r="BW2351" s="16"/>
      <c r="BX2351" s="16"/>
    </row>
    <row r="2352">
      <c r="A2352" s="16" t="s">
        <v>10238</v>
      </c>
      <c r="B2352" s="16" t="s">
        <v>35</v>
      </c>
      <c r="C2352" s="201">
        <v>46155.0</v>
      </c>
      <c r="D2352" s="16"/>
      <c r="E2352" s="16"/>
      <c r="F2352" s="16" t="s">
        <v>12766</v>
      </c>
      <c r="G2352" s="16" t="s">
        <v>1168</v>
      </c>
      <c r="H2352" s="16">
        <v>1.0</v>
      </c>
      <c r="I2352" s="16">
        <v>500.0</v>
      </c>
      <c r="J2352" s="16">
        <v>500.0</v>
      </c>
      <c r="K2352" s="16"/>
      <c r="L2352" s="16"/>
      <c r="M2352" s="16"/>
      <c r="N2352" s="16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16"/>
      <c r="AD2352" s="16"/>
      <c r="AH2352" s="16"/>
      <c r="AL2352" s="16"/>
      <c r="AP2352" s="16"/>
      <c r="AT2352" s="16"/>
      <c r="AX2352" s="16"/>
      <c r="BF2352" s="16"/>
      <c r="BJ2352" s="16"/>
      <c r="BN2352" s="16"/>
      <c r="BO2352" s="16">
        <v>500.0</v>
      </c>
      <c r="BP2352" s="16"/>
      <c r="BQ2352" s="16" t="b">
        <v>1</v>
      </c>
      <c r="BR2352" s="16">
        <v>500.0</v>
      </c>
      <c r="BS2352" s="16"/>
      <c r="BT2352" s="16"/>
      <c r="BU2352" s="16" t="s">
        <v>539</v>
      </c>
      <c r="BV2352" s="16" t="s">
        <v>218</v>
      </c>
      <c r="BW2352" s="16"/>
      <c r="BX2352" s="16"/>
    </row>
    <row r="2353">
      <c r="A2353" s="16" t="s">
        <v>10240</v>
      </c>
      <c r="B2353" s="16" t="s">
        <v>35</v>
      </c>
      <c r="C2353" s="201">
        <v>46155.0</v>
      </c>
      <c r="D2353" s="16"/>
      <c r="E2353" s="16"/>
      <c r="F2353" s="16" t="s">
        <v>12766</v>
      </c>
      <c r="G2353" s="16" t="s">
        <v>1168</v>
      </c>
      <c r="H2353" s="16">
        <v>1.0</v>
      </c>
      <c r="I2353" s="16">
        <v>500.0</v>
      </c>
      <c r="J2353" s="16">
        <v>500.0</v>
      </c>
      <c r="K2353" s="16"/>
      <c r="L2353" s="16"/>
      <c r="M2353" s="16"/>
      <c r="N2353" s="16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16"/>
      <c r="AD2353" s="16"/>
      <c r="AH2353" s="16"/>
      <c r="AL2353" s="16"/>
      <c r="AP2353" s="16"/>
      <c r="AT2353" s="16"/>
      <c r="AX2353" s="16"/>
      <c r="BF2353" s="16"/>
      <c r="BJ2353" s="16"/>
      <c r="BN2353" s="16"/>
      <c r="BO2353" s="16">
        <v>500.0</v>
      </c>
      <c r="BP2353" s="16"/>
      <c r="BQ2353" s="16" t="b">
        <v>1</v>
      </c>
      <c r="BR2353" s="16">
        <v>500.0</v>
      </c>
      <c r="BS2353" s="16"/>
      <c r="BT2353" s="16"/>
      <c r="BU2353" s="16" t="s">
        <v>539</v>
      </c>
      <c r="BV2353" s="16" t="s">
        <v>227</v>
      </c>
      <c r="BW2353" s="16"/>
      <c r="BX2353" s="16"/>
    </row>
    <row r="2354">
      <c r="A2354" s="16" t="s">
        <v>10244</v>
      </c>
      <c r="B2354" s="16" t="s">
        <v>35</v>
      </c>
      <c r="C2354" s="201">
        <v>46155.0</v>
      </c>
      <c r="D2354" s="16"/>
      <c r="E2354" s="16"/>
      <c r="F2354" s="16" t="s">
        <v>12766</v>
      </c>
      <c r="G2354" s="16" t="s">
        <v>1168</v>
      </c>
      <c r="H2354" s="16">
        <v>1.0</v>
      </c>
      <c r="I2354" s="16">
        <v>500.0</v>
      </c>
      <c r="J2354" s="16">
        <v>500.0</v>
      </c>
      <c r="K2354" s="16"/>
      <c r="L2354" s="16"/>
      <c r="M2354" s="16"/>
      <c r="N2354" s="16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16"/>
      <c r="AD2354" s="16"/>
      <c r="AH2354" s="16"/>
      <c r="AL2354" s="16"/>
      <c r="AP2354" s="16"/>
      <c r="AT2354" s="16"/>
      <c r="AX2354" s="16"/>
      <c r="BF2354" s="16"/>
      <c r="BJ2354" s="16"/>
      <c r="BN2354" s="16"/>
      <c r="BO2354" s="16">
        <v>500.0</v>
      </c>
      <c r="BP2354" s="16"/>
      <c r="BQ2354" s="16" t="b">
        <v>1</v>
      </c>
      <c r="BR2354" s="16">
        <v>500.0</v>
      </c>
      <c r="BS2354" s="16"/>
      <c r="BT2354" s="16"/>
      <c r="BU2354" s="16" t="s">
        <v>539</v>
      </c>
      <c r="BV2354" s="16" t="s">
        <v>336</v>
      </c>
      <c r="BW2354" s="16"/>
      <c r="BX2354" s="16"/>
    </row>
    <row r="2355">
      <c r="A2355" s="16">
        <v>12127.0</v>
      </c>
      <c r="B2355" s="16" t="s">
        <v>35</v>
      </c>
      <c r="C2355" s="201">
        <v>46161.0</v>
      </c>
      <c r="D2355" s="16" t="s">
        <v>3516</v>
      </c>
      <c r="E2355" s="16"/>
      <c r="F2355" s="16" t="s">
        <v>10131</v>
      </c>
      <c r="G2355" s="16" t="s">
        <v>1159</v>
      </c>
      <c r="H2355" s="16">
        <v>1.0</v>
      </c>
      <c r="I2355" s="16">
        <v>1632.87</v>
      </c>
      <c r="J2355" s="16">
        <v>1632.87</v>
      </c>
      <c r="K2355" s="16"/>
      <c r="L2355" s="16"/>
      <c r="M2355" s="16"/>
      <c r="N2355" s="16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16"/>
      <c r="AD2355" s="16"/>
      <c r="AH2355" s="16"/>
      <c r="AL2355" s="16"/>
      <c r="AP2355" s="16"/>
      <c r="AT2355" s="16"/>
      <c r="AX2355" s="16"/>
      <c r="BF2355" s="16"/>
      <c r="BJ2355" s="16"/>
      <c r="BN2355" s="16"/>
      <c r="BO2355" s="16">
        <v>1632.87</v>
      </c>
      <c r="BP2355" s="16"/>
      <c r="BQ2355" s="16" t="b">
        <v>1</v>
      </c>
      <c r="BR2355" s="16">
        <v>1632.87</v>
      </c>
      <c r="BS2355" s="16"/>
      <c r="BT2355" s="16"/>
      <c r="BU2355" s="16" t="s">
        <v>539</v>
      </c>
      <c r="BV2355" s="16"/>
      <c r="BW2355" s="16"/>
      <c r="BX2355" s="16"/>
    </row>
    <row r="2356">
      <c r="A2356" s="16">
        <v>12131.0</v>
      </c>
      <c r="B2356" s="16" t="s">
        <v>35</v>
      </c>
      <c r="C2356" s="201">
        <v>46161.0</v>
      </c>
      <c r="D2356" s="16" t="s">
        <v>3516</v>
      </c>
      <c r="E2356" s="16"/>
      <c r="F2356" s="16" t="s">
        <v>9759</v>
      </c>
      <c r="G2356" s="16" t="s">
        <v>2448</v>
      </c>
      <c r="H2356" s="16">
        <v>1.0</v>
      </c>
      <c r="I2356" s="16">
        <v>1067.79</v>
      </c>
      <c r="J2356" s="16">
        <v>1067.79</v>
      </c>
      <c r="K2356" s="16"/>
      <c r="L2356" s="16"/>
      <c r="M2356" s="16"/>
      <c r="N2356" s="16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16"/>
      <c r="AD2356" s="16"/>
      <c r="AH2356" s="16"/>
      <c r="AL2356" s="16"/>
      <c r="AP2356" s="16"/>
      <c r="AT2356" s="16"/>
      <c r="AX2356" s="16"/>
      <c r="BF2356" s="16"/>
      <c r="BJ2356" s="16"/>
      <c r="BN2356" s="16"/>
      <c r="BO2356" s="16">
        <v>1067.79</v>
      </c>
      <c r="BP2356" s="16"/>
      <c r="BQ2356" s="16" t="b">
        <v>1</v>
      </c>
      <c r="BR2356" s="16">
        <v>1067.79</v>
      </c>
      <c r="BS2356" s="16"/>
      <c r="BT2356" s="16"/>
      <c r="BU2356" s="16" t="s">
        <v>539</v>
      </c>
      <c r="BV2356" s="16"/>
      <c r="BW2356" s="16"/>
      <c r="BX2356" s="16"/>
    </row>
    <row r="2357">
      <c r="A2357" s="16">
        <v>12132.0</v>
      </c>
      <c r="B2357" s="16" t="s">
        <v>35</v>
      </c>
      <c r="C2357" s="201">
        <v>46161.0</v>
      </c>
      <c r="D2357" s="16" t="s">
        <v>3516</v>
      </c>
      <c r="E2357" s="16"/>
      <c r="F2357" s="16" t="s">
        <v>9762</v>
      </c>
      <c r="G2357" s="16" t="s">
        <v>2662</v>
      </c>
      <c r="H2357" s="16">
        <v>1.0</v>
      </c>
      <c r="I2357" s="16">
        <v>10440.59</v>
      </c>
      <c r="J2357" s="16">
        <v>10440.59</v>
      </c>
      <c r="K2357" s="16"/>
      <c r="L2357" s="16"/>
      <c r="M2357" s="16"/>
      <c r="N2357" s="16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D2357" s="16"/>
      <c r="AH2357" s="16"/>
      <c r="AL2357" s="16"/>
      <c r="AP2357" s="16"/>
      <c r="AT2357" s="16"/>
      <c r="AX2357" s="16"/>
      <c r="BF2357" s="16"/>
      <c r="BJ2357" s="16"/>
      <c r="BN2357" s="16"/>
      <c r="BO2357" s="16">
        <v>10440.59</v>
      </c>
      <c r="BP2357" s="16"/>
      <c r="BQ2357" s="16" t="b">
        <v>1</v>
      </c>
      <c r="BR2357" s="16">
        <v>10440.59</v>
      </c>
      <c r="BS2357" s="16"/>
      <c r="BT2357" s="16"/>
      <c r="BU2357" s="16" t="s">
        <v>539</v>
      </c>
      <c r="BV2357" s="16"/>
      <c r="BW2357" s="16"/>
      <c r="BX2357" s="16"/>
    </row>
    <row r="2358">
      <c r="A2358" s="16" t="s">
        <v>10252</v>
      </c>
      <c r="B2358" s="16" t="s">
        <v>35</v>
      </c>
      <c r="C2358" s="201">
        <v>46161.0</v>
      </c>
      <c r="D2358" s="16" t="s">
        <v>1160</v>
      </c>
      <c r="E2358" s="16"/>
      <c r="F2358" s="16" t="s">
        <v>23</v>
      </c>
      <c r="G2358" s="16" t="s">
        <v>8651</v>
      </c>
      <c r="H2358" s="16">
        <v>1.0</v>
      </c>
      <c r="I2358" s="16">
        <v>850.41</v>
      </c>
      <c r="J2358" s="16">
        <v>850.41</v>
      </c>
      <c r="K2358" s="16"/>
      <c r="L2358" s="16"/>
      <c r="M2358" s="16"/>
      <c r="N2358" s="16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D2358" s="16"/>
      <c r="AH2358" s="16"/>
      <c r="AL2358" s="16"/>
      <c r="AP2358" s="16"/>
      <c r="AT2358" s="16"/>
      <c r="AX2358" s="16"/>
      <c r="BF2358" s="16"/>
      <c r="BJ2358" s="16"/>
      <c r="BN2358" s="16"/>
      <c r="BO2358" s="16">
        <v>850.41</v>
      </c>
      <c r="BP2358" s="16"/>
      <c r="BQ2358" s="16" t="b">
        <v>1</v>
      </c>
      <c r="BR2358" s="16">
        <v>850.41</v>
      </c>
      <c r="BS2358" s="16"/>
      <c r="BT2358" s="16"/>
      <c r="BU2358" s="16" t="s">
        <v>539</v>
      </c>
      <c r="BV2358" s="16"/>
      <c r="BW2358" s="16"/>
      <c r="BX2358" s="16"/>
    </row>
    <row r="2359">
      <c r="A2359" s="16" t="s">
        <v>10254</v>
      </c>
      <c r="B2359" s="16" t="s">
        <v>35</v>
      </c>
      <c r="C2359" s="201">
        <v>46161.0</v>
      </c>
      <c r="D2359" s="16" t="s">
        <v>890</v>
      </c>
      <c r="E2359" s="16"/>
      <c r="F2359" s="16" t="s">
        <v>12769</v>
      </c>
      <c r="G2359" s="16" t="s">
        <v>8458</v>
      </c>
      <c r="H2359" s="16">
        <v>1.0</v>
      </c>
      <c r="I2359" s="16">
        <v>166.87</v>
      </c>
      <c r="J2359" s="16">
        <v>166.87</v>
      </c>
      <c r="K2359" s="16"/>
      <c r="L2359" s="16"/>
      <c r="M2359" s="16"/>
      <c r="N2359" s="16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D2359" s="16"/>
      <c r="AH2359" s="16"/>
      <c r="AL2359" s="16"/>
      <c r="AP2359" s="16"/>
      <c r="AT2359" s="16"/>
      <c r="AX2359" s="16"/>
      <c r="BF2359" s="16"/>
      <c r="BJ2359" s="16"/>
      <c r="BN2359" s="16"/>
      <c r="BO2359" s="16">
        <v>166.87</v>
      </c>
      <c r="BP2359" s="16"/>
      <c r="BQ2359" s="16" t="b">
        <v>1</v>
      </c>
      <c r="BR2359" s="16">
        <v>166.87</v>
      </c>
      <c r="BS2359" s="16"/>
      <c r="BT2359" s="16"/>
      <c r="BU2359" s="16" t="s">
        <v>539</v>
      </c>
      <c r="BV2359" s="16"/>
      <c r="BW2359" s="16"/>
      <c r="BX2359" s="16"/>
    </row>
    <row r="2360">
      <c r="A2360" s="16" t="s">
        <v>11631</v>
      </c>
      <c r="B2360" s="16" t="s">
        <v>35</v>
      </c>
      <c r="C2360" s="201">
        <v>46164.0</v>
      </c>
      <c r="D2360" s="16" t="s">
        <v>1864</v>
      </c>
      <c r="E2360" s="16"/>
      <c r="F2360" s="16" t="s">
        <v>9780</v>
      </c>
      <c r="G2360" s="16" t="s">
        <v>2662</v>
      </c>
      <c r="H2360" s="16">
        <v>1.0</v>
      </c>
      <c r="I2360" s="16">
        <v>394.43</v>
      </c>
      <c r="J2360" s="16">
        <v>394.43</v>
      </c>
      <c r="K2360" s="16"/>
      <c r="L2360" s="16"/>
      <c r="M2360" s="16"/>
      <c r="N2360" s="16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16"/>
      <c r="AD2360" s="16"/>
      <c r="AH2360" s="16"/>
      <c r="AL2360" s="16"/>
      <c r="AP2360" s="16"/>
      <c r="AT2360" s="16"/>
      <c r="AX2360" s="16"/>
      <c r="BF2360" s="16"/>
      <c r="BJ2360" s="16"/>
      <c r="BN2360" s="16"/>
      <c r="BO2360" s="16">
        <v>394.43</v>
      </c>
      <c r="BP2360" s="16"/>
      <c r="BQ2360" s="16" t="b">
        <v>1</v>
      </c>
      <c r="BR2360" s="16">
        <v>394.43</v>
      </c>
      <c r="BS2360" s="16"/>
      <c r="BT2360" s="16"/>
      <c r="BU2360" s="16" t="s">
        <v>539</v>
      </c>
      <c r="BV2360" s="16"/>
      <c r="BW2360" s="16"/>
      <c r="BX2360" s="16"/>
    </row>
    <row r="2361">
      <c r="A2361" s="16" t="s">
        <v>11637</v>
      </c>
      <c r="B2361" s="16" t="s">
        <v>35</v>
      </c>
      <c r="C2361" s="201">
        <v>46167.0</v>
      </c>
      <c r="D2361" s="16" t="s">
        <v>890</v>
      </c>
      <c r="E2361" s="16"/>
      <c r="F2361" s="16" t="s">
        <v>12921</v>
      </c>
      <c r="G2361" s="16" t="s">
        <v>8458</v>
      </c>
      <c r="H2361" s="16">
        <v>1.0</v>
      </c>
      <c r="I2361" s="16">
        <v>60.0</v>
      </c>
      <c r="J2361" s="16">
        <v>60.0</v>
      </c>
      <c r="K2361" s="16"/>
      <c r="L2361" s="16"/>
      <c r="M2361" s="16"/>
      <c r="N2361" s="16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16"/>
      <c r="AD2361" s="16"/>
      <c r="AH2361" s="16"/>
      <c r="AL2361" s="16"/>
      <c r="AP2361" s="16"/>
      <c r="AT2361" s="16"/>
      <c r="AX2361" s="16"/>
      <c r="BF2361" s="16"/>
      <c r="BJ2361" s="16"/>
      <c r="BN2361" s="16"/>
      <c r="BO2361" s="16">
        <v>60.0</v>
      </c>
      <c r="BP2361" s="16"/>
      <c r="BQ2361" s="16" t="b">
        <v>1</v>
      </c>
      <c r="BR2361" s="16">
        <v>60.0</v>
      </c>
      <c r="BS2361" s="16"/>
      <c r="BT2361" s="16"/>
      <c r="BU2361" s="16" t="s">
        <v>539</v>
      </c>
      <c r="BV2361" s="16"/>
      <c r="BW2361" s="16"/>
      <c r="BX2361" s="16"/>
    </row>
    <row r="2362">
      <c r="A2362" s="16" t="s">
        <v>11643</v>
      </c>
      <c r="B2362" s="16" t="s">
        <v>35</v>
      </c>
      <c r="C2362" s="201">
        <v>46167.0</v>
      </c>
      <c r="D2362" s="16" t="s">
        <v>890</v>
      </c>
      <c r="E2362" s="16"/>
      <c r="F2362" s="16" t="s">
        <v>12923</v>
      </c>
      <c r="G2362" s="16" t="s">
        <v>8458</v>
      </c>
      <c r="H2362" s="16">
        <v>1.0</v>
      </c>
      <c r="I2362" s="16">
        <v>1764.2</v>
      </c>
      <c r="J2362" s="16">
        <v>1764.2</v>
      </c>
      <c r="K2362" s="16"/>
      <c r="L2362" s="16"/>
      <c r="M2362" s="16"/>
      <c r="N2362" s="16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16"/>
      <c r="AD2362" s="16"/>
      <c r="AH2362" s="16"/>
      <c r="AL2362" s="16"/>
      <c r="AP2362" s="16"/>
      <c r="AT2362" s="16"/>
      <c r="AX2362" s="16"/>
      <c r="BF2362" s="16"/>
      <c r="BJ2362" s="16"/>
      <c r="BN2362" s="16"/>
      <c r="BO2362" s="16">
        <v>1764.2</v>
      </c>
      <c r="BP2362" s="16"/>
      <c r="BQ2362" s="16" t="b">
        <v>1</v>
      </c>
      <c r="BR2362" s="16">
        <v>1764.2</v>
      </c>
      <c r="BS2362" s="16"/>
      <c r="BT2362" s="16"/>
      <c r="BU2362" s="16" t="s">
        <v>539</v>
      </c>
      <c r="BV2362" s="16"/>
      <c r="BW2362" s="16"/>
      <c r="BX2362" s="16"/>
    </row>
    <row r="2363">
      <c r="A2363" s="16" t="s">
        <v>11646</v>
      </c>
      <c r="B2363" s="16" t="s">
        <v>35</v>
      </c>
      <c r="C2363" s="201">
        <v>46167.0</v>
      </c>
      <c r="D2363" s="16" t="s">
        <v>890</v>
      </c>
      <c r="E2363" s="16"/>
      <c r="F2363" s="16" t="s">
        <v>12925</v>
      </c>
      <c r="G2363" s="16" t="s">
        <v>1517</v>
      </c>
      <c r="H2363" s="16">
        <v>1.0</v>
      </c>
      <c r="I2363" s="16">
        <v>680.09</v>
      </c>
      <c r="J2363" s="16">
        <v>680.09</v>
      </c>
      <c r="K2363" s="16"/>
      <c r="L2363" s="16"/>
      <c r="M2363" s="16"/>
      <c r="N2363" s="16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16"/>
      <c r="AD2363" s="16"/>
      <c r="AH2363" s="16"/>
      <c r="AL2363" s="16"/>
      <c r="AP2363" s="16"/>
      <c r="AT2363" s="16"/>
      <c r="AX2363" s="16"/>
      <c r="BF2363" s="16"/>
      <c r="BJ2363" s="16"/>
      <c r="BN2363" s="16"/>
      <c r="BO2363" s="16">
        <v>680.09</v>
      </c>
      <c r="BP2363" s="16"/>
      <c r="BQ2363" s="16" t="b">
        <v>1</v>
      </c>
      <c r="BR2363" s="16">
        <v>680.09</v>
      </c>
      <c r="BS2363" s="16"/>
      <c r="BT2363" s="16"/>
      <c r="BU2363" s="16" t="s">
        <v>539</v>
      </c>
      <c r="BV2363" s="16"/>
      <c r="BW2363" s="16"/>
      <c r="BX2363" s="16"/>
    </row>
    <row r="2364">
      <c r="A2364" s="16">
        <v>12155.0</v>
      </c>
      <c r="B2364" s="16" t="s">
        <v>35</v>
      </c>
      <c r="C2364" s="201">
        <v>46167.0</v>
      </c>
      <c r="D2364" s="16" t="s">
        <v>460</v>
      </c>
      <c r="E2364" s="16"/>
      <c r="F2364" s="22">
        <v>46303.0</v>
      </c>
      <c r="G2364" s="16" t="s">
        <v>8404</v>
      </c>
      <c r="H2364" s="16">
        <v>1.0</v>
      </c>
      <c r="I2364" s="16">
        <v>249.23</v>
      </c>
      <c r="J2364" s="16">
        <v>249.23</v>
      </c>
      <c r="K2364" s="16"/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D2364" s="16"/>
      <c r="AH2364" s="16"/>
      <c r="AL2364" s="16"/>
      <c r="AP2364" s="16"/>
      <c r="AT2364" s="16"/>
      <c r="AX2364" s="16"/>
      <c r="BF2364" s="16"/>
      <c r="BJ2364" s="16"/>
      <c r="BN2364" s="16"/>
      <c r="BO2364" s="16">
        <v>249.23</v>
      </c>
      <c r="BP2364" s="16"/>
      <c r="BQ2364" s="16" t="b">
        <v>1</v>
      </c>
      <c r="BR2364" s="16">
        <v>249.23</v>
      </c>
      <c r="BS2364" s="16"/>
      <c r="BT2364" s="16"/>
      <c r="BU2364" s="16" t="s">
        <v>539</v>
      </c>
      <c r="BV2364" s="16"/>
      <c r="BW2364" s="16"/>
      <c r="BX2364" s="16"/>
    </row>
    <row r="2365">
      <c r="A2365" s="16">
        <v>12156.0</v>
      </c>
      <c r="B2365" s="16" t="s">
        <v>35</v>
      </c>
      <c r="C2365" s="201">
        <v>46167.0</v>
      </c>
      <c r="D2365" s="16" t="s">
        <v>10315</v>
      </c>
      <c r="E2365" s="16"/>
      <c r="F2365" s="16" t="s">
        <v>12926</v>
      </c>
      <c r="G2365" s="16" t="s">
        <v>8792</v>
      </c>
      <c r="H2365" s="16">
        <v>1.0</v>
      </c>
      <c r="I2365" s="16">
        <v>4749.84</v>
      </c>
      <c r="J2365" s="16">
        <v>4749.84</v>
      </c>
      <c r="K2365" s="16"/>
      <c r="L2365" s="16"/>
      <c r="M2365" s="16"/>
      <c r="N2365" s="16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D2365" s="16"/>
      <c r="AH2365" s="16"/>
      <c r="AL2365" s="16"/>
      <c r="AP2365" s="16"/>
      <c r="AT2365" s="16"/>
      <c r="AX2365" s="16"/>
      <c r="BF2365" s="16"/>
      <c r="BJ2365" s="16"/>
      <c r="BN2365" s="16"/>
      <c r="BO2365" s="16">
        <v>4749.84</v>
      </c>
      <c r="BP2365" s="16"/>
      <c r="BQ2365" s="16" t="b">
        <v>1</v>
      </c>
      <c r="BR2365" s="16">
        <v>4749.84</v>
      </c>
      <c r="BS2365" s="16"/>
      <c r="BT2365" s="16"/>
      <c r="BU2365" s="16" t="s">
        <v>539</v>
      </c>
      <c r="BV2365" s="16"/>
      <c r="BW2365" s="16"/>
      <c r="BX2365" s="16"/>
    </row>
    <row r="2366">
      <c r="A2366" s="16" t="s">
        <v>11652</v>
      </c>
      <c r="B2366" s="16" t="s">
        <v>35</v>
      </c>
      <c r="C2366" s="201">
        <v>46167.0</v>
      </c>
      <c r="D2366" s="16" t="s">
        <v>890</v>
      </c>
      <c r="E2366" s="16"/>
      <c r="F2366" s="16" t="s">
        <v>12929</v>
      </c>
      <c r="G2366" s="16" t="s">
        <v>8458</v>
      </c>
      <c r="H2366" s="16">
        <v>1.0</v>
      </c>
      <c r="I2366" s="16">
        <v>56.0</v>
      </c>
      <c r="J2366" s="16">
        <v>56.0</v>
      </c>
      <c r="K2366" s="16"/>
      <c r="L2366" s="16"/>
      <c r="M2366" s="16"/>
      <c r="N2366" s="16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16"/>
      <c r="AD2366" s="16"/>
      <c r="AH2366" s="16"/>
      <c r="AL2366" s="16"/>
      <c r="AP2366" s="16"/>
      <c r="AT2366" s="16"/>
      <c r="AX2366" s="16"/>
      <c r="BF2366" s="16"/>
      <c r="BJ2366" s="16"/>
      <c r="BN2366" s="16"/>
      <c r="BO2366" s="16">
        <v>56.0</v>
      </c>
      <c r="BP2366" s="16"/>
      <c r="BQ2366" s="16" t="b">
        <v>1</v>
      </c>
      <c r="BR2366" s="16">
        <v>56.0</v>
      </c>
      <c r="BS2366" s="16"/>
      <c r="BT2366" s="16"/>
      <c r="BU2366" s="16" t="s">
        <v>539</v>
      </c>
      <c r="BV2366" s="16"/>
      <c r="BW2366" s="16"/>
      <c r="BX2366" s="16"/>
    </row>
    <row r="2367">
      <c r="A2367" s="16" t="s">
        <v>11654</v>
      </c>
      <c r="B2367" s="16" t="s">
        <v>35</v>
      </c>
      <c r="C2367" s="201">
        <v>46167.0</v>
      </c>
      <c r="D2367" s="16" t="s">
        <v>890</v>
      </c>
      <c r="E2367" s="16"/>
      <c r="F2367" s="16" t="s">
        <v>12930</v>
      </c>
      <c r="G2367" s="16" t="s">
        <v>1517</v>
      </c>
      <c r="H2367" s="16">
        <v>1.0</v>
      </c>
      <c r="I2367" s="16">
        <v>24.15</v>
      </c>
      <c r="J2367" s="16">
        <v>24.15</v>
      </c>
      <c r="K2367" s="16"/>
      <c r="L2367" s="16"/>
      <c r="M2367" s="16"/>
      <c r="N2367" s="16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D2367" s="16"/>
      <c r="AH2367" s="16"/>
      <c r="AL2367" s="16"/>
      <c r="AP2367" s="16"/>
      <c r="AT2367" s="16"/>
      <c r="AX2367" s="16"/>
      <c r="BF2367" s="16"/>
      <c r="BJ2367" s="16"/>
      <c r="BN2367" s="16"/>
      <c r="BO2367" s="16">
        <v>24.15</v>
      </c>
      <c r="BP2367" s="16"/>
      <c r="BQ2367" s="16" t="b">
        <v>1</v>
      </c>
      <c r="BR2367" s="16">
        <v>24.15</v>
      </c>
      <c r="BS2367" s="16"/>
      <c r="BT2367" s="16"/>
      <c r="BU2367" s="16" t="s">
        <v>539</v>
      </c>
      <c r="BV2367" s="16"/>
      <c r="BW2367" s="16"/>
      <c r="BX2367" s="16"/>
    </row>
    <row r="2368">
      <c r="A2368" s="16">
        <v>12164.0</v>
      </c>
      <c r="B2368" s="16" t="s">
        <v>35</v>
      </c>
      <c r="C2368" s="201">
        <v>46167.0</v>
      </c>
      <c r="D2368" s="16" t="s">
        <v>9825</v>
      </c>
      <c r="E2368" s="16"/>
      <c r="F2368" s="16" t="s">
        <v>9826</v>
      </c>
      <c r="G2368" s="16" t="s">
        <v>2870</v>
      </c>
      <c r="H2368" s="16">
        <v>1.0</v>
      </c>
      <c r="I2368" s="16">
        <v>393.23</v>
      </c>
      <c r="J2368" s="16">
        <v>393.23</v>
      </c>
      <c r="K2368" s="16"/>
      <c r="L2368" s="16"/>
      <c r="M2368" s="16"/>
      <c r="N2368" s="16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16"/>
      <c r="AD2368" s="16"/>
      <c r="AH2368" s="16"/>
      <c r="AL2368" s="16"/>
      <c r="AP2368" s="16"/>
      <c r="AT2368" s="16"/>
      <c r="AX2368" s="16"/>
      <c r="BF2368" s="16"/>
      <c r="BJ2368" s="16"/>
      <c r="BN2368" s="16"/>
      <c r="BO2368" s="16">
        <v>393.23</v>
      </c>
      <c r="BP2368" s="16"/>
      <c r="BQ2368" s="16" t="b">
        <v>1</v>
      </c>
      <c r="BR2368" s="16">
        <v>393.23</v>
      </c>
      <c r="BS2368" s="16"/>
      <c r="BT2368" s="16"/>
      <c r="BU2368" s="16" t="s">
        <v>539</v>
      </c>
      <c r="BV2368" s="16"/>
      <c r="BW2368" s="16"/>
      <c r="BX2368" s="16"/>
    </row>
    <row r="2369">
      <c r="A2369" s="16">
        <v>12165.0</v>
      </c>
      <c r="B2369" s="16" t="s">
        <v>35</v>
      </c>
      <c r="C2369" s="201">
        <v>46167.0</v>
      </c>
      <c r="D2369" s="16" t="s">
        <v>9825</v>
      </c>
      <c r="E2369" s="16"/>
      <c r="F2369" s="16" t="s">
        <v>9835</v>
      </c>
      <c r="G2369" s="16" t="s">
        <v>2870</v>
      </c>
      <c r="H2369" s="16">
        <v>1.0</v>
      </c>
      <c r="I2369" s="16">
        <v>87.68</v>
      </c>
      <c r="J2369" s="16">
        <v>87.68</v>
      </c>
      <c r="K2369" s="16"/>
      <c r="L2369" s="16"/>
      <c r="M2369" s="16"/>
      <c r="N2369" s="16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16"/>
      <c r="AD2369" s="16"/>
      <c r="AH2369" s="16"/>
      <c r="AL2369" s="16"/>
      <c r="AP2369" s="16"/>
      <c r="AT2369" s="16"/>
      <c r="AX2369" s="16"/>
      <c r="BF2369" s="16"/>
      <c r="BJ2369" s="16"/>
      <c r="BN2369" s="16"/>
      <c r="BO2369" s="16">
        <v>87.68</v>
      </c>
      <c r="BP2369" s="16"/>
      <c r="BQ2369" s="16" t="b">
        <v>1</v>
      </c>
      <c r="BR2369" s="16">
        <v>87.68</v>
      </c>
      <c r="BS2369" s="16"/>
      <c r="BT2369" s="16"/>
      <c r="BU2369" s="16" t="s">
        <v>539</v>
      </c>
      <c r="BV2369" s="16"/>
      <c r="BW2369" s="16"/>
      <c r="BX2369" s="16"/>
    </row>
    <row r="2370">
      <c r="A2370" s="16">
        <v>12166.0</v>
      </c>
      <c r="B2370" s="16" t="s">
        <v>35</v>
      </c>
      <c r="C2370" s="201">
        <v>46167.0</v>
      </c>
      <c r="D2370" s="16" t="s">
        <v>2294</v>
      </c>
      <c r="E2370" s="16"/>
      <c r="F2370" s="16" t="s">
        <v>12933</v>
      </c>
      <c r="G2370" s="16" t="s">
        <v>1239</v>
      </c>
      <c r="H2370" s="16">
        <v>1.0</v>
      </c>
      <c r="I2370" s="16">
        <v>4351.0</v>
      </c>
      <c r="J2370" s="16">
        <v>4351.0</v>
      </c>
      <c r="K2370" s="16"/>
      <c r="L2370" s="16"/>
      <c r="M2370" s="16"/>
      <c r="N2370" s="16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16"/>
      <c r="AD2370" s="16"/>
      <c r="AH2370" s="16"/>
      <c r="AL2370" s="16"/>
      <c r="AP2370" s="16"/>
      <c r="AT2370" s="16"/>
      <c r="AX2370" s="16"/>
      <c r="BF2370" s="16"/>
      <c r="BJ2370" s="16"/>
      <c r="BN2370" s="16"/>
      <c r="BO2370" s="16">
        <v>4351.0</v>
      </c>
      <c r="BP2370" s="16"/>
      <c r="BQ2370" s="16" t="b">
        <v>1</v>
      </c>
      <c r="BR2370" s="16">
        <v>4351.0</v>
      </c>
      <c r="BS2370" s="16"/>
      <c r="BT2370" s="16"/>
      <c r="BU2370" s="16" t="s">
        <v>539</v>
      </c>
      <c r="BV2370" s="16"/>
      <c r="BW2370" s="16"/>
      <c r="BX2370" s="16"/>
    </row>
    <row r="2371">
      <c r="A2371" s="16">
        <v>12167.0</v>
      </c>
      <c r="B2371" s="16" t="s">
        <v>35</v>
      </c>
      <c r="C2371" s="201">
        <v>46167.0</v>
      </c>
      <c r="D2371" s="16" t="s">
        <v>460</v>
      </c>
      <c r="E2371" s="16"/>
      <c r="F2371" s="16" t="s">
        <v>11326</v>
      </c>
      <c r="G2371" s="16" t="s">
        <v>1126</v>
      </c>
      <c r="H2371" s="16">
        <v>1.0</v>
      </c>
      <c r="I2371" s="16">
        <v>72.0</v>
      </c>
      <c r="J2371" s="16">
        <v>72.0</v>
      </c>
      <c r="K2371" s="16"/>
      <c r="L2371" s="16"/>
      <c r="M2371" s="16"/>
      <c r="N2371" s="16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16"/>
      <c r="AD2371" s="16"/>
      <c r="AH2371" s="16"/>
      <c r="AL2371" s="16"/>
      <c r="AP2371" s="16"/>
      <c r="AT2371" s="16"/>
      <c r="AX2371" s="16"/>
      <c r="BF2371" s="16"/>
      <c r="BJ2371" s="16"/>
      <c r="BN2371" s="16"/>
      <c r="BO2371" s="16">
        <v>72.0</v>
      </c>
      <c r="BP2371" s="16"/>
      <c r="BQ2371" s="16" t="b">
        <v>1</v>
      </c>
      <c r="BR2371" s="16">
        <v>72.0</v>
      </c>
      <c r="BS2371" s="16"/>
      <c r="BT2371" s="16"/>
      <c r="BU2371" s="16" t="s">
        <v>539</v>
      </c>
      <c r="BV2371" s="16"/>
      <c r="BW2371" s="16"/>
      <c r="BX2371" s="16"/>
    </row>
    <row r="2372">
      <c r="A2372" s="16">
        <v>12173.0</v>
      </c>
      <c r="B2372" s="16" t="s">
        <v>35</v>
      </c>
      <c r="C2372" s="201">
        <v>46167.0</v>
      </c>
      <c r="D2372" s="16" t="s">
        <v>460</v>
      </c>
      <c r="E2372" s="16"/>
      <c r="F2372" s="16" t="s">
        <v>12100</v>
      </c>
      <c r="G2372" s="16" t="s">
        <v>9874</v>
      </c>
      <c r="H2372" s="16">
        <v>1.0</v>
      </c>
      <c r="I2372" s="16">
        <v>70.0</v>
      </c>
      <c r="J2372" s="16">
        <v>70.0</v>
      </c>
      <c r="K2372" s="16"/>
      <c r="L2372" s="16"/>
      <c r="M2372" s="16"/>
      <c r="N2372" s="16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16"/>
      <c r="AD2372" s="16"/>
      <c r="AH2372" s="16"/>
      <c r="AL2372" s="16"/>
      <c r="AP2372" s="16"/>
      <c r="AT2372" s="16"/>
      <c r="AX2372" s="16"/>
      <c r="BF2372" s="16"/>
      <c r="BJ2372" s="16"/>
      <c r="BN2372" s="16"/>
      <c r="BO2372" s="16">
        <v>70.0</v>
      </c>
      <c r="BP2372" s="16"/>
      <c r="BQ2372" s="16" t="b">
        <v>1</v>
      </c>
      <c r="BR2372" s="16">
        <v>70.0</v>
      </c>
      <c r="BS2372" s="16"/>
      <c r="BT2372" s="16"/>
      <c r="BU2372" s="16" t="s">
        <v>539</v>
      </c>
      <c r="BV2372" s="16"/>
      <c r="BW2372" s="16"/>
      <c r="BX2372" s="16"/>
    </row>
    <row r="2373">
      <c r="A2373" s="16">
        <v>12174.0</v>
      </c>
      <c r="B2373" s="16" t="s">
        <v>35</v>
      </c>
      <c r="C2373" s="201">
        <v>46167.0</v>
      </c>
      <c r="D2373" s="16" t="s">
        <v>460</v>
      </c>
      <c r="E2373" s="16"/>
      <c r="F2373" s="22">
        <v>46296.0</v>
      </c>
      <c r="G2373" s="16" t="s">
        <v>11663</v>
      </c>
      <c r="H2373" s="16">
        <v>1.0</v>
      </c>
      <c r="I2373" s="16">
        <v>855.0</v>
      </c>
      <c r="J2373" s="16">
        <v>855.0</v>
      </c>
      <c r="K2373" s="16"/>
      <c r="L2373" s="16"/>
      <c r="M2373" s="16"/>
      <c r="N2373" s="16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D2373" s="16"/>
      <c r="AH2373" s="16"/>
      <c r="AL2373" s="16"/>
      <c r="AP2373" s="16"/>
      <c r="AT2373" s="16"/>
      <c r="AX2373" s="16"/>
      <c r="BF2373" s="16"/>
      <c r="BJ2373" s="16"/>
      <c r="BN2373" s="16"/>
      <c r="BO2373" s="16">
        <v>855.0</v>
      </c>
      <c r="BP2373" s="16"/>
      <c r="BQ2373" s="16" t="b">
        <v>1</v>
      </c>
      <c r="BR2373" s="16">
        <v>855.0</v>
      </c>
      <c r="BS2373" s="16"/>
      <c r="BT2373" s="16"/>
      <c r="BU2373" s="16" t="s">
        <v>539</v>
      </c>
      <c r="BV2373" s="16"/>
      <c r="BW2373" s="16"/>
      <c r="BX2373" s="16"/>
    </row>
    <row r="2374">
      <c r="A2374" s="16" t="s">
        <v>11666</v>
      </c>
      <c r="B2374" s="16" t="s">
        <v>35</v>
      </c>
      <c r="C2374" s="201">
        <v>46167.0</v>
      </c>
      <c r="D2374" s="16" t="s">
        <v>890</v>
      </c>
      <c r="E2374" s="16"/>
      <c r="F2374" s="16" t="s">
        <v>12936</v>
      </c>
      <c r="G2374" s="16" t="s">
        <v>3833</v>
      </c>
      <c r="H2374" s="16">
        <v>1.0</v>
      </c>
      <c r="I2374" s="16">
        <v>3136.05</v>
      </c>
      <c r="J2374" s="16">
        <v>3136.05</v>
      </c>
      <c r="K2374" s="16"/>
      <c r="L2374" s="16"/>
      <c r="M2374" s="16"/>
      <c r="N2374" s="16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D2374" s="16"/>
      <c r="AH2374" s="16"/>
      <c r="AL2374" s="16"/>
      <c r="AP2374" s="16"/>
      <c r="AT2374" s="16"/>
      <c r="AX2374" s="16"/>
      <c r="BF2374" s="16"/>
      <c r="BJ2374" s="16"/>
      <c r="BN2374" s="16"/>
      <c r="BO2374" s="16">
        <v>3136.05</v>
      </c>
      <c r="BP2374" s="16"/>
      <c r="BQ2374" s="16" t="b">
        <v>1</v>
      </c>
      <c r="BR2374" s="16">
        <v>3136.05</v>
      </c>
      <c r="BS2374" s="16"/>
      <c r="BT2374" s="16"/>
      <c r="BU2374" s="16" t="s">
        <v>539</v>
      </c>
      <c r="BV2374" s="16"/>
      <c r="BW2374" s="16"/>
      <c r="BX2374" s="16"/>
    </row>
    <row r="2375">
      <c r="A2375" s="16">
        <v>12168.0</v>
      </c>
      <c r="B2375" s="16" t="s">
        <v>35</v>
      </c>
      <c r="C2375" s="201">
        <v>46171.0</v>
      </c>
      <c r="D2375" s="16"/>
      <c r="E2375" s="16"/>
      <c r="F2375" s="16" t="s">
        <v>8658</v>
      </c>
      <c r="G2375" s="16" t="s">
        <v>1239</v>
      </c>
      <c r="H2375" s="16">
        <v>1.0</v>
      </c>
      <c r="I2375" s="16">
        <v>564.71</v>
      </c>
      <c r="J2375" s="16">
        <v>564.71</v>
      </c>
      <c r="K2375" s="16"/>
      <c r="L2375" s="16"/>
      <c r="M2375" s="16"/>
      <c r="N2375" s="16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D2375" s="16"/>
      <c r="AH2375" s="16"/>
      <c r="AL2375" s="16"/>
      <c r="AP2375" s="16"/>
      <c r="AT2375" s="16"/>
      <c r="AX2375" s="16"/>
      <c r="BF2375" s="16"/>
      <c r="BJ2375" s="16"/>
      <c r="BN2375" s="16"/>
      <c r="BO2375" s="16">
        <v>564.71</v>
      </c>
      <c r="BP2375" s="16"/>
      <c r="BQ2375" s="16" t="b">
        <v>1</v>
      </c>
      <c r="BR2375" s="16">
        <v>564.71</v>
      </c>
      <c r="BS2375" s="16"/>
      <c r="BT2375" s="16"/>
      <c r="BU2375" s="16" t="s">
        <v>539</v>
      </c>
      <c r="BV2375" s="16" t="s">
        <v>2052</v>
      </c>
      <c r="BW2375" s="16"/>
      <c r="BX2375" s="16"/>
    </row>
    <row r="2376">
      <c r="A2376" s="16">
        <v>12169.0</v>
      </c>
      <c r="B2376" s="16" t="s">
        <v>35</v>
      </c>
      <c r="C2376" s="201">
        <v>46171.0</v>
      </c>
      <c r="D2376" s="16"/>
      <c r="E2376" s="16"/>
      <c r="F2376" s="16" t="s">
        <v>8658</v>
      </c>
      <c r="G2376" s="16" t="s">
        <v>1239</v>
      </c>
      <c r="H2376" s="16">
        <v>1.0</v>
      </c>
      <c r="I2376" s="16">
        <v>1840.75</v>
      </c>
      <c r="J2376" s="16">
        <v>1840.75</v>
      </c>
      <c r="K2376" s="16"/>
      <c r="L2376" s="16"/>
      <c r="M2376" s="16"/>
      <c r="N2376" s="16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16"/>
      <c r="AD2376" s="16"/>
      <c r="AH2376" s="16"/>
      <c r="AL2376" s="16"/>
      <c r="AP2376" s="16"/>
      <c r="AT2376" s="16"/>
      <c r="AX2376" s="16"/>
      <c r="BF2376" s="16"/>
      <c r="BJ2376" s="16"/>
      <c r="BN2376" s="16"/>
      <c r="BO2376" s="16">
        <v>1840.75</v>
      </c>
      <c r="BP2376" s="16"/>
      <c r="BQ2376" s="16" t="b">
        <v>1</v>
      </c>
      <c r="BR2376" s="16">
        <v>1840.75</v>
      </c>
      <c r="BS2376" s="16"/>
      <c r="BT2376" s="16"/>
      <c r="BU2376" s="16" t="s">
        <v>539</v>
      </c>
      <c r="BV2376" s="16" t="s">
        <v>227</v>
      </c>
      <c r="BW2376" s="16"/>
      <c r="BX2376" s="16"/>
    </row>
    <row r="2377">
      <c r="A2377" s="16">
        <v>12170.0</v>
      </c>
      <c r="B2377" s="16" t="s">
        <v>35</v>
      </c>
      <c r="C2377" s="201">
        <v>46171.0</v>
      </c>
      <c r="D2377" s="16"/>
      <c r="E2377" s="16"/>
      <c r="F2377" s="16" t="s">
        <v>8658</v>
      </c>
      <c r="G2377" s="16" t="s">
        <v>1239</v>
      </c>
      <c r="H2377" s="16">
        <v>1.0</v>
      </c>
      <c r="I2377" s="16">
        <v>1675.24</v>
      </c>
      <c r="J2377" s="16">
        <v>1675.24</v>
      </c>
      <c r="K2377" s="16"/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D2377" s="16"/>
      <c r="AH2377" s="16"/>
      <c r="AL2377" s="16"/>
      <c r="AP2377" s="16"/>
      <c r="AT2377" s="16"/>
      <c r="AX2377" s="16"/>
      <c r="BF2377" s="16"/>
      <c r="BJ2377" s="16"/>
      <c r="BN2377" s="16"/>
      <c r="BO2377" s="16">
        <v>1675.24</v>
      </c>
      <c r="BP2377" s="16"/>
      <c r="BQ2377" s="16" t="b">
        <v>1</v>
      </c>
      <c r="BR2377" s="16">
        <v>1675.24</v>
      </c>
      <c r="BS2377" s="16"/>
      <c r="BT2377" s="16"/>
      <c r="BU2377" s="16" t="s">
        <v>539</v>
      </c>
      <c r="BV2377" s="16" t="s">
        <v>117</v>
      </c>
      <c r="BW2377" s="16"/>
      <c r="BX2377" s="16"/>
    </row>
    <row r="2378">
      <c r="A2378" s="16">
        <v>12171.0</v>
      </c>
      <c r="B2378" s="16" t="s">
        <v>35</v>
      </c>
      <c r="C2378" s="201">
        <v>46171.0</v>
      </c>
      <c r="D2378" s="16"/>
      <c r="E2378" s="16"/>
      <c r="F2378" s="16" t="s">
        <v>8658</v>
      </c>
      <c r="G2378" s="16" t="s">
        <v>1239</v>
      </c>
      <c r="H2378" s="16">
        <v>1.0</v>
      </c>
      <c r="I2378" s="16">
        <v>3613.42</v>
      </c>
      <c r="J2378" s="16">
        <v>3613.42</v>
      </c>
      <c r="K2378" s="16"/>
      <c r="L2378" s="16"/>
      <c r="M2378" s="16"/>
      <c r="N2378" s="16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16"/>
      <c r="AD2378" s="16"/>
      <c r="AH2378" s="16"/>
      <c r="AL2378" s="16"/>
      <c r="AP2378" s="16"/>
      <c r="AT2378" s="16"/>
      <c r="AX2378" s="16"/>
      <c r="BF2378" s="16"/>
      <c r="BJ2378" s="16"/>
      <c r="BN2378" s="16"/>
      <c r="BO2378" s="16">
        <v>3613.42</v>
      </c>
      <c r="BP2378" s="16"/>
      <c r="BQ2378" s="16" t="b">
        <v>1</v>
      </c>
      <c r="BR2378" s="16">
        <v>3613.42</v>
      </c>
      <c r="BS2378" s="16"/>
      <c r="BT2378" s="16"/>
      <c r="BU2378" s="16" t="s">
        <v>539</v>
      </c>
      <c r="BV2378" s="16" t="s">
        <v>218</v>
      </c>
      <c r="BW2378" s="16"/>
      <c r="BX2378" s="16"/>
    </row>
    <row r="2379">
      <c r="A2379" s="16">
        <v>12172.0</v>
      </c>
      <c r="B2379" s="16" t="s">
        <v>35</v>
      </c>
      <c r="C2379" s="201">
        <v>46171.0</v>
      </c>
      <c r="D2379" s="16"/>
      <c r="E2379" s="16"/>
      <c r="F2379" s="16" t="s">
        <v>8658</v>
      </c>
      <c r="G2379" s="16" t="s">
        <v>1239</v>
      </c>
      <c r="H2379" s="16">
        <v>1.0</v>
      </c>
      <c r="I2379" s="16">
        <v>1532.17</v>
      </c>
      <c r="J2379" s="16">
        <v>1532.17</v>
      </c>
      <c r="K2379" s="16"/>
      <c r="L2379" s="16"/>
      <c r="M2379" s="16"/>
      <c r="N2379" s="16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16"/>
      <c r="AD2379" s="16"/>
      <c r="AH2379" s="16"/>
      <c r="AL2379" s="16"/>
      <c r="AP2379" s="16"/>
      <c r="AT2379" s="16"/>
      <c r="AX2379" s="16"/>
      <c r="BF2379" s="16"/>
      <c r="BJ2379" s="16"/>
      <c r="BN2379" s="16"/>
      <c r="BO2379" s="16">
        <v>1532.17</v>
      </c>
      <c r="BP2379" s="16"/>
      <c r="BQ2379" s="16" t="b">
        <v>1</v>
      </c>
      <c r="BR2379" s="16">
        <v>1532.17</v>
      </c>
      <c r="BS2379" s="16"/>
      <c r="BT2379" s="16"/>
      <c r="BU2379" s="16" t="s">
        <v>539</v>
      </c>
      <c r="BV2379" s="16" t="s">
        <v>336</v>
      </c>
      <c r="BW2379" s="16"/>
      <c r="BX2379" s="16"/>
    </row>
    <row r="2380">
      <c r="A2380" s="16" t="s">
        <v>11681</v>
      </c>
      <c r="B2380" s="16" t="s">
        <v>35</v>
      </c>
      <c r="C2380" s="201">
        <v>46175.0</v>
      </c>
      <c r="D2380" s="16" t="s">
        <v>890</v>
      </c>
      <c r="E2380" s="16"/>
      <c r="F2380" s="16" t="s">
        <v>12938</v>
      </c>
      <c r="G2380" s="16" t="s">
        <v>8458</v>
      </c>
      <c r="H2380" s="16">
        <v>1.0</v>
      </c>
      <c r="I2380" s="16">
        <v>351.0</v>
      </c>
      <c r="J2380" s="16">
        <v>351.0</v>
      </c>
      <c r="K2380" s="16"/>
      <c r="L2380" s="16"/>
      <c r="M2380" s="16"/>
      <c r="N2380" s="16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16"/>
      <c r="AD2380" s="16"/>
      <c r="AH2380" s="16"/>
      <c r="AL2380" s="16"/>
      <c r="AP2380" s="16"/>
      <c r="AT2380" s="16"/>
      <c r="AX2380" s="16"/>
      <c r="BF2380" s="16"/>
      <c r="BJ2380" s="16"/>
      <c r="BN2380" s="16"/>
      <c r="BO2380" s="16">
        <v>351.0</v>
      </c>
      <c r="BP2380" s="16"/>
      <c r="BQ2380" s="16" t="b">
        <v>1</v>
      </c>
      <c r="BR2380" s="16">
        <v>351.0</v>
      </c>
      <c r="BS2380" s="16"/>
      <c r="BT2380" s="16"/>
      <c r="BU2380" s="16" t="s">
        <v>539</v>
      </c>
      <c r="BV2380" s="16"/>
      <c r="BW2380" s="16"/>
      <c r="BX2380" s="16"/>
    </row>
    <row r="2381">
      <c r="A2381" s="16">
        <v>12225.0</v>
      </c>
      <c r="B2381" s="16" t="s">
        <v>35</v>
      </c>
      <c r="C2381" s="201">
        <v>46181.0</v>
      </c>
      <c r="D2381" s="16" t="s">
        <v>9929</v>
      </c>
      <c r="E2381" s="16"/>
      <c r="F2381" s="16" t="s">
        <v>9930</v>
      </c>
      <c r="G2381" s="16" t="s">
        <v>3218</v>
      </c>
      <c r="H2381" s="16">
        <v>1.0</v>
      </c>
      <c r="I2381" s="16">
        <v>9200.0</v>
      </c>
      <c r="J2381" s="16">
        <v>9200.0</v>
      </c>
      <c r="K2381" s="16"/>
      <c r="L2381" s="16"/>
      <c r="M2381" s="16"/>
      <c r="N2381" s="16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D2381" s="16"/>
      <c r="AH2381" s="16"/>
      <c r="AL2381" s="16"/>
      <c r="AP2381" s="16"/>
      <c r="AT2381" s="16"/>
      <c r="AX2381" s="16"/>
      <c r="BF2381" s="16"/>
      <c r="BJ2381" s="16"/>
      <c r="BN2381" s="16"/>
      <c r="BO2381" s="16">
        <v>9200.0</v>
      </c>
      <c r="BP2381" s="16"/>
      <c r="BQ2381" s="16" t="b">
        <v>1</v>
      </c>
      <c r="BR2381" s="16">
        <v>9200.0</v>
      </c>
      <c r="BS2381" s="16"/>
      <c r="BT2381" s="16"/>
      <c r="BU2381" s="16" t="s">
        <v>539</v>
      </c>
      <c r="BV2381" s="16"/>
      <c r="BW2381" s="16"/>
      <c r="BX2381" s="16"/>
    </row>
    <row r="2382">
      <c r="A2382" s="16">
        <v>12226.0</v>
      </c>
      <c r="B2382" s="16" t="s">
        <v>35</v>
      </c>
      <c r="C2382" s="201">
        <v>46181.0</v>
      </c>
      <c r="D2382" s="16" t="s">
        <v>3516</v>
      </c>
      <c r="E2382" s="16"/>
      <c r="F2382" s="16" t="s">
        <v>9933</v>
      </c>
      <c r="G2382" s="16" t="s">
        <v>8501</v>
      </c>
      <c r="H2382" s="16">
        <v>1.0</v>
      </c>
      <c r="I2382" s="16">
        <v>533.95</v>
      </c>
      <c r="J2382" s="16">
        <v>533.95</v>
      </c>
      <c r="K2382" s="16"/>
      <c r="L2382" s="16"/>
      <c r="M2382" s="16"/>
      <c r="N2382" s="16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D2382" s="16"/>
      <c r="AH2382" s="16"/>
      <c r="AL2382" s="16"/>
      <c r="AP2382" s="16"/>
      <c r="AT2382" s="16"/>
      <c r="AX2382" s="16"/>
      <c r="BF2382" s="16"/>
      <c r="BJ2382" s="16"/>
      <c r="BN2382" s="16"/>
      <c r="BO2382" s="16">
        <v>533.95</v>
      </c>
      <c r="BP2382" s="16"/>
      <c r="BQ2382" s="16" t="b">
        <v>1</v>
      </c>
      <c r="BR2382" s="16">
        <v>533.95</v>
      </c>
      <c r="BS2382" s="16"/>
      <c r="BT2382" s="16"/>
      <c r="BU2382" s="16" t="s">
        <v>539</v>
      </c>
      <c r="BV2382" s="16"/>
      <c r="BW2382" s="16"/>
      <c r="BX2382" s="16"/>
    </row>
    <row r="2383">
      <c r="A2383" s="16">
        <v>12227.0</v>
      </c>
      <c r="B2383" s="16" t="s">
        <v>35</v>
      </c>
      <c r="C2383" s="201">
        <v>46181.0</v>
      </c>
      <c r="D2383" s="16" t="s">
        <v>2439</v>
      </c>
      <c r="E2383" s="16"/>
      <c r="F2383" s="16" t="s">
        <v>12940</v>
      </c>
      <c r="G2383" s="16" t="s">
        <v>873</v>
      </c>
      <c r="H2383" s="16">
        <v>1.0</v>
      </c>
      <c r="I2383" s="16">
        <v>0.0</v>
      </c>
      <c r="J2383" s="16">
        <v>0.0</v>
      </c>
      <c r="K2383" s="16"/>
      <c r="L2383" s="16"/>
      <c r="M2383" s="16"/>
      <c r="N2383" s="16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D2383" s="16"/>
      <c r="AH2383" s="16"/>
      <c r="AL2383" s="16"/>
      <c r="AP2383" s="16"/>
      <c r="AT2383" s="16"/>
      <c r="AX2383" s="16"/>
      <c r="BF2383" s="16"/>
      <c r="BJ2383" s="16"/>
      <c r="BN2383" s="16"/>
      <c r="BO2383" s="16">
        <v>0.0</v>
      </c>
      <c r="BP2383" s="16"/>
      <c r="BQ2383" s="16" t="b">
        <v>1</v>
      </c>
      <c r="BR2383" s="16">
        <v>0.0</v>
      </c>
      <c r="BS2383" s="16"/>
      <c r="BT2383" s="16"/>
      <c r="BU2383" s="16" t="s">
        <v>539</v>
      </c>
      <c r="BV2383" s="16"/>
      <c r="BW2383" s="16"/>
      <c r="BX2383" s="16"/>
    </row>
    <row r="2384">
      <c r="A2384" s="16">
        <v>12230.0</v>
      </c>
      <c r="B2384" s="16" t="s">
        <v>35</v>
      </c>
      <c r="C2384" s="201">
        <v>46181.0</v>
      </c>
      <c r="D2384" s="16" t="s">
        <v>7740</v>
      </c>
      <c r="E2384" s="16"/>
      <c r="F2384" s="16" t="s">
        <v>5136</v>
      </c>
      <c r="G2384" s="16" t="s">
        <v>9254</v>
      </c>
      <c r="H2384" s="16">
        <v>1.0</v>
      </c>
      <c r="I2384" s="16">
        <v>0.0</v>
      </c>
      <c r="J2384" s="16">
        <v>0.0</v>
      </c>
      <c r="K2384" s="16"/>
      <c r="L2384" s="16"/>
      <c r="M2384" s="16"/>
      <c r="N2384" s="16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16"/>
      <c r="AD2384" s="16"/>
      <c r="AH2384" s="16"/>
      <c r="AL2384" s="16"/>
      <c r="AP2384" s="16"/>
      <c r="AT2384" s="16"/>
      <c r="AX2384" s="16"/>
      <c r="BF2384" s="16"/>
      <c r="BJ2384" s="16"/>
      <c r="BN2384" s="16"/>
      <c r="BO2384" s="16">
        <v>0.0</v>
      </c>
      <c r="BP2384" s="16"/>
      <c r="BQ2384" s="16" t="b">
        <v>1</v>
      </c>
      <c r="BR2384" s="16">
        <v>0.0</v>
      </c>
      <c r="BS2384" s="16"/>
      <c r="BT2384" s="16"/>
      <c r="BU2384" s="16" t="s">
        <v>539</v>
      </c>
      <c r="BV2384" s="16"/>
      <c r="BW2384" s="16"/>
      <c r="BX2384" s="16"/>
    </row>
    <row r="2385">
      <c r="A2385" s="16">
        <v>12238.0</v>
      </c>
      <c r="B2385" s="16" t="s">
        <v>35</v>
      </c>
      <c r="C2385" s="201">
        <v>46181.0</v>
      </c>
      <c r="D2385" s="16" t="s">
        <v>10092</v>
      </c>
      <c r="E2385" s="16"/>
      <c r="F2385" s="16" t="s">
        <v>10093</v>
      </c>
      <c r="G2385" s="16" t="s">
        <v>8603</v>
      </c>
      <c r="H2385" s="16">
        <v>1.0</v>
      </c>
      <c r="I2385" s="16">
        <v>181.37</v>
      </c>
      <c r="J2385" s="16">
        <v>181.37</v>
      </c>
      <c r="K2385" s="16"/>
      <c r="L2385" s="16"/>
      <c r="M2385" s="16"/>
      <c r="N2385" s="16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16"/>
      <c r="AD2385" s="16"/>
      <c r="AH2385" s="16"/>
      <c r="AL2385" s="16"/>
      <c r="AP2385" s="16"/>
      <c r="AT2385" s="16"/>
      <c r="AX2385" s="16"/>
      <c r="BF2385" s="16"/>
      <c r="BJ2385" s="16"/>
      <c r="BN2385" s="16"/>
      <c r="BO2385" s="16">
        <v>181.37</v>
      </c>
      <c r="BP2385" s="16"/>
      <c r="BQ2385" s="16" t="b">
        <v>1</v>
      </c>
      <c r="BR2385" s="16">
        <v>181.37</v>
      </c>
      <c r="BS2385" s="16"/>
      <c r="BT2385" s="16"/>
      <c r="BU2385" s="16" t="s">
        <v>539</v>
      </c>
      <c r="BV2385" s="16"/>
      <c r="BW2385" s="16"/>
      <c r="BX2385" s="16"/>
    </row>
    <row r="2386">
      <c r="A2386" s="16" t="s">
        <v>11701</v>
      </c>
      <c r="B2386" s="16" t="s">
        <v>35</v>
      </c>
      <c r="C2386" s="201">
        <v>46181.0</v>
      </c>
      <c r="D2386" s="16" t="s">
        <v>1160</v>
      </c>
      <c r="E2386" s="16"/>
      <c r="F2386" s="16" t="s">
        <v>2775</v>
      </c>
      <c r="G2386" s="16" t="s">
        <v>1510</v>
      </c>
      <c r="H2386" s="16">
        <v>1.0</v>
      </c>
      <c r="I2386" s="16">
        <v>2242.0</v>
      </c>
      <c r="J2386" s="16">
        <v>2242.0</v>
      </c>
      <c r="K2386" s="16"/>
      <c r="L2386" s="16"/>
      <c r="M2386" s="16"/>
      <c r="N2386" s="16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16"/>
      <c r="AD2386" s="16"/>
      <c r="AH2386" s="16"/>
      <c r="AL2386" s="16"/>
      <c r="AP2386" s="16"/>
      <c r="AT2386" s="16"/>
      <c r="AX2386" s="16"/>
      <c r="BF2386" s="16"/>
      <c r="BJ2386" s="16"/>
      <c r="BN2386" s="16"/>
      <c r="BO2386" s="16">
        <v>2242.0</v>
      </c>
      <c r="BP2386" s="16"/>
      <c r="BQ2386" s="16" t="b">
        <v>1</v>
      </c>
      <c r="BR2386" s="16">
        <v>2242.0</v>
      </c>
      <c r="BS2386" s="16"/>
      <c r="BT2386" s="16"/>
      <c r="BU2386" s="16" t="s">
        <v>539</v>
      </c>
      <c r="BV2386" s="16"/>
      <c r="BW2386" s="16"/>
      <c r="BX2386" s="16"/>
    </row>
    <row r="2387">
      <c r="A2387" s="16" t="s">
        <v>11705</v>
      </c>
      <c r="B2387" s="16" t="s">
        <v>35</v>
      </c>
      <c r="C2387" s="201">
        <v>46181.0</v>
      </c>
      <c r="D2387" s="16" t="s">
        <v>460</v>
      </c>
      <c r="E2387" s="16"/>
      <c r="F2387" s="16" t="s">
        <v>12943</v>
      </c>
      <c r="G2387" s="16" t="s">
        <v>10065</v>
      </c>
      <c r="H2387" s="16">
        <v>1.0</v>
      </c>
      <c r="I2387" s="16">
        <v>80.0</v>
      </c>
      <c r="J2387" s="16">
        <v>80.0</v>
      </c>
      <c r="K2387" s="16"/>
      <c r="L2387" s="16"/>
      <c r="M2387" s="16"/>
      <c r="N2387" s="16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16"/>
      <c r="AD2387" s="16"/>
      <c r="AH2387" s="16"/>
      <c r="AL2387" s="16"/>
      <c r="AP2387" s="16"/>
      <c r="AT2387" s="16"/>
      <c r="AX2387" s="16"/>
      <c r="BF2387" s="16"/>
      <c r="BJ2387" s="16"/>
      <c r="BN2387" s="16"/>
      <c r="BO2387" s="16">
        <v>80.0</v>
      </c>
      <c r="BP2387" s="16"/>
      <c r="BQ2387" s="16" t="b">
        <v>1</v>
      </c>
      <c r="BR2387" s="16">
        <v>80.0</v>
      </c>
      <c r="BS2387" s="16"/>
      <c r="BT2387" s="16"/>
      <c r="BU2387" s="16" t="s">
        <v>539</v>
      </c>
      <c r="BV2387" s="16"/>
      <c r="BW2387" s="16"/>
      <c r="BX2387" s="16"/>
    </row>
    <row r="2388">
      <c r="A2388" s="16" t="s">
        <v>11709</v>
      </c>
      <c r="B2388" s="16" t="s">
        <v>35</v>
      </c>
      <c r="C2388" s="201">
        <v>46181.0</v>
      </c>
      <c r="D2388" s="16" t="s">
        <v>2774</v>
      </c>
      <c r="E2388" s="16"/>
      <c r="F2388" s="16" t="s">
        <v>12944</v>
      </c>
      <c r="G2388" s="16" t="s">
        <v>1510</v>
      </c>
      <c r="H2388" s="16">
        <v>1.0</v>
      </c>
      <c r="I2388" s="16">
        <v>1243.0</v>
      </c>
      <c r="J2388" s="16">
        <v>1243.0</v>
      </c>
      <c r="K2388" s="16"/>
      <c r="L2388" s="16"/>
      <c r="M2388" s="16"/>
      <c r="N2388" s="16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16"/>
      <c r="AD2388" s="16"/>
      <c r="AH2388" s="16"/>
      <c r="AL2388" s="16"/>
      <c r="AP2388" s="16"/>
      <c r="AT2388" s="16"/>
      <c r="AX2388" s="16"/>
      <c r="BF2388" s="16"/>
      <c r="BJ2388" s="16"/>
      <c r="BN2388" s="16"/>
      <c r="BO2388" s="16">
        <v>1243.0</v>
      </c>
      <c r="BP2388" s="16"/>
      <c r="BQ2388" s="16" t="b">
        <v>1</v>
      </c>
      <c r="BR2388" s="16">
        <v>1243.0</v>
      </c>
      <c r="BS2388" s="16"/>
      <c r="BT2388" s="16"/>
      <c r="BU2388" s="16" t="s">
        <v>539</v>
      </c>
      <c r="BV2388" s="16"/>
      <c r="BW2388" s="16"/>
      <c r="BX2388" s="16"/>
    </row>
    <row r="2389">
      <c r="A2389" s="16">
        <v>12228.0</v>
      </c>
      <c r="B2389" s="16" t="s">
        <v>35</v>
      </c>
      <c r="C2389" s="201">
        <v>46182.0</v>
      </c>
      <c r="D2389" s="16" t="s">
        <v>10315</v>
      </c>
      <c r="E2389" s="16"/>
      <c r="F2389" s="16" t="s">
        <v>12947</v>
      </c>
      <c r="G2389" s="16" t="s">
        <v>8792</v>
      </c>
      <c r="H2389" s="16">
        <v>1.0</v>
      </c>
      <c r="I2389" s="16">
        <v>4521.0</v>
      </c>
      <c r="J2389" s="16">
        <v>4521.0</v>
      </c>
      <c r="K2389" s="16"/>
      <c r="L2389" s="16"/>
      <c r="M2389" s="16"/>
      <c r="N2389" s="16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D2389" s="16"/>
      <c r="AH2389" s="16"/>
      <c r="AL2389" s="16"/>
      <c r="AP2389" s="16"/>
      <c r="AT2389" s="16"/>
      <c r="AX2389" s="16"/>
      <c r="BF2389" s="16"/>
      <c r="BJ2389" s="16"/>
      <c r="BN2389" s="16"/>
      <c r="BO2389" s="16">
        <v>4521.0</v>
      </c>
      <c r="BP2389" s="16"/>
      <c r="BQ2389" s="16" t="b">
        <v>1</v>
      </c>
      <c r="BR2389" s="16">
        <v>4521.0</v>
      </c>
      <c r="BS2389" s="16"/>
      <c r="BT2389" s="16"/>
      <c r="BU2389" s="16" t="s">
        <v>539</v>
      </c>
      <c r="BV2389" s="16"/>
      <c r="BW2389" s="16"/>
      <c r="BX2389" s="16"/>
    </row>
    <row r="2390">
      <c r="A2390" s="16">
        <v>12239.0</v>
      </c>
      <c r="B2390" s="16" t="s">
        <v>35</v>
      </c>
      <c r="C2390" s="201">
        <v>46182.0</v>
      </c>
      <c r="D2390" s="16" t="s">
        <v>2280</v>
      </c>
      <c r="E2390" s="16"/>
      <c r="F2390" s="16" t="s">
        <v>10095</v>
      </c>
      <c r="G2390" s="16" t="s">
        <v>9257</v>
      </c>
      <c r="H2390" s="16">
        <v>1.0</v>
      </c>
      <c r="I2390" s="16">
        <v>1196.69</v>
      </c>
      <c r="J2390" s="16">
        <v>1196.69</v>
      </c>
      <c r="K2390" s="16"/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D2390" s="16"/>
      <c r="AH2390" s="16"/>
      <c r="AL2390" s="16"/>
      <c r="AP2390" s="16"/>
      <c r="AT2390" s="16"/>
      <c r="AX2390" s="16"/>
      <c r="BF2390" s="16"/>
      <c r="BJ2390" s="16"/>
      <c r="BN2390" s="16"/>
      <c r="BO2390" s="16">
        <v>1196.69</v>
      </c>
      <c r="BP2390" s="16"/>
      <c r="BQ2390" s="16" t="b">
        <v>1</v>
      </c>
      <c r="BR2390" s="16">
        <v>1196.69</v>
      </c>
      <c r="BS2390" s="16"/>
      <c r="BT2390" s="16"/>
      <c r="BU2390" s="16" t="s">
        <v>539</v>
      </c>
      <c r="BV2390" s="16"/>
      <c r="BW2390" s="16"/>
      <c r="BX2390" s="16"/>
    </row>
    <row r="2391">
      <c r="A2391" s="16">
        <v>12240.0</v>
      </c>
      <c r="B2391" s="16" t="s">
        <v>35</v>
      </c>
      <c r="C2391" s="201">
        <v>46182.0</v>
      </c>
      <c r="D2391" s="16" t="s">
        <v>2248</v>
      </c>
      <c r="E2391" s="16"/>
      <c r="F2391" s="16" t="s">
        <v>8055</v>
      </c>
      <c r="G2391" s="16" t="s">
        <v>3218</v>
      </c>
      <c r="H2391" s="16">
        <v>1.0</v>
      </c>
      <c r="I2391" s="16">
        <v>185.0</v>
      </c>
      <c r="J2391" s="16">
        <v>185.0</v>
      </c>
      <c r="K2391" s="16"/>
      <c r="L2391" s="16"/>
      <c r="M2391" s="16"/>
      <c r="N2391" s="16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D2391" s="16"/>
      <c r="AH2391" s="16"/>
      <c r="AL2391" s="16"/>
      <c r="AP2391" s="16"/>
      <c r="AT2391" s="16"/>
      <c r="AX2391" s="16"/>
      <c r="BF2391" s="16"/>
      <c r="BJ2391" s="16"/>
      <c r="BN2391" s="16"/>
      <c r="BO2391" s="16">
        <v>185.0</v>
      </c>
      <c r="BP2391" s="16"/>
      <c r="BQ2391" s="16" t="b">
        <v>1</v>
      </c>
      <c r="BR2391" s="16">
        <v>185.0</v>
      </c>
      <c r="BS2391" s="16"/>
      <c r="BT2391" s="16"/>
      <c r="BU2391" s="16" t="s">
        <v>539</v>
      </c>
      <c r="BV2391" s="16"/>
      <c r="BW2391" s="16"/>
      <c r="BX2391" s="16"/>
    </row>
    <row r="2392">
      <c r="A2392" s="16" t="s">
        <v>11723</v>
      </c>
      <c r="B2392" s="16" t="s">
        <v>35</v>
      </c>
      <c r="C2392" s="201">
        <v>46183.0</v>
      </c>
      <c r="D2392" s="16"/>
      <c r="E2392" s="16"/>
      <c r="F2392" s="16" t="s">
        <v>12948</v>
      </c>
      <c r="G2392" s="16" t="s">
        <v>1168</v>
      </c>
      <c r="H2392" s="16">
        <v>1.0</v>
      </c>
      <c r="I2392" s="16">
        <v>500.0</v>
      </c>
      <c r="J2392" s="16">
        <v>500.0</v>
      </c>
      <c r="K2392" s="16"/>
      <c r="L2392" s="16"/>
      <c r="M2392" s="16"/>
      <c r="N2392" s="16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16"/>
      <c r="AD2392" s="16"/>
      <c r="AH2392" s="16"/>
      <c r="AL2392" s="16"/>
      <c r="AP2392" s="16"/>
      <c r="AT2392" s="16"/>
      <c r="AX2392" s="16"/>
      <c r="BF2392" s="16"/>
      <c r="BJ2392" s="16"/>
      <c r="BN2392" s="16"/>
      <c r="BO2392" s="16">
        <v>500.0</v>
      </c>
      <c r="BP2392" s="16"/>
      <c r="BQ2392" s="16" t="b">
        <v>1</v>
      </c>
      <c r="BR2392" s="16">
        <v>500.0</v>
      </c>
      <c r="BS2392" s="16"/>
      <c r="BT2392" s="16"/>
      <c r="BU2392" s="16" t="s">
        <v>539</v>
      </c>
      <c r="BV2392" s="16" t="s">
        <v>336</v>
      </c>
      <c r="BW2392" s="16"/>
      <c r="BX2392" s="16"/>
    </row>
    <row r="2393">
      <c r="A2393" s="16" t="s">
        <v>11725</v>
      </c>
      <c r="B2393" s="16" t="s">
        <v>35</v>
      </c>
      <c r="C2393" s="201">
        <v>46183.0</v>
      </c>
      <c r="D2393" s="16"/>
      <c r="E2393" s="16"/>
      <c r="F2393" s="16" t="s">
        <v>12948</v>
      </c>
      <c r="G2393" s="16" t="s">
        <v>1168</v>
      </c>
      <c r="H2393" s="16">
        <v>1.0</v>
      </c>
      <c r="I2393" s="16">
        <v>500.0</v>
      </c>
      <c r="J2393" s="16">
        <v>500.0</v>
      </c>
      <c r="K2393" s="16"/>
      <c r="L2393" s="16"/>
      <c r="M2393" s="16"/>
      <c r="N2393" s="16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16"/>
      <c r="AD2393" s="16"/>
      <c r="AH2393" s="16"/>
      <c r="AL2393" s="16"/>
      <c r="AP2393" s="16"/>
      <c r="AT2393" s="16"/>
      <c r="AX2393" s="16"/>
      <c r="BF2393" s="16"/>
      <c r="BJ2393" s="16"/>
      <c r="BN2393" s="16"/>
      <c r="BO2393" s="16">
        <v>500.0</v>
      </c>
      <c r="BP2393" s="16"/>
      <c r="BQ2393" s="16" t="b">
        <v>1</v>
      </c>
      <c r="BR2393" s="16">
        <v>500.0</v>
      </c>
      <c r="BS2393" s="16"/>
      <c r="BT2393" s="16"/>
      <c r="BU2393" s="16" t="s">
        <v>539</v>
      </c>
      <c r="BV2393" s="16" t="s">
        <v>218</v>
      </c>
      <c r="BW2393" s="16"/>
      <c r="BX2393" s="16"/>
    </row>
    <row r="2394">
      <c r="A2394" s="16" t="s">
        <v>11727</v>
      </c>
      <c r="B2394" s="16" t="s">
        <v>35</v>
      </c>
      <c r="C2394" s="201">
        <v>46183.0</v>
      </c>
      <c r="D2394" s="16"/>
      <c r="E2394" s="16"/>
      <c r="F2394" s="16" t="s">
        <v>12948</v>
      </c>
      <c r="G2394" s="16" t="s">
        <v>1168</v>
      </c>
      <c r="H2394" s="16">
        <v>1.0</v>
      </c>
      <c r="I2394" s="16">
        <v>500.0</v>
      </c>
      <c r="J2394" s="16">
        <v>500.0</v>
      </c>
      <c r="K2394" s="16"/>
      <c r="L2394" s="16"/>
      <c r="M2394" s="16"/>
      <c r="N2394" s="16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16"/>
      <c r="AD2394" s="16"/>
      <c r="AH2394" s="16"/>
      <c r="AL2394" s="16"/>
      <c r="AP2394" s="16"/>
      <c r="AT2394" s="16"/>
      <c r="AX2394" s="16"/>
      <c r="BF2394" s="16"/>
      <c r="BJ2394" s="16"/>
      <c r="BN2394" s="16"/>
      <c r="BO2394" s="16">
        <v>500.0</v>
      </c>
      <c r="BP2394" s="16"/>
      <c r="BQ2394" s="16" t="b">
        <v>1</v>
      </c>
      <c r="BR2394" s="16">
        <v>500.0</v>
      </c>
      <c r="BS2394" s="16"/>
      <c r="BT2394" s="16"/>
      <c r="BU2394" s="16" t="s">
        <v>539</v>
      </c>
      <c r="BV2394" s="16" t="s">
        <v>2052</v>
      </c>
      <c r="BW2394" s="16"/>
      <c r="BX2394" s="16"/>
    </row>
    <row r="2395">
      <c r="A2395" s="16" t="s">
        <v>11729</v>
      </c>
      <c r="B2395" s="16" t="s">
        <v>35</v>
      </c>
      <c r="C2395" s="201">
        <v>46183.0</v>
      </c>
      <c r="D2395" s="16"/>
      <c r="E2395" s="16"/>
      <c r="F2395" s="16" t="s">
        <v>12948</v>
      </c>
      <c r="G2395" s="16" t="s">
        <v>1168</v>
      </c>
      <c r="H2395" s="16">
        <v>1.0</v>
      </c>
      <c r="I2395" s="16">
        <v>500.0</v>
      </c>
      <c r="J2395" s="16">
        <v>500.0</v>
      </c>
      <c r="K2395" s="16"/>
      <c r="L2395" s="16"/>
      <c r="M2395" s="16"/>
      <c r="N2395" s="16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16"/>
      <c r="AD2395" s="16"/>
      <c r="AH2395" s="16"/>
      <c r="AL2395" s="16"/>
      <c r="AP2395" s="16"/>
      <c r="AT2395" s="16"/>
      <c r="AX2395" s="16"/>
      <c r="BF2395" s="16"/>
      <c r="BJ2395" s="16"/>
      <c r="BN2395" s="16"/>
      <c r="BO2395" s="16">
        <v>500.0</v>
      </c>
      <c r="BP2395" s="16"/>
      <c r="BQ2395" s="16" t="b">
        <v>1</v>
      </c>
      <c r="BR2395" s="16">
        <v>500.0</v>
      </c>
      <c r="BS2395" s="16"/>
      <c r="BT2395" s="16"/>
      <c r="BU2395" s="16" t="s">
        <v>539</v>
      </c>
      <c r="BV2395" s="16" t="s">
        <v>117</v>
      </c>
      <c r="BW2395" s="16"/>
      <c r="BX2395" s="16"/>
    </row>
    <row r="2396">
      <c r="A2396" s="16" t="s">
        <v>11732</v>
      </c>
      <c r="B2396" s="16" t="s">
        <v>35</v>
      </c>
      <c r="C2396" s="201">
        <v>46183.0</v>
      </c>
      <c r="D2396" s="16"/>
      <c r="E2396" s="16"/>
      <c r="F2396" s="16" t="s">
        <v>12948</v>
      </c>
      <c r="G2396" s="16" t="s">
        <v>1168</v>
      </c>
      <c r="H2396" s="16">
        <v>1.0</v>
      </c>
      <c r="I2396" s="16">
        <v>500.0</v>
      </c>
      <c r="J2396" s="16">
        <v>500.0</v>
      </c>
      <c r="K2396" s="16"/>
      <c r="L2396" s="16"/>
      <c r="M2396" s="16"/>
      <c r="N2396" s="16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16"/>
      <c r="AD2396" s="16"/>
      <c r="AH2396" s="16"/>
      <c r="AL2396" s="16"/>
      <c r="AP2396" s="16"/>
      <c r="AT2396" s="16"/>
      <c r="AX2396" s="16"/>
      <c r="BF2396" s="16"/>
      <c r="BJ2396" s="16"/>
      <c r="BN2396" s="16"/>
      <c r="BO2396" s="16">
        <v>500.0</v>
      </c>
      <c r="BP2396" s="16"/>
      <c r="BQ2396" s="16" t="b">
        <v>1</v>
      </c>
      <c r="BR2396" s="16">
        <v>500.0</v>
      </c>
      <c r="BS2396" s="16"/>
      <c r="BT2396" s="16"/>
      <c r="BU2396" s="16" t="s">
        <v>539</v>
      </c>
      <c r="BV2396" s="16" t="s">
        <v>227</v>
      </c>
      <c r="BW2396" s="16"/>
      <c r="BX2396" s="1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17</v>
      </c>
      <c r="P1" s="1" t="s">
        <v>1</v>
      </c>
      <c r="Q1" s="1" t="s">
        <v>21</v>
      </c>
      <c r="R1" s="1" t="s">
        <v>23</v>
      </c>
      <c r="S1" s="3" t="s">
        <v>25</v>
      </c>
    </row>
    <row r="2">
      <c r="A2" s="6" t="s">
        <v>28</v>
      </c>
      <c r="B2" s="6" t="s">
        <v>35</v>
      </c>
      <c r="C2" s="8">
        <v>45261.0</v>
      </c>
      <c r="D2" s="6" t="s">
        <v>40</v>
      </c>
      <c r="E2" s="10"/>
      <c r="F2" s="10"/>
      <c r="G2" s="10"/>
      <c r="H2" s="6" t="s">
        <v>45</v>
      </c>
      <c r="I2" s="10"/>
      <c r="J2" s="10"/>
      <c r="K2" s="10"/>
      <c r="L2" s="10"/>
      <c r="M2" s="10"/>
      <c r="N2" s="10"/>
      <c r="O2" s="10"/>
      <c r="P2" s="10"/>
      <c r="Q2" s="6"/>
      <c r="R2" s="10"/>
    </row>
    <row r="3">
      <c r="A3" s="6" t="s">
        <v>53</v>
      </c>
      <c r="B3" s="6" t="s">
        <v>35</v>
      </c>
      <c r="C3" s="8">
        <v>45261.0</v>
      </c>
      <c r="D3" s="6" t="s">
        <v>56</v>
      </c>
      <c r="E3" s="10"/>
      <c r="F3" s="10"/>
      <c r="G3" s="10"/>
      <c r="H3" s="6" t="s">
        <v>59</v>
      </c>
      <c r="I3" s="10"/>
      <c r="J3" s="10"/>
      <c r="K3" s="10"/>
      <c r="L3" s="10"/>
      <c r="M3" s="10"/>
      <c r="N3" s="10"/>
      <c r="O3" s="10"/>
      <c r="P3" s="10"/>
      <c r="Q3" s="6"/>
      <c r="R3" s="10"/>
    </row>
    <row r="4">
      <c r="A4" s="6" t="s">
        <v>81</v>
      </c>
      <c r="B4" s="6" t="s">
        <v>35</v>
      </c>
      <c r="C4" s="8">
        <v>45262.0</v>
      </c>
      <c r="D4" s="6" t="s">
        <v>85</v>
      </c>
      <c r="E4" s="10"/>
      <c r="F4" s="10"/>
      <c r="G4" s="10"/>
      <c r="H4" s="6" t="s">
        <v>88</v>
      </c>
      <c r="I4" s="10"/>
      <c r="J4" s="10"/>
      <c r="K4" s="10"/>
      <c r="L4" s="10"/>
      <c r="M4" s="10"/>
      <c r="N4" s="10"/>
      <c r="O4" s="10"/>
      <c r="P4" s="10"/>
      <c r="Q4" s="6"/>
      <c r="R4" s="10"/>
    </row>
    <row r="5">
      <c r="A5" s="6" t="s">
        <v>93</v>
      </c>
      <c r="B5" s="6" t="s">
        <v>35</v>
      </c>
      <c r="C5" s="8">
        <v>45262.0</v>
      </c>
      <c r="D5" s="6" t="s">
        <v>96</v>
      </c>
      <c r="E5" s="10"/>
      <c r="F5" s="10"/>
      <c r="G5" s="10"/>
      <c r="H5" s="6" t="s">
        <v>100</v>
      </c>
      <c r="I5" s="10"/>
      <c r="J5" s="10"/>
      <c r="K5" s="10"/>
      <c r="L5" s="10"/>
      <c r="M5" s="10"/>
      <c r="N5" s="10"/>
      <c r="O5" s="10"/>
      <c r="P5" s="10"/>
      <c r="Q5" s="6"/>
      <c r="R5" s="10"/>
    </row>
    <row r="6">
      <c r="A6" s="6" t="s">
        <v>108</v>
      </c>
      <c r="B6" s="6" t="s">
        <v>35</v>
      </c>
      <c r="C6" s="8">
        <v>45272.0</v>
      </c>
      <c r="D6" s="6" t="s">
        <v>112</v>
      </c>
      <c r="E6" s="10"/>
      <c r="F6" s="10"/>
      <c r="G6" s="6" t="s">
        <v>114</v>
      </c>
      <c r="H6" s="6" t="s">
        <v>45</v>
      </c>
      <c r="I6" s="17" t="b">
        <v>1</v>
      </c>
      <c r="J6" s="10"/>
      <c r="K6" s="10"/>
      <c r="L6" s="10"/>
      <c r="M6" s="10"/>
      <c r="N6" s="10"/>
      <c r="O6" s="18">
        <v>380.7</v>
      </c>
      <c r="P6" s="6" t="s">
        <v>119</v>
      </c>
      <c r="Q6" s="17" t="b">
        <v>1</v>
      </c>
      <c r="R6" s="10"/>
    </row>
    <row r="7">
      <c r="A7" s="6" t="s">
        <v>120</v>
      </c>
      <c r="B7" s="6" t="s">
        <v>35</v>
      </c>
      <c r="C7" s="8">
        <v>45272.0</v>
      </c>
      <c r="D7" s="6" t="s">
        <v>122</v>
      </c>
      <c r="E7" s="10"/>
      <c r="F7" s="10"/>
      <c r="G7" s="6" t="s">
        <v>123</v>
      </c>
      <c r="H7" s="6" t="s">
        <v>125</v>
      </c>
      <c r="I7" s="17" t="b">
        <v>1</v>
      </c>
      <c r="J7" s="10"/>
      <c r="K7" s="10"/>
      <c r="L7" s="10"/>
      <c r="M7" s="10"/>
      <c r="N7" s="10"/>
      <c r="O7" s="18">
        <v>132.0</v>
      </c>
      <c r="P7" s="6" t="s">
        <v>119</v>
      </c>
      <c r="Q7" s="17" t="b">
        <v>1</v>
      </c>
      <c r="R7" s="10"/>
    </row>
    <row r="8">
      <c r="A8" s="6" t="s">
        <v>128</v>
      </c>
      <c r="B8" s="6" t="s">
        <v>35</v>
      </c>
      <c r="C8" s="8">
        <v>45272.0</v>
      </c>
      <c r="D8" s="6" t="s">
        <v>129</v>
      </c>
      <c r="E8" s="10"/>
      <c r="F8" s="10"/>
      <c r="G8" s="6" t="s">
        <v>131</v>
      </c>
      <c r="H8" s="6" t="s">
        <v>132</v>
      </c>
      <c r="I8" s="17" t="b">
        <v>0</v>
      </c>
      <c r="J8" s="10"/>
      <c r="K8" s="10"/>
      <c r="L8" s="10"/>
      <c r="M8" s="10"/>
      <c r="N8" s="10"/>
      <c r="O8" s="18">
        <v>40.98</v>
      </c>
      <c r="P8" s="10"/>
      <c r="Q8" s="17" t="b">
        <v>1</v>
      </c>
      <c r="R8" s="10"/>
    </row>
    <row r="9">
      <c r="A9" s="6" t="s">
        <v>135</v>
      </c>
      <c r="B9" s="6" t="s">
        <v>35</v>
      </c>
      <c r="C9" s="8">
        <v>45273.0</v>
      </c>
      <c r="D9" s="6" t="s">
        <v>137</v>
      </c>
      <c r="E9" s="10"/>
      <c r="F9" s="10"/>
      <c r="G9" s="6" t="s">
        <v>138</v>
      </c>
      <c r="H9" s="6" t="s">
        <v>140</v>
      </c>
      <c r="I9" s="17" t="b">
        <v>1</v>
      </c>
      <c r="J9" s="10"/>
      <c r="K9" s="10"/>
      <c r="L9" s="10"/>
      <c r="M9" s="10"/>
      <c r="N9" s="10"/>
      <c r="O9" s="18">
        <v>350.0</v>
      </c>
      <c r="P9" s="6" t="s">
        <v>119</v>
      </c>
      <c r="Q9" s="17" t="b">
        <v>1</v>
      </c>
      <c r="R9" s="10"/>
    </row>
    <row r="10">
      <c r="A10" s="6" t="s">
        <v>143</v>
      </c>
      <c r="B10" s="6" t="s">
        <v>35</v>
      </c>
      <c r="C10" s="8">
        <v>45273.0</v>
      </c>
      <c r="D10" s="6" t="s">
        <v>145</v>
      </c>
      <c r="E10" s="10"/>
      <c r="F10" s="10"/>
      <c r="G10" s="6" t="s">
        <v>146</v>
      </c>
      <c r="H10" s="6" t="s">
        <v>147</v>
      </c>
      <c r="I10" s="17" t="b">
        <v>1</v>
      </c>
      <c r="J10" s="10"/>
      <c r="K10" s="10"/>
      <c r="L10" s="10"/>
      <c r="M10" s="10"/>
      <c r="N10" s="10"/>
      <c r="O10" s="18">
        <v>234.0</v>
      </c>
      <c r="P10" s="6" t="s">
        <v>151</v>
      </c>
      <c r="Q10" s="17" t="b">
        <v>1</v>
      </c>
      <c r="R10" s="10"/>
    </row>
    <row r="11">
      <c r="A11" s="6" t="s">
        <v>153</v>
      </c>
      <c r="B11" s="6" t="s">
        <v>35</v>
      </c>
      <c r="C11" s="8">
        <v>45274.0</v>
      </c>
      <c r="D11" s="6" t="s">
        <v>112</v>
      </c>
      <c r="E11" s="10"/>
      <c r="F11" s="10"/>
      <c r="G11" s="6" t="s">
        <v>156</v>
      </c>
      <c r="H11" s="6" t="s">
        <v>157</v>
      </c>
      <c r="I11" s="17" t="b">
        <v>1</v>
      </c>
      <c r="J11" s="10"/>
      <c r="K11" s="10"/>
      <c r="L11" s="10"/>
      <c r="M11" s="10"/>
      <c r="N11" s="10"/>
      <c r="O11" s="18">
        <v>448.5</v>
      </c>
      <c r="P11" s="6" t="s">
        <v>160</v>
      </c>
      <c r="Q11" s="17" t="b">
        <v>1</v>
      </c>
      <c r="R11" s="10"/>
    </row>
    <row r="12">
      <c r="A12" s="6" t="s">
        <v>162</v>
      </c>
      <c r="B12" s="6" t="s">
        <v>35</v>
      </c>
      <c r="C12" s="8">
        <v>45275.0</v>
      </c>
      <c r="D12" s="6" t="s">
        <v>112</v>
      </c>
      <c r="E12" s="10"/>
      <c r="F12" s="10"/>
      <c r="G12" s="6" t="s">
        <v>163</v>
      </c>
      <c r="H12" s="6" t="s">
        <v>157</v>
      </c>
      <c r="I12" s="17" t="b">
        <v>1</v>
      </c>
      <c r="J12" s="10"/>
      <c r="K12" s="10"/>
      <c r="L12" s="10"/>
      <c r="M12" s="10"/>
      <c r="N12" s="10"/>
      <c r="O12" s="18">
        <v>538.6</v>
      </c>
      <c r="P12" s="6" t="s">
        <v>119</v>
      </c>
      <c r="Q12" s="17" t="b">
        <v>1</v>
      </c>
      <c r="R12" s="10"/>
    </row>
    <row r="13">
      <c r="A13" s="6" t="s">
        <v>166</v>
      </c>
      <c r="B13" s="6" t="s">
        <v>35</v>
      </c>
      <c r="C13" s="8">
        <v>45275.0</v>
      </c>
      <c r="D13" s="6" t="s">
        <v>137</v>
      </c>
      <c r="E13" s="10"/>
      <c r="F13" s="10"/>
      <c r="G13" s="6" t="s">
        <v>168</v>
      </c>
      <c r="H13" s="6" t="s">
        <v>171</v>
      </c>
      <c r="I13" s="17" t="b">
        <v>1</v>
      </c>
      <c r="J13" s="10"/>
      <c r="K13" s="10"/>
      <c r="L13" s="10"/>
      <c r="M13" s="10"/>
      <c r="N13" s="10"/>
      <c r="O13" s="18">
        <v>450.0</v>
      </c>
      <c r="P13" s="6" t="s">
        <v>119</v>
      </c>
      <c r="Q13" s="17" t="b">
        <v>1</v>
      </c>
      <c r="R13" s="10"/>
    </row>
    <row r="14">
      <c r="A14" s="6" t="s">
        <v>174</v>
      </c>
      <c r="B14" s="6" t="s">
        <v>35</v>
      </c>
      <c r="C14" s="8">
        <v>45276.0</v>
      </c>
      <c r="D14" s="6" t="s">
        <v>175</v>
      </c>
      <c r="E14" s="10"/>
      <c r="F14" s="10"/>
      <c r="G14" s="6" t="s">
        <v>176</v>
      </c>
      <c r="H14" s="6" t="s">
        <v>177</v>
      </c>
      <c r="I14" s="17" t="b">
        <v>0</v>
      </c>
      <c r="J14" s="10"/>
      <c r="K14" s="10"/>
      <c r="L14" s="10"/>
      <c r="M14" s="10"/>
      <c r="N14" s="10"/>
      <c r="O14" s="18">
        <v>94.4</v>
      </c>
      <c r="P14" s="10"/>
      <c r="Q14" s="17" t="b">
        <v>1</v>
      </c>
      <c r="R14" s="10"/>
    </row>
    <row r="15">
      <c r="A15" s="6" t="s">
        <v>180</v>
      </c>
      <c r="B15" s="6" t="s">
        <v>35</v>
      </c>
      <c r="C15" s="8">
        <v>45277.0</v>
      </c>
      <c r="D15" s="18">
        <v>8.627274E7</v>
      </c>
      <c r="E15" s="10"/>
      <c r="F15" s="10"/>
      <c r="G15" s="6" t="s">
        <v>184</v>
      </c>
      <c r="H15" s="6" t="s">
        <v>157</v>
      </c>
      <c r="I15" s="17" t="b">
        <v>0</v>
      </c>
      <c r="J15" s="10"/>
      <c r="K15" s="10"/>
      <c r="L15" s="10"/>
      <c r="M15" s="10"/>
      <c r="N15" s="10"/>
      <c r="O15" s="18">
        <v>331.71</v>
      </c>
      <c r="P15" s="10"/>
      <c r="Q15" s="17" t="b">
        <v>1</v>
      </c>
      <c r="R15" s="10"/>
    </row>
    <row r="16">
      <c r="A16" s="6" t="s">
        <v>190</v>
      </c>
      <c r="B16" s="6" t="s">
        <v>35</v>
      </c>
      <c r="C16" s="8">
        <v>45278.0</v>
      </c>
      <c r="D16" s="6" t="s">
        <v>193</v>
      </c>
      <c r="E16" s="10"/>
      <c r="F16" s="10"/>
      <c r="G16" s="6" t="s">
        <v>194</v>
      </c>
      <c r="H16" s="6" t="s">
        <v>195</v>
      </c>
      <c r="I16" s="17" t="b">
        <v>1</v>
      </c>
      <c r="J16" s="10"/>
      <c r="K16" s="10"/>
      <c r="L16" s="10"/>
      <c r="M16" s="10"/>
      <c r="N16" s="10"/>
      <c r="O16" s="18">
        <v>408.32</v>
      </c>
      <c r="P16" s="6" t="s">
        <v>199</v>
      </c>
      <c r="Q16" s="17" t="b">
        <v>1</v>
      </c>
      <c r="R16" s="10"/>
    </row>
    <row r="17">
      <c r="A17" s="6" t="s">
        <v>200</v>
      </c>
      <c r="B17" s="6" t="s">
        <v>35</v>
      </c>
      <c r="C17" s="8">
        <v>45278.0</v>
      </c>
      <c r="D17" s="6" t="s">
        <v>137</v>
      </c>
      <c r="E17" s="10"/>
      <c r="F17" s="10"/>
      <c r="G17" s="6" t="s">
        <v>204</v>
      </c>
      <c r="H17" s="6" t="s">
        <v>140</v>
      </c>
      <c r="I17" s="17" t="b">
        <v>1</v>
      </c>
      <c r="J17" s="10"/>
      <c r="K17" s="10"/>
      <c r="L17" s="10"/>
      <c r="M17" s="10"/>
      <c r="N17" s="10"/>
      <c r="O17" s="18">
        <v>700.0</v>
      </c>
      <c r="P17" s="6" t="s">
        <v>208</v>
      </c>
      <c r="Q17" s="17" t="b">
        <v>1</v>
      </c>
      <c r="R17" s="10"/>
    </row>
    <row r="18">
      <c r="A18" s="6" t="s">
        <v>209</v>
      </c>
      <c r="B18" s="6" t="s">
        <v>35</v>
      </c>
      <c r="C18" s="8">
        <v>45278.0</v>
      </c>
      <c r="D18" s="6" t="s">
        <v>112</v>
      </c>
      <c r="E18" s="10"/>
      <c r="F18" s="10"/>
      <c r="G18" s="6" t="s">
        <v>211</v>
      </c>
      <c r="H18" s="6" t="s">
        <v>157</v>
      </c>
      <c r="I18" s="17" t="b">
        <v>1</v>
      </c>
      <c r="J18" s="10"/>
      <c r="K18" s="10"/>
      <c r="L18" s="10"/>
      <c r="M18" s="10"/>
      <c r="N18" s="10"/>
      <c r="O18" s="18">
        <v>54.47</v>
      </c>
      <c r="P18" s="6" t="s">
        <v>208</v>
      </c>
      <c r="Q18" s="17" t="b">
        <v>1</v>
      </c>
      <c r="R18" s="10"/>
    </row>
    <row r="19">
      <c r="A19" s="6" t="s">
        <v>214</v>
      </c>
      <c r="B19" s="6" t="s">
        <v>35</v>
      </c>
      <c r="C19" s="8">
        <v>45279.0</v>
      </c>
      <c r="D19" s="6" t="s">
        <v>112</v>
      </c>
      <c r="E19" s="10"/>
      <c r="F19" s="10"/>
      <c r="G19" s="6" t="s">
        <v>217</v>
      </c>
      <c r="H19" s="6" t="s">
        <v>157</v>
      </c>
      <c r="I19" s="17" t="b">
        <v>1</v>
      </c>
      <c r="J19" s="10"/>
      <c r="K19" s="10"/>
      <c r="L19" s="10"/>
      <c r="M19" s="10"/>
      <c r="N19" s="10"/>
      <c r="O19" s="18">
        <v>299.5</v>
      </c>
      <c r="P19" s="6" t="s">
        <v>208</v>
      </c>
      <c r="Q19" s="17" t="b">
        <v>1</v>
      </c>
      <c r="R19" s="10"/>
    </row>
    <row r="20">
      <c r="A20" s="6" t="s">
        <v>220</v>
      </c>
      <c r="B20" s="6" t="s">
        <v>35</v>
      </c>
      <c r="C20" s="8">
        <v>45280.0</v>
      </c>
      <c r="D20" s="6" t="s">
        <v>137</v>
      </c>
      <c r="E20" s="10"/>
      <c r="F20" s="10"/>
      <c r="G20" s="6" t="s">
        <v>221</v>
      </c>
      <c r="H20" s="6" t="s">
        <v>171</v>
      </c>
      <c r="I20" s="17" t="b">
        <v>1</v>
      </c>
      <c r="J20" s="10"/>
      <c r="K20" s="10"/>
      <c r="L20" s="10"/>
      <c r="M20" s="10"/>
      <c r="N20" s="10"/>
      <c r="O20" s="18">
        <v>250.0</v>
      </c>
      <c r="P20" s="6" t="s">
        <v>208</v>
      </c>
      <c r="Q20" s="17" t="b">
        <v>1</v>
      </c>
      <c r="R20" s="10"/>
    </row>
    <row r="21">
      <c r="A21" s="6" t="s">
        <v>224</v>
      </c>
      <c r="B21" s="6" t="s">
        <v>35</v>
      </c>
      <c r="C21" s="8">
        <v>45281.0</v>
      </c>
      <c r="D21" s="6" t="s">
        <v>112</v>
      </c>
      <c r="E21" s="10"/>
      <c r="F21" s="10"/>
      <c r="G21" s="6" t="s">
        <v>228</v>
      </c>
      <c r="H21" s="6" t="s">
        <v>157</v>
      </c>
      <c r="I21" s="17" t="b">
        <v>1</v>
      </c>
      <c r="J21" s="10"/>
      <c r="K21" s="10"/>
      <c r="L21" s="10"/>
      <c r="M21" s="10"/>
      <c r="N21" s="10"/>
      <c r="O21" s="18">
        <v>501.0</v>
      </c>
      <c r="P21" s="6" t="s">
        <v>208</v>
      </c>
      <c r="Q21" s="17" t="b">
        <v>1</v>
      </c>
      <c r="R21" s="10"/>
    </row>
    <row r="22">
      <c r="A22" s="6" t="s">
        <v>232</v>
      </c>
      <c r="B22" s="6" t="s">
        <v>35</v>
      </c>
      <c r="C22" s="8">
        <v>45282.0</v>
      </c>
      <c r="D22" s="6" t="s">
        <v>233</v>
      </c>
      <c r="E22" s="10"/>
      <c r="F22" s="10"/>
      <c r="G22" s="6" t="s">
        <v>235</v>
      </c>
      <c r="H22" s="6" t="s">
        <v>236</v>
      </c>
      <c r="I22" s="17" t="b">
        <v>0</v>
      </c>
      <c r="J22" s="10"/>
      <c r="K22" s="10"/>
      <c r="L22" s="10"/>
      <c r="M22" s="10"/>
      <c r="N22" s="10"/>
      <c r="O22" s="18">
        <v>108.16</v>
      </c>
      <c r="P22" s="10"/>
      <c r="Q22" s="17" t="b">
        <v>1</v>
      </c>
      <c r="R22" s="10"/>
    </row>
    <row r="23">
      <c r="A23" s="6" t="s">
        <v>241</v>
      </c>
      <c r="B23" s="6" t="s">
        <v>35</v>
      </c>
      <c r="C23" s="8">
        <v>45282.0</v>
      </c>
      <c r="D23" s="6" t="s">
        <v>137</v>
      </c>
      <c r="E23" s="10"/>
      <c r="F23" s="10"/>
      <c r="G23" s="6" t="s">
        <v>245</v>
      </c>
      <c r="H23" s="6" t="s">
        <v>171</v>
      </c>
      <c r="I23" s="17" t="b">
        <v>1</v>
      </c>
      <c r="J23" s="10"/>
      <c r="K23" s="10"/>
      <c r="L23" s="10"/>
      <c r="M23" s="10"/>
      <c r="N23" s="10"/>
      <c r="O23" s="18">
        <v>500.0</v>
      </c>
      <c r="P23" s="6" t="s">
        <v>208</v>
      </c>
      <c r="Q23" s="17" t="b">
        <v>1</v>
      </c>
      <c r="R23" s="10"/>
    </row>
    <row r="24">
      <c r="A24" s="6" t="s">
        <v>248</v>
      </c>
      <c r="B24" s="6" t="s">
        <v>35</v>
      </c>
      <c r="C24" s="8">
        <v>45282.0</v>
      </c>
      <c r="D24" s="6" t="s">
        <v>112</v>
      </c>
      <c r="E24" s="10"/>
      <c r="F24" s="10"/>
      <c r="G24" s="6" t="s">
        <v>251</v>
      </c>
      <c r="H24" s="6" t="s">
        <v>157</v>
      </c>
      <c r="I24" s="17" t="b">
        <v>1</v>
      </c>
      <c r="J24" s="10"/>
      <c r="K24" s="10"/>
      <c r="L24" s="10"/>
      <c r="M24" s="10"/>
      <c r="N24" s="10"/>
      <c r="O24" s="18">
        <v>168.5</v>
      </c>
      <c r="P24" s="6" t="s">
        <v>208</v>
      </c>
      <c r="Q24" s="17" t="b">
        <v>1</v>
      </c>
      <c r="R24" s="10"/>
    </row>
    <row r="25">
      <c r="A25" s="6" t="s">
        <v>254</v>
      </c>
      <c r="B25" s="6" t="s">
        <v>35</v>
      </c>
      <c r="C25" s="8">
        <v>45286.0</v>
      </c>
      <c r="D25" s="6" t="s">
        <v>112</v>
      </c>
      <c r="E25" s="10"/>
      <c r="F25" s="10"/>
      <c r="G25" s="6" t="s">
        <v>258</v>
      </c>
      <c r="H25" s="6" t="s">
        <v>157</v>
      </c>
      <c r="I25" s="17" t="b">
        <v>1</v>
      </c>
      <c r="J25" s="10"/>
      <c r="K25" s="10"/>
      <c r="L25" s="10"/>
      <c r="M25" s="10"/>
      <c r="N25" s="10"/>
      <c r="O25" s="18">
        <v>399.71</v>
      </c>
      <c r="P25" s="6" t="s">
        <v>208</v>
      </c>
      <c r="Q25" s="17" t="b">
        <v>1</v>
      </c>
      <c r="R25" s="10"/>
    </row>
    <row r="26">
      <c r="A26" s="6" t="s">
        <v>261</v>
      </c>
      <c r="B26" s="6" t="s">
        <v>35</v>
      </c>
      <c r="C26" s="8">
        <v>45286.0</v>
      </c>
      <c r="D26" s="6" t="s">
        <v>112</v>
      </c>
      <c r="E26" s="10"/>
      <c r="F26" s="10"/>
      <c r="G26" s="6" t="s">
        <v>265</v>
      </c>
      <c r="H26" s="6" t="s">
        <v>157</v>
      </c>
      <c r="I26" s="17" t="b">
        <v>1</v>
      </c>
      <c r="J26" s="10"/>
      <c r="K26" s="10"/>
      <c r="L26" s="10"/>
      <c r="M26" s="10"/>
      <c r="N26" s="10"/>
      <c r="O26" s="18">
        <v>456.51</v>
      </c>
      <c r="P26" s="6" t="s">
        <v>208</v>
      </c>
      <c r="Q26" s="17" t="b">
        <v>1</v>
      </c>
      <c r="R26" s="10"/>
    </row>
    <row r="27">
      <c r="A27" s="6" t="s">
        <v>268</v>
      </c>
      <c r="B27" s="6" t="s">
        <v>35</v>
      </c>
      <c r="C27" s="8">
        <v>45286.0</v>
      </c>
      <c r="D27" s="6" t="s">
        <v>137</v>
      </c>
      <c r="E27" s="10"/>
      <c r="F27" s="10"/>
      <c r="G27" s="6" t="s">
        <v>271</v>
      </c>
      <c r="H27" s="6" t="s">
        <v>171</v>
      </c>
      <c r="I27" s="17" t="b">
        <v>1</v>
      </c>
      <c r="J27" s="10"/>
      <c r="K27" s="10"/>
      <c r="L27" s="10"/>
      <c r="M27" s="10"/>
      <c r="N27" s="10"/>
      <c r="O27" s="18">
        <v>550.0</v>
      </c>
      <c r="P27" s="6" t="s">
        <v>275</v>
      </c>
      <c r="Q27" s="17" t="b">
        <v>1</v>
      </c>
      <c r="R27" s="10"/>
    </row>
    <row r="28">
      <c r="A28" s="6" t="s">
        <v>277</v>
      </c>
      <c r="B28" s="6" t="s">
        <v>35</v>
      </c>
      <c r="C28" s="8">
        <v>45287.0</v>
      </c>
      <c r="D28" s="6" t="s">
        <v>112</v>
      </c>
      <c r="E28" s="10"/>
      <c r="F28" s="10"/>
      <c r="G28" s="6" t="s">
        <v>280</v>
      </c>
      <c r="H28" s="6" t="s">
        <v>157</v>
      </c>
      <c r="I28" s="17" t="b">
        <v>1</v>
      </c>
      <c r="J28" s="10"/>
      <c r="K28" s="10"/>
      <c r="L28" s="10"/>
      <c r="M28" s="10"/>
      <c r="N28" s="10"/>
      <c r="O28" s="18">
        <v>219.34</v>
      </c>
      <c r="P28" s="6" t="s">
        <v>208</v>
      </c>
      <c r="Q28" s="17" t="b">
        <v>1</v>
      </c>
      <c r="R28" s="10"/>
    </row>
    <row r="29">
      <c r="A29" s="6" t="s">
        <v>284</v>
      </c>
      <c r="B29" s="6" t="s">
        <v>35</v>
      </c>
      <c r="C29" s="8">
        <v>45288.0</v>
      </c>
      <c r="D29" s="6" t="s">
        <v>286</v>
      </c>
      <c r="E29" s="10"/>
      <c r="F29" s="10"/>
      <c r="G29" s="6" t="s">
        <v>287</v>
      </c>
      <c r="H29" s="6" t="s">
        <v>289</v>
      </c>
      <c r="I29" s="17" t="b">
        <v>1</v>
      </c>
      <c r="J29" s="10"/>
      <c r="K29" s="10"/>
      <c r="L29" s="10"/>
      <c r="M29" s="10"/>
      <c r="N29" s="10"/>
      <c r="O29" s="18">
        <v>11.98</v>
      </c>
      <c r="P29" s="6" t="s">
        <v>208</v>
      </c>
      <c r="Q29" s="17" t="b">
        <v>1</v>
      </c>
      <c r="R29" s="10"/>
    </row>
    <row r="30">
      <c r="A30" s="6" t="s">
        <v>292</v>
      </c>
      <c r="B30" s="6" t="s">
        <v>35</v>
      </c>
      <c r="C30" s="8">
        <v>45288.0</v>
      </c>
      <c r="D30" s="6" t="s">
        <v>294</v>
      </c>
      <c r="E30" s="10"/>
      <c r="F30" s="10"/>
      <c r="G30" s="6" t="s">
        <v>296</v>
      </c>
      <c r="H30" s="6" t="s">
        <v>297</v>
      </c>
      <c r="I30" s="17" t="b">
        <v>1</v>
      </c>
      <c r="J30" s="10"/>
      <c r="K30" s="10"/>
      <c r="L30" s="10"/>
      <c r="M30" s="10"/>
      <c r="N30" s="10"/>
      <c r="O30" s="18">
        <v>130.0</v>
      </c>
      <c r="P30" s="6" t="s">
        <v>298</v>
      </c>
      <c r="Q30" s="17" t="b">
        <v>1</v>
      </c>
      <c r="R30" s="10"/>
    </row>
    <row r="31">
      <c r="A31" s="6" t="s">
        <v>300</v>
      </c>
      <c r="B31" s="6" t="s">
        <v>35</v>
      </c>
      <c r="C31" s="8">
        <v>45288.0</v>
      </c>
      <c r="D31" s="6" t="s">
        <v>112</v>
      </c>
      <c r="E31" s="10"/>
      <c r="F31" s="10"/>
      <c r="G31" s="6" t="s">
        <v>301</v>
      </c>
      <c r="H31" s="6" t="s">
        <v>157</v>
      </c>
      <c r="I31" s="17" t="b">
        <v>1</v>
      </c>
      <c r="J31" s="10"/>
      <c r="K31" s="10"/>
      <c r="L31" s="10"/>
      <c r="M31" s="10"/>
      <c r="N31" s="10"/>
      <c r="O31" s="18">
        <v>394.39</v>
      </c>
      <c r="P31" s="6" t="s">
        <v>208</v>
      </c>
      <c r="Q31" s="17" t="b">
        <v>1</v>
      </c>
      <c r="R31" s="10"/>
    </row>
    <row r="32">
      <c r="A32" s="6" t="s">
        <v>304</v>
      </c>
      <c r="B32" s="6" t="s">
        <v>35</v>
      </c>
      <c r="C32" s="8">
        <v>45289.0</v>
      </c>
      <c r="D32" s="6" t="s">
        <v>307</v>
      </c>
      <c r="E32" s="10"/>
      <c r="F32" s="10"/>
      <c r="G32" s="6" t="s">
        <v>309</v>
      </c>
      <c r="H32" s="6" t="s">
        <v>311</v>
      </c>
      <c r="I32" s="17" t="b">
        <v>1</v>
      </c>
      <c r="J32" s="10"/>
      <c r="K32" s="10"/>
      <c r="L32" s="10"/>
      <c r="M32" s="10"/>
      <c r="N32" s="10"/>
      <c r="O32" s="18">
        <v>16.9</v>
      </c>
      <c r="P32" s="6" t="s">
        <v>208</v>
      </c>
      <c r="Q32" s="17" t="b">
        <v>1</v>
      </c>
      <c r="R32" s="10"/>
    </row>
    <row r="33">
      <c r="A33" s="6" t="s">
        <v>314</v>
      </c>
      <c r="B33" s="6" t="s">
        <v>35</v>
      </c>
      <c r="C33" s="8">
        <v>45289.0</v>
      </c>
      <c r="D33" s="6" t="s">
        <v>122</v>
      </c>
      <c r="E33" s="10"/>
      <c r="F33" s="10"/>
      <c r="G33" s="6" t="s">
        <v>318</v>
      </c>
      <c r="H33" s="6" t="s">
        <v>319</v>
      </c>
      <c r="I33" s="17" t="b">
        <v>1</v>
      </c>
      <c r="J33" s="10"/>
      <c r="K33" s="10"/>
      <c r="L33" s="10"/>
      <c r="M33" s="10"/>
      <c r="N33" s="10"/>
      <c r="O33" s="18">
        <v>158.4</v>
      </c>
      <c r="P33" s="6" t="s">
        <v>208</v>
      </c>
      <c r="Q33" s="17" t="b">
        <v>1</v>
      </c>
      <c r="R33" s="10"/>
    </row>
    <row r="34">
      <c r="A34" s="6" t="s">
        <v>323</v>
      </c>
      <c r="B34" s="6" t="s">
        <v>35</v>
      </c>
      <c r="C34" s="8">
        <v>45289.0</v>
      </c>
      <c r="D34" s="6" t="s">
        <v>112</v>
      </c>
      <c r="E34" s="10"/>
      <c r="F34" s="10"/>
      <c r="G34" s="6" t="s">
        <v>326</v>
      </c>
      <c r="H34" s="6" t="s">
        <v>157</v>
      </c>
      <c r="I34" s="17" t="b">
        <v>1</v>
      </c>
      <c r="J34" s="10"/>
      <c r="K34" s="10"/>
      <c r="L34" s="10"/>
      <c r="M34" s="10"/>
      <c r="N34" s="10"/>
      <c r="O34" s="18">
        <v>419.1</v>
      </c>
      <c r="P34" s="6" t="s">
        <v>208</v>
      </c>
      <c r="Q34" s="17" t="b">
        <v>1</v>
      </c>
      <c r="R34" s="10"/>
    </row>
    <row r="35">
      <c r="A35" s="6" t="s">
        <v>330</v>
      </c>
      <c r="B35" s="6" t="s">
        <v>35</v>
      </c>
      <c r="C35" s="8">
        <v>45289.0</v>
      </c>
      <c r="D35" s="6" t="s">
        <v>137</v>
      </c>
      <c r="E35" s="10"/>
      <c r="F35" s="10"/>
      <c r="G35" s="6" t="s">
        <v>333</v>
      </c>
      <c r="H35" s="6" t="s">
        <v>171</v>
      </c>
      <c r="I35" s="17" t="b">
        <v>1</v>
      </c>
      <c r="J35" s="10"/>
      <c r="K35" s="10"/>
      <c r="L35" s="10"/>
      <c r="M35" s="10"/>
      <c r="N35" s="10"/>
      <c r="O35" s="18">
        <v>500.0</v>
      </c>
      <c r="P35" s="6" t="s">
        <v>208</v>
      </c>
      <c r="Q35" s="17" t="b">
        <v>1</v>
      </c>
      <c r="R35" s="10"/>
    </row>
    <row r="36">
      <c r="A36" s="6" t="s">
        <v>340</v>
      </c>
      <c r="B36" s="6" t="s">
        <v>35</v>
      </c>
      <c r="C36" s="8">
        <v>45289.0</v>
      </c>
      <c r="D36" s="6" t="s">
        <v>233</v>
      </c>
      <c r="E36" s="10"/>
      <c r="F36" s="10"/>
      <c r="G36" s="6" t="s">
        <v>342</v>
      </c>
      <c r="H36" s="6" t="s">
        <v>343</v>
      </c>
      <c r="I36" s="17" t="b">
        <v>0</v>
      </c>
      <c r="J36" s="10"/>
      <c r="K36" s="10"/>
      <c r="L36" s="10"/>
      <c r="M36" s="10"/>
      <c r="N36" s="10"/>
      <c r="O36" s="18">
        <v>154.29</v>
      </c>
      <c r="P36" s="10"/>
      <c r="Q36" s="17" t="b">
        <v>1</v>
      </c>
      <c r="R36" s="10"/>
    </row>
    <row r="37">
      <c r="A37" s="6" t="s">
        <v>347</v>
      </c>
      <c r="B37" s="6" t="s">
        <v>35</v>
      </c>
      <c r="C37" s="8">
        <v>45293.0</v>
      </c>
      <c r="D37" s="6" t="s">
        <v>137</v>
      </c>
      <c r="E37" s="10"/>
      <c r="F37" s="10"/>
      <c r="G37" s="6" t="s">
        <v>349</v>
      </c>
      <c r="H37" s="6" t="s">
        <v>171</v>
      </c>
      <c r="I37" s="17" t="b">
        <v>1</v>
      </c>
      <c r="J37" s="10"/>
      <c r="K37" s="10"/>
      <c r="L37" s="10"/>
      <c r="M37" s="10"/>
      <c r="N37" s="10"/>
      <c r="O37" s="18">
        <v>600.0</v>
      </c>
      <c r="P37" s="6" t="s">
        <v>208</v>
      </c>
      <c r="Q37" s="17" t="b">
        <v>1</v>
      </c>
      <c r="R37" s="10"/>
    </row>
    <row r="38">
      <c r="A38" s="6" t="s">
        <v>351</v>
      </c>
      <c r="B38" s="6" t="s">
        <v>35</v>
      </c>
      <c r="C38" s="8">
        <v>45293.0</v>
      </c>
      <c r="D38" s="6" t="s">
        <v>353</v>
      </c>
      <c r="E38" s="10"/>
      <c r="F38" s="10"/>
      <c r="G38" s="6" t="s">
        <v>354</v>
      </c>
      <c r="H38" s="6" t="s">
        <v>356</v>
      </c>
      <c r="I38" s="17" t="b">
        <v>1</v>
      </c>
      <c r="J38" s="10"/>
      <c r="K38" s="10"/>
      <c r="L38" s="10"/>
      <c r="M38" s="10"/>
      <c r="N38" s="10"/>
      <c r="O38" s="18">
        <v>144.89</v>
      </c>
      <c r="P38" s="6" t="s">
        <v>208</v>
      </c>
      <c r="Q38" s="17" t="b">
        <v>1</v>
      </c>
      <c r="R38" s="10"/>
    </row>
    <row r="39">
      <c r="A39" s="6" t="s">
        <v>359</v>
      </c>
      <c r="B39" s="6" t="s">
        <v>35</v>
      </c>
      <c r="C39" s="8">
        <v>45293.0</v>
      </c>
      <c r="D39" s="6" t="s">
        <v>360</v>
      </c>
      <c r="E39" s="10"/>
      <c r="F39" s="10"/>
      <c r="G39" s="6" t="s">
        <v>361</v>
      </c>
      <c r="H39" s="6" t="s">
        <v>363</v>
      </c>
      <c r="I39" s="17" t="b">
        <v>1</v>
      </c>
      <c r="J39" s="10"/>
      <c r="K39" s="10"/>
      <c r="L39" s="10"/>
      <c r="M39" s="10"/>
      <c r="N39" s="10"/>
      <c r="O39" s="18">
        <v>1378.0</v>
      </c>
      <c r="P39" s="6" t="s">
        <v>208</v>
      </c>
      <c r="Q39" s="17" t="b">
        <v>1</v>
      </c>
      <c r="R39" s="10"/>
    </row>
    <row r="40">
      <c r="A40" s="6" t="s">
        <v>366</v>
      </c>
      <c r="B40" s="6" t="s">
        <v>35</v>
      </c>
      <c r="C40" s="8">
        <v>45293.0</v>
      </c>
      <c r="D40" s="6" t="s">
        <v>175</v>
      </c>
      <c r="E40" s="10"/>
      <c r="F40" s="10"/>
      <c r="G40" s="6" t="s">
        <v>368</v>
      </c>
      <c r="H40" s="6" t="s">
        <v>369</v>
      </c>
      <c r="I40" s="17" t="b">
        <v>1</v>
      </c>
      <c r="J40" s="10"/>
      <c r="K40" s="10"/>
      <c r="L40" s="10"/>
      <c r="M40" s="10"/>
      <c r="N40" s="10"/>
      <c r="O40" s="18">
        <v>284.25</v>
      </c>
      <c r="P40" s="6" t="s">
        <v>208</v>
      </c>
      <c r="Q40" s="17" t="b">
        <v>1</v>
      </c>
      <c r="R40" s="10"/>
    </row>
    <row r="41">
      <c r="A41" s="6" t="s">
        <v>373</v>
      </c>
      <c r="B41" s="6" t="s">
        <v>35</v>
      </c>
      <c r="C41" s="8">
        <v>45293.0</v>
      </c>
      <c r="D41" s="6" t="s">
        <v>112</v>
      </c>
      <c r="E41" s="10"/>
      <c r="F41" s="10"/>
      <c r="G41" s="6" t="s">
        <v>376</v>
      </c>
      <c r="H41" s="6" t="s">
        <v>157</v>
      </c>
      <c r="I41" s="17" t="b">
        <v>1</v>
      </c>
      <c r="J41" s="10"/>
      <c r="K41" s="10"/>
      <c r="L41" s="10"/>
      <c r="M41" s="10"/>
      <c r="N41" s="10"/>
      <c r="O41" s="18">
        <v>295.89</v>
      </c>
      <c r="P41" s="6" t="s">
        <v>208</v>
      </c>
      <c r="Q41" s="17" t="b">
        <v>1</v>
      </c>
      <c r="R41" s="10"/>
    </row>
    <row r="42">
      <c r="A42" s="6" t="s">
        <v>380</v>
      </c>
      <c r="B42" s="6" t="s">
        <v>35</v>
      </c>
      <c r="C42" s="8">
        <v>45294.0</v>
      </c>
      <c r="D42" s="6" t="s">
        <v>307</v>
      </c>
      <c r="E42" s="10"/>
      <c r="F42" s="10"/>
      <c r="G42" s="6" t="s">
        <v>383</v>
      </c>
      <c r="H42" s="6" t="s">
        <v>386</v>
      </c>
      <c r="I42" s="17" t="b">
        <v>1</v>
      </c>
      <c r="J42" s="10"/>
      <c r="K42" s="10"/>
      <c r="L42" s="10"/>
      <c r="M42" s="10"/>
      <c r="N42" s="10"/>
      <c r="O42" s="18">
        <v>166.1</v>
      </c>
      <c r="P42" s="6" t="s">
        <v>388</v>
      </c>
      <c r="Q42" s="17" t="b">
        <v>1</v>
      </c>
      <c r="R42" s="10"/>
    </row>
    <row r="43">
      <c r="A43" s="6" t="s">
        <v>389</v>
      </c>
      <c r="B43" s="6" t="s">
        <v>35</v>
      </c>
      <c r="C43" s="8">
        <v>45294.0</v>
      </c>
      <c r="D43" s="6" t="s">
        <v>112</v>
      </c>
      <c r="E43" s="10"/>
      <c r="F43" s="10"/>
      <c r="G43" s="6" t="s">
        <v>391</v>
      </c>
      <c r="H43" s="6" t="s">
        <v>157</v>
      </c>
      <c r="I43" s="17" t="b">
        <v>1</v>
      </c>
      <c r="J43" s="10"/>
      <c r="K43" s="10"/>
      <c r="L43" s="10"/>
      <c r="M43" s="10"/>
      <c r="N43" s="10"/>
      <c r="O43" s="18">
        <v>246.3</v>
      </c>
      <c r="P43" s="6" t="s">
        <v>208</v>
      </c>
      <c r="Q43" s="17" t="b">
        <v>1</v>
      </c>
      <c r="R43" s="10"/>
    </row>
    <row r="44">
      <c r="A44" s="6" t="s">
        <v>395</v>
      </c>
      <c r="B44" s="6" t="s">
        <v>35</v>
      </c>
      <c r="C44" s="8">
        <v>45295.0</v>
      </c>
      <c r="D44" s="6" t="s">
        <v>112</v>
      </c>
      <c r="E44" s="10"/>
      <c r="F44" s="10"/>
      <c r="G44" s="6" t="s">
        <v>397</v>
      </c>
      <c r="H44" s="6" t="s">
        <v>157</v>
      </c>
      <c r="I44" s="17" t="b">
        <v>1</v>
      </c>
      <c r="J44" s="10"/>
      <c r="K44" s="10"/>
      <c r="L44" s="10"/>
      <c r="M44" s="10"/>
      <c r="N44" s="10"/>
      <c r="O44" s="18">
        <v>369.41</v>
      </c>
      <c r="P44" s="6" t="s">
        <v>298</v>
      </c>
      <c r="Q44" s="17" t="b">
        <v>1</v>
      </c>
      <c r="R44" s="10"/>
    </row>
    <row r="45">
      <c r="A45" s="6" t="s">
        <v>402</v>
      </c>
      <c r="B45" s="6" t="s">
        <v>35</v>
      </c>
      <c r="C45" s="8">
        <v>45296.0</v>
      </c>
      <c r="D45" s="6" t="s">
        <v>404</v>
      </c>
      <c r="E45" s="10"/>
      <c r="F45" s="10"/>
      <c r="G45" s="6" t="s">
        <v>406</v>
      </c>
      <c r="H45" s="6" t="s">
        <v>408</v>
      </c>
      <c r="I45" s="17" t="b">
        <v>1</v>
      </c>
      <c r="J45" s="10"/>
      <c r="K45" s="10"/>
      <c r="L45" s="10"/>
      <c r="M45" s="10"/>
      <c r="N45" s="10"/>
      <c r="O45" s="18">
        <v>161.89</v>
      </c>
      <c r="P45" s="6" t="s">
        <v>411</v>
      </c>
      <c r="Q45" s="17" t="b">
        <v>1</v>
      </c>
      <c r="R45" s="10"/>
    </row>
    <row r="46">
      <c r="A46" s="6" t="s">
        <v>412</v>
      </c>
      <c r="B46" s="6" t="s">
        <v>35</v>
      </c>
      <c r="C46" s="8">
        <v>45296.0</v>
      </c>
      <c r="D46" s="6" t="s">
        <v>137</v>
      </c>
      <c r="E46" s="10"/>
      <c r="F46" s="10"/>
      <c r="G46" s="6" t="s">
        <v>414</v>
      </c>
      <c r="H46" s="6" t="s">
        <v>415</v>
      </c>
      <c r="I46" s="17" t="b">
        <v>1</v>
      </c>
      <c r="J46" s="10"/>
      <c r="K46" s="10"/>
      <c r="L46" s="10"/>
      <c r="M46" s="10"/>
      <c r="N46" s="10"/>
      <c r="O46" s="18">
        <v>600.0</v>
      </c>
      <c r="P46" s="6" t="s">
        <v>411</v>
      </c>
      <c r="Q46" s="17" t="b">
        <v>1</v>
      </c>
      <c r="R46" s="10"/>
    </row>
    <row r="47">
      <c r="A47" s="6" t="s">
        <v>418</v>
      </c>
      <c r="B47" s="6" t="s">
        <v>35</v>
      </c>
      <c r="C47" s="8">
        <v>45274.0</v>
      </c>
      <c r="D47" s="6" t="s">
        <v>420</v>
      </c>
      <c r="E47" s="10"/>
      <c r="F47" s="10"/>
      <c r="G47" s="6" t="s">
        <v>422</v>
      </c>
      <c r="H47" s="6" t="s">
        <v>356</v>
      </c>
      <c r="I47" s="17" t="b">
        <v>0</v>
      </c>
      <c r="J47" s="10"/>
      <c r="K47" s="10"/>
      <c r="L47" s="10"/>
      <c r="M47" s="10"/>
      <c r="N47" s="10"/>
      <c r="O47" s="18">
        <v>955.5</v>
      </c>
      <c r="P47" s="10"/>
      <c r="Q47" s="17" t="b">
        <v>1</v>
      </c>
      <c r="R47" s="10"/>
    </row>
    <row r="48">
      <c r="A48" s="6" t="s">
        <v>427</v>
      </c>
      <c r="B48" s="6" t="s">
        <v>35</v>
      </c>
      <c r="C48" s="8">
        <v>45296.0</v>
      </c>
      <c r="D48" s="6" t="s">
        <v>286</v>
      </c>
      <c r="E48" s="10"/>
      <c r="F48" s="10"/>
      <c r="G48" s="6" t="s">
        <v>429</v>
      </c>
      <c r="H48" s="6" t="s">
        <v>431</v>
      </c>
      <c r="I48" s="17" t="b">
        <v>0</v>
      </c>
      <c r="J48" s="10"/>
      <c r="K48" s="10"/>
      <c r="L48" s="10"/>
      <c r="M48" s="10"/>
      <c r="N48" s="10"/>
      <c r="O48" s="18">
        <v>10.0</v>
      </c>
      <c r="P48" s="10"/>
      <c r="Q48" s="17" t="b">
        <v>1</v>
      </c>
      <c r="R48" s="10"/>
    </row>
    <row r="49">
      <c r="A49" s="6" t="s">
        <v>434</v>
      </c>
      <c r="B49" s="6" t="s">
        <v>35</v>
      </c>
      <c r="C49" s="8">
        <v>45296.0</v>
      </c>
      <c r="D49" s="6" t="s">
        <v>112</v>
      </c>
      <c r="E49" s="10"/>
      <c r="F49" s="10"/>
      <c r="G49" s="6" t="s">
        <v>436</v>
      </c>
      <c r="H49" s="6" t="s">
        <v>157</v>
      </c>
      <c r="I49" s="17" t="b">
        <v>1</v>
      </c>
      <c r="J49" s="10"/>
      <c r="K49" s="10"/>
      <c r="L49" s="10"/>
      <c r="M49" s="10"/>
      <c r="N49" s="10"/>
      <c r="O49" s="18">
        <v>375.97</v>
      </c>
      <c r="P49" s="6" t="s">
        <v>208</v>
      </c>
      <c r="Q49" s="17" t="b">
        <v>1</v>
      </c>
      <c r="R49" s="10"/>
    </row>
    <row r="50">
      <c r="A50" s="6" t="s">
        <v>441</v>
      </c>
      <c r="B50" s="6" t="s">
        <v>35</v>
      </c>
      <c r="C50" s="8">
        <v>45299.0</v>
      </c>
      <c r="D50" s="6" t="s">
        <v>137</v>
      </c>
      <c r="E50" s="10"/>
      <c r="F50" s="10"/>
      <c r="G50" s="6" t="s">
        <v>443</v>
      </c>
      <c r="H50" s="6" t="s">
        <v>415</v>
      </c>
      <c r="I50" s="17" t="b">
        <v>1</v>
      </c>
      <c r="J50" s="10"/>
      <c r="K50" s="10"/>
      <c r="L50" s="10"/>
      <c r="M50" s="10"/>
      <c r="N50" s="10"/>
      <c r="O50" s="18">
        <v>300.0</v>
      </c>
      <c r="P50" s="6" t="s">
        <v>445</v>
      </c>
      <c r="Q50" s="17" t="b">
        <v>1</v>
      </c>
      <c r="R50" s="10"/>
    </row>
    <row r="51">
      <c r="A51" s="6" t="s">
        <v>446</v>
      </c>
      <c r="B51" s="6" t="s">
        <v>35</v>
      </c>
      <c r="C51" s="8">
        <v>45301.0</v>
      </c>
      <c r="D51" s="6" t="s">
        <v>404</v>
      </c>
      <c r="E51" s="10"/>
      <c r="F51" s="10"/>
      <c r="G51" s="6" t="s">
        <v>448</v>
      </c>
      <c r="H51" s="6" t="s">
        <v>449</v>
      </c>
      <c r="I51" s="17" t="b">
        <v>1</v>
      </c>
      <c r="J51" s="10"/>
      <c r="K51" s="10"/>
      <c r="L51" s="10"/>
      <c r="M51" s="10"/>
      <c r="N51" s="10"/>
      <c r="O51" s="18">
        <v>47.94</v>
      </c>
      <c r="P51" s="18">
        <v>735925.0</v>
      </c>
      <c r="Q51" s="17" t="b">
        <v>1</v>
      </c>
      <c r="R51" s="10"/>
    </row>
    <row r="52">
      <c r="A52" s="6" t="s">
        <v>453</v>
      </c>
      <c r="B52" s="6" t="s">
        <v>35</v>
      </c>
      <c r="C52" s="8">
        <v>45302.0</v>
      </c>
      <c r="D52" s="6" t="s">
        <v>286</v>
      </c>
      <c r="E52" s="10"/>
      <c r="F52" s="10"/>
      <c r="G52" s="6" t="s">
        <v>455</v>
      </c>
      <c r="H52" s="6" t="s">
        <v>456</v>
      </c>
      <c r="I52" s="17" t="b">
        <v>1</v>
      </c>
      <c r="J52" s="10"/>
      <c r="K52" s="10"/>
      <c r="L52" s="10"/>
      <c r="M52" s="10"/>
      <c r="N52" s="10"/>
      <c r="O52" s="18">
        <v>21.0</v>
      </c>
      <c r="P52" s="18">
        <v>736016.0</v>
      </c>
      <c r="Q52" s="17" t="b">
        <v>1</v>
      </c>
      <c r="R52" s="10"/>
    </row>
    <row r="53">
      <c r="A53" s="6" t="s">
        <v>459</v>
      </c>
      <c r="B53" s="6" t="s">
        <v>35</v>
      </c>
      <c r="C53" s="8">
        <v>45302.0</v>
      </c>
      <c r="D53" s="6" t="s">
        <v>460</v>
      </c>
      <c r="E53" s="10"/>
      <c r="F53" s="10"/>
      <c r="G53" s="6" t="s">
        <v>461</v>
      </c>
      <c r="H53" s="6" t="s">
        <v>462</v>
      </c>
      <c r="I53" s="17" t="b">
        <v>0</v>
      </c>
      <c r="J53" s="10"/>
      <c r="K53" s="10"/>
      <c r="L53" s="10"/>
      <c r="M53" s="10"/>
      <c r="N53" s="10"/>
      <c r="O53" s="18">
        <v>320.0</v>
      </c>
      <c r="P53" s="10"/>
      <c r="Q53" s="17" t="b">
        <v>1</v>
      </c>
      <c r="R53" s="10"/>
    </row>
    <row r="54">
      <c r="A54" s="6" t="s">
        <v>464</v>
      </c>
      <c r="B54" s="6" t="s">
        <v>35</v>
      </c>
      <c r="C54" s="8">
        <v>45302.0</v>
      </c>
      <c r="D54" s="6" t="s">
        <v>460</v>
      </c>
      <c r="E54" s="10"/>
      <c r="F54" s="10"/>
      <c r="G54" s="6" t="s">
        <v>467</v>
      </c>
      <c r="H54" s="6" t="s">
        <v>469</v>
      </c>
      <c r="I54" s="17" t="b">
        <v>0</v>
      </c>
      <c r="J54" s="10"/>
      <c r="K54" s="10"/>
      <c r="L54" s="10"/>
      <c r="M54" s="10"/>
      <c r="N54" s="10"/>
      <c r="O54" s="18">
        <v>390.0</v>
      </c>
      <c r="P54" s="10"/>
      <c r="Q54" s="17" t="b">
        <v>1</v>
      </c>
      <c r="R54" s="10"/>
    </row>
    <row r="55">
      <c r="A55" s="6" t="s">
        <v>470</v>
      </c>
      <c r="B55" s="6" t="s">
        <v>35</v>
      </c>
      <c r="C55" s="8">
        <v>45302.0</v>
      </c>
      <c r="D55" s="6" t="s">
        <v>420</v>
      </c>
      <c r="E55" s="10"/>
      <c r="F55" s="10"/>
      <c r="G55" s="6" t="s">
        <v>472</v>
      </c>
      <c r="H55" s="6" t="s">
        <v>147</v>
      </c>
      <c r="I55" s="17" t="b">
        <v>1</v>
      </c>
      <c r="J55" s="10"/>
      <c r="K55" s="10"/>
      <c r="L55" s="10"/>
      <c r="M55" s="10"/>
      <c r="N55" s="10"/>
      <c r="O55" s="18">
        <v>712.07</v>
      </c>
      <c r="P55" s="18">
        <v>736329.0</v>
      </c>
      <c r="Q55" s="17" t="b">
        <v>1</v>
      </c>
      <c r="R55" s="10"/>
    </row>
    <row r="56">
      <c r="A56" s="6" t="s">
        <v>474</v>
      </c>
      <c r="B56" s="6" t="s">
        <v>35</v>
      </c>
      <c r="C56" s="8">
        <v>45302.0</v>
      </c>
      <c r="D56" s="6" t="s">
        <v>112</v>
      </c>
      <c r="E56" s="10"/>
      <c r="F56" s="10"/>
      <c r="G56" s="6" t="s">
        <v>476</v>
      </c>
      <c r="H56" s="6" t="s">
        <v>157</v>
      </c>
      <c r="I56" s="17" t="b">
        <v>1</v>
      </c>
      <c r="J56" s="10"/>
      <c r="K56" s="10"/>
      <c r="L56" s="10"/>
      <c r="M56" s="10"/>
      <c r="N56" s="10"/>
      <c r="O56" s="18">
        <v>874.55</v>
      </c>
      <c r="P56" s="18">
        <v>736052.0</v>
      </c>
      <c r="Q56" s="17" t="b">
        <v>1</v>
      </c>
      <c r="R56" s="10"/>
    </row>
    <row r="57">
      <c r="A57" s="6" t="s">
        <v>479</v>
      </c>
      <c r="B57" s="6" t="s">
        <v>35</v>
      </c>
      <c r="C57" s="8">
        <v>45303.0</v>
      </c>
      <c r="D57" s="6" t="s">
        <v>122</v>
      </c>
      <c r="E57" s="10"/>
      <c r="F57" s="10"/>
      <c r="G57" s="6" t="s">
        <v>481</v>
      </c>
      <c r="H57" s="6" t="s">
        <v>482</v>
      </c>
      <c r="I57" s="17" t="b">
        <v>1</v>
      </c>
      <c r="J57" s="10"/>
      <c r="K57" s="10"/>
      <c r="L57" s="10"/>
      <c r="M57" s="10"/>
      <c r="N57" s="10"/>
      <c r="O57" s="18">
        <v>105.6</v>
      </c>
      <c r="P57" s="18">
        <v>737400.0</v>
      </c>
      <c r="Q57" s="17" t="b">
        <v>1</v>
      </c>
      <c r="R57" s="10"/>
    </row>
    <row r="58">
      <c r="A58" s="6" t="s">
        <v>484</v>
      </c>
      <c r="B58" s="6" t="s">
        <v>35</v>
      </c>
      <c r="C58" s="8">
        <v>45303.0</v>
      </c>
      <c r="D58" s="6" t="s">
        <v>175</v>
      </c>
      <c r="E58" s="10"/>
      <c r="F58" s="10"/>
      <c r="G58" s="6" t="s">
        <v>485</v>
      </c>
      <c r="H58" s="6" t="s">
        <v>486</v>
      </c>
      <c r="I58" s="17" t="b">
        <v>1</v>
      </c>
      <c r="J58" s="10"/>
      <c r="K58" s="10"/>
      <c r="L58" s="10"/>
      <c r="M58" s="10"/>
      <c r="N58" s="10"/>
      <c r="O58" s="18">
        <v>44.74</v>
      </c>
      <c r="P58" s="18">
        <v>737398.0</v>
      </c>
      <c r="Q58" s="17" t="b">
        <v>1</v>
      </c>
      <c r="R58" s="10"/>
    </row>
    <row r="59">
      <c r="A59" s="6" t="s">
        <v>489</v>
      </c>
      <c r="B59" s="6" t="s">
        <v>35</v>
      </c>
      <c r="C59" s="8">
        <v>45304.0</v>
      </c>
      <c r="D59" s="6" t="s">
        <v>112</v>
      </c>
      <c r="E59" s="10"/>
      <c r="F59" s="10"/>
      <c r="G59" s="6" t="s">
        <v>490</v>
      </c>
      <c r="H59" s="6" t="s">
        <v>157</v>
      </c>
      <c r="I59" s="17" t="b">
        <v>1</v>
      </c>
      <c r="J59" s="10"/>
      <c r="K59" s="10"/>
      <c r="L59" s="10"/>
      <c r="M59" s="10"/>
      <c r="N59" s="10"/>
      <c r="O59" s="18">
        <v>459.66</v>
      </c>
      <c r="P59" s="18">
        <v>738339.0</v>
      </c>
      <c r="Q59" s="17" t="b">
        <v>1</v>
      </c>
      <c r="R59" s="10"/>
    </row>
    <row r="60">
      <c r="A60" s="6" t="s">
        <v>493</v>
      </c>
      <c r="B60" s="6" t="s">
        <v>35</v>
      </c>
      <c r="C60" s="8">
        <v>45304.0</v>
      </c>
      <c r="D60" s="6" t="s">
        <v>137</v>
      </c>
      <c r="E60" s="10"/>
      <c r="F60" s="10"/>
      <c r="G60" s="6" t="s">
        <v>495</v>
      </c>
      <c r="H60" s="6" t="s">
        <v>171</v>
      </c>
      <c r="I60" s="17" t="b">
        <v>1</v>
      </c>
      <c r="J60" s="10"/>
      <c r="K60" s="10"/>
      <c r="L60" s="10"/>
      <c r="M60" s="10"/>
      <c r="N60" s="10"/>
      <c r="O60" s="18">
        <v>900.0</v>
      </c>
      <c r="P60" s="18">
        <v>738486.0</v>
      </c>
      <c r="Q60" s="17" t="b">
        <v>1</v>
      </c>
      <c r="R60" s="10"/>
    </row>
    <row r="61">
      <c r="A61" s="6" t="s">
        <v>498</v>
      </c>
      <c r="B61" s="6" t="s">
        <v>35</v>
      </c>
      <c r="C61" s="8">
        <v>45308.0</v>
      </c>
      <c r="D61" s="6" t="s">
        <v>122</v>
      </c>
      <c r="E61" s="10"/>
      <c r="F61" s="10"/>
      <c r="G61" s="6" t="s">
        <v>500</v>
      </c>
      <c r="H61" s="6" t="s">
        <v>319</v>
      </c>
      <c r="I61" s="17" t="b">
        <v>1</v>
      </c>
      <c r="J61" s="10"/>
      <c r="K61" s="10"/>
      <c r="L61" s="10"/>
      <c r="M61" s="10"/>
      <c r="N61" s="10"/>
      <c r="O61" s="18">
        <v>132.0</v>
      </c>
      <c r="P61" s="18">
        <v>744491.0</v>
      </c>
      <c r="Q61" s="17" t="b">
        <v>1</v>
      </c>
      <c r="R61" s="10"/>
    </row>
    <row r="62">
      <c r="A62" s="6" t="s">
        <v>503</v>
      </c>
      <c r="B62" s="6" t="s">
        <v>35</v>
      </c>
      <c r="C62" s="8">
        <v>45308.0</v>
      </c>
      <c r="D62" s="6" t="s">
        <v>122</v>
      </c>
      <c r="E62" s="10"/>
      <c r="F62" s="10"/>
      <c r="G62" s="6" t="s">
        <v>505</v>
      </c>
      <c r="H62" s="6" t="s">
        <v>506</v>
      </c>
      <c r="I62" s="17" t="b">
        <v>1</v>
      </c>
      <c r="J62" s="10"/>
      <c r="K62" s="10"/>
      <c r="L62" s="10"/>
      <c r="M62" s="10"/>
      <c r="N62" s="10"/>
      <c r="O62" s="18">
        <v>26.1</v>
      </c>
      <c r="P62" s="18">
        <v>744489.0</v>
      </c>
      <c r="Q62" s="17" t="b">
        <v>1</v>
      </c>
      <c r="R62" s="10"/>
    </row>
    <row r="63">
      <c r="A63" s="6" t="s">
        <v>509</v>
      </c>
      <c r="B63" s="6" t="s">
        <v>35</v>
      </c>
      <c r="C63" s="8">
        <v>45308.0</v>
      </c>
      <c r="D63" s="6" t="s">
        <v>137</v>
      </c>
      <c r="E63" s="10"/>
      <c r="F63" s="10"/>
      <c r="G63" s="6" t="s">
        <v>511</v>
      </c>
      <c r="H63" s="6" t="s">
        <v>140</v>
      </c>
      <c r="I63" s="17" t="b">
        <v>1</v>
      </c>
      <c r="J63" s="10"/>
      <c r="K63" s="10"/>
      <c r="L63" s="10"/>
      <c r="M63" s="10"/>
      <c r="N63" s="10"/>
      <c r="O63" s="18">
        <v>600.0</v>
      </c>
      <c r="P63" s="18">
        <v>744830.0</v>
      </c>
      <c r="Q63" s="17" t="b">
        <v>1</v>
      </c>
      <c r="R63" s="10"/>
    </row>
    <row r="64">
      <c r="A64" s="6" t="s">
        <v>514</v>
      </c>
      <c r="B64" s="6" t="s">
        <v>35</v>
      </c>
      <c r="C64" s="8">
        <v>45306.0</v>
      </c>
      <c r="D64" s="6" t="s">
        <v>112</v>
      </c>
      <c r="E64" s="10"/>
      <c r="F64" s="10"/>
      <c r="G64" s="6" t="s">
        <v>515</v>
      </c>
      <c r="H64" s="6" t="s">
        <v>45</v>
      </c>
      <c r="I64" s="17" t="b">
        <v>0</v>
      </c>
      <c r="J64" s="10"/>
      <c r="K64" s="10"/>
      <c r="L64" s="10"/>
      <c r="M64" s="10"/>
      <c r="N64" s="10"/>
      <c r="O64" s="18">
        <v>350.01</v>
      </c>
      <c r="P64" s="10"/>
      <c r="Q64" s="17" t="b">
        <v>1</v>
      </c>
      <c r="R64" s="10"/>
    </row>
    <row r="65">
      <c r="A65" s="6" t="s">
        <v>517</v>
      </c>
      <c r="B65" s="6" t="s">
        <v>35</v>
      </c>
      <c r="C65" s="8">
        <v>45309.0</v>
      </c>
      <c r="D65" s="6" t="s">
        <v>112</v>
      </c>
      <c r="E65" s="10"/>
      <c r="F65" s="10"/>
      <c r="G65" s="6" t="s">
        <v>518</v>
      </c>
      <c r="H65" s="6" t="s">
        <v>45</v>
      </c>
      <c r="I65" s="17" t="b">
        <v>0</v>
      </c>
      <c r="J65" s="10"/>
      <c r="K65" s="10"/>
      <c r="L65" s="10"/>
      <c r="M65" s="10"/>
      <c r="N65" s="10"/>
      <c r="O65" s="18">
        <v>225.09</v>
      </c>
      <c r="P65" s="10"/>
      <c r="Q65" s="17" t="b">
        <v>1</v>
      </c>
      <c r="R65" s="10"/>
    </row>
    <row r="66">
      <c r="A66" s="6" t="s">
        <v>520</v>
      </c>
      <c r="B66" s="6" t="s">
        <v>35</v>
      </c>
      <c r="C66" s="8">
        <v>45310.0</v>
      </c>
      <c r="D66" s="18">
        <v>2.6065919E7</v>
      </c>
      <c r="E66" s="10"/>
      <c r="F66" s="10"/>
      <c r="G66" s="6" t="s">
        <v>521</v>
      </c>
      <c r="H66" s="6" t="s">
        <v>522</v>
      </c>
      <c r="I66" s="17" t="b">
        <v>1</v>
      </c>
      <c r="J66" s="10"/>
      <c r="K66" s="10"/>
      <c r="L66" s="10"/>
      <c r="M66" s="10"/>
      <c r="N66" s="10"/>
      <c r="O66" s="18">
        <v>225.0</v>
      </c>
      <c r="P66" s="6" t="s">
        <v>445</v>
      </c>
      <c r="Q66" s="17" t="b">
        <v>1</v>
      </c>
      <c r="R66" s="10"/>
    </row>
    <row r="67">
      <c r="A67" s="6" t="s">
        <v>525</v>
      </c>
      <c r="B67" s="6" t="s">
        <v>35</v>
      </c>
      <c r="C67" s="8">
        <v>45310.0</v>
      </c>
      <c r="D67" s="18">
        <v>8.627274E7</v>
      </c>
      <c r="E67" s="10"/>
      <c r="F67" s="10"/>
      <c r="G67" s="6" t="s">
        <v>527</v>
      </c>
      <c r="H67" s="6" t="s">
        <v>528</v>
      </c>
      <c r="I67" s="17" t="b">
        <v>0</v>
      </c>
      <c r="J67" s="10"/>
      <c r="K67" s="10"/>
      <c r="L67" s="10"/>
      <c r="M67" s="10"/>
      <c r="N67" s="10"/>
      <c r="O67" s="18">
        <v>141.54</v>
      </c>
      <c r="P67" s="10"/>
      <c r="Q67" s="17" t="b">
        <v>1</v>
      </c>
      <c r="R67" s="10"/>
    </row>
    <row r="68">
      <c r="A68" s="6" t="s">
        <v>530</v>
      </c>
      <c r="B68" s="6" t="s">
        <v>35</v>
      </c>
      <c r="C68" s="8">
        <v>45307.0</v>
      </c>
      <c r="D68" s="18">
        <v>8.627274E7</v>
      </c>
      <c r="E68" s="10"/>
      <c r="F68" s="10"/>
      <c r="G68" s="6" t="s">
        <v>532</v>
      </c>
      <c r="H68" s="6" t="s">
        <v>88</v>
      </c>
      <c r="I68" s="17" t="b">
        <v>0</v>
      </c>
      <c r="J68" s="6" t="s">
        <v>533</v>
      </c>
      <c r="K68" s="10"/>
      <c r="L68" s="10"/>
      <c r="M68" s="10"/>
      <c r="N68" s="10"/>
      <c r="O68" s="18">
        <v>175.76</v>
      </c>
      <c r="P68" s="10"/>
      <c r="Q68" s="17" t="b">
        <v>1</v>
      </c>
      <c r="R68" s="10"/>
    </row>
    <row r="69">
      <c r="A69" s="6" t="s">
        <v>536</v>
      </c>
      <c r="B69" s="6" t="s">
        <v>35</v>
      </c>
      <c r="C69" s="8">
        <v>45317.0</v>
      </c>
      <c r="D69" s="10"/>
      <c r="E69" s="10"/>
      <c r="F69" s="10"/>
      <c r="G69" s="10"/>
      <c r="H69" s="6" t="s">
        <v>538</v>
      </c>
      <c r="I69" s="10"/>
      <c r="J69" s="6" t="s">
        <v>539</v>
      </c>
      <c r="K69" s="6" t="s">
        <v>541</v>
      </c>
      <c r="L69" s="10"/>
      <c r="M69" s="10"/>
      <c r="N69" s="10"/>
      <c r="O69" s="18">
        <v>5123.2</v>
      </c>
      <c r="P69" s="10"/>
      <c r="Q69" s="6"/>
      <c r="R69" s="10"/>
    </row>
    <row r="70">
      <c r="A70" s="6" t="s">
        <v>542</v>
      </c>
      <c r="B70" s="6" t="s">
        <v>35</v>
      </c>
      <c r="C70" s="8">
        <v>45313.0</v>
      </c>
      <c r="D70" s="6" t="s">
        <v>543</v>
      </c>
      <c r="E70" s="10"/>
      <c r="F70" s="10"/>
      <c r="G70" s="6" t="s">
        <v>544</v>
      </c>
      <c r="H70" s="6" t="s">
        <v>140</v>
      </c>
      <c r="I70" s="17" t="b">
        <v>0</v>
      </c>
      <c r="J70" s="6" t="s">
        <v>546</v>
      </c>
      <c r="K70" s="10"/>
      <c r="L70" s="10"/>
      <c r="M70" s="10"/>
      <c r="N70" s="10"/>
      <c r="O70" s="18">
        <v>320.0</v>
      </c>
      <c r="P70" s="10"/>
      <c r="Q70" s="17" t="b">
        <v>1</v>
      </c>
      <c r="R70" s="10"/>
    </row>
    <row r="71">
      <c r="A71" s="6" t="s">
        <v>547</v>
      </c>
      <c r="B71" s="6" t="s">
        <v>35</v>
      </c>
      <c r="C71" s="8">
        <v>45314.0</v>
      </c>
      <c r="D71" s="6" t="s">
        <v>548</v>
      </c>
      <c r="E71" s="10"/>
      <c r="F71" s="10"/>
      <c r="G71" s="6" t="s">
        <v>550</v>
      </c>
      <c r="H71" s="6" t="s">
        <v>551</v>
      </c>
      <c r="I71" s="17" t="b">
        <v>1</v>
      </c>
      <c r="J71" s="6" t="s">
        <v>546</v>
      </c>
      <c r="K71" s="10"/>
      <c r="L71" s="10"/>
      <c r="M71" s="10"/>
      <c r="N71" s="10"/>
      <c r="O71" s="18">
        <v>48.0</v>
      </c>
      <c r="P71" s="6" t="s">
        <v>552</v>
      </c>
      <c r="Q71" s="17" t="b">
        <v>1</v>
      </c>
      <c r="R71" s="10"/>
    </row>
    <row r="72">
      <c r="A72" s="6" t="s">
        <v>553</v>
      </c>
      <c r="B72" s="6" t="s">
        <v>35</v>
      </c>
      <c r="C72" s="8">
        <v>45315.0</v>
      </c>
      <c r="D72" s="6" t="s">
        <v>112</v>
      </c>
      <c r="E72" s="10"/>
      <c r="F72" s="10"/>
      <c r="G72" s="6" t="s">
        <v>555</v>
      </c>
      <c r="H72" s="6" t="s">
        <v>157</v>
      </c>
      <c r="I72" s="17" t="b">
        <v>1</v>
      </c>
      <c r="J72" s="6" t="s">
        <v>546</v>
      </c>
      <c r="K72" s="10"/>
      <c r="L72" s="10"/>
      <c r="M72" s="10"/>
      <c r="N72" s="10"/>
      <c r="O72" s="18">
        <v>359.83</v>
      </c>
      <c r="P72" s="18">
        <v>755641.0</v>
      </c>
      <c r="Q72" s="17" t="b">
        <v>1</v>
      </c>
      <c r="R72" s="10"/>
    </row>
    <row r="73">
      <c r="A73" s="6" t="s">
        <v>558</v>
      </c>
      <c r="B73" s="6" t="s">
        <v>35</v>
      </c>
      <c r="C73" s="8">
        <v>45316.0</v>
      </c>
      <c r="D73" s="6" t="s">
        <v>559</v>
      </c>
      <c r="E73" s="10"/>
      <c r="F73" s="10"/>
      <c r="G73" s="6" t="s">
        <v>560</v>
      </c>
      <c r="H73" s="6" t="s">
        <v>195</v>
      </c>
      <c r="I73" s="17" t="b">
        <v>0</v>
      </c>
      <c r="J73" s="6" t="s">
        <v>546</v>
      </c>
      <c r="K73" s="10"/>
      <c r="L73" s="10"/>
      <c r="M73" s="10"/>
      <c r="N73" s="10"/>
      <c r="O73" s="18">
        <v>1134.0</v>
      </c>
      <c r="P73" s="10"/>
      <c r="Q73" s="17" t="b">
        <v>1</v>
      </c>
      <c r="R73" s="10"/>
    </row>
    <row r="74">
      <c r="A74" s="6" t="s">
        <v>562</v>
      </c>
      <c r="B74" s="6" t="s">
        <v>35</v>
      </c>
      <c r="C74" s="8">
        <v>45316.0</v>
      </c>
      <c r="D74" s="6" t="s">
        <v>559</v>
      </c>
      <c r="E74" s="6" t="s">
        <v>564</v>
      </c>
      <c r="F74" s="10"/>
      <c r="G74" s="6" t="s">
        <v>565</v>
      </c>
      <c r="H74" s="6" t="s">
        <v>195</v>
      </c>
      <c r="I74" s="17" t="b">
        <v>0</v>
      </c>
      <c r="J74" s="6" t="s">
        <v>546</v>
      </c>
      <c r="K74" s="10"/>
      <c r="L74" s="10"/>
      <c r="M74" s="10"/>
      <c r="N74" s="10"/>
      <c r="O74" s="18">
        <v>54.0</v>
      </c>
      <c r="P74" s="10"/>
      <c r="Q74" s="17" t="b">
        <v>1</v>
      </c>
      <c r="R74" s="10"/>
    </row>
    <row r="75">
      <c r="A75" s="6" t="s">
        <v>566</v>
      </c>
      <c r="B75" s="6" t="s">
        <v>35</v>
      </c>
      <c r="C75" s="8">
        <v>45316.0</v>
      </c>
      <c r="D75" s="6" t="s">
        <v>559</v>
      </c>
      <c r="E75" s="10"/>
      <c r="F75" s="10"/>
      <c r="G75" s="6" t="s">
        <v>568</v>
      </c>
      <c r="H75" s="6" t="s">
        <v>569</v>
      </c>
      <c r="I75" s="17" t="b">
        <v>0</v>
      </c>
      <c r="J75" s="6" t="s">
        <v>546</v>
      </c>
      <c r="K75" s="10"/>
      <c r="L75" s="10"/>
      <c r="M75" s="10"/>
      <c r="N75" s="10"/>
      <c r="O75" s="18">
        <v>17.82</v>
      </c>
      <c r="P75" s="10"/>
      <c r="Q75" s="17" t="b">
        <v>1</v>
      </c>
      <c r="R75" s="10"/>
    </row>
    <row r="76">
      <c r="A76" s="6" t="s">
        <v>571</v>
      </c>
      <c r="B76" s="6" t="s">
        <v>35</v>
      </c>
      <c r="C76" s="8">
        <v>45317.0</v>
      </c>
      <c r="D76" s="6" t="s">
        <v>543</v>
      </c>
      <c r="E76" s="10"/>
      <c r="F76" s="10"/>
      <c r="G76" s="6" t="s">
        <v>573</v>
      </c>
      <c r="H76" s="6" t="s">
        <v>140</v>
      </c>
      <c r="I76" s="17" t="b">
        <v>0</v>
      </c>
      <c r="J76" s="6" t="s">
        <v>546</v>
      </c>
      <c r="K76" s="10"/>
      <c r="L76" s="10"/>
      <c r="M76" s="10"/>
      <c r="N76" s="10"/>
      <c r="O76" s="18">
        <v>280.0</v>
      </c>
      <c r="P76" s="10"/>
      <c r="Q76" s="17" t="b">
        <v>1</v>
      </c>
      <c r="R76" s="10"/>
    </row>
    <row r="77">
      <c r="A77" s="6" t="s">
        <v>575</v>
      </c>
      <c r="B77" s="6" t="s">
        <v>35</v>
      </c>
      <c r="C77" s="8">
        <v>45318.0</v>
      </c>
      <c r="D77" s="6" t="s">
        <v>112</v>
      </c>
      <c r="E77" s="10"/>
      <c r="F77" s="10"/>
      <c r="G77" s="6" t="s">
        <v>577</v>
      </c>
      <c r="H77" s="6" t="s">
        <v>157</v>
      </c>
      <c r="I77" s="17" t="b">
        <v>1</v>
      </c>
      <c r="J77" s="6" t="s">
        <v>546</v>
      </c>
      <c r="K77" s="10"/>
      <c r="L77" s="10"/>
      <c r="M77" s="10"/>
      <c r="N77" s="10"/>
      <c r="O77" s="18">
        <v>433.19</v>
      </c>
      <c r="P77" s="18">
        <v>755656.0</v>
      </c>
      <c r="Q77" s="17" t="b">
        <v>1</v>
      </c>
      <c r="R77" s="10"/>
    </row>
    <row r="78">
      <c r="A78" s="6" t="s">
        <v>579</v>
      </c>
      <c r="B78" s="6" t="s">
        <v>35</v>
      </c>
      <c r="C78" s="8">
        <v>45320.0</v>
      </c>
      <c r="D78" s="6" t="s">
        <v>460</v>
      </c>
      <c r="E78" s="10"/>
      <c r="F78" s="10"/>
      <c r="G78" s="10"/>
      <c r="H78" s="6" t="s">
        <v>23</v>
      </c>
      <c r="I78" s="10"/>
      <c r="J78" s="6" t="s">
        <v>539</v>
      </c>
      <c r="K78" s="10"/>
      <c r="L78" s="10"/>
      <c r="M78" s="10"/>
      <c r="N78" s="10"/>
      <c r="O78" s="18">
        <v>122.5</v>
      </c>
      <c r="P78" s="10"/>
      <c r="Q78" s="6"/>
      <c r="R78" s="10"/>
    </row>
    <row r="79">
      <c r="A79" s="6" t="s">
        <v>583</v>
      </c>
      <c r="B79" s="6" t="s">
        <v>35</v>
      </c>
      <c r="C79" s="8">
        <v>45320.0</v>
      </c>
      <c r="D79" s="6" t="s">
        <v>460</v>
      </c>
      <c r="E79" s="10"/>
      <c r="F79" s="10"/>
      <c r="G79" s="10"/>
      <c r="H79" s="6" t="s">
        <v>584</v>
      </c>
      <c r="I79" s="10"/>
      <c r="J79" s="6" t="s">
        <v>539</v>
      </c>
      <c r="K79" s="10"/>
      <c r="L79" s="10"/>
      <c r="M79" s="10"/>
      <c r="N79" s="10"/>
      <c r="O79" s="18">
        <v>459.4</v>
      </c>
      <c r="P79" s="10"/>
      <c r="Q79" s="6"/>
      <c r="R79" s="10"/>
    </row>
    <row r="80">
      <c r="A80" s="6" t="s">
        <v>587</v>
      </c>
      <c r="B80" s="6" t="s">
        <v>35</v>
      </c>
      <c r="C80" s="8">
        <v>45320.0</v>
      </c>
      <c r="D80" s="6" t="s">
        <v>460</v>
      </c>
      <c r="E80" s="10"/>
      <c r="F80" s="10"/>
      <c r="G80" s="10"/>
      <c r="H80" s="6" t="s">
        <v>589</v>
      </c>
      <c r="I80" s="10"/>
      <c r="J80" s="6" t="s">
        <v>539</v>
      </c>
      <c r="K80" s="10"/>
      <c r="L80" s="10"/>
      <c r="M80" s="10"/>
      <c r="N80" s="10"/>
      <c r="O80" s="18">
        <v>30.0</v>
      </c>
      <c r="P80" s="10"/>
      <c r="Q80" s="6"/>
      <c r="R80" s="10"/>
    </row>
    <row r="81">
      <c r="A81" s="6" t="s">
        <v>592</v>
      </c>
      <c r="B81" s="6" t="s">
        <v>35</v>
      </c>
      <c r="C81" s="8">
        <v>45320.0</v>
      </c>
      <c r="D81" s="6" t="s">
        <v>137</v>
      </c>
      <c r="E81" s="10"/>
      <c r="F81" s="10"/>
      <c r="G81" s="6" t="s">
        <v>593</v>
      </c>
      <c r="H81" s="6" t="s">
        <v>140</v>
      </c>
      <c r="I81" s="17" t="b">
        <v>1</v>
      </c>
      <c r="J81" s="6" t="s">
        <v>546</v>
      </c>
      <c r="K81" s="10"/>
      <c r="L81" s="10"/>
      <c r="M81" s="10"/>
      <c r="N81" s="10"/>
      <c r="O81" s="18">
        <v>260.0</v>
      </c>
      <c r="P81" s="18">
        <v>758676.0</v>
      </c>
      <c r="Q81" s="17" t="b">
        <v>1</v>
      </c>
      <c r="R81" s="10"/>
    </row>
    <row r="82">
      <c r="A82" s="6" t="s">
        <v>594</v>
      </c>
      <c r="B82" s="6" t="s">
        <v>35</v>
      </c>
      <c r="C82" s="8">
        <v>45320.0</v>
      </c>
      <c r="D82" s="6" t="s">
        <v>595</v>
      </c>
      <c r="E82" s="10"/>
      <c r="F82" s="10"/>
      <c r="G82" s="6" t="s">
        <v>596</v>
      </c>
      <c r="H82" s="6" t="s">
        <v>598</v>
      </c>
      <c r="I82" s="17" t="b">
        <v>1</v>
      </c>
      <c r="J82" s="6" t="s">
        <v>546</v>
      </c>
      <c r="K82" s="10"/>
      <c r="L82" s="10"/>
      <c r="M82" s="10"/>
      <c r="N82" s="10"/>
      <c r="O82" s="18">
        <v>130.0</v>
      </c>
      <c r="P82" s="18">
        <v>758863.0</v>
      </c>
      <c r="Q82" s="17" t="b">
        <v>1</v>
      </c>
      <c r="R82" s="10"/>
    </row>
    <row r="83">
      <c r="A83" s="6" t="s">
        <v>601</v>
      </c>
      <c r="B83" s="6" t="s">
        <v>35</v>
      </c>
      <c r="C83" s="8">
        <v>45313.0</v>
      </c>
      <c r="D83" s="18">
        <v>6.8893939E7</v>
      </c>
      <c r="E83" s="10"/>
      <c r="F83" s="10"/>
      <c r="G83" s="6" t="s">
        <v>604</v>
      </c>
      <c r="H83" s="6" t="s">
        <v>605</v>
      </c>
      <c r="I83" s="17" t="b">
        <v>0</v>
      </c>
      <c r="J83" s="6" t="s">
        <v>546</v>
      </c>
      <c r="K83" s="10"/>
      <c r="L83" s="10"/>
      <c r="M83" s="10"/>
      <c r="N83" s="10"/>
      <c r="O83" s="18">
        <v>2496.99</v>
      </c>
      <c r="P83" s="10"/>
      <c r="Q83" s="17" t="b">
        <v>1</v>
      </c>
      <c r="R83" s="10"/>
    </row>
    <row r="84">
      <c r="A84" s="6" t="s">
        <v>608</v>
      </c>
      <c r="B84" s="6" t="s">
        <v>35</v>
      </c>
      <c r="C84" s="8">
        <v>45321.0</v>
      </c>
      <c r="D84" s="6" t="s">
        <v>609</v>
      </c>
      <c r="E84" s="10"/>
      <c r="F84" s="10"/>
      <c r="G84" s="10"/>
      <c r="H84" s="6" t="s">
        <v>611</v>
      </c>
      <c r="I84" s="10"/>
      <c r="J84" s="6" t="s">
        <v>539</v>
      </c>
      <c r="K84" s="10"/>
      <c r="L84" s="10"/>
      <c r="M84" s="10"/>
      <c r="N84" s="10"/>
      <c r="O84" s="18">
        <v>96.62</v>
      </c>
      <c r="P84" s="10"/>
      <c r="Q84" s="6"/>
      <c r="R84" s="10"/>
    </row>
    <row r="85">
      <c r="A85" s="6" t="s">
        <v>614</v>
      </c>
      <c r="B85" s="6" t="s">
        <v>35</v>
      </c>
      <c r="C85" s="8">
        <v>45321.0</v>
      </c>
      <c r="D85" s="6" t="s">
        <v>616</v>
      </c>
      <c r="E85" s="10"/>
      <c r="F85" s="10"/>
      <c r="G85" s="10"/>
      <c r="H85" s="6" t="s">
        <v>617</v>
      </c>
      <c r="I85" s="10"/>
      <c r="J85" s="6" t="s">
        <v>539</v>
      </c>
      <c r="K85" s="10"/>
      <c r="L85" s="10"/>
      <c r="M85" s="10"/>
      <c r="N85" s="10"/>
      <c r="O85" s="18">
        <v>1189.27</v>
      </c>
      <c r="P85" s="10"/>
      <c r="Q85" s="6"/>
      <c r="R85" s="10"/>
    </row>
    <row r="86">
      <c r="A86" s="6" t="s">
        <v>618</v>
      </c>
      <c r="B86" s="6" t="s">
        <v>35</v>
      </c>
      <c r="C86" s="8">
        <v>45323.0</v>
      </c>
      <c r="D86" s="6" t="s">
        <v>460</v>
      </c>
      <c r="E86" s="10"/>
      <c r="F86" s="10"/>
      <c r="G86" s="10"/>
      <c r="H86" s="6" t="s">
        <v>620</v>
      </c>
      <c r="I86" s="10"/>
      <c r="J86" s="6" t="s">
        <v>539</v>
      </c>
      <c r="K86" s="10"/>
      <c r="L86" s="10"/>
      <c r="M86" s="10"/>
      <c r="N86" s="10"/>
      <c r="O86" s="18">
        <v>70.0</v>
      </c>
      <c r="P86" s="10"/>
      <c r="Q86" s="6"/>
      <c r="R86" s="10"/>
    </row>
    <row r="87">
      <c r="A87" s="6" t="s">
        <v>621</v>
      </c>
      <c r="B87" s="6" t="s">
        <v>35</v>
      </c>
      <c r="C87" s="8">
        <v>45324.0</v>
      </c>
      <c r="D87" s="10"/>
      <c r="E87" s="10"/>
      <c r="F87" s="10"/>
      <c r="G87" s="10"/>
      <c r="H87" s="6" t="s">
        <v>623</v>
      </c>
      <c r="I87" s="10"/>
      <c r="J87" s="6" t="s">
        <v>539</v>
      </c>
      <c r="K87" s="6" t="s">
        <v>624</v>
      </c>
      <c r="L87" s="10"/>
      <c r="M87" s="10"/>
      <c r="N87" s="10"/>
      <c r="O87" s="18">
        <v>200.0</v>
      </c>
      <c r="P87" s="10"/>
      <c r="Q87" s="6"/>
      <c r="R87" s="10"/>
    </row>
    <row r="88">
      <c r="A88" s="6" t="s">
        <v>625</v>
      </c>
      <c r="B88" s="6" t="s">
        <v>35</v>
      </c>
      <c r="C88" s="8">
        <v>45322.0</v>
      </c>
      <c r="D88" s="6" t="s">
        <v>112</v>
      </c>
      <c r="E88" s="10"/>
      <c r="F88" s="10"/>
      <c r="G88" s="6" t="s">
        <v>626</v>
      </c>
      <c r="H88" s="6" t="s">
        <v>45</v>
      </c>
      <c r="I88" s="17" t="b">
        <v>1</v>
      </c>
      <c r="J88" s="6" t="s">
        <v>546</v>
      </c>
      <c r="K88" s="10"/>
      <c r="L88" s="10"/>
      <c r="M88" s="10"/>
      <c r="N88" s="10"/>
      <c r="O88" s="18">
        <v>295.45</v>
      </c>
      <c r="P88" s="18">
        <v>761685.0</v>
      </c>
      <c r="Q88" s="17" t="b">
        <v>1</v>
      </c>
      <c r="R88" s="10"/>
    </row>
    <row r="89">
      <c r="A89" s="6" t="s">
        <v>628</v>
      </c>
      <c r="B89" s="6" t="s">
        <v>35</v>
      </c>
      <c r="C89" s="8">
        <v>45322.0</v>
      </c>
      <c r="D89" s="6" t="s">
        <v>137</v>
      </c>
      <c r="E89" s="10"/>
      <c r="F89" s="10"/>
      <c r="G89" s="6" t="s">
        <v>630</v>
      </c>
      <c r="H89" s="6" t="s">
        <v>59</v>
      </c>
      <c r="I89" s="17" t="b">
        <v>1</v>
      </c>
      <c r="J89" s="6" t="s">
        <v>546</v>
      </c>
      <c r="K89" s="10"/>
      <c r="L89" s="10"/>
      <c r="M89" s="10"/>
      <c r="N89" s="10"/>
      <c r="O89" s="18">
        <v>400.0</v>
      </c>
      <c r="P89" s="18">
        <v>761201.0</v>
      </c>
      <c r="Q89" s="17" t="b">
        <v>1</v>
      </c>
      <c r="R89" s="10"/>
    </row>
    <row r="90">
      <c r="A90" s="6" t="s">
        <v>632</v>
      </c>
      <c r="B90" s="6" t="s">
        <v>35</v>
      </c>
      <c r="C90" s="8">
        <v>45322.0</v>
      </c>
      <c r="D90" s="6" t="s">
        <v>145</v>
      </c>
      <c r="E90" s="10"/>
      <c r="F90" s="10"/>
      <c r="G90" s="6" t="s">
        <v>633</v>
      </c>
      <c r="H90" s="6" t="s">
        <v>634</v>
      </c>
      <c r="I90" s="17" t="b">
        <v>1</v>
      </c>
      <c r="J90" s="6" t="s">
        <v>546</v>
      </c>
      <c r="K90" s="10"/>
      <c r="L90" s="10"/>
      <c r="M90" s="10"/>
      <c r="N90" s="10"/>
      <c r="O90" s="18">
        <v>220.0</v>
      </c>
      <c r="P90" s="18">
        <v>761250.0</v>
      </c>
      <c r="Q90" s="17" t="b">
        <v>1</v>
      </c>
      <c r="R90" s="10"/>
    </row>
    <row r="91">
      <c r="A91" s="6" t="s">
        <v>636</v>
      </c>
      <c r="B91" s="6" t="s">
        <v>35</v>
      </c>
      <c r="C91" s="8">
        <v>45324.0</v>
      </c>
      <c r="D91" s="6" t="s">
        <v>112</v>
      </c>
      <c r="E91" s="10"/>
      <c r="F91" s="10"/>
      <c r="G91" s="6" t="s">
        <v>638</v>
      </c>
      <c r="H91" s="6" t="s">
        <v>157</v>
      </c>
      <c r="I91" s="17" t="b">
        <v>1</v>
      </c>
      <c r="J91" s="6" t="s">
        <v>546</v>
      </c>
      <c r="K91" s="10"/>
      <c r="L91" s="10"/>
      <c r="M91" s="10"/>
      <c r="N91" s="10"/>
      <c r="O91" s="18">
        <v>521.81</v>
      </c>
      <c r="P91" s="18">
        <v>763858.0</v>
      </c>
      <c r="Q91" s="17" t="b">
        <v>1</v>
      </c>
      <c r="R91" s="10"/>
    </row>
    <row r="92">
      <c r="A92" s="18">
        <v>7.98492E7</v>
      </c>
      <c r="B92" s="6" t="s">
        <v>35</v>
      </c>
      <c r="C92" s="8">
        <v>45326.0</v>
      </c>
      <c r="D92" s="6" t="s">
        <v>137</v>
      </c>
      <c r="E92" s="10"/>
      <c r="F92" s="10"/>
      <c r="G92" s="6" t="s">
        <v>640</v>
      </c>
      <c r="H92" s="6" t="s">
        <v>641</v>
      </c>
      <c r="I92" s="17" t="b">
        <v>1</v>
      </c>
      <c r="J92" s="6" t="s">
        <v>546</v>
      </c>
      <c r="K92" s="10"/>
      <c r="L92" s="10"/>
      <c r="M92" s="10"/>
      <c r="N92" s="10"/>
      <c r="O92" s="18">
        <v>200.0</v>
      </c>
      <c r="P92" s="18">
        <v>766506.0</v>
      </c>
      <c r="Q92" s="17" t="b">
        <v>1</v>
      </c>
      <c r="R92" s="10"/>
    </row>
    <row r="93">
      <c r="A93" s="6" t="s">
        <v>644</v>
      </c>
      <c r="B93" s="6" t="s">
        <v>35</v>
      </c>
      <c r="C93" s="8">
        <v>45328.0</v>
      </c>
      <c r="D93" s="10"/>
      <c r="E93" s="10"/>
      <c r="F93" s="10"/>
      <c r="G93" s="10"/>
      <c r="H93" s="6" t="s">
        <v>645</v>
      </c>
      <c r="I93" s="10"/>
      <c r="J93" s="6" t="s">
        <v>539</v>
      </c>
      <c r="K93" s="6" t="s">
        <v>624</v>
      </c>
      <c r="L93" s="10"/>
      <c r="M93" s="10"/>
      <c r="N93" s="10"/>
      <c r="O93" s="18">
        <v>2547.13</v>
      </c>
      <c r="P93" s="10"/>
      <c r="Q93" s="6"/>
      <c r="R93" s="10"/>
    </row>
    <row r="94">
      <c r="A94" s="6" t="s">
        <v>646</v>
      </c>
      <c r="B94" s="6" t="s">
        <v>35</v>
      </c>
      <c r="C94" s="8">
        <v>45328.0</v>
      </c>
      <c r="D94" s="10"/>
      <c r="E94" s="10"/>
      <c r="F94" s="10"/>
      <c r="G94" s="10"/>
      <c r="H94" s="6" t="s">
        <v>645</v>
      </c>
      <c r="I94" s="10"/>
      <c r="J94" s="6" t="s">
        <v>539</v>
      </c>
      <c r="K94" s="6" t="s">
        <v>648</v>
      </c>
      <c r="L94" s="10"/>
      <c r="M94" s="10"/>
      <c r="N94" s="10"/>
      <c r="O94" s="18">
        <v>1720.89</v>
      </c>
      <c r="P94" s="10"/>
      <c r="Q94" s="6"/>
      <c r="R94" s="10"/>
    </row>
    <row r="95">
      <c r="A95" s="6" t="s">
        <v>650</v>
      </c>
      <c r="B95" s="6" t="s">
        <v>35</v>
      </c>
      <c r="C95" s="8">
        <v>45328.0</v>
      </c>
      <c r="D95" s="10"/>
      <c r="E95" s="10"/>
      <c r="F95" s="10"/>
      <c r="G95" s="10"/>
      <c r="H95" s="6" t="s">
        <v>645</v>
      </c>
      <c r="I95" s="10"/>
      <c r="J95" s="6" t="s">
        <v>539</v>
      </c>
      <c r="K95" s="6" t="s">
        <v>651</v>
      </c>
      <c r="L95" s="10"/>
      <c r="M95" s="10"/>
      <c r="N95" s="10"/>
      <c r="O95" s="18">
        <v>266.13</v>
      </c>
      <c r="P95" s="10"/>
      <c r="Q95" s="6"/>
      <c r="R95" s="10"/>
    </row>
    <row r="96">
      <c r="A96" s="6" t="s">
        <v>653</v>
      </c>
      <c r="B96" s="6" t="s">
        <v>35</v>
      </c>
      <c r="C96" s="8">
        <v>45328.0</v>
      </c>
      <c r="D96" s="10"/>
      <c r="E96" s="10"/>
      <c r="F96" s="10"/>
      <c r="G96" s="10"/>
      <c r="H96" s="6" t="s">
        <v>654</v>
      </c>
      <c r="I96" s="10"/>
      <c r="J96" s="6" t="s">
        <v>539</v>
      </c>
      <c r="K96" s="6" t="s">
        <v>651</v>
      </c>
      <c r="L96" s="10"/>
      <c r="M96" s="10"/>
      <c r="N96" s="10"/>
      <c r="O96" s="18">
        <v>3089.49</v>
      </c>
      <c r="P96" s="10"/>
      <c r="Q96" s="6"/>
      <c r="R96" s="10"/>
    </row>
    <row r="97">
      <c r="A97" s="6" t="s">
        <v>657</v>
      </c>
      <c r="B97" s="6" t="s">
        <v>35</v>
      </c>
      <c r="C97" s="8">
        <v>45328.0</v>
      </c>
      <c r="D97" s="10"/>
      <c r="E97" s="10"/>
      <c r="F97" s="10"/>
      <c r="G97" s="10"/>
      <c r="H97" s="6" t="s">
        <v>645</v>
      </c>
      <c r="I97" s="10"/>
      <c r="J97" s="6" t="s">
        <v>539</v>
      </c>
      <c r="K97" s="6" t="s">
        <v>658</v>
      </c>
      <c r="L97" s="10"/>
      <c r="M97" s="10"/>
      <c r="N97" s="10"/>
      <c r="O97" s="18">
        <v>894.23</v>
      </c>
      <c r="P97" s="10"/>
      <c r="Q97" s="6"/>
      <c r="R97" s="10"/>
    </row>
    <row r="98">
      <c r="A98" s="6" t="s">
        <v>660</v>
      </c>
      <c r="B98" s="6" t="s">
        <v>35</v>
      </c>
      <c r="C98" s="8">
        <v>45328.0</v>
      </c>
      <c r="D98" s="10"/>
      <c r="E98" s="10"/>
      <c r="F98" s="10"/>
      <c r="G98" s="10"/>
      <c r="H98" s="6" t="s">
        <v>663</v>
      </c>
      <c r="I98" s="10"/>
      <c r="J98" s="6" t="s">
        <v>539</v>
      </c>
      <c r="K98" s="6" t="s">
        <v>664</v>
      </c>
      <c r="L98" s="10"/>
      <c r="M98" s="10"/>
      <c r="N98" s="10"/>
      <c r="O98" s="18">
        <v>678.45</v>
      </c>
      <c r="P98" s="10"/>
      <c r="Q98" s="6"/>
      <c r="R98" s="10"/>
    </row>
    <row r="99">
      <c r="A99" s="6" t="s">
        <v>665</v>
      </c>
      <c r="B99" s="6" t="s">
        <v>35</v>
      </c>
      <c r="C99" s="8">
        <v>45328.0</v>
      </c>
      <c r="D99" s="10"/>
      <c r="E99" s="10"/>
      <c r="F99" s="10"/>
      <c r="G99" s="10"/>
      <c r="H99" s="6" t="s">
        <v>666</v>
      </c>
      <c r="I99" s="10"/>
      <c r="J99" s="6" t="s">
        <v>539</v>
      </c>
      <c r="K99" s="6" t="s">
        <v>668</v>
      </c>
      <c r="L99" s="10"/>
      <c r="M99" s="10"/>
      <c r="N99" s="10"/>
      <c r="O99" s="18">
        <v>10000.0</v>
      </c>
      <c r="P99" s="10"/>
      <c r="Q99" s="6"/>
      <c r="R99" s="10"/>
    </row>
    <row r="100">
      <c r="A100" s="6" t="s">
        <v>669</v>
      </c>
      <c r="B100" s="6" t="s">
        <v>35</v>
      </c>
      <c r="C100" s="8">
        <v>45328.0</v>
      </c>
      <c r="D100" s="10"/>
      <c r="E100" s="10"/>
      <c r="F100" s="10"/>
      <c r="G100" s="10"/>
      <c r="H100" s="6" t="s">
        <v>666</v>
      </c>
      <c r="I100" s="10"/>
      <c r="J100" s="6" t="s">
        <v>539</v>
      </c>
      <c r="K100" s="6" t="s">
        <v>671</v>
      </c>
      <c r="L100" s="10"/>
      <c r="M100" s="10"/>
      <c r="N100" s="10"/>
      <c r="O100" s="18">
        <v>10000.0</v>
      </c>
      <c r="P100" s="10"/>
      <c r="Q100" s="6"/>
      <c r="R100" s="10"/>
    </row>
    <row r="101">
      <c r="A101" s="6" t="s">
        <v>672</v>
      </c>
      <c r="B101" s="6" t="s">
        <v>35</v>
      </c>
      <c r="C101" s="8">
        <v>45328.0</v>
      </c>
      <c r="D101" s="6" t="s">
        <v>673</v>
      </c>
      <c r="E101" s="10"/>
      <c r="F101" s="10"/>
      <c r="G101" s="10"/>
      <c r="H101" s="6" t="s">
        <v>675</v>
      </c>
      <c r="I101" s="10"/>
      <c r="J101" s="6" t="s">
        <v>539</v>
      </c>
      <c r="K101" s="10"/>
      <c r="L101" s="10"/>
      <c r="M101" s="10"/>
      <c r="N101" s="10"/>
      <c r="O101" s="18">
        <v>828.94</v>
      </c>
      <c r="P101" s="10"/>
      <c r="Q101" s="6"/>
      <c r="R101" s="10"/>
    </row>
    <row r="102">
      <c r="A102" s="6" t="s">
        <v>677</v>
      </c>
      <c r="B102" s="6" t="s">
        <v>35</v>
      </c>
      <c r="C102" s="8">
        <v>45328.0</v>
      </c>
      <c r="D102" s="10"/>
      <c r="E102" s="10"/>
      <c r="F102" s="10"/>
      <c r="G102" s="10"/>
      <c r="H102" s="6" t="s">
        <v>680</v>
      </c>
      <c r="I102" s="10"/>
      <c r="J102" s="6" t="s">
        <v>539</v>
      </c>
      <c r="K102" s="6" t="s">
        <v>682</v>
      </c>
      <c r="L102" s="10"/>
      <c r="M102" s="10"/>
      <c r="N102" s="10"/>
      <c r="O102" s="18">
        <v>10000.0</v>
      </c>
      <c r="P102" s="10"/>
      <c r="Q102" s="6"/>
      <c r="R102" s="10"/>
    </row>
    <row r="103">
      <c r="A103" s="6" t="s">
        <v>687</v>
      </c>
      <c r="B103" s="6" t="s">
        <v>35</v>
      </c>
      <c r="C103" s="8">
        <v>45329.0</v>
      </c>
      <c r="D103" s="6" t="s">
        <v>609</v>
      </c>
      <c r="E103" s="10"/>
      <c r="F103" s="10"/>
      <c r="G103" s="10"/>
      <c r="H103" s="6" t="s">
        <v>690</v>
      </c>
      <c r="I103" s="10"/>
      <c r="J103" s="6" t="s">
        <v>539</v>
      </c>
      <c r="K103" s="10"/>
      <c r="L103" s="10"/>
      <c r="M103" s="10"/>
      <c r="N103" s="10"/>
      <c r="O103" s="18">
        <v>136.72</v>
      </c>
      <c r="P103" s="10"/>
      <c r="Q103" s="6"/>
      <c r="R103" s="10"/>
    </row>
    <row r="104">
      <c r="A104" s="6" t="s">
        <v>694</v>
      </c>
      <c r="B104" s="6" t="s">
        <v>35</v>
      </c>
      <c r="C104" s="8">
        <v>45329.0</v>
      </c>
      <c r="D104" s="6" t="s">
        <v>460</v>
      </c>
      <c r="E104" s="10"/>
      <c r="F104" s="10"/>
      <c r="G104" s="10"/>
      <c r="H104" s="6" t="s">
        <v>695</v>
      </c>
      <c r="I104" s="10"/>
      <c r="J104" s="6" t="s">
        <v>539</v>
      </c>
      <c r="K104" s="10"/>
      <c r="L104" s="10"/>
      <c r="M104" s="10"/>
      <c r="N104" s="10"/>
      <c r="O104" s="18">
        <v>45.87</v>
      </c>
      <c r="P104" s="10"/>
      <c r="Q104" s="6"/>
      <c r="R104" s="10"/>
    </row>
    <row r="105">
      <c r="A105" s="6" t="s">
        <v>696</v>
      </c>
      <c r="B105" s="6" t="s">
        <v>35</v>
      </c>
      <c r="C105" s="8">
        <v>45324.0</v>
      </c>
      <c r="D105" s="6" t="s">
        <v>112</v>
      </c>
      <c r="E105" s="6" t="s">
        <v>698</v>
      </c>
      <c r="F105" s="10"/>
      <c r="G105" s="6" t="s">
        <v>699</v>
      </c>
      <c r="H105" s="6" t="s">
        <v>45</v>
      </c>
      <c r="I105" s="17" t="b">
        <v>1</v>
      </c>
      <c r="J105" s="6" t="s">
        <v>546</v>
      </c>
      <c r="K105" s="10"/>
      <c r="L105" s="10"/>
      <c r="M105" s="10"/>
      <c r="N105" s="10"/>
      <c r="O105" s="18">
        <v>521.81</v>
      </c>
      <c r="P105" s="18">
        <v>763858.0</v>
      </c>
      <c r="Q105" s="17" t="b">
        <v>1</v>
      </c>
      <c r="R105" s="10"/>
    </row>
    <row r="106">
      <c r="A106" s="6" t="s">
        <v>701</v>
      </c>
      <c r="B106" s="6" t="s">
        <v>35</v>
      </c>
      <c r="C106" s="8">
        <v>45324.0</v>
      </c>
      <c r="D106" s="6" t="s">
        <v>233</v>
      </c>
      <c r="E106" s="6" t="s">
        <v>702</v>
      </c>
      <c r="F106" s="10"/>
      <c r="G106" s="6" t="s">
        <v>703</v>
      </c>
      <c r="H106" s="6" t="s">
        <v>705</v>
      </c>
      <c r="I106" s="17" t="b">
        <v>0</v>
      </c>
      <c r="J106" s="6" t="s">
        <v>546</v>
      </c>
      <c r="K106" s="10"/>
      <c r="L106" s="10"/>
      <c r="M106" s="10"/>
      <c r="N106" s="10"/>
      <c r="O106" s="18">
        <v>293.39</v>
      </c>
      <c r="P106" s="10"/>
      <c r="Q106" s="17" t="b">
        <v>1</v>
      </c>
      <c r="R106" s="10"/>
    </row>
    <row r="107">
      <c r="A107" s="6" t="s">
        <v>706</v>
      </c>
      <c r="B107" s="6" t="s">
        <v>35</v>
      </c>
      <c r="C107" s="8">
        <v>45328.0</v>
      </c>
      <c r="D107" s="6" t="s">
        <v>112</v>
      </c>
      <c r="E107" s="6" t="s">
        <v>707</v>
      </c>
      <c r="F107" s="10"/>
      <c r="G107" s="6" t="s">
        <v>709</v>
      </c>
      <c r="H107" s="6" t="s">
        <v>45</v>
      </c>
      <c r="I107" s="17" t="b">
        <v>1</v>
      </c>
      <c r="J107" s="6" t="s">
        <v>546</v>
      </c>
      <c r="K107" s="10"/>
      <c r="L107" s="10"/>
      <c r="M107" s="10"/>
      <c r="N107" s="10"/>
      <c r="O107" s="18">
        <v>397.46</v>
      </c>
      <c r="P107" s="18">
        <v>769824.0</v>
      </c>
      <c r="Q107" s="17" t="b">
        <v>1</v>
      </c>
      <c r="R107" s="10"/>
    </row>
    <row r="108">
      <c r="A108" s="6" t="s">
        <v>711</v>
      </c>
      <c r="B108" s="6" t="s">
        <v>35</v>
      </c>
      <c r="C108" s="8">
        <v>45328.0</v>
      </c>
      <c r="D108" s="6" t="s">
        <v>137</v>
      </c>
      <c r="E108" s="6" t="s">
        <v>713</v>
      </c>
      <c r="F108" s="10"/>
      <c r="G108" s="6" t="s">
        <v>716</v>
      </c>
      <c r="H108" s="6" t="s">
        <v>59</v>
      </c>
      <c r="I108" s="17" t="b">
        <v>1</v>
      </c>
      <c r="J108" s="6" t="s">
        <v>546</v>
      </c>
      <c r="K108" s="10"/>
      <c r="L108" s="10"/>
      <c r="M108" s="10"/>
      <c r="N108" s="10"/>
      <c r="O108" s="18">
        <v>400.0</v>
      </c>
      <c r="P108" s="18">
        <v>769867.0</v>
      </c>
      <c r="Q108" s="17" t="b">
        <v>1</v>
      </c>
      <c r="R108" s="10"/>
    </row>
    <row r="109">
      <c r="A109" s="6" t="s">
        <v>720</v>
      </c>
      <c r="B109" s="6" t="s">
        <v>35</v>
      </c>
      <c r="C109" s="8">
        <v>45328.0</v>
      </c>
      <c r="D109" s="6" t="s">
        <v>233</v>
      </c>
      <c r="E109" s="6" t="s">
        <v>721</v>
      </c>
      <c r="F109" s="10"/>
      <c r="G109" s="6" t="s">
        <v>722</v>
      </c>
      <c r="H109" s="6" t="s">
        <v>724</v>
      </c>
      <c r="I109" s="17" t="b">
        <v>0</v>
      </c>
      <c r="J109" s="6" t="s">
        <v>546</v>
      </c>
      <c r="K109" s="10"/>
      <c r="L109" s="10"/>
      <c r="M109" s="10"/>
      <c r="N109" s="10"/>
      <c r="O109" s="18">
        <v>74.97</v>
      </c>
      <c r="P109" s="10"/>
      <c r="Q109" s="17" t="b">
        <v>1</v>
      </c>
      <c r="R109" s="10"/>
    </row>
    <row r="110">
      <c r="A110" s="6" t="s">
        <v>725</v>
      </c>
      <c r="B110" s="6" t="s">
        <v>35</v>
      </c>
      <c r="C110" s="8">
        <v>45330.0</v>
      </c>
      <c r="D110" s="6" t="s">
        <v>112</v>
      </c>
      <c r="E110" s="6" t="s">
        <v>726</v>
      </c>
      <c r="F110" s="10"/>
      <c r="G110" s="6" t="s">
        <v>728</v>
      </c>
      <c r="H110" s="6" t="s">
        <v>45</v>
      </c>
      <c r="I110" s="17" t="b">
        <v>1</v>
      </c>
      <c r="J110" s="6" t="s">
        <v>546</v>
      </c>
      <c r="K110" s="10"/>
      <c r="L110" s="10"/>
      <c r="M110" s="10"/>
      <c r="N110" s="10"/>
      <c r="O110" s="18">
        <v>505.82</v>
      </c>
      <c r="P110" s="18">
        <v>772170.0</v>
      </c>
      <c r="Q110" s="17" t="b">
        <v>1</v>
      </c>
      <c r="R110" s="10"/>
    </row>
    <row r="111">
      <c r="A111" s="6" t="s">
        <v>731</v>
      </c>
      <c r="B111" s="6" t="s">
        <v>35</v>
      </c>
      <c r="C111" s="8">
        <v>45331.0</v>
      </c>
      <c r="D111" s="6" t="s">
        <v>420</v>
      </c>
      <c r="E111" s="6" t="s">
        <v>733</v>
      </c>
      <c r="F111" s="10"/>
      <c r="G111" s="6" t="s">
        <v>735</v>
      </c>
      <c r="H111" s="6" t="s">
        <v>736</v>
      </c>
      <c r="I111" s="17" t="b">
        <v>1</v>
      </c>
      <c r="J111" s="6" t="s">
        <v>546</v>
      </c>
      <c r="K111" s="10"/>
      <c r="L111" s="10"/>
      <c r="M111" s="10"/>
      <c r="N111" s="10"/>
      <c r="O111" s="18">
        <v>1018.98</v>
      </c>
      <c r="P111" s="18">
        <v>772546.0</v>
      </c>
      <c r="Q111" s="17" t="b">
        <v>1</v>
      </c>
      <c r="R111" s="10"/>
    </row>
    <row r="112">
      <c r="A112" s="6" t="s">
        <v>739</v>
      </c>
      <c r="B112" s="6" t="s">
        <v>35</v>
      </c>
      <c r="C112" s="8">
        <v>45331.0</v>
      </c>
      <c r="D112" s="6" t="s">
        <v>137</v>
      </c>
      <c r="E112" s="6" t="s">
        <v>741</v>
      </c>
      <c r="F112" s="10"/>
      <c r="G112" s="6" t="s">
        <v>743</v>
      </c>
      <c r="H112" s="6" t="s">
        <v>59</v>
      </c>
      <c r="I112" s="17" t="b">
        <v>1</v>
      </c>
      <c r="J112" s="6" t="s">
        <v>546</v>
      </c>
      <c r="K112" s="10"/>
      <c r="L112" s="10"/>
      <c r="M112" s="10"/>
      <c r="N112" s="10"/>
      <c r="O112" s="18">
        <v>400.0</v>
      </c>
      <c r="P112" s="18">
        <v>773371.0</v>
      </c>
      <c r="Q112" s="17" t="b">
        <v>1</v>
      </c>
      <c r="R112" s="10"/>
    </row>
    <row r="113">
      <c r="A113" s="6" t="s">
        <v>745</v>
      </c>
      <c r="B113" s="6" t="s">
        <v>35</v>
      </c>
      <c r="C113" s="8">
        <v>45331.0</v>
      </c>
      <c r="D113" s="10"/>
      <c r="E113" s="10"/>
      <c r="F113" s="10"/>
      <c r="G113" s="10"/>
      <c r="H113" s="6" t="s">
        <v>748</v>
      </c>
      <c r="I113" s="10"/>
      <c r="J113" s="6" t="s">
        <v>539</v>
      </c>
      <c r="K113" s="6" t="s">
        <v>664</v>
      </c>
      <c r="L113" s="10"/>
      <c r="M113" s="10"/>
      <c r="N113" s="10"/>
      <c r="O113" s="18">
        <v>559.51</v>
      </c>
      <c r="P113" s="10"/>
      <c r="Q113" s="6"/>
      <c r="R113" s="10"/>
    </row>
    <row r="114">
      <c r="A114" s="6" t="s">
        <v>752</v>
      </c>
      <c r="B114" s="6" t="s">
        <v>35</v>
      </c>
      <c r="C114" s="8">
        <v>45332.0</v>
      </c>
      <c r="D114" s="6" t="s">
        <v>112</v>
      </c>
      <c r="E114" s="6" t="s">
        <v>754</v>
      </c>
      <c r="F114" s="10"/>
      <c r="G114" s="6" t="s">
        <v>756</v>
      </c>
      <c r="H114" s="6" t="s">
        <v>45</v>
      </c>
      <c r="I114" s="17" t="b">
        <v>1</v>
      </c>
      <c r="J114" s="6" t="s">
        <v>546</v>
      </c>
      <c r="K114" s="10"/>
      <c r="L114" s="10"/>
      <c r="M114" s="10"/>
      <c r="N114" s="10"/>
      <c r="O114" s="18">
        <v>341.7</v>
      </c>
      <c r="P114" s="18">
        <v>774763.0</v>
      </c>
      <c r="Q114" s="17" t="b">
        <v>1</v>
      </c>
      <c r="R114" s="10"/>
    </row>
    <row r="115">
      <c r="A115" s="6" t="s">
        <v>757</v>
      </c>
      <c r="B115" s="6" t="s">
        <v>35</v>
      </c>
      <c r="C115" s="8">
        <v>45332.0</v>
      </c>
      <c r="D115" s="6" t="s">
        <v>404</v>
      </c>
      <c r="E115" s="6" t="s">
        <v>759</v>
      </c>
      <c r="F115" s="10"/>
      <c r="G115" s="6" t="s">
        <v>760</v>
      </c>
      <c r="H115" s="6" t="s">
        <v>528</v>
      </c>
      <c r="I115" s="17" t="b">
        <v>0</v>
      </c>
      <c r="J115" s="6" t="s">
        <v>546</v>
      </c>
      <c r="K115" s="10"/>
      <c r="L115" s="10"/>
      <c r="M115" s="10"/>
      <c r="N115" s="10"/>
      <c r="O115" s="18">
        <v>116.62</v>
      </c>
      <c r="P115" s="10"/>
      <c r="Q115" s="17" t="b">
        <v>1</v>
      </c>
      <c r="R115" s="10"/>
    </row>
    <row r="116">
      <c r="A116" s="6" t="s">
        <v>762</v>
      </c>
      <c r="B116" s="6" t="s">
        <v>35</v>
      </c>
      <c r="C116" s="8">
        <v>45330.0</v>
      </c>
      <c r="D116" s="6" t="s">
        <v>764</v>
      </c>
      <c r="E116" s="6" t="s">
        <v>765</v>
      </c>
      <c r="F116" s="10"/>
      <c r="G116" s="6" t="s">
        <v>766</v>
      </c>
      <c r="H116" s="6" t="s">
        <v>767</v>
      </c>
      <c r="I116" s="17" t="b">
        <v>0</v>
      </c>
      <c r="J116" s="6" t="s">
        <v>546</v>
      </c>
      <c r="K116" s="10"/>
      <c r="L116" s="10"/>
      <c r="M116" s="10"/>
      <c r="N116" s="10"/>
      <c r="O116" s="18">
        <v>448.18</v>
      </c>
      <c r="P116" s="10"/>
      <c r="Q116" s="17" t="b">
        <v>1</v>
      </c>
      <c r="R116" s="10"/>
    </row>
    <row r="117">
      <c r="A117" s="6" t="s">
        <v>768</v>
      </c>
      <c r="B117" s="6" t="s">
        <v>35</v>
      </c>
      <c r="C117" s="8">
        <v>45328.0</v>
      </c>
      <c r="D117" s="18">
        <v>6.8893939E7</v>
      </c>
      <c r="E117" s="6" t="s">
        <v>769</v>
      </c>
      <c r="F117" s="10"/>
      <c r="G117" s="6" t="s">
        <v>770</v>
      </c>
      <c r="H117" s="6" t="s">
        <v>772</v>
      </c>
      <c r="I117" s="17" t="b">
        <v>0</v>
      </c>
      <c r="J117" s="6" t="s">
        <v>546</v>
      </c>
      <c r="K117" s="10"/>
      <c r="L117" s="10"/>
      <c r="M117" s="10"/>
      <c r="N117" s="10"/>
      <c r="O117" s="18">
        <v>3101.09</v>
      </c>
      <c r="P117" s="10"/>
      <c r="Q117" s="17" t="b">
        <v>1</v>
      </c>
      <c r="R117" s="10"/>
    </row>
    <row r="118">
      <c r="A118" s="6" t="s">
        <v>773</v>
      </c>
      <c r="B118" s="6" t="s">
        <v>35</v>
      </c>
      <c r="C118" s="8">
        <v>45334.0</v>
      </c>
      <c r="D118" s="6" t="s">
        <v>137</v>
      </c>
      <c r="E118" s="6" t="s">
        <v>775</v>
      </c>
      <c r="F118" s="10"/>
      <c r="G118" s="6" t="s">
        <v>776</v>
      </c>
      <c r="H118" s="6" t="s">
        <v>140</v>
      </c>
      <c r="I118" s="17" t="b">
        <v>1</v>
      </c>
      <c r="J118" s="6" t="s">
        <v>546</v>
      </c>
      <c r="K118" s="10"/>
      <c r="L118" s="10"/>
      <c r="M118" s="10"/>
      <c r="N118" s="10"/>
      <c r="O118" s="18">
        <v>300.0</v>
      </c>
      <c r="P118" s="18">
        <v>778415.0</v>
      </c>
      <c r="Q118" s="17" t="b">
        <v>1</v>
      </c>
      <c r="R118" s="10"/>
    </row>
    <row r="119">
      <c r="A119" s="6" t="s">
        <v>778</v>
      </c>
      <c r="B119" s="6" t="s">
        <v>35</v>
      </c>
      <c r="C119" s="8">
        <v>45334.0</v>
      </c>
      <c r="D119" s="6" t="s">
        <v>780</v>
      </c>
      <c r="E119" s="6" t="s">
        <v>782</v>
      </c>
      <c r="F119" s="10"/>
      <c r="G119" s="6" t="s">
        <v>784</v>
      </c>
      <c r="H119" s="6" t="s">
        <v>195</v>
      </c>
      <c r="I119" s="17" t="b">
        <v>0</v>
      </c>
      <c r="J119" s="6" t="s">
        <v>546</v>
      </c>
      <c r="K119" s="10"/>
      <c r="L119" s="10"/>
      <c r="M119" s="10"/>
      <c r="N119" s="10"/>
      <c r="O119" s="18">
        <v>1546.96</v>
      </c>
      <c r="P119" s="10"/>
      <c r="Q119" s="17" t="b">
        <v>1</v>
      </c>
      <c r="R119" s="10"/>
    </row>
    <row r="120">
      <c r="A120" s="6" t="s">
        <v>787</v>
      </c>
      <c r="B120" s="6" t="s">
        <v>35</v>
      </c>
      <c r="C120" s="8">
        <v>45335.0</v>
      </c>
      <c r="D120" s="6" t="s">
        <v>112</v>
      </c>
      <c r="E120" s="6" t="s">
        <v>790</v>
      </c>
      <c r="F120" s="10"/>
      <c r="G120" s="6" t="s">
        <v>791</v>
      </c>
      <c r="H120" s="6" t="s">
        <v>792</v>
      </c>
      <c r="I120" s="17" t="b">
        <v>1</v>
      </c>
      <c r="J120" s="6" t="s">
        <v>546</v>
      </c>
      <c r="K120" s="10"/>
      <c r="L120" s="10"/>
      <c r="M120" s="10"/>
      <c r="N120" s="10"/>
      <c r="O120" s="18">
        <v>354.48</v>
      </c>
      <c r="P120" s="18">
        <v>779870.0</v>
      </c>
      <c r="Q120" s="17" t="b">
        <v>1</v>
      </c>
      <c r="R120" s="10"/>
    </row>
    <row r="121">
      <c r="A121" s="6" t="s">
        <v>795</v>
      </c>
      <c r="B121" s="6" t="s">
        <v>35</v>
      </c>
      <c r="C121" s="8">
        <v>45335.0</v>
      </c>
      <c r="D121" s="6" t="s">
        <v>122</v>
      </c>
      <c r="E121" s="6" t="s">
        <v>798</v>
      </c>
      <c r="F121" s="10"/>
      <c r="G121" s="6" t="s">
        <v>800</v>
      </c>
      <c r="H121" s="6" t="s">
        <v>801</v>
      </c>
      <c r="I121" s="17" t="b">
        <v>1</v>
      </c>
      <c r="J121" s="6" t="s">
        <v>546</v>
      </c>
      <c r="K121" s="10"/>
      <c r="L121" s="10"/>
      <c r="M121" s="10"/>
      <c r="N121" s="10"/>
      <c r="O121" s="18">
        <v>194.4</v>
      </c>
      <c r="P121" s="18">
        <v>780223.0</v>
      </c>
      <c r="Q121" s="17" t="b">
        <v>1</v>
      </c>
      <c r="R121" s="10"/>
    </row>
    <row r="122">
      <c r="A122" s="6" t="s">
        <v>806</v>
      </c>
      <c r="B122" s="6" t="s">
        <v>35</v>
      </c>
      <c r="C122" s="8">
        <v>45335.0</v>
      </c>
      <c r="D122" s="6" t="s">
        <v>808</v>
      </c>
      <c r="E122" s="6" t="s">
        <v>809</v>
      </c>
      <c r="F122" s="10"/>
      <c r="G122" s="6" t="s">
        <v>811</v>
      </c>
      <c r="H122" s="6" t="s">
        <v>767</v>
      </c>
      <c r="I122" s="17" t="b">
        <v>1</v>
      </c>
      <c r="J122" s="6" t="s">
        <v>546</v>
      </c>
      <c r="K122" s="10"/>
      <c r="L122" s="10"/>
      <c r="M122" s="10"/>
      <c r="N122" s="10"/>
      <c r="O122" s="18">
        <v>448.35</v>
      </c>
      <c r="P122" s="18">
        <v>779936.0</v>
      </c>
      <c r="Q122" s="17" t="b">
        <v>1</v>
      </c>
      <c r="R122" s="10"/>
    </row>
    <row r="123">
      <c r="A123" s="6" t="s">
        <v>814</v>
      </c>
      <c r="B123" s="6" t="s">
        <v>35</v>
      </c>
      <c r="C123" s="8">
        <v>45337.0</v>
      </c>
      <c r="D123" s="6" t="s">
        <v>460</v>
      </c>
      <c r="E123" s="10"/>
      <c r="F123" s="10"/>
      <c r="G123" s="10"/>
      <c r="H123" s="6" t="s">
        <v>817</v>
      </c>
      <c r="I123" s="10"/>
      <c r="J123" s="6" t="s">
        <v>539</v>
      </c>
      <c r="K123" s="10"/>
      <c r="L123" s="10"/>
      <c r="M123" s="10"/>
      <c r="N123" s="10"/>
      <c r="O123" s="18">
        <v>204.0</v>
      </c>
      <c r="P123" s="10"/>
      <c r="Q123" s="6"/>
      <c r="R123" s="10"/>
    </row>
    <row r="124">
      <c r="A124" s="6" t="s">
        <v>819</v>
      </c>
      <c r="B124" s="6" t="s">
        <v>35</v>
      </c>
      <c r="C124" s="8">
        <v>45336.0</v>
      </c>
      <c r="D124" s="6" t="s">
        <v>543</v>
      </c>
      <c r="E124" s="6" t="s">
        <v>820</v>
      </c>
      <c r="F124" s="10"/>
      <c r="G124" s="6" t="s">
        <v>821</v>
      </c>
      <c r="H124" s="6" t="s">
        <v>140</v>
      </c>
      <c r="I124" s="17" t="b">
        <v>1</v>
      </c>
      <c r="J124" s="6" t="s">
        <v>546</v>
      </c>
      <c r="K124" s="10"/>
      <c r="L124" s="10"/>
      <c r="M124" s="10"/>
      <c r="N124" s="10"/>
      <c r="O124" s="18">
        <v>200.0</v>
      </c>
      <c r="P124" s="18">
        <v>783268.0</v>
      </c>
      <c r="Q124" s="17" t="b">
        <v>1</v>
      </c>
      <c r="R124" s="10"/>
    </row>
    <row r="125">
      <c r="A125" s="6" t="s">
        <v>824</v>
      </c>
      <c r="B125" s="6" t="s">
        <v>35</v>
      </c>
      <c r="C125" s="8">
        <v>45341.0</v>
      </c>
      <c r="D125" s="6" t="s">
        <v>137</v>
      </c>
      <c r="E125" s="6" t="s">
        <v>827</v>
      </c>
      <c r="F125" s="10"/>
      <c r="G125" s="6" t="s">
        <v>829</v>
      </c>
      <c r="H125" s="6" t="s">
        <v>157</v>
      </c>
      <c r="I125" s="17" t="b">
        <v>1</v>
      </c>
      <c r="J125" s="6" t="s">
        <v>546</v>
      </c>
      <c r="K125" s="10"/>
      <c r="L125" s="10"/>
      <c r="M125" s="10"/>
      <c r="N125" s="10"/>
      <c r="O125" s="18">
        <v>380.0</v>
      </c>
      <c r="P125" s="18">
        <v>787420.0</v>
      </c>
      <c r="Q125" s="17" t="b">
        <v>1</v>
      </c>
      <c r="R125" s="10"/>
    </row>
    <row r="126">
      <c r="A126" s="6" t="s">
        <v>833</v>
      </c>
      <c r="B126" s="6" t="s">
        <v>35</v>
      </c>
      <c r="C126" s="8">
        <v>45342.0</v>
      </c>
      <c r="D126" s="18">
        <v>2.6065919E7</v>
      </c>
      <c r="E126" s="6" t="s">
        <v>834</v>
      </c>
      <c r="F126" s="10"/>
      <c r="G126" s="6" t="s">
        <v>836</v>
      </c>
      <c r="H126" s="6" t="s">
        <v>837</v>
      </c>
      <c r="I126" s="17" t="b">
        <v>1</v>
      </c>
      <c r="J126" s="6" t="s">
        <v>546</v>
      </c>
      <c r="K126" s="10"/>
      <c r="L126" s="10"/>
      <c r="M126" s="10"/>
      <c r="N126" s="10"/>
      <c r="O126" s="18">
        <v>50.0</v>
      </c>
      <c r="P126" s="18">
        <v>788694.0</v>
      </c>
      <c r="Q126" s="17" t="b">
        <v>1</v>
      </c>
      <c r="R126" s="10"/>
    </row>
    <row r="127">
      <c r="A127" s="6" t="s">
        <v>838</v>
      </c>
      <c r="B127" s="6" t="s">
        <v>35</v>
      </c>
      <c r="C127" s="8">
        <v>45342.0</v>
      </c>
      <c r="D127" s="18">
        <v>2.6065919E7</v>
      </c>
      <c r="E127" s="6" t="s">
        <v>834</v>
      </c>
      <c r="F127" s="10"/>
      <c r="G127" s="6" t="s">
        <v>840</v>
      </c>
      <c r="H127" s="6" t="s">
        <v>837</v>
      </c>
      <c r="I127" s="17" t="b">
        <v>1</v>
      </c>
      <c r="J127" s="6" t="s">
        <v>546</v>
      </c>
      <c r="K127" s="10"/>
      <c r="L127" s="10"/>
      <c r="M127" s="10"/>
      <c r="N127" s="10"/>
      <c r="O127" s="18">
        <v>25.0</v>
      </c>
      <c r="P127" s="18">
        <v>788697.0</v>
      </c>
      <c r="Q127" s="17" t="b">
        <v>1</v>
      </c>
      <c r="R127" s="10"/>
    </row>
    <row r="128">
      <c r="A128" s="6" t="s">
        <v>844</v>
      </c>
      <c r="B128" s="6" t="s">
        <v>35</v>
      </c>
      <c r="C128" s="8">
        <v>45338.0</v>
      </c>
      <c r="D128" s="6" t="s">
        <v>137</v>
      </c>
      <c r="E128" s="6" t="s">
        <v>846</v>
      </c>
      <c r="F128" s="10"/>
      <c r="G128" s="6" t="s">
        <v>847</v>
      </c>
      <c r="H128" s="6" t="s">
        <v>848</v>
      </c>
      <c r="I128" s="17" t="b">
        <v>1</v>
      </c>
      <c r="J128" s="6" t="s">
        <v>546</v>
      </c>
      <c r="K128" s="10"/>
      <c r="L128" s="10"/>
      <c r="M128" s="10"/>
      <c r="N128" s="10"/>
      <c r="O128" s="18">
        <v>200.0</v>
      </c>
      <c r="P128" s="18">
        <v>783268.0</v>
      </c>
      <c r="Q128" s="17" t="b">
        <v>1</v>
      </c>
      <c r="R128" s="10"/>
    </row>
    <row r="129">
      <c r="A129" s="6" t="s">
        <v>850</v>
      </c>
      <c r="B129" s="6" t="s">
        <v>35</v>
      </c>
      <c r="C129" s="8">
        <v>45341.0</v>
      </c>
      <c r="D129" s="6" t="s">
        <v>112</v>
      </c>
      <c r="E129" s="6" t="s">
        <v>852</v>
      </c>
      <c r="F129" s="10"/>
      <c r="G129" s="6" t="s">
        <v>853</v>
      </c>
      <c r="H129" s="6" t="s">
        <v>45</v>
      </c>
      <c r="I129" s="17" t="b">
        <v>1</v>
      </c>
      <c r="J129" s="6" t="s">
        <v>546</v>
      </c>
      <c r="K129" s="10"/>
      <c r="L129" s="10"/>
      <c r="M129" s="10"/>
      <c r="N129" s="10"/>
      <c r="O129" s="18">
        <v>332.48</v>
      </c>
      <c r="P129" s="18">
        <v>789739.0</v>
      </c>
      <c r="Q129" s="17" t="b">
        <v>1</v>
      </c>
      <c r="R129" s="10"/>
    </row>
    <row r="130">
      <c r="A130" s="6" t="s">
        <v>856</v>
      </c>
      <c r="B130" s="6" t="s">
        <v>35</v>
      </c>
      <c r="C130" s="8">
        <v>45343.0</v>
      </c>
      <c r="D130" s="6" t="s">
        <v>858</v>
      </c>
      <c r="E130" s="6" t="s">
        <v>859</v>
      </c>
      <c r="F130" s="10"/>
      <c r="G130" s="6" t="s">
        <v>861</v>
      </c>
      <c r="H130" s="6" t="s">
        <v>772</v>
      </c>
      <c r="I130" s="17" t="b">
        <v>0</v>
      </c>
      <c r="J130" s="6" t="s">
        <v>546</v>
      </c>
      <c r="K130" s="10"/>
      <c r="L130" s="10"/>
      <c r="M130" s="10"/>
      <c r="N130" s="10"/>
      <c r="O130" s="18">
        <v>658.96</v>
      </c>
      <c r="P130" s="10"/>
      <c r="Q130" s="17" t="b">
        <v>1</v>
      </c>
      <c r="R130" s="10"/>
    </row>
    <row r="131">
      <c r="A131" s="6" t="s">
        <v>864</v>
      </c>
      <c r="B131" s="6" t="s">
        <v>35</v>
      </c>
      <c r="C131" s="8">
        <v>45343.0</v>
      </c>
      <c r="D131" s="6" t="s">
        <v>112</v>
      </c>
      <c r="E131" s="6" t="s">
        <v>865</v>
      </c>
      <c r="F131" s="10"/>
      <c r="G131" s="6" t="s">
        <v>867</v>
      </c>
      <c r="H131" s="6" t="s">
        <v>45</v>
      </c>
      <c r="I131" s="17" t="b">
        <v>1</v>
      </c>
      <c r="J131" s="6" t="s">
        <v>546</v>
      </c>
      <c r="K131" s="10"/>
      <c r="L131" s="10"/>
      <c r="M131" s="10"/>
      <c r="N131" s="10"/>
      <c r="O131" s="18">
        <v>207.4</v>
      </c>
      <c r="P131" s="18">
        <v>789741.0</v>
      </c>
      <c r="Q131" s="17" t="b">
        <v>1</v>
      </c>
      <c r="R131" s="10"/>
    </row>
    <row r="132">
      <c r="A132" s="6" t="s">
        <v>870</v>
      </c>
      <c r="B132" s="6" t="s">
        <v>35</v>
      </c>
      <c r="C132" s="8">
        <v>45345.0</v>
      </c>
      <c r="D132" s="6" t="s">
        <v>112</v>
      </c>
      <c r="E132" s="6" t="s">
        <v>872</v>
      </c>
      <c r="F132" s="10"/>
      <c r="G132" s="6" t="s">
        <v>874</v>
      </c>
      <c r="H132" s="6" t="s">
        <v>875</v>
      </c>
      <c r="I132" s="17" t="b">
        <v>1</v>
      </c>
      <c r="J132" s="6" t="s">
        <v>546</v>
      </c>
      <c r="K132" s="10"/>
      <c r="L132" s="10"/>
      <c r="M132" s="10"/>
      <c r="N132" s="10"/>
      <c r="O132" s="18">
        <v>431.94</v>
      </c>
      <c r="P132" s="18">
        <v>791429.0</v>
      </c>
      <c r="Q132" s="17" t="b">
        <v>1</v>
      </c>
      <c r="R132" s="10"/>
    </row>
    <row r="133">
      <c r="A133" s="6" t="s">
        <v>880</v>
      </c>
      <c r="B133" s="6" t="s">
        <v>35</v>
      </c>
      <c r="C133" s="8">
        <v>45344.0</v>
      </c>
      <c r="D133" s="18">
        <v>2.6065919E7</v>
      </c>
      <c r="E133" s="6" t="s">
        <v>882</v>
      </c>
      <c r="F133" s="10"/>
      <c r="G133" s="6" t="s">
        <v>884</v>
      </c>
      <c r="H133" s="6" t="s">
        <v>837</v>
      </c>
      <c r="I133" s="17" t="b">
        <v>1</v>
      </c>
      <c r="J133" s="6" t="s">
        <v>546</v>
      </c>
      <c r="K133" s="10"/>
      <c r="L133" s="10"/>
      <c r="M133" s="10"/>
      <c r="N133" s="10"/>
      <c r="O133" s="18">
        <v>200.0</v>
      </c>
      <c r="P133" s="18">
        <v>7886967.0</v>
      </c>
      <c r="Q133" s="17" t="b">
        <v>1</v>
      </c>
      <c r="R133" s="10"/>
    </row>
    <row r="134">
      <c r="A134" s="6" t="s">
        <v>888</v>
      </c>
      <c r="B134" s="6" t="s">
        <v>35</v>
      </c>
      <c r="C134" s="8">
        <v>45329.0</v>
      </c>
      <c r="D134" s="6" t="s">
        <v>890</v>
      </c>
      <c r="E134" s="6" t="s">
        <v>891</v>
      </c>
      <c r="F134" s="10"/>
      <c r="G134" s="6" t="s">
        <v>892</v>
      </c>
      <c r="H134" s="6" t="s">
        <v>893</v>
      </c>
      <c r="I134" s="17" t="b">
        <v>0</v>
      </c>
      <c r="J134" s="6" t="s">
        <v>546</v>
      </c>
      <c r="K134" s="10"/>
      <c r="L134" s="10"/>
      <c r="M134" s="10"/>
      <c r="N134" s="10"/>
      <c r="O134" s="18">
        <v>14405.48</v>
      </c>
      <c r="P134" s="10"/>
      <c r="Q134" s="17" t="b">
        <v>1</v>
      </c>
      <c r="R134" s="10"/>
    </row>
    <row r="135">
      <c r="A135" s="6" t="s">
        <v>895</v>
      </c>
      <c r="B135" s="6" t="s">
        <v>35</v>
      </c>
      <c r="C135" s="8">
        <v>45330.0</v>
      </c>
      <c r="D135" s="6" t="s">
        <v>890</v>
      </c>
      <c r="E135" s="6" t="s">
        <v>897</v>
      </c>
      <c r="F135" s="10"/>
      <c r="G135" s="6" t="s">
        <v>898</v>
      </c>
      <c r="H135" s="6" t="s">
        <v>899</v>
      </c>
      <c r="I135" s="17" t="b">
        <v>0</v>
      </c>
      <c r="J135" s="6" t="s">
        <v>546</v>
      </c>
      <c r="K135" s="10"/>
      <c r="L135" s="10"/>
      <c r="M135" s="10"/>
      <c r="N135" s="10"/>
      <c r="O135" s="18">
        <v>11251.78</v>
      </c>
      <c r="P135" s="10"/>
      <c r="Q135" s="17" t="b">
        <v>1</v>
      </c>
      <c r="R135" s="10"/>
    </row>
    <row r="136">
      <c r="A136" s="6" t="s">
        <v>902</v>
      </c>
      <c r="B136" s="6" t="s">
        <v>35</v>
      </c>
      <c r="C136" s="8">
        <v>45343.0</v>
      </c>
      <c r="D136" s="6" t="s">
        <v>890</v>
      </c>
      <c r="E136" s="6" t="s">
        <v>903</v>
      </c>
      <c r="F136" s="10"/>
      <c r="G136" s="6" t="s">
        <v>905</v>
      </c>
      <c r="H136" s="6" t="s">
        <v>906</v>
      </c>
      <c r="I136" s="17" t="b">
        <v>0</v>
      </c>
      <c r="J136" s="6" t="s">
        <v>546</v>
      </c>
      <c r="K136" s="10"/>
      <c r="L136" s="10"/>
      <c r="M136" s="10"/>
      <c r="N136" s="10"/>
      <c r="O136" s="18">
        <v>10983.67</v>
      </c>
      <c r="P136" s="10"/>
      <c r="Q136" s="17" t="b">
        <v>1</v>
      </c>
      <c r="R136" s="10"/>
    </row>
    <row r="137">
      <c r="A137" s="6" t="s">
        <v>909</v>
      </c>
      <c r="B137" s="6" t="s">
        <v>35</v>
      </c>
      <c r="C137" s="8">
        <v>45343.0</v>
      </c>
      <c r="D137" s="6" t="s">
        <v>890</v>
      </c>
      <c r="E137" s="6" t="s">
        <v>911</v>
      </c>
      <c r="F137" s="10"/>
      <c r="G137" s="6" t="s">
        <v>912</v>
      </c>
      <c r="H137" s="6" t="s">
        <v>893</v>
      </c>
      <c r="I137" s="17" t="b">
        <v>0</v>
      </c>
      <c r="J137" s="6" t="s">
        <v>546</v>
      </c>
      <c r="K137" s="10"/>
      <c r="L137" s="10"/>
      <c r="M137" s="10"/>
      <c r="N137" s="10"/>
      <c r="O137" s="18">
        <v>26388.57</v>
      </c>
      <c r="P137" s="10"/>
      <c r="Q137" s="17" t="b">
        <v>1</v>
      </c>
      <c r="R137" s="10"/>
    </row>
    <row r="138">
      <c r="A138" s="6" t="s">
        <v>915</v>
      </c>
      <c r="B138" s="6" t="s">
        <v>35</v>
      </c>
      <c r="C138" s="8">
        <v>45348.0</v>
      </c>
      <c r="D138" s="6" t="s">
        <v>137</v>
      </c>
      <c r="E138" s="6" t="s">
        <v>917</v>
      </c>
      <c r="F138" s="10"/>
      <c r="G138" s="6" t="s">
        <v>919</v>
      </c>
      <c r="H138" s="6" t="s">
        <v>792</v>
      </c>
      <c r="I138" s="17" t="b">
        <v>0</v>
      </c>
      <c r="J138" s="6" t="s">
        <v>546</v>
      </c>
      <c r="K138" s="10"/>
      <c r="L138" s="10"/>
      <c r="M138" s="10"/>
      <c r="N138" s="10"/>
      <c r="O138" s="18">
        <v>180.0</v>
      </c>
      <c r="P138" s="10"/>
      <c r="Q138" s="17" t="b">
        <v>1</v>
      </c>
      <c r="R138" s="10"/>
    </row>
    <row r="139">
      <c r="A139" s="6" t="s">
        <v>923</v>
      </c>
      <c r="B139" s="6" t="s">
        <v>35</v>
      </c>
      <c r="C139" s="8">
        <v>45348.0</v>
      </c>
      <c r="D139" s="6" t="s">
        <v>460</v>
      </c>
      <c r="E139" s="10"/>
      <c r="F139" s="10"/>
      <c r="G139" s="10"/>
      <c r="H139" s="6" t="s">
        <v>925</v>
      </c>
      <c r="I139" s="10"/>
      <c r="J139" s="6" t="s">
        <v>539</v>
      </c>
      <c r="K139" s="10"/>
      <c r="L139" s="10"/>
      <c r="M139" s="10"/>
      <c r="N139" s="10"/>
      <c r="O139" s="18">
        <v>60.0</v>
      </c>
      <c r="P139" s="10"/>
      <c r="Q139" s="6"/>
      <c r="R139" s="10"/>
    </row>
    <row r="140">
      <c r="A140" s="6" t="s">
        <v>929</v>
      </c>
      <c r="B140" s="6" t="s">
        <v>35</v>
      </c>
      <c r="C140" s="8">
        <v>45348.0</v>
      </c>
      <c r="D140" s="6" t="s">
        <v>460</v>
      </c>
      <c r="E140" s="10"/>
      <c r="F140" s="10"/>
      <c r="G140" s="10"/>
      <c r="H140" s="6" t="s">
        <v>931</v>
      </c>
      <c r="I140" s="10"/>
      <c r="J140" s="6" t="s">
        <v>539</v>
      </c>
      <c r="K140" s="10"/>
      <c r="L140" s="10"/>
      <c r="M140" s="10"/>
      <c r="N140" s="10"/>
      <c r="O140" s="18">
        <v>30.0</v>
      </c>
      <c r="P140" s="10"/>
      <c r="Q140" s="6"/>
      <c r="R140" s="10"/>
    </row>
    <row r="141">
      <c r="A141" s="6" t="s">
        <v>934</v>
      </c>
      <c r="B141" s="6" t="s">
        <v>35</v>
      </c>
      <c r="C141" s="8">
        <v>45348.0</v>
      </c>
      <c r="D141" s="10"/>
      <c r="E141" s="10"/>
      <c r="F141" s="10"/>
      <c r="G141" s="10"/>
      <c r="H141" s="6" t="s">
        <v>936</v>
      </c>
      <c r="I141" s="10"/>
      <c r="J141" s="6" t="s">
        <v>539</v>
      </c>
      <c r="K141" s="6" t="s">
        <v>624</v>
      </c>
      <c r="L141" s="10"/>
      <c r="M141" s="10"/>
      <c r="N141" s="10"/>
      <c r="O141" s="18">
        <v>200.0</v>
      </c>
      <c r="P141" s="10"/>
      <c r="Q141" s="6"/>
      <c r="R141" s="10"/>
    </row>
    <row r="142">
      <c r="A142" s="6" t="s">
        <v>939</v>
      </c>
      <c r="B142" s="6" t="s">
        <v>35</v>
      </c>
      <c r="C142" s="8">
        <v>45349.0</v>
      </c>
      <c r="D142" s="6" t="s">
        <v>941</v>
      </c>
      <c r="E142" s="10"/>
      <c r="F142" s="10"/>
      <c r="G142" s="10"/>
      <c r="H142" s="6" t="s">
        <v>943</v>
      </c>
      <c r="I142" s="10"/>
      <c r="J142" s="6" t="s">
        <v>539</v>
      </c>
      <c r="K142" s="10"/>
      <c r="L142" s="10"/>
      <c r="M142" s="10"/>
      <c r="N142" s="10"/>
      <c r="O142" s="18">
        <v>156.0</v>
      </c>
      <c r="P142" s="10"/>
      <c r="Q142" s="6"/>
      <c r="R142" s="10"/>
    </row>
    <row r="143">
      <c r="A143" s="6" t="s">
        <v>945</v>
      </c>
      <c r="B143" s="6" t="s">
        <v>35</v>
      </c>
      <c r="C143" s="8">
        <v>45345.0</v>
      </c>
      <c r="D143" s="6" t="s">
        <v>112</v>
      </c>
      <c r="E143" s="6" t="s">
        <v>947</v>
      </c>
      <c r="F143" s="10"/>
      <c r="G143" s="6" t="s">
        <v>949</v>
      </c>
      <c r="H143" s="6" t="s">
        <v>792</v>
      </c>
      <c r="I143" s="17" t="b">
        <v>1</v>
      </c>
      <c r="J143" s="6" t="s">
        <v>546</v>
      </c>
      <c r="K143" s="10"/>
      <c r="L143" s="10"/>
      <c r="M143" s="10"/>
      <c r="N143" s="10"/>
      <c r="O143" s="18">
        <v>431.94</v>
      </c>
      <c r="P143" s="18">
        <v>791429.0</v>
      </c>
      <c r="Q143" s="17" t="b">
        <v>1</v>
      </c>
      <c r="R143" s="10"/>
    </row>
    <row r="144">
      <c r="A144" s="6" t="s">
        <v>951</v>
      </c>
      <c r="B144" s="6" t="s">
        <v>35</v>
      </c>
      <c r="C144" s="8">
        <v>45346.0</v>
      </c>
      <c r="D144" s="6" t="s">
        <v>112</v>
      </c>
      <c r="E144" s="6" t="s">
        <v>953</v>
      </c>
      <c r="F144" s="10"/>
      <c r="G144" s="6" t="s">
        <v>954</v>
      </c>
      <c r="H144" s="6" t="s">
        <v>792</v>
      </c>
      <c r="I144" s="17" t="b">
        <v>1</v>
      </c>
      <c r="J144" s="6" t="s">
        <v>546</v>
      </c>
      <c r="K144" s="10"/>
      <c r="L144" s="10"/>
      <c r="M144" s="10"/>
      <c r="N144" s="10"/>
      <c r="O144" s="18">
        <v>155.2</v>
      </c>
      <c r="P144" s="18">
        <v>792663.0</v>
      </c>
      <c r="Q144" s="17" t="b">
        <v>1</v>
      </c>
      <c r="R144" s="10"/>
    </row>
    <row r="145">
      <c r="A145" s="6" t="s">
        <v>956</v>
      </c>
      <c r="B145" s="6" t="s">
        <v>35</v>
      </c>
      <c r="C145" s="8">
        <v>45348.0</v>
      </c>
      <c r="D145" s="6" t="s">
        <v>595</v>
      </c>
      <c r="E145" s="6" t="s">
        <v>957</v>
      </c>
      <c r="F145" s="10"/>
      <c r="G145" s="6" t="s">
        <v>958</v>
      </c>
      <c r="H145" s="6" t="s">
        <v>960</v>
      </c>
      <c r="I145" s="17" t="b">
        <v>1</v>
      </c>
      <c r="J145" s="6" t="s">
        <v>546</v>
      </c>
      <c r="K145" s="10"/>
      <c r="L145" s="10"/>
      <c r="M145" s="10"/>
      <c r="N145" s="10"/>
      <c r="O145" s="18">
        <v>20.0</v>
      </c>
      <c r="P145" s="18">
        <v>795882.0</v>
      </c>
      <c r="Q145" s="17" t="b">
        <v>1</v>
      </c>
      <c r="R145" s="10"/>
    </row>
    <row r="146">
      <c r="A146" s="6" t="s">
        <v>962</v>
      </c>
      <c r="B146" s="6" t="s">
        <v>35</v>
      </c>
      <c r="C146" s="8">
        <v>45349.0</v>
      </c>
      <c r="D146" s="6" t="s">
        <v>112</v>
      </c>
      <c r="E146" s="6" t="s">
        <v>964</v>
      </c>
      <c r="F146" s="10"/>
      <c r="G146" s="6" t="s">
        <v>965</v>
      </c>
      <c r="H146" s="6" t="s">
        <v>45</v>
      </c>
      <c r="I146" s="17" t="b">
        <v>1</v>
      </c>
      <c r="J146" s="6" t="s">
        <v>546</v>
      </c>
      <c r="K146" s="10"/>
      <c r="L146" s="10"/>
      <c r="M146" s="10"/>
      <c r="N146" s="10"/>
      <c r="O146" s="18">
        <v>173.2</v>
      </c>
      <c r="P146" s="18">
        <v>797233.0</v>
      </c>
      <c r="Q146" s="17" t="b">
        <v>1</v>
      </c>
      <c r="R146" s="10"/>
    </row>
    <row r="147">
      <c r="A147" s="6" t="s">
        <v>969</v>
      </c>
      <c r="B147" s="6" t="s">
        <v>35</v>
      </c>
      <c r="C147" s="8">
        <v>45351.0</v>
      </c>
      <c r="D147" s="6" t="s">
        <v>764</v>
      </c>
      <c r="E147" s="6" t="s">
        <v>971</v>
      </c>
      <c r="F147" s="10"/>
      <c r="G147" s="6" t="s">
        <v>974</v>
      </c>
      <c r="H147" s="6" t="s">
        <v>195</v>
      </c>
      <c r="I147" s="17" t="b">
        <v>0</v>
      </c>
      <c r="J147" s="6" t="s">
        <v>546</v>
      </c>
      <c r="K147" s="10"/>
      <c r="L147" s="10"/>
      <c r="M147" s="10"/>
      <c r="N147" s="10"/>
      <c r="O147" s="18">
        <v>987.4</v>
      </c>
      <c r="P147" s="10"/>
      <c r="Q147" s="17" t="b">
        <v>1</v>
      </c>
      <c r="R147" s="10"/>
    </row>
    <row r="148">
      <c r="A148" s="6" t="s">
        <v>976</v>
      </c>
      <c r="B148" s="6" t="s">
        <v>35</v>
      </c>
      <c r="C148" s="8">
        <v>45353.0</v>
      </c>
      <c r="D148" s="6" t="s">
        <v>112</v>
      </c>
      <c r="E148" s="6" t="s">
        <v>978</v>
      </c>
      <c r="F148" s="10"/>
      <c r="G148" s="6" t="s">
        <v>979</v>
      </c>
      <c r="H148" s="6" t="s">
        <v>157</v>
      </c>
      <c r="I148" s="17" t="b">
        <v>1</v>
      </c>
      <c r="J148" s="6" t="s">
        <v>546</v>
      </c>
      <c r="K148" s="10"/>
      <c r="L148" s="10"/>
      <c r="M148" s="10"/>
      <c r="N148" s="10"/>
      <c r="O148" s="18">
        <v>385.72</v>
      </c>
      <c r="P148" s="18">
        <v>801538.0</v>
      </c>
      <c r="Q148" s="17" t="b">
        <v>1</v>
      </c>
      <c r="R148" s="10"/>
    </row>
    <row r="149">
      <c r="A149" s="6" t="s">
        <v>982</v>
      </c>
      <c r="B149" s="6" t="s">
        <v>35</v>
      </c>
      <c r="C149" s="8">
        <v>45353.0</v>
      </c>
      <c r="D149" s="6" t="s">
        <v>137</v>
      </c>
      <c r="E149" s="6" t="s">
        <v>984</v>
      </c>
      <c r="F149" s="10"/>
      <c r="G149" s="6" t="s">
        <v>986</v>
      </c>
      <c r="H149" s="6" t="s">
        <v>171</v>
      </c>
      <c r="I149" s="17" t="b">
        <v>1</v>
      </c>
      <c r="J149" s="6" t="s">
        <v>546</v>
      </c>
      <c r="K149" s="10"/>
      <c r="L149" s="10"/>
      <c r="M149" s="10"/>
      <c r="N149" s="10"/>
      <c r="O149" s="18">
        <v>300.0</v>
      </c>
      <c r="P149" s="18">
        <v>801559.0</v>
      </c>
      <c r="Q149" s="17" t="b">
        <v>1</v>
      </c>
      <c r="R149" s="10"/>
    </row>
    <row r="150">
      <c r="A150" s="6" t="s">
        <v>989</v>
      </c>
      <c r="B150" s="6" t="s">
        <v>35</v>
      </c>
      <c r="C150" s="8">
        <v>45352.0</v>
      </c>
      <c r="D150" s="18">
        <v>2.6065919E7</v>
      </c>
      <c r="E150" s="6" t="s">
        <v>991</v>
      </c>
      <c r="F150" s="10"/>
      <c r="G150" s="6" t="s">
        <v>992</v>
      </c>
      <c r="H150" s="6" t="s">
        <v>994</v>
      </c>
      <c r="I150" s="17" t="b">
        <v>1</v>
      </c>
      <c r="J150" s="6" t="s">
        <v>546</v>
      </c>
      <c r="K150" s="10"/>
      <c r="L150" s="10"/>
      <c r="M150" s="10"/>
      <c r="N150" s="10"/>
      <c r="O150" s="18">
        <v>225.0</v>
      </c>
      <c r="P150" s="18">
        <v>800790.0</v>
      </c>
      <c r="Q150" s="17" t="b">
        <v>1</v>
      </c>
      <c r="R150" s="10"/>
    </row>
    <row r="151">
      <c r="A151" s="6" t="s">
        <v>996</v>
      </c>
      <c r="B151" s="6" t="s">
        <v>35</v>
      </c>
      <c r="C151" s="8">
        <v>45352.0</v>
      </c>
      <c r="D151" s="6" t="s">
        <v>112</v>
      </c>
      <c r="E151" s="6" t="s">
        <v>998</v>
      </c>
      <c r="F151" s="10"/>
      <c r="G151" s="6" t="s">
        <v>999</v>
      </c>
      <c r="H151" s="6" t="s">
        <v>792</v>
      </c>
      <c r="I151" s="17" t="b">
        <v>1</v>
      </c>
      <c r="J151" s="6" t="s">
        <v>546</v>
      </c>
      <c r="K151" s="10"/>
      <c r="L151" s="10"/>
      <c r="M151" s="10"/>
      <c r="N151" s="10"/>
      <c r="O151" s="18">
        <v>295.8</v>
      </c>
      <c r="P151" s="18">
        <v>800236.0</v>
      </c>
      <c r="Q151" s="17" t="b">
        <v>1</v>
      </c>
      <c r="R151" s="10"/>
    </row>
    <row r="152">
      <c r="A152" s="6" t="s">
        <v>1001</v>
      </c>
      <c r="B152" s="6" t="s">
        <v>35</v>
      </c>
      <c r="C152" s="8">
        <v>45355.0</v>
      </c>
      <c r="D152" s="18">
        <v>8.627274E7</v>
      </c>
      <c r="E152" s="6" t="s">
        <v>1002</v>
      </c>
      <c r="F152" s="10"/>
      <c r="G152" s="6" t="s">
        <v>1004</v>
      </c>
      <c r="H152" s="6" t="s">
        <v>1005</v>
      </c>
      <c r="I152" s="17" t="b">
        <v>0</v>
      </c>
      <c r="J152" s="6" t="s">
        <v>546</v>
      </c>
      <c r="K152" s="10"/>
      <c r="L152" s="10"/>
      <c r="M152" s="10"/>
      <c r="N152" s="10"/>
      <c r="O152" s="18">
        <v>24.99</v>
      </c>
      <c r="P152" s="10"/>
      <c r="Q152" s="17" t="b">
        <v>1</v>
      </c>
      <c r="R152" s="10"/>
    </row>
    <row r="153">
      <c r="A153" s="6" t="s">
        <v>1008</v>
      </c>
      <c r="B153" s="6" t="s">
        <v>35</v>
      </c>
      <c r="C153" s="8">
        <v>45355.0</v>
      </c>
      <c r="D153" s="6" t="s">
        <v>137</v>
      </c>
      <c r="E153" s="6" t="s">
        <v>1010</v>
      </c>
      <c r="F153" s="10"/>
      <c r="G153" s="6" t="s">
        <v>1011</v>
      </c>
      <c r="H153" s="6" t="s">
        <v>792</v>
      </c>
      <c r="I153" s="17" t="b">
        <v>1</v>
      </c>
      <c r="J153" s="6" t="s">
        <v>546</v>
      </c>
      <c r="K153" s="10"/>
      <c r="L153" s="10"/>
      <c r="M153" s="10"/>
      <c r="N153" s="10"/>
      <c r="O153" s="18">
        <v>100.0</v>
      </c>
      <c r="P153" s="18">
        <v>805331.0</v>
      </c>
      <c r="Q153" s="17" t="b">
        <v>1</v>
      </c>
      <c r="R153" s="10"/>
    </row>
    <row r="154">
      <c r="A154" s="6" t="s">
        <v>1015</v>
      </c>
      <c r="B154" s="6" t="s">
        <v>35</v>
      </c>
      <c r="C154" s="8">
        <v>45355.0</v>
      </c>
      <c r="D154" s="6" t="s">
        <v>1016</v>
      </c>
      <c r="E154" s="6" t="s">
        <v>1017</v>
      </c>
      <c r="F154" s="10"/>
      <c r="G154" s="6" t="s">
        <v>1019</v>
      </c>
      <c r="H154" s="6" t="s">
        <v>1020</v>
      </c>
      <c r="I154" s="17" t="b">
        <v>0</v>
      </c>
      <c r="J154" s="6" t="s">
        <v>546</v>
      </c>
      <c r="K154" s="10"/>
      <c r="L154" s="10"/>
      <c r="M154" s="10"/>
      <c r="N154" s="10"/>
      <c r="O154" s="18">
        <v>152.69</v>
      </c>
      <c r="P154" s="10"/>
      <c r="Q154" s="17" t="b">
        <v>1</v>
      </c>
      <c r="R154" s="10"/>
    </row>
    <row r="155">
      <c r="A155" s="6" t="s">
        <v>1023</v>
      </c>
      <c r="B155" s="6" t="s">
        <v>35</v>
      </c>
      <c r="C155" s="8">
        <v>45355.0</v>
      </c>
      <c r="D155" s="18">
        <v>6.8893939E7</v>
      </c>
      <c r="E155" s="6" t="s">
        <v>1025</v>
      </c>
      <c r="F155" s="10"/>
      <c r="G155" s="6" t="s">
        <v>1026</v>
      </c>
      <c r="H155" s="6" t="s">
        <v>605</v>
      </c>
      <c r="I155" s="17" t="b">
        <v>0</v>
      </c>
      <c r="J155" s="6" t="s">
        <v>546</v>
      </c>
      <c r="K155" s="10"/>
      <c r="L155" s="10"/>
      <c r="M155" s="10"/>
      <c r="N155" s="10"/>
      <c r="O155" s="18">
        <v>81.96</v>
      </c>
      <c r="P155" s="10"/>
      <c r="Q155" s="17" t="b">
        <v>1</v>
      </c>
      <c r="R155" s="10"/>
    </row>
    <row r="156">
      <c r="A156" s="6" t="s">
        <v>1029</v>
      </c>
      <c r="B156" s="6" t="s">
        <v>35</v>
      </c>
      <c r="C156" s="8">
        <v>45355.0</v>
      </c>
      <c r="D156" s="6" t="s">
        <v>112</v>
      </c>
      <c r="E156" s="6" t="s">
        <v>1030</v>
      </c>
      <c r="F156" s="10"/>
      <c r="G156" s="6" t="s">
        <v>1032</v>
      </c>
      <c r="H156" s="6" t="s">
        <v>792</v>
      </c>
      <c r="I156" s="17" t="b">
        <v>1</v>
      </c>
      <c r="J156" s="6" t="s">
        <v>546</v>
      </c>
      <c r="K156" s="10"/>
      <c r="L156" s="10"/>
      <c r="M156" s="10"/>
      <c r="N156" s="10"/>
      <c r="O156" s="18">
        <v>290.0</v>
      </c>
      <c r="P156" s="18">
        <v>805546.0</v>
      </c>
      <c r="Q156" s="17" t="b">
        <v>1</v>
      </c>
      <c r="R156" s="10"/>
    </row>
    <row r="157">
      <c r="A157" s="6" t="s">
        <v>1035</v>
      </c>
      <c r="B157" s="6" t="s">
        <v>35</v>
      </c>
      <c r="C157" s="8">
        <v>45361.0</v>
      </c>
      <c r="D157" s="6" t="s">
        <v>1036</v>
      </c>
      <c r="E157" s="6" t="s">
        <v>1037</v>
      </c>
      <c r="F157" s="10"/>
      <c r="G157" s="6" t="s">
        <v>1039</v>
      </c>
      <c r="H157" s="6" t="s">
        <v>1040</v>
      </c>
      <c r="I157" s="17" t="b">
        <v>0</v>
      </c>
      <c r="J157" s="6" t="s">
        <v>546</v>
      </c>
      <c r="K157" s="10"/>
      <c r="L157" s="10"/>
      <c r="M157" s="10"/>
      <c r="N157" s="10"/>
      <c r="O157" s="18">
        <v>106.7</v>
      </c>
      <c r="P157" s="10"/>
      <c r="Q157" s="17" t="b">
        <v>1</v>
      </c>
      <c r="R157" s="10"/>
    </row>
    <row r="158">
      <c r="A158" s="6" t="s">
        <v>1044</v>
      </c>
      <c r="B158" s="6" t="s">
        <v>35</v>
      </c>
      <c r="C158" s="8">
        <v>45355.0</v>
      </c>
      <c r="D158" s="18">
        <v>6.8893939E7</v>
      </c>
      <c r="E158" s="6" t="s">
        <v>1048</v>
      </c>
      <c r="F158" s="10"/>
      <c r="G158" s="6" t="s">
        <v>1049</v>
      </c>
      <c r="H158" s="6" t="s">
        <v>772</v>
      </c>
      <c r="I158" s="17" t="b">
        <v>0</v>
      </c>
      <c r="J158" s="6" t="s">
        <v>546</v>
      </c>
      <c r="K158" s="10"/>
      <c r="L158" s="10"/>
      <c r="M158" s="10"/>
      <c r="N158" s="10"/>
      <c r="O158" s="18">
        <v>1553.92</v>
      </c>
      <c r="P158" s="10"/>
      <c r="Q158" s="17" t="b">
        <v>1</v>
      </c>
      <c r="R158" s="10"/>
    </row>
    <row r="159">
      <c r="A159" s="6" t="s">
        <v>1052</v>
      </c>
      <c r="B159" s="6" t="s">
        <v>35</v>
      </c>
      <c r="C159" s="8">
        <v>45357.0</v>
      </c>
      <c r="D159" s="6" t="s">
        <v>145</v>
      </c>
      <c r="E159" s="6" t="s">
        <v>1055</v>
      </c>
      <c r="F159" s="10"/>
      <c r="G159" s="6" t="s">
        <v>1057</v>
      </c>
      <c r="H159" s="6" t="s">
        <v>1058</v>
      </c>
      <c r="I159" s="17" t="b">
        <v>0</v>
      </c>
      <c r="J159" s="6" t="s">
        <v>546</v>
      </c>
      <c r="K159" s="10"/>
      <c r="L159" s="10"/>
      <c r="M159" s="10"/>
      <c r="N159" s="10"/>
      <c r="O159" s="18">
        <v>189.5</v>
      </c>
      <c r="P159" s="10"/>
      <c r="Q159" s="17" t="b">
        <v>1</v>
      </c>
      <c r="R159" s="10"/>
    </row>
    <row r="160">
      <c r="A160" s="6" t="s">
        <v>1059</v>
      </c>
      <c r="B160" s="6" t="s">
        <v>35</v>
      </c>
      <c r="C160" s="8">
        <v>45352.0</v>
      </c>
      <c r="D160" s="6" t="s">
        <v>858</v>
      </c>
      <c r="E160" s="6" t="s">
        <v>1061</v>
      </c>
      <c r="F160" s="10"/>
      <c r="G160" s="6" t="s">
        <v>1063</v>
      </c>
      <c r="H160" s="6" t="s">
        <v>605</v>
      </c>
      <c r="I160" s="17" t="b">
        <v>0</v>
      </c>
      <c r="J160" s="6" t="s">
        <v>546</v>
      </c>
      <c r="K160" s="10"/>
      <c r="L160" s="10"/>
      <c r="M160" s="10"/>
      <c r="N160" s="10"/>
      <c r="O160" s="18">
        <v>2122.28</v>
      </c>
      <c r="P160" s="10"/>
      <c r="Q160" s="17" t="b">
        <v>1</v>
      </c>
      <c r="R160" s="10"/>
    </row>
    <row r="161">
      <c r="A161" s="6" t="s">
        <v>1065</v>
      </c>
      <c r="B161" s="6" t="s">
        <v>35</v>
      </c>
      <c r="C161" s="8">
        <v>45357.0</v>
      </c>
      <c r="D161" s="10"/>
      <c r="E161" s="10"/>
      <c r="F161" s="10"/>
      <c r="G161" s="10"/>
      <c r="H161" s="6" t="s">
        <v>1067</v>
      </c>
      <c r="I161" s="10"/>
      <c r="J161" s="6" t="s">
        <v>539</v>
      </c>
      <c r="K161" s="6" t="s">
        <v>658</v>
      </c>
      <c r="L161" s="10"/>
      <c r="M161" s="10"/>
      <c r="N161" s="10"/>
      <c r="O161" s="18">
        <v>1451.01</v>
      </c>
      <c r="P161" s="10"/>
      <c r="Q161" s="6"/>
      <c r="R161" s="10"/>
    </row>
    <row r="162">
      <c r="A162" s="6" t="s">
        <v>1069</v>
      </c>
      <c r="B162" s="6" t="s">
        <v>35</v>
      </c>
      <c r="C162" s="8">
        <v>45357.0</v>
      </c>
      <c r="D162" s="10"/>
      <c r="E162" s="10"/>
      <c r="F162" s="10"/>
      <c r="G162" s="10"/>
      <c r="H162" s="6" t="s">
        <v>1071</v>
      </c>
      <c r="I162" s="10"/>
      <c r="J162" s="6" t="s">
        <v>539</v>
      </c>
      <c r="K162" s="6" t="s">
        <v>648</v>
      </c>
      <c r="L162" s="10"/>
      <c r="M162" s="10"/>
      <c r="N162" s="10"/>
      <c r="O162" s="18">
        <v>1505.62</v>
      </c>
      <c r="P162" s="10"/>
      <c r="Q162" s="6"/>
      <c r="R162" s="10"/>
    </row>
    <row r="163">
      <c r="A163" s="6" t="s">
        <v>1072</v>
      </c>
      <c r="B163" s="6" t="s">
        <v>35</v>
      </c>
      <c r="C163" s="8">
        <v>45357.0</v>
      </c>
      <c r="D163" s="10"/>
      <c r="E163" s="10"/>
      <c r="F163" s="10"/>
      <c r="G163" s="10"/>
      <c r="H163" s="6" t="s">
        <v>1076</v>
      </c>
      <c r="I163" s="10"/>
      <c r="J163" s="6" t="s">
        <v>539</v>
      </c>
      <c r="K163" s="6" t="s">
        <v>651</v>
      </c>
      <c r="L163" s="10"/>
      <c r="M163" s="10"/>
      <c r="N163" s="10"/>
      <c r="O163" s="18">
        <v>500.0</v>
      </c>
      <c r="P163" s="10"/>
      <c r="Q163" s="6"/>
      <c r="R163" s="10"/>
    </row>
    <row r="164">
      <c r="A164" s="6" t="s">
        <v>1082</v>
      </c>
      <c r="B164" s="6" t="s">
        <v>35</v>
      </c>
      <c r="C164" s="8">
        <v>45357.0</v>
      </c>
      <c r="D164" s="10"/>
      <c r="E164" s="10"/>
      <c r="F164" s="10"/>
      <c r="G164" s="10"/>
      <c r="H164" s="6" t="s">
        <v>1087</v>
      </c>
      <c r="I164" s="10"/>
      <c r="J164" s="6" t="s">
        <v>539</v>
      </c>
      <c r="K164" s="6" t="s">
        <v>651</v>
      </c>
      <c r="L164" s="10"/>
      <c r="M164" s="10"/>
      <c r="N164" s="10"/>
      <c r="O164" s="18">
        <v>1427.41</v>
      </c>
      <c r="P164" s="10"/>
      <c r="Q164" s="6"/>
      <c r="R164" s="10"/>
    </row>
    <row r="165">
      <c r="A165" s="6" t="s">
        <v>1089</v>
      </c>
      <c r="B165" s="6" t="s">
        <v>35</v>
      </c>
      <c r="C165" s="8">
        <v>45358.0</v>
      </c>
      <c r="D165" s="10"/>
      <c r="E165" s="10"/>
      <c r="F165" s="10"/>
      <c r="G165" s="10"/>
      <c r="H165" s="6" t="s">
        <v>1092</v>
      </c>
      <c r="I165" s="10"/>
      <c r="J165" s="6" t="s">
        <v>539</v>
      </c>
      <c r="K165" s="6" t="s">
        <v>624</v>
      </c>
      <c r="L165" s="10"/>
      <c r="M165" s="10"/>
      <c r="N165" s="10"/>
      <c r="O165" s="18">
        <v>2575.76</v>
      </c>
      <c r="P165" s="10"/>
      <c r="Q165" s="6"/>
      <c r="R165" s="10"/>
    </row>
    <row r="166">
      <c r="A166" s="6" t="s">
        <v>1095</v>
      </c>
      <c r="B166" s="6" t="s">
        <v>35</v>
      </c>
      <c r="C166" s="8">
        <v>45358.0</v>
      </c>
      <c r="D166" s="10"/>
      <c r="E166" s="10"/>
      <c r="F166" s="10"/>
      <c r="G166" s="10"/>
      <c r="H166" s="6" t="s">
        <v>1099</v>
      </c>
      <c r="I166" s="10"/>
      <c r="J166" s="6" t="s">
        <v>539</v>
      </c>
      <c r="K166" s="6" t="s">
        <v>1100</v>
      </c>
      <c r="L166" s="10"/>
      <c r="M166" s="10"/>
      <c r="N166" s="10"/>
      <c r="O166" s="18">
        <v>1194.23</v>
      </c>
      <c r="P166" s="10"/>
      <c r="Q166" s="6"/>
      <c r="R166" s="10"/>
    </row>
    <row r="167">
      <c r="A167" s="6" t="s">
        <v>1103</v>
      </c>
      <c r="B167" s="6" t="s">
        <v>35</v>
      </c>
      <c r="C167" s="8">
        <v>45358.0</v>
      </c>
      <c r="D167" s="10"/>
      <c r="E167" s="10"/>
      <c r="F167" s="10"/>
      <c r="G167" s="10"/>
      <c r="H167" s="6" t="s">
        <v>1106</v>
      </c>
      <c r="I167" s="10"/>
      <c r="J167" s="6" t="s">
        <v>539</v>
      </c>
      <c r="K167" s="6" t="s">
        <v>664</v>
      </c>
      <c r="L167" s="10"/>
      <c r="M167" s="10"/>
      <c r="N167" s="10"/>
      <c r="O167" s="18">
        <v>2056.01</v>
      </c>
      <c r="P167" s="10"/>
      <c r="Q167" s="6"/>
      <c r="R167" s="10"/>
    </row>
    <row r="168">
      <c r="A168" s="6" t="s">
        <v>1108</v>
      </c>
      <c r="B168" s="6" t="s">
        <v>35</v>
      </c>
      <c r="C168" s="8">
        <v>45358.0</v>
      </c>
      <c r="D168" s="6" t="s">
        <v>460</v>
      </c>
      <c r="E168" s="10"/>
      <c r="F168" s="10"/>
      <c r="G168" s="10"/>
      <c r="H168" s="6" t="s">
        <v>1110</v>
      </c>
      <c r="I168" s="10"/>
      <c r="J168" s="6" t="s">
        <v>539</v>
      </c>
      <c r="K168" s="10"/>
      <c r="L168" s="10"/>
      <c r="M168" s="10"/>
      <c r="N168" s="10"/>
      <c r="O168" s="18">
        <v>987.0</v>
      </c>
      <c r="P168" s="10"/>
      <c r="Q168" s="6"/>
      <c r="R168" s="10"/>
    </row>
    <row r="169">
      <c r="A169" s="6" t="s">
        <v>1113</v>
      </c>
      <c r="B169" s="6" t="s">
        <v>35</v>
      </c>
      <c r="C169" s="8">
        <v>45355.0</v>
      </c>
      <c r="D169" s="6" t="s">
        <v>1016</v>
      </c>
      <c r="E169" s="6" t="s">
        <v>1115</v>
      </c>
      <c r="F169" s="10"/>
      <c r="G169" s="6" t="s">
        <v>1116</v>
      </c>
      <c r="H169" s="6" t="s">
        <v>1117</v>
      </c>
      <c r="I169" s="17" t="b">
        <v>0</v>
      </c>
      <c r="J169" s="6" t="s">
        <v>546</v>
      </c>
      <c r="K169" s="10"/>
      <c r="L169" s="10"/>
      <c r="M169" s="10"/>
      <c r="N169" s="10"/>
      <c r="O169" s="18">
        <v>70.65</v>
      </c>
      <c r="P169" s="10"/>
      <c r="Q169" s="17" t="b">
        <v>1</v>
      </c>
      <c r="R169" s="10"/>
    </row>
    <row r="170">
      <c r="A170" s="6" t="s">
        <v>1120</v>
      </c>
      <c r="B170" s="6" t="s">
        <v>35</v>
      </c>
      <c r="C170" s="8">
        <v>45357.0</v>
      </c>
      <c r="D170" s="6" t="s">
        <v>137</v>
      </c>
      <c r="E170" s="6" t="s">
        <v>1123</v>
      </c>
      <c r="F170" s="10"/>
      <c r="G170" s="6" t="s">
        <v>1124</v>
      </c>
      <c r="H170" s="6" t="s">
        <v>415</v>
      </c>
      <c r="I170" s="17" t="b">
        <v>1</v>
      </c>
      <c r="J170" s="6" t="s">
        <v>546</v>
      </c>
      <c r="K170" s="10"/>
      <c r="L170" s="10"/>
      <c r="M170" s="10"/>
      <c r="N170" s="10"/>
      <c r="O170" s="18">
        <v>260.0</v>
      </c>
      <c r="P170" s="18">
        <v>807798.0</v>
      </c>
      <c r="Q170" s="17" t="b">
        <v>1</v>
      </c>
      <c r="R170" s="10"/>
    </row>
    <row r="171">
      <c r="A171" s="6" t="s">
        <v>1127</v>
      </c>
      <c r="B171" s="6" t="s">
        <v>35</v>
      </c>
      <c r="C171" s="8">
        <v>45358.0</v>
      </c>
      <c r="D171" s="6" t="s">
        <v>1129</v>
      </c>
      <c r="E171" s="6" t="s">
        <v>1130</v>
      </c>
      <c r="F171" s="10"/>
      <c r="G171" s="6" t="s">
        <v>1131</v>
      </c>
      <c r="H171" s="6" t="s">
        <v>1133</v>
      </c>
      <c r="I171" s="17" t="b">
        <v>0</v>
      </c>
      <c r="J171" s="6" t="s">
        <v>546</v>
      </c>
      <c r="K171" s="10"/>
      <c r="L171" s="10"/>
      <c r="M171" s="10"/>
      <c r="N171" s="10"/>
      <c r="O171" s="18">
        <v>432.0</v>
      </c>
      <c r="P171" s="10"/>
      <c r="Q171" s="17" t="b">
        <v>1</v>
      </c>
      <c r="R171" s="10"/>
    </row>
    <row r="172">
      <c r="A172" s="6" t="s">
        <v>1135</v>
      </c>
      <c r="B172" s="6" t="s">
        <v>35</v>
      </c>
      <c r="C172" s="8">
        <v>45358.0</v>
      </c>
      <c r="D172" s="6" t="s">
        <v>1129</v>
      </c>
      <c r="E172" s="6" t="s">
        <v>1138</v>
      </c>
      <c r="F172" s="10"/>
      <c r="G172" s="6" t="s">
        <v>1139</v>
      </c>
      <c r="H172" s="6" t="s">
        <v>1140</v>
      </c>
      <c r="I172" s="17" t="b">
        <v>0</v>
      </c>
      <c r="J172" s="6" t="s">
        <v>546</v>
      </c>
      <c r="K172" s="10"/>
      <c r="L172" s="10"/>
      <c r="M172" s="10"/>
      <c r="N172" s="10"/>
      <c r="O172" s="18">
        <v>90.0</v>
      </c>
      <c r="P172" s="10"/>
      <c r="Q172" s="17" t="b">
        <v>1</v>
      </c>
      <c r="R172" s="10"/>
    </row>
    <row r="173">
      <c r="A173" s="6" t="s">
        <v>1143</v>
      </c>
      <c r="B173" s="6" t="s">
        <v>35</v>
      </c>
      <c r="C173" s="8">
        <v>45359.0</v>
      </c>
      <c r="D173" s="6" t="s">
        <v>1146</v>
      </c>
      <c r="E173" s="10"/>
      <c r="F173" s="10"/>
      <c r="G173" s="10"/>
      <c r="H173" s="6" t="s">
        <v>1148</v>
      </c>
      <c r="I173" s="10"/>
      <c r="J173" s="6" t="s">
        <v>539</v>
      </c>
      <c r="K173" s="10"/>
      <c r="L173" s="10"/>
      <c r="M173" s="10"/>
      <c r="N173" s="10"/>
      <c r="O173" s="18">
        <v>150.0</v>
      </c>
      <c r="P173" s="10"/>
      <c r="Q173" s="6"/>
      <c r="R173" s="10"/>
    </row>
    <row r="174">
      <c r="A174" s="6" t="s">
        <v>1150</v>
      </c>
      <c r="B174" s="6" t="s">
        <v>35</v>
      </c>
      <c r="C174" s="8">
        <v>45359.0</v>
      </c>
      <c r="D174" s="6" t="s">
        <v>460</v>
      </c>
      <c r="E174" s="10"/>
      <c r="F174" s="10"/>
      <c r="G174" s="10"/>
      <c r="H174" s="6" t="s">
        <v>1156</v>
      </c>
      <c r="I174" s="10"/>
      <c r="J174" s="6" t="s">
        <v>539</v>
      </c>
      <c r="K174" s="10"/>
      <c r="L174" s="10"/>
      <c r="M174" s="10"/>
      <c r="N174" s="10"/>
      <c r="O174" s="18">
        <v>75.85</v>
      </c>
      <c r="P174" s="10"/>
      <c r="Q174" s="6"/>
      <c r="R174" s="10"/>
    </row>
    <row r="175">
      <c r="A175" s="6" t="s">
        <v>1157</v>
      </c>
      <c r="B175" s="6" t="s">
        <v>35</v>
      </c>
      <c r="C175" s="8">
        <v>45359.0</v>
      </c>
      <c r="D175" s="6" t="s">
        <v>1160</v>
      </c>
      <c r="E175" s="10"/>
      <c r="F175" s="10"/>
      <c r="G175" s="10"/>
      <c r="H175" s="6" t="s">
        <v>1161</v>
      </c>
      <c r="I175" s="10"/>
      <c r="J175" s="6" t="s">
        <v>539</v>
      </c>
      <c r="K175" s="10"/>
      <c r="L175" s="10"/>
      <c r="M175" s="10"/>
      <c r="N175" s="10"/>
      <c r="O175" s="18">
        <v>1223.0</v>
      </c>
      <c r="P175" s="10"/>
      <c r="Q175" s="6"/>
      <c r="R175" s="10"/>
    </row>
    <row r="176">
      <c r="A176" s="6" t="s">
        <v>1163</v>
      </c>
      <c r="B176" s="6" t="s">
        <v>35</v>
      </c>
      <c r="C176" s="8">
        <v>45359.0</v>
      </c>
      <c r="D176" s="6" t="s">
        <v>460</v>
      </c>
      <c r="E176" s="10"/>
      <c r="F176" s="10"/>
      <c r="G176" s="10"/>
      <c r="H176" s="6" t="s">
        <v>1166</v>
      </c>
      <c r="I176" s="10"/>
      <c r="J176" s="6" t="s">
        <v>539</v>
      </c>
      <c r="K176" s="10"/>
      <c r="L176" s="10"/>
      <c r="M176" s="10"/>
      <c r="N176" s="10"/>
      <c r="O176" s="18">
        <v>1191.3</v>
      </c>
      <c r="P176" s="10"/>
      <c r="Q176" s="6"/>
      <c r="R176" s="10"/>
    </row>
    <row r="177">
      <c r="A177" s="6" t="s">
        <v>1170</v>
      </c>
      <c r="B177" s="6" t="s">
        <v>35</v>
      </c>
      <c r="C177" s="8">
        <v>45359.0</v>
      </c>
      <c r="D177" s="6" t="s">
        <v>609</v>
      </c>
      <c r="E177" s="10"/>
      <c r="F177" s="10"/>
      <c r="G177" s="10"/>
      <c r="H177" s="6" t="s">
        <v>1172</v>
      </c>
      <c r="I177" s="10"/>
      <c r="J177" s="6" t="s">
        <v>539</v>
      </c>
      <c r="K177" s="10"/>
      <c r="L177" s="10"/>
      <c r="M177" s="10"/>
      <c r="N177" s="10"/>
      <c r="O177" s="18">
        <v>205.08</v>
      </c>
      <c r="P177" s="10"/>
      <c r="Q177" s="6"/>
      <c r="R177" s="10"/>
    </row>
    <row r="178">
      <c r="A178" s="6" t="s">
        <v>1173</v>
      </c>
      <c r="B178" s="6" t="s">
        <v>35</v>
      </c>
      <c r="C178" s="8">
        <v>45357.0</v>
      </c>
      <c r="D178" s="6" t="s">
        <v>890</v>
      </c>
      <c r="E178" s="6" t="s">
        <v>1175</v>
      </c>
      <c r="F178" s="10"/>
      <c r="G178" s="6" t="s">
        <v>1176</v>
      </c>
      <c r="H178" s="6" t="s">
        <v>1177</v>
      </c>
      <c r="I178" s="17" t="b">
        <v>0</v>
      </c>
      <c r="J178" s="6" t="s">
        <v>546</v>
      </c>
      <c r="K178" s="10"/>
      <c r="L178" s="10"/>
      <c r="M178" s="10"/>
      <c r="N178" s="10"/>
      <c r="O178" s="18">
        <v>11878.45</v>
      </c>
      <c r="P178" s="10"/>
      <c r="Q178" s="17" t="b">
        <v>1</v>
      </c>
      <c r="R178" s="10"/>
    </row>
    <row r="179">
      <c r="A179" s="6" t="s">
        <v>1181</v>
      </c>
      <c r="B179" s="6" t="s">
        <v>35</v>
      </c>
      <c r="C179" s="8">
        <v>45358.0</v>
      </c>
      <c r="D179" s="6" t="s">
        <v>890</v>
      </c>
      <c r="E179" s="6" t="s">
        <v>1182</v>
      </c>
      <c r="F179" s="10"/>
      <c r="G179" s="6" t="s">
        <v>1183</v>
      </c>
      <c r="H179" s="6" t="s">
        <v>1184</v>
      </c>
      <c r="I179" s="17" t="b">
        <v>0</v>
      </c>
      <c r="J179" s="6" t="s">
        <v>546</v>
      </c>
      <c r="K179" s="10"/>
      <c r="L179" s="10"/>
      <c r="M179" s="10"/>
      <c r="N179" s="10"/>
      <c r="O179" s="18">
        <v>9226.02</v>
      </c>
      <c r="P179" s="10"/>
      <c r="Q179" s="17" t="b">
        <v>1</v>
      </c>
      <c r="R179" s="10"/>
    </row>
    <row r="180">
      <c r="A180" s="6" t="s">
        <v>1186</v>
      </c>
      <c r="B180" s="6" t="s">
        <v>35</v>
      </c>
      <c r="C180" s="8">
        <v>45362.0</v>
      </c>
      <c r="D180" s="6" t="s">
        <v>1188</v>
      </c>
      <c r="E180" s="6" t="s">
        <v>1189</v>
      </c>
      <c r="F180" s="10"/>
      <c r="G180" s="6" t="s">
        <v>1190</v>
      </c>
      <c r="H180" s="6" t="s">
        <v>1191</v>
      </c>
      <c r="I180" s="17" t="b">
        <v>1</v>
      </c>
      <c r="J180" s="6" t="s">
        <v>546</v>
      </c>
      <c r="K180" s="10"/>
      <c r="L180" s="10"/>
      <c r="M180" s="10"/>
      <c r="N180" s="10"/>
      <c r="O180" s="18">
        <v>27.0</v>
      </c>
      <c r="P180" s="18">
        <v>814389.0</v>
      </c>
      <c r="Q180" s="17" t="b">
        <v>1</v>
      </c>
      <c r="R180" s="10"/>
    </row>
    <row r="181">
      <c r="A181" s="6" t="s">
        <v>1194</v>
      </c>
      <c r="B181" s="6" t="s">
        <v>35</v>
      </c>
      <c r="C181" s="8">
        <v>45362.0</v>
      </c>
      <c r="D181" s="18">
        <v>8.627274E7</v>
      </c>
      <c r="E181" s="6" t="s">
        <v>1198</v>
      </c>
      <c r="F181" s="10"/>
      <c r="G181" s="6" t="s">
        <v>1200</v>
      </c>
      <c r="H181" s="6" t="s">
        <v>1201</v>
      </c>
      <c r="I181" s="17" t="b">
        <v>0</v>
      </c>
      <c r="J181" s="6" t="s">
        <v>546</v>
      </c>
      <c r="K181" s="10"/>
      <c r="L181" s="10"/>
      <c r="M181" s="10"/>
      <c r="N181" s="10"/>
      <c r="O181" s="18">
        <v>56.91</v>
      </c>
      <c r="P181" s="10"/>
      <c r="Q181" s="17" t="b">
        <v>1</v>
      </c>
      <c r="R181" s="10"/>
    </row>
    <row r="182">
      <c r="A182" s="6" t="s">
        <v>1205</v>
      </c>
      <c r="B182" s="6" t="s">
        <v>35</v>
      </c>
      <c r="C182" s="8">
        <v>45362.0</v>
      </c>
      <c r="D182" s="6" t="s">
        <v>543</v>
      </c>
      <c r="E182" s="6" t="s">
        <v>1207</v>
      </c>
      <c r="F182" s="10"/>
      <c r="G182" s="6" t="s">
        <v>1209</v>
      </c>
      <c r="H182" s="6" t="s">
        <v>157</v>
      </c>
      <c r="I182" s="17" t="b">
        <v>1</v>
      </c>
      <c r="J182" s="6" t="s">
        <v>546</v>
      </c>
      <c r="K182" s="10"/>
      <c r="L182" s="10"/>
      <c r="M182" s="10"/>
      <c r="N182" s="10"/>
      <c r="O182" s="18">
        <v>120.0</v>
      </c>
      <c r="P182" s="18">
        <v>814439.0</v>
      </c>
      <c r="Q182" s="17" t="b">
        <v>1</v>
      </c>
      <c r="R182" s="10"/>
    </row>
    <row r="183">
      <c r="A183" s="6" t="s">
        <v>1212</v>
      </c>
      <c r="B183" s="6" t="s">
        <v>35</v>
      </c>
      <c r="C183" s="8">
        <v>45334.0</v>
      </c>
      <c r="D183" s="6" t="s">
        <v>193</v>
      </c>
      <c r="E183" s="6" t="s">
        <v>1214</v>
      </c>
      <c r="F183" s="10"/>
      <c r="G183" s="6" t="s">
        <v>1216</v>
      </c>
      <c r="H183" s="6" t="s">
        <v>195</v>
      </c>
      <c r="I183" s="17" t="b">
        <v>0</v>
      </c>
      <c r="J183" s="6" t="s">
        <v>546</v>
      </c>
      <c r="K183" s="10"/>
      <c r="L183" s="10"/>
      <c r="M183" s="10"/>
      <c r="N183" s="10"/>
      <c r="O183" s="18">
        <v>475.56</v>
      </c>
      <c r="P183" s="10"/>
      <c r="Q183" s="17" t="b">
        <v>1</v>
      </c>
      <c r="R183" s="10"/>
    </row>
    <row r="184">
      <c r="A184" s="6" t="s">
        <v>1220</v>
      </c>
      <c r="B184" s="6" t="s">
        <v>35</v>
      </c>
      <c r="C184" s="8">
        <v>45358.0</v>
      </c>
      <c r="D184" s="6" t="s">
        <v>307</v>
      </c>
      <c r="E184" s="6" t="s">
        <v>1222</v>
      </c>
      <c r="F184" s="10"/>
      <c r="G184" s="6" t="s">
        <v>1224</v>
      </c>
      <c r="H184" s="6" t="s">
        <v>1225</v>
      </c>
      <c r="I184" s="17" t="b">
        <v>0</v>
      </c>
      <c r="J184" s="6" t="s">
        <v>546</v>
      </c>
      <c r="K184" s="10"/>
      <c r="L184" s="10"/>
      <c r="M184" s="10"/>
      <c r="N184" s="10"/>
      <c r="O184" s="18">
        <v>238.7</v>
      </c>
      <c r="P184" s="10"/>
      <c r="Q184" s="17" t="b">
        <v>1</v>
      </c>
      <c r="R184" s="10"/>
    </row>
    <row r="185">
      <c r="A185" s="6" t="s">
        <v>1227</v>
      </c>
      <c r="B185" s="6" t="s">
        <v>35</v>
      </c>
      <c r="C185" s="8">
        <v>45351.0</v>
      </c>
      <c r="D185" s="18">
        <v>6.8893939E7</v>
      </c>
      <c r="E185" s="6" t="s">
        <v>1228</v>
      </c>
      <c r="F185" s="10"/>
      <c r="G185" s="6" t="s">
        <v>1229</v>
      </c>
      <c r="H185" s="6" t="s">
        <v>605</v>
      </c>
      <c r="I185" s="17" t="b">
        <v>0</v>
      </c>
      <c r="J185" s="6" t="s">
        <v>546</v>
      </c>
      <c r="K185" s="10"/>
      <c r="L185" s="10"/>
      <c r="M185" s="10"/>
      <c r="N185" s="10"/>
      <c r="O185" s="18">
        <v>62.18</v>
      </c>
      <c r="P185" s="10"/>
      <c r="Q185" s="17" t="b">
        <v>1</v>
      </c>
      <c r="R185" s="10"/>
    </row>
    <row r="186">
      <c r="A186" s="6" t="s">
        <v>1232</v>
      </c>
      <c r="B186" s="6" t="s">
        <v>35</v>
      </c>
      <c r="C186" s="8">
        <v>45362.0</v>
      </c>
      <c r="D186" s="6" t="s">
        <v>543</v>
      </c>
      <c r="E186" s="6" t="s">
        <v>1234</v>
      </c>
      <c r="F186" s="10"/>
      <c r="G186" s="6" t="s">
        <v>1235</v>
      </c>
      <c r="H186" s="6" t="s">
        <v>415</v>
      </c>
      <c r="I186" s="17" t="b">
        <v>1</v>
      </c>
      <c r="J186" s="6" t="s">
        <v>546</v>
      </c>
      <c r="K186" s="10"/>
      <c r="L186" s="10"/>
      <c r="M186" s="10"/>
      <c r="N186" s="10"/>
      <c r="O186" s="18">
        <v>120.0</v>
      </c>
      <c r="P186" s="18">
        <v>814439.0</v>
      </c>
      <c r="Q186" s="17" t="b">
        <v>1</v>
      </c>
      <c r="R186" s="10"/>
    </row>
    <row r="187">
      <c r="A187" s="6" t="s">
        <v>1238</v>
      </c>
      <c r="B187" s="6" t="s">
        <v>35</v>
      </c>
      <c r="C187" s="8">
        <v>45364.0</v>
      </c>
      <c r="D187" s="6" t="s">
        <v>137</v>
      </c>
      <c r="E187" s="6" t="s">
        <v>1241</v>
      </c>
      <c r="F187" s="10"/>
      <c r="G187" s="6" t="s">
        <v>1242</v>
      </c>
      <c r="H187" s="6" t="s">
        <v>792</v>
      </c>
      <c r="I187" s="17" t="b">
        <v>1</v>
      </c>
      <c r="J187" s="6" t="s">
        <v>546</v>
      </c>
      <c r="K187" s="10"/>
      <c r="L187" s="10"/>
      <c r="M187" s="10"/>
      <c r="N187" s="10"/>
      <c r="O187" s="18">
        <v>440.0</v>
      </c>
      <c r="P187" s="18">
        <v>816852.0</v>
      </c>
      <c r="Q187" s="17" t="b">
        <v>1</v>
      </c>
      <c r="R187" s="10"/>
    </row>
    <row r="188">
      <c r="A188" s="6" t="s">
        <v>1245</v>
      </c>
      <c r="B188" s="6" t="s">
        <v>35</v>
      </c>
      <c r="C188" s="8">
        <v>45364.0</v>
      </c>
      <c r="D188" s="6" t="s">
        <v>1188</v>
      </c>
      <c r="E188" s="6" t="s">
        <v>1248</v>
      </c>
      <c r="F188" s="10"/>
      <c r="G188" s="6" t="s">
        <v>1249</v>
      </c>
      <c r="H188" s="6" t="s">
        <v>1250</v>
      </c>
      <c r="I188" s="17" t="b">
        <v>1</v>
      </c>
      <c r="J188" s="6" t="s">
        <v>546</v>
      </c>
      <c r="K188" s="10"/>
      <c r="L188" s="10"/>
      <c r="M188" s="10"/>
      <c r="N188" s="10"/>
      <c r="O188" s="18">
        <v>27.0</v>
      </c>
      <c r="P188" s="18">
        <v>817019.0</v>
      </c>
      <c r="Q188" s="17" t="b">
        <v>1</v>
      </c>
      <c r="R188" s="10"/>
    </row>
    <row r="189">
      <c r="A189" s="6" t="s">
        <v>1254</v>
      </c>
      <c r="B189" s="6" t="s">
        <v>35</v>
      </c>
      <c r="C189" s="8">
        <v>45364.0</v>
      </c>
      <c r="D189" s="6" t="s">
        <v>112</v>
      </c>
      <c r="E189" s="6" t="s">
        <v>1256</v>
      </c>
      <c r="F189" s="10"/>
      <c r="G189" s="6" t="s">
        <v>1257</v>
      </c>
      <c r="H189" s="6" t="s">
        <v>157</v>
      </c>
      <c r="I189" s="17" t="b">
        <v>1</v>
      </c>
      <c r="J189" s="6" t="s">
        <v>546</v>
      </c>
      <c r="K189" s="10"/>
      <c r="L189" s="10"/>
      <c r="M189" s="10"/>
      <c r="N189" s="10"/>
      <c r="O189" s="18">
        <v>341.0</v>
      </c>
      <c r="P189" s="18">
        <v>817023.0</v>
      </c>
      <c r="Q189" s="17" t="b">
        <v>1</v>
      </c>
      <c r="R189" s="10"/>
    </row>
    <row r="190">
      <c r="A190" s="6" t="s">
        <v>1260</v>
      </c>
      <c r="B190" s="6" t="s">
        <v>35</v>
      </c>
      <c r="C190" s="8">
        <v>45364.0</v>
      </c>
      <c r="D190" s="6" t="s">
        <v>112</v>
      </c>
      <c r="E190" s="6" t="s">
        <v>1256</v>
      </c>
      <c r="F190" s="10"/>
      <c r="G190" s="6" t="s">
        <v>1262</v>
      </c>
      <c r="H190" s="6" t="s">
        <v>157</v>
      </c>
      <c r="I190" s="17" t="b">
        <v>1</v>
      </c>
      <c r="J190" s="6" t="s">
        <v>546</v>
      </c>
      <c r="K190" s="10"/>
      <c r="L190" s="10"/>
      <c r="M190" s="10"/>
      <c r="N190" s="10"/>
      <c r="O190" s="18">
        <v>183.6</v>
      </c>
      <c r="P190" s="18">
        <v>817025.0</v>
      </c>
      <c r="Q190" s="17" t="b">
        <v>1</v>
      </c>
      <c r="R190" s="10"/>
    </row>
    <row r="191">
      <c r="A191" s="6" t="s">
        <v>1265</v>
      </c>
      <c r="B191" s="6" t="s">
        <v>35</v>
      </c>
      <c r="C191" s="8">
        <v>45364.0</v>
      </c>
      <c r="D191" s="6" t="s">
        <v>1267</v>
      </c>
      <c r="E191" s="10"/>
      <c r="F191" s="10"/>
      <c r="G191" s="10"/>
      <c r="H191" s="6" t="s">
        <v>1269</v>
      </c>
      <c r="I191" s="10"/>
      <c r="J191" s="6" t="s">
        <v>539</v>
      </c>
      <c r="K191" s="10"/>
      <c r="L191" s="10"/>
      <c r="M191" s="10"/>
      <c r="N191" s="10"/>
      <c r="O191" s="18">
        <v>100.0</v>
      </c>
      <c r="P191" s="10"/>
      <c r="Q191" s="6"/>
      <c r="R191" s="10"/>
    </row>
    <row r="192">
      <c r="A192" s="6" t="s">
        <v>1273</v>
      </c>
      <c r="B192" s="6" t="s">
        <v>35</v>
      </c>
      <c r="C192" s="8">
        <v>45364.0</v>
      </c>
      <c r="D192" s="6" t="s">
        <v>1275</v>
      </c>
      <c r="E192" s="10"/>
      <c r="F192" s="10"/>
      <c r="G192" s="10"/>
      <c r="H192" s="6" t="s">
        <v>1276</v>
      </c>
      <c r="I192" s="10"/>
      <c r="J192" s="6" t="s">
        <v>539</v>
      </c>
      <c r="K192" s="10"/>
      <c r="L192" s="10"/>
      <c r="M192" s="10"/>
      <c r="N192" s="10"/>
      <c r="O192" s="18">
        <v>550.0</v>
      </c>
      <c r="P192" s="10"/>
      <c r="Q192" s="6"/>
      <c r="R192" s="10"/>
    </row>
    <row r="193">
      <c r="A193" s="6" t="s">
        <v>1278</v>
      </c>
      <c r="B193" s="6" t="s">
        <v>35</v>
      </c>
      <c r="C193" s="8">
        <v>45362.0</v>
      </c>
      <c r="D193" s="6" t="s">
        <v>1281</v>
      </c>
      <c r="E193" s="6" t="s">
        <v>1282</v>
      </c>
      <c r="F193" s="10"/>
      <c r="G193" s="6" t="s">
        <v>1284</v>
      </c>
      <c r="H193" s="6" t="s">
        <v>1191</v>
      </c>
      <c r="I193" s="17" t="b">
        <v>1</v>
      </c>
      <c r="J193" s="6" t="s">
        <v>546</v>
      </c>
      <c r="K193" s="10"/>
      <c r="L193" s="10"/>
      <c r="M193" s="10"/>
      <c r="N193" s="10"/>
      <c r="O193" s="18">
        <v>27.0</v>
      </c>
      <c r="P193" s="18">
        <v>817204.0</v>
      </c>
      <c r="Q193" s="17" t="b">
        <v>1</v>
      </c>
      <c r="R193" s="10"/>
    </row>
    <row r="194">
      <c r="A194" s="6" t="s">
        <v>1286</v>
      </c>
      <c r="B194" s="6" t="s">
        <v>35</v>
      </c>
      <c r="C194" s="8">
        <v>45362.0</v>
      </c>
      <c r="D194" s="6" t="s">
        <v>1281</v>
      </c>
      <c r="E194" s="6" t="s">
        <v>1282</v>
      </c>
      <c r="F194" s="10"/>
      <c r="G194" s="6" t="s">
        <v>1289</v>
      </c>
      <c r="H194" s="6" t="s">
        <v>1191</v>
      </c>
      <c r="I194" s="17" t="b">
        <v>1</v>
      </c>
      <c r="J194" s="6" t="s">
        <v>546</v>
      </c>
      <c r="K194" s="10"/>
      <c r="L194" s="10"/>
      <c r="M194" s="10"/>
      <c r="N194" s="10"/>
      <c r="O194" s="18">
        <v>27.0</v>
      </c>
      <c r="P194" s="18">
        <v>817201.0</v>
      </c>
      <c r="Q194" s="17" t="b">
        <v>1</v>
      </c>
      <c r="R194" s="10"/>
    </row>
    <row r="195">
      <c r="A195" s="6" t="s">
        <v>1293</v>
      </c>
      <c r="B195" s="6" t="s">
        <v>35</v>
      </c>
      <c r="C195" s="8">
        <v>45363.0</v>
      </c>
      <c r="D195" s="6" t="s">
        <v>175</v>
      </c>
      <c r="E195" s="6" t="s">
        <v>1295</v>
      </c>
      <c r="F195" s="10"/>
      <c r="G195" s="6" t="s">
        <v>1297</v>
      </c>
      <c r="H195" s="6" t="s">
        <v>1298</v>
      </c>
      <c r="I195" s="17" t="b">
        <v>0</v>
      </c>
      <c r="J195" s="6" t="s">
        <v>546</v>
      </c>
      <c r="K195" s="10"/>
      <c r="L195" s="10"/>
      <c r="M195" s="10"/>
      <c r="N195" s="10"/>
      <c r="O195" s="18">
        <v>47.64</v>
      </c>
      <c r="P195" s="10"/>
      <c r="Q195" s="17" t="b">
        <v>1</v>
      </c>
      <c r="R195" s="10"/>
    </row>
    <row r="196">
      <c r="A196" s="6" t="s">
        <v>1300</v>
      </c>
      <c r="B196" s="6" t="s">
        <v>35</v>
      </c>
      <c r="C196" s="8">
        <v>45365.0</v>
      </c>
      <c r="D196" s="6" t="s">
        <v>353</v>
      </c>
      <c r="E196" s="6" t="s">
        <v>1302</v>
      </c>
      <c r="F196" s="10"/>
      <c r="G196" s="6" t="s">
        <v>1305</v>
      </c>
      <c r="H196" s="6" t="s">
        <v>1306</v>
      </c>
      <c r="I196" s="17" t="b">
        <v>0</v>
      </c>
      <c r="J196" s="6" t="s">
        <v>546</v>
      </c>
      <c r="K196" s="10"/>
      <c r="L196" s="10"/>
      <c r="M196" s="10"/>
      <c r="N196" s="10"/>
      <c r="O196" s="18">
        <v>64.95</v>
      </c>
      <c r="P196" s="10"/>
      <c r="Q196" s="17" t="b">
        <v>1</v>
      </c>
      <c r="R196" s="10"/>
    </row>
    <row r="197">
      <c r="A197" s="6" t="s">
        <v>1308</v>
      </c>
      <c r="B197" s="6" t="s">
        <v>35</v>
      </c>
      <c r="C197" s="8">
        <v>45365.0</v>
      </c>
      <c r="D197" s="6" t="s">
        <v>1310</v>
      </c>
      <c r="E197" s="6" t="s">
        <v>1311</v>
      </c>
      <c r="F197" s="10"/>
      <c r="G197" s="6" t="s">
        <v>1313</v>
      </c>
      <c r="H197" s="6" t="s">
        <v>1314</v>
      </c>
      <c r="I197" s="17" t="b">
        <v>0</v>
      </c>
      <c r="J197" s="6" t="s">
        <v>546</v>
      </c>
      <c r="K197" s="10"/>
      <c r="L197" s="10"/>
      <c r="M197" s="10"/>
      <c r="N197" s="10"/>
      <c r="O197" s="18">
        <v>35.6</v>
      </c>
      <c r="P197" s="10"/>
      <c r="Q197" s="17" t="b">
        <v>1</v>
      </c>
      <c r="R197" s="10"/>
    </row>
    <row r="198">
      <c r="A198" s="6" t="s">
        <v>1318</v>
      </c>
      <c r="B198" s="6" t="s">
        <v>35</v>
      </c>
      <c r="C198" s="8">
        <v>45365.0</v>
      </c>
      <c r="D198" s="6" t="s">
        <v>1320</v>
      </c>
      <c r="E198" s="6" t="s">
        <v>1321</v>
      </c>
      <c r="F198" s="10"/>
      <c r="G198" s="6" t="s">
        <v>1323</v>
      </c>
      <c r="H198" s="6" t="s">
        <v>1324</v>
      </c>
      <c r="I198" s="17" t="b">
        <v>0</v>
      </c>
      <c r="J198" s="6" t="s">
        <v>546</v>
      </c>
      <c r="K198" s="10"/>
      <c r="L198" s="10"/>
      <c r="M198" s="10"/>
      <c r="N198" s="10"/>
      <c r="O198" s="18">
        <v>96.0</v>
      </c>
      <c r="P198" s="10"/>
      <c r="Q198" s="17" t="b">
        <v>1</v>
      </c>
      <c r="R198" s="10"/>
    </row>
    <row r="199">
      <c r="A199" s="6" t="s">
        <v>1326</v>
      </c>
      <c r="B199" s="6" t="s">
        <v>35</v>
      </c>
      <c r="C199" s="8">
        <v>45365.0</v>
      </c>
      <c r="D199" s="10"/>
      <c r="E199" s="10"/>
      <c r="F199" s="10"/>
      <c r="G199" s="10"/>
      <c r="H199" s="6" t="s">
        <v>1329</v>
      </c>
      <c r="I199" s="10"/>
      <c r="J199" s="6" t="s">
        <v>539</v>
      </c>
      <c r="K199" s="6" t="s">
        <v>651</v>
      </c>
      <c r="L199" s="10"/>
      <c r="M199" s="10"/>
      <c r="N199" s="10"/>
      <c r="O199" s="18">
        <v>100.0</v>
      </c>
      <c r="P199" s="10"/>
      <c r="Q199" s="6"/>
      <c r="R199" s="10"/>
    </row>
    <row r="200">
      <c r="A200" s="6" t="s">
        <v>1334</v>
      </c>
      <c r="B200" s="6" t="s">
        <v>35</v>
      </c>
      <c r="C200" s="8">
        <v>45366.0</v>
      </c>
      <c r="D200" s="6" t="s">
        <v>112</v>
      </c>
      <c r="E200" s="6" t="s">
        <v>1335</v>
      </c>
      <c r="F200" s="10"/>
      <c r="G200" s="6" t="s">
        <v>1336</v>
      </c>
      <c r="H200" s="6" t="s">
        <v>157</v>
      </c>
      <c r="I200" s="17" t="b">
        <v>1</v>
      </c>
      <c r="J200" s="6" t="s">
        <v>546</v>
      </c>
      <c r="K200" s="10"/>
      <c r="L200" s="10"/>
      <c r="M200" s="10"/>
      <c r="N200" s="10"/>
      <c r="O200" s="18">
        <v>526.24</v>
      </c>
      <c r="P200" s="18">
        <v>819506.0</v>
      </c>
      <c r="Q200" s="17" t="b">
        <v>1</v>
      </c>
      <c r="R200" s="10"/>
    </row>
    <row r="201">
      <c r="A201" s="6" t="s">
        <v>1338</v>
      </c>
      <c r="B201" s="6" t="s">
        <v>35</v>
      </c>
      <c r="C201" s="8">
        <v>45366.0</v>
      </c>
      <c r="D201" s="6" t="s">
        <v>420</v>
      </c>
      <c r="E201" s="6" t="s">
        <v>1339</v>
      </c>
      <c r="F201" s="10"/>
      <c r="G201" s="6" t="s">
        <v>1340</v>
      </c>
      <c r="H201" s="6" t="s">
        <v>1341</v>
      </c>
      <c r="I201" s="17" t="b">
        <v>1</v>
      </c>
      <c r="J201" s="6" t="s">
        <v>546</v>
      </c>
      <c r="K201" s="10"/>
      <c r="L201" s="10"/>
      <c r="M201" s="10"/>
      <c r="N201" s="10"/>
      <c r="O201" s="18">
        <v>1195.63</v>
      </c>
      <c r="P201" s="18">
        <v>819356.0</v>
      </c>
      <c r="Q201" s="17" t="b">
        <v>1</v>
      </c>
      <c r="R201" s="10"/>
    </row>
    <row r="202">
      <c r="A202" s="6" t="s">
        <v>1345</v>
      </c>
      <c r="B202" s="6" t="s">
        <v>35</v>
      </c>
      <c r="C202" s="8">
        <v>45367.0</v>
      </c>
      <c r="D202" s="6" t="s">
        <v>112</v>
      </c>
      <c r="E202" s="6" t="s">
        <v>1348</v>
      </c>
      <c r="F202" s="10"/>
      <c r="G202" s="6" t="s">
        <v>1351</v>
      </c>
      <c r="H202" s="6" t="s">
        <v>157</v>
      </c>
      <c r="I202" s="17" t="b">
        <v>1</v>
      </c>
      <c r="J202" s="6" t="s">
        <v>546</v>
      </c>
      <c r="K202" s="10"/>
      <c r="L202" s="10"/>
      <c r="M202" s="10"/>
      <c r="N202" s="10"/>
      <c r="O202" s="18">
        <v>306.0</v>
      </c>
      <c r="P202" s="18">
        <v>824477.0</v>
      </c>
      <c r="Q202" s="17" t="b">
        <v>1</v>
      </c>
      <c r="R202" s="10"/>
    </row>
    <row r="203">
      <c r="A203" s="6" t="s">
        <v>1354</v>
      </c>
      <c r="B203" s="6" t="s">
        <v>35</v>
      </c>
      <c r="C203" s="8">
        <v>45369.0</v>
      </c>
      <c r="D203" s="6" t="s">
        <v>112</v>
      </c>
      <c r="E203" s="6" t="s">
        <v>1357</v>
      </c>
      <c r="F203" s="10"/>
      <c r="G203" s="6" t="s">
        <v>1358</v>
      </c>
      <c r="H203" s="6" t="s">
        <v>157</v>
      </c>
      <c r="I203" s="17" t="b">
        <v>1</v>
      </c>
      <c r="J203" s="6" t="s">
        <v>546</v>
      </c>
      <c r="K203" s="10"/>
      <c r="L203" s="10"/>
      <c r="M203" s="10"/>
      <c r="N203" s="10"/>
      <c r="O203" s="18">
        <v>123.4</v>
      </c>
      <c r="P203" s="18">
        <v>824474.0</v>
      </c>
      <c r="Q203" s="17" t="b">
        <v>1</v>
      </c>
      <c r="R203" s="10"/>
    </row>
    <row r="204">
      <c r="A204" s="6" t="s">
        <v>1362</v>
      </c>
      <c r="B204" s="6" t="s">
        <v>35</v>
      </c>
      <c r="C204" s="8">
        <v>45369.0</v>
      </c>
      <c r="D204" s="18">
        <v>6.8893939E7</v>
      </c>
      <c r="E204" s="6" t="s">
        <v>1363</v>
      </c>
      <c r="F204" s="10"/>
      <c r="G204" s="6" t="s">
        <v>1365</v>
      </c>
      <c r="H204" s="6" t="s">
        <v>605</v>
      </c>
      <c r="I204" s="17" t="b">
        <v>0</v>
      </c>
      <c r="J204" s="6" t="s">
        <v>546</v>
      </c>
      <c r="K204" s="10"/>
      <c r="L204" s="10"/>
      <c r="M204" s="10"/>
      <c r="N204" s="10"/>
      <c r="O204" s="18">
        <v>7164.79</v>
      </c>
      <c r="P204" s="10"/>
      <c r="Q204" s="17" t="b">
        <v>1</v>
      </c>
      <c r="R204" s="10"/>
    </row>
    <row r="205">
      <c r="A205" s="6" t="s">
        <v>1367</v>
      </c>
      <c r="B205" s="6" t="s">
        <v>35</v>
      </c>
      <c r="C205" s="8">
        <v>45369.0</v>
      </c>
      <c r="D205" s="6" t="s">
        <v>193</v>
      </c>
      <c r="E205" s="6" t="s">
        <v>1368</v>
      </c>
      <c r="F205" s="10"/>
      <c r="G205" s="6" t="s">
        <v>1370</v>
      </c>
      <c r="H205" s="6" t="s">
        <v>195</v>
      </c>
      <c r="I205" s="17" t="b">
        <v>0</v>
      </c>
      <c r="J205" s="6" t="s">
        <v>546</v>
      </c>
      <c r="K205" s="10"/>
      <c r="L205" s="10"/>
      <c r="M205" s="10"/>
      <c r="N205" s="10"/>
      <c r="O205" s="18">
        <v>686.7</v>
      </c>
      <c r="P205" s="10"/>
      <c r="Q205" s="17" t="b">
        <v>1</v>
      </c>
      <c r="R205" s="10"/>
    </row>
    <row r="206">
      <c r="A206" s="6" t="s">
        <v>1375</v>
      </c>
      <c r="B206" s="6" t="s">
        <v>35</v>
      </c>
      <c r="C206" s="8">
        <v>45365.0</v>
      </c>
      <c r="D206" s="6" t="s">
        <v>780</v>
      </c>
      <c r="E206" s="6" t="s">
        <v>1377</v>
      </c>
      <c r="F206" s="10"/>
      <c r="G206" s="6" t="s">
        <v>1378</v>
      </c>
      <c r="H206" s="6" t="s">
        <v>195</v>
      </c>
      <c r="I206" s="17" t="b">
        <v>0</v>
      </c>
      <c r="J206" s="6" t="s">
        <v>546</v>
      </c>
      <c r="K206" s="10"/>
      <c r="L206" s="10"/>
      <c r="M206" s="10"/>
      <c r="N206" s="10"/>
      <c r="O206" s="18">
        <v>1132.75</v>
      </c>
      <c r="P206" s="10"/>
      <c r="Q206" s="17" t="b">
        <v>1</v>
      </c>
      <c r="R206" s="10"/>
    </row>
    <row r="207">
      <c r="A207" s="6" t="s">
        <v>1382</v>
      </c>
      <c r="B207" s="6" t="s">
        <v>35</v>
      </c>
      <c r="C207" s="8">
        <v>45369.0</v>
      </c>
      <c r="D207" s="6" t="s">
        <v>1383</v>
      </c>
      <c r="E207" s="10"/>
      <c r="F207" s="10"/>
      <c r="G207" s="10"/>
      <c r="H207" s="6" t="s">
        <v>1386</v>
      </c>
      <c r="I207" s="10"/>
      <c r="J207" s="6" t="s">
        <v>539</v>
      </c>
      <c r="K207" s="10"/>
      <c r="L207" s="10"/>
      <c r="M207" s="10"/>
      <c r="N207" s="10"/>
      <c r="O207" s="18">
        <v>190.0</v>
      </c>
      <c r="P207" s="10"/>
      <c r="Q207" s="6"/>
      <c r="R207" s="10"/>
    </row>
    <row r="208">
      <c r="A208" s="6" t="s">
        <v>1388</v>
      </c>
      <c r="B208" s="6" t="s">
        <v>35</v>
      </c>
      <c r="C208" s="8">
        <v>45369.0</v>
      </c>
      <c r="D208" s="6" t="s">
        <v>460</v>
      </c>
      <c r="E208" s="10"/>
      <c r="F208" s="10"/>
      <c r="G208" s="10"/>
      <c r="H208" s="6" t="s">
        <v>1390</v>
      </c>
      <c r="I208" s="10"/>
      <c r="J208" s="6" t="s">
        <v>539</v>
      </c>
      <c r="K208" s="10"/>
      <c r="L208" s="10"/>
      <c r="M208" s="10"/>
      <c r="N208" s="10"/>
      <c r="O208" s="18">
        <v>360.0</v>
      </c>
      <c r="P208" s="10"/>
      <c r="Q208" s="6"/>
      <c r="R208" s="10"/>
    </row>
    <row r="209">
      <c r="A209" s="6" t="s">
        <v>1392</v>
      </c>
      <c r="B209" s="6" t="s">
        <v>35</v>
      </c>
      <c r="C209" s="8">
        <v>45369.0</v>
      </c>
      <c r="D209" s="6" t="s">
        <v>460</v>
      </c>
      <c r="E209" s="10"/>
      <c r="F209" s="10"/>
      <c r="G209" s="10"/>
      <c r="H209" s="6" t="s">
        <v>1395</v>
      </c>
      <c r="I209" s="10"/>
      <c r="J209" s="6" t="s">
        <v>539</v>
      </c>
      <c r="K209" s="10"/>
      <c r="L209" s="10"/>
      <c r="M209" s="10"/>
      <c r="N209" s="10"/>
      <c r="O209" s="18">
        <v>40.0</v>
      </c>
      <c r="P209" s="10"/>
      <c r="Q209" s="6"/>
      <c r="R209" s="10"/>
    </row>
    <row r="210">
      <c r="A210" s="6" t="s">
        <v>1397</v>
      </c>
      <c r="B210" s="6" t="s">
        <v>35</v>
      </c>
      <c r="C210" s="8">
        <v>45369.0</v>
      </c>
      <c r="D210" s="6" t="s">
        <v>460</v>
      </c>
      <c r="E210" s="10"/>
      <c r="F210" s="10"/>
      <c r="G210" s="10"/>
      <c r="H210" s="6" t="s">
        <v>1399</v>
      </c>
      <c r="I210" s="10"/>
      <c r="J210" s="6" t="s">
        <v>539</v>
      </c>
      <c r="K210" s="10"/>
      <c r="L210" s="10"/>
      <c r="M210" s="10"/>
      <c r="N210" s="10"/>
      <c r="O210" s="18">
        <v>599.7</v>
      </c>
      <c r="P210" s="10"/>
      <c r="Q210" s="6"/>
      <c r="R210" s="10"/>
    </row>
    <row r="211">
      <c r="A211" s="6" t="s">
        <v>1401</v>
      </c>
      <c r="B211" s="6" t="s">
        <v>35</v>
      </c>
      <c r="C211" s="8">
        <v>45369.0</v>
      </c>
      <c r="D211" s="6" t="s">
        <v>460</v>
      </c>
      <c r="E211" s="10"/>
      <c r="F211" s="10"/>
      <c r="G211" s="10"/>
      <c r="H211" s="6" t="s">
        <v>1402</v>
      </c>
      <c r="I211" s="10"/>
      <c r="J211" s="6" t="s">
        <v>539</v>
      </c>
      <c r="K211" s="10"/>
      <c r="L211" s="10"/>
      <c r="M211" s="10"/>
      <c r="N211" s="10"/>
      <c r="O211" s="18">
        <v>55.0</v>
      </c>
      <c r="P211" s="10"/>
      <c r="Q211" s="6"/>
      <c r="R211" s="10"/>
    </row>
    <row r="212">
      <c r="A212" s="6" t="s">
        <v>1406</v>
      </c>
      <c r="B212" s="6" t="s">
        <v>35</v>
      </c>
      <c r="C212" s="8">
        <v>45369.0</v>
      </c>
      <c r="D212" s="6" t="s">
        <v>460</v>
      </c>
      <c r="E212" s="10"/>
      <c r="F212" s="10"/>
      <c r="G212" s="10"/>
      <c r="H212" s="6" t="s">
        <v>1408</v>
      </c>
      <c r="I212" s="10"/>
      <c r="J212" s="6" t="s">
        <v>539</v>
      </c>
      <c r="K212" s="10"/>
      <c r="L212" s="10"/>
      <c r="M212" s="10"/>
      <c r="N212" s="10"/>
      <c r="O212" s="18">
        <v>156.0</v>
      </c>
      <c r="P212" s="10"/>
      <c r="Q212" s="6"/>
      <c r="R212" s="10"/>
    </row>
    <row r="213">
      <c r="A213" s="18">
        <v>1.48789602E8</v>
      </c>
      <c r="B213" s="6" t="s">
        <v>35</v>
      </c>
      <c r="C213" s="8">
        <v>45369.0</v>
      </c>
      <c r="D213" s="6" t="s">
        <v>460</v>
      </c>
      <c r="E213" s="10"/>
      <c r="F213" s="10"/>
      <c r="G213" s="10"/>
      <c r="H213" s="6" t="s">
        <v>1411</v>
      </c>
      <c r="I213" s="10"/>
      <c r="J213" s="6" t="s">
        <v>539</v>
      </c>
      <c r="K213" s="10"/>
      <c r="L213" s="10"/>
      <c r="M213" s="10"/>
      <c r="N213" s="10"/>
      <c r="O213" s="18">
        <v>3313.0</v>
      </c>
      <c r="P213" s="10"/>
      <c r="Q213" s="6"/>
      <c r="R213" s="10"/>
    </row>
    <row r="214">
      <c r="A214" s="6" t="s">
        <v>1413</v>
      </c>
      <c r="B214" s="6" t="s">
        <v>35</v>
      </c>
      <c r="C214" s="8">
        <v>45370.0</v>
      </c>
      <c r="D214" s="6" t="s">
        <v>1414</v>
      </c>
      <c r="E214" s="6" t="s">
        <v>1415</v>
      </c>
      <c r="F214" s="10"/>
      <c r="G214" s="6" t="s">
        <v>1417</v>
      </c>
      <c r="H214" s="6" t="s">
        <v>1418</v>
      </c>
      <c r="I214" s="17" t="b">
        <v>1</v>
      </c>
      <c r="J214" s="6" t="s">
        <v>546</v>
      </c>
      <c r="K214" s="10"/>
      <c r="L214" s="10"/>
      <c r="M214" s="10"/>
      <c r="N214" s="10"/>
      <c r="O214" s="18">
        <v>50.0</v>
      </c>
      <c r="P214" s="18">
        <v>808865.0</v>
      </c>
      <c r="Q214" s="17" t="b">
        <v>1</v>
      </c>
      <c r="R214" s="10"/>
    </row>
    <row r="215">
      <c r="A215" s="18">
        <v>1.1579572E7</v>
      </c>
      <c r="B215" s="6" t="s">
        <v>35</v>
      </c>
      <c r="C215" s="8">
        <v>45370.0</v>
      </c>
      <c r="D215" s="6" t="s">
        <v>1414</v>
      </c>
      <c r="E215" s="6" t="s">
        <v>1421</v>
      </c>
      <c r="F215" s="10"/>
      <c r="G215" s="6" t="s">
        <v>1423</v>
      </c>
      <c r="H215" s="6" t="s">
        <v>1424</v>
      </c>
      <c r="I215" s="17" t="b">
        <v>1</v>
      </c>
      <c r="J215" s="6" t="s">
        <v>546</v>
      </c>
      <c r="K215" s="10"/>
      <c r="L215" s="10"/>
      <c r="M215" s="10"/>
      <c r="N215" s="10"/>
      <c r="O215" s="18">
        <v>50.0</v>
      </c>
      <c r="P215" s="18">
        <v>808870.0</v>
      </c>
      <c r="Q215" s="17" t="b">
        <v>1</v>
      </c>
      <c r="R215" s="10"/>
    </row>
    <row r="216">
      <c r="A216" s="6" t="s">
        <v>1429</v>
      </c>
      <c r="B216" s="6" t="s">
        <v>35</v>
      </c>
      <c r="C216" s="8">
        <v>45370.0</v>
      </c>
      <c r="D216" s="6" t="s">
        <v>1414</v>
      </c>
      <c r="E216" s="6" t="s">
        <v>1421</v>
      </c>
      <c r="F216" s="10"/>
      <c r="G216" s="6" t="s">
        <v>1432</v>
      </c>
      <c r="H216" s="6" t="s">
        <v>1424</v>
      </c>
      <c r="I216" s="17" t="b">
        <v>1</v>
      </c>
      <c r="J216" s="6" t="s">
        <v>546</v>
      </c>
      <c r="K216" s="10"/>
      <c r="L216" s="10"/>
      <c r="M216" s="10"/>
      <c r="N216" s="10"/>
      <c r="O216" s="18">
        <v>51.0</v>
      </c>
      <c r="P216" s="18">
        <v>808871.0</v>
      </c>
      <c r="Q216" s="17" t="b">
        <v>1</v>
      </c>
      <c r="R216" s="10"/>
    </row>
    <row r="217">
      <c r="A217" s="6" t="s">
        <v>1435</v>
      </c>
      <c r="B217" s="6" t="s">
        <v>35</v>
      </c>
      <c r="C217" s="8">
        <v>45371.0</v>
      </c>
      <c r="D217" s="6" t="s">
        <v>112</v>
      </c>
      <c r="E217" s="6" t="s">
        <v>1437</v>
      </c>
      <c r="F217" s="10"/>
      <c r="G217" s="6" t="s">
        <v>1438</v>
      </c>
      <c r="H217" s="6" t="s">
        <v>792</v>
      </c>
      <c r="I217" s="17" t="b">
        <v>1</v>
      </c>
      <c r="J217" s="6" t="s">
        <v>546</v>
      </c>
      <c r="K217" s="10"/>
      <c r="L217" s="10"/>
      <c r="M217" s="10"/>
      <c r="N217" s="10"/>
      <c r="O217" s="18">
        <v>303.8</v>
      </c>
      <c r="P217" s="18">
        <v>826612.0</v>
      </c>
      <c r="Q217" s="17" t="b">
        <v>1</v>
      </c>
      <c r="R217" s="10"/>
    </row>
    <row r="218">
      <c r="A218" s="6" t="s">
        <v>1441</v>
      </c>
      <c r="B218" s="6" t="s">
        <v>35</v>
      </c>
      <c r="C218" s="8">
        <v>45372.0</v>
      </c>
      <c r="D218" s="10"/>
      <c r="E218" s="10"/>
      <c r="F218" s="10"/>
      <c r="G218" s="10"/>
      <c r="H218" s="6" t="s">
        <v>1329</v>
      </c>
      <c r="I218" s="10"/>
      <c r="J218" s="6" t="s">
        <v>539</v>
      </c>
      <c r="K218" s="6" t="s">
        <v>651</v>
      </c>
      <c r="L218" s="10"/>
      <c r="M218" s="10"/>
      <c r="N218" s="10"/>
      <c r="O218" s="18">
        <v>100.0</v>
      </c>
      <c r="P218" s="10"/>
      <c r="Q218" s="6"/>
      <c r="R218" s="10"/>
    </row>
    <row r="219">
      <c r="A219" s="6" t="s">
        <v>1444</v>
      </c>
      <c r="B219" s="6" t="s">
        <v>35</v>
      </c>
      <c r="C219" s="8">
        <v>45368.0</v>
      </c>
      <c r="D219" s="6" t="s">
        <v>543</v>
      </c>
      <c r="E219" s="6" t="s">
        <v>1446</v>
      </c>
      <c r="F219" s="10"/>
      <c r="G219" s="6" t="s">
        <v>1447</v>
      </c>
      <c r="H219" s="6" t="s">
        <v>140</v>
      </c>
      <c r="I219" s="17" t="b">
        <v>1</v>
      </c>
      <c r="J219" s="6" t="s">
        <v>546</v>
      </c>
      <c r="K219" s="10"/>
      <c r="L219" s="10"/>
      <c r="M219" s="10"/>
      <c r="N219" s="10"/>
      <c r="O219" s="18">
        <v>790.0</v>
      </c>
      <c r="P219" s="18">
        <v>828836.0</v>
      </c>
      <c r="Q219" s="17" t="b">
        <v>1</v>
      </c>
      <c r="R219" s="10"/>
    </row>
    <row r="220">
      <c r="A220" s="6" t="s">
        <v>1450</v>
      </c>
      <c r="B220" s="6" t="s">
        <v>35</v>
      </c>
      <c r="C220" s="8">
        <v>45370.0</v>
      </c>
      <c r="D220" s="6" t="s">
        <v>233</v>
      </c>
      <c r="E220" s="6" t="s">
        <v>1453</v>
      </c>
      <c r="F220" s="10"/>
      <c r="G220" s="6" t="s">
        <v>1455</v>
      </c>
      <c r="H220" s="6" t="s">
        <v>1457</v>
      </c>
      <c r="I220" s="17" t="b">
        <v>0</v>
      </c>
      <c r="J220" s="6" t="s">
        <v>546</v>
      </c>
      <c r="K220" s="10"/>
      <c r="L220" s="10"/>
      <c r="M220" s="10"/>
      <c r="N220" s="10"/>
      <c r="O220" s="18">
        <v>132.17</v>
      </c>
      <c r="P220" s="10"/>
      <c r="Q220" s="17" t="b">
        <v>1</v>
      </c>
      <c r="R220" s="10"/>
    </row>
    <row r="221">
      <c r="A221" s="6" t="s">
        <v>1460</v>
      </c>
      <c r="B221" s="6" t="s">
        <v>35</v>
      </c>
      <c r="C221" s="8">
        <v>45372.0</v>
      </c>
      <c r="D221" s="6" t="s">
        <v>764</v>
      </c>
      <c r="E221" s="6" t="s">
        <v>1463</v>
      </c>
      <c r="F221" s="10"/>
      <c r="G221" s="6" t="s">
        <v>1464</v>
      </c>
      <c r="H221" s="6" t="s">
        <v>767</v>
      </c>
      <c r="I221" s="17" t="b">
        <v>0</v>
      </c>
      <c r="J221" s="6" t="s">
        <v>546</v>
      </c>
      <c r="K221" s="10"/>
      <c r="L221" s="10"/>
      <c r="M221" s="10"/>
      <c r="N221" s="10"/>
      <c r="O221" s="18">
        <v>653.0</v>
      </c>
      <c r="P221" s="10"/>
      <c r="Q221" s="17" t="b">
        <v>1</v>
      </c>
      <c r="R221" s="10"/>
    </row>
    <row r="222">
      <c r="A222" s="6" t="s">
        <v>1466</v>
      </c>
      <c r="B222" s="6" t="s">
        <v>35</v>
      </c>
      <c r="C222" s="8">
        <v>45373.0</v>
      </c>
      <c r="D222" s="6" t="s">
        <v>122</v>
      </c>
      <c r="E222" s="6" t="s">
        <v>1467</v>
      </c>
      <c r="F222" s="10"/>
      <c r="G222" s="6" t="s">
        <v>1468</v>
      </c>
      <c r="H222" s="6" t="s">
        <v>1469</v>
      </c>
      <c r="I222" s="17" t="b">
        <v>0</v>
      </c>
      <c r="J222" s="6" t="s">
        <v>546</v>
      </c>
      <c r="K222" s="10"/>
      <c r="L222" s="10"/>
      <c r="M222" s="10"/>
      <c r="N222" s="10"/>
      <c r="O222" s="18">
        <v>196.8</v>
      </c>
      <c r="P222" s="10"/>
      <c r="Q222" s="17" t="b">
        <v>1</v>
      </c>
      <c r="R222" s="10"/>
    </row>
    <row r="223">
      <c r="A223" s="6" t="s">
        <v>1473</v>
      </c>
      <c r="B223" s="6" t="s">
        <v>35</v>
      </c>
      <c r="C223" s="8">
        <v>45373.0</v>
      </c>
      <c r="D223" s="6" t="s">
        <v>1474</v>
      </c>
      <c r="E223" s="6" t="s">
        <v>1476</v>
      </c>
      <c r="F223" s="10"/>
      <c r="G223" s="6" t="s">
        <v>1477</v>
      </c>
      <c r="H223" s="6" t="s">
        <v>1140</v>
      </c>
      <c r="I223" s="17" t="b">
        <v>1</v>
      </c>
      <c r="J223" s="6" t="s">
        <v>546</v>
      </c>
      <c r="K223" s="10"/>
      <c r="L223" s="10"/>
      <c r="M223" s="10"/>
      <c r="N223" s="10"/>
      <c r="O223" s="18">
        <v>69.9</v>
      </c>
      <c r="P223" s="18">
        <v>829108.0</v>
      </c>
      <c r="Q223" s="17" t="b">
        <v>1</v>
      </c>
      <c r="R223" s="10"/>
    </row>
    <row r="224">
      <c r="A224" s="6" t="s">
        <v>1480</v>
      </c>
      <c r="B224" s="6" t="s">
        <v>35</v>
      </c>
      <c r="C224" s="8">
        <v>45373.0</v>
      </c>
      <c r="D224" s="18">
        <v>8.627274E7</v>
      </c>
      <c r="E224" s="6" t="s">
        <v>1482</v>
      </c>
      <c r="F224" s="10"/>
      <c r="G224" s="6" t="s">
        <v>1483</v>
      </c>
      <c r="H224" s="6" t="s">
        <v>1457</v>
      </c>
      <c r="I224" s="17" t="b">
        <v>0</v>
      </c>
      <c r="J224" s="6" t="s">
        <v>546</v>
      </c>
      <c r="K224" s="10"/>
      <c r="L224" s="10"/>
      <c r="M224" s="10"/>
      <c r="N224" s="10"/>
      <c r="O224" s="18">
        <v>81.34</v>
      </c>
      <c r="P224" s="10"/>
      <c r="Q224" s="17" t="b">
        <v>1</v>
      </c>
      <c r="R224" s="10"/>
    </row>
    <row r="225">
      <c r="A225" s="6" t="s">
        <v>1486</v>
      </c>
      <c r="B225" s="6" t="s">
        <v>35</v>
      </c>
      <c r="C225" s="8">
        <v>45375.0</v>
      </c>
      <c r="D225" s="6" t="s">
        <v>1146</v>
      </c>
      <c r="E225" s="10"/>
      <c r="F225" s="10"/>
      <c r="G225" s="10"/>
      <c r="H225" s="6" t="s">
        <v>1489</v>
      </c>
      <c r="I225" s="10"/>
      <c r="J225" s="6" t="s">
        <v>539</v>
      </c>
      <c r="K225" s="10"/>
      <c r="L225" s="10"/>
      <c r="M225" s="10"/>
      <c r="N225" s="10"/>
      <c r="O225" s="18">
        <v>250.0</v>
      </c>
      <c r="P225" s="10"/>
      <c r="Q225" s="6"/>
      <c r="R225" s="10"/>
    </row>
    <row r="226">
      <c r="A226" s="6" t="s">
        <v>1491</v>
      </c>
      <c r="B226" s="6" t="s">
        <v>35</v>
      </c>
      <c r="C226" s="8">
        <v>45372.0</v>
      </c>
      <c r="D226" s="6" t="s">
        <v>890</v>
      </c>
      <c r="E226" s="6" t="s">
        <v>1494</v>
      </c>
      <c r="F226" s="10"/>
      <c r="G226" s="6" t="s">
        <v>1495</v>
      </c>
      <c r="H226" s="6" t="s">
        <v>893</v>
      </c>
      <c r="I226" s="17" t="b">
        <v>0</v>
      </c>
      <c r="J226" s="6" t="s">
        <v>546</v>
      </c>
      <c r="K226" s="10"/>
      <c r="L226" s="10"/>
      <c r="M226" s="10"/>
      <c r="N226" s="10"/>
      <c r="O226" s="18">
        <v>18389.62</v>
      </c>
      <c r="P226" s="10"/>
      <c r="Q226" s="17" t="b">
        <v>1</v>
      </c>
      <c r="R226" s="10"/>
    </row>
    <row r="227">
      <c r="A227" s="6" t="s">
        <v>1499</v>
      </c>
      <c r="B227" s="6" t="s">
        <v>35</v>
      </c>
      <c r="C227" s="8">
        <v>45372.0</v>
      </c>
      <c r="D227" s="6" t="s">
        <v>858</v>
      </c>
      <c r="E227" s="6" t="s">
        <v>1500</v>
      </c>
      <c r="F227" s="10"/>
      <c r="G227" s="6" t="s">
        <v>1502</v>
      </c>
      <c r="H227" s="6" t="s">
        <v>1503</v>
      </c>
      <c r="I227" s="17" t="b">
        <v>0</v>
      </c>
      <c r="J227" s="6" t="s">
        <v>546</v>
      </c>
      <c r="K227" s="10"/>
      <c r="L227" s="10"/>
      <c r="M227" s="10"/>
      <c r="N227" s="10"/>
      <c r="O227" s="18">
        <v>1148.18</v>
      </c>
      <c r="P227" s="10"/>
      <c r="Q227" s="17" t="b">
        <v>1</v>
      </c>
      <c r="R227" s="10"/>
    </row>
    <row r="228">
      <c r="A228" s="6" t="s">
        <v>1506</v>
      </c>
      <c r="B228" s="6" t="s">
        <v>35</v>
      </c>
      <c r="C228" s="8">
        <v>45373.0</v>
      </c>
      <c r="D228" s="6" t="s">
        <v>890</v>
      </c>
      <c r="E228" s="6" t="s">
        <v>1507</v>
      </c>
      <c r="F228" s="10"/>
      <c r="G228" s="6" t="s">
        <v>1509</v>
      </c>
      <c r="H228" s="6" t="s">
        <v>1511</v>
      </c>
      <c r="I228" s="17" t="b">
        <v>0</v>
      </c>
      <c r="J228" s="6" t="s">
        <v>546</v>
      </c>
      <c r="K228" s="10"/>
      <c r="L228" s="10"/>
      <c r="M228" s="10"/>
      <c r="N228" s="10"/>
      <c r="O228" s="18">
        <v>4484.26</v>
      </c>
      <c r="P228" s="10"/>
      <c r="Q228" s="17" t="b">
        <v>1</v>
      </c>
      <c r="R228" s="10"/>
    </row>
    <row r="229">
      <c r="A229" s="6" t="s">
        <v>1513</v>
      </c>
      <c r="B229" s="6" t="s">
        <v>35</v>
      </c>
      <c r="C229" s="8">
        <v>45374.0</v>
      </c>
      <c r="D229" s="6" t="s">
        <v>112</v>
      </c>
      <c r="E229" s="6" t="s">
        <v>1515</v>
      </c>
      <c r="F229" s="10"/>
      <c r="G229" s="6" t="s">
        <v>1516</v>
      </c>
      <c r="H229" s="6" t="s">
        <v>45</v>
      </c>
      <c r="I229" s="17" t="b">
        <v>1</v>
      </c>
      <c r="J229" s="6" t="s">
        <v>546</v>
      </c>
      <c r="K229" s="10"/>
      <c r="L229" s="10"/>
      <c r="M229" s="10"/>
      <c r="N229" s="10"/>
      <c r="O229" s="18">
        <v>760.57</v>
      </c>
      <c r="P229" s="18">
        <v>829855.0</v>
      </c>
      <c r="Q229" s="17" t="b">
        <v>1</v>
      </c>
      <c r="R229" s="10"/>
    </row>
    <row r="230">
      <c r="A230" s="6" t="s">
        <v>1519</v>
      </c>
      <c r="B230" s="6" t="s">
        <v>35</v>
      </c>
      <c r="C230" s="8">
        <v>45376.0</v>
      </c>
      <c r="D230" s="6" t="s">
        <v>460</v>
      </c>
      <c r="E230" s="10"/>
      <c r="F230" s="10"/>
      <c r="G230" s="10"/>
      <c r="H230" s="6" t="s">
        <v>1521</v>
      </c>
      <c r="I230" s="10"/>
      <c r="J230" s="6" t="s">
        <v>539</v>
      </c>
      <c r="K230" s="10"/>
      <c r="L230" s="10"/>
      <c r="M230" s="10"/>
      <c r="N230" s="10"/>
      <c r="O230" s="18">
        <v>196.8</v>
      </c>
      <c r="P230" s="10"/>
      <c r="Q230" s="6"/>
      <c r="R230" s="10"/>
    </row>
    <row r="231">
      <c r="A231" s="6" t="s">
        <v>1523</v>
      </c>
      <c r="B231" s="6" t="s">
        <v>35</v>
      </c>
      <c r="C231" s="8">
        <v>45376.0</v>
      </c>
      <c r="D231" s="6" t="s">
        <v>460</v>
      </c>
      <c r="E231" s="10"/>
      <c r="F231" s="10"/>
      <c r="G231" s="10"/>
      <c r="H231" s="6" t="s">
        <v>931</v>
      </c>
      <c r="I231" s="10"/>
      <c r="J231" s="6" t="s">
        <v>539</v>
      </c>
      <c r="K231" s="10"/>
      <c r="L231" s="10"/>
      <c r="M231" s="10"/>
      <c r="N231" s="10"/>
      <c r="O231" s="18">
        <v>30.0</v>
      </c>
      <c r="P231" s="10"/>
      <c r="Q231" s="6"/>
      <c r="R231" s="10"/>
    </row>
    <row r="232">
      <c r="A232" s="6" t="s">
        <v>1526</v>
      </c>
      <c r="B232" s="6" t="s">
        <v>35</v>
      </c>
      <c r="C232" s="8">
        <v>45376.0</v>
      </c>
      <c r="D232" s="10"/>
      <c r="E232" s="10"/>
      <c r="F232" s="10"/>
      <c r="G232" s="10"/>
      <c r="H232" s="6" t="s">
        <v>1527</v>
      </c>
      <c r="I232" s="10"/>
      <c r="J232" s="6" t="s">
        <v>539</v>
      </c>
      <c r="K232" s="6" t="s">
        <v>624</v>
      </c>
      <c r="L232" s="10"/>
      <c r="M232" s="10"/>
      <c r="N232" s="10"/>
      <c r="O232" s="18">
        <v>200.0</v>
      </c>
      <c r="P232" s="10"/>
      <c r="Q232" s="6"/>
      <c r="R232" s="10"/>
    </row>
    <row r="233">
      <c r="A233" s="6" t="s">
        <v>1529</v>
      </c>
      <c r="B233" s="6" t="s">
        <v>35</v>
      </c>
      <c r="C233" s="8">
        <v>45376.0</v>
      </c>
      <c r="D233" s="6" t="s">
        <v>1530</v>
      </c>
      <c r="E233" s="10"/>
      <c r="F233" s="10"/>
      <c r="G233" s="10"/>
      <c r="H233" s="6" t="s">
        <v>1532</v>
      </c>
      <c r="I233" s="10"/>
      <c r="J233" s="6" t="s">
        <v>539</v>
      </c>
      <c r="K233" s="10"/>
      <c r="L233" s="10"/>
      <c r="M233" s="10"/>
      <c r="N233" s="10"/>
      <c r="O233" s="18">
        <v>500.0</v>
      </c>
      <c r="P233" s="10"/>
      <c r="Q233" s="6"/>
      <c r="R233" s="10"/>
    </row>
    <row r="234">
      <c r="A234" s="6" t="s">
        <v>1535</v>
      </c>
      <c r="B234" s="6" t="s">
        <v>35</v>
      </c>
      <c r="C234" s="8">
        <v>45377.0</v>
      </c>
      <c r="D234" s="6" t="s">
        <v>112</v>
      </c>
      <c r="E234" s="6" t="s">
        <v>1538</v>
      </c>
      <c r="F234" s="10"/>
      <c r="G234" s="6" t="s">
        <v>1541</v>
      </c>
      <c r="H234" s="6" t="s">
        <v>1543</v>
      </c>
      <c r="I234" s="17" t="b">
        <v>1</v>
      </c>
      <c r="J234" s="6" t="s">
        <v>546</v>
      </c>
      <c r="K234" s="10"/>
      <c r="L234" s="10"/>
      <c r="M234" s="10"/>
      <c r="N234" s="10"/>
      <c r="O234" s="18">
        <v>178.33</v>
      </c>
      <c r="P234" s="6" t="s">
        <v>1543</v>
      </c>
      <c r="Q234" s="17" t="b">
        <v>1</v>
      </c>
      <c r="R234" s="10"/>
    </row>
    <row r="235">
      <c r="A235" s="6" t="s">
        <v>1547</v>
      </c>
      <c r="B235" s="6" t="s">
        <v>35</v>
      </c>
      <c r="C235" s="8">
        <v>45378.0</v>
      </c>
      <c r="D235" s="6" t="s">
        <v>1129</v>
      </c>
      <c r="E235" s="6" t="s">
        <v>1548</v>
      </c>
      <c r="F235" s="10"/>
      <c r="G235" s="6" t="s">
        <v>1549</v>
      </c>
      <c r="H235" s="6" t="s">
        <v>1550</v>
      </c>
      <c r="I235" s="17" t="b">
        <v>1</v>
      </c>
      <c r="J235" s="6" t="s">
        <v>546</v>
      </c>
      <c r="K235" s="10"/>
      <c r="L235" s="10"/>
      <c r="M235" s="10"/>
      <c r="N235" s="10"/>
      <c r="O235" s="18">
        <v>84.0</v>
      </c>
      <c r="P235" s="18">
        <v>835051.0</v>
      </c>
      <c r="Q235" s="17" t="b">
        <v>1</v>
      </c>
      <c r="R235" s="10"/>
    </row>
    <row r="236">
      <c r="A236" s="6" t="s">
        <v>1556</v>
      </c>
      <c r="B236" s="6" t="s">
        <v>35</v>
      </c>
      <c r="C236" s="8">
        <v>45378.0</v>
      </c>
      <c r="D236" s="6" t="s">
        <v>1557</v>
      </c>
      <c r="E236" s="6" t="s">
        <v>1559</v>
      </c>
      <c r="F236" s="10"/>
      <c r="G236" s="6" t="s">
        <v>1560</v>
      </c>
      <c r="H236" s="6" t="s">
        <v>1561</v>
      </c>
      <c r="I236" s="17" t="b">
        <v>0</v>
      </c>
      <c r="J236" s="6" t="s">
        <v>546</v>
      </c>
      <c r="K236" s="10"/>
      <c r="L236" s="10"/>
      <c r="M236" s="10"/>
      <c r="N236" s="10"/>
      <c r="O236" s="18">
        <v>110.0</v>
      </c>
      <c r="P236" s="10"/>
      <c r="Q236" s="17" t="b">
        <v>1</v>
      </c>
      <c r="R236" s="10"/>
    </row>
    <row r="237">
      <c r="A237" s="6" t="s">
        <v>1564</v>
      </c>
      <c r="B237" s="6" t="s">
        <v>35</v>
      </c>
      <c r="C237" s="8">
        <v>45369.0</v>
      </c>
      <c r="D237" s="6" t="s">
        <v>1036</v>
      </c>
      <c r="E237" s="6" t="s">
        <v>1566</v>
      </c>
      <c r="F237" s="10"/>
      <c r="G237" s="6" t="s">
        <v>1567</v>
      </c>
      <c r="H237" s="6" t="s">
        <v>1569</v>
      </c>
      <c r="I237" s="17" t="b">
        <v>0</v>
      </c>
      <c r="J237" s="6" t="s">
        <v>546</v>
      </c>
      <c r="K237" s="10"/>
      <c r="L237" s="10"/>
      <c r="M237" s="10"/>
      <c r="N237" s="10"/>
      <c r="O237" s="18">
        <v>118.0</v>
      </c>
      <c r="P237" s="10"/>
      <c r="Q237" s="17" t="b">
        <v>1</v>
      </c>
      <c r="R237" s="10"/>
    </row>
    <row r="238">
      <c r="A238" s="6" t="s">
        <v>1571</v>
      </c>
      <c r="B238" s="6" t="s">
        <v>35</v>
      </c>
      <c r="C238" s="8">
        <v>45379.0</v>
      </c>
      <c r="D238" s="6" t="s">
        <v>137</v>
      </c>
      <c r="E238" s="6" t="s">
        <v>1573</v>
      </c>
      <c r="F238" s="10"/>
      <c r="G238" s="6" t="s">
        <v>1574</v>
      </c>
      <c r="H238" s="6" t="s">
        <v>415</v>
      </c>
      <c r="I238" s="17" t="b">
        <v>1</v>
      </c>
      <c r="J238" s="6" t="s">
        <v>546</v>
      </c>
      <c r="K238" s="10"/>
      <c r="L238" s="10"/>
      <c r="M238" s="10"/>
      <c r="N238" s="10"/>
      <c r="O238" s="18">
        <v>220.0</v>
      </c>
      <c r="P238" s="18">
        <v>836075.0</v>
      </c>
      <c r="Q238" s="17" t="b">
        <v>1</v>
      </c>
      <c r="R238" s="10"/>
    </row>
    <row r="239">
      <c r="A239" s="6" t="s">
        <v>1579</v>
      </c>
      <c r="B239" s="6" t="s">
        <v>35</v>
      </c>
      <c r="C239" s="8">
        <v>45395.0</v>
      </c>
      <c r="D239" s="6" t="s">
        <v>1016</v>
      </c>
      <c r="E239" s="6" t="s">
        <v>1581</v>
      </c>
      <c r="F239" s="10"/>
      <c r="G239" s="6" t="s">
        <v>1583</v>
      </c>
      <c r="H239" s="6" t="s">
        <v>1585</v>
      </c>
      <c r="I239" s="17" t="b">
        <v>0</v>
      </c>
      <c r="J239" s="6" t="s">
        <v>546</v>
      </c>
      <c r="K239" s="10"/>
      <c r="L239" s="10"/>
      <c r="M239" s="10"/>
      <c r="N239" s="10"/>
      <c r="O239" s="18">
        <v>140.97</v>
      </c>
      <c r="P239" s="10"/>
      <c r="Q239" s="17" t="b">
        <v>1</v>
      </c>
      <c r="R239" s="10"/>
    </row>
    <row r="240">
      <c r="A240" s="6" t="s">
        <v>1587</v>
      </c>
      <c r="B240" s="6" t="s">
        <v>35</v>
      </c>
      <c r="C240" s="8">
        <v>45395.0</v>
      </c>
      <c r="D240" s="6" t="s">
        <v>1016</v>
      </c>
      <c r="E240" s="6" t="s">
        <v>1581</v>
      </c>
      <c r="F240" s="10"/>
      <c r="G240" s="6" t="s">
        <v>1589</v>
      </c>
      <c r="H240" s="6" t="s">
        <v>1585</v>
      </c>
      <c r="I240" s="17" t="b">
        <v>0</v>
      </c>
      <c r="J240" s="6" t="s">
        <v>546</v>
      </c>
      <c r="K240" s="10"/>
      <c r="L240" s="10"/>
      <c r="M240" s="10"/>
      <c r="N240" s="10"/>
      <c r="O240" s="18">
        <v>70.65</v>
      </c>
      <c r="P240" s="10"/>
      <c r="Q240" s="17" t="b">
        <v>1</v>
      </c>
      <c r="R240" s="10"/>
    </row>
    <row r="241">
      <c r="A241" s="6" t="s">
        <v>1592</v>
      </c>
      <c r="B241" s="6" t="s">
        <v>35</v>
      </c>
      <c r="C241" s="8">
        <v>45380.0</v>
      </c>
      <c r="D241" s="6" t="s">
        <v>129</v>
      </c>
      <c r="E241" s="6" t="s">
        <v>1594</v>
      </c>
      <c r="F241" s="10"/>
      <c r="G241" s="6" t="s">
        <v>1595</v>
      </c>
      <c r="H241" s="6" t="s">
        <v>1596</v>
      </c>
      <c r="I241" s="17" t="b">
        <v>0</v>
      </c>
      <c r="J241" s="6" t="s">
        <v>546</v>
      </c>
      <c r="K241" s="10"/>
      <c r="L241" s="10"/>
      <c r="M241" s="10"/>
      <c r="N241" s="10"/>
      <c r="O241" s="18">
        <v>49.75</v>
      </c>
      <c r="P241" s="10"/>
      <c r="Q241" s="17" t="b">
        <v>1</v>
      </c>
      <c r="R241" s="10"/>
    </row>
    <row r="242">
      <c r="A242" s="6" t="s">
        <v>1599</v>
      </c>
      <c r="B242" s="6" t="s">
        <v>35</v>
      </c>
      <c r="C242" s="8">
        <v>45381.0</v>
      </c>
      <c r="D242" s="6" t="s">
        <v>129</v>
      </c>
      <c r="E242" s="6" t="s">
        <v>1601</v>
      </c>
      <c r="F242" s="10"/>
      <c r="G242" s="6" t="s">
        <v>1602</v>
      </c>
      <c r="H242" s="6" t="s">
        <v>1603</v>
      </c>
      <c r="I242" s="17" t="b">
        <v>0</v>
      </c>
      <c r="J242" s="6" t="s">
        <v>546</v>
      </c>
      <c r="K242" s="10"/>
      <c r="L242" s="10"/>
      <c r="M242" s="10"/>
      <c r="N242" s="10"/>
      <c r="O242" s="18">
        <v>139.46</v>
      </c>
      <c r="P242" s="10"/>
      <c r="Q242" s="17" t="b">
        <v>1</v>
      </c>
      <c r="R242" s="10"/>
    </row>
    <row r="243">
      <c r="A243" s="6" t="s">
        <v>1605</v>
      </c>
      <c r="B243" s="6" t="s">
        <v>35</v>
      </c>
      <c r="C243" s="8">
        <v>45384.0</v>
      </c>
      <c r="D243" s="6" t="s">
        <v>112</v>
      </c>
      <c r="E243" s="6" t="s">
        <v>1606</v>
      </c>
      <c r="F243" s="10"/>
      <c r="G243" s="6" t="s">
        <v>1607</v>
      </c>
      <c r="H243" s="6" t="s">
        <v>1608</v>
      </c>
      <c r="I243" s="17" t="b">
        <v>1</v>
      </c>
      <c r="J243" s="6" t="s">
        <v>546</v>
      </c>
      <c r="K243" s="10"/>
      <c r="L243" s="10"/>
      <c r="M243" s="10"/>
      <c r="N243" s="10"/>
      <c r="O243" s="18">
        <v>324.98</v>
      </c>
      <c r="P243" s="18">
        <v>842639.0</v>
      </c>
      <c r="Q243" s="17" t="b">
        <v>1</v>
      </c>
      <c r="R243" s="10"/>
    </row>
    <row r="244">
      <c r="A244" s="6" t="s">
        <v>1611</v>
      </c>
      <c r="B244" s="6" t="s">
        <v>35</v>
      </c>
      <c r="C244" s="8">
        <v>45384.0</v>
      </c>
      <c r="D244" s="6" t="s">
        <v>286</v>
      </c>
      <c r="E244" s="6" t="s">
        <v>1613</v>
      </c>
      <c r="F244" s="10"/>
      <c r="G244" s="6" t="s">
        <v>1615</v>
      </c>
      <c r="H244" s="6" t="s">
        <v>1617</v>
      </c>
      <c r="I244" s="17" t="b">
        <v>0</v>
      </c>
      <c r="J244" s="6" t="s">
        <v>546</v>
      </c>
      <c r="K244" s="10"/>
      <c r="L244" s="10"/>
      <c r="M244" s="10"/>
      <c r="N244" s="10"/>
      <c r="O244" s="18">
        <v>39.97</v>
      </c>
      <c r="P244" s="10"/>
      <c r="Q244" s="17" t="b">
        <v>1</v>
      </c>
      <c r="R244" s="10"/>
    </row>
    <row r="245">
      <c r="A245" s="6" t="s">
        <v>1620</v>
      </c>
      <c r="B245" s="6" t="s">
        <v>35</v>
      </c>
      <c r="C245" s="8">
        <v>45385.0</v>
      </c>
      <c r="D245" s="18">
        <v>2.6065919E7</v>
      </c>
      <c r="E245" s="6" t="s">
        <v>1622</v>
      </c>
      <c r="F245" s="10"/>
      <c r="G245" s="6" t="s">
        <v>1623</v>
      </c>
      <c r="H245" s="6" t="s">
        <v>1624</v>
      </c>
      <c r="I245" s="17" t="b">
        <v>1</v>
      </c>
      <c r="J245" s="6" t="s">
        <v>546</v>
      </c>
      <c r="K245" s="10"/>
      <c r="L245" s="10"/>
      <c r="M245" s="10"/>
      <c r="N245" s="10"/>
      <c r="O245" s="18">
        <v>225.0</v>
      </c>
      <c r="P245" s="18">
        <v>843678.0</v>
      </c>
      <c r="Q245" s="17" t="b">
        <v>1</v>
      </c>
      <c r="R245" s="10"/>
    </row>
    <row r="246">
      <c r="A246" s="6" t="s">
        <v>1628</v>
      </c>
      <c r="B246" s="6" t="s">
        <v>35</v>
      </c>
      <c r="C246" s="8">
        <v>45385.0</v>
      </c>
      <c r="D246" s="6" t="s">
        <v>1631</v>
      </c>
      <c r="E246" s="6" t="s">
        <v>1632</v>
      </c>
      <c r="F246" s="10"/>
      <c r="G246" s="6" t="s">
        <v>1634</v>
      </c>
      <c r="H246" s="6" t="s">
        <v>147</v>
      </c>
      <c r="I246" s="17" t="b">
        <v>1</v>
      </c>
      <c r="J246" s="6" t="s">
        <v>546</v>
      </c>
      <c r="K246" s="10"/>
      <c r="L246" s="10"/>
      <c r="M246" s="10"/>
      <c r="N246" s="10"/>
      <c r="O246" s="18">
        <v>337.5</v>
      </c>
      <c r="P246" s="18">
        <v>843728.0</v>
      </c>
      <c r="Q246" s="17" t="b">
        <v>1</v>
      </c>
      <c r="R246" s="10"/>
    </row>
    <row r="247">
      <c r="A247" s="6" t="s">
        <v>1638</v>
      </c>
      <c r="B247" s="6" t="s">
        <v>35</v>
      </c>
      <c r="C247" s="8">
        <v>45385.0</v>
      </c>
      <c r="D247" s="18">
        <v>2.6065919E7</v>
      </c>
      <c r="E247" s="6" t="s">
        <v>1622</v>
      </c>
      <c r="F247" s="10"/>
      <c r="G247" s="6" t="s">
        <v>1640</v>
      </c>
      <c r="H247" s="6" t="s">
        <v>1624</v>
      </c>
      <c r="I247" s="17" t="b">
        <v>1</v>
      </c>
      <c r="J247" s="6" t="s">
        <v>546</v>
      </c>
      <c r="K247" s="10"/>
      <c r="L247" s="10"/>
      <c r="M247" s="10"/>
      <c r="N247" s="10"/>
      <c r="O247" s="18">
        <v>225.0</v>
      </c>
      <c r="P247" s="18">
        <v>843678.0</v>
      </c>
      <c r="Q247" s="17" t="b">
        <v>1</v>
      </c>
      <c r="R247" s="10"/>
    </row>
    <row r="248">
      <c r="A248" s="6" t="s">
        <v>1643</v>
      </c>
      <c r="B248" s="6" t="s">
        <v>35</v>
      </c>
      <c r="C248" s="8">
        <v>45385.0</v>
      </c>
      <c r="D248" s="6" t="s">
        <v>353</v>
      </c>
      <c r="E248" s="6" t="s">
        <v>1645</v>
      </c>
      <c r="F248" s="10"/>
      <c r="G248" s="6" t="s">
        <v>1646</v>
      </c>
      <c r="H248" s="6" t="s">
        <v>1647</v>
      </c>
      <c r="I248" s="17" t="b">
        <v>0</v>
      </c>
      <c r="J248" s="6" t="s">
        <v>546</v>
      </c>
      <c r="K248" s="10"/>
      <c r="L248" s="10"/>
      <c r="M248" s="10"/>
      <c r="N248" s="10"/>
      <c r="O248" s="18">
        <v>379.52</v>
      </c>
      <c r="P248" s="10"/>
      <c r="Q248" s="17" t="b">
        <v>1</v>
      </c>
      <c r="R248" s="10"/>
    </row>
    <row r="249">
      <c r="A249" s="6" t="s">
        <v>1651</v>
      </c>
      <c r="B249" s="6" t="s">
        <v>35</v>
      </c>
      <c r="C249" s="8">
        <v>45385.0</v>
      </c>
      <c r="D249" s="6" t="s">
        <v>1129</v>
      </c>
      <c r="E249" s="6" t="s">
        <v>1652</v>
      </c>
      <c r="F249" s="10"/>
      <c r="G249" s="6" t="s">
        <v>1654</v>
      </c>
      <c r="H249" s="6" t="s">
        <v>1655</v>
      </c>
      <c r="I249" s="17" t="b">
        <v>0</v>
      </c>
      <c r="J249" s="6" t="s">
        <v>546</v>
      </c>
      <c r="K249" s="10"/>
      <c r="L249" s="10"/>
      <c r="M249" s="10"/>
      <c r="N249" s="10"/>
      <c r="O249" s="18">
        <v>130.0</v>
      </c>
      <c r="P249" s="10"/>
      <c r="Q249" s="17" t="b">
        <v>1</v>
      </c>
      <c r="R249" s="10"/>
    </row>
    <row r="250">
      <c r="A250" s="6" t="s">
        <v>1660</v>
      </c>
      <c r="B250" s="6" t="s">
        <v>35</v>
      </c>
      <c r="C250" s="8">
        <v>45386.0</v>
      </c>
      <c r="D250" s="6" t="s">
        <v>286</v>
      </c>
      <c r="E250" s="6" t="s">
        <v>1662</v>
      </c>
      <c r="F250" s="10"/>
      <c r="G250" s="6" t="s">
        <v>1663</v>
      </c>
      <c r="H250" s="6" t="s">
        <v>1664</v>
      </c>
      <c r="I250" s="17" t="b">
        <v>1</v>
      </c>
      <c r="J250" s="6" t="s">
        <v>546</v>
      </c>
      <c r="K250" s="10"/>
      <c r="L250" s="10"/>
      <c r="M250" s="10"/>
      <c r="N250" s="10"/>
      <c r="O250" s="18">
        <v>4.0</v>
      </c>
      <c r="P250" s="18">
        <v>844693.0</v>
      </c>
      <c r="Q250" s="17" t="b">
        <v>1</v>
      </c>
      <c r="R250" s="10"/>
    </row>
    <row r="251">
      <c r="A251" s="6" t="s">
        <v>1667</v>
      </c>
      <c r="B251" s="6" t="s">
        <v>35</v>
      </c>
      <c r="C251" s="8">
        <v>45386.0</v>
      </c>
      <c r="D251" s="6" t="s">
        <v>543</v>
      </c>
      <c r="E251" s="6" t="s">
        <v>1670</v>
      </c>
      <c r="F251" s="10"/>
      <c r="G251" s="6" t="s">
        <v>1671</v>
      </c>
      <c r="H251" s="6" t="s">
        <v>140</v>
      </c>
      <c r="I251" s="17" t="b">
        <v>1</v>
      </c>
      <c r="J251" s="6" t="s">
        <v>546</v>
      </c>
      <c r="K251" s="10"/>
      <c r="L251" s="10"/>
      <c r="M251" s="10"/>
      <c r="N251" s="10"/>
      <c r="O251" s="18">
        <v>620.0</v>
      </c>
      <c r="P251" s="18">
        <v>844758.0</v>
      </c>
      <c r="Q251" s="17" t="b">
        <v>1</v>
      </c>
      <c r="R251" s="10"/>
    </row>
    <row r="252">
      <c r="A252" s="6" t="s">
        <v>1674</v>
      </c>
      <c r="B252" s="6" t="s">
        <v>35</v>
      </c>
      <c r="C252" s="8">
        <v>45386.0</v>
      </c>
      <c r="D252" s="6" t="s">
        <v>286</v>
      </c>
      <c r="E252" s="6" t="s">
        <v>1676</v>
      </c>
      <c r="F252" s="10"/>
      <c r="G252" s="6" t="s">
        <v>1677</v>
      </c>
      <c r="H252" s="6" t="s">
        <v>1324</v>
      </c>
      <c r="I252" s="17" t="b">
        <v>1</v>
      </c>
      <c r="J252" s="6" t="s">
        <v>546</v>
      </c>
      <c r="K252" s="10"/>
      <c r="L252" s="10"/>
      <c r="M252" s="10"/>
      <c r="N252" s="10"/>
      <c r="O252" s="18">
        <v>1.0</v>
      </c>
      <c r="P252" s="18">
        <v>844772.0</v>
      </c>
      <c r="Q252" s="17" t="b">
        <v>1</v>
      </c>
      <c r="R252" s="10"/>
    </row>
    <row r="253">
      <c r="A253" s="6" t="s">
        <v>1685</v>
      </c>
      <c r="B253" s="6" t="s">
        <v>35</v>
      </c>
      <c r="C253" s="8">
        <v>45386.0</v>
      </c>
      <c r="D253" s="6" t="s">
        <v>112</v>
      </c>
      <c r="E253" s="6" t="s">
        <v>1686</v>
      </c>
      <c r="F253" s="10"/>
      <c r="G253" s="6" t="s">
        <v>1688</v>
      </c>
      <c r="H253" s="6" t="s">
        <v>157</v>
      </c>
      <c r="I253" s="17" t="b">
        <v>1</v>
      </c>
      <c r="J253" s="6" t="s">
        <v>546</v>
      </c>
      <c r="K253" s="10"/>
      <c r="L253" s="10"/>
      <c r="M253" s="10"/>
      <c r="N253" s="10"/>
      <c r="O253" s="18">
        <v>194.06</v>
      </c>
      <c r="P253" s="18">
        <v>844760.0</v>
      </c>
      <c r="Q253" s="17" t="b">
        <v>1</v>
      </c>
      <c r="R253" s="10"/>
    </row>
    <row r="254">
      <c r="A254" s="6" t="s">
        <v>1691</v>
      </c>
      <c r="B254" s="6" t="s">
        <v>35</v>
      </c>
      <c r="C254" s="8">
        <v>45386.0</v>
      </c>
      <c r="D254" s="6" t="s">
        <v>286</v>
      </c>
      <c r="E254" s="6" t="s">
        <v>1676</v>
      </c>
      <c r="F254" s="10"/>
      <c r="G254" s="6" t="s">
        <v>1695</v>
      </c>
      <c r="H254" s="6" t="s">
        <v>1324</v>
      </c>
      <c r="I254" s="17" t="b">
        <v>1</v>
      </c>
      <c r="J254" s="6" t="s">
        <v>546</v>
      </c>
      <c r="K254" s="10"/>
      <c r="L254" s="10"/>
      <c r="M254" s="10"/>
      <c r="N254" s="10"/>
      <c r="O254" s="18">
        <v>2.0</v>
      </c>
      <c r="P254" s="18">
        <v>844813.0</v>
      </c>
      <c r="Q254" s="17" t="b">
        <v>1</v>
      </c>
      <c r="R254" s="10"/>
    </row>
    <row r="255">
      <c r="A255" s="6" t="s">
        <v>1698</v>
      </c>
      <c r="B255" s="6" t="s">
        <v>35</v>
      </c>
      <c r="C255" s="8">
        <v>45386.0</v>
      </c>
      <c r="D255" s="10"/>
      <c r="E255" s="10"/>
      <c r="F255" s="10"/>
      <c r="G255" s="10"/>
      <c r="H255" s="6" t="s">
        <v>1701</v>
      </c>
      <c r="I255" s="10"/>
      <c r="J255" s="6" t="s">
        <v>539</v>
      </c>
      <c r="K255" s="6" t="s">
        <v>648</v>
      </c>
      <c r="L255" s="10"/>
      <c r="M255" s="10"/>
      <c r="N255" s="10"/>
      <c r="O255" s="18">
        <v>4549.1</v>
      </c>
      <c r="P255" s="10"/>
      <c r="Q255" s="6"/>
      <c r="R255" s="10"/>
    </row>
    <row r="256">
      <c r="A256" s="6" t="s">
        <v>1703</v>
      </c>
      <c r="B256" s="6" t="s">
        <v>35</v>
      </c>
      <c r="C256" s="8">
        <v>45386.0</v>
      </c>
      <c r="D256" s="6" t="s">
        <v>1705</v>
      </c>
      <c r="E256" s="10"/>
      <c r="F256" s="10"/>
      <c r="G256" s="10"/>
      <c r="H256" s="6" t="s">
        <v>1707</v>
      </c>
      <c r="I256" s="10"/>
      <c r="J256" s="6" t="s">
        <v>539</v>
      </c>
      <c r="K256" s="10"/>
      <c r="L256" s="10"/>
      <c r="M256" s="10"/>
      <c r="N256" s="10"/>
      <c r="O256" s="18">
        <v>644.71</v>
      </c>
      <c r="P256" s="10"/>
      <c r="Q256" s="6"/>
      <c r="R256" s="10"/>
    </row>
    <row r="257">
      <c r="A257" s="6" t="s">
        <v>1709</v>
      </c>
      <c r="B257" s="6" t="s">
        <v>35</v>
      </c>
      <c r="C257" s="8">
        <v>45387.0</v>
      </c>
      <c r="D257" s="10"/>
      <c r="E257" s="10"/>
      <c r="F257" s="10"/>
      <c r="G257" s="10"/>
      <c r="H257" s="6" t="s">
        <v>1712</v>
      </c>
      <c r="I257" s="10"/>
      <c r="J257" s="6" t="s">
        <v>539</v>
      </c>
      <c r="K257" s="6" t="s">
        <v>658</v>
      </c>
      <c r="L257" s="10"/>
      <c r="M257" s="10"/>
      <c r="N257" s="10"/>
      <c r="O257" s="18">
        <v>1812.88</v>
      </c>
      <c r="P257" s="10"/>
      <c r="Q257" s="6"/>
      <c r="R257" s="10"/>
    </row>
    <row r="258">
      <c r="A258" s="6" t="s">
        <v>1715</v>
      </c>
      <c r="B258" s="6" t="s">
        <v>35</v>
      </c>
      <c r="C258" s="8">
        <v>45387.0</v>
      </c>
      <c r="D258" s="10"/>
      <c r="E258" s="10"/>
      <c r="F258" s="10"/>
      <c r="G258" s="10"/>
      <c r="H258" s="6" t="s">
        <v>1712</v>
      </c>
      <c r="I258" s="10"/>
      <c r="J258" s="6" t="s">
        <v>539</v>
      </c>
      <c r="K258" s="6" t="s">
        <v>651</v>
      </c>
      <c r="L258" s="10"/>
      <c r="M258" s="10"/>
      <c r="N258" s="10"/>
      <c r="O258" s="18">
        <v>455.34</v>
      </c>
      <c r="P258" s="10"/>
      <c r="Q258" s="6"/>
      <c r="R258" s="10"/>
    </row>
    <row r="259">
      <c r="A259" s="6" t="s">
        <v>1718</v>
      </c>
      <c r="B259" s="6" t="s">
        <v>35</v>
      </c>
      <c r="C259" s="8">
        <v>45387.0</v>
      </c>
      <c r="D259" s="10"/>
      <c r="E259" s="10"/>
      <c r="F259" s="10"/>
      <c r="G259" s="10"/>
      <c r="H259" s="6" t="s">
        <v>1712</v>
      </c>
      <c r="I259" s="10"/>
      <c r="J259" s="6" t="s">
        <v>539</v>
      </c>
      <c r="K259" s="6" t="s">
        <v>1100</v>
      </c>
      <c r="L259" s="10"/>
      <c r="M259" s="10"/>
      <c r="N259" s="10"/>
      <c r="O259" s="18">
        <v>1239.11</v>
      </c>
      <c r="P259" s="10"/>
      <c r="Q259" s="6"/>
      <c r="R259" s="10"/>
    </row>
    <row r="260">
      <c r="A260" s="6" t="s">
        <v>1721</v>
      </c>
      <c r="B260" s="6" t="s">
        <v>35</v>
      </c>
      <c r="C260" s="8">
        <v>45387.0</v>
      </c>
      <c r="D260" s="10"/>
      <c r="E260" s="10"/>
      <c r="F260" s="10"/>
      <c r="G260" s="10"/>
      <c r="H260" s="6" t="s">
        <v>1712</v>
      </c>
      <c r="I260" s="10"/>
      <c r="J260" s="6" t="s">
        <v>539</v>
      </c>
      <c r="K260" s="6" t="s">
        <v>624</v>
      </c>
      <c r="L260" s="10"/>
      <c r="M260" s="10"/>
      <c r="N260" s="10"/>
      <c r="O260" s="18">
        <v>1869.66</v>
      </c>
      <c r="P260" s="10"/>
      <c r="Q260" s="6"/>
      <c r="R260" s="10"/>
    </row>
    <row r="261">
      <c r="A261" s="6" t="s">
        <v>1726</v>
      </c>
      <c r="B261" s="6" t="s">
        <v>35</v>
      </c>
      <c r="C261" s="8">
        <v>45387.0</v>
      </c>
      <c r="D261" s="10"/>
      <c r="E261" s="10"/>
      <c r="F261" s="10"/>
      <c r="G261" s="10"/>
      <c r="H261" s="6" t="s">
        <v>1712</v>
      </c>
      <c r="I261" s="10"/>
      <c r="J261" s="6" t="s">
        <v>539</v>
      </c>
      <c r="K261" s="6" t="s">
        <v>624</v>
      </c>
      <c r="L261" s="10"/>
      <c r="M261" s="10"/>
      <c r="N261" s="10"/>
      <c r="O261" s="18">
        <v>1869.66</v>
      </c>
      <c r="P261" s="10"/>
      <c r="Q261" s="6"/>
      <c r="R261" s="10"/>
    </row>
    <row r="262">
      <c r="A262" s="18">
        <v>1.1762011E8</v>
      </c>
      <c r="B262" s="6" t="s">
        <v>35</v>
      </c>
      <c r="C262" s="8">
        <v>45387.0</v>
      </c>
      <c r="D262" s="10"/>
      <c r="E262" s="10"/>
      <c r="F262" s="10"/>
      <c r="G262" s="10"/>
      <c r="H262" s="6" t="s">
        <v>1712</v>
      </c>
      <c r="I262" s="10"/>
      <c r="J262" s="6" t="s">
        <v>539</v>
      </c>
      <c r="K262" s="6" t="s">
        <v>664</v>
      </c>
      <c r="L262" s="10"/>
      <c r="M262" s="10"/>
      <c r="N262" s="10"/>
      <c r="O262" s="18">
        <v>2256.7</v>
      </c>
      <c r="P262" s="10"/>
      <c r="Q262" s="6"/>
      <c r="R262" s="10"/>
    </row>
    <row r="263">
      <c r="A263" s="6" t="s">
        <v>1734</v>
      </c>
      <c r="B263" s="6" t="s">
        <v>35</v>
      </c>
      <c r="C263" s="8">
        <v>45385.0</v>
      </c>
      <c r="D263" s="6" t="s">
        <v>808</v>
      </c>
      <c r="E263" s="6" t="s">
        <v>1736</v>
      </c>
      <c r="F263" s="10"/>
      <c r="G263" s="6" t="s">
        <v>1737</v>
      </c>
      <c r="H263" s="6" t="s">
        <v>767</v>
      </c>
      <c r="I263" s="17" t="b">
        <v>1</v>
      </c>
      <c r="J263" s="6" t="s">
        <v>546</v>
      </c>
      <c r="K263" s="10"/>
      <c r="L263" s="10"/>
      <c r="M263" s="10"/>
      <c r="N263" s="10"/>
      <c r="O263" s="18">
        <v>318.0</v>
      </c>
      <c r="P263" s="18">
        <v>843916.0</v>
      </c>
      <c r="Q263" s="17" t="b">
        <v>1</v>
      </c>
      <c r="R263" s="10"/>
    </row>
    <row r="264">
      <c r="A264" s="6" t="s">
        <v>1739</v>
      </c>
      <c r="B264" s="6" t="s">
        <v>35</v>
      </c>
      <c r="C264" s="8">
        <v>45385.0</v>
      </c>
      <c r="D264" s="6" t="s">
        <v>890</v>
      </c>
      <c r="E264" s="6" t="s">
        <v>1741</v>
      </c>
      <c r="F264" s="10"/>
      <c r="G264" s="6" t="s">
        <v>1743</v>
      </c>
      <c r="H264" s="6" t="s">
        <v>1177</v>
      </c>
      <c r="I264" s="17" t="b">
        <v>0</v>
      </c>
      <c r="J264" s="6" t="s">
        <v>546</v>
      </c>
      <c r="K264" s="10"/>
      <c r="L264" s="10"/>
      <c r="M264" s="10"/>
      <c r="N264" s="10"/>
      <c r="O264" s="18">
        <v>12514.97</v>
      </c>
      <c r="P264" s="10"/>
      <c r="Q264" s="17" t="b">
        <v>1</v>
      </c>
      <c r="R264" s="10"/>
    </row>
    <row r="265">
      <c r="A265" s="6" t="s">
        <v>1745</v>
      </c>
      <c r="B265" s="6" t="s">
        <v>35</v>
      </c>
      <c r="C265" s="8">
        <v>45386.0</v>
      </c>
      <c r="D265" s="6" t="s">
        <v>890</v>
      </c>
      <c r="E265" s="6" t="s">
        <v>1747</v>
      </c>
      <c r="F265" s="10"/>
      <c r="G265" s="6" t="s">
        <v>1748</v>
      </c>
      <c r="H265" s="6" t="s">
        <v>1184</v>
      </c>
      <c r="I265" s="17" t="b">
        <v>0</v>
      </c>
      <c r="J265" s="6" t="s">
        <v>546</v>
      </c>
      <c r="K265" s="10"/>
      <c r="L265" s="10"/>
      <c r="M265" s="10"/>
      <c r="N265" s="10"/>
      <c r="O265" s="18">
        <v>10035.66</v>
      </c>
      <c r="P265" s="10"/>
      <c r="Q265" s="17" t="b">
        <v>1</v>
      </c>
      <c r="R265" s="10"/>
    </row>
    <row r="266">
      <c r="A266" s="6" t="s">
        <v>1750</v>
      </c>
      <c r="B266" s="6" t="s">
        <v>35</v>
      </c>
      <c r="C266" s="8">
        <v>45387.0</v>
      </c>
      <c r="D266" s="6" t="s">
        <v>286</v>
      </c>
      <c r="E266" s="6" t="s">
        <v>1752</v>
      </c>
      <c r="F266" s="10"/>
      <c r="G266" s="6" t="s">
        <v>1753</v>
      </c>
      <c r="H266" s="6" t="s">
        <v>1754</v>
      </c>
      <c r="I266" s="17" t="b">
        <v>1</v>
      </c>
      <c r="J266" s="6" t="s">
        <v>546</v>
      </c>
      <c r="K266" s="10"/>
      <c r="L266" s="10"/>
      <c r="M266" s="10"/>
      <c r="N266" s="10"/>
      <c r="O266" s="18">
        <v>2.0</v>
      </c>
      <c r="P266" s="18">
        <v>846607.0</v>
      </c>
      <c r="Q266" s="17" t="b">
        <v>1</v>
      </c>
      <c r="R266" s="10"/>
    </row>
    <row r="267">
      <c r="A267" s="6" t="s">
        <v>1756</v>
      </c>
      <c r="B267" s="6" t="s">
        <v>35</v>
      </c>
      <c r="C267" s="8">
        <v>45387.0</v>
      </c>
      <c r="D267" s="6" t="s">
        <v>286</v>
      </c>
      <c r="E267" s="6" t="s">
        <v>1752</v>
      </c>
      <c r="F267" s="10"/>
      <c r="G267" s="6" t="s">
        <v>1759</v>
      </c>
      <c r="H267" s="6" t="s">
        <v>1754</v>
      </c>
      <c r="I267" s="17" t="b">
        <v>1</v>
      </c>
      <c r="J267" s="6" t="s">
        <v>546</v>
      </c>
      <c r="K267" s="10"/>
      <c r="L267" s="10"/>
      <c r="M267" s="10"/>
      <c r="N267" s="10"/>
      <c r="O267" s="18">
        <v>4.0</v>
      </c>
      <c r="P267" s="18">
        <v>846608.0</v>
      </c>
      <c r="Q267" s="17" t="b">
        <v>1</v>
      </c>
      <c r="R267" s="10"/>
    </row>
    <row r="268">
      <c r="A268" s="6" t="s">
        <v>1763</v>
      </c>
      <c r="B268" s="6" t="s">
        <v>35</v>
      </c>
      <c r="C268" s="8">
        <v>45387.0</v>
      </c>
      <c r="D268" s="6" t="s">
        <v>404</v>
      </c>
      <c r="E268" s="6" t="s">
        <v>1766</v>
      </c>
      <c r="F268" s="10"/>
      <c r="G268" s="6" t="s">
        <v>1767</v>
      </c>
      <c r="H268" s="6" t="s">
        <v>1768</v>
      </c>
      <c r="I268" s="17" t="b">
        <v>0</v>
      </c>
      <c r="J268" s="6" t="s">
        <v>546</v>
      </c>
      <c r="K268" s="10"/>
      <c r="L268" s="10"/>
      <c r="M268" s="10"/>
      <c r="N268" s="10"/>
      <c r="O268" s="18">
        <v>47.47</v>
      </c>
      <c r="P268" s="10"/>
      <c r="Q268" s="17" t="b">
        <v>1</v>
      </c>
      <c r="R268" s="10"/>
    </row>
    <row r="269">
      <c r="A269" s="6" t="s">
        <v>1770</v>
      </c>
      <c r="B269" s="6" t="s">
        <v>35</v>
      </c>
      <c r="C269" s="8">
        <v>45389.0</v>
      </c>
      <c r="D269" s="6" t="s">
        <v>543</v>
      </c>
      <c r="E269" s="6" t="s">
        <v>1771</v>
      </c>
      <c r="F269" s="10"/>
      <c r="G269" s="6" t="s">
        <v>1773</v>
      </c>
      <c r="H269" s="6" t="s">
        <v>1774</v>
      </c>
      <c r="I269" s="17" t="b">
        <v>1</v>
      </c>
      <c r="J269" s="6" t="s">
        <v>546</v>
      </c>
      <c r="K269" s="10"/>
      <c r="L269" s="10"/>
      <c r="M269" s="10"/>
      <c r="N269" s="10"/>
      <c r="O269" s="18">
        <v>400.0</v>
      </c>
      <c r="P269" s="18">
        <v>849064.0</v>
      </c>
      <c r="Q269" s="17" t="b">
        <v>1</v>
      </c>
      <c r="R269" s="10"/>
    </row>
    <row r="270">
      <c r="A270" s="6" t="s">
        <v>1776</v>
      </c>
      <c r="B270" s="6" t="s">
        <v>35</v>
      </c>
      <c r="C270" s="8">
        <v>45390.0</v>
      </c>
      <c r="D270" s="6" t="s">
        <v>193</v>
      </c>
      <c r="E270" s="6" t="s">
        <v>1778</v>
      </c>
      <c r="F270" s="10"/>
      <c r="G270" s="6" t="s">
        <v>1779</v>
      </c>
      <c r="H270" s="6" t="s">
        <v>195</v>
      </c>
      <c r="I270" s="17" t="b">
        <v>0</v>
      </c>
      <c r="J270" s="6" t="s">
        <v>546</v>
      </c>
      <c r="K270" s="10"/>
      <c r="L270" s="10"/>
      <c r="M270" s="10"/>
      <c r="N270" s="10"/>
      <c r="O270" s="18">
        <v>225.52</v>
      </c>
      <c r="P270" s="10"/>
      <c r="Q270" s="17" t="b">
        <v>1</v>
      </c>
      <c r="R270" s="10"/>
    </row>
    <row r="271">
      <c r="A271" s="6" t="s">
        <v>1782</v>
      </c>
      <c r="B271" s="6" t="s">
        <v>35</v>
      </c>
      <c r="C271" s="8">
        <v>45390.0</v>
      </c>
      <c r="D271" s="6" t="s">
        <v>286</v>
      </c>
      <c r="E271" s="6" t="s">
        <v>1784</v>
      </c>
      <c r="F271" s="10"/>
      <c r="G271" s="6" t="s">
        <v>1785</v>
      </c>
      <c r="H271" s="6" t="s">
        <v>1786</v>
      </c>
      <c r="I271" s="17" t="b">
        <v>1</v>
      </c>
      <c r="J271" s="6" t="s">
        <v>546</v>
      </c>
      <c r="K271" s="10"/>
      <c r="L271" s="10"/>
      <c r="M271" s="10"/>
      <c r="N271" s="10"/>
      <c r="O271" s="18">
        <v>14.97</v>
      </c>
      <c r="P271" s="18">
        <v>851433.0</v>
      </c>
      <c r="Q271" s="17" t="b">
        <v>1</v>
      </c>
      <c r="R271" s="10"/>
    </row>
    <row r="272">
      <c r="A272" s="6" t="s">
        <v>1789</v>
      </c>
      <c r="B272" s="6" t="s">
        <v>35</v>
      </c>
      <c r="C272" s="8">
        <v>45391.0</v>
      </c>
      <c r="D272" s="10"/>
      <c r="E272" s="10"/>
      <c r="F272" s="10"/>
      <c r="G272" s="10"/>
      <c r="H272" s="6" t="s">
        <v>1791</v>
      </c>
      <c r="I272" s="10"/>
      <c r="J272" s="6" t="s">
        <v>539</v>
      </c>
      <c r="K272" s="6" t="s">
        <v>624</v>
      </c>
      <c r="L272" s="10"/>
      <c r="M272" s="10"/>
      <c r="N272" s="10"/>
      <c r="O272" s="18">
        <v>2191.99</v>
      </c>
      <c r="P272" s="10"/>
      <c r="Q272" s="6"/>
      <c r="R272" s="10"/>
    </row>
    <row r="273">
      <c r="A273" s="6" t="s">
        <v>1796</v>
      </c>
      <c r="B273" s="6" t="s">
        <v>35</v>
      </c>
      <c r="C273" s="8">
        <v>45390.0</v>
      </c>
      <c r="D273" s="6" t="s">
        <v>112</v>
      </c>
      <c r="E273" s="6" t="s">
        <v>1798</v>
      </c>
      <c r="F273" s="10"/>
      <c r="G273" s="6" t="s">
        <v>1800</v>
      </c>
      <c r="H273" s="6" t="s">
        <v>1543</v>
      </c>
      <c r="I273" s="17" t="b">
        <v>1</v>
      </c>
      <c r="J273" s="6" t="s">
        <v>546</v>
      </c>
      <c r="K273" s="10"/>
      <c r="L273" s="10"/>
      <c r="M273" s="10"/>
      <c r="N273" s="10"/>
      <c r="O273" s="18">
        <v>423.55</v>
      </c>
      <c r="P273" s="18">
        <v>851010.0</v>
      </c>
      <c r="Q273" s="17" t="b">
        <v>1</v>
      </c>
      <c r="R273" s="10"/>
    </row>
    <row r="274">
      <c r="A274" s="6" t="s">
        <v>1805</v>
      </c>
      <c r="B274" s="6" t="s">
        <v>35</v>
      </c>
      <c r="C274" s="8">
        <v>45388.0</v>
      </c>
      <c r="D274" s="6" t="s">
        <v>1807</v>
      </c>
      <c r="E274" s="6" t="s">
        <v>1809</v>
      </c>
      <c r="F274" s="10"/>
      <c r="G274" s="6" t="s">
        <v>1810</v>
      </c>
      <c r="H274" s="6" t="s">
        <v>528</v>
      </c>
      <c r="I274" s="17" t="b">
        <v>0</v>
      </c>
      <c r="J274" s="6" t="s">
        <v>546</v>
      </c>
      <c r="K274" s="10"/>
      <c r="L274" s="10"/>
      <c r="M274" s="10"/>
      <c r="N274" s="10"/>
      <c r="O274" s="18">
        <v>110.51</v>
      </c>
      <c r="P274" s="10"/>
      <c r="Q274" s="17" t="b">
        <v>1</v>
      </c>
      <c r="R274" s="10"/>
    </row>
    <row r="275">
      <c r="A275" s="6" t="s">
        <v>1812</v>
      </c>
      <c r="B275" s="6" t="s">
        <v>35</v>
      </c>
      <c r="C275" s="8">
        <v>45389.0</v>
      </c>
      <c r="D275" s="6" t="s">
        <v>1813</v>
      </c>
      <c r="E275" s="6" t="s">
        <v>1815</v>
      </c>
      <c r="F275" s="10"/>
      <c r="G275" s="6" t="s">
        <v>1816</v>
      </c>
      <c r="H275" s="6" t="s">
        <v>1817</v>
      </c>
      <c r="I275" s="17" t="b">
        <v>0</v>
      </c>
      <c r="J275" s="6" t="s">
        <v>546</v>
      </c>
      <c r="K275" s="10"/>
      <c r="L275" s="10"/>
      <c r="M275" s="10"/>
      <c r="N275" s="10"/>
      <c r="O275" s="18">
        <v>23.97</v>
      </c>
      <c r="P275" s="10"/>
      <c r="Q275" s="17" t="b">
        <v>1</v>
      </c>
      <c r="R275" s="10"/>
    </row>
    <row r="276">
      <c r="A276" s="6" t="s">
        <v>1818</v>
      </c>
      <c r="B276" s="6" t="s">
        <v>35</v>
      </c>
      <c r="C276" s="8">
        <v>45392.0</v>
      </c>
      <c r="D276" s="6" t="s">
        <v>112</v>
      </c>
      <c r="E276" s="6" t="s">
        <v>1820</v>
      </c>
      <c r="F276" s="10"/>
      <c r="G276" s="6" t="s">
        <v>1821</v>
      </c>
      <c r="H276" s="6" t="s">
        <v>157</v>
      </c>
      <c r="I276" s="17" t="b">
        <v>1</v>
      </c>
      <c r="J276" s="6" t="s">
        <v>546</v>
      </c>
      <c r="K276" s="10"/>
      <c r="L276" s="10"/>
      <c r="M276" s="10"/>
      <c r="N276" s="10"/>
      <c r="O276" s="18">
        <v>180.83</v>
      </c>
      <c r="P276" s="6" t="s">
        <v>1823</v>
      </c>
      <c r="Q276" s="17" t="b">
        <v>1</v>
      </c>
      <c r="R276" s="10"/>
    </row>
    <row r="277">
      <c r="A277" s="6" t="s">
        <v>1824</v>
      </c>
      <c r="B277" s="6" t="s">
        <v>35</v>
      </c>
      <c r="C277" s="8">
        <v>45393.0</v>
      </c>
      <c r="D277" s="6" t="s">
        <v>764</v>
      </c>
      <c r="E277" s="6" t="s">
        <v>1826</v>
      </c>
      <c r="F277" s="10"/>
      <c r="G277" s="6" t="s">
        <v>1827</v>
      </c>
      <c r="H277" s="6" t="s">
        <v>767</v>
      </c>
      <c r="I277" s="17" t="b">
        <v>0</v>
      </c>
      <c r="J277" s="6" t="s">
        <v>546</v>
      </c>
      <c r="K277" s="10"/>
      <c r="L277" s="10"/>
      <c r="M277" s="10"/>
      <c r="N277" s="10"/>
      <c r="O277" s="18">
        <v>1038.0</v>
      </c>
      <c r="P277" s="10"/>
      <c r="Q277" s="17" t="b">
        <v>1</v>
      </c>
      <c r="R277" s="10"/>
    </row>
    <row r="278">
      <c r="A278" s="6" t="s">
        <v>1831</v>
      </c>
      <c r="B278" s="6" t="s">
        <v>35</v>
      </c>
      <c r="C278" s="8">
        <v>45393.0</v>
      </c>
      <c r="D278" s="6" t="s">
        <v>1160</v>
      </c>
      <c r="E278" s="10"/>
      <c r="F278" s="10"/>
      <c r="G278" s="10"/>
      <c r="H278" s="6" t="s">
        <v>1832</v>
      </c>
      <c r="I278" s="10"/>
      <c r="J278" s="6" t="s">
        <v>539</v>
      </c>
      <c r="K278" s="10"/>
      <c r="L278" s="10"/>
      <c r="M278" s="10"/>
      <c r="N278" s="10"/>
      <c r="O278" s="18">
        <v>225.0</v>
      </c>
      <c r="P278" s="10"/>
      <c r="Q278" s="6"/>
      <c r="R278" s="10"/>
    </row>
    <row r="279">
      <c r="A279" s="6" t="s">
        <v>1834</v>
      </c>
      <c r="B279" s="6" t="s">
        <v>35</v>
      </c>
      <c r="C279" s="8">
        <v>45393.0</v>
      </c>
      <c r="D279" s="6" t="s">
        <v>460</v>
      </c>
      <c r="E279" s="10"/>
      <c r="F279" s="10"/>
      <c r="G279" s="10"/>
      <c r="H279" s="6" t="s">
        <v>1835</v>
      </c>
      <c r="I279" s="10"/>
      <c r="J279" s="6" t="s">
        <v>539</v>
      </c>
      <c r="K279" s="10"/>
      <c r="L279" s="10"/>
      <c r="M279" s="10"/>
      <c r="N279" s="10"/>
      <c r="O279" s="18">
        <v>225.52</v>
      </c>
      <c r="P279" s="10"/>
      <c r="Q279" s="6"/>
      <c r="R279" s="10"/>
    </row>
    <row r="280">
      <c r="A280" s="6" t="s">
        <v>1837</v>
      </c>
      <c r="B280" s="6" t="s">
        <v>35</v>
      </c>
      <c r="C280" s="8">
        <v>45394.0</v>
      </c>
      <c r="D280" s="6" t="s">
        <v>1281</v>
      </c>
      <c r="E280" s="6" t="s">
        <v>1838</v>
      </c>
      <c r="F280" s="10"/>
      <c r="G280" s="6" t="s">
        <v>1840</v>
      </c>
      <c r="H280" s="6" t="s">
        <v>1841</v>
      </c>
      <c r="I280" s="17" t="b">
        <v>1</v>
      </c>
      <c r="J280" s="6" t="s">
        <v>546</v>
      </c>
      <c r="K280" s="10"/>
      <c r="L280" s="10"/>
      <c r="M280" s="10"/>
      <c r="N280" s="10"/>
      <c r="O280" s="18">
        <v>27.0</v>
      </c>
      <c r="P280" s="18">
        <v>857431.0</v>
      </c>
      <c r="Q280" s="17" t="b">
        <v>1</v>
      </c>
      <c r="R280" s="10"/>
    </row>
    <row r="281">
      <c r="A281" s="6" t="s">
        <v>1843</v>
      </c>
      <c r="B281" s="6" t="s">
        <v>35</v>
      </c>
      <c r="C281" s="8">
        <v>45394.0</v>
      </c>
      <c r="D281" s="6" t="s">
        <v>543</v>
      </c>
      <c r="E281" s="6" t="s">
        <v>1844</v>
      </c>
      <c r="F281" s="10"/>
      <c r="G281" s="6" t="s">
        <v>1846</v>
      </c>
      <c r="H281" s="6" t="s">
        <v>415</v>
      </c>
      <c r="I281" s="17" t="b">
        <v>0</v>
      </c>
      <c r="J281" s="6" t="s">
        <v>546</v>
      </c>
      <c r="K281" s="10"/>
      <c r="L281" s="10"/>
      <c r="M281" s="10"/>
      <c r="N281" s="10"/>
      <c r="O281" s="18">
        <v>500.0</v>
      </c>
      <c r="P281" s="10"/>
      <c r="Q281" s="17" t="b">
        <v>1</v>
      </c>
      <c r="R281" s="10"/>
    </row>
    <row r="282">
      <c r="A282" s="6" t="s">
        <v>1849</v>
      </c>
      <c r="B282" s="6" t="s">
        <v>35</v>
      </c>
      <c r="C282" s="8">
        <v>45394.0</v>
      </c>
      <c r="D282" s="6" t="s">
        <v>112</v>
      </c>
      <c r="E282" s="6" t="s">
        <v>1851</v>
      </c>
      <c r="F282" s="10"/>
      <c r="G282" s="6" t="s">
        <v>1853</v>
      </c>
      <c r="H282" s="6" t="s">
        <v>45</v>
      </c>
      <c r="I282" s="17" t="b">
        <v>1</v>
      </c>
      <c r="J282" s="6" t="s">
        <v>546</v>
      </c>
      <c r="K282" s="10"/>
      <c r="L282" s="10"/>
      <c r="M282" s="10"/>
      <c r="N282" s="10"/>
      <c r="O282" s="18">
        <v>416.7</v>
      </c>
      <c r="P282" s="18">
        <v>855597.0</v>
      </c>
      <c r="Q282" s="17" t="b">
        <v>1</v>
      </c>
      <c r="R282" s="10"/>
    </row>
    <row r="283">
      <c r="A283" s="6" t="s">
        <v>1856</v>
      </c>
      <c r="B283" s="6" t="s">
        <v>35</v>
      </c>
      <c r="C283" s="8">
        <v>45394.0</v>
      </c>
      <c r="D283" s="6" t="s">
        <v>404</v>
      </c>
      <c r="E283" s="6" t="s">
        <v>1858</v>
      </c>
      <c r="F283" s="10"/>
      <c r="G283" s="6" t="s">
        <v>1859</v>
      </c>
      <c r="H283" s="6" t="s">
        <v>1860</v>
      </c>
      <c r="I283" s="17" t="b">
        <v>0</v>
      </c>
      <c r="J283" s="6" t="s">
        <v>546</v>
      </c>
      <c r="K283" s="10"/>
      <c r="L283" s="10"/>
      <c r="M283" s="10"/>
      <c r="N283" s="10"/>
      <c r="O283" s="18">
        <v>127.55</v>
      </c>
      <c r="P283" s="10"/>
      <c r="Q283" s="17" t="b">
        <v>1</v>
      </c>
      <c r="R283" s="10"/>
    </row>
    <row r="284">
      <c r="A284" s="6" t="s">
        <v>1862</v>
      </c>
      <c r="B284" s="6" t="s">
        <v>35</v>
      </c>
      <c r="C284" s="8">
        <v>45397.0</v>
      </c>
      <c r="D284" s="6" t="s">
        <v>1864</v>
      </c>
      <c r="E284" s="10"/>
      <c r="F284" s="10"/>
      <c r="G284" s="10"/>
      <c r="H284" s="6" t="s">
        <v>1866</v>
      </c>
      <c r="I284" s="10"/>
      <c r="J284" s="6" t="s">
        <v>539</v>
      </c>
      <c r="K284" s="10"/>
      <c r="L284" s="10"/>
      <c r="M284" s="10"/>
      <c r="N284" s="10"/>
      <c r="O284" s="18">
        <v>405.58</v>
      </c>
      <c r="P284" s="10"/>
      <c r="Q284" s="6"/>
      <c r="R284" s="10"/>
    </row>
    <row r="285">
      <c r="A285" s="6" t="s">
        <v>1868</v>
      </c>
      <c r="B285" s="6" t="s">
        <v>35</v>
      </c>
      <c r="C285" s="8">
        <v>45397.0</v>
      </c>
      <c r="D285" s="6" t="s">
        <v>112</v>
      </c>
      <c r="E285" s="6" t="s">
        <v>1869</v>
      </c>
      <c r="F285" s="10"/>
      <c r="G285" s="6" t="s">
        <v>1870</v>
      </c>
      <c r="H285" s="6" t="s">
        <v>792</v>
      </c>
      <c r="I285" s="17" t="b">
        <v>1</v>
      </c>
      <c r="J285" s="6" t="s">
        <v>546</v>
      </c>
      <c r="K285" s="10"/>
      <c r="L285" s="10"/>
      <c r="M285" s="10"/>
      <c r="N285" s="10"/>
      <c r="O285" s="18">
        <v>347.55</v>
      </c>
      <c r="P285" s="8">
        <v>45397.0</v>
      </c>
      <c r="Q285" s="17" t="b">
        <v>1</v>
      </c>
      <c r="R285" s="10"/>
    </row>
    <row r="286">
      <c r="A286" s="6" t="s">
        <v>1872</v>
      </c>
      <c r="B286" s="6" t="s">
        <v>35</v>
      </c>
      <c r="C286" s="8">
        <v>45397.0</v>
      </c>
      <c r="D286" s="6" t="s">
        <v>1414</v>
      </c>
      <c r="E286" s="6" t="s">
        <v>1873</v>
      </c>
      <c r="F286" s="10"/>
      <c r="G286" s="6" t="s">
        <v>1874</v>
      </c>
      <c r="H286" s="6" t="s">
        <v>1876</v>
      </c>
      <c r="I286" s="17" t="b">
        <v>1</v>
      </c>
      <c r="J286" s="6" t="s">
        <v>546</v>
      </c>
      <c r="K286" s="10"/>
      <c r="L286" s="10"/>
      <c r="M286" s="10"/>
      <c r="N286" s="10"/>
      <c r="O286" s="18">
        <v>50.0</v>
      </c>
      <c r="P286" s="8">
        <v>45397.0</v>
      </c>
      <c r="Q286" s="17" t="b">
        <v>1</v>
      </c>
      <c r="R286" s="10"/>
    </row>
    <row r="287">
      <c r="A287" s="6" t="s">
        <v>1877</v>
      </c>
      <c r="B287" s="6" t="s">
        <v>35</v>
      </c>
      <c r="C287" s="8">
        <v>45399.0</v>
      </c>
      <c r="D287" s="6" t="s">
        <v>543</v>
      </c>
      <c r="E287" s="6" t="s">
        <v>1879</v>
      </c>
      <c r="F287" s="10"/>
      <c r="G287" s="6" t="s">
        <v>1880</v>
      </c>
      <c r="H287" s="6" t="s">
        <v>1774</v>
      </c>
      <c r="I287" s="17" t="b">
        <v>1</v>
      </c>
      <c r="J287" s="6" t="s">
        <v>546</v>
      </c>
      <c r="K287" s="10"/>
      <c r="L287" s="10"/>
      <c r="M287" s="10"/>
      <c r="N287" s="10"/>
      <c r="O287" s="18">
        <v>500.0</v>
      </c>
      <c r="P287" s="18">
        <v>861402.0</v>
      </c>
      <c r="Q287" s="17" t="b">
        <v>1</v>
      </c>
      <c r="R287" s="10"/>
    </row>
    <row r="288">
      <c r="A288" s="6" t="s">
        <v>1883</v>
      </c>
      <c r="B288" s="6" t="s">
        <v>35</v>
      </c>
      <c r="C288" s="8">
        <v>45400.0</v>
      </c>
      <c r="D288" s="6" t="s">
        <v>1884</v>
      </c>
      <c r="E288" s="6" t="s">
        <v>1885</v>
      </c>
      <c r="F288" s="10"/>
      <c r="G288" s="6" t="s">
        <v>1887</v>
      </c>
      <c r="H288" s="6" t="s">
        <v>1888</v>
      </c>
      <c r="I288" s="17" t="b">
        <v>0</v>
      </c>
      <c r="J288" s="6" t="s">
        <v>546</v>
      </c>
      <c r="K288" s="10"/>
      <c r="L288" s="10"/>
      <c r="M288" s="10"/>
      <c r="N288" s="10"/>
      <c r="O288" s="18">
        <v>100.0</v>
      </c>
      <c r="P288" s="10"/>
      <c r="Q288" s="17" t="b">
        <v>1</v>
      </c>
      <c r="R288" s="10"/>
    </row>
    <row r="289">
      <c r="A289" s="6" t="s">
        <v>1890</v>
      </c>
      <c r="B289" s="6" t="s">
        <v>35</v>
      </c>
      <c r="C289" s="8">
        <v>45400.0</v>
      </c>
      <c r="D289" s="6" t="s">
        <v>112</v>
      </c>
      <c r="E289" s="6" t="s">
        <v>1892</v>
      </c>
      <c r="F289" s="10"/>
      <c r="G289" s="6" t="s">
        <v>1893</v>
      </c>
      <c r="H289" s="6" t="s">
        <v>1894</v>
      </c>
      <c r="I289" s="17" t="b">
        <v>1</v>
      </c>
      <c r="J289" s="6" t="s">
        <v>546</v>
      </c>
      <c r="K289" s="10"/>
      <c r="L289" s="10"/>
      <c r="M289" s="10"/>
      <c r="N289" s="10"/>
      <c r="O289" s="18">
        <v>413.5</v>
      </c>
      <c r="P289" s="18">
        <v>862434.0</v>
      </c>
      <c r="Q289" s="17" t="b">
        <v>1</v>
      </c>
      <c r="R289" s="10"/>
    </row>
    <row r="290">
      <c r="A290" s="6" t="s">
        <v>1895</v>
      </c>
      <c r="B290" s="6" t="s">
        <v>35</v>
      </c>
      <c r="C290" s="8">
        <v>45399.0</v>
      </c>
      <c r="D290" s="6" t="s">
        <v>890</v>
      </c>
      <c r="E290" s="6" t="s">
        <v>1897</v>
      </c>
      <c r="F290" s="10"/>
      <c r="G290" s="6" t="s">
        <v>1898</v>
      </c>
      <c r="H290" s="6" t="s">
        <v>1899</v>
      </c>
      <c r="I290" s="17" t="b">
        <v>0</v>
      </c>
      <c r="J290" s="6" t="s">
        <v>546</v>
      </c>
      <c r="K290" s="10"/>
      <c r="L290" s="10"/>
      <c r="M290" s="10"/>
      <c r="N290" s="10"/>
      <c r="O290" s="18">
        <v>15389.41</v>
      </c>
      <c r="P290" s="10"/>
      <c r="Q290" s="17" t="b">
        <v>1</v>
      </c>
      <c r="R290" s="10"/>
    </row>
    <row r="291">
      <c r="A291" s="6" t="s">
        <v>1901</v>
      </c>
      <c r="B291" s="6" t="s">
        <v>35</v>
      </c>
      <c r="C291" s="8">
        <v>45404.0</v>
      </c>
      <c r="D291" s="6" t="s">
        <v>673</v>
      </c>
      <c r="E291" s="10"/>
      <c r="F291" s="10"/>
      <c r="G291" s="10"/>
      <c r="H291" s="6" t="s">
        <v>1902</v>
      </c>
      <c r="I291" s="10"/>
      <c r="J291" s="6" t="s">
        <v>539</v>
      </c>
      <c r="K291" s="10"/>
      <c r="L291" s="10"/>
      <c r="M291" s="10"/>
      <c r="N291" s="10"/>
      <c r="O291" s="18">
        <v>1299.91</v>
      </c>
      <c r="P291" s="10"/>
      <c r="Q291" s="6"/>
      <c r="R291" s="10"/>
    </row>
    <row r="292">
      <c r="A292" s="6" t="s">
        <v>1905</v>
      </c>
      <c r="B292" s="6" t="s">
        <v>35</v>
      </c>
      <c r="C292" s="8">
        <v>45404.0</v>
      </c>
      <c r="D292" s="6" t="s">
        <v>673</v>
      </c>
      <c r="E292" s="10"/>
      <c r="F292" s="10"/>
      <c r="G292" s="10"/>
      <c r="H292" s="6" t="s">
        <v>1907</v>
      </c>
      <c r="I292" s="10"/>
      <c r="J292" s="6" t="s">
        <v>539</v>
      </c>
      <c r="K292" s="10"/>
      <c r="L292" s="10"/>
      <c r="M292" s="10"/>
      <c r="N292" s="10"/>
      <c r="O292" s="18">
        <v>1299.91</v>
      </c>
      <c r="P292" s="10"/>
      <c r="Q292" s="6"/>
      <c r="R292" s="10"/>
    </row>
    <row r="293">
      <c r="A293" s="6" t="s">
        <v>1909</v>
      </c>
      <c r="B293" s="6" t="s">
        <v>35</v>
      </c>
      <c r="C293" s="8">
        <v>45401.0</v>
      </c>
      <c r="D293" s="6" t="s">
        <v>1911</v>
      </c>
      <c r="E293" s="6" t="s">
        <v>1912</v>
      </c>
      <c r="F293" s="10"/>
      <c r="G293" s="6" t="s">
        <v>1913</v>
      </c>
      <c r="H293" s="6" t="s">
        <v>1915</v>
      </c>
      <c r="I293" s="17" t="b">
        <v>1</v>
      </c>
      <c r="J293" s="6" t="s">
        <v>546</v>
      </c>
      <c r="K293" s="10"/>
      <c r="L293" s="10"/>
      <c r="M293" s="10"/>
      <c r="N293" s="10"/>
      <c r="O293" s="18">
        <v>74.27</v>
      </c>
      <c r="P293" s="18">
        <v>863434.0</v>
      </c>
      <c r="Q293" s="17" t="b">
        <v>1</v>
      </c>
      <c r="R293" s="10"/>
    </row>
    <row r="294">
      <c r="A294" s="6" t="s">
        <v>1916</v>
      </c>
      <c r="B294" s="6" t="s">
        <v>35</v>
      </c>
      <c r="C294" s="8">
        <v>45401.0</v>
      </c>
      <c r="D294" s="6" t="s">
        <v>1918</v>
      </c>
      <c r="E294" s="6" t="s">
        <v>1919</v>
      </c>
      <c r="F294" s="10"/>
      <c r="G294" s="6" t="s">
        <v>1920</v>
      </c>
      <c r="H294" s="6" t="s">
        <v>1922</v>
      </c>
      <c r="I294" s="17" t="b">
        <v>1</v>
      </c>
      <c r="J294" s="6" t="s">
        <v>546</v>
      </c>
      <c r="K294" s="10"/>
      <c r="L294" s="10"/>
      <c r="M294" s="10"/>
      <c r="N294" s="10"/>
      <c r="O294" s="18">
        <v>55.0</v>
      </c>
      <c r="P294" s="18">
        <v>863439.0</v>
      </c>
      <c r="Q294" s="17" t="b">
        <v>1</v>
      </c>
      <c r="R294" s="10"/>
    </row>
    <row r="295">
      <c r="A295" s="6" t="s">
        <v>1925</v>
      </c>
      <c r="B295" s="6" t="s">
        <v>35</v>
      </c>
      <c r="C295" s="8">
        <v>45401.0</v>
      </c>
      <c r="D295" s="6" t="s">
        <v>175</v>
      </c>
      <c r="E295" s="6" t="s">
        <v>1926</v>
      </c>
      <c r="F295" s="10"/>
      <c r="G295" s="6" t="s">
        <v>1928</v>
      </c>
      <c r="H295" s="6" t="s">
        <v>1929</v>
      </c>
      <c r="I295" s="17" t="b">
        <v>1</v>
      </c>
      <c r="J295" s="6" t="s">
        <v>546</v>
      </c>
      <c r="K295" s="10"/>
      <c r="L295" s="10"/>
      <c r="M295" s="10"/>
      <c r="N295" s="10"/>
      <c r="O295" s="18">
        <v>203.9</v>
      </c>
      <c r="P295" s="18">
        <v>863442.0</v>
      </c>
      <c r="Q295" s="17" t="b">
        <v>1</v>
      </c>
      <c r="R295" s="10"/>
    </row>
    <row r="296">
      <c r="A296" s="6" t="s">
        <v>1931</v>
      </c>
      <c r="B296" s="6" t="s">
        <v>35</v>
      </c>
      <c r="C296" s="8">
        <v>45401.0</v>
      </c>
      <c r="D296" s="6" t="s">
        <v>175</v>
      </c>
      <c r="E296" s="6" t="s">
        <v>1932</v>
      </c>
      <c r="F296" s="10"/>
      <c r="G296" s="6" t="s">
        <v>1933</v>
      </c>
      <c r="H296" s="6" t="s">
        <v>1934</v>
      </c>
      <c r="I296" s="17" t="b">
        <v>1</v>
      </c>
      <c r="J296" s="6" t="s">
        <v>546</v>
      </c>
      <c r="K296" s="10"/>
      <c r="L296" s="10"/>
      <c r="M296" s="10"/>
      <c r="N296" s="10"/>
      <c r="O296" s="18">
        <v>11.99</v>
      </c>
      <c r="P296" s="18">
        <v>863445.0</v>
      </c>
      <c r="Q296" s="17" t="b">
        <v>1</v>
      </c>
      <c r="R296" s="10"/>
    </row>
    <row r="297">
      <c r="A297" s="6" t="s">
        <v>1935</v>
      </c>
      <c r="B297" s="6" t="s">
        <v>35</v>
      </c>
      <c r="C297" s="8">
        <v>45401.0</v>
      </c>
      <c r="D297" s="6" t="s">
        <v>286</v>
      </c>
      <c r="E297" s="6" t="s">
        <v>1937</v>
      </c>
      <c r="F297" s="10"/>
      <c r="G297" s="6" t="s">
        <v>1938</v>
      </c>
      <c r="H297" s="6" t="s">
        <v>1939</v>
      </c>
      <c r="I297" s="17" t="b">
        <v>1</v>
      </c>
      <c r="J297" s="6" t="s">
        <v>546</v>
      </c>
      <c r="K297" s="10"/>
      <c r="L297" s="10"/>
      <c r="M297" s="10"/>
      <c r="N297" s="10"/>
      <c r="O297" s="18">
        <v>6.0</v>
      </c>
      <c r="P297" s="18">
        <v>863558.0</v>
      </c>
      <c r="Q297" s="17" t="b">
        <v>1</v>
      </c>
      <c r="R297" s="10"/>
    </row>
    <row r="298">
      <c r="A298" s="18">
        <v>9.0835023E7</v>
      </c>
      <c r="B298" s="6" t="s">
        <v>35</v>
      </c>
      <c r="C298" s="8">
        <v>45404.0</v>
      </c>
      <c r="D298" s="6" t="s">
        <v>112</v>
      </c>
      <c r="E298" s="6" t="s">
        <v>1941</v>
      </c>
      <c r="F298" s="10"/>
      <c r="G298" s="6" t="s">
        <v>1942</v>
      </c>
      <c r="H298" s="6" t="s">
        <v>792</v>
      </c>
      <c r="I298" s="17" t="b">
        <v>1</v>
      </c>
      <c r="J298" s="6" t="s">
        <v>546</v>
      </c>
      <c r="K298" s="10"/>
      <c r="L298" s="10"/>
      <c r="M298" s="10"/>
      <c r="N298" s="10"/>
      <c r="O298" s="18">
        <v>429.03</v>
      </c>
      <c r="P298" s="18">
        <v>867915.0</v>
      </c>
      <c r="Q298" s="17" t="b">
        <v>1</v>
      </c>
      <c r="R298" s="10"/>
    </row>
    <row r="299">
      <c r="A299" s="6" t="s">
        <v>1945</v>
      </c>
      <c r="B299" s="6" t="s">
        <v>35</v>
      </c>
      <c r="C299" s="8">
        <v>45405.0</v>
      </c>
      <c r="D299" s="6" t="s">
        <v>1946</v>
      </c>
      <c r="E299" s="6" t="s">
        <v>1947</v>
      </c>
      <c r="F299" s="10"/>
      <c r="G299" s="6" t="s">
        <v>1949</v>
      </c>
      <c r="H299" s="6" t="s">
        <v>1950</v>
      </c>
      <c r="I299" s="17" t="b">
        <v>1</v>
      </c>
      <c r="J299" s="6" t="s">
        <v>546</v>
      </c>
      <c r="K299" s="10"/>
      <c r="L299" s="10"/>
      <c r="M299" s="10"/>
      <c r="N299" s="10"/>
      <c r="O299" s="18">
        <v>61.8</v>
      </c>
      <c r="P299" s="18">
        <v>869252.0</v>
      </c>
      <c r="Q299" s="17" t="b">
        <v>1</v>
      </c>
      <c r="R299" s="10"/>
    </row>
    <row r="300">
      <c r="A300" s="6" t="s">
        <v>1952</v>
      </c>
      <c r="B300" s="6" t="s">
        <v>35</v>
      </c>
      <c r="C300" s="8">
        <v>45400.0</v>
      </c>
      <c r="D300" s="6" t="s">
        <v>890</v>
      </c>
      <c r="E300" s="6" t="s">
        <v>1954</v>
      </c>
      <c r="F300" s="10"/>
      <c r="G300" s="6" t="s">
        <v>1955</v>
      </c>
      <c r="H300" s="6" t="s">
        <v>1184</v>
      </c>
      <c r="I300" s="17" t="b">
        <v>0</v>
      </c>
      <c r="J300" s="6" t="s">
        <v>546</v>
      </c>
      <c r="K300" s="10"/>
      <c r="L300" s="10"/>
      <c r="M300" s="10"/>
      <c r="N300" s="10"/>
      <c r="O300" s="18">
        <v>5903.2</v>
      </c>
      <c r="P300" s="10"/>
      <c r="Q300" s="17" t="b">
        <v>1</v>
      </c>
      <c r="R300" s="10"/>
    </row>
    <row r="301">
      <c r="A301" s="6" t="s">
        <v>1956</v>
      </c>
      <c r="B301" s="6" t="s">
        <v>35</v>
      </c>
      <c r="C301" s="8">
        <v>45398.0</v>
      </c>
      <c r="D301" s="6" t="s">
        <v>1036</v>
      </c>
      <c r="E301" s="6" t="s">
        <v>1958</v>
      </c>
      <c r="F301" s="10"/>
      <c r="G301" s="6" t="s">
        <v>1959</v>
      </c>
      <c r="H301" s="6" t="s">
        <v>1960</v>
      </c>
      <c r="I301" s="17" t="b">
        <v>0</v>
      </c>
      <c r="J301" s="6" t="s">
        <v>546</v>
      </c>
      <c r="K301" s="10"/>
      <c r="L301" s="10"/>
      <c r="M301" s="10"/>
      <c r="N301" s="10"/>
      <c r="O301" s="18">
        <v>114.46</v>
      </c>
      <c r="P301" s="10"/>
      <c r="Q301" s="17" t="b">
        <v>1</v>
      </c>
      <c r="R301" s="10"/>
    </row>
    <row r="302">
      <c r="A302" s="6" t="s">
        <v>1963</v>
      </c>
      <c r="B302" s="6" t="s">
        <v>35</v>
      </c>
      <c r="C302" s="8">
        <v>45400.0</v>
      </c>
      <c r="D302" s="6" t="s">
        <v>764</v>
      </c>
      <c r="E302" s="6" t="s">
        <v>1966</v>
      </c>
      <c r="F302" s="10"/>
      <c r="G302" s="6" t="s">
        <v>1968</v>
      </c>
      <c r="H302" s="6" t="s">
        <v>767</v>
      </c>
      <c r="I302" s="17" t="b">
        <v>0</v>
      </c>
      <c r="J302" s="6" t="s">
        <v>546</v>
      </c>
      <c r="K302" s="10"/>
      <c r="L302" s="10"/>
      <c r="M302" s="10"/>
      <c r="N302" s="10"/>
      <c r="O302" s="18">
        <v>648.64</v>
      </c>
      <c r="P302" s="10"/>
      <c r="Q302" s="17" t="b">
        <v>1</v>
      </c>
      <c r="R302" s="10"/>
    </row>
    <row r="303">
      <c r="A303" s="6" t="s">
        <v>1971</v>
      </c>
      <c r="B303" s="6" t="s">
        <v>35</v>
      </c>
      <c r="C303" s="8">
        <v>45398.0</v>
      </c>
      <c r="D303" s="18">
        <v>6.8893939E7</v>
      </c>
      <c r="E303" s="6" t="s">
        <v>1973</v>
      </c>
      <c r="F303" s="10"/>
      <c r="G303" s="6" t="s">
        <v>1974</v>
      </c>
      <c r="H303" s="6" t="s">
        <v>1975</v>
      </c>
      <c r="I303" s="17" t="b">
        <v>0</v>
      </c>
      <c r="J303" s="6" t="s">
        <v>546</v>
      </c>
      <c r="K303" s="10"/>
      <c r="L303" s="10"/>
      <c r="M303" s="10"/>
      <c r="N303" s="10"/>
      <c r="O303" s="18">
        <v>331.98</v>
      </c>
      <c r="P303" s="10"/>
      <c r="Q303" s="17" t="b">
        <v>1</v>
      </c>
      <c r="R303" s="10"/>
    </row>
    <row r="304">
      <c r="A304" s="6" t="s">
        <v>1978</v>
      </c>
      <c r="B304" s="6" t="s">
        <v>35</v>
      </c>
      <c r="C304" s="8">
        <v>45407.0</v>
      </c>
      <c r="D304" s="6" t="s">
        <v>112</v>
      </c>
      <c r="E304" s="6" t="s">
        <v>1980</v>
      </c>
      <c r="F304" s="10"/>
      <c r="G304" s="6" t="s">
        <v>1981</v>
      </c>
      <c r="H304" s="6" t="s">
        <v>792</v>
      </c>
      <c r="I304" s="17" t="b">
        <v>1</v>
      </c>
      <c r="J304" s="6" t="s">
        <v>546</v>
      </c>
      <c r="K304" s="10"/>
      <c r="L304" s="10"/>
      <c r="M304" s="10"/>
      <c r="N304" s="10"/>
      <c r="O304" s="18">
        <v>336.15</v>
      </c>
      <c r="P304" s="18">
        <v>870894.0</v>
      </c>
      <c r="Q304" s="17" t="b">
        <v>1</v>
      </c>
      <c r="R304" s="10"/>
    </row>
    <row r="305">
      <c r="A305" s="6" t="s">
        <v>1984</v>
      </c>
      <c r="B305" s="6" t="s">
        <v>35</v>
      </c>
      <c r="C305" s="8">
        <v>45422.0</v>
      </c>
      <c r="D305" s="6" t="s">
        <v>1557</v>
      </c>
      <c r="E305" s="6" t="s">
        <v>1986</v>
      </c>
      <c r="F305" s="10"/>
      <c r="G305" s="6" t="s">
        <v>1987</v>
      </c>
      <c r="H305" s="6" t="s">
        <v>1988</v>
      </c>
      <c r="I305" s="17" t="b">
        <v>0</v>
      </c>
      <c r="J305" s="6" t="s">
        <v>546</v>
      </c>
      <c r="K305" s="10"/>
      <c r="L305" s="10"/>
      <c r="M305" s="10"/>
      <c r="N305" s="10"/>
      <c r="O305" s="18">
        <v>110.0</v>
      </c>
      <c r="P305" s="10"/>
      <c r="Q305" s="17" t="b">
        <v>1</v>
      </c>
      <c r="R305" s="10"/>
    </row>
    <row r="306">
      <c r="A306" s="6" t="s">
        <v>1991</v>
      </c>
      <c r="B306" s="6" t="s">
        <v>35</v>
      </c>
      <c r="C306" s="8">
        <v>45407.0</v>
      </c>
      <c r="D306" s="6" t="s">
        <v>286</v>
      </c>
      <c r="E306" s="6" t="s">
        <v>1993</v>
      </c>
      <c r="F306" s="10"/>
      <c r="G306" s="6" t="s">
        <v>1994</v>
      </c>
      <c r="H306" s="6" t="s">
        <v>1995</v>
      </c>
      <c r="I306" s="17" t="b">
        <v>1</v>
      </c>
      <c r="J306" s="6" t="s">
        <v>546</v>
      </c>
      <c r="K306" s="10"/>
      <c r="L306" s="10"/>
      <c r="M306" s="10"/>
      <c r="N306" s="10"/>
      <c r="O306" s="18">
        <v>15.0</v>
      </c>
      <c r="P306" s="6" t="s">
        <v>1996</v>
      </c>
      <c r="Q306" s="17" t="b">
        <v>1</v>
      </c>
      <c r="R306" s="10"/>
    </row>
    <row r="307">
      <c r="A307" s="6" t="s">
        <v>1998</v>
      </c>
      <c r="B307" s="6" t="s">
        <v>35</v>
      </c>
      <c r="C307" s="8">
        <v>45408.0</v>
      </c>
      <c r="D307" s="6" t="s">
        <v>543</v>
      </c>
      <c r="E307" s="6" t="s">
        <v>1999</v>
      </c>
      <c r="F307" s="10"/>
      <c r="G307" s="6" t="s">
        <v>2001</v>
      </c>
      <c r="H307" s="6" t="s">
        <v>140</v>
      </c>
      <c r="I307" s="17" t="b">
        <v>1</v>
      </c>
      <c r="J307" s="6" t="s">
        <v>546</v>
      </c>
      <c r="K307" s="10"/>
      <c r="L307" s="10"/>
      <c r="M307" s="10"/>
      <c r="N307" s="10"/>
      <c r="O307" s="18">
        <v>400.0</v>
      </c>
      <c r="P307" s="18">
        <v>871826.0</v>
      </c>
      <c r="Q307" s="17" t="b">
        <v>1</v>
      </c>
      <c r="R307" s="10"/>
    </row>
    <row r="308">
      <c r="A308" s="18">
        <v>9.9066248E7</v>
      </c>
      <c r="B308" s="6" t="s">
        <v>35</v>
      </c>
      <c r="C308" s="8">
        <v>45411.0</v>
      </c>
      <c r="D308" s="6" t="s">
        <v>112</v>
      </c>
      <c r="E308" s="6" t="s">
        <v>2005</v>
      </c>
      <c r="F308" s="10"/>
      <c r="G308" s="6" t="s">
        <v>2006</v>
      </c>
      <c r="H308" s="6" t="s">
        <v>2007</v>
      </c>
      <c r="I308" s="17" t="b">
        <v>1</v>
      </c>
      <c r="J308" s="6" t="s">
        <v>546</v>
      </c>
      <c r="K308" s="10"/>
      <c r="L308" s="10"/>
      <c r="M308" s="10"/>
      <c r="N308" s="10"/>
      <c r="O308" s="18">
        <v>344.59</v>
      </c>
      <c r="P308" s="18">
        <v>874390.0</v>
      </c>
      <c r="Q308" s="17" t="b">
        <v>1</v>
      </c>
      <c r="R308" s="10"/>
    </row>
    <row r="309">
      <c r="A309" s="6" t="s">
        <v>2010</v>
      </c>
      <c r="B309" s="6" t="s">
        <v>35</v>
      </c>
      <c r="C309" s="8">
        <v>45411.0</v>
      </c>
      <c r="D309" s="6" t="s">
        <v>1016</v>
      </c>
      <c r="E309" s="6" t="s">
        <v>2013</v>
      </c>
      <c r="F309" s="10"/>
      <c r="G309" s="6" t="s">
        <v>2015</v>
      </c>
      <c r="H309" s="6" t="s">
        <v>1117</v>
      </c>
      <c r="I309" s="17" t="b">
        <v>0</v>
      </c>
      <c r="J309" s="6" t="s">
        <v>546</v>
      </c>
      <c r="K309" s="10"/>
      <c r="L309" s="10"/>
      <c r="M309" s="10"/>
      <c r="N309" s="10"/>
      <c r="O309" s="18">
        <v>70.65</v>
      </c>
      <c r="P309" s="10"/>
      <c r="Q309" s="17" t="b">
        <v>1</v>
      </c>
      <c r="R309" s="10"/>
    </row>
    <row r="310">
      <c r="A310" s="6" t="s">
        <v>2018</v>
      </c>
      <c r="B310" s="6" t="s">
        <v>35</v>
      </c>
      <c r="C310" s="8">
        <v>45411.0</v>
      </c>
      <c r="D310" s="6" t="s">
        <v>460</v>
      </c>
      <c r="E310" s="10"/>
      <c r="F310" s="10"/>
      <c r="G310" s="10"/>
      <c r="H310" s="6" t="s">
        <v>931</v>
      </c>
      <c r="I310" s="10"/>
      <c r="J310" s="6" t="s">
        <v>539</v>
      </c>
      <c r="K310" s="10"/>
      <c r="L310" s="10"/>
      <c r="M310" s="10"/>
      <c r="N310" s="10"/>
      <c r="O310" s="18">
        <v>30.0</v>
      </c>
      <c r="P310" s="10"/>
      <c r="Q310" s="6"/>
      <c r="R310" s="10"/>
    </row>
    <row r="311">
      <c r="A311" s="6" t="s">
        <v>2024</v>
      </c>
      <c r="B311" s="6" t="s">
        <v>35</v>
      </c>
      <c r="C311" s="8">
        <v>45411.0</v>
      </c>
      <c r="D311" s="10"/>
      <c r="E311" s="10"/>
      <c r="F311" s="10"/>
      <c r="G311" s="10"/>
      <c r="H311" s="6" t="s">
        <v>2027</v>
      </c>
      <c r="I311" s="10"/>
      <c r="J311" s="6" t="s">
        <v>539</v>
      </c>
      <c r="K311" s="6" t="s">
        <v>624</v>
      </c>
      <c r="L311" s="10"/>
      <c r="M311" s="10"/>
      <c r="N311" s="10"/>
      <c r="O311" s="18">
        <v>200.0</v>
      </c>
      <c r="P311" s="10"/>
      <c r="Q311" s="6"/>
      <c r="R311" s="10"/>
    </row>
    <row r="312">
      <c r="A312" s="6" t="s">
        <v>2029</v>
      </c>
      <c r="B312" s="6" t="s">
        <v>35</v>
      </c>
      <c r="C312" s="8">
        <v>45412.0</v>
      </c>
      <c r="D312" s="6" t="s">
        <v>2030</v>
      </c>
      <c r="E312" s="6" t="s">
        <v>2032</v>
      </c>
      <c r="F312" s="10"/>
      <c r="G312" s="6" t="s">
        <v>2033</v>
      </c>
      <c r="H312" s="6" t="s">
        <v>2034</v>
      </c>
      <c r="I312" s="17" t="b">
        <v>1</v>
      </c>
      <c r="J312" s="6" t="s">
        <v>546</v>
      </c>
      <c r="K312" s="10"/>
      <c r="L312" s="10"/>
      <c r="M312" s="10"/>
      <c r="N312" s="10"/>
      <c r="O312" s="18">
        <v>43.1</v>
      </c>
      <c r="P312" s="18">
        <v>878080.0</v>
      </c>
      <c r="Q312" s="17" t="b">
        <v>1</v>
      </c>
      <c r="R312" s="10"/>
    </row>
    <row r="313">
      <c r="A313" s="6" t="s">
        <v>2037</v>
      </c>
      <c r="B313" s="6" t="s">
        <v>35</v>
      </c>
      <c r="C313" s="8">
        <v>45412.0</v>
      </c>
      <c r="D313" s="6" t="s">
        <v>2039</v>
      </c>
      <c r="E313" s="6" t="s">
        <v>2041</v>
      </c>
      <c r="F313" s="10"/>
      <c r="G313" s="6" t="s">
        <v>2042</v>
      </c>
      <c r="H313" s="6" t="s">
        <v>2043</v>
      </c>
      <c r="I313" s="17" t="b">
        <v>1</v>
      </c>
      <c r="J313" s="6" t="s">
        <v>546</v>
      </c>
      <c r="K313" s="10"/>
      <c r="L313" s="10"/>
      <c r="M313" s="10"/>
      <c r="N313" s="10"/>
      <c r="O313" s="18">
        <v>235.0</v>
      </c>
      <c r="P313" s="18">
        <v>878494.0</v>
      </c>
      <c r="Q313" s="17" t="b">
        <v>1</v>
      </c>
      <c r="R313" s="10"/>
    </row>
    <row r="314">
      <c r="A314" s="6" t="s">
        <v>2047</v>
      </c>
      <c r="B314" s="6" t="s">
        <v>35</v>
      </c>
      <c r="C314" s="8">
        <v>45413.0</v>
      </c>
      <c r="D314" s="10"/>
      <c r="E314" s="10"/>
      <c r="F314" s="10"/>
      <c r="G314" s="10"/>
      <c r="H314" s="6" t="s">
        <v>2050</v>
      </c>
      <c r="I314" s="10"/>
      <c r="J314" s="6" t="s">
        <v>2051</v>
      </c>
      <c r="K314" s="6" t="s">
        <v>2052</v>
      </c>
      <c r="L314" s="10"/>
      <c r="M314" s="10"/>
      <c r="N314" s="10"/>
      <c r="O314" s="18">
        <v>200.0</v>
      </c>
      <c r="P314" s="10"/>
      <c r="Q314" s="6"/>
      <c r="R314" s="10"/>
    </row>
    <row r="315">
      <c r="A315" s="6" t="s">
        <v>2055</v>
      </c>
      <c r="B315" s="6" t="s">
        <v>35</v>
      </c>
      <c r="C315" s="8">
        <v>45413.0</v>
      </c>
      <c r="D315" s="10"/>
      <c r="E315" s="10"/>
      <c r="F315" s="10"/>
      <c r="G315" s="10"/>
      <c r="H315" s="6" t="s">
        <v>1329</v>
      </c>
      <c r="I315" s="10"/>
      <c r="J315" s="6" t="s">
        <v>539</v>
      </c>
      <c r="K315" s="6" t="s">
        <v>651</v>
      </c>
      <c r="L315" s="10"/>
      <c r="M315" s="10"/>
      <c r="N315" s="10"/>
      <c r="O315" s="18">
        <v>500.0</v>
      </c>
      <c r="P315" s="10"/>
      <c r="Q315" s="6"/>
      <c r="R315" s="10"/>
    </row>
    <row r="316">
      <c r="A316" s="6" t="s">
        <v>2059</v>
      </c>
      <c r="B316" s="6" t="s">
        <v>35</v>
      </c>
      <c r="C316" s="8">
        <v>45413.0</v>
      </c>
      <c r="D316" s="10"/>
      <c r="E316" s="10"/>
      <c r="F316" s="10"/>
      <c r="G316" s="10"/>
      <c r="H316" s="6" t="s">
        <v>1329</v>
      </c>
      <c r="I316" s="10"/>
      <c r="J316" s="6" t="s">
        <v>539</v>
      </c>
      <c r="K316" s="6" t="s">
        <v>658</v>
      </c>
      <c r="L316" s="10"/>
      <c r="M316" s="10"/>
      <c r="N316" s="10"/>
      <c r="O316" s="18">
        <v>500.0</v>
      </c>
      <c r="P316" s="10"/>
      <c r="Q316" s="6"/>
      <c r="R316" s="10"/>
    </row>
    <row r="317">
      <c r="A317" s="6" t="s">
        <v>2061</v>
      </c>
      <c r="B317" s="6" t="s">
        <v>35</v>
      </c>
      <c r="C317" s="8">
        <v>45413.0</v>
      </c>
      <c r="D317" s="6" t="s">
        <v>543</v>
      </c>
      <c r="E317" s="6" t="s">
        <v>2063</v>
      </c>
      <c r="F317" s="10"/>
      <c r="G317" s="6" t="s">
        <v>2064</v>
      </c>
      <c r="H317" s="6" t="s">
        <v>415</v>
      </c>
      <c r="I317" s="17" t="b">
        <v>1</v>
      </c>
      <c r="J317" s="6" t="s">
        <v>546</v>
      </c>
      <c r="K317" s="10"/>
      <c r="L317" s="10"/>
      <c r="M317" s="10"/>
      <c r="N317" s="10"/>
      <c r="O317" s="18">
        <v>500.0</v>
      </c>
      <c r="P317" s="18">
        <v>879334.0</v>
      </c>
      <c r="Q317" s="17" t="b">
        <v>1</v>
      </c>
      <c r="R317" s="10"/>
    </row>
    <row r="318">
      <c r="A318" s="6" t="s">
        <v>2065</v>
      </c>
      <c r="B318" s="6" t="s">
        <v>35</v>
      </c>
      <c r="C318" s="8">
        <v>45412.0</v>
      </c>
      <c r="D318" s="6" t="s">
        <v>112</v>
      </c>
      <c r="E318" s="6" t="s">
        <v>2067</v>
      </c>
      <c r="F318" s="10"/>
      <c r="G318" s="6" t="s">
        <v>2068</v>
      </c>
      <c r="H318" s="6" t="s">
        <v>157</v>
      </c>
      <c r="I318" s="17" t="b">
        <v>1</v>
      </c>
      <c r="J318" s="6" t="s">
        <v>546</v>
      </c>
      <c r="K318" s="10"/>
      <c r="L318" s="10"/>
      <c r="M318" s="10"/>
      <c r="N318" s="10"/>
      <c r="O318" s="18">
        <v>157.43</v>
      </c>
      <c r="P318" s="18">
        <v>878100.0</v>
      </c>
      <c r="Q318" s="17" t="b">
        <v>1</v>
      </c>
      <c r="R318" s="10"/>
    </row>
    <row r="319">
      <c r="A319" s="6" t="s">
        <v>2069</v>
      </c>
      <c r="B319" s="6" t="s">
        <v>35</v>
      </c>
      <c r="C319" s="8">
        <v>45413.0</v>
      </c>
      <c r="D319" s="6" t="s">
        <v>890</v>
      </c>
      <c r="E319" s="6" t="s">
        <v>2070</v>
      </c>
      <c r="F319" s="10"/>
      <c r="G319" s="6" t="s">
        <v>2071</v>
      </c>
      <c r="H319" s="6" t="s">
        <v>2072</v>
      </c>
      <c r="I319" s="17" t="b">
        <v>0</v>
      </c>
      <c r="J319" s="6" t="s">
        <v>546</v>
      </c>
      <c r="K319" s="10"/>
      <c r="L319" s="10"/>
      <c r="M319" s="10"/>
      <c r="N319" s="10"/>
      <c r="O319" s="18">
        <v>6243.33</v>
      </c>
      <c r="P319" s="10"/>
      <c r="Q319" s="17" t="b">
        <v>1</v>
      </c>
      <c r="R319" s="10"/>
    </row>
    <row r="320">
      <c r="A320" s="6" t="s">
        <v>2074</v>
      </c>
      <c r="B320" s="6" t="s">
        <v>35</v>
      </c>
      <c r="C320" s="8">
        <v>45413.0</v>
      </c>
      <c r="D320" s="6" t="s">
        <v>890</v>
      </c>
      <c r="E320" s="6" t="s">
        <v>2076</v>
      </c>
      <c r="F320" s="10"/>
      <c r="G320" s="6" t="s">
        <v>2077</v>
      </c>
      <c r="H320" s="6" t="s">
        <v>893</v>
      </c>
      <c r="I320" s="17" t="b">
        <v>0</v>
      </c>
      <c r="J320" s="6" t="s">
        <v>546</v>
      </c>
      <c r="K320" s="10"/>
      <c r="L320" s="10"/>
      <c r="M320" s="10"/>
      <c r="N320" s="10"/>
      <c r="O320" s="18">
        <v>8115.29</v>
      </c>
      <c r="P320" s="10"/>
      <c r="Q320" s="17" t="b">
        <v>1</v>
      </c>
      <c r="R320" s="10"/>
    </row>
    <row r="321">
      <c r="A321" s="6" t="s">
        <v>2080</v>
      </c>
      <c r="B321" s="6" t="s">
        <v>35</v>
      </c>
      <c r="C321" s="8">
        <v>45414.0</v>
      </c>
      <c r="D321" s="6" t="s">
        <v>1918</v>
      </c>
      <c r="E321" s="6" t="s">
        <v>2082</v>
      </c>
      <c r="F321" s="10"/>
      <c r="G321" s="6" t="s">
        <v>2083</v>
      </c>
      <c r="H321" s="6" t="s">
        <v>2084</v>
      </c>
      <c r="I321" s="17" t="b">
        <v>1</v>
      </c>
      <c r="J321" s="6" t="s">
        <v>546</v>
      </c>
      <c r="K321" s="10"/>
      <c r="L321" s="10"/>
      <c r="M321" s="10"/>
      <c r="N321" s="10"/>
      <c r="O321" s="18">
        <v>58.0</v>
      </c>
      <c r="P321" s="18">
        <v>881476.0</v>
      </c>
      <c r="Q321" s="17" t="b">
        <v>1</v>
      </c>
      <c r="R321" s="10"/>
    </row>
    <row r="322">
      <c r="A322" s="6" t="s">
        <v>2086</v>
      </c>
      <c r="B322" s="6" t="s">
        <v>35</v>
      </c>
      <c r="C322" s="8">
        <v>45414.0</v>
      </c>
      <c r="D322" s="6" t="s">
        <v>353</v>
      </c>
      <c r="E322" s="6" t="s">
        <v>2087</v>
      </c>
      <c r="F322" s="10"/>
      <c r="G322" s="6" t="s">
        <v>2088</v>
      </c>
      <c r="H322" s="6" t="s">
        <v>605</v>
      </c>
      <c r="I322" s="17" t="b">
        <v>1</v>
      </c>
      <c r="J322" s="6" t="s">
        <v>546</v>
      </c>
      <c r="K322" s="10"/>
      <c r="L322" s="10"/>
      <c r="M322" s="10"/>
      <c r="N322" s="10"/>
      <c r="O322" s="18">
        <v>240.14</v>
      </c>
      <c r="P322" s="18">
        <v>881475.0</v>
      </c>
      <c r="Q322" s="17" t="b">
        <v>1</v>
      </c>
      <c r="R322" s="10"/>
    </row>
    <row r="323">
      <c r="A323" s="6" t="s">
        <v>2090</v>
      </c>
      <c r="B323" s="6" t="s">
        <v>35</v>
      </c>
      <c r="C323" s="8">
        <v>45414.0</v>
      </c>
      <c r="D323" s="6" t="s">
        <v>764</v>
      </c>
      <c r="E323" s="6" t="s">
        <v>2091</v>
      </c>
      <c r="F323" s="10"/>
      <c r="G323" s="6" t="s">
        <v>2092</v>
      </c>
      <c r="H323" s="6" t="s">
        <v>767</v>
      </c>
      <c r="I323" s="17" t="b">
        <v>0</v>
      </c>
      <c r="J323" s="6" t="s">
        <v>546</v>
      </c>
      <c r="K323" s="10"/>
      <c r="L323" s="10"/>
      <c r="M323" s="10"/>
      <c r="N323" s="10"/>
      <c r="O323" s="18">
        <v>1917.42</v>
      </c>
      <c r="P323" s="10"/>
      <c r="Q323" s="17" t="b">
        <v>1</v>
      </c>
      <c r="R323" s="10"/>
    </row>
    <row r="324">
      <c r="A324" s="6" t="s">
        <v>2095</v>
      </c>
      <c r="B324" s="6" t="s">
        <v>35</v>
      </c>
      <c r="C324" s="8">
        <v>45415.0</v>
      </c>
      <c r="D324" s="6" t="s">
        <v>2096</v>
      </c>
      <c r="E324" s="6" t="s">
        <v>2097</v>
      </c>
      <c r="F324" s="10"/>
      <c r="G324" s="6" t="s">
        <v>2098</v>
      </c>
      <c r="H324" s="6" t="s">
        <v>2099</v>
      </c>
      <c r="I324" s="17" t="b">
        <v>1</v>
      </c>
      <c r="J324" s="6" t="s">
        <v>546</v>
      </c>
      <c r="K324" s="10"/>
      <c r="L324" s="10"/>
      <c r="M324" s="10"/>
      <c r="N324" s="10"/>
      <c r="O324" s="18">
        <v>45.0</v>
      </c>
      <c r="P324" s="18">
        <v>882738.0</v>
      </c>
      <c r="Q324" s="17" t="b">
        <v>1</v>
      </c>
      <c r="R324" s="10"/>
    </row>
    <row r="325">
      <c r="A325" s="6" t="s">
        <v>2100</v>
      </c>
      <c r="B325" s="6" t="s">
        <v>35</v>
      </c>
      <c r="C325" s="8">
        <v>45415.0</v>
      </c>
      <c r="D325" s="10"/>
      <c r="E325" s="10"/>
      <c r="F325" s="10"/>
      <c r="G325" s="10"/>
      <c r="H325" s="6" t="s">
        <v>2102</v>
      </c>
      <c r="I325" s="10"/>
      <c r="J325" s="6" t="s">
        <v>539</v>
      </c>
      <c r="K325" s="6" t="s">
        <v>1100</v>
      </c>
      <c r="L325" s="10"/>
      <c r="M325" s="10"/>
      <c r="N325" s="10"/>
      <c r="O325" s="18">
        <v>100.0</v>
      </c>
      <c r="P325" s="10"/>
      <c r="Q325" s="6"/>
      <c r="R325" s="10"/>
    </row>
    <row r="326">
      <c r="A326" s="6" t="s">
        <v>2103</v>
      </c>
      <c r="B326" s="6" t="s">
        <v>35</v>
      </c>
      <c r="C326" s="8">
        <v>45417.0</v>
      </c>
      <c r="D326" s="10"/>
      <c r="E326" s="10"/>
      <c r="F326" s="10"/>
      <c r="G326" s="10"/>
      <c r="H326" s="6" t="s">
        <v>2105</v>
      </c>
      <c r="I326" s="10"/>
      <c r="J326" s="6" t="s">
        <v>539</v>
      </c>
      <c r="K326" s="6" t="s">
        <v>624</v>
      </c>
      <c r="L326" s="10"/>
      <c r="M326" s="10"/>
      <c r="N326" s="10"/>
      <c r="O326" s="18">
        <v>444.85</v>
      </c>
      <c r="P326" s="10"/>
      <c r="Q326" s="6"/>
      <c r="R326" s="10"/>
    </row>
    <row r="327">
      <c r="A327" s="6" t="s">
        <v>2106</v>
      </c>
      <c r="B327" s="6" t="s">
        <v>35</v>
      </c>
      <c r="C327" s="8">
        <v>45417.0</v>
      </c>
      <c r="D327" s="10"/>
      <c r="E327" s="10"/>
      <c r="F327" s="10"/>
      <c r="G327" s="10"/>
      <c r="H327" s="6" t="s">
        <v>2108</v>
      </c>
      <c r="I327" s="10"/>
      <c r="J327" s="6" t="s">
        <v>539</v>
      </c>
      <c r="K327" s="6" t="s">
        <v>651</v>
      </c>
      <c r="L327" s="10"/>
      <c r="M327" s="10"/>
      <c r="N327" s="10"/>
      <c r="O327" s="18">
        <v>1300.02</v>
      </c>
      <c r="P327" s="10"/>
      <c r="Q327" s="6"/>
      <c r="R327" s="10"/>
    </row>
    <row r="328">
      <c r="A328" s="6" t="s">
        <v>2109</v>
      </c>
      <c r="B328" s="6" t="s">
        <v>35</v>
      </c>
      <c r="C328" s="8">
        <v>45417.0</v>
      </c>
      <c r="D328" s="10"/>
      <c r="E328" s="10"/>
      <c r="F328" s="10"/>
      <c r="G328" s="10"/>
      <c r="H328" s="6" t="s">
        <v>2111</v>
      </c>
      <c r="I328" s="10"/>
      <c r="J328" s="6" t="s">
        <v>539</v>
      </c>
      <c r="K328" s="6" t="s">
        <v>664</v>
      </c>
      <c r="L328" s="10"/>
      <c r="M328" s="10"/>
      <c r="N328" s="10"/>
      <c r="O328" s="18">
        <v>2136.87</v>
      </c>
      <c r="P328" s="10"/>
      <c r="Q328" s="6"/>
      <c r="R328" s="10"/>
    </row>
    <row r="329">
      <c r="A329" s="6" t="s">
        <v>2113</v>
      </c>
      <c r="B329" s="6" t="s">
        <v>35</v>
      </c>
      <c r="C329" s="8">
        <v>45417.0</v>
      </c>
      <c r="D329" s="10"/>
      <c r="E329" s="10"/>
      <c r="F329" s="10"/>
      <c r="G329" s="10"/>
      <c r="H329" s="6" t="s">
        <v>2115</v>
      </c>
      <c r="I329" s="10"/>
      <c r="J329" s="6" t="s">
        <v>539</v>
      </c>
      <c r="K329" s="6" t="s">
        <v>658</v>
      </c>
      <c r="L329" s="10"/>
      <c r="M329" s="10"/>
      <c r="N329" s="10"/>
      <c r="O329" s="18">
        <v>1375.62</v>
      </c>
      <c r="P329" s="10"/>
      <c r="Q329" s="6"/>
      <c r="R329" s="10"/>
    </row>
    <row r="330">
      <c r="A330" s="6" t="s">
        <v>2118</v>
      </c>
      <c r="B330" s="6" t="s">
        <v>35</v>
      </c>
      <c r="C330" s="8">
        <v>45417.0</v>
      </c>
      <c r="D330" s="10"/>
      <c r="E330" s="10"/>
      <c r="F330" s="10"/>
      <c r="G330" s="10"/>
      <c r="H330" s="6" t="s">
        <v>2120</v>
      </c>
      <c r="I330" s="10"/>
      <c r="J330" s="6" t="s">
        <v>539</v>
      </c>
      <c r="K330" s="6" t="s">
        <v>1100</v>
      </c>
      <c r="L330" s="10"/>
      <c r="M330" s="10"/>
      <c r="N330" s="10"/>
      <c r="O330" s="18">
        <v>1545.31</v>
      </c>
      <c r="P330" s="10"/>
      <c r="Q330" s="6"/>
      <c r="R330" s="10"/>
    </row>
    <row r="331">
      <c r="A331" s="6" t="s">
        <v>2122</v>
      </c>
      <c r="B331" s="6" t="s">
        <v>35</v>
      </c>
      <c r="C331" s="8">
        <v>45415.0</v>
      </c>
      <c r="D331" s="6" t="s">
        <v>112</v>
      </c>
      <c r="E331" s="6" t="s">
        <v>2123</v>
      </c>
      <c r="F331" s="10"/>
      <c r="G331" s="6" t="s">
        <v>2125</v>
      </c>
      <c r="H331" s="6" t="s">
        <v>157</v>
      </c>
      <c r="I331" s="17" t="b">
        <v>1</v>
      </c>
      <c r="J331" s="6" t="s">
        <v>546</v>
      </c>
      <c r="K331" s="10"/>
      <c r="L331" s="10"/>
      <c r="M331" s="10"/>
      <c r="N331" s="10"/>
      <c r="O331" s="18">
        <v>481.55</v>
      </c>
      <c r="P331" s="18">
        <v>882739.0</v>
      </c>
      <c r="Q331" s="17" t="b">
        <v>1</v>
      </c>
      <c r="R331" s="10"/>
    </row>
    <row r="332">
      <c r="A332" s="6" t="s">
        <v>2127</v>
      </c>
      <c r="B332" s="6" t="s">
        <v>35</v>
      </c>
      <c r="C332" s="8">
        <v>45415.0</v>
      </c>
      <c r="D332" s="6" t="s">
        <v>2129</v>
      </c>
      <c r="E332" s="6" t="s">
        <v>2130</v>
      </c>
      <c r="F332" s="10"/>
      <c r="G332" s="6" t="s">
        <v>2131</v>
      </c>
      <c r="H332" s="6" t="s">
        <v>2132</v>
      </c>
      <c r="I332" s="17" t="b">
        <v>0</v>
      </c>
      <c r="J332" s="6" t="s">
        <v>546</v>
      </c>
      <c r="K332" s="10"/>
      <c r="L332" s="10"/>
      <c r="M332" s="10"/>
      <c r="N332" s="10"/>
      <c r="O332" s="18">
        <v>147.35</v>
      </c>
      <c r="P332" s="10"/>
      <c r="Q332" s="17" t="b">
        <v>1</v>
      </c>
      <c r="R332" s="10"/>
    </row>
    <row r="333">
      <c r="A333" s="6" t="s">
        <v>2135</v>
      </c>
      <c r="B333" s="6" t="s">
        <v>35</v>
      </c>
      <c r="C333" s="8">
        <v>45418.0</v>
      </c>
      <c r="D333" s="6" t="s">
        <v>543</v>
      </c>
      <c r="E333" s="6" t="s">
        <v>2137</v>
      </c>
      <c r="F333" s="10"/>
      <c r="G333" s="6" t="s">
        <v>2138</v>
      </c>
      <c r="H333" s="6" t="s">
        <v>140</v>
      </c>
      <c r="I333" s="17" t="b">
        <v>1</v>
      </c>
      <c r="J333" s="6" t="s">
        <v>546</v>
      </c>
      <c r="K333" s="10"/>
      <c r="L333" s="10"/>
      <c r="M333" s="10"/>
      <c r="N333" s="10"/>
      <c r="O333" s="18">
        <v>300.0</v>
      </c>
      <c r="P333" s="18">
        <v>887543.0</v>
      </c>
      <c r="Q333" s="17" t="b">
        <v>1</v>
      </c>
      <c r="R333" s="10"/>
    </row>
    <row r="334">
      <c r="A334" s="6" t="s">
        <v>2140</v>
      </c>
      <c r="B334" s="6" t="s">
        <v>35</v>
      </c>
      <c r="C334" s="8">
        <v>45418.0</v>
      </c>
      <c r="D334" s="6" t="s">
        <v>112</v>
      </c>
      <c r="E334" s="6" t="s">
        <v>2142</v>
      </c>
      <c r="F334" s="10"/>
      <c r="G334" s="6" t="s">
        <v>2143</v>
      </c>
      <c r="H334" s="6" t="s">
        <v>157</v>
      </c>
      <c r="I334" s="17" t="b">
        <v>1</v>
      </c>
      <c r="J334" s="6" t="s">
        <v>546</v>
      </c>
      <c r="K334" s="10"/>
      <c r="L334" s="10"/>
      <c r="M334" s="10"/>
      <c r="N334" s="10"/>
      <c r="O334" s="18">
        <v>547.88</v>
      </c>
      <c r="P334" s="6" t="s">
        <v>2144</v>
      </c>
      <c r="Q334" s="17" t="b">
        <v>1</v>
      </c>
      <c r="R334" s="10"/>
    </row>
    <row r="335">
      <c r="A335" s="6" t="s">
        <v>2146</v>
      </c>
      <c r="B335" s="6" t="s">
        <v>35</v>
      </c>
      <c r="C335" s="8">
        <v>45419.0</v>
      </c>
      <c r="D335" s="6" t="s">
        <v>890</v>
      </c>
      <c r="E335" s="10"/>
      <c r="F335" s="10"/>
      <c r="G335" s="10"/>
      <c r="H335" s="6" t="s">
        <v>2147</v>
      </c>
      <c r="I335" s="10"/>
      <c r="J335" s="6" t="s">
        <v>539</v>
      </c>
      <c r="K335" s="10"/>
      <c r="L335" s="10"/>
      <c r="M335" s="10"/>
      <c r="N335" s="10"/>
      <c r="O335" s="18">
        <v>10216.38</v>
      </c>
      <c r="P335" s="10"/>
      <c r="Q335" s="6"/>
      <c r="R335" s="10"/>
    </row>
    <row r="336">
      <c r="A336" s="6" t="s">
        <v>2150</v>
      </c>
      <c r="B336" s="6" t="s">
        <v>35</v>
      </c>
      <c r="C336" s="8">
        <v>45419.0</v>
      </c>
      <c r="D336" s="10"/>
      <c r="E336" s="10"/>
      <c r="F336" s="10"/>
      <c r="G336" s="10"/>
      <c r="H336" s="6" t="s">
        <v>2151</v>
      </c>
      <c r="I336" s="10"/>
      <c r="J336" s="6" t="s">
        <v>539</v>
      </c>
      <c r="K336" s="6" t="s">
        <v>671</v>
      </c>
      <c r="L336" s="10"/>
      <c r="M336" s="10"/>
      <c r="N336" s="10"/>
      <c r="O336" s="18">
        <v>7000.0</v>
      </c>
      <c r="P336" s="10"/>
      <c r="Q336" s="6"/>
      <c r="R336" s="10"/>
    </row>
    <row r="337">
      <c r="A337" s="6" t="s">
        <v>2153</v>
      </c>
      <c r="B337" s="6" t="s">
        <v>35</v>
      </c>
      <c r="C337" s="8">
        <v>45419.0</v>
      </c>
      <c r="D337" s="10"/>
      <c r="E337" s="10"/>
      <c r="F337" s="10"/>
      <c r="G337" s="10"/>
      <c r="H337" s="6" t="s">
        <v>2151</v>
      </c>
      <c r="I337" s="10"/>
      <c r="J337" s="6" t="s">
        <v>539</v>
      </c>
      <c r="K337" s="6" t="s">
        <v>682</v>
      </c>
      <c r="L337" s="10"/>
      <c r="M337" s="10"/>
      <c r="N337" s="10"/>
      <c r="O337" s="18">
        <v>7000.0</v>
      </c>
      <c r="P337" s="10"/>
      <c r="Q337" s="6"/>
      <c r="R337" s="10"/>
    </row>
    <row r="338">
      <c r="A338" s="6" t="s">
        <v>2155</v>
      </c>
      <c r="B338" s="6" t="s">
        <v>35</v>
      </c>
      <c r="C338" s="8">
        <v>45419.0</v>
      </c>
      <c r="D338" s="10"/>
      <c r="E338" s="10"/>
      <c r="F338" s="10"/>
      <c r="G338" s="10"/>
      <c r="H338" s="6" t="s">
        <v>2151</v>
      </c>
      <c r="I338" s="10"/>
      <c r="J338" s="6" t="s">
        <v>539</v>
      </c>
      <c r="K338" s="6" t="s">
        <v>668</v>
      </c>
      <c r="L338" s="10"/>
      <c r="M338" s="10"/>
      <c r="N338" s="10"/>
      <c r="O338" s="18">
        <v>7000.0</v>
      </c>
      <c r="P338" s="10"/>
      <c r="Q338" s="6"/>
      <c r="R338" s="10"/>
    </row>
    <row r="339">
      <c r="A339" s="6" t="s">
        <v>2157</v>
      </c>
      <c r="B339" s="6" t="s">
        <v>35</v>
      </c>
      <c r="C339" s="8">
        <v>45420.0</v>
      </c>
      <c r="D339" s="6" t="s">
        <v>353</v>
      </c>
      <c r="E339" s="6" t="s">
        <v>2158</v>
      </c>
      <c r="F339" s="10"/>
      <c r="G339" s="6" t="s">
        <v>2160</v>
      </c>
      <c r="H339" s="6" t="s">
        <v>605</v>
      </c>
      <c r="I339" s="17" t="b">
        <v>1</v>
      </c>
      <c r="J339" s="6" t="s">
        <v>546</v>
      </c>
      <c r="K339" s="10"/>
      <c r="L339" s="10"/>
      <c r="M339" s="10"/>
      <c r="N339" s="10"/>
      <c r="O339" s="18">
        <v>174.45</v>
      </c>
      <c r="P339" s="18">
        <v>899444.0</v>
      </c>
      <c r="Q339" s="17" t="b">
        <v>1</v>
      </c>
      <c r="R339" s="10"/>
    </row>
    <row r="340">
      <c r="A340" s="6" t="s">
        <v>2164</v>
      </c>
      <c r="B340" s="6" t="s">
        <v>35</v>
      </c>
      <c r="C340" s="8">
        <v>45420.0</v>
      </c>
      <c r="D340" s="6" t="s">
        <v>2165</v>
      </c>
      <c r="E340" s="6" t="s">
        <v>2166</v>
      </c>
      <c r="F340" s="10"/>
      <c r="G340" s="6" t="s">
        <v>2167</v>
      </c>
      <c r="H340" s="6" t="s">
        <v>2168</v>
      </c>
      <c r="I340" s="17" t="b">
        <v>1</v>
      </c>
      <c r="J340" s="6" t="s">
        <v>546</v>
      </c>
      <c r="K340" s="10"/>
      <c r="L340" s="10"/>
      <c r="M340" s="10"/>
      <c r="N340" s="10"/>
      <c r="O340" s="18">
        <v>331.92</v>
      </c>
      <c r="P340" s="18">
        <v>891746.0</v>
      </c>
      <c r="Q340" s="17" t="b">
        <v>1</v>
      </c>
      <c r="R340" s="10"/>
    </row>
    <row r="341">
      <c r="A341" s="6" t="s">
        <v>2170</v>
      </c>
      <c r="B341" s="6" t="s">
        <v>35</v>
      </c>
      <c r="C341" s="8">
        <v>45420.0</v>
      </c>
      <c r="D341" s="6" t="s">
        <v>2165</v>
      </c>
      <c r="E341" s="6" t="s">
        <v>2166</v>
      </c>
      <c r="F341" s="10"/>
      <c r="G341" s="6" t="s">
        <v>2171</v>
      </c>
      <c r="H341" s="6" t="s">
        <v>2168</v>
      </c>
      <c r="I341" s="17" t="b">
        <v>1</v>
      </c>
      <c r="J341" s="6" t="s">
        <v>546</v>
      </c>
      <c r="K341" s="10"/>
      <c r="L341" s="10"/>
      <c r="M341" s="10"/>
      <c r="N341" s="10"/>
      <c r="O341" s="18">
        <v>919.52</v>
      </c>
      <c r="P341" s="18">
        <v>891747.0</v>
      </c>
      <c r="Q341" s="17" t="b">
        <v>1</v>
      </c>
      <c r="R341" s="10"/>
    </row>
    <row r="342">
      <c r="A342" s="6" t="s">
        <v>2174</v>
      </c>
      <c r="B342" s="6" t="s">
        <v>35</v>
      </c>
      <c r="C342" s="8">
        <v>45421.0</v>
      </c>
      <c r="D342" s="6" t="s">
        <v>2175</v>
      </c>
      <c r="E342" s="6" t="s">
        <v>2176</v>
      </c>
      <c r="F342" s="10"/>
      <c r="G342" s="6" t="s">
        <v>2177</v>
      </c>
      <c r="H342" s="6" t="s">
        <v>2178</v>
      </c>
      <c r="I342" s="17" t="b">
        <v>1</v>
      </c>
      <c r="J342" s="6" t="s">
        <v>546</v>
      </c>
      <c r="K342" s="10"/>
      <c r="L342" s="10"/>
      <c r="M342" s="10"/>
      <c r="N342" s="10"/>
      <c r="O342" s="18">
        <v>283.5</v>
      </c>
      <c r="P342" s="18">
        <v>899315.0</v>
      </c>
      <c r="Q342" s="17" t="b">
        <v>1</v>
      </c>
      <c r="R342" s="10"/>
    </row>
    <row r="343">
      <c r="A343" s="6" t="s">
        <v>2181</v>
      </c>
      <c r="B343" s="6" t="s">
        <v>35</v>
      </c>
      <c r="C343" s="8">
        <v>45421.0</v>
      </c>
      <c r="D343" s="18">
        <v>2.6065919E7</v>
      </c>
      <c r="E343" s="6" t="s">
        <v>2182</v>
      </c>
      <c r="F343" s="10"/>
      <c r="G343" s="6" t="s">
        <v>2183</v>
      </c>
      <c r="H343" s="6" t="s">
        <v>1624</v>
      </c>
      <c r="I343" s="17" t="b">
        <v>1</v>
      </c>
      <c r="J343" s="6" t="s">
        <v>546</v>
      </c>
      <c r="K343" s="10"/>
      <c r="L343" s="10"/>
      <c r="M343" s="10"/>
      <c r="N343" s="10"/>
      <c r="O343" s="18">
        <v>225.0</v>
      </c>
      <c r="P343" s="18">
        <v>891530.0</v>
      </c>
      <c r="Q343" s="17" t="b">
        <v>1</v>
      </c>
      <c r="R343" s="10"/>
    </row>
    <row r="344">
      <c r="A344" s="6" t="s">
        <v>2186</v>
      </c>
      <c r="B344" s="6" t="s">
        <v>35</v>
      </c>
      <c r="C344" s="8">
        <v>45421.0</v>
      </c>
      <c r="D344" s="6" t="s">
        <v>112</v>
      </c>
      <c r="E344" s="6" t="s">
        <v>2187</v>
      </c>
      <c r="F344" s="10"/>
      <c r="G344" s="6" t="s">
        <v>2189</v>
      </c>
      <c r="H344" s="6" t="s">
        <v>157</v>
      </c>
      <c r="I344" s="17" t="b">
        <v>1</v>
      </c>
      <c r="J344" s="6" t="s">
        <v>546</v>
      </c>
      <c r="K344" s="10"/>
      <c r="L344" s="10"/>
      <c r="M344" s="10"/>
      <c r="N344" s="10"/>
      <c r="O344" s="18">
        <v>417.64</v>
      </c>
      <c r="P344" s="18">
        <v>891531.0</v>
      </c>
      <c r="Q344" s="17" t="b">
        <v>1</v>
      </c>
      <c r="R344" s="10"/>
    </row>
    <row r="345">
      <c r="A345" s="6" t="s">
        <v>2191</v>
      </c>
      <c r="B345" s="6" t="s">
        <v>35</v>
      </c>
      <c r="C345" s="8">
        <v>45421.0</v>
      </c>
      <c r="D345" s="6" t="s">
        <v>2192</v>
      </c>
      <c r="E345" s="10"/>
      <c r="F345" s="10"/>
      <c r="G345" s="10"/>
      <c r="H345" s="6" t="s">
        <v>2194</v>
      </c>
      <c r="I345" s="10"/>
      <c r="J345" s="6" t="s">
        <v>539</v>
      </c>
      <c r="K345" s="10"/>
      <c r="L345" s="10"/>
      <c r="M345" s="10"/>
      <c r="N345" s="10"/>
      <c r="O345" s="18">
        <v>370.0</v>
      </c>
      <c r="P345" s="10"/>
      <c r="Q345" s="6"/>
      <c r="R345" s="10"/>
    </row>
    <row r="346">
      <c r="A346" s="6" t="s">
        <v>2196</v>
      </c>
      <c r="B346" s="6" t="s">
        <v>35</v>
      </c>
      <c r="C346" s="8">
        <v>45424.0</v>
      </c>
      <c r="D346" s="6" t="s">
        <v>2197</v>
      </c>
      <c r="E346" s="6" t="s">
        <v>2199</v>
      </c>
      <c r="F346" s="10"/>
      <c r="G346" s="6" t="s">
        <v>2200</v>
      </c>
      <c r="H346" s="6" t="s">
        <v>2201</v>
      </c>
      <c r="I346" s="17" t="b">
        <v>1</v>
      </c>
      <c r="J346" s="6" t="s">
        <v>546</v>
      </c>
      <c r="K346" s="10"/>
      <c r="L346" s="10"/>
      <c r="M346" s="10"/>
      <c r="N346" s="10"/>
      <c r="O346" s="18">
        <v>32.98</v>
      </c>
      <c r="P346" s="18">
        <v>895571.0</v>
      </c>
      <c r="Q346" s="17" t="b">
        <v>1</v>
      </c>
      <c r="R346" s="10"/>
    </row>
    <row r="347">
      <c r="A347" s="6" t="s">
        <v>2203</v>
      </c>
      <c r="B347" s="6" t="s">
        <v>35</v>
      </c>
      <c r="C347" s="8">
        <v>45425.0</v>
      </c>
      <c r="D347" s="6" t="s">
        <v>543</v>
      </c>
      <c r="E347" s="6" t="s">
        <v>2205</v>
      </c>
      <c r="F347" s="10"/>
      <c r="G347" s="6" t="s">
        <v>2207</v>
      </c>
      <c r="H347" s="6" t="s">
        <v>171</v>
      </c>
      <c r="I347" s="17" t="b">
        <v>1</v>
      </c>
      <c r="J347" s="6" t="s">
        <v>546</v>
      </c>
      <c r="K347" s="10"/>
      <c r="L347" s="10"/>
      <c r="M347" s="10"/>
      <c r="N347" s="10"/>
      <c r="O347" s="18">
        <v>200.0</v>
      </c>
      <c r="P347" s="18">
        <v>893785.0</v>
      </c>
      <c r="Q347" s="17" t="b">
        <v>1</v>
      </c>
      <c r="R347" s="10"/>
    </row>
    <row r="348">
      <c r="A348" s="6" t="s">
        <v>2209</v>
      </c>
      <c r="B348" s="6" t="s">
        <v>35</v>
      </c>
      <c r="C348" s="8">
        <v>45425.0</v>
      </c>
      <c r="D348" s="6" t="s">
        <v>112</v>
      </c>
      <c r="E348" s="6" t="s">
        <v>2211</v>
      </c>
      <c r="F348" s="10"/>
      <c r="G348" s="6" t="s">
        <v>2212</v>
      </c>
      <c r="H348" s="6" t="s">
        <v>157</v>
      </c>
      <c r="I348" s="17" t="b">
        <v>1</v>
      </c>
      <c r="J348" s="6" t="s">
        <v>546</v>
      </c>
      <c r="K348" s="10"/>
      <c r="L348" s="10"/>
      <c r="M348" s="10"/>
      <c r="N348" s="10"/>
      <c r="O348" s="18">
        <v>438.06</v>
      </c>
      <c r="P348" s="18">
        <v>893870.0</v>
      </c>
      <c r="Q348" s="17" t="b">
        <v>1</v>
      </c>
      <c r="R348" s="10"/>
    </row>
    <row r="349">
      <c r="A349" s="6" t="s">
        <v>2214</v>
      </c>
      <c r="B349" s="6" t="s">
        <v>35</v>
      </c>
      <c r="C349" s="8">
        <v>45425.0</v>
      </c>
      <c r="D349" s="6" t="s">
        <v>353</v>
      </c>
      <c r="E349" s="6" t="s">
        <v>2216</v>
      </c>
      <c r="F349" s="10"/>
      <c r="G349" s="6" t="s">
        <v>2218</v>
      </c>
      <c r="H349" s="6" t="s">
        <v>605</v>
      </c>
      <c r="I349" s="17" t="b">
        <v>1</v>
      </c>
      <c r="J349" s="6" t="s">
        <v>546</v>
      </c>
      <c r="K349" s="10"/>
      <c r="L349" s="10"/>
      <c r="M349" s="10"/>
      <c r="N349" s="10"/>
      <c r="O349" s="18">
        <v>315.95</v>
      </c>
      <c r="P349" s="18">
        <v>897759.0</v>
      </c>
      <c r="Q349" s="17" t="b">
        <v>1</v>
      </c>
      <c r="R349" s="10"/>
    </row>
    <row r="350">
      <c r="A350" s="6" t="s">
        <v>2222</v>
      </c>
      <c r="B350" s="6" t="s">
        <v>35</v>
      </c>
      <c r="C350" s="8">
        <v>45426.0</v>
      </c>
      <c r="D350" s="6" t="s">
        <v>1160</v>
      </c>
      <c r="E350" s="10"/>
      <c r="F350" s="10"/>
      <c r="G350" s="10"/>
      <c r="H350" s="6" t="s">
        <v>2224</v>
      </c>
      <c r="I350" s="10"/>
      <c r="J350" s="6" t="s">
        <v>539</v>
      </c>
      <c r="K350" s="10"/>
      <c r="L350" s="10"/>
      <c r="M350" s="10"/>
      <c r="N350" s="10"/>
      <c r="O350" s="18">
        <v>3145.0</v>
      </c>
      <c r="P350" s="10"/>
      <c r="Q350" s="6"/>
      <c r="R350" s="10"/>
    </row>
    <row r="351">
      <c r="A351" s="6" t="s">
        <v>2227</v>
      </c>
      <c r="B351" s="6" t="s">
        <v>35</v>
      </c>
      <c r="C351" s="8">
        <v>45426.0</v>
      </c>
      <c r="D351" s="6" t="s">
        <v>460</v>
      </c>
      <c r="E351" s="10"/>
      <c r="F351" s="10"/>
      <c r="G351" s="10"/>
      <c r="H351" s="6" t="s">
        <v>2228</v>
      </c>
      <c r="I351" s="10"/>
      <c r="J351" s="6" t="s">
        <v>539</v>
      </c>
      <c r="K351" s="10"/>
      <c r="L351" s="10"/>
      <c r="M351" s="10"/>
      <c r="N351" s="10"/>
      <c r="O351" s="18">
        <v>314.12</v>
      </c>
      <c r="P351" s="10"/>
      <c r="Q351" s="6"/>
      <c r="R351" s="10"/>
    </row>
    <row r="352">
      <c r="A352" s="6" t="s">
        <v>2230</v>
      </c>
      <c r="B352" s="6" t="s">
        <v>35</v>
      </c>
      <c r="C352" s="8">
        <v>45426.0</v>
      </c>
      <c r="D352" s="6" t="s">
        <v>460</v>
      </c>
      <c r="E352" s="10"/>
      <c r="F352" s="10"/>
      <c r="G352" s="10"/>
      <c r="H352" s="6" t="s">
        <v>2232</v>
      </c>
      <c r="I352" s="10"/>
      <c r="J352" s="6" t="s">
        <v>539</v>
      </c>
      <c r="K352" s="10"/>
      <c r="L352" s="10"/>
      <c r="M352" s="10"/>
      <c r="N352" s="10"/>
      <c r="O352" s="18">
        <v>112.0</v>
      </c>
      <c r="P352" s="10"/>
      <c r="Q352" s="6"/>
      <c r="R352" s="10"/>
    </row>
    <row r="353">
      <c r="A353" s="6" t="s">
        <v>2234</v>
      </c>
      <c r="B353" s="6" t="s">
        <v>35</v>
      </c>
      <c r="C353" s="8">
        <v>45427.0</v>
      </c>
      <c r="D353" s="6" t="s">
        <v>112</v>
      </c>
      <c r="E353" s="6" t="s">
        <v>2235</v>
      </c>
      <c r="F353" s="10"/>
      <c r="G353" s="6" t="s">
        <v>2236</v>
      </c>
      <c r="H353" s="6" t="s">
        <v>157</v>
      </c>
      <c r="I353" s="17" t="b">
        <v>1</v>
      </c>
      <c r="J353" s="6" t="s">
        <v>546</v>
      </c>
      <c r="K353" s="10"/>
      <c r="L353" s="10"/>
      <c r="M353" s="10"/>
      <c r="N353" s="10"/>
      <c r="O353" s="18">
        <v>117.33</v>
      </c>
      <c r="P353" s="18">
        <v>899373.0</v>
      </c>
      <c r="Q353" s="17" t="b">
        <v>1</v>
      </c>
      <c r="R353" s="10"/>
    </row>
    <row r="354">
      <c r="A354" s="6" t="s">
        <v>2239</v>
      </c>
      <c r="B354" s="6" t="s">
        <v>35</v>
      </c>
      <c r="C354" s="8">
        <v>45426.0</v>
      </c>
      <c r="D354" s="6" t="s">
        <v>890</v>
      </c>
      <c r="E354" s="6" t="s">
        <v>2240</v>
      </c>
      <c r="F354" s="10"/>
      <c r="G354" s="6" t="s">
        <v>2241</v>
      </c>
      <c r="H354" s="6" t="s">
        <v>2072</v>
      </c>
      <c r="I354" s="17" t="b">
        <v>0</v>
      </c>
      <c r="J354" s="6" t="s">
        <v>546</v>
      </c>
      <c r="K354" s="10"/>
      <c r="L354" s="10"/>
      <c r="M354" s="10"/>
      <c r="N354" s="10"/>
      <c r="O354" s="18">
        <v>8147.36</v>
      </c>
      <c r="P354" s="10"/>
      <c r="Q354" s="17" t="b">
        <v>1</v>
      </c>
      <c r="R354" s="10"/>
    </row>
    <row r="355">
      <c r="A355" s="6" t="s">
        <v>2243</v>
      </c>
      <c r="B355" s="6" t="s">
        <v>35</v>
      </c>
      <c r="C355" s="8">
        <v>45426.0</v>
      </c>
      <c r="D355" s="6" t="s">
        <v>890</v>
      </c>
      <c r="E355" s="6" t="s">
        <v>2244</v>
      </c>
      <c r="F355" s="10"/>
      <c r="G355" s="6" t="s">
        <v>2245</v>
      </c>
      <c r="H355" s="6" t="s">
        <v>893</v>
      </c>
      <c r="I355" s="17" t="b">
        <v>0</v>
      </c>
      <c r="J355" s="6" t="s">
        <v>546</v>
      </c>
      <c r="K355" s="10"/>
      <c r="L355" s="10"/>
      <c r="M355" s="10"/>
      <c r="N355" s="10"/>
      <c r="O355" s="18">
        <v>21718.71</v>
      </c>
      <c r="P355" s="10"/>
      <c r="Q355" s="17" t="b">
        <v>1</v>
      </c>
      <c r="R355" s="10"/>
    </row>
    <row r="356">
      <c r="A356" s="6" t="s">
        <v>2247</v>
      </c>
      <c r="B356" s="6" t="s">
        <v>35</v>
      </c>
      <c r="C356" s="8">
        <v>45427.0</v>
      </c>
      <c r="D356" s="6" t="s">
        <v>2248</v>
      </c>
      <c r="E356" s="10"/>
      <c r="F356" s="10"/>
      <c r="G356" s="10"/>
      <c r="H356" s="6" t="s">
        <v>2250</v>
      </c>
      <c r="I356" s="10"/>
      <c r="J356" s="6" t="s">
        <v>539</v>
      </c>
      <c r="K356" s="10"/>
      <c r="L356" s="10"/>
      <c r="M356" s="10"/>
      <c r="N356" s="10"/>
      <c r="O356" s="18">
        <v>352.97</v>
      </c>
      <c r="P356" s="10"/>
      <c r="Q356" s="6"/>
      <c r="R356" s="10"/>
    </row>
    <row r="357">
      <c r="A357" s="6" t="s">
        <v>2251</v>
      </c>
      <c r="B357" s="6" t="s">
        <v>35</v>
      </c>
      <c r="C357" s="8">
        <v>45425.0</v>
      </c>
      <c r="D357" s="6" t="s">
        <v>543</v>
      </c>
      <c r="E357" s="6" t="s">
        <v>2252</v>
      </c>
      <c r="F357" s="10"/>
      <c r="G357" s="6" t="s">
        <v>2253</v>
      </c>
      <c r="H357" s="6" t="s">
        <v>140</v>
      </c>
      <c r="I357" s="17" t="b">
        <v>1</v>
      </c>
      <c r="J357" s="6" t="s">
        <v>546</v>
      </c>
      <c r="K357" s="10"/>
      <c r="L357" s="10"/>
      <c r="M357" s="10"/>
      <c r="N357" s="10"/>
      <c r="O357" s="18">
        <v>250.0</v>
      </c>
      <c r="P357" s="18">
        <v>900118.0</v>
      </c>
      <c r="Q357" s="17" t="b">
        <v>1</v>
      </c>
      <c r="R357" s="10"/>
    </row>
    <row r="358">
      <c r="A358" s="6" t="s">
        <v>2254</v>
      </c>
      <c r="B358" s="6" t="s">
        <v>35</v>
      </c>
      <c r="C358" s="8">
        <v>45428.0</v>
      </c>
      <c r="D358" s="6" t="s">
        <v>286</v>
      </c>
      <c r="E358" s="6" t="s">
        <v>2255</v>
      </c>
      <c r="F358" s="10"/>
      <c r="G358" s="6" t="s">
        <v>2256</v>
      </c>
      <c r="H358" s="6" t="s">
        <v>2258</v>
      </c>
      <c r="I358" s="17" t="b">
        <v>1</v>
      </c>
      <c r="J358" s="6" t="s">
        <v>546</v>
      </c>
      <c r="K358" s="10"/>
      <c r="L358" s="10"/>
      <c r="M358" s="10"/>
      <c r="N358" s="10"/>
      <c r="O358" s="18">
        <v>15.0</v>
      </c>
      <c r="P358" s="18">
        <v>900508.0</v>
      </c>
      <c r="Q358" s="17" t="b">
        <v>1</v>
      </c>
      <c r="R358" s="10"/>
    </row>
    <row r="359">
      <c r="A359" s="6" t="s">
        <v>2260</v>
      </c>
      <c r="B359" s="6" t="s">
        <v>35</v>
      </c>
      <c r="C359" s="8">
        <v>45429.0</v>
      </c>
      <c r="D359" s="6" t="s">
        <v>112</v>
      </c>
      <c r="E359" s="6" t="s">
        <v>2261</v>
      </c>
      <c r="F359" s="10"/>
      <c r="G359" s="6" t="s">
        <v>2263</v>
      </c>
      <c r="H359" s="6" t="s">
        <v>157</v>
      </c>
      <c r="I359" s="17" t="b">
        <v>1</v>
      </c>
      <c r="J359" s="6" t="s">
        <v>546</v>
      </c>
      <c r="K359" s="10"/>
      <c r="L359" s="10"/>
      <c r="M359" s="10"/>
      <c r="N359" s="10"/>
      <c r="O359" s="18">
        <v>478.63</v>
      </c>
      <c r="P359" s="18">
        <v>901054.0</v>
      </c>
      <c r="Q359" s="17" t="b">
        <v>1</v>
      </c>
      <c r="R359" s="10"/>
    </row>
    <row r="360">
      <c r="A360" s="6" t="s">
        <v>2265</v>
      </c>
      <c r="B360" s="6" t="s">
        <v>35</v>
      </c>
      <c r="C360" s="8">
        <v>45429.0</v>
      </c>
      <c r="D360" s="6" t="s">
        <v>2197</v>
      </c>
      <c r="E360" s="6" t="s">
        <v>2266</v>
      </c>
      <c r="F360" s="10"/>
      <c r="G360" s="6" t="s">
        <v>2268</v>
      </c>
      <c r="H360" s="6" t="s">
        <v>1860</v>
      </c>
      <c r="I360" s="17" t="b">
        <v>1</v>
      </c>
      <c r="J360" s="6" t="s">
        <v>546</v>
      </c>
      <c r="K360" s="10"/>
      <c r="L360" s="10"/>
      <c r="M360" s="10"/>
      <c r="N360" s="10"/>
      <c r="O360" s="18">
        <v>325.98</v>
      </c>
      <c r="P360" s="18">
        <v>901082.0</v>
      </c>
      <c r="Q360" s="17" t="b">
        <v>1</v>
      </c>
      <c r="R360" s="10"/>
    </row>
    <row r="361">
      <c r="A361" s="6" t="s">
        <v>2270</v>
      </c>
      <c r="B361" s="6" t="s">
        <v>35</v>
      </c>
      <c r="C361" s="8">
        <v>45429.0</v>
      </c>
      <c r="D361" s="6" t="s">
        <v>543</v>
      </c>
      <c r="E361" s="6" t="s">
        <v>2271</v>
      </c>
      <c r="F361" s="10"/>
      <c r="G361" s="6" t="s">
        <v>2272</v>
      </c>
      <c r="H361" s="6" t="s">
        <v>140</v>
      </c>
      <c r="I361" s="17" t="b">
        <v>1</v>
      </c>
      <c r="J361" s="6" t="s">
        <v>546</v>
      </c>
      <c r="K361" s="10"/>
      <c r="L361" s="10"/>
      <c r="M361" s="10"/>
      <c r="N361" s="10"/>
      <c r="O361" s="18">
        <v>250.0</v>
      </c>
      <c r="P361" s="18">
        <v>901237.0</v>
      </c>
      <c r="Q361" s="17" t="b">
        <v>1</v>
      </c>
      <c r="R361" s="10"/>
    </row>
    <row r="362">
      <c r="A362" s="6" t="s">
        <v>2275</v>
      </c>
      <c r="B362" s="6" t="s">
        <v>35</v>
      </c>
      <c r="C362" s="8">
        <v>45429.0</v>
      </c>
      <c r="D362" s="6" t="s">
        <v>764</v>
      </c>
      <c r="E362" s="6" t="s">
        <v>2276</v>
      </c>
      <c r="F362" s="10"/>
      <c r="G362" s="6" t="s">
        <v>2278</v>
      </c>
      <c r="H362" s="6" t="s">
        <v>767</v>
      </c>
      <c r="I362" s="17" t="b">
        <v>0</v>
      </c>
      <c r="J362" s="6" t="s">
        <v>546</v>
      </c>
      <c r="K362" s="10"/>
      <c r="L362" s="10"/>
      <c r="M362" s="10"/>
      <c r="N362" s="10"/>
      <c r="O362" s="18">
        <v>2154.0</v>
      </c>
      <c r="P362" s="10"/>
      <c r="Q362" s="17" t="b">
        <v>1</v>
      </c>
      <c r="R362" s="10"/>
    </row>
    <row r="363">
      <c r="A363" s="6" t="s">
        <v>2279</v>
      </c>
      <c r="B363" s="6" t="s">
        <v>35</v>
      </c>
      <c r="C363" s="8">
        <v>45430.0</v>
      </c>
      <c r="D363" s="6" t="s">
        <v>2280</v>
      </c>
      <c r="E363" s="6" t="s">
        <v>2282</v>
      </c>
      <c r="F363" s="10"/>
      <c r="G363" s="6" t="s">
        <v>2283</v>
      </c>
      <c r="H363" s="6" t="s">
        <v>2284</v>
      </c>
      <c r="I363" s="17" t="b">
        <v>0</v>
      </c>
      <c r="J363" s="6" t="s">
        <v>546</v>
      </c>
      <c r="K363" s="10"/>
      <c r="L363" s="10"/>
      <c r="M363" s="10"/>
      <c r="N363" s="10"/>
      <c r="O363" s="18">
        <v>838.07</v>
      </c>
      <c r="P363" s="10"/>
      <c r="Q363" s="17" t="b">
        <v>1</v>
      </c>
      <c r="R363" s="10"/>
    </row>
    <row r="364">
      <c r="A364" s="6" t="s">
        <v>2287</v>
      </c>
      <c r="B364" s="6" t="s">
        <v>35</v>
      </c>
      <c r="C364" s="8">
        <v>45432.0</v>
      </c>
      <c r="D364" s="6" t="s">
        <v>543</v>
      </c>
      <c r="E364" s="6" t="s">
        <v>2289</v>
      </c>
      <c r="F364" s="10"/>
      <c r="G364" s="6" t="s">
        <v>2290</v>
      </c>
      <c r="H364" s="6" t="s">
        <v>140</v>
      </c>
      <c r="I364" s="17" t="b">
        <v>1</v>
      </c>
      <c r="J364" s="6" t="s">
        <v>546</v>
      </c>
      <c r="K364" s="10"/>
      <c r="L364" s="10"/>
      <c r="M364" s="10"/>
      <c r="N364" s="10"/>
      <c r="O364" s="18">
        <v>250.0</v>
      </c>
      <c r="P364" s="18">
        <v>904647.0</v>
      </c>
      <c r="Q364" s="17" t="b">
        <v>1</v>
      </c>
      <c r="R364" s="10"/>
    </row>
    <row r="365">
      <c r="A365" s="6" t="s">
        <v>2293</v>
      </c>
      <c r="B365" s="6" t="s">
        <v>35</v>
      </c>
      <c r="C365" s="8">
        <v>45434.0</v>
      </c>
      <c r="D365" s="6" t="s">
        <v>2294</v>
      </c>
      <c r="E365" s="10"/>
      <c r="F365" s="10"/>
      <c r="G365" s="10"/>
      <c r="H365" s="6" t="s">
        <v>2296</v>
      </c>
      <c r="I365" s="10"/>
      <c r="J365" s="6" t="s">
        <v>539</v>
      </c>
      <c r="K365" s="10"/>
      <c r="L365" s="10"/>
      <c r="M365" s="10"/>
      <c r="N365" s="10"/>
      <c r="O365" s="18">
        <v>1000.0</v>
      </c>
      <c r="P365" s="10"/>
      <c r="Q365" s="6"/>
      <c r="R365" s="10"/>
    </row>
    <row r="366">
      <c r="A366" s="6" t="s">
        <v>2297</v>
      </c>
      <c r="B366" s="6" t="s">
        <v>35</v>
      </c>
      <c r="C366" s="8">
        <v>45435.0</v>
      </c>
      <c r="D366" s="6" t="s">
        <v>112</v>
      </c>
      <c r="E366" s="6" t="s">
        <v>2299</v>
      </c>
      <c r="F366" s="10"/>
      <c r="G366" s="6" t="s">
        <v>2300</v>
      </c>
      <c r="H366" s="6" t="s">
        <v>157</v>
      </c>
      <c r="I366" s="17" t="b">
        <v>1</v>
      </c>
      <c r="J366" s="6" t="s">
        <v>546</v>
      </c>
      <c r="K366" s="10"/>
      <c r="L366" s="10"/>
      <c r="M366" s="10"/>
      <c r="N366" s="10"/>
      <c r="O366" s="18">
        <v>551.3</v>
      </c>
      <c r="P366" s="18">
        <v>907637.0</v>
      </c>
      <c r="Q366" s="17" t="b">
        <v>1</v>
      </c>
      <c r="R366" s="10"/>
    </row>
    <row r="367">
      <c r="A367" s="6" t="s">
        <v>2301</v>
      </c>
      <c r="B367" s="6" t="s">
        <v>35</v>
      </c>
      <c r="C367" s="8">
        <v>45435.0</v>
      </c>
      <c r="D367" s="10"/>
      <c r="E367" s="10"/>
      <c r="F367" s="10"/>
      <c r="G367" s="10"/>
      <c r="H367" s="6" t="s">
        <v>2302</v>
      </c>
      <c r="I367" s="10"/>
      <c r="J367" s="6" t="s">
        <v>539</v>
      </c>
      <c r="K367" s="6" t="s">
        <v>624</v>
      </c>
      <c r="L367" s="10"/>
      <c r="M367" s="10"/>
      <c r="N367" s="10"/>
      <c r="O367" s="18">
        <v>100.0</v>
      </c>
      <c r="P367" s="10"/>
      <c r="Q367" s="6"/>
      <c r="R367" s="10"/>
    </row>
    <row r="368">
      <c r="A368" s="6" t="s">
        <v>2304</v>
      </c>
      <c r="B368" s="6" t="s">
        <v>35</v>
      </c>
      <c r="C368" s="8">
        <v>45436.0</v>
      </c>
      <c r="D368" s="6" t="s">
        <v>2306</v>
      </c>
      <c r="E368" s="6" t="s">
        <v>2307</v>
      </c>
      <c r="F368" s="10"/>
      <c r="G368" s="6" t="s">
        <v>2309</v>
      </c>
      <c r="H368" s="6" t="s">
        <v>1225</v>
      </c>
      <c r="I368" s="17" t="b">
        <v>1</v>
      </c>
      <c r="J368" s="6" t="s">
        <v>546</v>
      </c>
      <c r="K368" s="10"/>
      <c r="L368" s="10"/>
      <c r="M368" s="10"/>
      <c r="N368" s="10"/>
      <c r="O368" s="18">
        <v>15.0</v>
      </c>
      <c r="P368" s="18">
        <v>908522.0</v>
      </c>
      <c r="Q368" s="17" t="b">
        <v>1</v>
      </c>
      <c r="R368" s="10"/>
    </row>
    <row r="369">
      <c r="A369" s="6" t="s">
        <v>2311</v>
      </c>
      <c r="B369" s="6" t="s">
        <v>35</v>
      </c>
      <c r="C369" s="8">
        <v>45436.0</v>
      </c>
      <c r="D369" s="6" t="s">
        <v>404</v>
      </c>
      <c r="E369" s="6" t="s">
        <v>2313</v>
      </c>
      <c r="F369" s="10"/>
      <c r="G369" s="6" t="s">
        <v>2314</v>
      </c>
      <c r="H369" s="6" t="s">
        <v>2132</v>
      </c>
      <c r="I369" s="17" t="b">
        <v>1</v>
      </c>
      <c r="J369" s="6" t="s">
        <v>546</v>
      </c>
      <c r="K369" s="10"/>
      <c r="L369" s="10"/>
      <c r="M369" s="10"/>
      <c r="N369" s="10"/>
      <c r="O369" s="18">
        <v>74.14</v>
      </c>
      <c r="P369" s="6" t="s">
        <v>2316</v>
      </c>
      <c r="Q369" s="17" t="b">
        <v>1</v>
      </c>
      <c r="R369" s="10"/>
    </row>
    <row r="370">
      <c r="A370" s="6" t="s">
        <v>2318</v>
      </c>
      <c r="B370" s="6" t="s">
        <v>35</v>
      </c>
      <c r="C370" s="8">
        <v>45436.0</v>
      </c>
      <c r="D370" s="6" t="s">
        <v>2096</v>
      </c>
      <c r="E370" s="6" t="s">
        <v>2319</v>
      </c>
      <c r="F370" s="10"/>
      <c r="G370" s="6" t="s">
        <v>2320</v>
      </c>
      <c r="H370" s="6" t="s">
        <v>2322</v>
      </c>
      <c r="I370" s="17" t="b">
        <v>1</v>
      </c>
      <c r="J370" s="6" t="s">
        <v>546</v>
      </c>
      <c r="K370" s="10"/>
      <c r="L370" s="10"/>
      <c r="M370" s="10"/>
      <c r="N370" s="10"/>
      <c r="O370" s="18">
        <v>70.0</v>
      </c>
      <c r="P370" s="18">
        <v>908615.0</v>
      </c>
      <c r="Q370" s="17" t="b">
        <v>1</v>
      </c>
      <c r="R370" s="10"/>
    </row>
    <row r="371">
      <c r="A371" s="6" t="s">
        <v>2324</v>
      </c>
      <c r="B371" s="6" t="s">
        <v>35</v>
      </c>
      <c r="C371" s="8">
        <v>45436.0</v>
      </c>
      <c r="D371" s="6" t="s">
        <v>2325</v>
      </c>
      <c r="E371" s="6" t="s">
        <v>2326</v>
      </c>
      <c r="F371" s="10"/>
      <c r="G371" s="6" t="s">
        <v>2327</v>
      </c>
      <c r="H371" s="6" t="s">
        <v>2328</v>
      </c>
      <c r="I371" s="17" t="b">
        <v>1</v>
      </c>
      <c r="J371" s="6" t="s">
        <v>546</v>
      </c>
      <c r="K371" s="10"/>
      <c r="L371" s="10"/>
      <c r="M371" s="10"/>
      <c r="N371" s="10"/>
      <c r="O371" s="18">
        <v>70.0</v>
      </c>
      <c r="P371" s="18">
        <v>908626.0</v>
      </c>
      <c r="Q371" s="17" t="b">
        <v>1</v>
      </c>
      <c r="R371" s="10"/>
    </row>
    <row r="372">
      <c r="A372" s="6" t="s">
        <v>2330</v>
      </c>
      <c r="B372" s="6" t="s">
        <v>35</v>
      </c>
      <c r="C372" s="8">
        <v>45436.0</v>
      </c>
      <c r="D372" s="6" t="s">
        <v>137</v>
      </c>
      <c r="E372" s="6" t="s">
        <v>2332</v>
      </c>
      <c r="F372" s="10"/>
      <c r="G372" s="6" t="s">
        <v>2333</v>
      </c>
      <c r="H372" s="6" t="s">
        <v>415</v>
      </c>
      <c r="I372" s="17" t="b">
        <v>1</v>
      </c>
      <c r="J372" s="6" t="s">
        <v>546</v>
      </c>
      <c r="K372" s="10"/>
      <c r="L372" s="10"/>
      <c r="M372" s="10"/>
      <c r="N372" s="10"/>
      <c r="O372" s="18">
        <v>500.0</v>
      </c>
      <c r="P372" s="18">
        <v>908638.0</v>
      </c>
      <c r="Q372" s="17" t="b">
        <v>1</v>
      </c>
      <c r="R372" s="10"/>
    </row>
    <row r="373">
      <c r="A373" s="6" t="s">
        <v>2336</v>
      </c>
      <c r="B373" s="6" t="s">
        <v>35</v>
      </c>
      <c r="C373" s="8">
        <v>45453.0</v>
      </c>
      <c r="D373" s="6" t="s">
        <v>1557</v>
      </c>
      <c r="E373" s="6" t="s">
        <v>2337</v>
      </c>
      <c r="F373" s="10"/>
      <c r="G373" s="6" t="s">
        <v>2338</v>
      </c>
      <c r="H373" s="6" t="s">
        <v>1988</v>
      </c>
      <c r="I373" s="17" t="b">
        <v>0</v>
      </c>
      <c r="J373" s="6" t="s">
        <v>546</v>
      </c>
      <c r="K373" s="10"/>
      <c r="L373" s="10"/>
      <c r="M373" s="10"/>
      <c r="N373" s="10"/>
      <c r="O373" s="18">
        <v>110.0</v>
      </c>
      <c r="P373" s="10"/>
      <c r="Q373" s="17" t="b">
        <v>1</v>
      </c>
      <c r="R373" s="10"/>
    </row>
    <row r="374">
      <c r="A374" s="6" t="s">
        <v>2340</v>
      </c>
      <c r="B374" s="6" t="s">
        <v>35</v>
      </c>
      <c r="C374" s="8">
        <v>45436.0</v>
      </c>
      <c r="D374" s="6" t="s">
        <v>941</v>
      </c>
      <c r="E374" s="10"/>
      <c r="F374" s="10"/>
      <c r="G374" s="10"/>
      <c r="H374" s="6" t="s">
        <v>2341</v>
      </c>
      <c r="I374" s="10"/>
      <c r="J374" s="6" t="s">
        <v>539</v>
      </c>
      <c r="K374" s="10"/>
      <c r="L374" s="10"/>
      <c r="M374" s="10"/>
      <c r="N374" s="10"/>
      <c r="O374" s="18">
        <v>680.0</v>
      </c>
      <c r="P374" s="10"/>
      <c r="Q374" s="6"/>
      <c r="R374" s="10"/>
    </row>
    <row r="375">
      <c r="A375" s="6" t="s">
        <v>2344</v>
      </c>
      <c r="B375" s="6" t="s">
        <v>35</v>
      </c>
      <c r="C375" s="8">
        <v>45436.0</v>
      </c>
      <c r="D375" s="6" t="s">
        <v>286</v>
      </c>
      <c r="E375" s="6" t="s">
        <v>2345</v>
      </c>
      <c r="F375" s="10"/>
      <c r="G375" s="6" t="s">
        <v>2347</v>
      </c>
      <c r="H375" s="6" t="s">
        <v>2349</v>
      </c>
      <c r="I375" s="17" t="b">
        <v>1</v>
      </c>
      <c r="J375" s="6" t="s">
        <v>546</v>
      </c>
      <c r="K375" s="10"/>
      <c r="L375" s="10"/>
      <c r="M375" s="10"/>
      <c r="N375" s="10"/>
      <c r="O375" s="18">
        <v>9.0</v>
      </c>
      <c r="P375" s="18">
        <v>909040.0</v>
      </c>
      <c r="Q375" s="17" t="b">
        <v>1</v>
      </c>
      <c r="R375" s="10"/>
    </row>
    <row r="376">
      <c r="A376" s="6" t="s">
        <v>2352</v>
      </c>
      <c r="B376" s="6" t="s">
        <v>35</v>
      </c>
      <c r="C376" s="8">
        <v>45439.0</v>
      </c>
      <c r="D376" s="6" t="s">
        <v>1160</v>
      </c>
      <c r="E376" s="10"/>
      <c r="F376" s="10"/>
      <c r="G376" s="10"/>
      <c r="H376" s="6" t="s">
        <v>2354</v>
      </c>
      <c r="I376" s="10"/>
      <c r="J376" s="6" t="s">
        <v>539</v>
      </c>
      <c r="K376" s="10"/>
      <c r="L376" s="10"/>
      <c r="M376" s="10"/>
      <c r="N376" s="10"/>
      <c r="O376" s="18">
        <v>200.0</v>
      </c>
      <c r="P376" s="10"/>
      <c r="Q376" s="6"/>
      <c r="R376" s="10"/>
    </row>
    <row r="377">
      <c r="A377" s="6" t="s">
        <v>2356</v>
      </c>
      <c r="B377" s="6" t="s">
        <v>35</v>
      </c>
      <c r="C377" s="8">
        <v>45439.0</v>
      </c>
      <c r="D377" s="10"/>
      <c r="E377" s="10"/>
      <c r="F377" s="10"/>
      <c r="G377" s="10"/>
      <c r="H377" s="6" t="s">
        <v>2358</v>
      </c>
      <c r="I377" s="10"/>
      <c r="J377" s="6" t="s">
        <v>539</v>
      </c>
      <c r="K377" s="6" t="s">
        <v>624</v>
      </c>
      <c r="L377" s="10"/>
      <c r="M377" s="10"/>
      <c r="N377" s="10"/>
      <c r="O377" s="18">
        <v>200.0</v>
      </c>
      <c r="P377" s="10"/>
      <c r="Q377" s="6"/>
      <c r="R377" s="10"/>
    </row>
    <row r="378">
      <c r="A378" s="6" t="s">
        <v>2360</v>
      </c>
      <c r="B378" s="6" t="s">
        <v>35</v>
      </c>
      <c r="C378" s="8">
        <v>45441.0</v>
      </c>
      <c r="D378" s="6" t="s">
        <v>460</v>
      </c>
      <c r="E378" s="10"/>
      <c r="F378" s="10"/>
      <c r="G378" s="10"/>
      <c r="H378" s="6" t="s">
        <v>931</v>
      </c>
      <c r="I378" s="10"/>
      <c r="J378" s="6" t="s">
        <v>539</v>
      </c>
      <c r="K378" s="10"/>
      <c r="L378" s="10"/>
      <c r="M378" s="10"/>
      <c r="N378" s="10"/>
      <c r="O378" s="18">
        <v>30.0</v>
      </c>
      <c r="P378" s="10"/>
      <c r="Q378" s="6"/>
      <c r="R378" s="10"/>
    </row>
    <row r="379">
      <c r="A379" s="6" t="s">
        <v>2362</v>
      </c>
      <c r="B379" s="6" t="s">
        <v>35</v>
      </c>
      <c r="C379" s="8">
        <v>45440.0</v>
      </c>
      <c r="D379" s="6" t="s">
        <v>1911</v>
      </c>
      <c r="E379" s="6" t="s">
        <v>2364</v>
      </c>
      <c r="F379" s="10"/>
      <c r="G379" s="6" t="s">
        <v>2365</v>
      </c>
      <c r="H379" s="6" t="s">
        <v>2366</v>
      </c>
      <c r="I379" s="17" t="b">
        <v>1</v>
      </c>
      <c r="J379" s="6" t="s">
        <v>546</v>
      </c>
      <c r="K379" s="10"/>
      <c r="L379" s="10"/>
      <c r="M379" s="10"/>
      <c r="N379" s="10"/>
      <c r="O379" s="18">
        <v>60.0</v>
      </c>
      <c r="P379" s="18">
        <v>912257.0</v>
      </c>
      <c r="Q379" s="17" t="b">
        <v>1</v>
      </c>
      <c r="R379" s="10"/>
    </row>
    <row r="380">
      <c r="A380" s="6" t="s">
        <v>2370</v>
      </c>
      <c r="B380" s="6" t="s">
        <v>35</v>
      </c>
      <c r="C380" s="8">
        <v>45441.0</v>
      </c>
      <c r="D380" s="6" t="s">
        <v>1036</v>
      </c>
      <c r="E380" s="6" t="s">
        <v>2372</v>
      </c>
      <c r="F380" s="10"/>
      <c r="G380" s="6" t="s">
        <v>2373</v>
      </c>
      <c r="H380" s="6" t="s">
        <v>2374</v>
      </c>
      <c r="I380" s="17" t="b">
        <v>0</v>
      </c>
      <c r="J380" s="6" t="s">
        <v>546</v>
      </c>
      <c r="K380" s="10"/>
      <c r="L380" s="10"/>
      <c r="M380" s="10"/>
      <c r="N380" s="10"/>
      <c r="O380" s="18">
        <v>114.46</v>
      </c>
      <c r="P380" s="10"/>
      <c r="Q380" s="17" t="b">
        <v>1</v>
      </c>
      <c r="R380" s="10"/>
    </row>
    <row r="381">
      <c r="A381" s="6" t="s">
        <v>2376</v>
      </c>
      <c r="B381" s="6" t="s">
        <v>35</v>
      </c>
      <c r="C381" s="8">
        <v>45442.0</v>
      </c>
      <c r="D381" s="6" t="s">
        <v>2325</v>
      </c>
      <c r="E381" s="6" t="s">
        <v>2377</v>
      </c>
      <c r="F381" s="10"/>
      <c r="G381" s="6" t="s">
        <v>2378</v>
      </c>
      <c r="H381" s="6" t="s">
        <v>2379</v>
      </c>
      <c r="I381" s="17" t="b">
        <v>1</v>
      </c>
      <c r="J381" s="6" t="s">
        <v>546</v>
      </c>
      <c r="K381" s="10"/>
      <c r="L381" s="10"/>
      <c r="M381" s="10"/>
      <c r="N381" s="10"/>
      <c r="O381" s="18">
        <v>79.0</v>
      </c>
      <c r="P381" s="18">
        <v>913502.0</v>
      </c>
      <c r="Q381" s="17" t="b">
        <v>1</v>
      </c>
      <c r="R381" s="10"/>
    </row>
    <row r="382">
      <c r="A382" s="6" t="s">
        <v>2382</v>
      </c>
      <c r="B382" s="6" t="s">
        <v>35</v>
      </c>
      <c r="C382" s="8">
        <v>45443.0</v>
      </c>
      <c r="D382" s="6" t="s">
        <v>175</v>
      </c>
      <c r="E382" s="6" t="s">
        <v>2383</v>
      </c>
      <c r="F382" s="10"/>
      <c r="G382" s="6" t="s">
        <v>2384</v>
      </c>
      <c r="H382" s="6" t="s">
        <v>2385</v>
      </c>
      <c r="I382" s="17" t="b">
        <v>1</v>
      </c>
      <c r="J382" s="6" t="s">
        <v>546</v>
      </c>
      <c r="K382" s="10"/>
      <c r="L382" s="10"/>
      <c r="M382" s="10"/>
      <c r="N382" s="10"/>
      <c r="O382" s="18">
        <v>178.95</v>
      </c>
      <c r="P382" s="18">
        <v>914438.0</v>
      </c>
      <c r="Q382" s="17" t="b">
        <v>1</v>
      </c>
      <c r="R382" s="10"/>
    </row>
    <row r="383">
      <c r="A383" s="6" t="s">
        <v>2387</v>
      </c>
      <c r="B383" s="6" t="s">
        <v>35</v>
      </c>
      <c r="C383" s="8">
        <v>45443.0</v>
      </c>
      <c r="D383" s="6" t="s">
        <v>543</v>
      </c>
      <c r="E383" s="6" t="s">
        <v>2388</v>
      </c>
      <c r="F383" s="10"/>
      <c r="G383" s="6" t="s">
        <v>2389</v>
      </c>
      <c r="H383" s="6" t="s">
        <v>415</v>
      </c>
      <c r="I383" s="17" t="b">
        <v>1</v>
      </c>
      <c r="J383" s="6" t="s">
        <v>546</v>
      </c>
      <c r="K383" s="10"/>
      <c r="L383" s="10"/>
      <c r="M383" s="10"/>
      <c r="N383" s="10"/>
      <c r="O383" s="18">
        <v>200.0</v>
      </c>
      <c r="P383" s="18">
        <v>914509.0</v>
      </c>
      <c r="Q383" s="17" t="b">
        <v>1</v>
      </c>
      <c r="R383" s="10"/>
    </row>
    <row r="384">
      <c r="A384" s="6" t="s">
        <v>2391</v>
      </c>
      <c r="B384" s="6" t="s">
        <v>35</v>
      </c>
      <c r="C384" s="8">
        <v>45444.0</v>
      </c>
      <c r="D384" s="10"/>
      <c r="E384" s="10"/>
      <c r="F384" s="10"/>
      <c r="G384" s="10"/>
      <c r="H384" s="6" t="s">
        <v>2393</v>
      </c>
      <c r="I384" s="10"/>
      <c r="J384" s="6" t="s">
        <v>539</v>
      </c>
      <c r="K384" s="6" t="s">
        <v>658</v>
      </c>
      <c r="L384" s="10"/>
      <c r="M384" s="10"/>
      <c r="N384" s="10"/>
      <c r="O384" s="18">
        <v>500.0</v>
      </c>
      <c r="P384" s="10"/>
      <c r="Q384" s="6"/>
      <c r="R384" s="10"/>
    </row>
    <row r="385">
      <c r="A385" s="6" t="s">
        <v>2395</v>
      </c>
      <c r="B385" s="6" t="s">
        <v>35</v>
      </c>
      <c r="C385" s="8">
        <v>45444.0</v>
      </c>
      <c r="D385" s="10"/>
      <c r="E385" s="10"/>
      <c r="F385" s="10"/>
      <c r="G385" s="10"/>
      <c r="H385" s="6" t="s">
        <v>2393</v>
      </c>
      <c r="I385" s="10"/>
      <c r="J385" s="6" t="s">
        <v>539</v>
      </c>
      <c r="K385" s="6" t="s">
        <v>651</v>
      </c>
      <c r="L385" s="10"/>
      <c r="M385" s="10"/>
      <c r="N385" s="10"/>
      <c r="O385" s="18">
        <v>500.0</v>
      </c>
      <c r="P385" s="10"/>
      <c r="Q385" s="6"/>
      <c r="R385" s="10"/>
    </row>
    <row r="386">
      <c r="A386" s="6" t="s">
        <v>2398</v>
      </c>
      <c r="B386" s="6" t="s">
        <v>35</v>
      </c>
      <c r="C386" s="8">
        <v>45441.0</v>
      </c>
      <c r="D386" s="6" t="s">
        <v>112</v>
      </c>
      <c r="E386" s="6" t="s">
        <v>2399</v>
      </c>
      <c r="F386" s="10"/>
      <c r="G386" s="6" t="s">
        <v>2400</v>
      </c>
      <c r="H386" s="6" t="s">
        <v>45</v>
      </c>
      <c r="I386" s="17" t="b">
        <v>1</v>
      </c>
      <c r="J386" s="6" t="s">
        <v>546</v>
      </c>
      <c r="K386" s="10"/>
      <c r="L386" s="10"/>
      <c r="M386" s="10"/>
      <c r="N386" s="10"/>
      <c r="O386" s="18">
        <v>252.84</v>
      </c>
      <c r="P386" s="18">
        <v>915496.0</v>
      </c>
      <c r="Q386" s="17" t="b">
        <v>1</v>
      </c>
      <c r="R386" s="10"/>
    </row>
    <row r="387">
      <c r="A387" s="6" t="s">
        <v>2402</v>
      </c>
      <c r="B387" s="6" t="s">
        <v>35</v>
      </c>
      <c r="C387" s="8">
        <v>45441.0</v>
      </c>
      <c r="D387" s="6" t="s">
        <v>890</v>
      </c>
      <c r="E387" s="6" t="s">
        <v>2403</v>
      </c>
      <c r="F387" s="10"/>
      <c r="G387" s="6" t="s">
        <v>2404</v>
      </c>
      <c r="H387" s="6" t="s">
        <v>2072</v>
      </c>
      <c r="I387" s="17" t="b">
        <v>0</v>
      </c>
      <c r="J387" s="6" t="s">
        <v>546</v>
      </c>
      <c r="K387" s="10"/>
      <c r="L387" s="10"/>
      <c r="M387" s="10"/>
      <c r="N387" s="10"/>
      <c r="O387" s="18">
        <v>3841.92</v>
      </c>
      <c r="P387" s="10"/>
      <c r="Q387" s="17" t="b">
        <v>1</v>
      </c>
      <c r="R387" s="10"/>
    </row>
    <row r="388">
      <c r="A388" s="6" t="s">
        <v>2406</v>
      </c>
      <c r="B388" s="6" t="s">
        <v>35</v>
      </c>
      <c r="C388" s="8">
        <v>45441.0</v>
      </c>
      <c r="D388" s="6" t="s">
        <v>890</v>
      </c>
      <c r="E388" s="6" t="s">
        <v>2408</v>
      </c>
      <c r="F388" s="10"/>
      <c r="G388" s="6" t="s">
        <v>2409</v>
      </c>
      <c r="H388" s="6" t="s">
        <v>893</v>
      </c>
      <c r="I388" s="17" t="b">
        <v>0</v>
      </c>
      <c r="J388" s="6" t="s">
        <v>546</v>
      </c>
      <c r="K388" s="10"/>
      <c r="L388" s="10"/>
      <c r="M388" s="10"/>
      <c r="N388" s="10"/>
      <c r="O388" s="18">
        <v>5746.38</v>
      </c>
      <c r="P388" s="10"/>
      <c r="Q388" s="17" t="b">
        <v>1</v>
      </c>
      <c r="R388" s="10"/>
    </row>
    <row r="389">
      <c r="A389" s="6" t="s">
        <v>2410</v>
      </c>
      <c r="B389" s="6" t="s">
        <v>35</v>
      </c>
      <c r="C389" s="8">
        <v>45443.0</v>
      </c>
      <c r="D389" s="6" t="s">
        <v>2412</v>
      </c>
      <c r="E389" s="6" t="s">
        <v>2413</v>
      </c>
      <c r="F389" s="10"/>
      <c r="G389" s="6" t="s">
        <v>2414</v>
      </c>
      <c r="H389" s="6" t="s">
        <v>2415</v>
      </c>
      <c r="I389" s="17" t="b">
        <v>1</v>
      </c>
      <c r="J389" s="6" t="s">
        <v>546</v>
      </c>
      <c r="K389" s="10"/>
      <c r="L389" s="10"/>
      <c r="M389" s="10"/>
      <c r="N389" s="10"/>
      <c r="O389" s="18">
        <v>50.0</v>
      </c>
      <c r="P389" s="18">
        <v>914950.0</v>
      </c>
      <c r="Q389" s="17" t="b">
        <v>1</v>
      </c>
      <c r="R389" s="10"/>
    </row>
    <row r="390">
      <c r="A390" s="6" t="s">
        <v>2416</v>
      </c>
      <c r="B390" s="6" t="s">
        <v>35</v>
      </c>
      <c r="C390" s="8">
        <v>45443.0</v>
      </c>
      <c r="D390" s="6" t="s">
        <v>1310</v>
      </c>
      <c r="E390" s="6" t="s">
        <v>2418</v>
      </c>
      <c r="F390" s="10"/>
      <c r="G390" s="6" t="s">
        <v>2419</v>
      </c>
      <c r="H390" s="6" t="s">
        <v>2420</v>
      </c>
      <c r="I390" s="17" t="b">
        <v>1</v>
      </c>
      <c r="J390" s="6" t="s">
        <v>546</v>
      </c>
      <c r="K390" s="10"/>
      <c r="L390" s="10"/>
      <c r="M390" s="10"/>
      <c r="N390" s="10"/>
      <c r="O390" s="18">
        <v>24.4</v>
      </c>
      <c r="P390" s="18">
        <v>914952.0</v>
      </c>
      <c r="Q390" s="17" t="b">
        <v>1</v>
      </c>
      <c r="R390" s="10"/>
    </row>
    <row r="391">
      <c r="A391" s="6" t="s">
        <v>2422</v>
      </c>
      <c r="B391" s="6" t="s">
        <v>35</v>
      </c>
      <c r="C391" s="8">
        <v>45443.0</v>
      </c>
      <c r="D391" s="6" t="s">
        <v>543</v>
      </c>
      <c r="E391" s="6" t="s">
        <v>2388</v>
      </c>
      <c r="F391" s="10"/>
      <c r="G391" s="6" t="s">
        <v>2423</v>
      </c>
      <c r="H391" s="6" t="s">
        <v>415</v>
      </c>
      <c r="I391" s="17" t="b">
        <v>1</v>
      </c>
      <c r="J391" s="6" t="s">
        <v>546</v>
      </c>
      <c r="K391" s="10"/>
      <c r="L391" s="10"/>
      <c r="M391" s="10"/>
      <c r="N391" s="10"/>
      <c r="O391" s="18">
        <v>200.0</v>
      </c>
      <c r="P391" s="18">
        <v>914509.0</v>
      </c>
      <c r="Q391" s="17" t="b">
        <v>1</v>
      </c>
      <c r="R391" s="10"/>
    </row>
    <row r="392">
      <c r="A392" s="6" t="s">
        <v>2426</v>
      </c>
      <c r="B392" s="6" t="s">
        <v>35</v>
      </c>
      <c r="C392" s="8">
        <v>45444.0</v>
      </c>
      <c r="D392" s="6" t="s">
        <v>112</v>
      </c>
      <c r="E392" s="6" t="s">
        <v>2427</v>
      </c>
      <c r="F392" s="10"/>
      <c r="G392" s="6" t="s">
        <v>2428</v>
      </c>
      <c r="H392" s="6" t="s">
        <v>45</v>
      </c>
      <c r="I392" s="17" t="b">
        <v>1</v>
      </c>
      <c r="J392" s="6" t="s">
        <v>546</v>
      </c>
      <c r="K392" s="10"/>
      <c r="L392" s="10"/>
      <c r="M392" s="10"/>
      <c r="N392" s="10"/>
      <c r="O392" s="18">
        <v>237.16</v>
      </c>
      <c r="P392" s="18">
        <v>915491.0</v>
      </c>
      <c r="Q392" s="17" t="b">
        <v>1</v>
      </c>
      <c r="R392" s="10"/>
    </row>
    <row r="393">
      <c r="A393" s="6" t="s">
        <v>2430</v>
      </c>
      <c r="B393" s="6" t="s">
        <v>35</v>
      </c>
      <c r="C393" s="8">
        <v>45446.0</v>
      </c>
      <c r="D393" s="6" t="s">
        <v>543</v>
      </c>
      <c r="E393" s="6" t="s">
        <v>2431</v>
      </c>
      <c r="F393" s="10"/>
      <c r="G393" s="6" t="s">
        <v>2432</v>
      </c>
      <c r="H393" s="6" t="s">
        <v>2434</v>
      </c>
      <c r="I393" s="17" t="b">
        <v>1</v>
      </c>
      <c r="J393" s="6" t="s">
        <v>546</v>
      </c>
      <c r="K393" s="10"/>
      <c r="L393" s="10"/>
      <c r="M393" s="10"/>
      <c r="N393" s="10"/>
      <c r="O393" s="18">
        <v>200.0</v>
      </c>
      <c r="P393" s="6" t="s">
        <v>2436</v>
      </c>
      <c r="Q393" s="17" t="b">
        <v>1</v>
      </c>
      <c r="R393" s="10"/>
    </row>
    <row r="394">
      <c r="A394" s="6" t="s">
        <v>2438</v>
      </c>
      <c r="B394" s="6" t="s">
        <v>35</v>
      </c>
      <c r="C394" s="8">
        <v>45453.0</v>
      </c>
      <c r="D394" s="6" t="s">
        <v>2439</v>
      </c>
      <c r="E394" s="6" t="s">
        <v>2441</v>
      </c>
      <c r="F394" s="10"/>
      <c r="G394" s="6" t="s">
        <v>2442</v>
      </c>
      <c r="H394" s="6" t="s">
        <v>2444</v>
      </c>
      <c r="I394" s="17" t="b">
        <v>0</v>
      </c>
      <c r="J394" s="6" t="s">
        <v>546</v>
      </c>
      <c r="K394" s="10"/>
      <c r="L394" s="10"/>
      <c r="M394" s="10"/>
      <c r="N394" s="10"/>
      <c r="O394" s="18">
        <v>168.49</v>
      </c>
      <c r="P394" s="10"/>
      <c r="Q394" s="17" t="b">
        <v>1</v>
      </c>
      <c r="R394" s="10"/>
    </row>
    <row r="395">
      <c r="A395" s="6" t="s">
        <v>2445</v>
      </c>
      <c r="B395" s="6" t="s">
        <v>35</v>
      </c>
      <c r="C395" s="8">
        <v>45449.0</v>
      </c>
      <c r="D395" s="10"/>
      <c r="E395" s="10"/>
      <c r="F395" s="10"/>
      <c r="G395" s="10"/>
      <c r="H395" s="6" t="s">
        <v>2447</v>
      </c>
      <c r="I395" s="10"/>
      <c r="J395" s="6" t="s">
        <v>539</v>
      </c>
      <c r="K395" s="6" t="s">
        <v>651</v>
      </c>
      <c r="L395" s="10"/>
      <c r="M395" s="10"/>
      <c r="N395" s="10"/>
      <c r="O395" s="18">
        <v>1162.92</v>
      </c>
      <c r="P395" s="10"/>
      <c r="Q395" s="6"/>
      <c r="R395" s="10"/>
    </row>
    <row r="396">
      <c r="A396" s="6" t="s">
        <v>2450</v>
      </c>
      <c r="B396" s="6" t="s">
        <v>35</v>
      </c>
      <c r="C396" s="8">
        <v>45449.0</v>
      </c>
      <c r="D396" s="10"/>
      <c r="E396" s="10"/>
      <c r="F396" s="10"/>
      <c r="G396" s="10"/>
      <c r="H396" s="6" t="s">
        <v>2447</v>
      </c>
      <c r="I396" s="10"/>
      <c r="J396" s="6" t="s">
        <v>539</v>
      </c>
      <c r="K396" s="6" t="s">
        <v>624</v>
      </c>
      <c r="L396" s="10"/>
      <c r="M396" s="10"/>
      <c r="N396" s="10"/>
      <c r="O396" s="18">
        <v>1394.54</v>
      </c>
      <c r="P396" s="10"/>
      <c r="Q396" s="6"/>
      <c r="R396" s="10"/>
    </row>
    <row r="397">
      <c r="A397" s="6" t="s">
        <v>2453</v>
      </c>
      <c r="B397" s="6" t="s">
        <v>35</v>
      </c>
      <c r="C397" s="8">
        <v>45449.0</v>
      </c>
      <c r="D397" s="10"/>
      <c r="E397" s="10"/>
      <c r="F397" s="10"/>
      <c r="G397" s="10"/>
      <c r="H397" s="6" t="s">
        <v>2447</v>
      </c>
      <c r="I397" s="10"/>
      <c r="J397" s="6" t="s">
        <v>539</v>
      </c>
      <c r="K397" s="6" t="s">
        <v>1100</v>
      </c>
      <c r="L397" s="10"/>
      <c r="M397" s="10"/>
      <c r="N397" s="10"/>
      <c r="O397" s="18">
        <v>1199.4</v>
      </c>
      <c r="P397" s="10"/>
      <c r="Q397" s="6"/>
      <c r="R397" s="10"/>
    </row>
    <row r="398">
      <c r="A398" s="6" t="s">
        <v>2456</v>
      </c>
      <c r="B398" s="6" t="s">
        <v>35</v>
      </c>
      <c r="C398" s="8">
        <v>45449.0</v>
      </c>
      <c r="D398" s="10"/>
      <c r="E398" s="10"/>
      <c r="F398" s="10"/>
      <c r="G398" s="10"/>
      <c r="H398" s="6" t="s">
        <v>2447</v>
      </c>
      <c r="I398" s="10"/>
      <c r="J398" s="6" t="s">
        <v>539</v>
      </c>
      <c r="K398" s="6" t="s">
        <v>658</v>
      </c>
      <c r="L398" s="10"/>
      <c r="M398" s="10"/>
      <c r="N398" s="10"/>
      <c r="O398" s="18">
        <v>1390.9</v>
      </c>
      <c r="P398" s="10"/>
      <c r="Q398" s="6"/>
      <c r="R398" s="10"/>
    </row>
    <row r="399">
      <c r="A399" s="6" t="s">
        <v>2460</v>
      </c>
      <c r="B399" s="6" t="s">
        <v>35</v>
      </c>
      <c r="C399" s="8">
        <v>45449.0</v>
      </c>
      <c r="D399" s="10"/>
      <c r="E399" s="10"/>
      <c r="F399" s="10"/>
      <c r="G399" s="10"/>
      <c r="H399" s="6" t="s">
        <v>2447</v>
      </c>
      <c r="I399" s="10"/>
      <c r="J399" s="6" t="s">
        <v>539</v>
      </c>
      <c r="K399" s="6" t="s">
        <v>664</v>
      </c>
      <c r="L399" s="10"/>
      <c r="M399" s="10"/>
      <c r="N399" s="10"/>
      <c r="O399" s="18">
        <v>1908.64</v>
      </c>
      <c r="P399" s="10"/>
      <c r="Q399" s="6"/>
      <c r="R399" s="10"/>
    </row>
    <row r="400">
      <c r="A400" s="6" t="s">
        <v>2462</v>
      </c>
      <c r="B400" s="6" t="s">
        <v>35</v>
      </c>
      <c r="C400" s="8">
        <v>45449.0</v>
      </c>
      <c r="D400" s="10"/>
      <c r="E400" s="10"/>
      <c r="F400" s="10"/>
      <c r="G400" s="10"/>
      <c r="H400" s="6" t="s">
        <v>2447</v>
      </c>
      <c r="I400" s="10"/>
      <c r="J400" s="6" t="s">
        <v>539</v>
      </c>
      <c r="K400" s="6" t="s">
        <v>2052</v>
      </c>
      <c r="L400" s="10"/>
      <c r="M400" s="10"/>
      <c r="N400" s="10"/>
      <c r="O400" s="18">
        <v>2034.4</v>
      </c>
      <c r="P400" s="10"/>
      <c r="Q400" s="6"/>
      <c r="R400" s="10"/>
    </row>
    <row r="401">
      <c r="A401" s="6" t="s">
        <v>2465</v>
      </c>
      <c r="B401" s="6" t="s">
        <v>35</v>
      </c>
      <c r="C401" s="8">
        <v>45448.0</v>
      </c>
      <c r="D401" s="6" t="s">
        <v>112</v>
      </c>
      <c r="E401" s="6" t="s">
        <v>2466</v>
      </c>
      <c r="F401" s="10"/>
      <c r="G401" s="6" t="s">
        <v>2468</v>
      </c>
      <c r="H401" s="6" t="s">
        <v>792</v>
      </c>
      <c r="I401" s="17" t="b">
        <v>1</v>
      </c>
      <c r="J401" s="6" t="s">
        <v>546</v>
      </c>
      <c r="K401" s="10"/>
      <c r="L401" s="10"/>
      <c r="M401" s="10"/>
      <c r="N401" s="10"/>
      <c r="O401" s="18">
        <v>183.43</v>
      </c>
      <c r="P401" s="18">
        <v>920412.0</v>
      </c>
      <c r="Q401" s="17" t="b">
        <v>1</v>
      </c>
      <c r="R401" s="10"/>
    </row>
    <row r="402">
      <c r="A402" s="6" t="s">
        <v>2470</v>
      </c>
      <c r="B402" s="6" t="s">
        <v>35</v>
      </c>
      <c r="C402" s="8">
        <v>45449.0</v>
      </c>
      <c r="D402" s="6" t="s">
        <v>2471</v>
      </c>
      <c r="E402" s="6" t="s">
        <v>2472</v>
      </c>
      <c r="F402" s="10"/>
      <c r="G402" s="6" t="s">
        <v>2473</v>
      </c>
      <c r="H402" s="6" t="s">
        <v>2474</v>
      </c>
      <c r="I402" s="17" t="b">
        <v>1</v>
      </c>
      <c r="J402" s="6" t="s">
        <v>546</v>
      </c>
      <c r="K402" s="10"/>
      <c r="L402" s="10"/>
      <c r="M402" s="10"/>
      <c r="N402" s="10"/>
      <c r="O402" s="18">
        <v>55.0</v>
      </c>
      <c r="P402" s="18">
        <v>921299.0</v>
      </c>
      <c r="Q402" s="17" t="b">
        <v>1</v>
      </c>
      <c r="R402" s="10"/>
    </row>
    <row r="403">
      <c r="A403" s="6" t="s">
        <v>2476</v>
      </c>
      <c r="B403" s="6" t="s">
        <v>35</v>
      </c>
      <c r="C403" s="8">
        <v>45449.0</v>
      </c>
      <c r="D403" s="6" t="s">
        <v>145</v>
      </c>
      <c r="E403" s="6" t="s">
        <v>2478</v>
      </c>
      <c r="F403" s="10"/>
      <c r="G403" s="6" t="s">
        <v>2479</v>
      </c>
      <c r="H403" s="6" t="s">
        <v>147</v>
      </c>
      <c r="I403" s="17" t="b">
        <v>1</v>
      </c>
      <c r="J403" s="6" t="s">
        <v>546</v>
      </c>
      <c r="K403" s="10"/>
      <c r="L403" s="10"/>
      <c r="M403" s="10"/>
      <c r="N403" s="10"/>
      <c r="O403" s="18">
        <v>260.0</v>
      </c>
      <c r="P403" s="18">
        <v>921538.0</v>
      </c>
      <c r="Q403" s="17" t="b">
        <v>1</v>
      </c>
      <c r="R403" s="10"/>
    </row>
    <row r="404">
      <c r="A404" s="6" t="s">
        <v>2482</v>
      </c>
      <c r="B404" s="6" t="s">
        <v>35</v>
      </c>
      <c r="C404" s="8">
        <v>45441.0</v>
      </c>
      <c r="D404" s="6" t="s">
        <v>1016</v>
      </c>
      <c r="E404" s="6" t="s">
        <v>2484</v>
      </c>
      <c r="F404" s="10"/>
      <c r="G404" s="6" t="s">
        <v>2485</v>
      </c>
      <c r="H404" s="6" t="s">
        <v>2487</v>
      </c>
      <c r="I404" s="17" t="b">
        <v>0</v>
      </c>
      <c r="J404" s="6" t="s">
        <v>546</v>
      </c>
      <c r="K404" s="10"/>
      <c r="L404" s="10"/>
      <c r="M404" s="10"/>
      <c r="N404" s="10"/>
      <c r="O404" s="18">
        <v>70.65</v>
      </c>
      <c r="P404" s="10"/>
      <c r="Q404" s="17" t="b">
        <v>1</v>
      </c>
      <c r="R404" s="10"/>
    </row>
    <row r="405">
      <c r="A405" s="6" t="s">
        <v>2490</v>
      </c>
      <c r="B405" s="6" t="s">
        <v>35</v>
      </c>
      <c r="C405" s="8">
        <v>45446.0</v>
      </c>
      <c r="D405" s="6" t="s">
        <v>2491</v>
      </c>
      <c r="E405" s="6" t="s">
        <v>2492</v>
      </c>
      <c r="F405" s="10"/>
      <c r="G405" s="6" t="s">
        <v>2494</v>
      </c>
      <c r="H405" s="6" t="s">
        <v>605</v>
      </c>
      <c r="I405" s="17" t="b">
        <v>0</v>
      </c>
      <c r="J405" s="6" t="s">
        <v>546</v>
      </c>
      <c r="K405" s="10"/>
      <c r="L405" s="10"/>
      <c r="M405" s="10"/>
      <c r="N405" s="10"/>
      <c r="O405" s="18">
        <v>2481.75</v>
      </c>
      <c r="P405" s="10"/>
      <c r="Q405" s="17" t="b">
        <v>1</v>
      </c>
      <c r="R405" s="10"/>
    </row>
    <row r="406">
      <c r="A406" s="6" t="s">
        <v>2495</v>
      </c>
      <c r="B406" s="6" t="s">
        <v>35</v>
      </c>
      <c r="C406" s="8">
        <v>45446.0</v>
      </c>
      <c r="D406" s="6" t="s">
        <v>2496</v>
      </c>
      <c r="E406" s="6" t="s">
        <v>2497</v>
      </c>
      <c r="F406" s="10"/>
      <c r="G406" s="6" t="s">
        <v>2499</v>
      </c>
      <c r="H406" s="6" t="s">
        <v>2500</v>
      </c>
      <c r="I406" s="17" t="b">
        <v>0</v>
      </c>
      <c r="J406" s="6" t="s">
        <v>546</v>
      </c>
      <c r="K406" s="10"/>
      <c r="L406" s="10"/>
      <c r="M406" s="10"/>
      <c r="N406" s="10"/>
      <c r="O406" s="18">
        <v>50.1</v>
      </c>
      <c r="P406" s="10"/>
      <c r="Q406" s="17" t="b">
        <v>1</v>
      </c>
      <c r="R406" s="10"/>
    </row>
    <row r="407">
      <c r="A407" s="6" t="s">
        <v>2502</v>
      </c>
      <c r="B407" s="6" t="s">
        <v>35</v>
      </c>
      <c r="C407" s="8">
        <v>45450.0</v>
      </c>
      <c r="D407" s="10"/>
      <c r="E407" s="10"/>
      <c r="F407" s="10"/>
      <c r="G407" s="10"/>
      <c r="H407" s="6" t="s">
        <v>2504</v>
      </c>
      <c r="I407" s="10"/>
      <c r="J407" s="6" t="s">
        <v>539</v>
      </c>
      <c r="K407" s="6" t="s">
        <v>651</v>
      </c>
      <c r="L407" s="10"/>
      <c r="M407" s="10"/>
      <c r="N407" s="10"/>
      <c r="O407" s="18">
        <v>300.0</v>
      </c>
      <c r="P407" s="10"/>
      <c r="Q407" s="6"/>
      <c r="R407" s="10"/>
    </row>
    <row r="408">
      <c r="A408" s="6" t="s">
        <v>2507</v>
      </c>
      <c r="B408" s="6" t="s">
        <v>35</v>
      </c>
      <c r="C408" s="8">
        <v>45450.0</v>
      </c>
      <c r="D408" s="6" t="s">
        <v>112</v>
      </c>
      <c r="E408" s="6" t="s">
        <v>2508</v>
      </c>
      <c r="F408" s="10"/>
      <c r="G408" s="6" t="s">
        <v>2509</v>
      </c>
      <c r="H408" s="6" t="s">
        <v>45</v>
      </c>
      <c r="I408" s="17" t="b">
        <v>1</v>
      </c>
      <c r="J408" s="6" t="s">
        <v>546</v>
      </c>
      <c r="K408" s="10"/>
      <c r="L408" s="10"/>
      <c r="M408" s="10"/>
      <c r="N408" s="10"/>
      <c r="O408" s="18">
        <v>379.39</v>
      </c>
      <c r="P408" s="18">
        <v>922431.0</v>
      </c>
      <c r="Q408" s="17" t="b">
        <v>1</v>
      </c>
      <c r="R408" s="10"/>
    </row>
    <row r="409">
      <c r="A409" s="6" t="s">
        <v>2511</v>
      </c>
      <c r="B409" s="6" t="s">
        <v>35</v>
      </c>
      <c r="C409" s="8">
        <v>45450.0</v>
      </c>
      <c r="D409" s="6" t="s">
        <v>543</v>
      </c>
      <c r="E409" s="6" t="s">
        <v>2512</v>
      </c>
      <c r="F409" s="10"/>
      <c r="G409" s="6" t="s">
        <v>2513</v>
      </c>
      <c r="H409" s="6" t="s">
        <v>415</v>
      </c>
      <c r="I409" s="17" t="b">
        <v>1</v>
      </c>
      <c r="J409" s="6" t="s">
        <v>546</v>
      </c>
      <c r="K409" s="10"/>
      <c r="L409" s="10"/>
      <c r="M409" s="10"/>
      <c r="N409" s="10"/>
      <c r="O409" s="18">
        <v>250.0</v>
      </c>
      <c r="P409" s="18">
        <v>922441.0</v>
      </c>
      <c r="Q409" s="17" t="b">
        <v>1</v>
      </c>
      <c r="R409" s="10"/>
    </row>
    <row r="410">
      <c r="A410" s="6" t="s">
        <v>2515</v>
      </c>
      <c r="B410" s="6" t="s">
        <v>35</v>
      </c>
      <c r="C410" s="8">
        <v>45450.0</v>
      </c>
      <c r="D410" s="6" t="s">
        <v>286</v>
      </c>
      <c r="E410" s="6" t="s">
        <v>2516</v>
      </c>
      <c r="F410" s="10"/>
      <c r="G410" s="6" t="s">
        <v>2517</v>
      </c>
      <c r="H410" s="6" t="s">
        <v>2518</v>
      </c>
      <c r="I410" s="17" t="b">
        <v>1</v>
      </c>
      <c r="J410" s="6" t="s">
        <v>546</v>
      </c>
      <c r="K410" s="10"/>
      <c r="L410" s="10"/>
      <c r="M410" s="10"/>
      <c r="N410" s="10"/>
      <c r="O410" s="18">
        <v>20.0</v>
      </c>
      <c r="P410" s="18">
        <v>922464.0</v>
      </c>
      <c r="Q410" s="17" t="b">
        <v>1</v>
      </c>
      <c r="R410" s="10"/>
    </row>
    <row r="411">
      <c r="A411" s="6" t="s">
        <v>2521</v>
      </c>
      <c r="B411" s="6" t="s">
        <v>35</v>
      </c>
      <c r="C411" s="8">
        <v>45450.0</v>
      </c>
      <c r="D411" s="18">
        <v>8.627274E7</v>
      </c>
      <c r="E411" s="6" t="s">
        <v>2523</v>
      </c>
      <c r="F411" s="10"/>
      <c r="G411" s="6" t="s">
        <v>2524</v>
      </c>
      <c r="H411" s="6" t="s">
        <v>2132</v>
      </c>
      <c r="I411" s="17" t="b">
        <v>1</v>
      </c>
      <c r="J411" s="6" t="s">
        <v>546</v>
      </c>
      <c r="K411" s="10"/>
      <c r="L411" s="10"/>
      <c r="M411" s="10"/>
      <c r="N411" s="10"/>
      <c r="O411" s="18">
        <v>240.41</v>
      </c>
      <c r="P411" s="18">
        <v>923151.0</v>
      </c>
      <c r="Q411" s="17" t="b">
        <v>1</v>
      </c>
      <c r="R411" s="10"/>
    </row>
    <row r="412">
      <c r="A412" s="6" t="s">
        <v>2525</v>
      </c>
      <c r="B412" s="6" t="s">
        <v>35</v>
      </c>
      <c r="C412" s="8">
        <v>45450.0</v>
      </c>
      <c r="D412" s="6" t="s">
        <v>307</v>
      </c>
      <c r="E412" s="6" t="s">
        <v>2527</v>
      </c>
      <c r="F412" s="10"/>
      <c r="G412" s="6" t="s">
        <v>2528</v>
      </c>
      <c r="H412" s="6" t="s">
        <v>2529</v>
      </c>
      <c r="I412" s="17" t="b">
        <v>1</v>
      </c>
      <c r="J412" s="6" t="s">
        <v>546</v>
      </c>
      <c r="K412" s="10"/>
      <c r="L412" s="10"/>
      <c r="M412" s="10"/>
      <c r="N412" s="10"/>
      <c r="O412" s="18">
        <v>42.8</v>
      </c>
      <c r="P412" s="18">
        <v>923152.0</v>
      </c>
      <c r="Q412" s="17" t="b">
        <v>1</v>
      </c>
      <c r="R412" s="10"/>
    </row>
    <row r="413">
      <c r="A413" s="6" t="s">
        <v>2530</v>
      </c>
      <c r="B413" s="6" t="s">
        <v>35</v>
      </c>
      <c r="C413" s="8">
        <v>45453.0</v>
      </c>
      <c r="D413" s="6" t="s">
        <v>420</v>
      </c>
      <c r="E413" s="6" t="s">
        <v>2532</v>
      </c>
      <c r="F413" s="10"/>
      <c r="G413" s="6" t="s">
        <v>2533</v>
      </c>
      <c r="H413" s="6" t="s">
        <v>772</v>
      </c>
      <c r="I413" s="17" t="b">
        <v>1</v>
      </c>
      <c r="J413" s="6" t="s">
        <v>546</v>
      </c>
      <c r="K413" s="10"/>
      <c r="L413" s="10"/>
      <c r="M413" s="10"/>
      <c r="N413" s="10"/>
      <c r="O413" s="18">
        <v>1280.69</v>
      </c>
      <c r="P413" s="18">
        <v>927871.0</v>
      </c>
      <c r="Q413" s="17" t="b">
        <v>1</v>
      </c>
      <c r="R413" s="10"/>
    </row>
    <row r="414">
      <c r="A414" s="6" t="s">
        <v>2534</v>
      </c>
      <c r="B414" s="6" t="s">
        <v>35</v>
      </c>
      <c r="C414" s="8">
        <v>45454.0</v>
      </c>
      <c r="D414" s="6" t="s">
        <v>1016</v>
      </c>
      <c r="E414" s="6" t="s">
        <v>2535</v>
      </c>
      <c r="F414" s="10"/>
      <c r="G414" s="6" t="s">
        <v>2536</v>
      </c>
      <c r="H414" s="6" t="s">
        <v>2537</v>
      </c>
      <c r="I414" s="17" t="b">
        <v>0</v>
      </c>
      <c r="J414" s="6" t="s">
        <v>546</v>
      </c>
      <c r="K414" s="10"/>
      <c r="L414" s="10"/>
      <c r="M414" s="10"/>
      <c r="N414" s="10"/>
      <c r="O414" s="18">
        <v>70.65</v>
      </c>
      <c r="P414" s="10"/>
      <c r="Q414" s="17" t="b">
        <v>1</v>
      </c>
      <c r="R414" s="10"/>
    </row>
    <row r="415">
      <c r="A415" s="6" t="s">
        <v>2538</v>
      </c>
      <c r="B415" s="6" t="s">
        <v>35</v>
      </c>
      <c r="C415" s="8">
        <v>45454.0</v>
      </c>
      <c r="D415" s="6" t="s">
        <v>1016</v>
      </c>
      <c r="E415" s="6" t="s">
        <v>2535</v>
      </c>
      <c r="F415" s="10"/>
      <c r="G415" s="6" t="s">
        <v>2539</v>
      </c>
      <c r="H415" s="6" t="s">
        <v>2537</v>
      </c>
      <c r="I415" s="17" t="b">
        <v>0</v>
      </c>
      <c r="J415" s="6" t="s">
        <v>546</v>
      </c>
      <c r="K415" s="10"/>
      <c r="L415" s="10"/>
      <c r="M415" s="10"/>
      <c r="N415" s="10"/>
      <c r="O415" s="18">
        <v>94.09</v>
      </c>
      <c r="P415" s="10"/>
      <c r="Q415" s="17" t="b">
        <v>1</v>
      </c>
      <c r="R415" s="10"/>
    </row>
    <row r="416">
      <c r="A416" s="18">
        <v>6.4159874E7</v>
      </c>
      <c r="B416" s="6" t="s">
        <v>35</v>
      </c>
      <c r="C416" s="8">
        <v>45454.0</v>
      </c>
      <c r="D416" s="6" t="s">
        <v>112</v>
      </c>
      <c r="E416" s="6" t="s">
        <v>2540</v>
      </c>
      <c r="F416" s="10"/>
      <c r="G416" s="6" t="s">
        <v>2541</v>
      </c>
      <c r="H416" s="6" t="s">
        <v>157</v>
      </c>
      <c r="I416" s="17" t="b">
        <v>1</v>
      </c>
      <c r="J416" s="6" t="s">
        <v>546</v>
      </c>
      <c r="K416" s="10"/>
      <c r="L416" s="10"/>
      <c r="M416" s="10"/>
      <c r="N416" s="10"/>
      <c r="O416" s="18">
        <v>246.8</v>
      </c>
      <c r="P416" s="18">
        <v>928646.0</v>
      </c>
      <c r="Q416" s="17" t="b">
        <v>1</v>
      </c>
      <c r="R416" s="10"/>
    </row>
    <row r="417">
      <c r="A417" s="6" t="s">
        <v>2542</v>
      </c>
      <c r="B417" s="6" t="s">
        <v>35</v>
      </c>
      <c r="C417" s="8">
        <v>45454.0</v>
      </c>
      <c r="D417" s="10"/>
      <c r="E417" s="10"/>
      <c r="F417" s="10"/>
      <c r="G417" s="10"/>
      <c r="H417" s="6" t="s">
        <v>1329</v>
      </c>
      <c r="I417" s="10"/>
      <c r="J417" s="6" t="s">
        <v>539</v>
      </c>
      <c r="K417" s="6" t="s">
        <v>624</v>
      </c>
      <c r="L417" s="10"/>
      <c r="M417" s="10"/>
      <c r="N417" s="10"/>
      <c r="O417" s="18">
        <v>300.0</v>
      </c>
      <c r="P417" s="10"/>
      <c r="Q417" s="6"/>
      <c r="R417" s="10"/>
    </row>
    <row r="418">
      <c r="A418" s="6" t="s">
        <v>2547</v>
      </c>
      <c r="B418" s="6" t="s">
        <v>35</v>
      </c>
      <c r="C418" s="8">
        <v>45454.0</v>
      </c>
      <c r="D418" s="6" t="s">
        <v>2248</v>
      </c>
      <c r="E418" s="10"/>
      <c r="F418" s="10"/>
      <c r="G418" s="10"/>
      <c r="H418" s="6" t="s">
        <v>2549</v>
      </c>
      <c r="I418" s="10"/>
      <c r="J418" s="6" t="s">
        <v>539</v>
      </c>
      <c r="K418" s="10"/>
      <c r="L418" s="10"/>
      <c r="M418" s="10"/>
      <c r="N418" s="10"/>
      <c r="O418" s="18">
        <v>355.96</v>
      </c>
      <c r="P418" s="10"/>
      <c r="Q418" s="6"/>
      <c r="R418" s="10"/>
    </row>
    <row r="419">
      <c r="A419" s="6" t="s">
        <v>2551</v>
      </c>
      <c r="B419" s="6" t="s">
        <v>35</v>
      </c>
      <c r="C419" s="8">
        <v>45455.0</v>
      </c>
      <c r="D419" s="6" t="s">
        <v>543</v>
      </c>
      <c r="E419" s="6" t="s">
        <v>2552</v>
      </c>
      <c r="F419" s="10"/>
      <c r="G419" s="6" t="s">
        <v>2554</v>
      </c>
      <c r="H419" s="6" t="s">
        <v>2555</v>
      </c>
      <c r="I419" s="17" t="b">
        <v>1</v>
      </c>
      <c r="J419" s="6" t="s">
        <v>546</v>
      </c>
      <c r="K419" s="10"/>
      <c r="L419" s="10"/>
      <c r="M419" s="10"/>
      <c r="N419" s="10"/>
      <c r="O419" s="18">
        <v>325.0</v>
      </c>
      <c r="P419" s="18">
        <v>929846.0</v>
      </c>
      <c r="Q419" s="17" t="b">
        <v>1</v>
      </c>
      <c r="R419" s="10"/>
    </row>
    <row r="420">
      <c r="A420" s="6" t="s">
        <v>2558</v>
      </c>
      <c r="B420" s="6" t="s">
        <v>35</v>
      </c>
      <c r="C420" s="8">
        <v>45456.0</v>
      </c>
      <c r="D420" s="6" t="s">
        <v>112</v>
      </c>
      <c r="E420" s="6" t="s">
        <v>2559</v>
      </c>
      <c r="F420" s="10"/>
      <c r="G420" s="6" t="s">
        <v>2561</v>
      </c>
      <c r="H420" s="6" t="s">
        <v>45</v>
      </c>
      <c r="I420" s="17" t="b">
        <v>1</v>
      </c>
      <c r="J420" s="6" t="s">
        <v>546</v>
      </c>
      <c r="K420" s="10"/>
      <c r="L420" s="10"/>
      <c r="M420" s="10"/>
      <c r="N420" s="10"/>
      <c r="O420" s="18">
        <v>384.1</v>
      </c>
      <c r="P420" s="18">
        <v>931071.0</v>
      </c>
      <c r="Q420" s="17" t="b">
        <v>1</v>
      </c>
      <c r="R420" s="10"/>
    </row>
    <row r="421">
      <c r="A421" s="6" t="s">
        <v>2563</v>
      </c>
      <c r="B421" s="6" t="s">
        <v>35</v>
      </c>
      <c r="C421" s="8">
        <v>45457.0</v>
      </c>
      <c r="D421" s="6" t="s">
        <v>2039</v>
      </c>
      <c r="E421" s="6" t="s">
        <v>2565</v>
      </c>
      <c r="F421" s="10"/>
      <c r="G421" s="6" t="s">
        <v>2566</v>
      </c>
      <c r="H421" s="6" t="s">
        <v>2568</v>
      </c>
      <c r="I421" s="17" t="b">
        <v>1</v>
      </c>
      <c r="J421" s="6" t="s">
        <v>546</v>
      </c>
      <c r="K421" s="10"/>
      <c r="L421" s="10"/>
      <c r="M421" s="10"/>
      <c r="N421" s="10"/>
      <c r="O421" s="18">
        <v>27.5</v>
      </c>
      <c r="P421" s="18">
        <v>932102.0</v>
      </c>
      <c r="Q421" s="17" t="b">
        <v>1</v>
      </c>
      <c r="R421" s="10"/>
    </row>
    <row r="422">
      <c r="A422" s="6" t="s">
        <v>2570</v>
      </c>
      <c r="B422" s="6" t="s">
        <v>35</v>
      </c>
      <c r="C422" s="8">
        <v>45457.0</v>
      </c>
      <c r="D422" s="6" t="s">
        <v>2197</v>
      </c>
      <c r="E422" s="6" t="s">
        <v>2572</v>
      </c>
      <c r="F422" s="10"/>
      <c r="G422" s="6" t="s">
        <v>2573</v>
      </c>
      <c r="H422" s="6" t="s">
        <v>2575</v>
      </c>
      <c r="I422" s="17" t="b">
        <v>1</v>
      </c>
      <c r="J422" s="6" t="s">
        <v>546</v>
      </c>
      <c r="K422" s="10"/>
      <c r="L422" s="10"/>
      <c r="M422" s="10"/>
      <c r="N422" s="10"/>
      <c r="O422" s="18">
        <v>205.06</v>
      </c>
      <c r="P422" s="18">
        <v>932104.0</v>
      </c>
      <c r="Q422" s="17" t="b">
        <v>1</v>
      </c>
      <c r="R422" s="10"/>
    </row>
    <row r="423">
      <c r="A423" s="6" t="s">
        <v>2577</v>
      </c>
      <c r="B423" s="6" t="s">
        <v>35</v>
      </c>
      <c r="C423" s="8">
        <v>45457.0</v>
      </c>
      <c r="D423" s="6" t="s">
        <v>543</v>
      </c>
      <c r="E423" s="6" t="s">
        <v>2579</v>
      </c>
      <c r="F423" s="10"/>
      <c r="G423" s="6" t="s">
        <v>2580</v>
      </c>
      <c r="H423" s="6" t="s">
        <v>415</v>
      </c>
      <c r="I423" s="17" t="b">
        <v>1</v>
      </c>
      <c r="J423" s="6" t="s">
        <v>546</v>
      </c>
      <c r="K423" s="10"/>
      <c r="L423" s="10"/>
      <c r="M423" s="10"/>
      <c r="N423" s="10"/>
      <c r="O423" s="18">
        <v>300.0</v>
      </c>
      <c r="P423" s="18">
        <v>932152.0</v>
      </c>
      <c r="Q423" s="17" t="b">
        <v>1</v>
      </c>
      <c r="R423" s="10"/>
    </row>
    <row r="424">
      <c r="A424" s="6" t="s">
        <v>2583</v>
      </c>
      <c r="B424" s="6" t="s">
        <v>35</v>
      </c>
      <c r="C424" s="8">
        <v>45457.0</v>
      </c>
      <c r="D424" s="6" t="s">
        <v>2584</v>
      </c>
      <c r="E424" s="10"/>
      <c r="F424" s="10"/>
      <c r="G424" s="10"/>
      <c r="H424" s="6" t="s">
        <v>2586</v>
      </c>
      <c r="I424" s="10"/>
      <c r="J424" s="6" t="s">
        <v>539</v>
      </c>
      <c r="K424" s="10"/>
      <c r="L424" s="10"/>
      <c r="M424" s="10"/>
      <c r="N424" s="10"/>
      <c r="O424" s="18">
        <v>223.58</v>
      </c>
      <c r="P424" s="10"/>
      <c r="Q424" s="6"/>
      <c r="R424" s="10"/>
    </row>
    <row r="425">
      <c r="A425" s="6" t="s">
        <v>2588</v>
      </c>
      <c r="B425" s="6" t="s">
        <v>35</v>
      </c>
      <c r="C425" s="8">
        <v>45455.0</v>
      </c>
      <c r="D425" s="6" t="s">
        <v>890</v>
      </c>
      <c r="E425" s="6" t="s">
        <v>2590</v>
      </c>
      <c r="F425" s="10"/>
      <c r="G425" s="6" t="s">
        <v>2591</v>
      </c>
      <c r="H425" s="6" t="s">
        <v>893</v>
      </c>
      <c r="I425" s="17" t="b">
        <v>0</v>
      </c>
      <c r="J425" s="6" t="s">
        <v>546</v>
      </c>
      <c r="K425" s="10"/>
      <c r="L425" s="10"/>
      <c r="M425" s="10"/>
      <c r="N425" s="10"/>
      <c r="O425" s="18">
        <v>6372.86</v>
      </c>
      <c r="P425" s="10"/>
      <c r="Q425" s="17" t="b">
        <v>1</v>
      </c>
      <c r="R425" s="10"/>
    </row>
    <row r="426">
      <c r="A426" s="6" t="s">
        <v>2593</v>
      </c>
      <c r="B426" s="6" t="s">
        <v>35</v>
      </c>
      <c r="C426" s="8">
        <v>45457.0</v>
      </c>
      <c r="D426" s="6" t="s">
        <v>559</v>
      </c>
      <c r="E426" s="6" t="s">
        <v>2598</v>
      </c>
      <c r="F426" s="10"/>
      <c r="G426" s="6" t="s">
        <v>2599</v>
      </c>
      <c r="H426" s="6" t="s">
        <v>195</v>
      </c>
      <c r="I426" s="17" t="b">
        <v>0</v>
      </c>
      <c r="J426" s="6" t="s">
        <v>546</v>
      </c>
      <c r="K426" s="10"/>
      <c r="L426" s="10"/>
      <c r="M426" s="10"/>
      <c r="N426" s="10"/>
      <c r="O426" s="18">
        <v>90.0</v>
      </c>
      <c r="P426" s="10"/>
      <c r="Q426" s="17" t="b">
        <v>1</v>
      </c>
      <c r="R426" s="10"/>
    </row>
    <row r="427">
      <c r="A427" s="6" t="s">
        <v>2602</v>
      </c>
      <c r="B427" s="6" t="s">
        <v>35</v>
      </c>
      <c r="C427" s="8">
        <v>45457.0</v>
      </c>
      <c r="D427" s="6" t="s">
        <v>559</v>
      </c>
      <c r="E427" s="6" t="s">
        <v>2598</v>
      </c>
      <c r="F427" s="10"/>
      <c r="G427" s="6" t="s">
        <v>2604</v>
      </c>
      <c r="H427" s="6" t="s">
        <v>195</v>
      </c>
      <c r="I427" s="17" t="b">
        <v>0</v>
      </c>
      <c r="J427" s="6" t="s">
        <v>546</v>
      </c>
      <c r="K427" s="10"/>
      <c r="L427" s="10"/>
      <c r="M427" s="10"/>
      <c r="N427" s="10"/>
      <c r="O427" s="18">
        <v>403.0</v>
      </c>
      <c r="P427" s="10"/>
      <c r="Q427" s="17" t="b">
        <v>1</v>
      </c>
      <c r="R427" s="10"/>
    </row>
    <row r="428">
      <c r="A428" s="6" t="s">
        <v>2606</v>
      </c>
      <c r="B428" s="6" t="s">
        <v>35</v>
      </c>
      <c r="C428" s="8">
        <v>45461.0</v>
      </c>
      <c r="D428" s="6" t="s">
        <v>112</v>
      </c>
      <c r="E428" s="6" t="s">
        <v>2608</v>
      </c>
      <c r="F428" s="10"/>
      <c r="G428" s="6" t="s">
        <v>2609</v>
      </c>
      <c r="H428" s="6" t="s">
        <v>2610</v>
      </c>
      <c r="I428" s="17" t="b">
        <v>1</v>
      </c>
      <c r="J428" s="6" t="s">
        <v>546</v>
      </c>
      <c r="K428" s="10"/>
      <c r="L428" s="10"/>
      <c r="M428" s="10"/>
      <c r="N428" s="10"/>
      <c r="O428" s="18">
        <v>8.21</v>
      </c>
      <c r="P428" s="18">
        <v>937798.0</v>
      </c>
      <c r="Q428" s="17" t="b">
        <v>1</v>
      </c>
      <c r="R428" s="10"/>
    </row>
    <row r="429">
      <c r="A429" s="18">
        <v>5.4355018E7</v>
      </c>
      <c r="B429" s="6" t="s">
        <v>35</v>
      </c>
      <c r="C429" s="8">
        <v>45461.0</v>
      </c>
      <c r="D429" s="6" t="s">
        <v>2613</v>
      </c>
      <c r="E429" s="6" t="s">
        <v>2614</v>
      </c>
      <c r="F429" s="10"/>
      <c r="G429" s="6" t="s">
        <v>2616</v>
      </c>
      <c r="H429" s="6" t="s">
        <v>2617</v>
      </c>
      <c r="I429" s="17" t="b">
        <v>1</v>
      </c>
      <c r="J429" s="6" t="s">
        <v>546</v>
      </c>
      <c r="K429" s="10"/>
      <c r="L429" s="10"/>
      <c r="M429" s="10"/>
      <c r="N429" s="10"/>
      <c r="O429" s="18">
        <v>129.6</v>
      </c>
      <c r="P429" s="18">
        <v>937868.0</v>
      </c>
      <c r="Q429" s="17" t="b">
        <v>1</v>
      </c>
      <c r="R429" s="10"/>
    </row>
    <row r="430">
      <c r="A430" s="6" t="s">
        <v>2619</v>
      </c>
      <c r="B430" s="6" t="s">
        <v>35</v>
      </c>
      <c r="C430" s="8">
        <v>45462.0</v>
      </c>
      <c r="D430" s="6" t="s">
        <v>543</v>
      </c>
      <c r="E430" s="6" t="s">
        <v>2621</v>
      </c>
      <c r="F430" s="10"/>
      <c r="G430" s="6" t="s">
        <v>2623</v>
      </c>
      <c r="H430" s="6" t="s">
        <v>2624</v>
      </c>
      <c r="I430" s="17" t="b">
        <v>1</v>
      </c>
      <c r="J430" s="6" t="s">
        <v>546</v>
      </c>
      <c r="K430" s="10"/>
      <c r="L430" s="10"/>
      <c r="M430" s="10"/>
      <c r="N430" s="10"/>
      <c r="O430" s="18">
        <v>200.0</v>
      </c>
      <c r="P430" s="18">
        <v>938792.0</v>
      </c>
      <c r="Q430" s="17" t="b">
        <v>1</v>
      </c>
      <c r="R430" s="10"/>
    </row>
    <row r="431">
      <c r="A431" s="6" t="s">
        <v>2627</v>
      </c>
      <c r="B431" s="6" t="s">
        <v>35</v>
      </c>
      <c r="C431" s="8">
        <v>45462.0</v>
      </c>
      <c r="D431" s="6" t="s">
        <v>460</v>
      </c>
      <c r="E431" s="10"/>
      <c r="F431" s="10"/>
      <c r="G431" s="10"/>
      <c r="H431" s="6" t="s">
        <v>2629</v>
      </c>
      <c r="I431" s="10"/>
      <c r="J431" s="6" t="s">
        <v>539</v>
      </c>
      <c r="K431" s="10"/>
      <c r="L431" s="10"/>
      <c r="M431" s="10"/>
      <c r="N431" s="10"/>
      <c r="O431" s="18">
        <v>1855.19</v>
      </c>
      <c r="P431" s="10"/>
      <c r="Q431" s="6"/>
      <c r="R431" s="10"/>
    </row>
    <row r="432">
      <c r="A432" s="6" t="s">
        <v>2632</v>
      </c>
      <c r="B432" s="6" t="s">
        <v>35</v>
      </c>
      <c r="C432" s="8">
        <v>45462.0</v>
      </c>
      <c r="D432" s="6" t="s">
        <v>460</v>
      </c>
      <c r="E432" s="10"/>
      <c r="F432" s="10"/>
      <c r="G432" s="10"/>
      <c r="H432" s="6" t="s">
        <v>2634</v>
      </c>
      <c r="I432" s="10"/>
      <c r="J432" s="6" t="s">
        <v>539</v>
      </c>
      <c r="K432" s="10"/>
      <c r="L432" s="10"/>
      <c r="M432" s="10"/>
      <c r="N432" s="10"/>
      <c r="O432" s="18">
        <v>125.0</v>
      </c>
      <c r="P432" s="10"/>
      <c r="Q432" s="6"/>
      <c r="R432" s="10"/>
    </row>
    <row r="433">
      <c r="A433" s="6" t="s">
        <v>2636</v>
      </c>
      <c r="B433" s="6" t="s">
        <v>35</v>
      </c>
      <c r="C433" s="8">
        <v>45463.0</v>
      </c>
      <c r="D433" s="6" t="s">
        <v>112</v>
      </c>
      <c r="E433" s="6" t="s">
        <v>2638</v>
      </c>
      <c r="F433" s="10"/>
      <c r="G433" s="6" t="s">
        <v>2639</v>
      </c>
      <c r="H433" s="6" t="s">
        <v>45</v>
      </c>
      <c r="I433" s="17" t="b">
        <v>1</v>
      </c>
      <c r="J433" s="6" t="s">
        <v>546</v>
      </c>
      <c r="K433" s="10"/>
      <c r="L433" s="10"/>
      <c r="M433" s="10"/>
      <c r="N433" s="10"/>
      <c r="O433" s="18">
        <v>397.21</v>
      </c>
      <c r="P433" s="18">
        <v>939727.0</v>
      </c>
      <c r="Q433" s="17" t="b">
        <v>1</v>
      </c>
      <c r="R433" s="10"/>
    </row>
    <row r="434">
      <c r="A434" s="6" t="s">
        <v>2642</v>
      </c>
      <c r="B434" s="6" t="s">
        <v>35</v>
      </c>
      <c r="C434" s="8">
        <v>45463.0</v>
      </c>
      <c r="D434" s="6" t="s">
        <v>2644</v>
      </c>
      <c r="E434" s="6" t="s">
        <v>2645</v>
      </c>
      <c r="F434" s="10"/>
      <c r="G434" s="6" t="s">
        <v>2646</v>
      </c>
      <c r="H434" s="6" t="s">
        <v>767</v>
      </c>
      <c r="I434" s="17" t="b">
        <v>0</v>
      </c>
      <c r="J434" s="6" t="s">
        <v>546</v>
      </c>
      <c r="K434" s="10"/>
      <c r="L434" s="10"/>
      <c r="M434" s="10"/>
      <c r="N434" s="10"/>
      <c r="O434" s="18">
        <v>390.5</v>
      </c>
      <c r="P434" s="10"/>
      <c r="Q434" s="17" t="b">
        <v>1</v>
      </c>
      <c r="R434" s="10"/>
    </row>
    <row r="435">
      <c r="A435" s="6" t="s">
        <v>2650</v>
      </c>
      <c r="B435" s="6" t="s">
        <v>35</v>
      </c>
      <c r="C435" s="8">
        <v>45456.0</v>
      </c>
      <c r="D435" s="6" t="s">
        <v>890</v>
      </c>
      <c r="E435" s="6" t="s">
        <v>2652</v>
      </c>
      <c r="F435" s="10"/>
      <c r="G435" s="6" t="s">
        <v>2653</v>
      </c>
      <c r="H435" s="6" t="s">
        <v>1184</v>
      </c>
      <c r="I435" s="17" t="b">
        <v>0</v>
      </c>
      <c r="J435" s="6" t="s">
        <v>546</v>
      </c>
      <c r="K435" s="10"/>
      <c r="L435" s="10"/>
      <c r="M435" s="10"/>
      <c r="N435" s="10"/>
      <c r="O435" s="18">
        <v>6349.78</v>
      </c>
      <c r="P435" s="10"/>
      <c r="Q435" s="17" t="b">
        <v>1</v>
      </c>
      <c r="R435" s="10"/>
    </row>
    <row r="436">
      <c r="A436" s="6" t="s">
        <v>2656</v>
      </c>
      <c r="B436" s="6" t="s">
        <v>35</v>
      </c>
      <c r="C436" s="8">
        <v>45461.0</v>
      </c>
      <c r="D436" s="6" t="s">
        <v>2491</v>
      </c>
      <c r="E436" s="6" t="s">
        <v>2658</v>
      </c>
      <c r="F436" s="10"/>
      <c r="G436" s="6" t="s">
        <v>2660</v>
      </c>
      <c r="H436" s="6" t="s">
        <v>605</v>
      </c>
      <c r="I436" s="17" t="b">
        <v>0</v>
      </c>
      <c r="J436" s="6" t="s">
        <v>546</v>
      </c>
      <c r="K436" s="10"/>
      <c r="L436" s="10"/>
      <c r="M436" s="10"/>
      <c r="N436" s="10"/>
      <c r="O436" s="18">
        <v>2334.47</v>
      </c>
      <c r="P436" s="10"/>
      <c r="Q436" s="17" t="b">
        <v>1</v>
      </c>
      <c r="R436" s="10"/>
    </row>
    <row r="437">
      <c r="A437" s="6" t="s">
        <v>2664</v>
      </c>
      <c r="B437" s="6" t="s">
        <v>35</v>
      </c>
      <c r="C437" s="8">
        <v>45466.0</v>
      </c>
      <c r="D437" s="10"/>
      <c r="E437" s="10"/>
      <c r="F437" s="10"/>
      <c r="G437" s="10"/>
      <c r="H437" s="6" t="s">
        <v>2666</v>
      </c>
      <c r="I437" s="10"/>
      <c r="J437" s="6" t="s">
        <v>539</v>
      </c>
      <c r="K437" s="6" t="s">
        <v>651</v>
      </c>
      <c r="L437" s="10"/>
      <c r="M437" s="10"/>
      <c r="N437" s="10"/>
      <c r="O437" s="18">
        <v>400.0</v>
      </c>
      <c r="P437" s="10"/>
      <c r="Q437" s="6"/>
      <c r="R437" s="10"/>
    </row>
    <row r="438">
      <c r="A438" s="6" t="s">
        <v>2668</v>
      </c>
      <c r="B438" s="6" t="s">
        <v>35</v>
      </c>
      <c r="C438" s="8">
        <v>45467.0</v>
      </c>
      <c r="D438" s="6" t="s">
        <v>559</v>
      </c>
      <c r="E438" s="10"/>
      <c r="F438" s="10"/>
      <c r="G438" s="10"/>
      <c r="H438" s="6" t="s">
        <v>195</v>
      </c>
      <c r="I438" s="10"/>
      <c r="J438" s="6" t="s">
        <v>539</v>
      </c>
      <c r="K438" s="10"/>
      <c r="L438" s="10"/>
      <c r="M438" s="10"/>
      <c r="N438" s="10"/>
      <c r="O438" s="18">
        <v>219.28</v>
      </c>
      <c r="P438" s="10"/>
      <c r="Q438" s="6"/>
      <c r="R438" s="10"/>
    </row>
    <row r="439">
      <c r="A439" s="6" t="s">
        <v>2672</v>
      </c>
      <c r="B439" s="6" t="s">
        <v>35</v>
      </c>
      <c r="C439" s="8">
        <v>45467.0</v>
      </c>
      <c r="D439" s="18">
        <v>6.8893939E7</v>
      </c>
      <c r="E439" s="10"/>
      <c r="F439" s="10"/>
      <c r="G439" s="10"/>
      <c r="H439" s="6" t="s">
        <v>2674</v>
      </c>
      <c r="I439" s="10"/>
      <c r="J439" s="6" t="s">
        <v>539</v>
      </c>
      <c r="K439" s="10"/>
      <c r="L439" s="10"/>
      <c r="M439" s="10"/>
      <c r="N439" s="10"/>
      <c r="O439" s="18">
        <v>827.55</v>
      </c>
      <c r="P439" s="10"/>
      <c r="Q439" s="6"/>
      <c r="R439" s="10"/>
    </row>
    <row r="440">
      <c r="A440" s="6" t="s">
        <v>2676</v>
      </c>
      <c r="B440" s="6" t="s">
        <v>35</v>
      </c>
      <c r="C440" s="8">
        <v>45467.0</v>
      </c>
      <c r="D440" s="18">
        <v>6.8893939E7</v>
      </c>
      <c r="E440" s="10"/>
      <c r="F440" s="10"/>
      <c r="G440" s="10"/>
      <c r="H440" s="6" t="s">
        <v>605</v>
      </c>
      <c r="I440" s="10"/>
      <c r="J440" s="6" t="s">
        <v>539</v>
      </c>
      <c r="K440" s="10"/>
      <c r="L440" s="10"/>
      <c r="M440" s="10"/>
      <c r="N440" s="10"/>
      <c r="O440" s="18">
        <v>827.25</v>
      </c>
      <c r="P440" s="10"/>
      <c r="Q440" s="6"/>
      <c r="R440" s="10"/>
    </row>
    <row r="441">
      <c r="A441" s="6" t="s">
        <v>2680</v>
      </c>
      <c r="B441" s="6" t="s">
        <v>35</v>
      </c>
      <c r="C441" s="8">
        <v>45467.0</v>
      </c>
      <c r="D441" s="6" t="s">
        <v>460</v>
      </c>
      <c r="E441" s="10"/>
      <c r="F441" s="10"/>
      <c r="G441" s="10"/>
      <c r="H441" s="6" t="s">
        <v>931</v>
      </c>
      <c r="I441" s="10"/>
      <c r="J441" s="6" t="s">
        <v>539</v>
      </c>
      <c r="K441" s="10"/>
      <c r="L441" s="10"/>
      <c r="M441" s="10"/>
      <c r="N441" s="10"/>
      <c r="O441" s="18">
        <v>30.0</v>
      </c>
      <c r="P441" s="10"/>
      <c r="Q441" s="6"/>
      <c r="R441" s="10"/>
    </row>
    <row r="442">
      <c r="A442" s="6" t="s">
        <v>2683</v>
      </c>
      <c r="B442" s="6" t="s">
        <v>35</v>
      </c>
      <c r="C442" s="8">
        <v>45471.0</v>
      </c>
      <c r="D442" s="6" t="s">
        <v>2685</v>
      </c>
      <c r="E442" s="10"/>
      <c r="F442" s="10"/>
      <c r="G442" s="10"/>
      <c r="H442" s="6" t="s">
        <v>2687</v>
      </c>
      <c r="I442" s="10"/>
      <c r="J442" s="6" t="s">
        <v>539</v>
      </c>
      <c r="K442" s="10"/>
      <c r="L442" s="10"/>
      <c r="M442" s="10"/>
      <c r="N442" s="10"/>
      <c r="O442" s="18">
        <v>379.89</v>
      </c>
      <c r="P442" s="10"/>
      <c r="Q442" s="6"/>
      <c r="R442" s="10"/>
    </row>
    <row r="443">
      <c r="A443" s="6" t="s">
        <v>2689</v>
      </c>
      <c r="B443" s="6" t="s">
        <v>35</v>
      </c>
      <c r="C443" s="8">
        <v>45471.0</v>
      </c>
      <c r="D443" s="6" t="s">
        <v>2685</v>
      </c>
      <c r="E443" s="10"/>
      <c r="F443" s="10"/>
      <c r="G443" s="10"/>
      <c r="H443" s="6" t="s">
        <v>2687</v>
      </c>
      <c r="I443" s="10"/>
      <c r="J443" s="6" t="s">
        <v>539</v>
      </c>
      <c r="K443" s="10"/>
      <c r="L443" s="10"/>
      <c r="M443" s="10"/>
      <c r="N443" s="10"/>
      <c r="O443" s="18">
        <v>405.27</v>
      </c>
      <c r="P443" s="10"/>
      <c r="Q443" s="6"/>
      <c r="R443" s="10"/>
    </row>
    <row r="444">
      <c r="A444" s="6" t="s">
        <v>2694</v>
      </c>
      <c r="B444" s="6" t="s">
        <v>35</v>
      </c>
      <c r="C444" s="8">
        <v>45477.0</v>
      </c>
      <c r="D444" s="10"/>
      <c r="E444" s="10"/>
      <c r="F444" s="10"/>
      <c r="G444" s="10"/>
      <c r="H444" s="6" t="s">
        <v>2696</v>
      </c>
      <c r="I444" s="10"/>
      <c r="J444" s="6" t="s">
        <v>539</v>
      </c>
      <c r="K444" s="6" t="s">
        <v>658</v>
      </c>
      <c r="L444" s="10"/>
      <c r="M444" s="10"/>
      <c r="N444" s="10"/>
      <c r="O444" s="18">
        <v>1722.44</v>
      </c>
      <c r="P444" s="10"/>
      <c r="Q444" s="6"/>
      <c r="R444" s="10"/>
    </row>
    <row r="445">
      <c r="A445" s="6" t="s">
        <v>2698</v>
      </c>
      <c r="B445" s="6" t="s">
        <v>35</v>
      </c>
      <c r="C445" s="8">
        <v>45477.0</v>
      </c>
      <c r="D445" s="10"/>
      <c r="E445" s="10"/>
      <c r="F445" s="10"/>
      <c r="G445" s="10"/>
      <c r="H445" s="6" t="s">
        <v>2696</v>
      </c>
      <c r="I445" s="10"/>
      <c r="J445" s="6" t="s">
        <v>539</v>
      </c>
      <c r="K445" s="6" t="s">
        <v>651</v>
      </c>
      <c r="L445" s="10"/>
      <c r="M445" s="10"/>
      <c r="N445" s="10"/>
      <c r="O445" s="18">
        <v>1633.73</v>
      </c>
      <c r="P445" s="10"/>
      <c r="Q445" s="6"/>
      <c r="R445" s="10"/>
    </row>
    <row r="446">
      <c r="A446" s="6" t="s">
        <v>2701</v>
      </c>
      <c r="B446" s="6" t="s">
        <v>35</v>
      </c>
      <c r="C446" s="8">
        <v>45477.0</v>
      </c>
      <c r="D446" s="10"/>
      <c r="E446" s="10"/>
      <c r="F446" s="10"/>
      <c r="G446" s="10"/>
      <c r="H446" s="6" t="s">
        <v>2696</v>
      </c>
      <c r="I446" s="10"/>
      <c r="J446" s="6" t="s">
        <v>539</v>
      </c>
      <c r="K446" s="6" t="s">
        <v>2052</v>
      </c>
      <c r="L446" s="10"/>
      <c r="M446" s="10"/>
      <c r="N446" s="10"/>
      <c r="O446" s="18">
        <v>2012.26</v>
      </c>
      <c r="P446" s="10"/>
      <c r="Q446" s="6"/>
      <c r="R446" s="10"/>
    </row>
    <row r="447">
      <c r="A447" s="6" t="s">
        <v>2705</v>
      </c>
      <c r="B447" s="6" t="s">
        <v>35</v>
      </c>
      <c r="C447" s="8">
        <v>45477.0</v>
      </c>
      <c r="D447" s="10"/>
      <c r="E447" s="10"/>
      <c r="F447" s="10"/>
      <c r="G447" s="10"/>
      <c r="H447" s="6" t="s">
        <v>2696</v>
      </c>
      <c r="I447" s="10"/>
      <c r="J447" s="6" t="s">
        <v>539</v>
      </c>
      <c r="K447" s="6" t="s">
        <v>624</v>
      </c>
      <c r="L447" s="10"/>
      <c r="M447" s="10"/>
      <c r="N447" s="10"/>
      <c r="O447" s="18">
        <v>2933.29</v>
      </c>
      <c r="P447" s="10"/>
      <c r="Q447" s="6"/>
      <c r="R447" s="10"/>
    </row>
    <row r="448">
      <c r="A448" s="18">
        <v>1.20267703E8</v>
      </c>
      <c r="B448" s="6" t="s">
        <v>35</v>
      </c>
      <c r="C448" s="8">
        <v>45477.0</v>
      </c>
      <c r="D448" s="10"/>
      <c r="E448" s="10"/>
      <c r="F448" s="10"/>
      <c r="G448" s="10"/>
      <c r="H448" s="6" t="s">
        <v>2696</v>
      </c>
      <c r="I448" s="10"/>
      <c r="J448" s="6" t="s">
        <v>539</v>
      </c>
      <c r="K448" s="6" t="s">
        <v>664</v>
      </c>
      <c r="L448" s="10"/>
      <c r="M448" s="10"/>
      <c r="N448" s="10"/>
      <c r="O448" s="18">
        <v>2977.6</v>
      </c>
      <c r="P448" s="10"/>
      <c r="Q448" s="6"/>
      <c r="R448" s="10"/>
    </row>
    <row r="449">
      <c r="A449" s="6" t="s">
        <v>2710</v>
      </c>
      <c r="B449" s="6" t="s">
        <v>35</v>
      </c>
      <c r="C449" s="8">
        <v>45477.0</v>
      </c>
      <c r="D449" s="10"/>
      <c r="E449" s="10"/>
      <c r="F449" s="10"/>
      <c r="G449" s="10"/>
      <c r="H449" s="6" t="s">
        <v>2696</v>
      </c>
      <c r="I449" s="10"/>
      <c r="J449" s="6" t="s">
        <v>539</v>
      </c>
      <c r="K449" s="6" t="s">
        <v>2713</v>
      </c>
      <c r="L449" s="10"/>
      <c r="M449" s="10"/>
      <c r="N449" s="10"/>
      <c r="O449" s="18">
        <v>1434.35</v>
      </c>
      <c r="P449" s="10"/>
      <c r="Q449" s="6"/>
      <c r="R449" s="10"/>
    </row>
    <row r="450">
      <c r="A450" s="6" t="s">
        <v>2716</v>
      </c>
      <c r="B450" s="6" t="s">
        <v>35</v>
      </c>
      <c r="C450" s="8">
        <v>45479.0</v>
      </c>
      <c r="D450" s="6" t="s">
        <v>2439</v>
      </c>
      <c r="E450" s="6" t="s">
        <v>2718</v>
      </c>
      <c r="F450" s="10"/>
      <c r="G450" s="6" t="s">
        <v>2719</v>
      </c>
      <c r="H450" s="6" t="s">
        <v>2720</v>
      </c>
      <c r="I450" s="17" t="b">
        <v>0</v>
      </c>
      <c r="J450" s="6" t="s">
        <v>546</v>
      </c>
      <c r="K450" s="10"/>
      <c r="L450" s="10"/>
      <c r="M450" s="10"/>
      <c r="N450" s="10"/>
      <c r="O450" s="18">
        <v>151.88</v>
      </c>
      <c r="P450" s="10"/>
      <c r="Q450" s="17" t="b">
        <v>1</v>
      </c>
      <c r="R450" s="10"/>
    </row>
    <row r="451">
      <c r="A451" s="6" t="s">
        <v>2722</v>
      </c>
      <c r="B451" s="6" t="s">
        <v>35</v>
      </c>
      <c r="C451" s="8">
        <v>45481.0</v>
      </c>
      <c r="D451" s="6" t="s">
        <v>1383</v>
      </c>
      <c r="E451" s="10"/>
      <c r="F451" s="10"/>
      <c r="G451" s="10"/>
      <c r="H451" s="6" t="s">
        <v>788</v>
      </c>
      <c r="I451" s="10"/>
      <c r="J451" s="6" t="s">
        <v>539</v>
      </c>
      <c r="K451" s="10"/>
      <c r="L451" s="10"/>
      <c r="M451" s="10"/>
      <c r="N451" s="10"/>
      <c r="O451" s="18">
        <v>353.75</v>
      </c>
      <c r="P451" s="10"/>
      <c r="Q451" s="6"/>
      <c r="R451" s="10"/>
    </row>
    <row r="452">
      <c r="A452" s="6" t="s">
        <v>2727</v>
      </c>
      <c r="B452" s="6" t="s">
        <v>35</v>
      </c>
      <c r="C452" s="8">
        <v>45481.0</v>
      </c>
      <c r="D452" s="6" t="s">
        <v>559</v>
      </c>
      <c r="E452" s="10"/>
      <c r="F452" s="10"/>
      <c r="G452" s="10"/>
      <c r="H452" s="6" t="s">
        <v>195</v>
      </c>
      <c r="I452" s="10"/>
      <c r="J452" s="6" t="s">
        <v>539</v>
      </c>
      <c r="K452" s="10"/>
      <c r="L452" s="10"/>
      <c r="M452" s="10"/>
      <c r="N452" s="10"/>
      <c r="O452" s="18">
        <v>803.42</v>
      </c>
      <c r="P452" s="10"/>
      <c r="Q452" s="6"/>
      <c r="R452" s="10"/>
    </row>
    <row r="453">
      <c r="A453" s="6" t="s">
        <v>2730</v>
      </c>
      <c r="B453" s="6" t="s">
        <v>35</v>
      </c>
      <c r="C453" s="8">
        <v>45481.0</v>
      </c>
      <c r="D453" s="6" t="s">
        <v>890</v>
      </c>
      <c r="E453" s="10"/>
      <c r="F453" s="10"/>
      <c r="G453" s="10"/>
      <c r="H453" s="6" t="s">
        <v>2732</v>
      </c>
      <c r="I453" s="10"/>
      <c r="J453" s="6" t="s">
        <v>539</v>
      </c>
      <c r="K453" s="10"/>
      <c r="L453" s="10"/>
      <c r="M453" s="10"/>
      <c r="N453" s="10"/>
      <c r="O453" s="18">
        <v>10500.53</v>
      </c>
      <c r="P453" s="10"/>
      <c r="Q453" s="6"/>
      <c r="R453" s="10"/>
    </row>
    <row r="454">
      <c r="A454" s="6" t="s">
        <v>2736</v>
      </c>
      <c r="B454" s="6" t="s">
        <v>35</v>
      </c>
      <c r="C454" s="8">
        <v>45481.0</v>
      </c>
      <c r="D454" s="6" t="s">
        <v>890</v>
      </c>
      <c r="E454" s="10"/>
      <c r="F454" s="10"/>
      <c r="G454" s="10"/>
      <c r="H454" s="6" t="s">
        <v>899</v>
      </c>
      <c r="I454" s="10"/>
      <c r="J454" s="6" t="s">
        <v>539</v>
      </c>
      <c r="K454" s="10"/>
      <c r="L454" s="10"/>
      <c r="M454" s="10"/>
      <c r="N454" s="10"/>
      <c r="O454" s="18">
        <v>24093.85</v>
      </c>
      <c r="P454" s="10"/>
      <c r="Q454" s="6"/>
      <c r="R454" s="10"/>
    </row>
    <row r="455">
      <c r="A455" s="6" t="s">
        <v>2739</v>
      </c>
      <c r="B455" s="6" t="s">
        <v>35</v>
      </c>
      <c r="C455" s="8">
        <v>45481.0</v>
      </c>
      <c r="D455" s="6" t="s">
        <v>2740</v>
      </c>
      <c r="E455" s="10"/>
      <c r="F455" s="10"/>
      <c r="G455" s="10"/>
      <c r="H455" s="6" t="s">
        <v>1561</v>
      </c>
      <c r="I455" s="10"/>
      <c r="J455" s="6" t="s">
        <v>539</v>
      </c>
      <c r="K455" s="10"/>
      <c r="L455" s="10"/>
      <c r="M455" s="10"/>
      <c r="N455" s="10"/>
      <c r="O455" s="18">
        <v>110.0</v>
      </c>
      <c r="P455" s="10"/>
      <c r="Q455" s="6"/>
      <c r="R455" s="10"/>
    </row>
    <row r="456">
      <c r="A456" s="6" t="s">
        <v>2743</v>
      </c>
      <c r="B456" s="6" t="s">
        <v>35</v>
      </c>
      <c r="C456" s="8">
        <v>45483.0</v>
      </c>
      <c r="D456" s="18">
        <v>6.8893939E7</v>
      </c>
      <c r="E456" s="10"/>
      <c r="F456" s="10"/>
      <c r="G456" s="10"/>
      <c r="H456" s="6" t="s">
        <v>2745</v>
      </c>
      <c r="I456" s="10"/>
      <c r="J456" s="6" t="s">
        <v>539</v>
      </c>
      <c r="K456" s="10"/>
      <c r="L456" s="10"/>
      <c r="M456" s="10"/>
      <c r="N456" s="10"/>
      <c r="O456" s="18">
        <v>827.55</v>
      </c>
      <c r="P456" s="10"/>
      <c r="Q456" s="6"/>
      <c r="R456" s="10"/>
    </row>
    <row r="457">
      <c r="A457" s="6" t="s">
        <v>2748</v>
      </c>
      <c r="B457" s="6" t="s">
        <v>35</v>
      </c>
      <c r="C457" s="8">
        <v>45483.0</v>
      </c>
      <c r="D457" s="18">
        <v>6.8893939E7</v>
      </c>
      <c r="E457" s="10"/>
      <c r="F457" s="10"/>
      <c r="G457" s="10"/>
      <c r="H457" s="6" t="s">
        <v>2750</v>
      </c>
      <c r="I457" s="10"/>
      <c r="J457" s="6" t="s">
        <v>539</v>
      </c>
      <c r="K457" s="10"/>
      <c r="L457" s="10"/>
      <c r="M457" s="10"/>
      <c r="N457" s="10"/>
      <c r="O457" s="18">
        <v>827.25</v>
      </c>
      <c r="P457" s="10"/>
      <c r="Q457" s="6"/>
      <c r="R457" s="10"/>
    </row>
    <row r="458">
      <c r="A458" s="6" t="s">
        <v>2753</v>
      </c>
      <c r="B458" s="6" t="s">
        <v>35</v>
      </c>
      <c r="C458" s="8">
        <v>45485.0</v>
      </c>
      <c r="D458" s="6" t="s">
        <v>1383</v>
      </c>
      <c r="E458" s="10"/>
      <c r="F458" s="10"/>
      <c r="G458" s="10"/>
      <c r="H458" s="6" t="s">
        <v>2755</v>
      </c>
      <c r="I458" s="10"/>
      <c r="J458" s="6" t="s">
        <v>539</v>
      </c>
      <c r="K458" s="10"/>
      <c r="L458" s="10"/>
      <c r="M458" s="10"/>
      <c r="N458" s="10"/>
      <c r="O458" s="18">
        <v>5182.0</v>
      </c>
      <c r="P458" s="10"/>
      <c r="Q458" s="6"/>
      <c r="R458" s="10"/>
    </row>
    <row r="459">
      <c r="A459" s="6" t="s">
        <v>2757</v>
      </c>
      <c r="B459" s="6" t="s">
        <v>35</v>
      </c>
      <c r="C459" s="8">
        <v>45485.0</v>
      </c>
      <c r="D459" s="6" t="s">
        <v>460</v>
      </c>
      <c r="E459" s="10"/>
      <c r="F459" s="10"/>
      <c r="G459" s="10"/>
      <c r="H459" s="6" t="s">
        <v>2759</v>
      </c>
      <c r="I459" s="10"/>
      <c r="J459" s="6" t="s">
        <v>539</v>
      </c>
      <c r="K459" s="10"/>
      <c r="L459" s="10"/>
      <c r="M459" s="10"/>
      <c r="N459" s="10"/>
      <c r="O459" s="18">
        <v>35.0</v>
      </c>
      <c r="P459" s="10"/>
      <c r="Q459" s="6"/>
      <c r="R459" s="10"/>
    </row>
    <row r="460">
      <c r="A460" s="6" t="s">
        <v>2761</v>
      </c>
      <c r="B460" s="6" t="s">
        <v>35</v>
      </c>
      <c r="C460" s="8">
        <v>45488.0</v>
      </c>
      <c r="D460" s="6" t="s">
        <v>2248</v>
      </c>
      <c r="E460" s="10"/>
      <c r="F460" s="10"/>
      <c r="G460" s="10"/>
      <c r="H460" s="6" t="s">
        <v>2549</v>
      </c>
      <c r="I460" s="10"/>
      <c r="J460" s="6" t="s">
        <v>539</v>
      </c>
      <c r="K460" s="10"/>
      <c r="L460" s="10"/>
      <c r="M460" s="10"/>
      <c r="N460" s="10"/>
      <c r="O460" s="18">
        <v>351.24</v>
      </c>
      <c r="P460" s="10"/>
      <c r="Q460" s="6"/>
      <c r="R460" s="10"/>
    </row>
    <row r="461">
      <c r="A461" s="6" t="s">
        <v>2764</v>
      </c>
      <c r="B461" s="6" t="s">
        <v>35</v>
      </c>
      <c r="C461" s="8">
        <v>45496.0</v>
      </c>
      <c r="D461" s="6" t="s">
        <v>941</v>
      </c>
      <c r="E461" s="10"/>
      <c r="F461" s="10"/>
      <c r="G461" s="10"/>
      <c r="H461" s="6" t="s">
        <v>2341</v>
      </c>
      <c r="I461" s="10"/>
      <c r="J461" s="6" t="s">
        <v>539</v>
      </c>
      <c r="K461" s="10"/>
      <c r="L461" s="10"/>
      <c r="M461" s="10"/>
      <c r="N461" s="10"/>
      <c r="O461" s="18">
        <v>340.0</v>
      </c>
      <c r="P461" s="10"/>
      <c r="Q461" s="6"/>
      <c r="R461" s="10"/>
    </row>
    <row r="462">
      <c r="A462" s="6" t="s">
        <v>2768</v>
      </c>
      <c r="B462" s="6" t="s">
        <v>35</v>
      </c>
      <c r="C462" s="8">
        <v>45502.0</v>
      </c>
      <c r="D462" s="10"/>
      <c r="E462" s="10"/>
      <c r="F462" s="10"/>
      <c r="G462" s="10"/>
      <c r="H462" s="6" t="s">
        <v>2770</v>
      </c>
      <c r="I462" s="10"/>
      <c r="J462" s="6" t="s">
        <v>539</v>
      </c>
      <c r="K462" s="6" t="s">
        <v>664</v>
      </c>
      <c r="L462" s="10"/>
      <c r="M462" s="10"/>
      <c r="N462" s="10"/>
      <c r="O462" s="18">
        <v>110.0</v>
      </c>
      <c r="P462" s="10"/>
      <c r="Q462" s="6"/>
      <c r="R462" s="10"/>
    </row>
    <row r="463">
      <c r="A463" s="6" t="s">
        <v>2772</v>
      </c>
      <c r="B463" s="6" t="s">
        <v>35</v>
      </c>
      <c r="C463" s="8">
        <v>45502.0</v>
      </c>
      <c r="D463" s="6" t="s">
        <v>2774</v>
      </c>
      <c r="E463" s="10"/>
      <c r="F463" s="10"/>
      <c r="G463" s="10"/>
      <c r="H463" s="6" t="s">
        <v>2775</v>
      </c>
      <c r="I463" s="10"/>
      <c r="J463" s="6" t="s">
        <v>539</v>
      </c>
      <c r="K463" s="10"/>
      <c r="L463" s="10"/>
      <c r="M463" s="10"/>
      <c r="N463" s="10"/>
      <c r="O463" s="18">
        <v>757.0</v>
      </c>
      <c r="P463" s="10"/>
      <c r="Q463" s="6"/>
      <c r="R463" s="10"/>
    </row>
    <row r="464">
      <c r="A464" s="6" t="s">
        <v>2778</v>
      </c>
      <c r="B464" s="6" t="s">
        <v>35</v>
      </c>
      <c r="C464" s="8">
        <v>45502.0</v>
      </c>
      <c r="D464" s="6" t="s">
        <v>460</v>
      </c>
      <c r="E464" s="10"/>
      <c r="F464" s="10"/>
      <c r="G464" s="10"/>
      <c r="H464" s="6" t="s">
        <v>2780</v>
      </c>
      <c r="I464" s="10"/>
      <c r="J464" s="6" t="s">
        <v>539</v>
      </c>
      <c r="K464" s="10"/>
      <c r="L464" s="10"/>
      <c r="M464" s="10"/>
      <c r="N464" s="10"/>
      <c r="O464" s="18">
        <v>45.6</v>
      </c>
      <c r="P464" s="10"/>
      <c r="Q464" s="6"/>
      <c r="R464" s="10"/>
    </row>
    <row r="465">
      <c r="A465" s="6" t="s">
        <v>2783</v>
      </c>
      <c r="B465" s="6" t="s">
        <v>35</v>
      </c>
      <c r="C465" s="8">
        <v>45502.0</v>
      </c>
      <c r="D465" s="6" t="s">
        <v>460</v>
      </c>
      <c r="E465" s="10"/>
      <c r="F465" s="10"/>
      <c r="G465" s="10"/>
      <c r="H465" s="6" t="s">
        <v>2785</v>
      </c>
      <c r="I465" s="10"/>
      <c r="J465" s="6" t="s">
        <v>539</v>
      </c>
      <c r="K465" s="10"/>
      <c r="L465" s="10"/>
      <c r="M465" s="10"/>
      <c r="N465" s="10"/>
      <c r="O465" s="18">
        <v>117.0</v>
      </c>
      <c r="P465" s="10"/>
      <c r="Q465" s="6"/>
      <c r="R465" s="10"/>
    </row>
    <row r="466">
      <c r="A466" s="6" t="s">
        <v>2787</v>
      </c>
      <c r="B466" s="6" t="s">
        <v>35</v>
      </c>
      <c r="C466" s="8">
        <v>45502.0</v>
      </c>
      <c r="D466" s="6" t="s">
        <v>460</v>
      </c>
      <c r="E466" s="10"/>
      <c r="F466" s="10"/>
      <c r="G466" s="10"/>
      <c r="H466" s="6" t="s">
        <v>2789</v>
      </c>
      <c r="I466" s="10"/>
      <c r="J466" s="6" t="s">
        <v>539</v>
      </c>
      <c r="K466" s="10"/>
      <c r="L466" s="10"/>
      <c r="M466" s="10"/>
      <c r="N466" s="10"/>
      <c r="O466" s="18">
        <v>115.0</v>
      </c>
      <c r="P466" s="10"/>
      <c r="Q466" s="6"/>
      <c r="R466" s="10"/>
    </row>
    <row r="467">
      <c r="A467" s="6" t="s">
        <v>2792</v>
      </c>
      <c r="B467" s="6" t="s">
        <v>35</v>
      </c>
      <c r="C467" s="8">
        <v>45502.0</v>
      </c>
      <c r="D467" s="6" t="s">
        <v>460</v>
      </c>
      <c r="E467" s="10"/>
      <c r="F467" s="10"/>
      <c r="G467" s="10"/>
      <c r="H467" s="6" t="s">
        <v>2794</v>
      </c>
      <c r="I467" s="10"/>
      <c r="J467" s="6" t="s">
        <v>539</v>
      </c>
      <c r="K467" s="10"/>
      <c r="L467" s="10"/>
      <c r="M467" s="10"/>
      <c r="N467" s="10"/>
      <c r="O467" s="18">
        <v>145.0</v>
      </c>
      <c r="P467" s="10"/>
      <c r="Q467" s="6"/>
      <c r="R467" s="10"/>
    </row>
    <row r="468">
      <c r="A468" s="6" t="s">
        <v>2796</v>
      </c>
      <c r="B468" s="6" t="s">
        <v>35</v>
      </c>
      <c r="C468" s="8">
        <v>45502.0</v>
      </c>
      <c r="D468" s="6" t="s">
        <v>460</v>
      </c>
      <c r="E468" s="10"/>
      <c r="F468" s="10"/>
      <c r="G468" s="10"/>
      <c r="H468" s="6" t="s">
        <v>2798</v>
      </c>
      <c r="I468" s="10"/>
      <c r="J468" s="6" t="s">
        <v>539</v>
      </c>
      <c r="K468" s="10"/>
      <c r="L468" s="10"/>
      <c r="M468" s="10"/>
      <c r="N468" s="10"/>
      <c r="O468" s="18">
        <v>1445.0</v>
      </c>
      <c r="P468" s="10"/>
      <c r="Q468" s="6"/>
      <c r="R468" s="10"/>
    </row>
    <row r="469">
      <c r="A469" s="6" t="s">
        <v>2801</v>
      </c>
      <c r="B469" s="6" t="s">
        <v>35</v>
      </c>
      <c r="C469" s="8">
        <v>45502.0</v>
      </c>
      <c r="D469" s="6" t="s">
        <v>460</v>
      </c>
      <c r="E469" s="10"/>
      <c r="F469" s="10"/>
      <c r="G469" s="10"/>
      <c r="H469" s="6" t="s">
        <v>931</v>
      </c>
      <c r="I469" s="10"/>
      <c r="J469" s="6" t="s">
        <v>539</v>
      </c>
      <c r="K469" s="10"/>
      <c r="L469" s="10"/>
      <c r="M469" s="10"/>
      <c r="N469" s="10"/>
      <c r="O469" s="18">
        <v>30.0</v>
      </c>
      <c r="P469" s="10"/>
      <c r="Q469" s="6"/>
      <c r="R469" s="10"/>
    </row>
    <row r="470">
      <c r="A470" s="6" t="s">
        <v>2805</v>
      </c>
      <c r="B470" s="6" t="s">
        <v>35</v>
      </c>
      <c r="C470" s="8">
        <v>45481.0</v>
      </c>
      <c r="D470" s="6" t="s">
        <v>890</v>
      </c>
      <c r="E470" s="6" t="s">
        <v>2806</v>
      </c>
      <c r="F470" s="10"/>
      <c r="G470" s="6" t="s">
        <v>2808</v>
      </c>
      <c r="H470" s="6" t="s">
        <v>1184</v>
      </c>
      <c r="I470" s="17" t="b">
        <v>0</v>
      </c>
      <c r="J470" s="6" t="s">
        <v>546</v>
      </c>
      <c r="K470" s="10"/>
      <c r="L470" s="10"/>
      <c r="M470" s="10"/>
      <c r="N470" s="10"/>
      <c r="O470" s="18">
        <v>1075.67</v>
      </c>
      <c r="P470" s="10"/>
      <c r="Q470" s="17" t="b">
        <v>1</v>
      </c>
      <c r="R470" s="10"/>
    </row>
    <row r="471">
      <c r="A471" s="6" t="s">
        <v>2810</v>
      </c>
      <c r="B471" s="6" t="s">
        <v>35</v>
      </c>
      <c r="C471" s="8">
        <v>45483.0</v>
      </c>
      <c r="D471" s="6" t="s">
        <v>890</v>
      </c>
      <c r="E471" s="6" t="s">
        <v>2811</v>
      </c>
      <c r="F471" s="10"/>
      <c r="G471" s="6" t="s">
        <v>2812</v>
      </c>
      <c r="H471" s="6" t="s">
        <v>1184</v>
      </c>
      <c r="I471" s="17" t="b">
        <v>0</v>
      </c>
      <c r="J471" s="6" t="s">
        <v>546</v>
      </c>
      <c r="K471" s="10"/>
      <c r="L471" s="10"/>
      <c r="M471" s="10"/>
      <c r="N471" s="10"/>
      <c r="O471" s="18">
        <v>7110.17</v>
      </c>
      <c r="P471" s="10"/>
      <c r="Q471" s="17" t="b">
        <v>1</v>
      </c>
      <c r="R471" s="10"/>
    </row>
    <row r="472">
      <c r="A472" s="6" t="s">
        <v>2814</v>
      </c>
      <c r="B472" s="6" t="s">
        <v>35</v>
      </c>
      <c r="C472" s="8">
        <v>45485.0</v>
      </c>
      <c r="D472" s="6" t="s">
        <v>112</v>
      </c>
      <c r="E472" s="6" t="s">
        <v>2817</v>
      </c>
      <c r="F472" s="10"/>
      <c r="G472" s="6" t="s">
        <v>2818</v>
      </c>
      <c r="H472" s="6" t="s">
        <v>45</v>
      </c>
      <c r="I472" s="17" t="b">
        <v>1</v>
      </c>
      <c r="J472" s="6" t="s">
        <v>546</v>
      </c>
      <c r="K472" s="10"/>
      <c r="L472" s="10"/>
      <c r="M472" s="10"/>
      <c r="N472" s="10"/>
      <c r="O472" s="18">
        <v>190.74</v>
      </c>
      <c r="P472" s="18">
        <v>963870.0</v>
      </c>
      <c r="Q472" s="17" t="b">
        <v>1</v>
      </c>
      <c r="R472" s="10"/>
    </row>
    <row r="473">
      <c r="A473" s="6" t="s">
        <v>2821</v>
      </c>
      <c r="B473" s="6" t="s">
        <v>35</v>
      </c>
      <c r="C473" s="8">
        <v>45488.0</v>
      </c>
      <c r="D473" s="18">
        <v>6.8893939E7</v>
      </c>
      <c r="E473" s="6" t="s">
        <v>2823</v>
      </c>
      <c r="F473" s="10"/>
      <c r="G473" s="6" t="s">
        <v>2824</v>
      </c>
      <c r="H473" s="6" t="s">
        <v>605</v>
      </c>
      <c r="I473" s="17" t="b">
        <v>0</v>
      </c>
      <c r="J473" s="6" t="s">
        <v>546</v>
      </c>
      <c r="K473" s="10"/>
      <c r="L473" s="10"/>
      <c r="M473" s="10"/>
      <c r="N473" s="10"/>
      <c r="O473" s="18">
        <v>2323.32</v>
      </c>
      <c r="P473" s="10"/>
      <c r="Q473" s="17" t="b">
        <v>1</v>
      </c>
      <c r="R473" s="10"/>
    </row>
    <row r="474">
      <c r="A474" s="6" t="s">
        <v>2826</v>
      </c>
      <c r="B474" s="6" t="s">
        <v>35</v>
      </c>
      <c r="C474" s="8">
        <v>45490.0</v>
      </c>
      <c r="D474" s="6" t="s">
        <v>1036</v>
      </c>
      <c r="E474" s="6" t="s">
        <v>2827</v>
      </c>
      <c r="F474" s="10"/>
      <c r="G474" s="6" t="s">
        <v>2828</v>
      </c>
      <c r="H474" s="6" t="s">
        <v>2829</v>
      </c>
      <c r="I474" s="17" t="b">
        <v>0</v>
      </c>
      <c r="J474" s="6" t="s">
        <v>546</v>
      </c>
      <c r="K474" s="10"/>
      <c r="L474" s="10"/>
      <c r="M474" s="10"/>
      <c r="N474" s="10"/>
      <c r="O474" s="18">
        <v>118.0</v>
      </c>
      <c r="P474" s="10"/>
      <c r="Q474" s="17" t="b">
        <v>1</v>
      </c>
      <c r="R474" s="10"/>
    </row>
    <row r="475">
      <c r="A475" s="6" t="s">
        <v>2831</v>
      </c>
      <c r="B475" s="6" t="s">
        <v>35</v>
      </c>
      <c r="C475" s="8">
        <v>45492.0</v>
      </c>
      <c r="D475" s="6" t="s">
        <v>559</v>
      </c>
      <c r="E475" s="6" t="s">
        <v>2833</v>
      </c>
      <c r="F475" s="10"/>
      <c r="G475" s="6" t="s">
        <v>2834</v>
      </c>
      <c r="H475" s="6" t="s">
        <v>767</v>
      </c>
      <c r="I475" s="17" t="b">
        <v>0</v>
      </c>
      <c r="J475" s="6" t="s">
        <v>546</v>
      </c>
      <c r="K475" s="10"/>
      <c r="L475" s="10"/>
      <c r="M475" s="10"/>
      <c r="N475" s="10"/>
      <c r="O475" s="18">
        <v>212.5</v>
      </c>
      <c r="P475" s="10"/>
      <c r="Q475" s="17" t="b">
        <v>1</v>
      </c>
      <c r="R475" s="10"/>
    </row>
    <row r="476">
      <c r="A476" s="6" t="s">
        <v>2836</v>
      </c>
      <c r="B476" s="6" t="s">
        <v>35</v>
      </c>
      <c r="C476" s="8">
        <v>45495.0</v>
      </c>
      <c r="D476" s="6" t="s">
        <v>890</v>
      </c>
      <c r="E476" s="6" t="s">
        <v>2838</v>
      </c>
      <c r="F476" s="10"/>
      <c r="G476" s="6" t="s">
        <v>2839</v>
      </c>
      <c r="H476" s="6" t="s">
        <v>1184</v>
      </c>
      <c r="I476" s="17" t="b">
        <v>0</v>
      </c>
      <c r="J476" s="6" t="s">
        <v>546</v>
      </c>
      <c r="K476" s="10"/>
      <c r="L476" s="10"/>
      <c r="M476" s="10"/>
      <c r="N476" s="10"/>
      <c r="O476" s="18">
        <v>4385.79</v>
      </c>
      <c r="P476" s="10"/>
      <c r="Q476" s="17" t="b">
        <v>1</v>
      </c>
      <c r="R476" s="10"/>
    </row>
    <row r="477">
      <c r="A477" s="6" t="s">
        <v>2842</v>
      </c>
      <c r="B477" s="6" t="s">
        <v>35</v>
      </c>
      <c r="C477" s="8">
        <v>45496.0</v>
      </c>
      <c r="D477" s="6" t="s">
        <v>543</v>
      </c>
      <c r="E477" s="6" t="s">
        <v>2844</v>
      </c>
      <c r="F477" s="10"/>
      <c r="G477" s="6" t="s">
        <v>2845</v>
      </c>
      <c r="H477" s="6" t="s">
        <v>2846</v>
      </c>
      <c r="I477" s="17" t="b">
        <v>0</v>
      </c>
      <c r="J477" s="6" t="s">
        <v>546</v>
      </c>
      <c r="K477" s="10"/>
      <c r="L477" s="10"/>
      <c r="M477" s="10"/>
      <c r="N477" s="10"/>
      <c r="O477" s="18">
        <v>480.0</v>
      </c>
      <c r="P477" s="10"/>
      <c r="Q477" s="17" t="b">
        <v>1</v>
      </c>
      <c r="R477" s="10"/>
    </row>
    <row r="478">
      <c r="A478" s="6" t="s">
        <v>2848</v>
      </c>
      <c r="B478" s="6" t="s">
        <v>35</v>
      </c>
      <c r="C478" s="8">
        <v>45496.0</v>
      </c>
      <c r="D478" s="6" t="s">
        <v>559</v>
      </c>
      <c r="E478" s="6" t="s">
        <v>2850</v>
      </c>
      <c r="F478" s="10"/>
      <c r="G478" s="6" t="s">
        <v>2852</v>
      </c>
      <c r="H478" s="6" t="s">
        <v>195</v>
      </c>
      <c r="I478" s="17" t="b">
        <v>0</v>
      </c>
      <c r="J478" s="6" t="s">
        <v>546</v>
      </c>
      <c r="K478" s="10"/>
      <c r="L478" s="10"/>
      <c r="M478" s="10"/>
      <c r="N478" s="10"/>
      <c r="O478" s="18">
        <v>921.0</v>
      </c>
      <c r="P478" s="10"/>
      <c r="Q478" s="17" t="b">
        <v>1</v>
      </c>
      <c r="R478" s="10"/>
    </row>
    <row r="479">
      <c r="A479" s="6" t="s">
        <v>2855</v>
      </c>
      <c r="B479" s="6" t="s">
        <v>35</v>
      </c>
      <c r="C479" s="8">
        <v>45496.0</v>
      </c>
      <c r="D479" s="6" t="s">
        <v>112</v>
      </c>
      <c r="E479" s="6" t="s">
        <v>2857</v>
      </c>
      <c r="F479" s="10"/>
      <c r="G479" s="6" t="s">
        <v>2858</v>
      </c>
      <c r="H479" s="6" t="s">
        <v>45</v>
      </c>
      <c r="I479" s="17" t="b">
        <v>1</v>
      </c>
      <c r="J479" s="6" t="s">
        <v>546</v>
      </c>
      <c r="K479" s="10"/>
      <c r="L479" s="10"/>
      <c r="M479" s="10"/>
      <c r="N479" s="10"/>
      <c r="O479" s="18">
        <v>96.84</v>
      </c>
      <c r="P479" s="18">
        <v>978006.0</v>
      </c>
      <c r="Q479" s="17" t="b">
        <v>1</v>
      </c>
      <c r="R479" s="10"/>
    </row>
    <row r="480">
      <c r="A480" s="6" t="s">
        <v>2861</v>
      </c>
      <c r="B480" s="6" t="s">
        <v>35</v>
      </c>
      <c r="C480" s="8">
        <v>45497.0</v>
      </c>
      <c r="D480" s="6" t="s">
        <v>1557</v>
      </c>
      <c r="E480" s="6" t="s">
        <v>2863</v>
      </c>
      <c r="F480" s="10"/>
      <c r="G480" s="6" t="s">
        <v>2865</v>
      </c>
      <c r="H480" s="6" t="s">
        <v>2866</v>
      </c>
      <c r="I480" s="17" t="b">
        <v>0</v>
      </c>
      <c r="J480" s="6" t="s">
        <v>546</v>
      </c>
      <c r="K480" s="10"/>
      <c r="L480" s="10"/>
      <c r="M480" s="10"/>
      <c r="N480" s="10"/>
      <c r="O480" s="18">
        <v>110.0</v>
      </c>
      <c r="P480" s="10"/>
      <c r="Q480" s="17" t="b">
        <v>1</v>
      </c>
      <c r="R480" s="10"/>
    </row>
    <row r="481">
      <c r="A481" s="6" t="s">
        <v>2868</v>
      </c>
      <c r="B481" s="6" t="s">
        <v>35</v>
      </c>
      <c r="C481" s="8">
        <v>45498.0</v>
      </c>
      <c r="D481" s="6" t="s">
        <v>2871</v>
      </c>
      <c r="E481" s="6" t="s">
        <v>2872</v>
      </c>
      <c r="F481" s="10"/>
      <c r="G481" s="6" t="s">
        <v>2874</v>
      </c>
      <c r="H481" s="6" t="s">
        <v>2875</v>
      </c>
      <c r="I481" s="17" t="b">
        <v>0</v>
      </c>
      <c r="J481" s="6" t="s">
        <v>546</v>
      </c>
      <c r="K481" s="10"/>
      <c r="L481" s="10"/>
      <c r="M481" s="10"/>
      <c r="N481" s="10"/>
      <c r="O481" s="18">
        <v>114.0</v>
      </c>
      <c r="P481" s="10"/>
      <c r="Q481" s="17" t="b">
        <v>1</v>
      </c>
      <c r="R481" s="10"/>
    </row>
    <row r="482">
      <c r="A482" s="6" t="s">
        <v>2877</v>
      </c>
      <c r="B482" s="6" t="s">
        <v>35</v>
      </c>
      <c r="C482" s="8">
        <v>45499.0</v>
      </c>
      <c r="D482" s="6" t="s">
        <v>543</v>
      </c>
      <c r="E482" s="6" t="s">
        <v>2879</v>
      </c>
      <c r="F482" s="10"/>
      <c r="G482" s="6" t="s">
        <v>2880</v>
      </c>
      <c r="H482" s="6" t="s">
        <v>2881</v>
      </c>
      <c r="I482" s="17" t="b">
        <v>0</v>
      </c>
      <c r="J482" s="6" t="s">
        <v>546</v>
      </c>
      <c r="K482" s="10"/>
      <c r="L482" s="10"/>
      <c r="M482" s="10"/>
      <c r="N482" s="10"/>
      <c r="O482" s="18">
        <v>450.0</v>
      </c>
      <c r="P482" s="10"/>
      <c r="Q482" s="17" t="b">
        <v>1</v>
      </c>
      <c r="R482" s="10"/>
    </row>
    <row r="483">
      <c r="A483" s="6" t="s">
        <v>2884</v>
      </c>
      <c r="B483" s="6" t="s">
        <v>35</v>
      </c>
      <c r="C483" s="8">
        <v>45499.0</v>
      </c>
      <c r="D483" s="6" t="s">
        <v>112</v>
      </c>
      <c r="E483" s="6" t="s">
        <v>2886</v>
      </c>
      <c r="F483" s="10"/>
      <c r="G483" s="6" t="s">
        <v>2887</v>
      </c>
      <c r="H483" s="6" t="s">
        <v>157</v>
      </c>
      <c r="I483" s="17" t="b">
        <v>0</v>
      </c>
      <c r="J483" s="6" t="s">
        <v>546</v>
      </c>
      <c r="K483" s="10"/>
      <c r="L483" s="10"/>
      <c r="M483" s="10"/>
      <c r="N483" s="10"/>
      <c r="O483" s="18">
        <v>679.1</v>
      </c>
      <c r="P483" s="10"/>
      <c r="Q483" s="17" t="b">
        <v>1</v>
      </c>
      <c r="R483" s="10"/>
    </row>
    <row r="484">
      <c r="A484" s="6" t="s">
        <v>2890</v>
      </c>
      <c r="B484" s="6" t="s">
        <v>35</v>
      </c>
      <c r="C484" s="8">
        <v>45499.0</v>
      </c>
      <c r="D484" s="6" t="s">
        <v>890</v>
      </c>
      <c r="E484" s="6" t="s">
        <v>2891</v>
      </c>
      <c r="F484" s="10"/>
      <c r="G484" s="6" t="s">
        <v>2893</v>
      </c>
      <c r="H484" s="6" t="s">
        <v>2894</v>
      </c>
      <c r="I484" s="17" t="b">
        <v>0</v>
      </c>
      <c r="J484" s="6" t="s">
        <v>546</v>
      </c>
      <c r="K484" s="10"/>
      <c r="L484" s="10"/>
      <c r="M484" s="10"/>
      <c r="N484" s="10"/>
      <c r="O484" s="18">
        <v>11767.14</v>
      </c>
      <c r="P484" s="10"/>
      <c r="Q484" s="17" t="b">
        <v>1</v>
      </c>
      <c r="R484" s="10"/>
    </row>
    <row r="485">
      <c r="A485" s="6" t="s">
        <v>2896</v>
      </c>
      <c r="B485" s="6" t="s">
        <v>35</v>
      </c>
      <c r="C485" s="8">
        <v>45499.0</v>
      </c>
      <c r="D485" s="6" t="s">
        <v>460</v>
      </c>
      <c r="E485" s="6" t="s">
        <v>2898</v>
      </c>
      <c r="F485" s="10"/>
      <c r="G485" s="6" t="s">
        <v>2899</v>
      </c>
      <c r="H485" s="6" t="s">
        <v>2901</v>
      </c>
      <c r="I485" s="17" t="b">
        <v>0</v>
      </c>
      <c r="J485" s="6" t="s">
        <v>546</v>
      </c>
      <c r="K485" s="10"/>
      <c r="L485" s="10"/>
      <c r="M485" s="10"/>
      <c r="N485" s="10"/>
      <c r="O485" s="18">
        <v>516.15</v>
      </c>
      <c r="P485" s="10"/>
      <c r="Q485" s="17" t="b">
        <v>1</v>
      </c>
      <c r="R485" s="10"/>
    </row>
    <row r="486">
      <c r="A486" s="6" t="s">
        <v>2903</v>
      </c>
      <c r="B486" s="6" t="s">
        <v>35</v>
      </c>
      <c r="C486" s="8">
        <v>45499.0</v>
      </c>
      <c r="D486" s="6" t="s">
        <v>2871</v>
      </c>
      <c r="E486" s="6" t="s">
        <v>2905</v>
      </c>
      <c r="F486" s="10"/>
      <c r="G486" s="6" t="s">
        <v>2906</v>
      </c>
      <c r="H486" s="6" t="s">
        <v>2908</v>
      </c>
      <c r="I486" s="17" t="b">
        <v>0</v>
      </c>
      <c r="J486" s="6" t="s">
        <v>546</v>
      </c>
      <c r="K486" s="10"/>
      <c r="L486" s="10"/>
      <c r="M486" s="10"/>
      <c r="N486" s="10"/>
      <c r="O486" s="18">
        <v>64.6</v>
      </c>
      <c r="P486" s="10"/>
      <c r="Q486" s="17" t="b">
        <v>1</v>
      </c>
      <c r="R486" s="10"/>
    </row>
    <row r="487">
      <c r="A487" s="6" t="s">
        <v>2910</v>
      </c>
      <c r="B487" s="6" t="s">
        <v>35</v>
      </c>
      <c r="C487" s="8">
        <v>45500.0</v>
      </c>
      <c r="D487" s="6" t="s">
        <v>2871</v>
      </c>
      <c r="E487" s="6" t="s">
        <v>2912</v>
      </c>
      <c r="F487" s="10"/>
      <c r="G487" s="6" t="s">
        <v>2914</v>
      </c>
      <c r="H487" s="6" t="s">
        <v>2915</v>
      </c>
      <c r="I487" s="17" t="b">
        <v>0</v>
      </c>
      <c r="J487" s="6" t="s">
        <v>546</v>
      </c>
      <c r="K487" s="10"/>
      <c r="L487" s="10"/>
      <c r="M487" s="10"/>
      <c r="N487" s="10"/>
      <c r="O487" s="18">
        <v>96.0</v>
      </c>
      <c r="P487" s="10"/>
      <c r="Q487" s="17" t="b">
        <v>1</v>
      </c>
      <c r="R487" s="10"/>
    </row>
    <row r="488">
      <c r="A488" s="6" t="s">
        <v>2917</v>
      </c>
      <c r="B488" s="6" t="s">
        <v>35</v>
      </c>
      <c r="C488" s="8">
        <v>45502.0</v>
      </c>
      <c r="D488" s="6" t="s">
        <v>543</v>
      </c>
      <c r="E488" s="6" t="s">
        <v>2919</v>
      </c>
      <c r="F488" s="10"/>
      <c r="G488" s="6" t="s">
        <v>2920</v>
      </c>
      <c r="H488" s="6" t="s">
        <v>2921</v>
      </c>
      <c r="I488" s="17" t="b">
        <v>0</v>
      </c>
      <c r="J488" s="6" t="s">
        <v>546</v>
      </c>
      <c r="K488" s="10"/>
      <c r="L488" s="10"/>
      <c r="M488" s="10"/>
      <c r="N488" s="10"/>
      <c r="O488" s="18">
        <v>330.0</v>
      </c>
      <c r="P488" s="10"/>
      <c r="Q488" s="17" t="b">
        <v>1</v>
      </c>
      <c r="R488" s="10"/>
    </row>
    <row r="489">
      <c r="A489" s="6" t="s">
        <v>2924</v>
      </c>
      <c r="B489" s="6" t="s">
        <v>35</v>
      </c>
      <c r="C489" s="8">
        <v>45502.0</v>
      </c>
      <c r="D489" s="6" t="s">
        <v>353</v>
      </c>
      <c r="E489" s="6" t="s">
        <v>2926</v>
      </c>
      <c r="F489" s="10"/>
      <c r="G489" s="6" t="s">
        <v>2927</v>
      </c>
      <c r="H489" s="6" t="s">
        <v>2928</v>
      </c>
      <c r="I489" s="17" t="b">
        <v>0</v>
      </c>
      <c r="J489" s="6" t="s">
        <v>546</v>
      </c>
      <c r="K489" s="10"/>
      <c r="L489" s="10"/>
      <c r="M489" s="10"/>
      <c r="N489" s="10"/>
      <c r="O489" s="18">
        <v>807.65</v>
      </c>
      <c r="P489" s="10"/>
      <c r="Q489" s="17" t="b">
        <v>1</v>
      </c>
      <c r="R489" s="10"/>
    </row>
    <row r="490">
      <c r="A490" s="6" t="s">
        <v>2931</v>
      </c>
      <c r="B490" s="6" t="s">
        <v>35</v>
      </c>
      <c r="C490" s="8">
        <v>45502.0</v>
      </c>
      <c r="D490" s="6" t="s">
        <v>890</v>
      </c>
      <c r="E490" s="6" t="s">
        <v>2933</v>
      </c>
      <c r="F490" s="10"/>
      <c r="G490" s="6" t="s">
        <v>2934</v>
      </c>
      <c r="H490" s="6" t="s">
        <v>1184</v>
      </c>
      <c r="I490" s="17" t="b">
        <v>0</v>
      </c>
      <c r="J490" s="6" t="s">
        <v>546</v>
      </c>
      <c r="K490" s="10"/>
      <c r="L490" s="10"/>
      <c r="M490" s="10"/>
      <c r="N490" s="10"/>
      <c r="O490" s="18">
        <v>806.68</v>
      </c>
      <c r="P490" s="10"/>
      <c r="Q490" s="17" t="b">
        <v>1</v>
      </c>
      <c r="R490" s="10"/>
    </row>
    <row r="491">
      <c r="A491" s="6" t="s">
        <v>2936</v>
      </c>
      <c r="B491" s="6" t="s">
        <v>35</v>
      </c>
      <c r="C491" s="8">
        <v>45504.0</v>
      </c>
      <c r="D491" s="6" t="s">
        <v>890</v>
      </c>
      <c r="E491" s="6" t="s">
        <v>2938</v>
      </c>
      <c r="F491" s="10"/>
      <c r="G491" s="6" t="s">
        <v>2940</v>
      </c>
      <c r="H491" s="6" t="s">
        <v>1177</v>
      </c>
      <c r="I491" s="17" t="b">
        <v>0</v>
      </c>
      <c r="J491" s="6" t="s">
        <v>546</v>
      </c>
      <c r="K491" s="10"/>
      <c r="L491" s="10"/>
      <c r="M491" s="10"/>
      <c r="N491" s="10"/>
      <c r="O491" s="18">
        <v>4595.16</v>
      </c>
      <c r="P491" s="10"/>
      <c r="Q491" s="17" t="b">
        <v>1</v>
      </c>
      <c r="R491" s="10"/>
    </row>
    <row r="492">
      <c r="A492" s="6" t="s">
        <v>2942</v>
      </c>
      <c r="B492" s="6" t="s">
        <v>35</v>
      </c>
      <c r="C492" s="8">
        <v>45505.0</v>
      </c>
      <c r="D492" s="6" t="s">
        <v>307</v>
      </c>
      <c r="E492" s="6" t="s">
        <v>2944</v>
      </c>
      <c r="F492" s="10"/>
      <c r="G492" s="6" t="s">
        <v>2946</v>
      </c>
      <c r="H492" s="6" t="s">
        <v>2947</v>
      </c>
      <c r="I492" s="17" t="b">
        <v>1</v>
      </c>
      <c r="J492" s="6" t="s">
        <v>546</v>
      </c>
      <c r="K492" s="10"/>
      <c r="L492" s="10"/>
      <c r="M492" s="10"/>
      <c r="N492" s="10"/>
      <c r="O492" s="18">
        <v>43.78</v>
      </c>
      <c r="P492" s="18">
        <v>989790.0</v>
      </c>
      <c r="Q492" s="17" t="b">
        <v>1</v>
      </c>
      <c r="R492" s="10"/>
    </row>
    <row r="493">
      <c r="A493" s="6" t="s">
        <v>2950</v>
      </c>
      <c r="B493" s="6" t="s">
        <v>35</v>
      </c>
      <c r="C493" s="8">
        <v>45505.0</v>
      </c>
      <c r="D493" s="6" t="s">
        <v>112</v>
      </c>
      <c r="E493" s="6" t="s">
        <v>2952</v>
      </c>
      <c r="F493" s="10"/>
      <c r="G493" s="6" t="s">
        <v>2953</v>
      </c>
      <c r="H493" s="6" t="s">
        <v>45</v>
      </c>
      <c r="I493" s="17" t="b">
        <v>0</v>
      </c>
      <c r="J493" s="6" t="s">
        <v>546</v>
      </c>
      <c r="K493" s="10"/>
      <c r="L493" s="10"/>
      <c r="M493" s="10"/>
      <c r="N493" s="10"/>
      <c r="O493" s="18">
        <v>8.28</v>
      </c>
      <c r="P493" s="10"/>
      <c r="Q493" s="17" t="b">
        <v>1</v>
      </c>
      <c r="R493" s="10"/>
    </row>
    <row r="494">
      <c r="A494" s="6" t="s">
        <v>2955</v>
      </c>
      <c r="B494" s="6" t="s">
        <v>35</v>
      </c>
      <c r="C494" s="8">
        <v>45506.0</v>
      </c>
      <c r="D494" s="6" t="s">
        <v>112</v>
      </c>
      <c r="E494" s="6" t="s">
        <v>2957</v>
      </c>
      <c r="F494" s="10"/>
      <c r="G494" s="6" t="s">
        <v>2958</v>
      </c>
      <c r="H494" s="6" t="s">
        <v>2959</v>
      </c>
      <c r="I494" s="17" t="b">
        <v>0</v>
      </c>
      <c r="J494" s="6" t="s">
        <v>546</v>
      </c>
      <c r="K494" s="10"/>
      <c r="L494" s="10"/>
      <c r="M494" s="10"/>
      <c r="N494" s="10"/>
      <c r="O494" s="18">
        <v>330.1</v>
      </c>
      <c r="P494" s="10"/>
      <c r="Q494" s="17" t="b">
        <v>1</v>
      </c>
      <c r="R494" s="10"/>
    </row>
    <row r="495">
      <c r="A495" s="6" t="s">
        <v>2962</v>
      </c>
      <c r="B495" s="6" t="s">
        <v>35</v>
      </c>
      <c r="C495" s="8">
        <v>45508.0</v>
      </c>
      <c r="D495" s="10"/>
      <c r="E495" s="10"/>
      <c r="F495" s="10"/>
      <c r="G495" s="10"/>
      <c r="H495" s="6" t="s">
        <v>2964</v>
      </c>
      <c r="I495" s="10"/>
      <c r="J495" s="6" t="s">
        <v>539</v>
      </c>
      <c r="K495" s="6" t="s">
        <v>664</v>
      </c>
      <c r="L495" s="10"/>
      <c r="M495" s="10"/>
      <c r="N495" s="10"/>
      <c r="O495" s="18">
        <v>2848.92</v>
      </c>
      <c r="P495" s="10"/>
      <c r="Q495" s="6"/>
      <c r="R495" s="10"/>
    </row>
    <row r="496">
      <c r="A496" s="6" t="s">
        <v>2966</v>
      </c>
      <c r="B496" s="6" t="s">
        <v>35</v>
      </c>
      <c r="C496" s="8">
        <v>45508.0</v>
      </c>
      <c r="D496" s="10"/>
      <c r="E496" s="10"/>
      <c r="F496" s="10"/>
      <c r="G496" s="10"/>
      <c r="H496" s="6" t="s">
        <v>2964</v>
      </c>
      <c r="I496" s="10"/>
      <c r="J496" s="6" t="s">
        <v>539</v>
      </c>
      <c r="K496" s="6" t="s">
        <v>624</v>
      </c>
      <c r="L496" s="10"/>
      <c r="M496" s="10"/>
      <c r="N496" s="10"/>
      <c r="O496" s="18">
        <v>2126.92</v>
      </c>
      <c r="P496" s="10"/>
      <c r="Q496" s="6"/>
      <c r="R496" s="10"/>
    </row>
    <row r="497">
      <c r="A497" s="6" t="s">
        <v>2970</v>
      </c>
      <c r="B497" s="6" t="s">
        <v>35</v>
      </c>
      <c r="C497" s="8">
        <v>45508.0</v>
      </c>
      <c r="D497" s="10"/>
      <c r="E497" s="10"/>
      <c r="F497" s="10"/>
      <c r="G497" s="10"/>
      <c r="H497" s="6" t="s">
        <v>2964</v>
      </c>
      <c r="I497" s="10"/>
      <c r="J497" s="6" t="s">
        <v>539</v>
      </c>
      <c r="K497" s="6" t="s">
        <v>2052</v>
      </c>
      <c r="L497" s="10"/>
      <c r="M497" s="10"/>
      <c r="N497" s="10"/>
      <c r="O497" s="18">
        <v>2009.95</v>
      </c>
      <c r="P497" s="10"/>
      <c r="Q497" s="6"/>
      <c r="R497" s="10"/>
    </row>
    <row r="498">
      <c r="A498" s="6" t="s">
        <v>2973</v>
      </c>
      <c r="B498" s="6" t="s">
        <v>35</v>
      </c>
      <c r="C498" s="8">
        <v>45508.0</v>
      </c>
      <c r="D498" s="10"/>
      <c r="E498" s="10"/>
      <c r="F498" s="10"/>
      <c r="G498" s="10"/>
      <c r="H498" s="6" t="s">
        <v>2964</v>
      </c>
      <c r="I498" s="10"/>
      <c r="J498" s="6" t="s">
        <v>539</v>
      </c>
      <c r="K498" s="6" t="s">
        <v>658</v>
      </c>
      <c r="L498" s="10"/>
      <c r="M498" s="10"/>
      <c r="N498" s="10"/>
      <c r="O498" s="18">
        <v>1823.89</v>
      </c>
      <c r="P498" s="10"/>
      <c r="Q498" s="6"/>
      <c r="R498" s="10"/>
    </row>
    <row r="499">
      <c r="A499" s="6" t="s">
        <v>2976</v>
      </c>
      <c r="B499" s="6" t="s">
        <v>35</v>
      </c>
      <c r="C499" s="8">
        <v>45508.0</v>
      </c>
      <c r="D499" s="10"/>
      <c r="E499" s="10"/>
      <c r="F499" s="10"/>
      <c r="G499" s="10"/>
      <c r="H499" s="6" t="s">
        <v>2964</v>
      </c>
      <c r="I499" s="10"/>
      <c r="J499" s="6" t="s">
        <v>539</v>
      </c>
      <c r="K499" s="6" t="s">
        <v>2713</v>
      </c>
      <c r="L499" s="10"/>
      <c r="M499" s="10"/>
      <c r="N499" s="10"/>
      <c r="O499" s="18">
        <v>2149.57</v>
      </c>
      <c r="P499" s="10"/>
      <c r="Q499" s="6"/>
      <c r="R499" s="10"/>
    </row>
    <row r="500">
      <c r="A500" s="6" t="s">
        <v>2982</v>
      </c>
      <c r="B500" s="6" t="s">
        <v>35</v>
      </c>
      <c r="C500" s="8">
        <v>45508.0</v>
      </c>
      <c r="D500" s="10"/>
      <c r="E500" s="10"/>
      <c r="F500" s="10"/>
      <c r="G500" s="10"/>
      <c r="H500" s="6" t="s">
        <v>2984</v>
      </c>
      <c r="I500" s="10"/>
      <c r="J500" s="6" t="s">
        <v>539</v>
      </c>
      <c r="K500" s="6" t="s">
        <v>624</v>
      </c>
      <c r="L500" s="10"/>
      <c r="M500" s="10"/>
      <c r="N500" s="10"/>
      <c r="O500" s="18">
        <v>765.6</v>
      </c>
      <c r="P500" s="10"/>
      <c r="Q500" s="6"/>
      <c r="R500" s="10"/>
    </row>
    <row r="501">
      <c r="A501" s="6" t="s">
        <v>2986</v>
      </c>
      <c r="B501" s="6" t="s">
        <v>35</v>
      </c>
      <c r="C501" s="8">
        <v>45509.0</v>
      </c>
      <c r="D501" s="6" t="s">
        <v>460</v>
      </c>
      <c r="E501" s="10"/>
      <c r="F501" s="10"/>
      <c r="G501" s="10"/>
      <c r="H501" s="6" t="s">
        <v>2785</v>
      </c>
      <c r="I501" s="10"/>
      <c r="J501" s="6" t="s">
        <v>539</v>
      </c>
      <c r="K501" s="10"/>
      <c r="L501" s="10"/>
      <c r="M501" s="10"/>
      <c r="N501" s="10"/>
      <c r="O501" s="18">
        <v>94.0</v>
      </c>
      <c r="P501" s="10"/>
      <c r="Q501" s="6"/>
      <c r="R501" s="10"/>
    </row>
    <row r="502">
      <c r="A502" s="6" t="s">
        <v>2991</v>
      </c>
      <c r="B502" s="6" t="s">
        <v>35</v>
      </c>
      <c r="C502" s="8">
        <v>45509.0</v>
      </c>
      <c r="D502" s="6" t="s">
        <v>460</v>
      </c>
      <c r="E502" s="10"/>
      <c r="F502" s="10"/>
      <c r="G502" s="10"/>
      <c r="H502" s="6" t="s">
        <v>2785</v>
      </c>
      <c r="I502" s="10"/>
      <c r="J502" s="6" t="s">
        <v>539</v>
      </c>
      <c r="K502" s="10"/>
      <c r="L502" s="10"/>
      <c r="M502" s="10"/>
      <c r="N502" s="10"/>
      <c r="O502" s="18">
        <v>145.0</v>
      </c>
      <c r="P502" s="10"/>
      <c r="Q502" s="6"/>
      <c r="R502" s="10"/>
    </row>
    <row r="503">
      <c r="A503" s="6" t="s">
        <v>2994</v>
      </c>
      <c r="B503" s="6" t="s">
        <v>35</v>
      </c>
      <c r="C503" s="8">
        <v>45509.0</v>
      </c>
      <c r="D503" s="6" t="s">
        <v>460</v>
      </c>
      <c r="E503" s="10"/>
      <c r="F503" s="10"/>
      <c r="G503" s="10"/>
      <c r="H503" s="6" t="s">
        <v>2785</v>
      </c>
      <c r="I503" s="10"/>
      <c r="J503" s="6" t="s">
        <v>539</v>
      </c>
      <c r="K503" s="10"/>
      <c r="L503" s="10"/>
      <c r="M503" s="10"/>
      <c r="N503" s="10"/>
      <c r="O503" s="18">
        <v>226.8</v>
      </c>
      <c r="P503" s="10"/>
      <c r="Q503" s="6"/>
      <c r="R503" s="10"/>
    </row>
    <row r="504">
      <c r="A504" s="6" t="s">
        <v>3000</v>
      </c>
      <c r="B504" s="6" t="s">
        <v>35</v>
      </c>
      <c r="C504" s="8">
        <v>45509.0</v>
      </c>
      <c r="D504" s="6" t="s">
        <v>460</v>
      </c>
      <c r="E504" s="10"/>
      <c r="F504" s="10"/>
      <c r="G504" s="10"/>
      <c r="H504" s="6" t="s">
        <v>2785</v>
      </c>
      <c r="I504" s="10"/>
      <c r="J504" s="6" t="s">
        <v>539</v>
      </c>
      <c r="K504" s="10"/>
      <c r="L504" s="10"/>
      <c r="M504" s="10"/>
      <c r="N504" s="10"/>
      <c r="O504" s="18">
        <v>150.0</v>
      </c>
      <c r="P504" s="10"/>
      <c r="Q504" s="6"/>
      <c r="R504" s="10"/>
    </row>
    <row r="505">
      <c r="A505" s="6" t="s">
        <v>3003</v>
      </c>
      <c r="B505" s="6" t="s">
        <v>35</v>
      </c>
      <c r="C505" s="8">
        <v>45506.0</v>
      </c>
      <c r="D505" s="6" t="s">
        <v>543</v>
      </c>
      <c r="E505" s="6" t="s">
        <v>3005</v>
      </c>
      <c r="F505" s="10"/>
      <c r="G505" s="6" t="s">
        <v>3006</v>
      </c>
      <c r="H505" s="6" t="s">
        <v>3007</v>
      </c>
      <c r="I505" s="17" t="b">
        <v>0</v>
      </c>
      <c r="J505" s="6" t="s">
        <v>546</v>
      </c>
      <c r="K505" s="10"/>
      <c r="L505" s="10"/>
      <c r="M505" s="10"/>
      <c r="N505" s="10"/>
      <c r="O505" s="18">
        <v>450.0</v>
      </c>
      <c r="P505" s="10"/>
      <c r="Q505" s="17" t="b">
        <v>1</v>
      </c>
      <c r="R505" s="10"/>
    </row>
    <row r="506">
      <c r="A506" s="6" t="s">
        <v>3010</v>
      </c>
      <c r="B506" s="6" t="s">
        <v>35</v>
      </c>
      <c r="C506" s="8">
        <v>45509.0</v>
      </c>
      <c r="D506" s="6" t="s">
        <v>543</v>
      </c>
      <c r="E506" s="6" t="s">
        <v>3011</v>
      </c>
      <c r="F506" s="10"/>
      <c r="G506" s="6" t="s">
        <v>3013</v>
      </c>
      <c r="H506" s="6" t="s">
        <v>3014</v>
      </c>
      <c r="I506" s="17" t="b">
        <v>0</v>
      </c>
      <c r="J506" s="6" t="s">
        <v>546</v>
      </c>
      <c r="K506" s="10"/>
      <c r="L506" s="10"/>
      <c r="M506" s="10"/>
      <c r="N506" s="10"/>
      <c r="O506" s="18">
        <v>360.0</v>
      </c>
      <c r="P506" s="10"/>
      <c r="Q506" s="17" t="b">
        <v>1</v>
      </c>
      <c r="R506" s="10"/>
    </row>
    <row r="507">
      <c r="A507" s="6" t="s">
        <v>3016</v>
      </c>
      <c r="B507" s="6" t="s">
        <v>35</v>
      </c>
      <c r="C507" s="8">
        <v>45509.0</v>
      </c>
      <c r="D507" s="6" t="s">
        <v>112</v>
      </c>
      <c r="E507" s="6" t="s">
        <v>3018</v>
      </c>
      <c r="F507" s="10"/>
      <c r="G507" s="6" t="s">
        <v>3019</v>
      </c>
      <c r="H507" s="6" t="s">
        <v>2959</v>
      </c>
      <c r="I507" s="17" t="b">
        <v>0</v>
      </c>
      <c r="J507" s="6" t="s">
        <v>546</v>
      </c>
      <c r="K507" s="10"/>
      <c r="L507" s="10"/>
      <c r="M507" s="10"/>
      <c r="N507" s="10"/>
      <c r="O507" s="18">
        <v>415.79</v>
      </c>
      <c r="P507" s="10"/>
      <c r="Q507" s="17" t="b">
        <v>1</v>
      </c>
      <c r="R507" s="10"/>
    </row>
    <row r="508">
      <c r="A508" s="6" t="s">
        <v>3022</v>
      </c>
      <c r="B508" s="6" t="s">
        <v>35</v>
      </c>
      <c r="C508" s="8">
        <v>45510.0</v>
      </c>
      <c r="D508" s="6" t="s">
        <v>353</v>
      </c>
      <c r="E508" s="6" t="s">
        <v>3023</v>
      </c>
      <c r="F508" s="10"/>
      <c r="G508" s="6" t="s">
        <v>3025</v>
      </c>
      <c r="H508" s="6" t="s">
        <v>3026</v>
      </c>
      <c r="I508" s="17" t="b">
        <v>0</v>
      </c>
      <c r="J508" s="6" t="s">
        <v>546</v>
      </c>
      <c r="K508" s="10"/>
      <c r="L508" s="10"/>
      <c r="M508" s="10"/>
      <c r="N508" s="10"/>
      <c r="O508" s="18">
        <v>70.0</v>
      </c>
      <c r="P508" s="10"/>
      <c r="Q508" s="17" t="b">
        <v>1</v>
      </c>
      <c r="R508" s="10"/>
    </row>
    <row r="509">
      <c r="A509" s="6" t="s">
        <v>3028</v>
      </c>
      <c r="B509" s="6" t="s">
        <v>35</v>
      </c>
      <c r="C509" s="8">
        <v>45511.0</v>
      </c>
      <c r="D509" s="6" t="s">
        <v>145</v>
      </c>
      <c r="E509" s="6" t="s">
        <v>3030</v>
      </c>
      <c r="F509" s="10"/>
      <c r="G509" s="6" t="s">
        <v>3031</v>
      </c>
      <c r="H509" s="6" t="s">
        <v>1058</v>
      </c>
      <c r="I509" s="17" t="b">
        <v>0</v>
      </c>
      <c r="J509" s="6" t="s">
        <v>546</v>
      </c>
      <c r="K509" s="10"/>
      <c r="L509" s="10"/>
      <c r="M509" s="10"/>
      <c r="N509" s="10"/>
      <c r="O509" s="18">
        <v>143.0</v>
      </c>
      <c r="P509" s="10"/>
      <c r="Q509" s="17" t="b">
        <v>1</v>
      </c>
      <c r="R509" s="10"/>
    </row>
    <row r="510">
      <c r="A510" s="6" t="s">
        <v>3034</v>
      </c>
      <c r="B510" s="6" t="s">
        <v>35</v>
      </c>
      <c r="C510" s="8">
        <v>45504.0</v>
      </c>
      <c r="D510" s="6" t="s">
        <v>559</v>
      </c>
      <c r="E510" s="6" t="s">
        <v>3036</v>
      </c>
      <c r="F510" s="10"/>
      <c r="G510" s="6" t="s">
        <v>3037</v>
      </c>
      <c r="H510" s="6" t="s">
        <v>767</v>
      </c>
      <c r="I510" s="17" t="b">
        <v>0</v>
      </c>
      <c r="J510" s="6" t="s">
        <v>546</v>
      </c>
      <c r="K510" s="10"/>
      <c r="L510" s="10"/>
      <c r="M510" s="10"/>
      <c r="N510" s="10"/>
      <c r="O510" s="18">
        <v>320.0</v>
      </c>
      <c r="P510" s="10"/>
      <c r="Q510" s="17" t="b">
        <v>1</v>
      </c>
      <c r="R510" s="10"/>
    </row>
    <row r="511">
      <c r="A511" s="6" t="s">
        <v>3040</v>
      </c>
      <c r="B511" s="6" t="s">
        <v>35</v>
      </c>
      <c r="C511" s="8">
        <v>45511.0</v>
      </c>
      <c r="D511" s="6" t="s">
        <v>1414</v>
      </c>
      <c r="E511" s="10"/>
      <c r="F511" s="10"/>
      <c r="G511" s="10"/>
      <c r="H511" s="6" t="s">
        <v>3043</v>
      </c>
      <c r="I511" s="10"/>
      <c r="J511" s="6" t="s">
        <v>539</v>
      </c>
      <c r="K511" s="10"/>
      <c r="L511" s="10"/>
      <c r="M511" s="10"/>
      <c r="N511" s="10"/>
      <c r="O511" s="18">
        <v>50.0</v>
      </c>
      <c r="P511" s="10"/>
      <c r="Q511" s="6"/>
      <c r="R511" s="10"/>
    </row>
    <row r="512">
      <c r="A512" s="6" t="s">
        <v>3046</v>
      </c>
      <c r="B512" s="6" t="s">
        <v>35</v>
      </c>
      <c r="C512" s="8">
        <v>45511.0</v>
      </c>
      <c r="D512" s="6" t="s">
        <v>460</v>
      </c>
      <c r="E512" s="10"/>
      <c r="F512" s="10"/>
      <c r="G512" s="10"/>
      <c r="H512" s="6" t="s">
        <v>3049</v>
      </c>
      <c r="I512" s="10"/>
      <c r="J512" s="6" t="s">
        <v>539</v>
      </c>
      <c r="K512" s="10"/>
      <c r="L512" s="10"/>
      <c r="M512" s="10"/>
      <c r="N512" s="10"/>
      <c r="O512" s="18">
        <v>20006.0</v>
      </c>
      <c r="P512" s="10"/>
      <c r="Q512" s="6"/>
      <c r="R512" s="10"/>
    </row>
    <row r="513">
      <c r="A513" s="6" t="s">
        <v>3052</v>
      </c>
      <c r="B513" s="6" t="s">
        <v>35</v>
      </c>
      <c r="C513" s="8">
        <v>45512.0</v>
      </c>
      <c r="D513" s="6" t="s">
        <v>559</v>
      </c>
      <c r="E513" s="6" t="s">
        <v>3054</v>
      </c>
      <c r="F513" s="10"/>
      <c r="G513" s="6" t="s">
        <v>3056</v>
      </c>
      <c r="H513" s="6" t="s">
        <v>767</v>
      </c>
      <c r="I513" s="17" t="b">
        <v>0</v>
      </c>
      <c r="J513" s="6" t="s">
        <v>546</v>
      </c>
      <c r="K513" s="10"/>
      <c r="L513" s="10"/>
      <c r="M513" s="10"/>
      <c r="N513" s="10"/>
      <c r="O513" s="18">
        <v>1504.6</v>
      </c>
      <c r="P513" s="10"/>
      <c r="Q513" s="17" t="b">
        <v>1</v>
      </c>
      <c r="R513" s="10"/>
    </row>
    <row r="514">
      <c r="A514" s="6" t="s">
        <v>3058</v>
      </c>
      <c r="B514" s="6" t="s">
        <v>35</v>
      </c>
      <c r="C514" s="8">
        <v>45514.0</v>
      </c>
      <c r="D514" s="10"/>
      <c r="E514" s="10"/>
      <c r="F514" s="10"/>
      <c r="G514" s="10"/>
      <c r="H514" s="6" t="s">
        <v>1329</v>
      </c>
      <c r="I514" s="10"/>
      <c r="J514" s="6" t="s">
        <v>539</v>
      </c>
      <c r="K514" s="6" t="s">
        <v>664</v>
      </c>
      <c r="L514" s="10"/>
      <c r="M514" s="10"/>
      <c r="N514" s="10"/>
      <c r="O514" s="18">
        <v>150.0</v>
      </c>
      <c r="P514" s="10"/>
      <c r="Q514" s="6"/>
      <c r="R514" s="10"/>
    </row>
    <row r="515">
      <c r="A515" s="6" t="s">
        <v>3062</v>
      </c>
      <c r="B515" s="6" t="s">
        <v>35</v>
      </c>
      <c r="C515" s="8">
        <v>45513.0</v>
      </c>
      <c r="D515" s="6" t="s">
        <v>233</v>
      </c>
      <c r="E515" s="6" t="s">
        <v>3064</v>
      </c>
      <c r="F515" s="10"/>
      <c r="G515" s="6" t="s">
        <v>3065</v>
      </c>
      <c r="H515" s="6" t="s">
        <v>528</v>
      </c>
      <c r="I515" s="17" t="b">
        <v>1</v>
      </c>
      <c r="J515" s="6" t="s">
        <v>546</v>
      </c>
      <c r="K515" s="10"/>
      <c r="L515" s="10"/>
      <c r="M515" s="10"/>
      <c r="N515" s="10"/>
      <c r="O515" s="18">
        <v>125.64</v>
      </c>
      <c r="P515" s="18">
        <v>100435.0</v>
      </c>
      <c r="Q515" s="17" t="b">
        <v>1</v>
      </c>
      <c r="R515" s="10"/>
    </row>
    <row r="516">
      <c r="A516" s="6" t="s">
        <v>3068</v>
      </c>
      <c r="B516" s="6" t="s">
        <v>35</v>
      </c>
      <c r="C516" s="8">
        <v>45513.0</v>
      </c>
      <c r="D516" s="6" t="s">
        <v>112</v>
      </c>
      <c r="E516" s="6" t="s">
        <v>3070</v>
      </c>
      <c r="F516" s="10"/>
      <c r="G516" s="6" t="s">
        <v>3071</v>
      </c>
      <c r="H516" s="6" t="s">
        <v>3072</v>
      </c>
      <c r="I516" s="17" t="b">
        <v>0</v>
      </c>
      <c r="J516" s="6" t="s">
        <v>546</v>
      </c>
      <c r="K516" s="10"/>
      <c r="L516" s="10"/>
      <c r="M516" s="10"/>
      <c r="N516" s="10"/>
      <c r="O516" s="18">
        <v>284.38</v>
      </c>
      <c r="P516" s="10"/>
      <c r="Q516" s="17" t="b">
        <v>1</v>
      </c>
      <c r="R516" s="10"/>
    </row>
    <row r="517">
      <c r="A517" s="6" t="s">
        <v>3073</v>
      </c>
      <c r="B517" s="6" t="s">
        <v>35</v>
      </c>
      <c r="C517" s="8">
        <v>45516.0</v>
      </c>
      <c r="D517" s="6" t="s">
        <v>543</v>
      </c>
      <c r="E517" s="6" t="s">
        <v>3074</v>
      </c>
      <c r="F517" s="10"/>
      <c r="G517" s="6" t="s">
        <v>3075</v>
      </c>
      <c r="H517" s="6" t="s">
        <v>3014</v>
      </c>
      <c r="I517" s="17" t="b">
        <v>0</v>
      </c>
      <c r="J517" s="6" t="s">
        <v>546</v>
      </c>
      <c r="K517" s="10"/>
      <c r="L517" s="10"/>
      <c r="M517" s="10"/>
      <c r="N517" s="10"/>
      <c r="O517" s="18">
        <v>210.0</v>
      </c>
      <c r="P517" s="10"/>
      <c r="Q517" s="17" t="b">
        <v>1</v>
      </c>
      <c r="R517" s="10"/>
    </row>
    <row r="518">
      <c r="A518" s="6" t="s">
        <v>3076</v>
      </c>
      <c r="B518" s="6" t="s">
        <v>35</v>
      </c>
      <c r="C518" s="8">
        <v>45518.0</v>
      </c>
      <c r="D518" s="6" t="s">
        <v>112</v>
      </c>
      <c r="E518" s="6" t="s">
        <v>3077</v>
      </c>
      <c r="F518" s="10"/>
      <c r="G518" s="6" t="s">
        <v>3078</v>
      </c>
      <c r="H518" s="6" t="s">
        <v>2959</v>
      </c>
      <c r="I518" s="17" t="b">
        <v>0</v>
      </c>
      <c r="J518" s="6" t="s">
        <v>546</v>
      </c>
      <c r="K518" s="10"/>
      <c r="L518" s="10"/>
      <c r="M518" s="10"/>
      <c r="N518" s="10"/>
      <c r="O518" s="18">
        <v>117.61</v>
      </c>
      <c r="P518" s="10"/>
      <c r="Q518" s="17" t="b">
        <v>1</v>
      </c>
      <c r="R518" s="10"/>
    </row>
    <row r="519">
      <c r="A519" s="6" t="s">
        <v>3080</v>
      </c>
      <c r="B519" s="6" t="s">
        <v>35</v>
      </c>
      <c r="C519" s="8">
        <v>45518.0</v>
      </c>
      <c r="D519" s="6" t="s">
        <v>2613</v>
      </c>
      <c r="E519" s="6" t="s">
        <v>3081</v>
      </c>
      <c r="F519" s="10"/>
      <c r="G519" s="6" t="s">
        <v>3082</v>
      </c>
      <c r="H519" s="6" t="s">
        <v>3083</v>
      </c>
      <c r="I519" s="17" t="b">
        <v>1</v>
      </c>
      <c r="J519" s="6" t="s">
        <v>546</v>
      </c>
      <c r="K519" s="10"/>
      <c r="L519" s="10"/>
      <c r="M519" s="10"/>
      <c r="N519" s="10"/>
      <c r="O519" s="18">
        <v>129.6</v>
      </c>
      <c r="P519" s="18">
        <v>1006433.0</v>
      </c>
      <c r="Q519" s="17" t="b">
        <v>1</v>
      </c>
      <c r="R519" s="10"/>
    </row>
    <row r="520">
      <c r="A520" s="6" t="s">
        <v>3084</v>
      </c>
      <c r="B520" s="6" t="s">
        <v>35</v>
      </c>
      <c r="C520" s="8">
        <v>45518.0</v>
      </c>
      <c r="D520" s="10"/>
      <c r="E520" s="10"/>
      <c r="F520" s="10"/>
      <c r="G520" s="10"/>
      <c r="H520" s="6" t="s">
        <v>1329</v>
      </c>
      <c r="I520" s="10"/>
      <c r="J520" s="6" t="s">
        <v>539</v>
      </c>
      <c r="K520" s="6" t="s">
        <v>658</v>
      </c>
      <c r="L520" s="10"/>
      <c r="M520" s="10"/>
      <c r="N520" s="10"/>
      <c r="O520" s="18">
        <v>250.0</v>
      </c>
      <c r="P520" s="10"/>
      <c r="Q520" s="6"/>
      <c r="R520" s="10"/>
    </row>
    <row r="521">
      <c r="A521" s="6" t="s">
        <v>3086</v>
      </c>
      <c r="B521" s="6" t="s">
        <v>35</v>
      </c>
      <c r="C521" s="8">
        <v>45518.0</v>
      </c>
      <c r="D521" s="10"/>
      <c r="E521" s="10"/>
      <c r="F521" s="10"/>
      <c r="G521" s="10"/>
      <c r="H521" s="6" t="s">
        <v>1329</v>
      </c>
      <c r="I521" s="10"/>
      <c r="J521" s="6" t="s">
        <v>539</v>
      </c>
      <c r="K521" s="6" t="s">
        <v>2713</v>
      </c>
      <c r="L521" s="10"/>
      <c r="M521" s="10"/>
      <c r="N521" s="10"/>
      <c r="O521" s="18">
        <v>400.0</v>
      </c>
      <c r="P521" s="10"/>
      <c r="Q521" s="6"/>
      <c r="R521" s="10"/>
    </row>
    <row r="522">
      <c r="A522" s="6" t="s">
        <v>3088</v>
      </c>
      <c r="B522" s="6" t="s">
        <v>35</v>
      </c>
      <c r="C522" s="8">
        <v>45519.0</v>
      </c>
      <c r="D522" s="6" t="s">
        <v>2248</v>
      </c>
      <c r="E522" s="10"/>
      <c r="F522" s="10"/>
      <c r="G522" s="10"/>
      <c r="H522" s="6" t="s">
        <v>2549</v>
      </c>
      <c r="I522" s="10"/>
      <c r="J522" s="6" t="s">
        <v>539</v>
      </c>
      <c r="K522" s="10"/>
      <c r="L522" s="10"/>
      <c r="M522" s="10"/>
      <c r="N522" s="10"/>
      <c r="O522" s="18">
        <v>355.52</v>
      </c>
      <c r="P522" s="10"/>
      <c r="Q522" s="6"/>
      <c r="R522" s="10"/>
    </row>
    <row r="523">
      <c r="A523" s="6" t="s">
        <v>3091</v>
      </c>
      <c r="B523" s="6" t="s">
        <v>35</v>
      </c>
      <c r="C523" s="8">
        <v>45519.0</v>
      </c>
      <c r="D523" s="10"/>
      <c r="E523" s="10"/>
      <c r="F523" s="10"/>
      <c r="G523" s="10"/>
      <c r="H523" s="6" t="s">
        <v>2770</v>
      </c>
      <c r="I523" s="10"/>
      <c r="J523" s="6" t="s">
        <v>539</v>
      </c>
      <c r="K523" s="6" t="s">
        <v>624</v>
      </c>
      <c r="L523" s="10"/>
      <c r="M523" s="10"/>
      <c r="N523" s="10"/>
      <c r="O523" s="18">
        <v>430.0</v>
      </c>
      <c r="P523" s="10"/>
      <c r="Q523" s="6"/>
      <c r="R523" s="10"/>
    </row>
    <row r="524">
      <c r="A524" s="6" t="s">
        <v>3093</v>
      </c>
      <c r="B524" s="6" t="s">
        <v>35</v>
      </c>
      <c r="C524" s="8">
        <v>45520.0</v>
      </c>
      <c r="D524" s="10"/>
      <c r="E524" s="10"/>
      <c r="F524" s="10"/>
      <c r="G524" s="10"/>
      <c r="H524" s="6" t="s">
        <v>3095</v>
      </c>
      <c r="I524" s="10"/>
      <c r="J524" s="6" t="s">
        <v>539</v>
      </c>
      <c r="K524" s="6" t="s">
        <v>664</v>
      </c>
      <c r="L524" s="10"/>
      <c r="M524" s="10"/>
      <c r="N524" s="10"/>
      <c r="O524" s="18">
        <v>5313.65</v>
      </c>
      <c r="P524" s="10"/>
      <c r="Q524" s="6"/>
      <c r="R524" s="10"/>
    </row>
    <row r="525">
      <c r="A525" s="6" t="s">
        <v>3097</v>
      </c>
      <c r="B525" s="6" t="s">
        <v>35</v>
      </c>
      <c r="C525" s="8">
        <v>45520.0</v>
      </c>
      <c r="D525" s="6" t="s">
        <v>543</v>
      </c>
      <c r="E525" s="6" t="s">
        <v>3098</v>
      </c>
      <c r="F525" s="10"/>
      <c r="G525" s="6" t="s">
        <v>3099</v>
      </c>
      <c r="H525" s="6" t="s">
        <v>3014</v>
      </c>
      <c r="I525" s="17" t="b">
        <v>0</v>
      </c>
      <c r="J525" s="6" t="s">
        <v>546</v>
      </c>
      <c r="K525" s="10"/>
      <c r="L525" s="10"/>
      <c r="M525" s="10"/>
      <c r="N525" s="10"/>
      <c r="O525" s="18">
        <v>390.0</v>
      </c>
      <c r="P525" s="10"/>
      <c r="Q525" s="17" t="b">
        <v>1</v>
      </c>
      <c r="R525" s="10"/>
    </row>
    <row r="526">
      <c r="A526" s="6" t="s">
        <v>3101</v>
      </c>
      <c r="B526" s="6" t="s">
        <v>35</v>
      </c>
      <c r="C526" s="8">
        <v>45520.0</v>
      </c>
      <c r="D526" s="6" t="s">
        <v>112</v>
      </c>
      <c r="E526" s="6" t="s">
        <v>3102</v>
      </c>
      <c r="F526" s="10"/>
      <c r="G526" s="6" t="s">
        <v>3104</v>
      </c>
      <c r="H526" s="6" t="s">
        <v>2959</v>
      </c>
      <c r="I526" s="17" t="b">
        <v>0</v>
      </c>
      <c r="J526" s="6" t="s">
        <v>546</v>
      </c>
      <c r="K526" s="10"/>
      <c r="L526" s="10"/>
      <c r="M526" s="10"/>
      <c r="N526" s="10"/>
      <c r="O526" s="18">
        <v>233.04</v>
      </c>
      <c r="P526" s="10"/>
      <c r="Q526" s="17" t="b">
        <v>1</v>
      </c>
      <c r="R526" s="10"/>
    </row>
    <row r="527">
      <c r="A527" s="6" t="s">
        <v>3105</v>
      </c>
      <c r="B527" s="6" t="s">
        <v>35</v>
      </c>
      <c r="C527" s="8">
        <v>45520.0</v>
      </c>
      <c r="D527" s="6" t="s">
        <v>233</v>
      </c>
      <c r="E527" s="6" t="s">
        <v>3107</v>
      </c>
      <c r="F527" s="10"/>
      <c r="G527" s="6" t="s">
        <v>3108</v>
      </c>
      <c r="H527" s="6" t="s">
        <v>3109</v>
      </c>
      <c r="I527" s="17" t="b">
        <v>1</v>
      </c>
      <c r="J527" s="6" t="s">
        <v>546</v>
      </c>
      <c r="K527" s="10"/>
      <c r="L527" s="10"/>
      <c r="M527" s="10"/>
      <c r="N527" s="10"/>
      <c r="O527" s="18">
        <v>236.35</v>
      </c>
      <c r="P527" s="18">
        <v>1009090.0</v>
      </c>
      <c r="Q527" s="17" t="b">
        <v>1</v>
      </c>
      <c r="R527" s="10"/>
    </row>
    <row r="528">
      <c r="A528" s="6" t="s">
        <v>3111</v>
      </c>
      <c r="B528" s="6" t="s">
        <v>35</v>
      </c>
      <c r="C528" s="8">
        <v>45520.0</v>
      </c>
      <c r="D528" s="6" t="s">
        <v>1129</v>
      </c>
      <c r="E528" s="6" t="s">
        <v>3112</v>
      </c>
      <c r="F528" s="10"/>
      <c r="G528" s="6" t="s">
        <v>3113</v>
      </c>
      <c r="H528" s="6" t="s">
        <v>3115</v>
      </c>
      <c r="I528" s="17" t="b">
        <v>1</v>
      </c>
      <c r="J528" s="6" t="s">
        <v>546</v>
      </c>
      <c r="K528" s="10"/>
      <c r="L528" s="10"/>
      <c r="M528" s="10"/>
      <c r="N528" s="10"/>
      <c r="O528" s="18">
        <v>60.0</v>
      </c>
      <c r="P528" s="18">
        <v>1008758.0</v>
      </c>
      <c r="Q528" s="17" t="b">
        <v>1</v>
      </c>
      <c r="R528" s="10"/>
    </row>
    <row r="529">
      <c r="A529" s="6" t="s">
        <v>3116</v>
      </c>
      <c r="B529" s="6" t="s">
        <v>35</v>
      </c>
      <c r="C529" s="8">
        <v>45520.0</v>
      </c>
      <c r="D529" s="6" t="s">
        <v>286</v>
      </c>
      <c r="E529" s="6" t="s">
        <v>3118</v>
      </c>
      <c r="F529" s="10"/>
      <c r="G529" s="6" t="s">
        <v>3119</v>
      </c>
      <c r="H529" s="6" t="s">
        <v>3120</v>
      </c>
      <c r="I529" s="17" t="b">
        <v>1</v>
      </c>
      <c r="J529" s="6" t="s">
        <v>546</v>
      </c>
      <c r="K529" s="10"/>
      <c r="L529" s="10"/>
      <c r="M529" s="10"/>
      <c r="N529" s="10"/>
      <c r="O529" s="18">
        <v>2.0</v>
      </c>
      <c r="P529" s="18">
        <v>1008704.0</v>
      </c>
      <c r="Q529" s="17" t="b">
        <v>1</v>
      </c>
      <c r="R529" s="10"/>
    </row>
    <row r="530">
      <c r="A530" s="6" t="s">
        <v>3123</v>
      </c>
      <c r="B530" s="6" t="s">
        <v>35</v>
      </c>
      <c r="C530" s="8">
        <v>45521.0</v>
      </c>
      <c r="D530" s="6" t="s">
        <v>543</v>
      </c>
      <c r="E530" s="6" t="s">
        <v>3124</v>
      </c>
      <c r="F530" s="10"/>
      <c r="G530" s="6" t="s">
        <v>3125</v>
      </c>
      <c r="H530" s="6" t="s">
        <v>3014</v>
      </c>
      <c r="I530" s="17" t="b">
        <v>0</v>
      </c>
      <c r="J530" s="6" t="s">
        <v>546</v>
      </c>
      <c r="K530" s="10"/>
      <c r="L530" s="10"/>
      <c r="M530" s="10"/>
      <c r="N530" s="10"/>
      <c r="O530" s="18">
        <v>540.0</v>
      </c>
      <c r="P530" s="10"/>
      <c r="Q530" s="17" t="b">
        <v>1</v>
      </c>
      <c r="R530" s="10"/>
    </row>
    <row r="531">
      <c r="A531" s="6" t="s">
        <v>3127</v>
      </c>
      <c r="B531" s="6" t="s">
        <v>35</v>
      </c>
      <c r="C531" s="8">
        <v>45521.0</v>
      </c>
      <c r="D531" s="6" t="s">
        <v>112</v>
      </c>
      <c r="E531" s="6" t="s">
        <v>3128</v>
      </c>
      <c r="F531" s="10"/>
      <c r="G531" s="6" t="s">
        <v>3129</v>
      </c>
      <c r="H531" s="6" t="s">
        <v>2959</v>
      </c>
      <c r="I531" s="17" t="b">
        <v>0</v>
      </c>
      <c r="J531" s="6" t="s">
        <v>546</v>
      </c>
      <c r="K531" s="10"/>
      <c r="L531" s="10"/>
      <c r="M531" s="10"/>
      <c r="N531" s="10"/>
      <c r="O531" s="18">
        <v>282.65</v>
      </c>
      <c r="P531" s="10"/>
      <c r="Q531" s="17" t="b">
        <v>1</v>
      </c>
      <c r="R531" s="10"/>
    </row>
    <row r="532">
      <c r="A532" s="6" t="s">
        <v>3132</v>
      </c>
      <c r="B532" s="6" t="s">
        <v>35</v>
      </c>
      <c r="C532" s="8">
        <v>45526.0</v>
      </c>
      <c r="D532" s="6" t="s">
        <v>890</v>
      </c>
      <c r="E532" s="10"/>
      <c r="F532" s="10"/>
      <c r="G532" s="10"/>
      <c r="H532" s="6" t="s">
        <v>3134</v>
      </c>
      <c r="I532" s="10"/>
      <c r="J532" s="6" t="s">
        <v>539</v>
      </c>
      <c r="K532" s="10"/>
      <c r="L532" s="10"/>
      <c r="M532" s="10"/>
      <c r="N532" s="10"/>
      <c r="O532" s="18">
        <v>18.76</v>
      </c>
      <c r="P532" s="10"/>
      <c r="Q532" s="6"/>
      <c r="R532" s="10"/>
    </row>
    <row r="533">
      <c r="A533" s="6" t="s">
        <v>3136</v>
      </c>
      <c r="B533" s="6" t="s">
        <v>35</v>
      </c>
      <c r="C533" s="8">
        <v>45523.0</v>
      </c>
      <c r="D533" s="6" t="s">
        <v>353</v>
      </c>
      <c r="E533" s="6" t="s">
        <v>3137</v>
      </c>
      <c r="F533" s="10"/>
      <c r="G533" s="6" t="s">
        <v>3139</v>
      </c>
      <c r="H533" s="6" t="s">
        <v>3140</v>
      </c>
      <c r="I533" s="17" t="b">
        <v>0</v>
      </c>
      <c r="J533" s="6" t="s">
        <v>546</v>
      </c>
      <c r="K533" s="10"/>
      <c r="L533" s="10"/>
      <c r="M533" s="10"/>
      <c r="N533" s="10"/>
      <c r="O533" s="18">
        <v>516.23</v>
      </c>
      <c r="P533" s="10"/>
      <c r="Q533" s="17" t="b">
        <v>1</v>
      </c>
      <c r="R533" s="10"/>
    </row>
    <row r="534">
      <c r="A534" s="6" t="s">
        <v>3142</v>
      </c>
      <c r="B534" s="6" t="s">
        <v>35</v>
      </c>
      <c r="C534" s="8">
        <v>45523.0</v>
      </c>
      <c r="D534" s="6" t="s">
        <v>112</v>
      </c>
      <c r="E534" s="6" t="s">
        <v>3144</v>
      </c>
      <c r="F534" s="10"/>
      <c r="G534" s="6" t="s">
        <v>3145</v>
      </c>
      <c r="H534" s="6" t="s">
        <v>45</v>
      </c>
      <c r="I534" s="17" t="b">
        <v>0</v>
      </c>
      <c r="J534" s="6" t="s">
        <v>546</v>
      </c>
      <c r="K534" s="10"/>
      <c r="L534" s="10"/>
      <c r="M534" s="10"/>
      <c r="N534" s="10"/>
      <c r="O534" s="18">
        <v>254.0</v>
      </c>
      <c r="P534" s="10"/>
      <c r="Q534" s="17" t="b">
        <v>1</v>
      </c>
      <c r="R534" s="10"/>
    </row>
    <row r="535">
      <c r="A535" s="6" t="s">
        <v>3148</v>
      </c>
      <c r="B535" s="6" t="s">
        <v>35</v>
      </c>
      <c r="C535" s="8">
        <v>45523.0</v>
      </c>
      <c r="D535" s="6" t="s">
        <v>890</v>
      </c>
      <c r="E535" s="6" t="s">
        <v>3149</v>
      </c>
      <c r="F535" s="10"/>
      <c r="G535" s="6" t="s">
        <v>3151</v>
      </c>
      <c r="H535" s="6" t="s">
        <v>1177</v>
      </c>
      <c r="I535" s="17" t="b">
        <v>0</v>
      </c>
      <c r="J535" s="6" t="s">
        <v>546</v>
      </c>
      <c r="K535" s="10"/>
      <c r="L535" s="10"/>
      <c r="M535" s="10"/>
      <c r="N535" s="10"/>
      <c r="O535" s="18">
        <v>21811.15</v>
      </c>
      <c r="P535" s="10"/>
      <c r="Q535" s="17" t="b">
        <v>1</v>
      </c>
      <c r="R535" s="10"/>
    </row>
    <row r="536">
      <c r="A536" s="6" t="s">
        <v>3154</v>
      </c>
      <c r="B536" s="6" t="s">
        <v>35</v>
      </c>
      <c r="C536" s="8">
        <v>45523.0</v>
      </c>
      <c r="D536" s="6" t="s">
        <v>3155</v>
      </c>
      <c r="E536" s="6" t="s">
        <v>3156</v>
      </c>
      <c r="F536" s="10"/>
      <c r="G536" s="6" t="s">
        <v>3158</v>
      </c>
      <c r="H536" s="6" t="s">
        <v>2829</v>
      </c>
      <c r="I536" s="17" t="b">
        <v>0</v>
      </c>
      <c r="J536" s="6" t="s">
        <v>546</v>
      </c>
      <c r="K536" s="10"/>
      <c r="L536" s="10"/>
      <c r="M536" s="10"/>
      <c r="N536" s="10"/>
      <c r="O536" s="18">
        <v>114.46</v>
      </c>
      <c r="P536" s="10"/>
      <c r="Q536" s="17" t="b">
        <v>1</v>
      </c>
      <c r="R536" s="10"/>
    </row>
    <row r="537">
      <c r="A537" s="6" t="s">
        <v>3160</v>
      </c>
      <c r="B537" s="6" t="s">
        <v>35</v>
      </c>
      <c r="C537" s="8">
        <v>45525.0</v>
      </c>
      <c r="D537" s="6" t="s">
        <v>543</v>
      </c>
      <c r="E537" s="6" t="s">
        <v>3163</v>
      </c>
      <c r="F537" s="10"/>
      <c r="G537" s="6" t="s">
        <v>3164</v>
      </c>
      <c r="H537" s="6" t="s">
        <v>2921</v>
      </c>
      <c r="I537" s="17" t="b">
        <v>0</v>
      </c>
      <c r="J537" s="6" t="s">
        <v>546</v>
      </c>
      <c r="K537" s="10"/>
      <c r="L537" s="10"/>
      <c r="M537" s="10"/>
      <c r="N537" s="10"/>
      <c r="O537" s="18">
        <v>600.0</v>
      </c>
      <c r="P537" s="10"/>
      <c r="Q537" s="17" t="b">
        <v>1</v>
      </c>
      <c r="R537" s="10"/>
    </row>
    <row r="538">
      <c r="A538" s="6" t="s">
        <v>3167</v>
      </c>
      <c r="B538" s="6" t="s">
        <v>35</v>
      </c>
      <c r="C538" s="8">
        <v>45525.0</v>
      </c>
      <c r="D538" s="6" t="s">
        <v>112</v>
      </c>
      <c r="E538" s="6" t="s">
        <v>3168</v>
      </c>
      <c r="F538" s="10"/>
      <c r="G538" s="6" t="s">
        <v>3169</v>
      </c>
      <c r="H538" s="6" t="s">
        <v>3171</v>
      </c>
      <c r="I538" s="17" t="b">
        <v>0</v>
      </c>
      <c r="J538" s="6" t="s">
        <v>546</v>
      </c>
      <c r="K538" s="10"/>
      <c r="L538" s="10"/>
      <c r="M538" s="10"/>
      <c r="N538" s="10"/>
      <c r="O538" s="18">
        <v>235.92</v>
      </c>
      <c r="P538" s="10"/>
      <c r="Q538" s="17" t="b">
        <v>1</v>
      </c>
      <c r="R538" s="10"/>
    </row>
    <row r="539">
      <c r="A539" s="6" t="s">
        <v>3173</v>
      </c>
      <c r="B539" s="6" t="s">
        <v>35</v>
      </c>
      <c r="C539" s="8">
        <v>45523.0</v>
      </c>
      <c r="D539" s="6" t="s">
        <v>890</v>
      </c>
      <c r="E539" s="6" t="s">
        <v>3174</v>
      </c>
      <c r="F539" s="10"/>
      <c r="G539" s="6" t="s">
        <v>3176</v>
      </c>
      <c r="H539" s="6" t="s">
        <v>1184</v>
      </c>
      <c r="I539" s="17" t="b">
        <v>0</v>
      </c>
      <c r="J539" s="6" t="s">
        <v>546</v>
      </c>
      <c r="K539" s="10"/>
      <c r="L539" s="10"/>
      <c r="M539" s="10"/>
      <c r="N539" s="10"/>
      <c r="O539" s="18">
        <v>9662.23</v>
      </c>
      <c r="P539" s="10"/>
      <c r="Q539" s="17" t="b">
        <v>1</v>
      </c>
      <c r="R539" s="10"/>
    </row>
    <row r="540">
      <c r="A540" s="6" t="s">
        <v>3178</v>
      </c>
      <c r="B540" s="6" t="s">
        <v>35</v>
      </c>
      <c r="C540" s="8">
        <v>45525.0</v>
      </c>
      <c r="D540" s="6" t="s">
        <v>286</v>
      </c>
      <c r="E540" s="6" t="s">
        <v>3179</v>
      </c>
      <c r="F540" s="10"/>
      <c r="G540" s="6" t="s">
        <v>3180</v>
      </c>
      <c r="H540" s="6" t="s">
        <v>3181</v>
      </c>
      <c r="I540" s="17" t="b">
        <v>1</v>
      </c>
      <c r="J540" s="6" t="s">
        <v>546</v>
      </c>
      <c r="K540" s="10"/>
      <c r="L540" s="10"/>
      <c r="M540" s="10"/>
      <c r="N540" s="10"/>
      <c r="O540" s="18">
        <v>6.0</v>
      </c>
      <c r="P540" s="18">
        <v>1017253.0</v>
      </c>
      <c r="Q540" s="17" t="b">
        <v>1</v>
      </c>
      <c r="R540" s="10"/>
    </row>
    <row r="541">
      <c r="A541" s="6" t="s">
        <v>3184</v>
      </c>
      <c r="B541" s="6" t="s">
        <v>35</v>
      </c>
      <c r="C541" s="8">
        <v>45525.0</v>
      </c>
      <c r="D541" s="6" t="s">
        <v>2165</v>
      </c>
      <c r="E541" s="6" t="s">
        <v>3186</v>
      </c>
      <c r="F541" s="10"/>
      <c r="G541" s="6" t="s">
        <v>3187</v>
      </c>
      <c r="H541" s="6" t="s">
        <v>2789</v>
      </c>
      <c r="I541" s="17" t="b">
        <v>1</v>
      </c>
      <c r="J541" s="6" t="s">
        <v>546</v>
      </c>
      <c r="K541" s="10"/>
      <c r="L541" s="10"/>
      <c r="M541" s="10"/>
      <c r="N541" s="10"/>
      <c r="O541" s="18">
        <v>1401.05</v>
      </c>
      <c r="P541" s="18">
        <v>1018762.0</v>
      </c>
      <c r="Q541" s="17" t="b">
        <v>1</v>
      </c>
      <c r="R541" s="10"/>
    </row>
    <row r="542">
      <c r="A542" s="6" t="s">
        <v>3188</v>
      </c>
      <c r="B542" s="6" t="s">
        <v>35</v>
      </c>
      <c r="C542" s="8">
        <v>45526.0</v>
      </c>
      <c r="D542" s="6" t="s">
        <v>353</v>
      </c>
      <c r="E542" s="6" t="s">
        <v>3189</v>
      </c>
      <c r="F542" s="10"/>
      <c r="G542" s="6" t="s">
        <v>3191</v>
      </c>
      <c r="H542" s="6" t="s">
        <v>3192</v>
      </c>
      <c r="I542" s="17" t="b">
        <v>0</v>
      </c>
      <c r="J542" s="6" t="s">
        <v>546</v>
      </c>
      <c r="K542" s="10"/>
      <c r="L542" s="10"/>
      <c r="M542" s="10"/>
      <c r="N542" s="10"/>
      <c r="O542" s="18">
        <v>636.79</v>
      </c>
      <c r="P542" s="10"/>
      <c r="Q542" s="17" t="b">
        <v>1</v>
      </c>
      <c r="R542" s="10"/>
    </row>
    <row r="543">
      <c r="A543" s="6" t="s">
        <v>3194</v>
      </c>
      <c r="B543" s="6" t="s">
        <v>35</v>
      </c>
      <c r="C543" s="8">
        <v>45527.0</v>
      </c>
      <c r="D543" s="18">
        <v>8.627274E7</v>
      </c>
      <c r="E543" s="6" t="s">
        <v>3196</v>
      </c>
      <c r="F543" s="10"/>
      <c r="G543" s="6" t="s">
        <v>3197</v>
      </c>
      <c r="H543" s="6" t="s">
        <v>3198</v>
      </c>
      <c r="I543" s="17" t="b">
        <v>1</v>
      </c>
      <c r="J543" s="6" t="s">
        <v>546</v>
      </c>
      <c r="K543" s="10"/>
      <c r="L543" s="10"/>
      <c r="M543" s="10"/>
      <c r="N543" s="10"/>
      <c r="O543" s="18">
        <v>225.27</v>
      </c>
      <c r="P543" s="18">
        <v>1019559.0</v>
      </c>
      <c r="Q543" s="17" t="b">
        <v>1</v>
      </c>
      <c r="R543" s="10"/>
    </row>
    <row r="544">
      <c r="A544" s="6" t="s">
        <v>3200</v>
      </c>
      <c r="B544" s="6" t="s">
        <v>35</v>
      </c>
      <c r="C544" s="8">
        <v>45527.0</v>
      </c>
      <c r="D544" s="6" t="s">
        <v>112</v>
      </c>
      <c r="E544" s="6" t="s">
        <v>3202</v>
      </c>
      <c r="F544" s="10"/>
      <c r="G544" s="6" t="s">
        <v>3203</v>
      </c>
      <c r="H544" s="6" t="s">
        <v>3072</v>
      </c>
      <c r="I544" s="17" t="b">
        <v>0</v>
      </c>
      <c r="J544" s="6" t="s">
        <v>546</v>
      </c>
      <c r="K544" s="10"/>
      <c r="L544" s="10"/>
      <c r="M544" s="10"/>
      <c r="N544" s="10"/>
      <c r="O544" s="18">
        <v>361.21</v>
      </c>
      <c r="P544" s="10"/>
      <c r="Q544" s="17" t="b">
        <v>1</v>
      </c>
      <c r="R544" s="10"/>
    </row>
    <row r="545">
      <c r="A545" s="6" t="s">
        <v>3204</v>
      </c>
      <c r="B545" s="6" t="s">
        <v>35</v>
      </c>
      <c r="C545" s="8">
        <v>45527.0</v>
      </c>
      <c r="D545" s="10"/>
      <c r="E545" s="10"/>
      <c r="F545" s="10"/>
      <c r="G545" s="10"/>
      <c r="H545" s="6" t="s">
        <v>3205</v>
      </c>
      <c r="I545" s="10"/>
      <c r="J545" s="6" t="s">
        <v>539</v>
      </c>
      <c r="K545" s="6" t="s">
        <v>2713</v>
      </c>
      <c r="L545" s="10"/>
      <c r="M545" s="10"/>
      <c r="N545" s="10"/>
      <c r="O545" s="18">
        <v>1482.77</v>
      </c>
      <c r="P545" s="10"/>
      <c r="Q545" s="6"/>
      <c r="R545" s="10"/>
    </row>
    <row r="546">
      <c r="A546" s="6" t="s">
        <v>3207</v>
      </c>
      <c r="B546" s="6" t="s">
        <v>35</v>
      </c>
      <c r="C546" s="8">
        <v>45524.0</v>
      </c>
      <c r="D546" s="18">
        <v>6.8893939E7</v>
      </c>
      <c r="E546" s="6" t="s">
        <v>3208</v>
      </c>
      <c r="F546" s="10"/>
      <c r="G546" s="6" t="s">
        <v>3210</v>
      </c>
      <c r="H546" s="6" t="s">
        <v>3211</v>
      </c>
      <c r="I546" s="17" t="b">
        <v>0</v>
      </c>
      <c r="J546" s="6" t="s">
        <v>546</v>
      </c>
      <c r="K546" s="10"/>
      <c r="L546" s="10"/>
      <c r="M546" s="10"/>
      <c r="N546" s="10"/>
      <c r="O546" s="18">
        <v>113.05</v>
      </c>
      <c r="P546" s="10"/>
      <c r="Q546" s="17" t="b">
        <v>1</v>
      </c>
      <c r="R546" s="10"/>
    </row>
    <row r="547">
      <c r="A547" s="6" t="s">
        <v>3212</v>
      </c>
      <c r="B547" s="6" t="s">
        <v>35</v>
      </c>
      <c r="C547" s="8">
        <v>45523.0</v>
      </c>
      <c r="D547" s="6" t="s">
        <v>2644</v>
      </c>
      <c r="E547" s="6" t="s">
        <v>3214</v>
      </c>
      <c r="F547" s="10"/>
      <c r="G547" s="6" t="s">
        <v>3215</v>
      </c>
      <c r="H547" s="6" t="s">
        <v>767</v>
      </c>
      <c r="I547" s="17" t="b">
        <v>0</v>
      </c>
      <c r="J547" s="6" t="s">
        <v>546</v>
      </c>
      <c r="K547" s="10"/>
      <c r="L547" s="10"/>
      <c r="M547" s="10"/>
      <c r="N547" s="10"/>
      <c r="O547" s="18">
        <v>940.0</v>
      </c>
      <c r="P547" s="10"/>
      <c r="Q547" s="17" t="b">
        <v>1</v>
      </c>
      <c r="R547" s="10"/>
    </row>
    <row r="548">
      <c r="A548" s="6" t="s">
        <v>3217</v>
      </c>
      <c r="B548" s="6" t="s">
        <v>35</v>
      </c>
      <c r="C548" s="8">
        <v>45530.0</v>
      </c>
      <c r="D548" s="6" t="s">
        <v>460</v>
      </c>
      <c r="E548" s="10"/>
      <c r="F548" s="10"/>
      <c r="G548" s="10"/>
      <c r="H548" s="6" t="s">
        <v>3220</v>
      </c>
      <c r="I548" s="10"/>
      <c r="J548" s="6" t="s">
        <v>539</v>
      </c>
      <c r="K548" s="10"/>
      <c r="L548" s="10"/>
      <c r="M548" s="10"/>
      <c r="N548" s="10"/>
      <c r="O548" s="18">
        <v>807.0</v>
      </c>
      <c r="P548" s="10"/>
      <c r="Q548" s="6"/>
      <c r="R548" s="10"/>
    </row>
    <row r="549">
      <c r="A549" s="6" t="s">
        <v>3222</v>
      </c>
      <c r="B549" s="6" t="s">
        <v>35</v>
      </c>
      <c r="C549" s="8">
        <v>45530.0</v>
      </c>
      <c r="D549" s="6" t="s">
        <v>460</v>
      </c>
      <c r="E549" s="10"/>
      <c r="F549" s="10"/>
      <c r="G549" s="10"/>
      <c r="H549" s="6" t="s">
        <v>931</v>
      </c>
      <c r="I549" s="10"/>
      <c r="J549" s="6" t="s">
        <v>539</v>
      </c>
      <c r="K549" s="10"/>
      <c r="L549" s="10"/>
      <c r="M549" s="10"/>
      <c r="N549" s="10"/>
      <c r="O549" s="18">
        <v>30.0</v>
      </c>
      <c r="P549" s="10"/>
      <c r="Q549" s="6"/>
      <c r="R549" s="10"/>
    </row>
    <row r="550">
      <c r="A550" s="6" t="s">
        <v>3226</v>
      </c>
      <c r="B550" s="6" t="s">
        <v>35</v>
      </c>
      <c r="C550" s="8">
        <v>45545.0</v>
      </c>
      <c r="D550" s="6" t="s">
        <v>1557</v>
      </c>
      <c r="E550" s="6" t="s">
        <v>3227</v>
      </c>
      <c r="F550" s="10"/>
      <c r="G550" s="6" t="s">
        <v>3229</v>
      </c>
      <c r="H550" s="6" t="s">
        <v>3230</v>
      </c>
      <c r="I550" s="17" t="b">
        <v>0</v>
      </c>
      <c r="J550" s="6" t="s">
        <v>546</v>
      </c>
      <c r="K550" s="10"/>
      <c r="L550" s="10"/>
      <c r="M550" s="10"/>
      <c r="N550" s="10"/>
      <c r="O550" s="18">
        <v>110.0</v>
      </c>
      <c r="P550" s="10"/>
      <c r="Q550" s="17" t="b">
        <v>1</v>
      </c>
      <c r="R550" s="10"/>
    </row>
    <row r="551">
      <c r="A551" s="6" t="s">
        <v>3232</v>
      </c>
      <c r="B551" s="6" t="s">
        <v>35</v>
      </c>
      <c r="C551" s="8">
        <v>45526.0</v>
      </c>
      <c r="D551" s="6" t="s">
        <v>193</v>
      </c>
      <c r="E551" s="6" t="s">
        <v>3234</v>
      </c>
      <c r="F551" s="10"/>
      <c r="G551" s="6" t="s">
        <v>3235</v>
      </c>
      <c r="H551" s="6" t="s">
        <v>767</v>
      </c>
      <c r="I551" s="17" t="b">
        <v>0</v>
      </c>
      <c r="J551" s="6" t="s">
        <v>546</v>
      </c>
      <c r="K551" s="10"/>
      <c r="L551" s="10"/>
      <c r="M551" s="10"/>
      <c r="N551" s="10"/>
      <c r="O551" s="18">
        <v>22.9</v>
      </c>
      <c r="P551" s="10"/>
      <c r="Q551" s="17" t="b">
        <v>1</v>
      </c>
      <c r="R551" s="10"/>
    </row>
    <row r="552">
      <c r="A552" s="6" t="s">
        <v>3238</v>
      </c>
      <c r="B552" s="6" t="s">
        <v>35</v>
      </c>
      <c r="C552" s="8">
        <v>45526.0</v>
      </c>
      <c r="D552" s="18">
        <v>6.8893939E7</v>
      </c>
      <c r="E552" s="6" t="s">
        <v>3239</v>
      </c>
      <c r="F552" s="10"/>
      <c r="G552" s="6" t="s">
        <v>3241</v>
      </c>
      <c r="H552" s="6" t="s">
        <v>605</v>
      </c>
      <c r="I552" s="17" t="b">
        <v>0</v>
      </c>
      <c r="J552" s="6" t="s">
        <v>546</v>
      </c>
      <c r="K552" s="10"/>
      <c r="L552" s="10"/>
      <c r="M552" s="10"/>
      <c r="N552" s="10"/>
      <c r="O552" s="18">
        <v>2088.66</v>
      </c>
      <c r="P552" s="10"/>
      <c r="Q552" s="17" t="b">
        <v>1</v>
      </c>
      <c r="R552" s="10"/>
    </row>
    <row r="553">
      <c r="A553" s="6" t="s">
        <v>3243</v>
      </c>
      <c r="B553" s="6" t="s">
        <v>35</v>
      </c>
      <c r="C553" s="8">
        <v>45533.0</v>
      </c>
      <c r="D553" s="6" t="s">
        <v>112</v>
      </c>
      <c r="E553" s="6" t="s">
        <v>3245</v>
      </c>
      <c r="F553" s="10"/>
      <c r="G553" s="6" t="s">
        <v>3246</v>
      </c>
      <c r="H553" s="6" t="s">
        <v>2959</v>
      </c>
      <c r="I553" s="17" t="b">
        <v>0</v>
      </c>
      <c r="J553" s="6" t="s">
        <v>546</v>
      </c>
      <c r="K553" s="10"/>
      <c r="L553" s="10"/>
      <c r="M553" s="10"/>
      <c r="N553" s="10"/>
      <c r="O553" s="18">
        <v>430.28</v>
      </c>
      <c r="P553" s="10"/>
      <c r="Q553" s="17" t="b">
        <v>1</v>
      </c>
      <c r="R553" s="10"/>
    </row>
    <row r="554">
      <c r="A554" s="6" t="s">
        <v>3249</v>
      </c>
      <c r="B554" s="6" t="s">
        <v>35</v>
      </c>
      <c r="C554" s="8">
        <v>45534.0</v>
      </c>
      <c r="D554" s="6" t="s">
        <v>112</v>
      </c>
      <c r="E554" s="6" t="s">
        <v>3250</v>
      </c>
      <c r="F554" s="10"/>
      <c r="G554" s="6" t="s">
        <v>3251</v>
      </c>
      <c r="H554" s="6" t="s">
        <v>2959</v>
      </c>
      <c r="I554" s="17" t="b">
        <v>0</v>
      </c>
      <c r="J554" s="6" t="s">
        <v>546</v>
      </c>
      <c r="K554" s="10"/>
      <c r="L554" s="10"/>
      <c r="M554" s="10"/>
      <c r="N554" s="10"/>
      <c r="O554" s="18">
        <v>268.35</v>
      </c>
      <c r="P554" s="10"/>
      <c r="Q554" s="17" t="b">
        <v>1</v>
      </c>
      <c r="R554" s="10"/>
    </row>
    <row r="555">
      <c r="A555" s="6" t="s">
        <v>3255</v>
      </c>
      <c r="B555" s="6" t="s">
        <v>35</v>
      </c>
      <c r="C555" s="8">
        <v>45534.0</v>
      </c>
      <c r="D555" s="6" t="s">
        <v>543</v>
      </c>
      <c r="E555" s="6" t="s">
        <v>3257</v>
      </c>
      <c r="F555" s="10"/>
      <c r="G555" s="6" t="s">
        <v>3258</v>
      </c>
      <c r="H555" s="6" t="s">
        <v>2921</v>
      </c>
      <c r="I555" s="17" t="b">
        <v>0</v>
      </c>
      <c r="J555" s="6" t="s">
        <v>546</v>
      </c>
      <c r="K555" s="10"/>
      <c r="L555" s="10"/>
      <c r="M555" s="10"/>
      <c r="N555" s="10"/>
      <c r="O555" s="18">
        <v>450.0</v>
      </c>
      <c r="P555" s="10"/>
      <c r="Q555" s="17" t="b">
        <v>1</v>
      </c>
      <c r="R555" s="10"/>
    </row>
    <row r="556">
      <c r="A556" s="6" t="s">
        <v>3261</v>
      </c>
      <c r="B556" s="6" t="s">
        <v>35</v>
      </c>
      <c r="C556" s="8">
        <v>45535.0</v>
      </c>
      <c r="D556" s="6" t="s">
        <v>112</v>
      </c>
      <c r="E556" s="6" t="s">
        <v>3262</v>
      </c>
      <c r="F556" s="10"/>
      <c r="G556" s="6" t="s">
        <v>3264</v>
      </c>
      <c r="H556" s="6" t="s">
        <v>2959</v>
      </c>
      <c r="I556" s="17" t="b">
        <v>0</v>
      </c>
      <c r="J556" s="6" t="s">
        <v>546</v>
      </c>
      <c r="K556" s="10"/>
      <c r="L556" s="10"/>
      <c r="M556" s="10"/>
      <c r="N556" s="10"/>
      <c r="O556" s="18">
        <v>270.84</v>
      </c>
      <c r="P556" s="10"/>
      <c r="Q556" s="17" t="b">
        <v>1</v>
      </c>
      <c r="R556" s="10"/>
    </row>
    <row r="557">
      <c r="A557" s="6" t="s">
        <v>3266</v>
      </c>
      <c r="B557" s="6" t="s">
        <v>35</v>
      </c>
      <c r="C557" s="8">
        <v>45537.0</v>
      </c>
      <c r="D557" s="6" t="s">
        <v>543</v>
      </c>
      <c r="E557" s="6" t="s">
        <v>3269</v>
      </c>
      <c r="F557" s="10"/>
      <c r="G557" s="6" t="s">
        <v>3270</v>
      </c>
      <c r="H557" s="6" t="s">
        <v>2921</v>
      </c>
      <c r="I557" s="17" t="b">
        <v>0</v>
      </c>
      <c r="J557" s="6" t="s">
        <v>546</v>
      </c>
      <c r="K557" s="10"/>
      <c r="L557" s="10"/>
      <c r="M557" s="10"/>
      <c r="N557" s="10"/>
      <c r="O557" s="18">
        <v>300.0</v>
      </c>
      <c r="P557" s="10"/>
      <c r="Q557" s="17" t="b">
        <v>1</v>
      </c>
      <c r="R557" s="10"/>
    </row>
    <row r="558">
      <c r="A558" s="6" t="s">
        <v>3272</v>
      </c>
      <c r="B558" s="6" t="s">
        <v>35</v>
      </c>
      <c r="C558" s="8">
        <v>45418.0</v>
      </c>
      <c r="D558" s="6" t="s">
        <v>193</v>
      </c>
      <c r="E558" s="6" t="s">
        <v>3274</v>
      </c>
      <c r="F558" s="10"/>
      <c r="G558" s="6" t="s">
        <v>3275</v>
      </c>
      <c r="H558" s="6" t="s">
        <v>195</v>
      </c>
      <c r="I558" s="17" t="b">
        <v>1</v>
      </c>
      <c r="J558" s="6" t="s">
        <v>546</v>
      </c>
      <c r="K558" s="10"/>
      <c r="L558" s="10"/>
      <c r="M558" s="10"/>
      <c r="N558" s="10"/>
      <c r="O558" s="18">
        <v>139.44</v>
      </c>
      <c r="P558" s="18">
        <v>887544.0</v>
      </c>
      <c r="Q558" s="17" t="b">
        <v>1</v>
      </c>
      <c r="R558" s="10"/>
    </row>
    <row r="559">
      <c r="A559" s="6" t="s">
        <v>3278</v>
      </c>
      <c r="B559" s="6" t="s">
        <v>35</v>
      </c>
      <c r="C559" s="8">
        <v>45514.0</v>
      </c>
      <c r="D559" s="6" t="s">
        <v>890</v>
      </c>
      <c r="E559" s="6" t="s">
        <v>3279</v>
      </c>
      <c r="F559" s="10"/>
      <c r="G559" s="6" t="s">
        <v>3281</v>
      </c>
      <c r="H559" s="6" t="s">
        <v>2894</v>
      </c>
      <c r="I559" s="17" t="b">
        <v>0</v>
      </c>
      <c r="J559" s="6" t="s">
        <v>546</v>
      </c>
      <c r="K559" s="10"/>
      <c r="L559" s="10"/>
      <c r="M559" s="10"/>
      <c r="N559" s="10"/>
      <c r="O559" s="18">
        <v>11706.44</v>
      </c>
      <c r="P559" s="10"/>
      <c r="Q559" s="17" t="b">
        <v>1</v>
      </c>
      <c r="R559" s="10"/>
    </row>
    <row r="560">
      <c r="A560" s="6" t="s">
        <v>3283</v>
      </c>
      <c r="B560" s="6" t="s">
        <v>35</v>
      </c>
      <c r="C560" s="8">
        <v>45532.0</v>
      </c>
      <c r="D560" s="18">
        <v>6.8893939E7</v>
      </c>
      <c r="E560" s="6" t="s">
        <v>3284</v>
      </c>
      <c r="F560" s="10"/>
      <c r="G560" s="6" t="s">
        <v>3286</v>
      </c>
      <c r="H560" s="6" t="s">
        <v>772</v>
      </c>
      <c r="I560" s="17" t="b">
        <v>0</v>
      </c>
      <c r="J560" s="6" t="s">
        <v>546</v>
      </c>
      <c r="K560" s="10"/>
      <c r="L560" s="10"/>
      <c r="M560" s="10"/>
      <c r="N560" s="10"/>
      <c r="O560" s="18">
        <v>1721.55</v>
      </c>
      <c r="P560" s="10"/>
      <c r="Q560" s="17" t="b">
        <v>1</v>
      </c>
      <c r="R560" s="10"/>
    </row>
    <row r="561">
      <c r="A561" s="6" t="s">
        <v>3288</v>
      </c>
      <c r="B561" s="6" t="s">
        <v>35</v>
      </c>
      <c r="C561" s="8">
        <v>45537.0</v>
      </c>
      <c r="D561" s="6" t="s">
        <v>890</v>
      </c>
      <c r="E561" s="6" t="s">
        <v>3290</v>
      </c>
      <c r="F561" s="10"/>
      <c r="G561" s="6" t="s">
        <v>3291</v>
      </c>
      <c r="H561" s="6" t="s">
        <v>1177</v>
      </c>
      <c r="I561" s="17" t="b">
        <v>0</v>
      </c>
      <c r="J561" s="6" t="s">
        <v>546</v>
      </c>
      <c r="K561" s="10"/>
      <c r="L561" s="10"/>
      <c r="M561" s="10"/>
      <c r="N561" s="10"/>
      <c r="O561" s="18">
        <v>10595.51</v>
      </c>
      <c r="P561" s="10"/>
      <c r="Q561" s="17" t="b">
        <v>1</v>
      </c>
      <c r="R561" s="10"/>
    </row>
    <row r="562">
      <c r="A562" s="6" t="s">
        <v>3294</v>
      </c>
      <c r="B562" s="6" t="s">
        <v>35</v>
      </c>
      <c r="C562" s="8">
        <v>45539.0</v>
      </c>
      <c r="D562" s="10"/>
      <c r="E562" s="10"/>
      <c r="F562" s="10"/>
      <c r="G562" s="10"/>
      <c r="H562" s="6" t="s">
        <v>3295</v>
      </c>
      <c r="I562" s="10"/>
      <c r="J562" s="6" t="s">
        <v>539</v>
      </c>
      <c r="K562" s="6" t="s">
        <v>664</v>
      </c>
      <c r="L562" s="10"/>
      <c r="M562" s="10"/>
      <c r="N562" s="10"/>
      <c r="O562" s="18">
        <v>1573.6</v>
      </c>
      <c r="P562" s="10"/>
      <c r="Q562" s="6"/>
      <c r="R562" s="10"/>
    </row>
    <row r="563">
      <c r="A563" s="6" t="s">
        <v>3297</v>
      </c>
      <c r="B563" s="6" t="s">
        <v>35</v>
      </c>
      <c r="C563" s="8">
        <v>45539.0</v>
      </c>
      <c r="D563" s="10"/>
      <c r="E563" s="10"/>
      <c r="F563" s="10"/>
      <c r="G563" s="10"/>
      <c r="H563" s="6" t="s">
        <v>3295</v>
      </c>
      <c r="I563" s="10"/>
      <c r="J563" s="6" t="s">
        <v>539</v>
      </c>
      <c r="K563" s="6" t="s">
        <v>658</v>
      </c>
      <c r="L563" s="10"/>
      <c r="M563" s="10"/>
      <c r="N563" s="10"/>
      <c r="O563" s="18">
        <v>1562.76</v>
      </c>
      <c r="P563" s="10"/>
      <c r="Q563" s="6"/>
      <c r="R563" s="10"/>
    </row>
    <row r="564">
      <c r="A564" s="6" t="s">
        <v>3299</v>
      </c>
      <c r="B564" s="6" t="s">
        <v>35</v>
      </c>
      <c r="C564" s="8">
        <v>45539.0</v>
      </c>
      <c r="D564" s="10"/>
      <c r="E564" s="10"/>
      <c r="F564" s="10"/>
      <c r="G564" s="10"/>
      <c r="H564" s="6" t="s">
        <v>3295</v>
      </c>
      <c r="I564" s="10"/>
      <c r="J564" s="6" t="s">
        <v>539</v>
      </c>
      <c r="K564" s="6" t="s">
        <v>2052</v>
      </c>
      <c r="L564" s="10"/>
      <c r="M564" s="10"/>
      <c r="N564" s="10"/>
      <c r="O564" s="18">
        <v>2097.49</v>
      </c>
      <c r="P564" s="10"/>
      <c r="Q564" s="6"/>
      <c r="R564" s="10"/>
    </row>
    <row r="565">
      <c r="A565" s="6" t="s">
        <v>3302</v>
      </c>
      <c r="B565" s="6" t="s">
        <v>35</v>
      </c>
      <c r="C565" s="8">
        <v>45539.0</v>
      </c>
      <c r="D565" s="10"/>
      <c r="E565" s="10"/>
      <c r="F565" s="10"/>
      <c r="G565" s="10"/>
      <c r="H565" s="6" t="s">
        <v>3295</v>
      </c>
      <c r="I565" s="10"/>
      <c r="J565" s="6" t="s">
        <v>539</v>
      </c>
      <c r="K565" s="6" t="s">
        <v>624</v>
      </c>
      <c r="L565" s="10"/>
      <c r="M565" s="10"/>
      <c r="N565" s="10"/>
      <c r="O565" s="18">
        <v>2529.06</v>
      </c>
      <c r="P565" s="10"/>
      <c r="Q565" s="6"/>
      <c r="R565" s="10"/>
    </row>
    <row r="566">
      <c r="A566" s="6" t="s">
        <v>3304</v>
      </c>
      <c r="B566" s="6" t="s">
        <v>35</v>
      </c>
      <c r="C566" s="8">
        <v>45539.0</v>
      </c>
      <c r="D566" s="10"/>
      <c r="E566" s="10"/>
      <c r="F566" s="10"/>
      <c r="G566" s="10"/>
      <c r="H566" s="6" t="s">
        <v>3295</v>
      </c>
      <c r="I566" s="10"/>
      <c r="J566" s="6" t="s">
        <v>539</v>
      </c>
      <c r="K566" s="6" t="s">
        <v>3306</v>
      </c>
      <c r="L566" s="10"/>
      <c r="M566" s="10"/>
      <c r="N566" s="10"/>
      <c r="O566" s="18">
        <v>1226.93</v>
      </c>
      <c r="P566" s="10"/>
      <c r="Q566" s="6"/>
      <c r="R566" s="10"/>
    </row>
    <row r="567">
      <c r="A567" s="6" t="s">
        <v>3307</v>
      </c>
      <c r="B567" s="6" t="s">
        <v>35</v>
      </c>
      <c r="C567" s="8">
        <v>45539.0</v>
      </c>
      <c r="D567" s="10"/>
      <c r="E567" s="10"/>
      <c r="F567" s="10"/>
      <c r="G567" s="10"/>
      <c r="H567" s="6" t="s">
        <v>3295</v>
      </c>
      <c r="I567" s="10"/>
      <c r="J567" s="6" t="s">
        <v>539</v>
      </c>
      <c r="K567" s="6" t="s">
        <v>227</v>
      </c>
      <c r="L567" s="10"/>
      <c r="M567" s="10"/>
      <c r="N567" s="10"/>
      <c r="O567" s="18">
        <v>1154.33</v>
      </c>
      <c r="P567" s="10"/>
      <c r="Q567" s="6"/>
      <c r="R567" s="10"/>
    </row>
    <row r="568">
      <c r="A568" s="6" t="s">
        <v>3309</v>
      </c>
      <c r="B568" s="6" t="s">
        <v>35</v>
      </c>
      <c r="C568" s="8">
        <v>45509.0</v>
      </c>
      <c r="D568" s="6" t="s">
        <v>890</v>
      </c>
      <c r="E568" s="6" t="s">
        <v>3311</v>
      </c>
      <c r="F568" s="10"/>
      <c r="G568" s="6" t="s">
        <v>3312</v>
      </c>
      <c r="H568" s="6" t="s">
        <v>1184</v>
      </c>
      <c r="I568" s="17" t="b">
        <v>0</v>
      </c>
      <c r="J568" s="6" t="s">
        <v>546</v>
      </c>
      <c r="K568" s="10"/>
      <c r="L568" s="10"/>
      <c r="M568" s="10"/>
      <c r="N568" s="10"/>
      <c r="O568" s="18">
        <v>6145.73</v>
      </c>
      <c r="P568" s="10"/>
      <c r="Q568" s="17" t="b">
        <v>1</v>
      </c>
      <c r="R568" s="10"/>
    </row>
    <row r="569">
      <c r="A569" s="6" t="s">
        <v>3314</v>
      </c>
      <c r="B569" s="6" t="s">
        <v>35</v>
      </c>
      <c r="C569" s="8">
        <v>45500.0</v>
      </c>
      <c r="D569" s="6" t="s">
        <v>193</v>
      </c>
      <c r="E569" s="6" t="s">
        <v>3315</v>
      </c>
      <c r="F569" s="10"/>
      <c r="G569" s="6" t="s">
        <v>3316</v>
      </c>
      <c r="H569" s="6" t="s">
        <v>767</v>
      </c>
      <c r="I569" s="17" t="b">
        <v>0</v>
      </c>
      <c r="J569" s="6" t="s">
        <v>546</v>
      </c>
      <c r="K569" s="10"/>
      <c r="L569" s="10"/>
      <c r="M569" s="10"/>
      <c r="N569" s="10"/>
      <c r="O569" s="18">
        <v>88.22</v>
      </c>
      <c r="P569" s="10"/>
      <c r="Q569" s="17" t="b">
        <v>1</v>
      </c>
      <c r="R569" s="10"/>
    </row>
    <row r="570">
      <c r="A570" s="6" t="s">
        <v>3318</v>
      </c>
      <c r="B570" s="6" t="s">
        <v>35</v>
      </c>
      <c r="C570" s="8">
        <v>45533.0</v>
      </c>
      <c r="D570" s="6" t="s">
        <v>559</v>
      </c>
      <c r="E570" s="6" t="s">
        <v>3319</v>
      </c>
      <c r="F570" s="10"/>
      <c r="G570" s="6" t="s">
        <v>3320</v>
      </c>
      <c r="H570" s="6" t="s">
        <v>767</v>
      </c>
      <c r="I570" s="17" t="b">
        <v>0</v>
      </c>
      <c r="J570" s="6" t="s">
        <v>546</v>
      </c>
      <c r="K570" s="10"/>
      <c r="L570" s="10"/>
      <c r="M570" s="10"/>
      <c r="N570" s="10"/>
      <c r="O570" s="18">
        <v>197.5</v>
      </c>
      <c r="P570" s="10"/>
      <c r="Q570" s="17" t="b">
        <v>1</v>
      </c>
      <c r="R570" s="10"/>
    </row>
    <row r="571">
      <c r="A571" s="6" t="s">
        <v>3322</v>
      </c>
      <c r="B571" s="6" t="s">
        <v>35</v>
      </c>
      <c r="C571" s="8">
        <v>45539.0</v>
      </c>
      <c r="D571" s="6" t="s">
        <v>112</v>
      </c>
      <c r="E571" s="6" t="s">
        <v>3324</v>
      </c>
      <c r="F571" s="10"/>
      <c r="G571" s="6" t="s">
        <v>3325</v>
      </c>
      <c r="H571" s="6" t="s">
        <v>3072</v>
      </c>
      <c r="I571" s="17" t="b">
        <v>0</v>
      </c>
      <c r="J571" s="6" t="s">
        <v>546</v>
      </c>
      <c r="K571" s="10"/>
      <c r="L571" s="10"/>
      <c r="M571" s="10"/>
      <c r="N571" s="10"/>
      <c r="O571" s="18">
        <v>360.5</v>
      </c>
      <c r="P571" s="10"/>
      <c r="Q571" s="17" t="b">
        <v>1</v>
      </c>
      <c r="R571" s="10"/>
    </row>
    <row r="572">
      <c r="A572" s="6" t="s">
        <v>3327</v>
      </c>
      <c r="B572" s="6" t="s">
        <v>35</v>
      </c>
      <c r="C572" s="8">
        <v>45539.0</v>
      </c>
      <c r="D572" s="6" t="s">
        <v>145</v>
      </c>
      <c r="E572" s="6" t="s">
        <v>3328</v>
      </c>
      <c r="F572" s="10"/>
      <c r="G572" s="6" t="s">
        <v>3329</v>
      </c>
      <c r="H572" s="6" t="s">
        <v>3330</v>
      </c>
      <c r="I572" s="17" t="b">
        <v>0</v>
      </c>
      <c r="J572" s="6" t="s">
        <v>546</v>
      </c>
      <c r="K572" s="10"/>
      <c r="L572" s="10"/>
      <c r="M572" s="10"/>
      <c r="N572" s="10"/>
      <c r="O572" s="18">
        <v>199.0</v>
      </c>
      <c r="P572" s="10"/>
      <c r="Q572" s="17" t="b">
        <v>1</v>
      </c>
      <c r="R572" s="10"/>
    </row>
    <row r="573">
      <c r="A573" s="6" t="s">
        <v>3332</v>
      </c>
      <c r="B573" s="6" t="s">
        <v>35</v>
      </c>
      <c r="C573" s="8">
        <v>45540.0</v>
      </c>
      <c r="D573" s="6" t="s">
        <v>890</v>
      </c>
      <c r="E573" s="10"/>
      <c r="F573" s="10"/>
      <c r="G573" s="10"/>
      <c r="H573" s="6" t="s">
        <v>3333</v>
      </c>
      <c r="I573" s="10"/>
      <c r="J573" s="6" t="s">
        <v>539</v>
      </c>
      <c r="K573" s="10"/>
      <c r="L573" s="10"/>
      <c r="M573" s="10"/>
      <c r="N573" s="10"/>
      <c r="O573" s="18">
        <v>19.04</v>
      </c>
      <c r="P573" s="10"/>
      <c r="Q573" s="6"/>
      <c r="R573" s="10"/>
    </row>
    <row r="574">
      <c r="A574" s="6" t="s">
        <v>3335</v>
      </c>
      <c r="B574" s="6" t="s">
        <v>35</v>
      </c>
      <c r="C574" s="8">
        <v>45540.0</v>
      </c>
      <c r="D574" s="6" t="s">
        <v>890</v>
      </c>
      <c r="E574" s="10"/>
      <c r="F574" s="10"/>
      <c r="G574" s="10"/>
      <c r="H574" s="6" t="s">
        <v>3337</v>
      </c>
      <c r="I574" s="10"/>
      <c r="J574" s="6" t="s">
        <v>539</v>
      </c>
      <c r="K574" s="10"/>
      <c r="L574" s="10"/>
      <c r="M574" s="10"/>
      <c r="N574" s="10"/>
      <c r="O574" s="18">
        <v>1853.66</v>
      </c>
      <c r="P574" s="10"/>
      <c r="Q574" s="6"/>
      <c r="R574" s="10"/>
    </row>
    <row r="575">
      <c r="A575" s="6" t="s">
        <v>3339</v>
      </c>
      <c r="B575" s="6" t="s">
        <v>35</v>
      </c>
      <c r="C575" s="8">
        <v>45540.0</v>
      </c>
      <c r="D575" s="6" t="s">
        <v>890</v>
      </c>
      <c r="E575" s="10"/>
      <c r="F575" s="10"/>
      <c r="G575" s="10"/>
      <c r="H575" s="6" t="s">
        <v>3341</v>
      </c>
      <c r="I575" s="10"/>
      <c r="J575" s="6" t="s">
        <v>539</v>
      </c>
      <c r="K575" s="10"/>
      <c r="L575" s="10"/>
      <c r="M575" s="10"/>
      <c r="N575" s="10"/>
      <c r="O575" s="18">
        <v>6.36</v>
      </c>
      <c r="P575" s="10"/>
      <c r="Q575" s="6"/>
      <c r="R575" s="10"/>
    </row>
    <row r="576">
      <c r="A576" s="6" t="s">
        <v>3343</v>
      </c>
      <c r="B576" s="6" t="s">
        <v>35</v>
      </c>
      <c r="C576" s="8">
        <v>45540.0</v>
      </c>
      <c r="D576" s="6" t="s">
        <v>890</v>
      </c>
      <c r="E576" s="10"/>
      <c r="F576" s="10"/>
      <c r="G576" s="10"/>
      <c r="H576" s="6" t="s">
        <v>3344</v>
      </c>
      <c r="I576" s="10"/>
      <c r="J576" s="6" t="s">
        <v>539</v>
      </c>
      <c r="K576" s="10"/>
      <c r="L576" s="10"/>
      <c r="M576" s="10"/>
      <c r="N576" s="10"/>
      <c r="O576" s="18">
        <v>2.14</v>
      </c>
      <c r="P576" s="10"/>
      <c r="Q576" s="6"/>
      <c r="R576" s="10"/>
    </row>
    <row r="577">
      <c r="A577" s="6" t="s">
        <v>3346</v>
      </c>
      <c r="B577" s="6" t="s">
        <v>35</v>
      </c>
      <c r="C577" s="8">
        <v>45542.0</v>
      </c>
      <c r="D577" s="10"/>
      <c r="E577" s="10"/>
      <c r="F577" s="10"/>
      <c r="G577" s="10"/>
      <c r="H577" s="6" t="s">
        <v>2770</v>
      </c>
      <c r="I577" s="10"/>
      <c r="J577" s="6" t="s">
        <v>539</v>
      </c>
      <c r="K577" s="6" t="s">
        <v>664</v>
      </c>
      <c r="L577" s="10"/>
      <c r="M577" s="10"/>
      <c r="N577" s="10"/>
      <c r="O577" s="18">
        <v>375.0</v>
      </c>
      <c r="P577" s="10"/>
      <c r="Q577" s="6"/>
      <c r="R577" s="10"/>
    </row>
    <row r="578">
      <c r="A578" s="6" t="s">
        <v>3348</v>
      </c>
      <c r="B578" s="6" t="s">
        <v>35</v>
      </c>
      <c r="C578" s="8">
        <v>45537.0</v>
      </c>
      <c r="D578" s="6" t="s">
        <v>890</v>
      </c>
      <c r="E578" s="6" t="s">
        <v>3349</v>
      </c>
      <c r="F578" s="10"/>
      <c r="G578" s="6" t="s">
        <v>3351</v>
      </c>
      <c r="H578" s="6" t="s">
        <v>2072</v>
      </c>
      <c r="I578" s="17" t="b">
        <v>0</v>
      </c>
      <c r="J578" s="6" t="s">
        <v>546</v>
      </c>
      <c r="K578" s="10"/>
      <c r="L578" s="10"/>
      <c r="M578" s="10"/>
      <c r="N578" s="10"/>
      <c r="O578" s="18">
        <v>7638.23</v>
      </c>
      <c r="P578" s="10"/>
      <c r="Q578" s="17" t="b">
        <v>1</v>
      </c>
      <c r="R578" s="10"/>
    </row>
    <row r="579">
      <c r="A579" s="6" t="s">
        <v>3353</v>
      </c>
      <c r="B579" s="6" t="s">
        <v>35</v>
      </c>
      <c r="C579" s="8">
        <v>45540.0</v>
      </c>
      <c r="D579" s="6" t="s">
        <v>3354</v>
      </c>
      <c r="E579" s="6" t="s">
        <v>3355</v>
      </c>
      <c r="F579" s="10"/>
      <c r="G579" s="6" t="s">
        <v>3356</v>
      </c>
      <c r="H579" s="6" t="s">
        <v>3357</v>
      </c>
      <c r="I579" s="17" t="b">
        <v>0</v>
      </c>
      <c r="J579" s="6" t="s">
        <v>546</v>
      </c>
      <c r="K579" s="10"/>
      <c r="L579" s="10"/>
      <c r="M579" s="10"/>
      <c r="N579" s="10"/>
      <c r="O579" s="18">
        <v>550.0</v>
      </c>
      <c r="P579" s="10"/>
      <c r="Q579" s="17" t="b">
        <v>1</v>
      </c>
      <c r="R579" s="10"/>
    </row>
    <row r="580">
      <c r="A580" s="18">
        <v>4.7954973E7</v>
      </c>
      <c r="B580" s="6" t="s">
        <v>35</v>
      </c>
      <c r="C580" s="8">
        <v>45540.0</v>
      </c>
      <c r="D580" s="6" t="s">
        <v>2644</v>
      </c>
      <c r="E580" s="6" t="s">
        <v>3359</v>
      </c>
      <c r="F580" s="10"/>
      <c r="G580" s="6" t="s">
        <v>3360</v>
      </c>
      <c r="H580" s="6" t="s">
        <v>767</v>
      </c>
      <c r="I580" s="17" t="b">
        <v>0</v>
      </c>
      <c r="J580" s="6" t="s">
        <v>546</v>
      </c>
      <c r="K580" s="10"/>
      <c r="L580" s="10"/>
      <c r="M580" s="10"/>
      <c r="N580" s="10"/>
      <c r="O580" s="18">
        <v>737.0</v>
      </c>
      <c r="P580" s="10"/>
      <c r="Q580" s="17" t="b">
        <v>1</v>
      </c>
      <c r="R580" s="10"/>
    </row>
    <row r="581">
      <c r="A581" s="6" t="s">
        <v>3362</v>
      </c>
      <c r="B581" s="6" t="s">
        <v>35</v>
      </c>
      <c r="C581" s="8">
        <v>45541.0</v>
      </c>
      <c r="D581" s="6" t="s">
        <v>112</v>
      </c>
      <c r="E581" s="6" t="s">
        <v>3364</v>
      </c>
      <c r="F581" s="10"/>
      <c r="G581" s="6" t="s">
        <v>3365</v>
      </c>
      <c r="H581" s="6" t="s">
        <v>2959</v>
      </c>
      <c r="I581" s="17" t="b">
        <v>0</v>
      </c>
      <c r="J581" s="6" t="s">
        <v>546</v>
      </c>
      <c r="K581" s="10"/>
      <c r="L581" s="10"/>
      <c r="M581" s="10"/>
      <c r="N581" s="10"/>
      <c r="O581" s="18">
        <v>482.5</v>
      </c>
      <c r="P581" s="10"/>
      <c r="Q581" s="17" t="b">
        <v>1</v>
      </c>
      <c r="R581" s="10"/>
    </row>
    <row r="582">
      <c r="A582" s="6" t="s">
        <v>3367</v>
      </c>
      <c r="B582" s="6" t="s">
        <v>35</v>
      </c>
      <c r="C582" s="8">
        <v>45541.0</v>
      </c>
      <c r="D582" s="6" t="s">
        <v>543</v>
      </c>
      <c r="E582" s="6" t="s">
        <v>3368</v>
      </c>
      <c r="F582" s="10"/>
      <c r="G582" s="6" t="s">
        <v>3369</v>
      </c>
      <c r="H582" s="6" t="s">
        <v>3014</v>
      </c>
      <c r="I582" s="17" t="b">
        <v>0</v>
      </c>
      <c r="J582" s="6" t="s">
        <v>546</v>
      </c>
      <c r="K582" s="10"/>
      <c r="L582" s="10"/>
      <c r="M582" s="10"/>
      <c r="N582" s="10"/>
      <c r="O582" s="18">
        <v>240.0</v>
      </c>
      <c r="P582" s="10"/>
      <c r="Q582" s="17" t="b">
        <v>1</v>
      </c>
      <c r="R582" s="10"/>
    </row>
    <row r="583">
      <c r="A583" s="6" t="s">
        <v>3371</v>
      </c>
      <c r="B583" s="6" t="s">
        <v>35</v>
      </c>
      <c r="C583" s="8">
        <v>45543.0</v>
      </c>
      <c r="D583" s="6" t="s">
        <v>2439</v>
      </c>
      <c r="E583" s="6" t="s">
        <v>3373</v>
      </c>
      <c r="F583" s="10"/>
      <c r="G583" s="6" t="s">
        <v>3374</v>
      </c>
      <c r="H583" s="6" t="s">
        <v>3375</v>
      </c>
      <c r="I583" s="17" t="b">
        <v>0</v>
      </c>
      <c r="J583" s="6" t="s">
        <v>546</v>
      </c>
      <c r="K583" s="10"/>
      <c r="L583" s="10"/>
      <c r="M583" s="10"/>
      <c r="N583" s="10"/>
      <c r="O583" s="18">
        <v>211.0</v>
      </c>
      <c r="P583" s="10"/>
      <c r="Q583" s="17" t="b">
        <v>1</v>
      </c>
      <c r="R583" s="10"/>
    </row>
    <row r="584">
      <c r="A584" s="6" t="s">
        <v>3377</v>
      </c>
      <c r="B584" s="6" t="s">
        <v>35</v>
      </c>
      <c r="C584" s="8">
        <v>45544.0</v>
      </c>
      <c r="D584" s="6" t="s">
        <v>543</v>
      </c>
      <c r="E584" s="6" t="s">
        <v>3378</v>
      </c>
      <c r="F584" s="10"/>
      <c r="G584" s="6" t="s">
        <v>3379</v>
      </c>
      <c r="H584" s="6" t="s">
        <v>59</v>
      </c>
      <c r="I584" s="17" t="b">
        <v>0</v>
      </c>
      <c r="J584" s="6" t="s">
        <v>546</v>
      </c>
      <c r="K584" s="10"/>
      <c r="L584" s="10"/>
      <c r="M584" s="10"/>
      <c r="N584" s="10"/>
      <c r="O584" s="18">
        <v>210.0</v>
      </c>
      <c r="P584" s="10"/>
      <c r="Q584" s="17" t="b">
        <v>1</v>
      </c>
      <c r="R584" s="10"/>
    </row>
    <row r="585">
      <c r="A585" s="6" t="s">
        <v>3382</v>
      </c>
      <c r="B585" s="6" t="s">
        <v>35</v>
      </c>
      <c r="C585" s="8">
        <v>45544.0</v>
      </c>
      <c r="D585" s="6" t="s">
        <v>460</v>
      </c>
      <c r="E585" s="10"/>
      <c r="F585" s="10"/>
      <c r="G585" s="10"/>
      <c r="H585" s="6" t="s">
        <v>3383</v>
      </c>
      <c r="I585" s="10"/>
      <c r="J585" s="6" t="s">
        <v>539</v>
      </c>
      <c r="K585" s="10"/>
      <c r="L585" s="10"/>
      <c r="M585" s="10"/>
      <c r="N585" s="10"/>
      <c r="O585" s="18">
        <v>1555.0</v>
      </c>
      <c r="P585" s="10"/>
      <c r="Q585" s="6"/>
      <c r="R585" s="10"/>
    </row>
    <row r="586">
      <c r="A586" s="6" t="s">
        <v>3385</v>
      </c>
      <c r="B586" s="6" t="s">
        <v>35</v>
      </c>
      <c r="C586" s="8">
        <v>45544.0</v>
      </c>
      <c r="D586" s="10"/>
      <c r="E586" s="10"/>
      <c r="F586" s="10"/>
      <c r="G586" s="10"/>
      <c r="H586" s="6" t="s">
        <v>1329</v>
      </c>
      <c r="I586" s="10"/>
      <c r="J586" s="6" t="s">
        <v>539</v>
      </c>
      <c r="K586" s="6" t="s">
        <v>658</v>
      </c>
      <c r="L586" s="10"/>
      <c r="M586" s="10"/>
      <c r="N586" s="10"/>
      <c r="O586" s="18">
        <v>500.0</v>
      </c>
      <c r="P586" s="10"/>
      <c r="Q586" s="6"/>
      <c r="R586" s="10"/>
    </row>
    <row r="587">
      <c r="A587" s="6" t="s">
        <v>3389</v>
      </c>
      <c r="B587" s="6" t="s">
        <v>35</v>
      </c>
      <c r="C587" s="8">
        <v>45541.0</v>
      </c>
      <c r="D587" s="18">
        <v>6.8893939E7</v>
      </c>
      <c r="E587" s="6" t="s">
        <v>3391</v>
      </c>
      <c r="F587" s="10"/>
      <c r="G587" s="6" t="s">
        <v>3392</v>
      </c>
      <c r="H587" s="6" t="s">
        <v>605</v>
      </c>
      <c r="I587" s="17" t="b">
        <v>0</v>
      </c>
      <c r="J587" s="6" t="s">
        <v>546</v>
      </c>
      <c r="K587" s="10"/>
      <c r="L587" s="10"/>
      <c r="M587" s="10"/>
      <c r="N587" s="10"/>
      <c r="O587" s="18">
        <v>1959.6</v>
      </c>
      <c r="P587" s="10"/>
      <c r="Q587" s="17" t="b">
        <v>1</v>
      </c>
      <c r="R587" s="10"/>
    </row>
    <row r="588">
      <c r="A588" s="6" t="s">
        <v>3394</v>
      </c>
      <c r="B588" s="6" t="s">
        <v>35</v>
      </c>
      <c r="C588" s="8">
        <v>45544.0</v>
      </c>
      <c r="D588" s="6" t="s">
        <v>112</v>
      </c>
      <c r="E588" s="6" t="s">
        <v>3395</v>
      </c>
      <c r="F588" s="10"/>
      <c r="G588" s="6" t="s">
        <v>3396</v>
      </c>
      <c r="H588" s="6" t="s">
        <v>3397</v>
      </c>
      <c r="I588" s="17" t="b">
        <v>0</v>
      </c>
      <c r="J588" s="6" t="s">
        <v>546</v>
      </c>
      <c r="K588" s="10"/>
      <c r="L588" s="10"/>
      <c r="M588" s="10"/>
      <c r="N588" s="10"/>
      <c r="O588" s="18">
        <v>175.1</v>
      </c>
      <c r="P588" s="10"/>
      <c r="Q588" s="17" t="b">
        <v>1</v>
      </c>
      <c r="R588" s="10"/>
    </row>
    <row r="589">
      <c r="A589" s="6" t="s">
        <v>3399</v>
      </c>
      <c r="B589" s="6" t="s">
        <v>35</v>
      </c>
      <c r="C589" s="8">
        <v>45545.0</v>
      </c>
      <c r="D589" s="6" t="s">
        <v>890</v>
      </c>
      <c r="E589" s="10"/>
      <c r="F589" s="10"/>
      <c r="G589" s="10"/>
      <c r="H589" s="6" t="s">
        <v>3401</v>
      </c>
      <c r="I589" s="10"/>
      <c r="J589" s="6" t="s">
        <v>539</v>
      </c>
      <c r="K589" s="10"/>
      <c r="L589" s="10"/>
      <c r="M589" s="10"/>
      <c r="N589" s="10"/>
      <c r="O589" s="18">
        <v>250.0</v>
      </c>
      <c r="P589" s="10"/>
      <c r="Q589" s="6"/>
      <c r="R589" s="10"/>
    </row>
    <row r="590">
      <c r="A590" s="6" t="s">
        <v>3402</v>
      </c>
      <c r="B590" s="6" t="s">
        <v>35</v>
      </c>
      <c r="C590" s="8">
        <v>45545.0</v>
      </c>
      <c r="D590" s="6" t="s">
        <v>2613</v>
      </c>
      <c r="E590" s="6" t="s">
        <v>3404</v>
      </c>
      <c r="F590" s="10"/>
      <c r="G590" s="6" t="s">
        <v>3405</v>
      </c>
      <c r="H590" s="6" t="s">
        <v>3406</v>
      </c>
      <c r="I590" s="17" t="b">
        <v>0</v>
      </c>
      <c r="J590" s="6" t="s">
        <v>546</v>
      </c>
      <c r="K590" s="10"/>
      <c r="L590" s="10"/>
      <c r="M590" s="10"/>
      <c r="N590" s="10"/>
      <c r="O590" s="18">
        <v>70.8</v>
      </c>
      <c r="P590" s="10"/>
      <c r="Q590" s="17" t="b">
        <v>1</v>
      </c>
      <c r="R590" s="10"/>
    </row>
    <row r="591">
      <c r="A591" s="6" t="s">
        <v>3408</v>
      </c>
      <c r="B591" s="6" t="s">
        <v>35</v>
      </c>
      <c r="C591" s="8">
        <v>45546.0</v>
      </c>
      <c r="D591" s="10"/>
      <c r="E591" s="10"/>
      <c r="F591" s="10"/>
      <c r="G591" s="10"/>
      <c r="H591" s="6" t="s">
        <v>3409</v>
      </c>
      <c r="I591" s="10"/>
      <c r="J591" s="6" t="s">
        <v>539</v>
      </c>
      <c r="K591" s="6" t="s">
        <v>624</v>
      </c>
      <c r="L591" s="10"/>
      <c r="M591" s="10"/>
      <c r="N591" s="10"/>
      <c r="O591" s="18">
        <v>925.6</v>
      </c>
      <c r="P591" s="10"/>
      <c r="Q591" s="6"/>
      <c r="R591" s="10"/>
    </row>
    <row r="592">
      <c r="A592" s="6" t="s">
        <v>3411</v>
      </c>
      <c r="B592" s="6" t="s">
        <v>35</v>
      </c>
      <c r="C592" s="8">
        <v>45546.0</v>
      </c>
      <c r="D592" s="6" t="s">
        <v>2248</v>
      </c>
      <c r="E592" s="10"/>
      <c r="F592" s="10"/>
      <c r="G592" s="10"/>
      <c r="H592" s="6" t="s">
        <v>2549</v>
      </c>
      <c r="I592" s="10"/>
      <c r="J592" s="6" t="s">
        <v>539</v>
      </c>
      <c r="K592" s="10"/>
      <c r="L592" s="10"/>
      <c r="M592" s="10"/>
      <c r="N592" s="10"/>
      <c r="O592" s="18">
        <v>353.77</v>
      </c>
      <c r="P592" s="10"/>
      <c r="Q592" s="6"/>
      <c r="R592" s="10"/>
    </row>
    <row r="593">
      <c r="A593" s="6" t="s">
        <v>3413</v>
      </c>
      <c r="B593" s="6" t="s">
        <v>35</v>
      </c>
      <c r="C593" s="8">
        <v>45546.0</v>
      </c>
      <c r="D593" s="6" t="s">
        <v>112</v>
      </c>
      <c r="E593" s="6" t="s">
        <v>3415</v>
      </c>
      <c r="F593" s="10"/>
      <c r="G593" s="6" t="s">
        <v>3416</v>
      </c>
      <c r="H593" s="6" t="s">
        <v>415</v>
      </c>
      <c r="I593" s="17" t="b">
        <v>0</v>
      </c>
      <c r="J593" s="6" t="s">
        <v>546</v>
      </c>
      <c r="K593" s="10"/>
      <c r="L593" s="10"/>
      <c r="M593" s="10"/>
      <c r="N593" s="10"/>
      <c r="O593" s="18">
        <v>400.0</v>
      </c>
      <c r="P593" s="10"/>
      <c r="Q593" s="17" t="b">
        <v>1</v>
      </c>
      <c r="R593" s="10"/>
    </row>
    <row r="594">
      <c r="A594" s="6" t="s">
        <v>3418</v>
      </c>
      <c r="B594" s="6" t="s">
        <v>35</v>
      </c>
      <c r="C594" s="8">
        <v>45546.0</v>
      </c>
      <c r="D594" s="6" t="s">
        <v>112</v>
      </c>
      <c r="E594" s="6" t="s">
        <v>3419</v>
      </c>
      <c r="F594" s="10"/>
      <c r="G594" s="6" t="s">
        <v>3420</v>
      </c>
      <c r="H594" s="6" t="s">
        <v>45</v>
      </c>
      <c r="I594" s="17" t="b">
        <v>0</v>
      </c>
      <c r="J594" s="6" t="s">
        <v>546</v>
      </c>
      <c r="K594" s="10"/>
      <c r="L594" s="10"/>
      <c r="M594" s="10"/>
      <c r="N594" s="10"/>
      <c r="O594" s="18">
        <v>179.95</v>
      </c>
      <c r="P594" s="10"/>
      <c r="Q594" s="17" t="b">
        <v>1</v>
      </c>
      <c r="R594" s="10"/>
    </row>
    <row r="595">
      <c r="A595" s="6" t="s">
        <v>3422</v>
      </c>
      <c r="B595" s="6" t="s">
        <v>35</v>
      </c>
      <c r="C595" s="8">
        <v>45546.0</v>
      </c>
      <c r="D595" s="6" t="s">
        <v>112</v>
      </c>
      <c r="E595" s="6" t="s">
        <v>3419</v>
      </c>
      <c r="F595" s="10"/>
      <c r="G595" s="6" t="s">
        <v>3424</v>
      </c>
      <c r="H595" s="6" t="s">
        <v>45</v>
      </c>
      <c r="I595" s="17" t="b">
        <v>0</v>
      </c>
      <c r="J595" s="6" t="s">
        <v>546</v>
      </c>
      <c r="K595" s="10"/>
      <c r="L595" s="10"/>
      <c r="M595" s="10"/>
      <c r="N595" s="10"/>
      <c r="O595" s="18">
        <v>161.0</v>
      </c>
      <c r="P595" s="10"/>
      <c r="Q595" s="17" t="b">
        <v>1</v>
      </c>
      <c r="R595" s="10"/>
    </row>
    <row r="596">
      <c r="A596" s="6" t="s">
        <v>3426</v>
      </c>
      <c r="B596" s="6" t="s">
        <v>35</v>
      </c>
      <c r="C596" s="8">
        <v>45546.0</v>
      </c>
      <c r="D596" s="6" t="s">
        <v>3427</v>
      </c>
      <c r="E596" s="6" t="s">
        <v>3428</v>
      </c>
      <c r="F596" s="10"/>
      <c r="G596" s="6" t="s">
        <v>3429</v>
      </c>
      <c r="H596" s="6" t="s">
        <v>3430</v>
      </c>
      <c r="I596" s="17" t="b">
        <v>0</v>
      </c>
      <c r="J596" s="6" t="s">
        <v>546</v>
      </c>
      <c r="K596" s="10"/>
      <c r="L596" s="10"/>
      <c r="M596" s="10"/>
      <c r="N596" s="10"/>
      <c r="O596" s="18">
        <v>1401.15</v>
      </c>
      <c r="P596" s="10"/>
      <c r="Q596" s="17" t="b">
        <v>1</v>
      </c>
      <c r="R596" s="10"/>
    </row>
    <row r="597">
      <c r="A597" s="6" t="s">
        <v>3432</v>
      </c>
      <c r="B597" s="6" t="s">
        <v>35</v>
      </c>
      <c r="C597" s="8">
        <v>45547.0</v>
      </c>
      <c r="D597" s="6" t="s">
        <v>112</v>
      </c>
      <c r="E597" s="6" t="s">
        <v>3433</v>
      </c>
      <c r="F597" s="10"/>
      <c r="G597" s="6" t="s">
        <v>3435</v>
      </c>
      <c r="H597" s="6" t="s">
        <v>45</v>
      </c>
      <c r="I597" s="17" t="b">
        <v>0</v>
      </c>
      <c r="J597" s="6" t="s">
        <v>546</v>
      </c>
      <c r="K597" s="10"/>
      <c r="L597" s="10"/>
      <c r="M597" s="10"/>
      <c r="N597" s="10"/>
      <c r="O597" s="18">
        <v>368.17</v>
      </c>
      <c r="P597" s="10"/>
      <c r="Q597" s="17" t="b">
        <v>1</v>
      </c>
      <c r="R597" s="10"/>
    </row>
    <row r="598">
      <c r="A598" s="6" t="s">
        <v>3436</v>
      </c>
      <c r="B598" s="6" t="s">
        <v>35</v>
      </c>
      <c r="C598" s="8">
        <v>45547.0</v>
      </c>
      <c r="D598" s="6" t="s">
        <v>1557</v>
      </c>
      <c r="E598" s="6" t="s">
        <v>3438</v>
      </c>
      <c r="F598" s="10"/>
      <c r="G598" s="6" t="s">
        <v>3439</v>
      </c>
      <c r="H598" s="6" t="s">
        <v>3440</v>
      </c>
      <c r="I598" s="17" t="b">
        <v>0</v>
      </c>
      <c r="J598" s="6" t="s">
        <v>546</v>
      </c>
      <c r="K598" s="10"/>
      <c r="L598" s="10"/>
      <c r="M598" s="10"/>
      <c r="N598" s="10"/>
      <c r="O598" s="18">
        <v>110.0</v>
      </c>
      <c r="P598" s="10"/>
      <c r="Q598" s="17" t="b">
        <v>1</v>
      </c>
      <c r="R598" s="10"/>
    </row>
    <row r="599">
      <c r="A599" s="6" t="s">
        <v>3442</v>
      </c>
      <c r="B599" s="6" t="s">
        <v>35</v>
      </c>
      <c r="C599" s="8">
        <v>45547.0</v>
      </c>
      <c r="D599" s="6" t="s">
        <v>1414</v>
      </c>
      <c r="E599" s="6" t="s">
        <v>3443</v>
      </c>
      <c r="F599" s="10"/>
      <c r="G599" s="6" t="s">
        <v>3444</v>
      </c>
      <c r="H599" s="6" t="s">
        <v>3445</v>
      </c>
      <c r="I599" s="17" t="b">
        <v>0</v>
      </c>
      <c r="J599" s="6" t="s">
        <v>546</v>
      </c>
      <c r="K599" s="10"/>
      <c r="L599" s="10"/>
      <c r="M599" s="10"/>
      <c r="N599" s="10"/>
      <c r="O599" s="18">
        <v>50.0</v>
      </c>
      <c r="P599" s="10"/>
      <c r="Q599" s="17" t="b">
        <v>1</v>
      </c>
      <c r="R599" s="10"/>
    </row>
    <row r="600">
      <c r="A600" s="6" t="s">
        <v>3448</v>
      </c>
      <c r="B600" s="6" t="s">
        <v>35</v>
      </c>
      <c r="C600" s="8">
        <v>45548.0</v>
      </c>
      <c r="D600" s="6" t="s">
        <v>112</v>
      </c>
      <c r="E600" s="6" t="s">
        <v>3449</v>
      </c>
      <c r="F600" s="10"/>
      <c r="G600" s="6" t="s">
        <v>3451</v>
      </c>
      <c r="H600" s="6" t="s">
        <v>2959</v>
      </c>
      <c r="I600" s="17" t="b">
        <v>0</v>
      </c>
      <c r="J600" s="6" t="s">
        <v>546</v>
      </c>
      <c r="K600" s="10"/>
      <c r="L600" s="10"/>
      <c r="M600" s="10"/>
      <c r="N600" s="10"/>
      <c r="O600" s="18">
        <v>175.0</v>
      </c>
      <c r="P600" s="10"/>
      <c r="Q600" s="17" t="b">
        <v>1</v>
      </c>
      <c r="R600" s="10"/>
    </row>
    <row r="601">
      <c r="A601" s="6" t="s">
        <v>3452</v>
      </c>
      <c r="B601" s="6" t="s">
        <v>35</v>
      </c>
      <c r="C601" s="8">
        <v>45548.0</v>
      </c>
      <c r="D601" s="6" t="s">
        <v>543</v>
      </c>
      <c r="E601" s="6" t="s">
        <v>3454</v>
      </c>
      <c r="F601" s="10"/>
      <c r="G601" s="6" t="s">
        <v>3455</v>
      </c>
      <c r="H601" s="6" t="s">
        <v>2921</v>
      </c>
      <c r="I601" s="17" t="b">
        <v>0</v>
      </c>
      <c r="J601" s="6" t="s">
        <v>546</v>
      </c>
      <c r="K601" s="10"/>
      <c r="L601" s="10"/>
      <c r="M601" s="10"/>
      <c r="N601" s="10"/>
      <c r="O601" s="18">
        <v>120.0</v>
      </c>
      <c r="P601" s="10"/>
      <c r="Q601" s="17" t="b">
        <v>1</v>
      </c>
      <c r="R601" s="10"/>
    </row>
    <row r="602">
      <c r="A602" s="6" t="s">
        <v>3457</v>
      </c>
      <c r="B602" s="6" t="s">
        <v>35</v>
      </c>
      <c r="C602" s="8">
        <v>45548.0</v>
      </c>
      <c r="D602" s="6" t="s">
        <v>193</v>
      </c>
      <c r="E602" s="6" t="s">
        <v>3458</v>
      </c>
      <c r="F602" s="10"/>
      <c r="G602" s="6" t="s">
        <v>3460</v>
      </c>
      <c r="H602" s="6" t="s">
        <v>767</v>
      </c>
      <c r="I602" s="17" t="b">
        <v>0</v>
      </c>
      <c r="J602" s="6" t="s">
        <v>546</v>
      </c>
      <c r="K602" s="10"/>
      <c r="L602" s="10"/>
      <c r="M602" s="10"/>
      <c r="N602" s="10"/>
      <c r="O602" s="18">
        <v>243.24</v>
      </c>
      <c r="P602" s="10"/>
      <c r="Q602" s="17" t="b">
        <v>1</v>
      </c>
      <c r="R602" s="10"/>
    </row>
    <row r="603">
      <c r="A603" s="6" t="s">
        <v>3461</v>
      </c>
      <c r="B603" s="6" t="s">
        <v>35</v>
      </c>
      <c r="C603" s="8">
        <v>45551.0</v>
      </c>
      <c r="D603" s="6" t="s">
        <v>1160</v>
      </c>
      <c r="E603" s="10"/>
      <c r="F603" s="10"/>
      <c r="G603" s="10"/>
      <c r="H603" s="6" t="s">
        <v>3463</v>
      </c>
      <c r="I603" s="10"/>
      <c r="J603" s="6" t="s">
        <v>539</v>
      </c>
      <c r="K603" s="10"/>
      <c r="L603" s="10"/>
      <c r="M603" s="10"/>
      <c r="N603" s="10"/>
      <c r="O603" s="18">
        <v>3145.0</v>
      </c>
      <c r="P603" s="10"/>
      <c r="Q603" s="6"/>
      <c r="R603" s="10"/>
    </row>
    <row r="604">
      <c r="A604" s="6" t="s">
        <v>3465</v>
      </c>
      <c r="B604" s="6" t="s">
        <v>35</v>
      </c>
      <c r="C604" s="8">
        <v>45551.0</v>
      </c>
      <c r="D604" s="6" t="s">
        <v>460</v>
      </c>
      <c r="E604" s="10"/>
      <c r="F604" s="10"/>
      <c r="G604" s="10"/>
      <c r="H604" s="6" t="s">
        <v>3466</v>
      </c>
      <c r="I604" s="10"/>
      <c r="J604" s="6" t="s">
        <v>539</v>
      </c>
      <c r="K604" s="10"/>
      <c r="L604" s="10"/>
      <c r="M604" s="10"/>
      <c r="N604" s="10"/>
      <c r="O604" s="18">
        <v>20.0</v>
      </c>
      <c r="P604" s="10"/>
      <c r="Q604" s="6"/>
      <c r="R604" s="10"/>
    </row>
    <row r="605">
      <c r="A605" s="6" t="s">
        <v>3468</v>
      </c>
      <c r="B605" s="6" t="s">
        <v>35</v>
      </c>
      <c r="C605" s="8">
        <v>45547.0</v>
      </c>
      <c r="D605" s="6" t="s">
        <v>764</v>
      </c>
      <c r="E605" s="6" t="s">
        <v>3469</v>
      </c>
      <c r="F605" s="10"/>
      <c r="G605" s="6" t="s">
        <v>3470</v>
      </c>
      <c r="H605" s="6" t="s">
        <v>195</v>
      </c>
      <c r="I605" s="17" t="b">
        <v>0</v>
      </c>
      <c r="J605" s="6" t="s">
        <v>546</v>
      </c>
      <c r="K605" s="10"/>
      <c r="L605" s="10"/>
      <c r="M605" s="10"/>
      <c r="N605" s="10"/>
      <c r="O605" s="18">
        <v>1454.25</v>
      </c>
      <c r="P605" s="10"/>
      <c r="Q605" s="17" t="b">
        <v>1</v>
      </c>
      <c r="R605" s="10"/>
    </row>
    <row r="606">
      <c r="A606" s="6" t="s">
        <v>3472</v>
      </c>
      <c r="B606" s="6" t="s">
        <v>35</v>
      </c>
      <c r="C606" s="8">
        <v>45552.0</v>
      </c>
      <c r="D606" s="6" t="s">
        <v>3473</v>
      </c>
      <c r="E606" s="10"/>
      <c r="F606" s="10"/>
      <c r="G606" s="10"/>
      <c r="H606" s="6" t="s">
        <v>3475</v>
      </c>
      <c r="I606" s="10"/>
      <c r="J606" s="6" t="s">
        <v>539</v>
      </c>
      <c r="K606" s="10"/>
      <c r="L606" s="10"/>
      <c r="M606" s="10"/>
      <c r="N606" s="10"/>
      <c r="O606" s="18">
        <v>700.0</v>
      </c>
      <c r="P606" s="10"/>
      <c r="Q606" s="6"/>
      <c r="R606" s="10"/>
    </row>
    <row r="607">
      <c r="A607" s="6" t="s">
        <v>3476</v>
      </c>
      <c r="B607" s="6" t="s">
        <v>35</v>
      </c>
      <c r="C607" s="8">
        <v>45553.0</v>
      </c>
      <c r="D607" s="6" t="s">
        <v>112</v>
      </c>
      <c r="E607" s="6" t="s">
        <v>3478</v>
      </c>
      <c r="F607" s="10"/>
      <c r="G607" s="6" t="s">
        <v>3479</v>
      </c>
      <c r="H607" s="6" t="s">
        <v>2959</v>
      </c>
      <c r="I607" s="17" t="b">
        <v>0</v>
      </c>
      <c r="J607" s="6" t="s">
        <v>546</v>
      </c>
      <c r="K607" s="10"/>
      <c r="L607" s="10"/>
      <c r="M607" s="10"/>
      <c r="N607" s="10"/>
      <c r="O607" s="18">
        <v>53.11</v>
      </c>
      <c r="P607" s="10"/>
      <c r="Q607" s="17" t="b">
        <v>1</v>
      </c>
      <c r="R607" s="10"/>
    </row>
    <row r="608">
      <c r="A608" s="6" t="s">
        <v>3481</v>
      </c>
      <c r="B608" s="6" t="s">
        <v>35</v>
      </c>
      <c r="C608" s="8">
        <v>45554.0</v>
      </c>
      <c r="D608" s="10"/>
      <c r="E608" s="10"/>
      <c r="F608" s="10"/>
      <c r="G608" s="10"/>
      <c r="H608" s="6" t="s">
        <v>1329</v>
      </c>
      <c r="I608" s="10"/>
      <c r="J608" s="6" t="s">
        <v>539</v>
      </c>
      <c r="K608" s="6" t="s">
        <v>227</v>
      </c>
      <c r="L608" s="10"/>
      <c r="M608" s="10"/>
      <c r="N608" s="10"/>
      <c r="O608" s="18">
        <v>400.0</v>
      </c>
      <c r="P608" s="10"/>
      <c r="Q608" s="6"/>
      <c r="R608" s="10"/>
    </row>
    <row r="609">
      <c r="A609" s="6" t="s">
        <v>3483</v>
      </c>
      <c r="B609" s="6" t="s">
        <v>35</v>
      </c>
      <c r="C609" s="8">
        <v>45555.0</v>
      </c>
      <c r="D609" s="6" t="s">
        <v>112</v>
      </c>
      <c r="E609" s="6" t="s">
        <v>3485</v>
      </c>
      <c r="F609" s="10"/>
      <c r="G609" s="6" t="s">
        <v>3486</v>
      </c>
      <c r="H609" s="6" t="s">
        <v>45</v>
      </c>
      <c r="I609" s="17" t="b">
        <v>0</v>
      </c>
      <c r="J609" s="6" t="s">
        <v>546</v>
      </c>
      <c r="K609" s="10"/>
      <c r="L609" s="10"/>
      <c r="M609" s="10"/>
      <c r="N609" s="10"/>
      <c r="O609" s="18">
        <v>295.86</v>
      </c>
      <c r="P609" s="10"/>
      <c r="Q609" s="17" t="b">
        <v>1</v>
      </c>
      <c r="R609" s="10"/>
    </row>
    <row r="610">
      <c r="A610" s="6" t="s">
        <v>3488</v>
      </c>
      <c r="B610" s="6" t="s">
        <v>35</v>
      </c>
      <c r="C610" s="8">
        <v>45555.0</v>
      </c>
      <c r="D610" s="6" t="s">
        <v>543</v>
      </c>
      <c r="E610" s="6" t="s">
        <v>3489</v>
      </c>
      <c r="F610" s="10"/>
      <c r="G610" s="6" t="s">
        <v>3490</v>
      </c>
      <c r="H610" s="6" t="s">
        <v>3014</v>
      </c>
      <c r="I610" s="17" t="b">
        <v>0</v>
      </c>
      <c r="J610" s="6" t="s">
        <v>546</v>
      </c>
      <c r="K610" s="10"/>
      <c r="L610" s="10"/>
      <c r="M610" s="10"/>
      <c r="N610" s="10"/>
      <c r="O610" s="18">
        <v>150.0</v>
      </c>
      <c r="P610" s="10"/>
      <c r="Q610" s="17" t="b">
        <v>1</v>
      </c>
      <c r="R610" s="10"/>
    </row>
    <row r="611">
      <c r="A611" s="6" t="s">
        <v>3492</v>
      </c>
      <c r="B611" s="6" t="s">
        <v>35</v>
      </c>
      <c r="C611" s="8">
        <v>45555.0</v>
      </c>
      <c r="D611" s="6" t="s">
        <v>3493</v>
      </c>
      <c r="E611" s="6" t="s">
        <v>3494</v>
      </c>
      <c r="F611" s="10"/>
      <c r="G611" s="6" t="s">
        <v>3495</v>
      </c>
      <c r="H611" s="6" t="s">
        <v>3109</v>
      </c>
      <c r="I611" s="17" t="b">
        <v>1</v>
      </c>
      <c r="J611" s="6" t="s">
        <v>546</v>
      </c>
      <c r="K611" s="10"/>
      <c r="L611" s="10"/>
      <c r="M611" s="10"/>
      <c r="N611" s="10"/>
      <c r="O611" s="18">
        <v>88.27</v>
      </c>
      <c r="P611" s="18">
        <v>1064342.0</v>
      </c>
      <c r="Q611" s="17" t="b">
        <v>1</v>
      </c>
      <c r="R611" s="10"/>
    </row>
    <row r="612">
      <c r="A612" s="6" t="s">
        <v>3498</v>
      </c>
      <c r="B612" s="6" t="s">
        <v>35</v>
      </c>
      <c r="C612" s="8">
        <v>45556.0</v>
      </c>
      <c r="D612" s="6" t="s">
        <v>112</v>
      </c>
      <c r="E612" s="6" t="s">
        <v>3499</v>
      </c>
      <c r="F612" s="10"/>
      <c r="G612" s="6" t="s">
        <v>3501</v>
      </c>
      <c r="H612" s="6" t="s">
        <v>45</v>
      </c>
      <c r="I612" s="17" t="b">
        <v>0</v>
      </c>
      <c r="J612" s="6" t="s">
        <v>546</v>
      </c>
      <c r="K612" s="10"/>
      <c r="L612" s="10"/>
      <c r="M612" s="10"/>
      <c r="N612" s="10"/>
      <c r="O612" s="18">
        <v>299.62</v>
      </c>
      <c r="P612" s="10"/>
      <c r="Q612" s="17" t="b">
        <v>1</v>
      </c>
      <c r="R612" s="10"/>
    </row>
    <row r="613">
      <c r="A613" s="6" t="s">
        <v>3503</v>
      </c>
      <c r="B613" s="6" t="s">
        <v>35</v>
      </c>
      <c r="C613" s="8">
        <v>45557.0</v>
      </c>
      <c r="D613" s="6" t="s">
        <v>3504</v>
      </c>
      <c r="E613" s="6" t="s">
        <v>3505</v>
      </c>
      <c r="F613" s="10"/>
      <c r="G613" s="6" t="s">
        <v>3506</v>
      </c>
      <c r="H613" s="6" t="s">
        <v>1457</v>
      </c>
      <c r="I613" s="17" t="b">
        <v>1</v>
      </c>
      <c r="J613" s="6" t="s">
        <v>546</v>
      </c>
      <c r="K613" s="10"/>
      <c r="L613" s="10"/>
      <c r="M613" s="10"/>
      <c r="N613" s="10"/>
      <c r="O613" s="18">
        <v>12.51</v>
      </c>
      <c r="P613" s="18">
        <v>1064313.0</v>
      </c>
      <c r="Q613" s="17" t="b">
        <v>1</v>
      </c>
      <c r="R613" s="10"/>
    </row>
    <row r="614">
      <c r="A614" s="6" t="s">
        <v>3508</v>
      </c>
      <c r="B614" s="6" t="s">
        <v>35</v>
      </c>
      <c r="C614" s="8">
        <v>45558.0</v>
      </c>
      <c r="D614" s="6" t="s">
        <v>890</v>
      </c>
      <c r="E614" s="10"/>
      <c r="F614" s="10"/>
      <c r="G614" s="10"/>
      <c r="H614" s="6" t="s">
        <v>3509</v>
      </c>
      <c r="I614" s="10"/>
      <c r="J614" s="6" t="s">
        <v>539</v>
      </c>
      <c r="K614" s="10"/>
      <c r="L614" s="10"/>
      <c r="M614" s="10"/>
      <c r="N614" s="10"/>
      <c r="O614" s="18">
        <v>1978.31</v>
      </c>
      <c r="P614" s="10"/>
      <c r="Q614" s="6"/>
      <c r="R614" s="10"/>
    </row>
    <row r="615">
      <c r="A615" s="6" t="s">
        <v>3512</v>
      </c>
      <c r="B615" s="6" t="s">
        <v>35</v>
      </c>
      <c r="C615" s="8">
        <v>45558.0</v>
      </c>
      <c r="D615" s="6" t="s">
        <v>890</v>
      </c>
      <c r="E615" s="10"/>
      <c r="F615" s="10"/>
      <c r="G615" s="10"/>
      <c r="H615" s="6" t="s">
        <v>3513</v>
      </c>
      <c r="I615" s="10"/>
      <c r="J615" s="6" t="s">
        <v>539</v>
      </c>
      <c r="K615" s="10"/>
      <c r="L615" s="10"/>
      <c r="M615" s="10"/>
      <c r="N615" s="10"/>
      <c r="O615" s="18">
        <v>2.14</v>
      </c>
      <c r="P615" s="10"/>
      <c r="Q615" s="6"/>
      <c r="R615" s="10"/>
    </row>
    <row r="616">
      <c r="A616" s="6" t="s">
        <v>3515</v>
      </c>
      <c r="B616" s="6" t="s">
        <v>35</v>
      </c>
      <c r="C616" s="8">
        <v>45558.0</v>
      </c>
      <c r="D616" s="6" t="s">
        <v>3516</v>
      </c>
      <c r="E616" s="10"/>
      <c r="F616" s="10"/>
      <c r="G616" s="10"/>
      <c r="H616" s="6" t="s">
        <v>3517</v>
      </c>
      <c r="I616" s="10"/>
      <c r="J616" s="6" t="s">
        <v>539</v>
      </c>
      <c r="K616" s="10"/>
      <c r="L616" s="10"/>
      <c r="M616" s="10"/>
      <c r="N616" s="10"/>
      <c r="O616" s="18">
        <v>179.0</v>
      </c>
      <c r="P616" s="10"/>
      <c r="Q616" s="6"/>
      <c r="R616" s="10"/>
    </row>
    <row r="617">
      <c r="A617" s="6" t="s">
        <v>3519</v>
      </c>
      <c r="B617" s="6" t="s">
        <v>35</v>
      </c>
      <c r="C617" s="8">
        <v>45558.0</v>
      </c>
      <c r="D617" s="6" t="s">
        <v>543</v>
      </c>
      <c r="E617" s="6" t="s">
        <v>3521</v>
      </c>
      <c r="F617" s="10"/>
      <c r="G617" s="6" t="s">
        <v>3522</v>
      </c>
      <c r="H617" s="6" t="s">
        <v>2921</v>
      </c>
      <c r="I617" s="17" t="b">
        <v>0</v>
      </c>
      <c r="J617" s="6" t="s">
        <v>546</v>
      </c>
      <c r="K617" s="10"/>
      <c r="L617" s="10"/>
      <c r="M617" s="10"/>
      <c r="N617" s="10"/>
      <c r="O617" s="18">
        <v>150.0</v>
      </c>
      <c r="P617" s="10"/>
      <c r="Q617" s="17" t="b">
        <v>1</v>
      </c>
      <c r="R617" s="10"/>
    </row>
    <row r="618">
      <c r="A618" s="18">
        <v>1.2519604E7</v>
      </c>
      <c r="B618" s="6" t="s">
        <v>35</v>
      </c>
      <c r="C618" s="8">
        <v>45555.0</v>
      </c>
      <c r="D618" s="6" t="s">
        <v>890</v>
      </c>
      <c r="E618" s="6" t="s">
        <v>3524</v>
      </c>
      <c r="F618" s="10"/>
      <c r="G618" s="6" t="s">
        <v>3525</v>
      </c>
      <c r="H618" s="6" t="s">
        <v>893</v>
      </c>
      <c r="I618" s="17" t="b">
        <v>0</v>
      </c>
      <c r="J618" s="6" t="s">
        <v>546</v>
      </c>
      <c r="K618" s="10"/>
      <c r="L618" s="10"/>
      <c r="M618" s="10"/>
      <c r="N618" s="10"/>
      <c r="O618" s="18">
        <v>20854.09</v>
      </c>
      <c r="P618" s="10"/>
      <c r="Q618" s="17" t="b">
        <v>1</v>
      </c>
      <c r="R618" s="10"/>
    </row>
    <row r="619">
      <c r="A619" s="6" t="s">
        <v>3527</v>
      </c>
      <c r="B619" s="6" t="s">
        <v>35</v>
      </c>
      <c r="C619" s="8">
        <v>45551.0</v>
      </c>
      <c r="D619" s="6" t="s">
        <v>890</v>
      </c>
      <c r="E619" s="6" t="s">
        <v>3528</v>
      </c>
      <c r="F619" s="10"/>
      <c r="G619" s="6" t="s">
        <v>3530</v>
      </c>
      <c r="H619" s="6" t="s">
        <v>2072</v>
      </c>
      <c r="I619" s="17" t="b">
        <v>0</v>
      </c>
      <c r="J619" s="6" t="s">
        <v>546</v>
      </c>
      <c r="K619" s="10"/>
      <c r="L619" s="10"/>
      <c r="M619" s="10"/>
      <c r="N619" s="10"/>
      <c r="O619" s="18">
        <v>10416.43</v>
      </c>
      <c r="P619" s="10"/>
      <c r="Q619" s="17" t="b">
        <v>1</v>
      </c>
      <c r="R619" s="10"/>
    </row>
    <row r="620">
      <c r="A620" s="6" t="s">
        <v>3531</v>
      </c>
      <c r="B620" s="6" t="s">
        <v>35</v>
      </c>
      <c r="C620" s="8">
        <v>45558.0</v>
      </c>
      <c r="D620" s="6" t="s">
        <v>112</v>
      </c>
      <c r="E620" s="6" t="s">
        <v>3533</v>
      </c>
      <c r="F620" s="10"/>
      <c r="G620" s="6" t="s">
        <v>3534</v>
      </c>
      <c r="H620" s="6" t="s">
        <v>45</v>
      </c>
      <c r="I620" s="17" t="b">
        <v>0</v>
      </c>
      <c r="J620" s="6" t="s">
        <v>546</v>
      </c>
      <c r="K620" s="10"/>
      <c r="L620" s="10"/>
      <c r="M620" s="10"/>
      <c r="N620" s="10"/>
      <c r="O620" s="18">
        <v>249.53</v>
      </c>
      <c r="P620" s="10"/>
      <c r="Q620" s="17" t="b">
        <v>1</v>
      </c>
      <c r="R620" s="10"/>
    </row>
    <row r="621">
      <c r="A621" s="6" t="s">
        <v>3536</v>
      </c>
      <c r="B621" s="6" t="s">
        <v>35</v>
      </c>
      <c r="C621" s="8">
        <v>45559.0</v>
      </c>
      <c r="D621" s="6" t="s">
        <v>2613</v>
      </c>
      <c r="E621" s="6" t="s">
        <v>3537</v>
      </c>
      <c r="F621" s="10"/>
      <c r="G621" s="6" t="s">
        <v>3538</v>
      </c>
      <c r="H621" s="6" t="s">
        <v>3406</v>
      </c>
      <c r="I621" s="17" t="b">
        <v>1</v>
      </c>
      <c r="J621" s="6" t="s">
        <v>546</v>
      </c>
      <c r="K621" s="10"/>
      <c r="L621" s="10"/>
      <c r="M621" s="10"/>
      <c r="N621" s="10"/>
      <c r="O621" s="18">
        <v>70.8</v>
      </c>
      <c r="P621" s="18">
        <v>1067557.0</v>
      </c>
      <c r="Q621" s="17" t="b">
        <v>1</v>
      </c>
      <c r="R621" s="10"/>
    </row>
    <row r="622">
      <c r="A622" s="6" t="s">
        <v>3540</v>
      </c>
      <c r="B622" s="6" t="s">
        <v>35</v>
      </c>
      <c r="C622" s="8">
        <v>45560.0</v>
      </c>
      <c r="D622" s="10"/>
      <c r="E622" s="10"/>
      <c r="F622" s="10"/>
      <c r="G622" s="10"/>
      <c r="H622" s="6" t="s">
        <v>1329</v>
      </c>
      <c r="I622" s="10"/>
      <c r="J622" s="6" t="s">
        <v>539</v>
      </c>
      <c r="K622" s="6" t="s">
        <v>3306</v>
      </c>
      <c r="L622" s="10"/>
      <c r="M622" s="10"/>
      <c r="N622" s="10"/>
      <c r="O622" s="18">
        <v>200.0</v>
      </c>
      <c r="P622" s="10"/>
      <c r="Q622" s="6"/>
      <c r="R622" s="10"/>
    </row>
    <row r="623">
      <c r="A623" s="6" t="s">
        <v>3543</v>
      </c>
      <c r="B623" s="6" t="s">
        <v>35</v>
      </c>
      <c r="C623" s="8">
        <v>45560.0</v>
      </c>
      <c r="D623" s="6" t="s">
        <v>112</v>
      </c>
      <c r="E623" s="6" t="s">
        <v>3544</v>
      </c>
      <c r="F623" s="10"/>
      <c r="G623" s="6" t="s">
        <v>3545</v>
      </c>
      <c r="H623" s="6" t="s">
        <v>45</v>
      </c>
      <c r="I623" s="17" t="b">
        <v>0</v>
      </c>
      <c r="J623" s="6" t="s">
        <v>546</v>
      </c>
      <c r="K623" s="10"/>
      <c r="L623" s="10"/>
      <c r="M623" s="10"/>
      <c r="N623" s="10"/>
      <c r="O623" s="18">
        <v>412.5</v>
      </c>
      <c r="P623" s="10"/>
      <c r="Q623" s="17" t="b">
        <v>1</v>
      </c>
      <c r="R623" s="10"/>
    </row>
    <row r="624">
      <c r="A624" s="6" t="s">
        <v>3548</v>
      </c>
      <c r="B624" s="6" t="s">
        <v>35</v>
      </c>
      <c r="C624" s="8">
        <v>45561.0</v>
      </c>
      <c r="D624" s="6" t="s">
        <v>2644</v>
      </c>
      <c r="E624" s="6" t="s">
        <v>3550</v>
      </c>
      <c r="F624" s="10"/>
      <c r="G624" s="6" t="s">
        <v>3551</v>
      </c>
      <c r="H624" s="6" t="s">
        <v>195</v>
      </c>
      <c r="I624" s="17" t="b">
        <v>0</v>
      </c>
      <c r="J624" s="6" t="s">
        <v>546</v>
      </c>
      <c r="K624" s="10"/>
      <c r="L624" s="10"/>
      <c r="M624" s="10"/>
      <c r="N624" s="10"/>
      <c r="O624" s="18">
        <v>1052.0</v>
      </c>
      <c r="P624" s="10"/>
      <c r="Q624" s="17" t="b">
        <v>1</v>
      </c>
      <c r="R624" s="10"/>
    </row>
    <row r="625">
      <c r="A625" s="6" t="s">
        <v>3553</v>
      </c>
      <c r="B625" s="6" t="s">
        <v>35</v>
      </c>
      <c r="C625" s="8">
        <v>45564.0</v>
      </c>
      <c r="D625" s="6" t="s">
        <v>1383</v>
      </c>
      <c r="E625" s="10"/>
      <c r="F625" s="10"/>
      <c r="G625" s="10"/>
      <c r="H625" s="6" t="s">
        <v>3555</v>
      </c>
      <c r="I625" s="10"/>
      <c r="J625" s="6" t="s">
        <v>539</v>
      </c>
      <c r="K625" s="10"/>
      <c r="L625" s="10"/>
      <c r="M625" s="10"/>
      <c r="N625" s="10"/>
      <c r="O625" s="18">
        <v>1750.0</v>
      </c>
      <c r="P625" s="10"/>
      <c r="Q625" s="6"/>
      <c r="R625" s="10"/>
    </row>
    <row r="626">
      <c r="A626" s="6" t="s">
        <v>3557</v>
      </c>
      <c r="B626" s="6" t="s">
        <v>35</v>
      </c>
      <c r="C626" s="8">
        <v>45564.0</v>
      </c>
      <c r="D626" s="6" t="s">
        <v>460</v>
      </c>
      <c r="E626" s="10"/>
      <c r="F626" s="10"/>
      <c r="G626" s="10"/>
      <c r="H626" s="6" t="s">
        <v>931</v>
      </c>
      <c r="I626" s="10"/>
      <c r="J626" s="6" t="s">
        <v>539</v>
      </c>
      <c r="K626" s="10"/>
      <c r="L626" s="10"/>
      <c r="M626" s="10"/>
      <c r="N626" s="10"/>
      <c r="O626" s="18">
        <v>30.0</v>
      </c>
      <c r="P626" s="10"/>
      <c r="Q626" s="6"/>
      <c r="R626" s="10"/>
    </row>
    <row r="627">
      <c r="A627" s="6" t="s">
        <v>3559</v>
      </c>
      <c r="B627" s="6" t="s">
        <v>35</v>
      </c>
      <c r="C627" s="8">
        <v>45551.0</v>
      </c>
      <c r="D627" s="6" t="s">
        <v>3155</v>
      </c>
      <c r="E627" s="6" t="s">
        <v>3561</v>
      </c>
      <c r="F627" s="10"/>
      <c r="G627" s="6" t="s">
        <v>3562</v>
      </c>
      <c r="H627" s="6" t="s">
        <v>3563</v>
      </c>
      <c r="I627" s="17" t="b">
        <v>0</v>
      </c>
      <c r="J627" s="6" t="s">
        <v>546</v>
      </c>
      <c r="K627" s="10"/>
      <c r="L627" s="10"/>
      <c r="M627" s="10"/>
      <c r="N627" s="10"/>
      <c r="O627" s="18">
        <v>114.46</v>
      </c>
      <c r="P627" s="10"/>
      <c r="Q627" s="17" t="b">
        <v>1</v>
      </c>
      <c r="R627" s="10"/>
    </row>
    <row r="628">
      <c r="A628" s="6" t="s">
        <v>3566</v>
      </c>
      <c r="B628" s="6" t="s">
        <v>35</v>
      </c>
      <c r="C628" s="8">
        <v>45562.0</v>
      </c>
      <c r="D628" s="6" t="s">
        <v>543</v>
      </c>
      <c r="E628" s="6" t="s">
        <v>3567</v>
      </c>
      <c r="F628" s="10"/>
      <c r="G628" s="6" t="s">
        <v>3568</v>
      </c>
      <c r="H628" s="6" t="s">
        <v>2921</v>
      </c>
      <c r="I628" s="17" t="b">
        <v>0</v>
      </c>
      <c r="J628" s="6" t="s">
        <v>546</v>
      </c>
      <c r="K628" s="10"/>
      <c r="L628" s="10"/>
      <c r="M628" s="10"/>
      <c r="N628" s="10"/>
      <c r="O628" s="18">
        <v>500.0</v>
      </c>
      <c r="P628" s="10"/>
      <c r="Q628" s="17" t="b">
        <v>1</v>
      </c>
      <c r="R628" s="10"/>
    </row>
    <row r="629">
      <c r="A629" s="6" t="s">
        <v>3570</v>
      </c>
      <c r="B629" s="6" t="s">
        <v>35</v>
      </c>
      <c r="C629" s="8">
        <v>45562.0</v>
      </c>
      <c r="D629" s="6" t="s">
        <v>175</v>
      </c>
      <c r="E629" s="6" t="s">
        <v>3572</v>
      </c>
      <c r="F629" s="10"/>
      <c r="G629" s="6" t="s">
        <v>3573</v>
      </c>
      <c r="H629" s="6" t="s">
        <v>3574</v>
      </c>
      <c r="I629" s="17" t="b">
        <v>1</v>
      </c>
      <c r="J629" s="6" t="s">
        <v>546</v>
      </c>
      <c r="K629" s="10"/>
      <c r="L629" s="10"/>
      <c r="M629" s="10"/>
      <c r="N629" s="10"/>
      <c r="O629" s="18">
        <v>316.78</v>
      </c>
      <c r="P629" s="6" t="s">
        <v>3575</v>
      </c>
      <c r="Q629" s="17" t="b">
        <v>1</v>
      </c>
      <c r="R629" s="10"/>
    </row>
    <row r="630">
      <c r="A630" s="6" t="s">
        <v>3577</v>
      </c>
      <c r="B630" s="6" t="s">
        <v>35</v>
      </c>
      <c r="C630" s="8">
        <v>45562.0</v>
      </c>
      <c r="D630" s="6" t="s">
        <v>112</v>
      </c>
      <c r="E630" s="6" t="s">
        <v>3578</v>
      </c>
      <c r="F630" s="10"/>
      <c r="G630" s="6" t="s">
        <v>3579</v>
      </c>
      <c r="H630" s="6" t="s">
        <v>157</v>
      </c>
      <c r="I630" s="17" t="b">
        <v>0</v>
      </c>
      <c r="J630" s="6" t="s">
        <v>546</v>
      </c>
      <c r="K630" s="10"/>
      <c r="L630" s="10"/>
      <c r="M630" s="10"/>
      <c r="N630" s="10"/>
      <c r="O630" s="18">
        <v>377.44</v>
      </c>
      <c r="P630" s="10"/>
      <c r="Q630" s="17" t="b">
        <v>1</v>
      </c>
      <c r="R630" s="10"/>
    </row>
    <row r="631">
      <c r="A631" s="6" t="s">
        <v>3582</v>
      </c>
      <c r="B631" s="6" t="s">
        <v>35</v>
      </c>
      <c r="C631" s="8">
        <v>45563.0</v>
      </c>
      <c r="D631" s="6" t="s">
        <v>193</v>
      </c>
      <c r="E631" s="6" t="s">
        <v>3584</v>
      </c>
      <c r="F631" s="10"/>
      <c r="G631" s="6" t="s">
        <v>3585</v>
      </c>
      <c r="H631" s="6" t="s">
        <v>3586</v>
      </c>
      <c r="I631" s="17" t="b">
        <v>0</v>
      </c>
      <c r="J631" s="6" t="s">
        <v>546</v>
      </c>
      <c r="K631" s="10"/>
      <c r="L631" s="10"/>
      <c r="M631" s="10"/>
      <c r="N631" s="10"/>
      <c r="O631" s="18">
        <v>199.2</v>
      </c>
      <c r="P631" s="10"/>
      <c r="Q631" s="17" t="b">
        <v>1</v>
      </c>
      <c r="R631" s="10"/>
    </row>
    <row r="632">
      <c r="A632" s="6" t="s">
        <v>3589</v>
      </c>
      <c r="B632" s="6" t="s">
        <v>35</v>
      </c>
      <c r="C632" s="8">
        <v>45562.0</v>
      </c>
      <c r="D632" s="18">
        <v>6.8893939E7</v>
      </c>
      <c r="E632" s="6" t="s">
        <v>3591</v>
      </c>
      <c r="F632" s="10"/>
      <c r="G632" s="6" t="s">
        <v>3592</v>
      </c>
      <c r="H632" s="6" t="s">
        <v>605</v>
      </c>
      <c r="I632" s="17" t="b">
        <v>0</v>
      </c>
      <c r="J632" s="6" t="s">
        <v>546</v>
      </c>
      <c r="K632" s="10"/>
      <c r="L632" s="10"/>
      <c r="M632" s="10"/>
      <c r="N632" s="10"/>
      <c r="O632" s="18">
        <v>2452.49</v>
      </c>
      <c r="P632" s="10"/>
      <c r="Q632" s="17" t="b">
        <v>1</v>
      </c>
      <c r="R632" s="10"/>
    </row>
    <row r="633">
      <c r="A633" s="6" t="s">
        <v>3594</v>
      </c>
      <c r="B633" s="6" t="s">
        <v>35</v>
      </c>
      <c r="C633" s="8">
        <v>45565.0</v>
      </c>
      <c r="D633" s="6" t="s">
        <v>112</v>
      </c>
      <c r="E633" s="6" t="s">
        <v>3596</v>
      </c>
      <c r="F633" s="10"/>
      <c r="G633" s="6" t="s">
        <v>3597</v>
      </c>
      <c r="H633" s="6" t="s">
        <v>2959</v>
      </c>
      <c r="I633" s="17" t="b">
        <v>0</v>
      </c>
      <c r="J633" s="6" t="s">
        <v>546</v>
      </c>
      <c r="K633" s="10"/>
      <c r="L633" s="10"/>
      <c r="M633" s="10"/>
      <c r="N633" s="10"/>
      <c r="O633" s="18">
        <v>208.78</v>
      </c>
      <c r="P633" s="10"/>
      <c r="Q633" s="17" t="b">
        <v>1</v>
      </c>
      <c r="R633" s="10"/>
    </row>
    <row r="634">
      <c r="A634" s="6" t="s">
        <v>3600</v>
      </c>
      <c r="B634" s="6" t="s">
        <v>35</v>
      </c>
      <c r="C634" s="8">
        <v>45565.0</v>
      </c>
      <c r="D634" s="6" t="s">
        <v>353</v>
      </c>
      <c r="E634" s="6" t="s">
        <v>3602</v>
      </c>
      <c r="F634" s="10"/>
      <c r="G634" s="6" t="s">
        <v>3603</v>
      </c>
      <c r="H634" s="6" t="s">
        <v>3604</v>
      </c>
      <c r="I634" s="17" t="b">
        <v>0</v>
      </c>
      <c r="J634" s="6" t="s">
        <v>546</v>
      </c>
      <c r="K634" s="10"/>
      <c r="L634" s="10"/>
      <c r="M634" s="10"/>
      <c r="N634" s="10"/>
      <c r="O634" s="18">
        <v>833.65</v>
      </c>
      <c r="P634" s="10"/>
      <c r="Q634" s="17" t="b">
        <v>1</v>
      </c>
      <c r="R634" s="10"/>
    </row>
    <row r="635">
      <c r="A635" s="6" t="s">
        <v>3609</v>
      </c>
      <c r="B635" s="6" t="s">
        <v>35</v>
      </c>
      <c r="C635" s="8">
        <v>45566.0</v>
      </c>
      <c r="D635" s="6" t="s">
        <v>112</v>
      </c>
      <c r="E635" s="6" t="s">
        <v>3610</v>
      </c>
      <c r="F635" s="10"/>
      <c r="G635" s="6" t="s">
        <v>3612</v>
      </c>
      <c r="H635" s="6" t="s">
        <v>792</v>
      </c>
      <c r="I635" s="17" t="b">
        <v>0</v>
      </c>
      <c r="J635" s="6" t="s">
        <v>546</v>
      </c>
      <c r="K635" s="10"/>
      <c r="L635" s="10"/>
      <c r="M635" s="10"/>
      <c r="N635" s="10"/>
      <c r="O635" s="18">
        <v>320.28</v>
      </c>
      <c r="P635" s="10"/>
      <c r="Q635" s="17" t="b">
        <v>1</v>
      </c>
      <c r="R635" s="10"/>
    </row>
    <row r="636">
      <c r="A636" s="6" t="s">
        <v>3615</v>
      </c>
      <c r="B636" s="6" t="s">
        <v>35</v>
      </c>
      <c r="C636" s="8">
        <v>45566.0</v>
      </c>
      <c r="D636" s="6" t="s">
        <v>122</v>
      </c>
      <c r="E636" s="6" t="s">
        <v>3617</v>
      </c>
      <c r="F636" s="10"/>
      <c r="G636" s="6" t="s">
        <v>3618</v>
      </c>
      <c r="H636" s="6" t="s">
        <v>482</v>
      </c>
      <c r="I636" s="17" t="b">
        <v>1</v>
      </c>
      <c r="J636" s="6" t="s">
        <v>546</v>
      </c>
      <c r="K636" s="10"/>
      <c r="L636" s="10"/>
      <c r="M636" s="10"/>
      <c r="N636" s="10"/>
      <c r="O636" s="18">
        <v>141.6</v>
      </c>
      <c r="P636" s="18">
        <v>1079671.0</v>
      </c>
      <c r="Q636" s="17" t="b">
        <v>1</v>
      </c>
      <c r="R636" s="10"/>
    </row>
    <row r="637">
      <c r="A637" s="18">
        <v>1.27407295E8</v>
      </c>
      <c r="B637" s="6" t="s">
        <v>35</v>
      </c>
      <c r="C637" s="8">
        <v>45567.0</v>
      </c>
      <c r="D637" s="10"/>
      <c r="E637" s="10"/>
      <c r="F637" s="10"/>
      <c r="G637" s="10"/>
      <c r="H637" s="6" t="s">
        <v>2770</v>
      </c>
      <c r="I637" s="10"/>
      <c r="J637" s="6" t="s">
        <v>539</v>
      </c>
      <c r="K637" s="6" t="s">
        <v>624</v>
      </c>
      <c r="L637" s="10"/>
      <c r="M637" s="10"/>
      <c r="N637" s="10"/>
      <c r="O637" s="18">
        <v>500.0</v>
      </c>
      <c r="P637" s="10"/>
      <c r="Q637" s="6"/>
      <c r="R637" s="10"/>
    </row>
    <row r="638">
      <c r="A638" s="6" t="s">
        <v>3623</v>
      </c>
      <c r="B638" s="6" t="s">
        <v>35</v>
      </c>
      <c r="C638" s="8">
        <v>45567.0</v>
      </c>
      <c r="D638" s="6" t="s">
        <v>145</v>
      </c>
      <c r="E638" s="6" t="s">
        <v>3625</v>
      </c>
      <c r="F638" s="10"/>
      <c r="G638" s="6" t="s">
        <v>3626</v>
      </c>
      <c r="H638" s="6" t="s">
        <v>3627</v>
      </c>
      <c r="I638" s="17" t="b">
        <v>0</v>
      </c>
      <c r="J638" s="6" t="s">
        <v>546</v>
      </c>
      <c r="K638" s="10"/>
      <c r="L638" s="10"/>
      <c r="M638" s="10"/>
      <c r="N638" s="10"/>
      <c r="O638" s="18">
        <v>200.0</v>
      </c>
      <c r="P638" s="10"/>
      <c r="Q638" s="17" t="b">
        <v>1</v>
      </c>
      <c r="R638" s="10"/>
    </row>
    <row r="639">
      <c r="A639" s="6" t="s">
        <v>3629</v>
      </c>
      <c r="B639" s="6" t="s">
        <v>35</v>
      </c>
      <c r="C639" s="8">
        <v>45567.0</v>
      </c>
      <c r="D639" s="6" t="s">
        <v>286</v>
      </c>
      <c r="E639" s="6" t="s">
        <v>3631</v>
      </c>
      <c r="F639" s="10"/>
      <c r="G639" s="6" t="s">
        <v>3632</v>
      </c>
      <c r="H639" s="6" t="s">
        <v>3634</v>
      </c>
      <c r="I639" s="17" t="b">
        <v>1</v>
      </c>
      <c r="J639" s="6" t="s">
        <v>546</v>
      </c>
      <c r="K639" s="10"/>
      <c r="L639" s="10"/>
      <c r="M639" s="10"/>
      <c r="N639" s="10"/>
      <c r="O639" s="18">
        <v>4.0</v>
      </c>
      <c r="P639" s="18">
        <v>1081135.0</v>
      </c>
      <c r="Q639" s="17" t="b">
        <v>1</v>
      </c>
      <c r="R639" s="10"/>
    </row>
    <row r="640">
      <c r="A640" s="6" t="s">
        <v>3636</v>
      </c>
      <c r="B640" s="6" t="s">
        <v>35</v>
      </c>
      <c r="C640" s="8">
        <v>45567.0</v>
      </c>
      <c r="D640" s="6" t="s">
        <v>543</v>
      </c>
      <c r="E640" s="6" t="s">
        <v>3638</v>
      </c>
      <c r="F640" s="10"/>
      <c r="G640" s="6" t="s">
        <v>3639</v>
      </c>
      <c r="H640" s="6" t="s">
        <v>171</v>
      </c>
      <c r="I640" s="17" t="b">
        <v>0</v>
      </c>
      <c r="J640" s="6" t="s">
        <v>546</v>
      </c>
      <c r="K640" s="10"/>
      <c r="L640" s="10"/>
      <c r="M640" s="10"/>
      <c r="N640" s="10"/>
      <c r="O640" s="18">
        <v>500.0</v>
      </c>
      <c r="P640" s="10"/>
      <c r="Q640" s="17" t="b">
        <v>1</v>
      </c>
      <c r="R640" s="10"/>
    </row>
    <row r="641">
      <c r="A641" s="6" t="s">
        <v>3641</v>
      </c>
      <c r="B641" s="6" t="s">
        <v>35</v>
      </c>
      <c r="C641" s="8">
        <v>45567.0</v>
      </c>
      <c r="D641" s="6" t="s">
        <v>353</v>
      </c>
      <c r="E641" s="6" t="s">
        <v>3643</v>
      </c>
      <c r="F641" s="10"/>
      <c r="G641" s="6" t="s">
        <v>3644</v>
      </c>
      <c r="H641" s="6" t="s">
        <v>3645</v>
      </c>
      <c r="I641" s="17" t="b">
        <v>0</v>
      </c>
      <c r="J641" s="6" t="s">
        <v>546</v>
      </c>
      <c r="K641" s="10"/>
      <c r="L641" s="10"/>
      <c r="M641" s="10"/>
      <c r="N641" s="10"/>
      <c r="O641" s="18">
        <v>185.6</v>
      </c>
      <c r="P641" s="10"/>
      <c r="Q641" s="17" t="b">
        <v>1</v>
      </c>
      <c r="R641" s="10"/>
    </row>
    <row r="642">
      <c r="A642" s="6" t="s">
        <v>3648</v>
      </c>
      <c r="B642" s="6" t="s">
        <v>35</v>
      </c>
      <c r="C642" s="8">
        <v>45569.0</v>
      </c>
      <c r="D642" s="10"/>
      <c r="E642" s="10"/>
      <c r="F642" s="10"/>
      <c r="G642" s="10"/>
      <c r="H642" s="6" t="s">
        <v>3650</v>
      </c>
      <c r="I642" s="10"/>
      <c r="J642" s="6" t="s">
        <v>539</v>
      </c>
      <c r="K642" s="6" t="s">
        <v>671</v>
      </c>
      <c r="L642" s="10"/>
      <c r="M642" s="10"/>
      <c r="N642" s="10"/>
      <c r="O642" s="18">
        <v>18000.0</v>
      </c>
      <c r="P642" s="10"/>
      <c r="Q642" s="6"/>
      <c r="R642" s="10"/>
    </row>
    <row r="643">
      <c r="A643" s="6" t="s">
        <v>3652</v>
      </c>
      <c r="B643" s="6" t="s">
        <v>35</v>
      </c>
      <c r="C643" s="8">
        <v>45569.0</v>
      </c>
      <c r="D643" s="10"/>
      <c r="E643" s="10"/>
      <c r="F643" s="10"/>
      <c r="G643" s="10"/>
      <c r="H643" s="6" t="s">
        <v>3650</v>
      </c>
      <c r="I643" s="10"/>
      <c r="J643" s="6" t="s">
        <v>539</v>
      </c>
      <c r="K643" s="6" t="s">
        <v>682</v>
      </c>
      <c r="L643" s="10"/>
      <c r="M643" s="10"/>
      <c r="N643" s="10"/>
      <c r="O643" s="18">
        <v>18000.0</v>
      </c>
      <c r="P643" s="10"/>
      <c r="Q643" s="6"/>
      <c r="R643" s="10"/>
    </row>
    <row r="644">
      <c r="A644" s="6" t="s">
        <v>3655</v>
      </c>
      <c r="B644" s="6" t="s">
        <v>35</v>
      </c>
      <c r="C644" s="8">
        <v>45569.0</v>
      </c>
      <c r="D644" s="10"/>
      <c r="E644" s="10"/>
      <c r="F644" s="10"/>
      <c r="G644" s="10"/>
      <c r="H644" s="6" t="s">
        <v>3650</v>
      </c>
      <c r="I644" s="10"/>
      <c r="J644" s="6" t="s">
        <v>539</v>
      </c>
      <c r="K644" s="6" t="s">
        <v>668</v>
      </c>
      <c r="L644" s="10"/>
      <c r="M644" s="10"/>
      <c r="N644" s="10"/>
      <c r="O644" s="18">
        <v>18000.0</v>
      </c>
      <c r="P644" s="10"/>
      <c r="Q644" s="6"/>
      <c r="R644" s="10"/>
    </row>
    <row r="645">
      <c r="A645" s="6" t="s">
        <v>3658</v>
      </c>
      <c r="B645" s="6" t="s">
        <v>35</v>
      </c>
      <c r="C645" s="8">
        <v>45569.0</v>
      </c>
      <c r="D645" s="10"/>
      <c r="E645" s="10"/>
      <c r="F645" s="10"/>
      <c r="G645" s="10"/>
      <c r="H645" s="6" t="s">
        <v>3660</v>
      </c>
      <c r="I645" s="10"/>
      <c r="J645" s="6" t="s">
        <v>539</v>
      </c>
      <c r="K645" s="6" t="s">
        <v>624</v>
      </c>
      <c r="L645" s="10"/>
      <c r="M645" s="10"/>
      <c r="N645" s="10"/>
      <c r="O645" s="18">
        <v>3806.25</v>
      </c>
      <c r="P645" s="10"/>
      <c r="Q645" s="6"/>
      <c r="R645" s="10"/>
    </row>
    <row r="646">
      <c r="A646" s="18">
        <v>1.43348326E8</v>
      </c>
      <c r="B646" s="6" t="s">
        <v>35</v>
      </c>
      <c r="C646" s="8">
        <v>45569.0</v>
      </c>
      <c r="D646" s="10"/>
      <c r="E646" s="10"/>
      <c r="F646" s="10"/>
      <c r="G646" s="10"/>
      <c r="H646" s="6" t="s">
        <v>3664</v>
      </c>
      <c r="I646" s="10"/>
      <c r="J646" s="6" t="s">
        <v>539</v>
      </c>
      <c r="K646" s="6" t="s">
        <v>3306</v>
      </c>
      <c r="L646" s="10"/>
      <c r="M646" s="10"/>
      <c r="N646" s="10"/>
      <c r="O646" s="18">
        <v>2800.07</v>
      </c>
      <c r="P646" s="10"/>
      <c r="Q646" s="6"/>
      <c r="R646" s="10"/>
    </row>
    <row r="647">
      <c r="A647" s="6" t="s">
        <v>3667</v>
      </c>
      <c r="B647" s="6" t="s">
        <v>35</v>
      </c>
      <c r="C647" s="8">
        <v>45569.0</v>
      </c>
      <c r="D647" s="10"/>
      <c r="E647" s="10"/>
      <c r="F647" s="10"/>
      <c r="G647" s="10"/>
      <c r="H647" s="6" t="s">
        <v>3660</v>
      </c>
      <c r="I647" s="10"/>
      <c r="J647" s="6" t="s">
        <v>539</v>
      </c>
      <c r="K647" s="6" t="s">
        <v>2052</v>
      </c>
      <c r="L647" s="10"/>
      <c r="M647" s="10"/>
      <c r="N647" s="10"/>
      <c r="O647" s="18">
        <v>2338.15</v>
      </c>
      <c r="P647" s="10"/>
      <c r="Q647" s="6"/>
      <c r="R647" s="10"/>
    </row>
    <row r="648">
      <c r="A648" s="6" t="s">
        <v>3670</v>
      </c>
      <c r="B648" s="6" t="s">
        <v>35</v>
      </c>
      <c r="C648" s="8">
        <v>45569.0</v>
      </c>
      <c r="D648" s="10"/>
      <c r="E648" s="10"/>
      <c r="F648" s="10"/>
      <c r="G648" s="10"/>
      <c r="H648" s="6" t="s">
        <v>3660</v>
      </c>
      <c r="I648" s="10"/>
      <c r="J648" s="6" t="s">
        <v>539</v>
      </c>
      <c r="K648" s="6" t="s">
        <v>664</v>
      </c>
      <c r="L648" s="10"/>
      <c r="M648" s="10"/>
      <c r="N648" s="10"/>
      <c r="O648" s="18">
        <v>1981.02</v>
      </c>
      <c r="P648" s="10"/>
      <c r="Q648" s="6"/>
      <c r="R648" s="10"/>
    </row>
    <row r="649">
      <c r="A649" s="6" t="s">
        <v>3672</v>
      </c>
      <c r="B649" s="6" t="s">
        <v>35</v>
      </c>
      <c r="C649" s="8">
        <v>45569.0</v>
      </c>
      <c r="D649" s="10"/>
      <c r="E649" s="10"/>
      <c r="F649" s="10"/>
      <c r="G649" s="10"/>
      <c r="H649" s="6" t="s">
        <v>3660</v>
      </c>
      <c r="I649" s="10"/>
      <c r="J649" s="6" t="s">
        <v>539</v>
      </c>
      <c r="K649" s="6" t="s">
        <v>658</v>
      </c>
      <c r="L649" s="10"/>
      <c r="M649" s="10"/>
      <c r="N649" s="10"/>
      <c r="O649" s="18">
        <v>1300.12</v>
      </c>
      <c r="P649" s="10"/>
      <c r="Q649" s="6"/>
      <c r="R649" s="10"/>
    </row>
    <row r="650">
      <c r="A650" s="6" t="s">
        <v>3674</v>
      </c>
      <c r="B650" s="6" t="s">
        <v>35</v>
      </c>
      <c r="C650" s="8">
        <v>45569.0</v>
      </c>
      <c r="D650" s="10"/>
      <c r="E650" s="10"/>
      <c r="F650" s="10"/>
      <c r="G650" s="10"/>
      <c r="H650" s="6" t="s">
        <v>3676</v>
      </c>
      <c r="I650" s="10"/>
      <c r="J650" s="6" t="s">
        <v>539</v>
      </c>
      <c r="K650" s="6" t="s">
        <v>658</v>
      </c>
      <c r="L650" s="10"/>
      <c r="M650" s="10"/>
      <c r="N650" s="10"/>
      <c r="O650" s="18">
        <v>500.0</v>
      </c>
      <c r="P650" s="10"/>
      <c r="Q650" s="6"/>
      <c r="R650" s="10"/>
    </row>
    <row r="651">
      <c r="A651" s="6" t="s">
        <v>3678</v>
      </c>
      <c r="B651" s="6" t="s">
        <v>35</v>
      </c>
      <c r="C651" s="8">
        <v>45568.0</v>
      </c>
      <c r="D651" s="6" t="s">
        <v>2644</v>
      </c>
      <c r="E651" s="6" t="s">
        <v>3680</v>
      </c>
      <c r="F651" s="10"/>
      <c r="G651" s="6" t="s">
        <v>3681</v>
      </c>
      <c r="H651" s="6" t="s">
        <v>195</v>
      </c>
      <c r="I651" s="17" t="b">
        <v>0</v>
      </c>
      <c r="J651" s="6" t="s">
        <v>546</v>
      </c>
      <c r="K651" s="10"/>
      <c r="L651" s="10"/>
      <c r="M651" s="10"/>
      <c r="N651" s="10"/>
      <c r="O651" s="18">
        <v>1011.25</v>
      </c>
      <c r="P651" s="10"/>
      <c r="Q651" s="17" t="b">
        <v>1</v>
      </c>
      <c r="R651" s="10"/>
    </row>
    <row r="652">
      <c r="A652" s="6" t="s">
        <v>3683</v>
      </c>
      <c r="B652" s="6" t="s">
        <v>35</v>
      </c>
      <c r="C652" s="8">
        <v>45569.0</v>
      </c>
      <c r="D652" s="6" t="s">
        <v>112</v>
      </c>
      <c r="E652" s="6" t="s">
        <v>3684</v>
      </c>
      <c r="F652" s="10"/>
      <c r="G652" s="6" t="s">
        <v>3685</v>
      </c>
      <c r="H652" s="6" t="s">
        <v>157</v>
      </c>
      <c r="I652" s="17" t="b">
        <v>0</v>
      </c>
      <c r="J652" s="6" t="s">
        <v>546</v>
      </c>
      <c r="K652" s="10"/>
      <c r="L652" s="10"/>
      <c r="M652" s="10"/>
      <c r="N652" s="10"/>
      <c r="O652" s="18">
        <v>245.44</v>
      </c>
      <c r="P652" s="10"/>
      <c r="Q652" s="17" t="b">
        <v>1</v>
      </c>
      <c r="R652" s="10"/>
    </row>
    <row r="653">
      <c r="A653" s="6" t="s">
        <v>3687</v>
      </c>
      <c r="B653" s="6" t="s">
        <v>35</v>
      </c>
      <c r="C653" s="8">
        <v>45569.0</v>
      </c>
      <c r="D653" s="6" t="s">
        <v>1016</v>
      </c>
      <c r="E653" s="6" t="s">
        <v>3688</v>
      </c>
      <c r="F653" s="10"/>
      <c r="G653" s="6" t="s">
        <v>3689</v>
      </c>
      <c r="H653" s="6" t="s">
        <v>3691</v>
      </c>
      <c r="I653" s="17" t="b">
        <v>0</v>
      </c>
      <c r="J653" s="6" t="s">
        <v>546</v>
      </c>
      <c r="K653" s="10"/>
      <c r="L653" s="10"/>
      <c r="M653" s="10"/>
      <c r="N653" s="10"/>
      <c r="O653" s="18">
        <v>134.47</v>
      </c>
      <c r="P653" s="10"/>
      <c r="Q653" s="17" t="b">
        <v>1</v>
      </c>
      <c r="R653" s="10"/>
    </row>
    <row r="654">
      <c r="A654" s="6" t="s">
        <v>3692</v>
      </c>
      <c r="B654" s="6" t="s">
        <v>35</v>
      </c>
      <c r="C654" s="8">
        <v>45569.0</v>
      </c>
      <c r="D654" s="6" t="s">
        <v>890</v>
      </c>
      <c r="E654" s="6" t="s">
        <v>3694</v>
      </c>
      <c r="F654" s="10"/>
      <c r="G654" s="6" t="s">
        <v>3695</v>
      </c>
      <c r="H654" s="6" t="s">
        <v>1511</v>
      </c>
      <c r="I654" s="17" t="b">
        <v>0</v>
      </c>
      <c r="J654" s="6" t="s">
        <v>546</v>
      </c>
      <c r="K654" s="10"/>
      <c r="L654" s="10"/>
      <c r="M654" s="10"/>
      <c r="N654" s="10"/>
      <c r="O654" s="18">
        <v>5694.51</v>
      </c>
      <c r="P654" s="10"/>
      <c r="Q654" s="17" t="b">
        <v>1</v>
      </c>
      <c r="R654" s="10"/>
    </row>
    <row r="655">
      <c r="A655" s="6" t="s">
        <v>3697</v>
      </c>
      <c r="B655" s="6" t="s">
        <v>35</v>
      </c>
      <c r="C655" s="8">
        <v>45570.0</v>
      </c>
      <c r="D655" s="6" t="s">
        <v>543</v>
      </c>
      <c r="E655" s="6" t="s">
        <v>3698</v>
      </c>
      <c r="F655" s="10"/>
      <c r="G655" s="6" t="s">
        <v>3699</v>
      </c>
      <c r="H655" s="6" t="s">
        <v>140</v>
      </c>
      <c r="I655" s="17" t="b">
        <v>0</v>
      </c>
      <c r="J655" s="6" t="s">
        <v>546</v>
      </c>
      <c r="K655" s="10"/>
      <c r="L655" s="10"/>
      <c r="M655" s="10"/>
      <c r="N655" s="10"/>
      <c r="O655" s="18">
        <v>500.0</v>
      </c>
      <c r="P655" s="10"/>
      <c r="Q655" s="17" t="b">
        <v>1</v>
      </c>
      <c r="R655" s="10"/>
    </row>
    <row r="656">
      <c r="A656" s="6" t="s">
        <v>3701</v>
      </c>
      <c r="B656" s="6" t="s">
        <v>35</v>
      </c>
      <c r="C656" s="8">
        <v>45570.0</v>
      </c>
      <c r="D656" s="6" t="s">
        <v>112</v>
      </c>
      <c r="E656" s="6" t="s">
        <v>3702</v>
      </c>
      <c r="F656" s="10"/>
      <c r="G656" s="6" t="s">
        <v>3703</v>
      </c>
      <c r="H656" s="6" t="s">
        <v>157</v>
      </c>
      <c r="I656" s="17" t="b">
        <v>0</v>
      </c>
      <c r="J656" s="6" t="s">
        <v>546</v>
      </c>
      <c r="K656" s="10"/>
      <c r="L656" s="10"/>
      <c r="M656" s="10"/>
      <c r="N656" s="10"/>
      <c r="O656" s="18">
        <v>204.33</v>
      </c>
      <c r="P656" s="10"/>
      <c r="Q656" s="17" t="b">
        <v>1</v>
      </c>
      <c r="R656" s="10"/>
    </row>
    <row r="657">
      <c r="A657" s="6" t="s">
        <v>3705</v>
      </c>
      <c r="B657" s="6" t="s">
        <v>35</v>
      </c>
      <c r="C657" s="8">
        <v>45571.0</v>
      </c>
      <c r="D657" s="6" t="s">
        <v>2439</v>
      </c>
      <c r="E657" s="6" t="s">
        <v>3707</v>
      </c>
      <c r="F657" s="10"/>
      <c r="G657" s="6" t="s">
        <v>3708</v>
      </c>
      <c r="H657" s="6" t="s">
        <v>3709</v>
      </c>
      <c r="I657" s="17" t="b">
        <v>0</v>
      </c>
      <c r="J657" s="6" t="s">
        <v>546</v>
      </c>
      <c r="K657" s="10"/>
      <c r="L657" s="10"/>
      <c r="M657" s="10"/>
      <c r="N657" s="10"/>
      <c r="O657" s="18">
        <v>223.05</v>
      </c>
      <c r="P657" s="10"/>
      <c r="Q657" s="17" t="b">
        <v>1</v>
      </c>
      <c r="R657" s="10"/>
    </row>
    <row r="658">
      <c r="A658" s="6" t="s">
        <v>3711</v>
      </c>
      <c r="B658" s="6" t="s">
        <v>35</v>
      </c>
      <c r="C658" s="8">
        <v>45570.0</v>
      </c>
      <c r="D658" s="6" t="s">
        <v>890</v>
      </c>
      <c r="E658" s="6" t="s">
        <v>3712</v>
      </c>
      <c r="F658" s="10"/>
      <c r="G658" s="6" t="s">
        <v>3713</v>
      </c>
      <c r="H658" s="6" t="s">
        <v>2894</v>
      </c>
      <c r="I658" s="17" t="b">
        <v>0</v>
      </c>
      <c r="J658" s="6" t="s">
        <v>546</v>
      </c>
      <c r="K658" s="10"/>
      <c r="L658" s="10"/>
      <c r="M658" s="10"/>
      <c r="N658" s="10"/>
      <c r="O658" s="18">
        <v>9983.56</v>
      </c>
      <c r="P658" s="10"/>
      <c r="Q658" s="17" t="b">
        <v>1</v>
      </c>
      <c r="R658" s="10"/>
    </row>
    <row r="659">
      <c r="A659" s="6" t="s">
        <v>3715</v>
      </c>
      <c r="B659" s="6" t="s">
        <v>35</v>
      </c>
      <c r="C659" s="8">
        <v>45573.0</v>
      </c>
      <c r="D659" s="6" t="s">
        <v>3716</v>
      </c>
      <c r="E659" s="6" t="s">
        <v>3717</v>
      </c>
      <c r="F659" s="10"/>
      <c r="G659" s="6" t="s">
        <v>3718</v>
      </c>
      <c r="H659" s="6" t="s">
        <v>195</v>
      </c>
      <c r="I659" s="17" t="b">
        <v>0</v>
      </c>
      <c r="J659" s="6" t="s">
        <v>546</v>
      </c>
      <c r="K659" s="10"/>
      <c r="L659" s="10"/>
      <c r="M659" s="10"/>
      <c r="N659" s="10"/>
      <c r="O659" s="18">
        <v>242.6</v>
      </c>
      <c r="P659" s="10"/>
      <c r="Q659" s="17" t="b">
        <v>1</v>
      </c>
      <c r="R659" s="10"/>
    </row>
    <row r="660">
      <c r="A660" s="6" t="s">
        <v>3720</v>
      </c>
      <c r="B660" s="6" t="s">
        <v>35</v>
      </c>
      <c r="C660" s="8">
        <v>45573.0</v>
      </c>
      <c r="D660" s="6" t="s">
        <v>543</v>
      </c>
      <c r="E660" s="6" t="s">
        <v>3722</v>
      </c>
      <c r="F660" s="10"/>
      <c r="G660" s="6" t="s">
        <v>3723</v>
      </c>
      <c r="H660" s="6" t="s">
        <v>171</v>
      </c>
      <c r="I660" s="17" t="b">
        <v>0</v>
      </c>
      <c r="J660" s="6" t="s">
        <v>546</v>
      </c>
      <c r="K660" s="10"/>
      <c r="L660" s="10"/>
      <c r="M660" s="10"/>
      <c r="N660" s="10"/>
      <c r="O660" s="18">
        <v>725.0</v>
      </c>
      <c r="P660" s="10"/>
      <c r="Q660" s="17" t="b">
        <v>1</v>
      </c>
      <c r="R660" s="10"/>
    </row>
    <row r="661">
      <c r="A661" s="6" t="s">
        <v>3725</v>
      </c>
      <c r="B661" s="6" t="s">
        <v>35</v>
      </c>
      <c r="C661" s="8">
        <v>45573.0</v>
      </c>
      <c r="D661" s="6" t="s">
        <v>112</v>
      </c>
      <c r="E661" s="6" t="s">
        <v>3726</v>
      </c>
      <c r="F661" s="10"/>
      <c r="G661" s="6" t="s">
        <v>3727</v>
      </c>
      <c r="H661" s="6" t="s">
        <v>157</v>
      </c>
      <c r="I661" s="17" t="b">
        <v>0</v>
      </c>
      <c r="J661" s="6" t="s">
        <v>546</v>
      </c>
      <c r="K661" s="10"/>
      <c r="L661" s="10"/>
      <c r="M661" s="10"/>
      <c r="N661" s="10"/>
      <c r="O661" s="18">
        <v>241.18</v>
      </c>
      <c r="P661" s="10"/>
      <c r="Q661" s="17" t="b">
        <v>1</v>
      </c>
      <c r="R661" s="10"/>
    </row>
    <row r="662">
      <c r="A662" s="6" t="s">
        <v>3729</v>
      </c>
      <c r="B662" s="6" t="s">
        <v>35</v>
      </c>
      <c r="C662" s="8">
        <v>45574.0</v>
      </c>
      <c r="D662" s="10"/>
      <c r="E662" s="10"/>
      <c r="F662" s="10"/>
      <c r="G662" s="10"/>
      <c r="H662" s="6" t="s">
        <v>1329</v>
      </c>
      <c r="I662" s="10"/>
      <c r="J662" s="6" t="s">
        <v>539</v>
      </c>
      <c r="K662" s="6" t="s">
        <v>624</v>
      </c>
      <c r="L662" s="10"/>
      <c r="M662" s="10"/>
      <c r="N662" s="10"/>
      <c r="O662" s="18">
        <v>400.0</v>
      </c>
      <c r="P662" s="10"/>
      <c r="Q662" s="6"/>
      <c r="R662" s="10"/>
    </row>
    <row r="663">
      <c r="A663" s="6" t="s">
        <v>3731</v>
      </c>
      <c r="B663" s="6" t="s">
        <v>35</v>
      </c>
      <c r="C663" s="8">
        <v>45573.0</v>
      </c>
      <c r="D663" s="18">
        <v>6.8893939E7</v>
      </c>
      <c r="E663" s="6" t="s">
        <v>3733</v>
      </c>
      <c r="F663" s="10"/>
      <c r="G663" s="6" t="s">
        <v>3734</v>
      </c>
      <c r="H663" s="6" t="s">
        <v>605</v>
      </c>
      <c r="I663" s="17" t="b">
        <v>0</v>
      </c>
      <c r="J663" s="6" t="s">
        <v>546</v>
      </c>
      <c r="K663" s="10"/>
      <c r="L663" s="10"/>
      <c r="M663" s="10"/>
      <c r="N663" s="10"/>
      <c r="O663" s="18">
        <v>1942.14</v>
      </c>
      <c r="P663" s="10"/>
      <c r="Q663" s="17" t="b">
        <v>1</v>
      </c>
      <c r="R663" s="10"/>
    </row>
    <row r="664">
      <c r="A664" s="6" t="s">
        <v>3735</v>
      </c>
      <c r="B664" s="6" t="s">
        <v>35</v>
      </c>
      <c r="C664" s="8">
        <v>45574.0</v>
      </c>
      <c r="D664" s="6" t="s">
        <v>2096</v>
      </c>
      <c r="E664" s="6" t="s">
        <v>3737</v>
      </c>
      <c r="F664" s="10"/>
      <c r="G664" s="6" t="s">
        <v>3738</v>
      </c>
      <c r="H664" s="6" t="s">
        <v>3739</v>
      </c>
      <c r="I664" s="17" t="b">
        <v>1</v>
      </c>
      <c r="J664" s="6" t="s">
        <v>546</v>
      </c>
      <c r="K664" s="10"/>
      <c r="L664" s="10"/>
      <c r="M664" s="10"/>
      <c r="N664" s="10"/>
      <c r="O664" s="18">
        <v>110.0</v>
      </c>
      <c r="P664" s="18">
        <v>1093107.0</v>
      </c>
      <c r="Q664" s="17" t="b">
        <v>1</v>
      </c>
      <c r="R664" s="10"/>
    </row>
    <row r="665">
      <c r="A665" s="6" t="s">
        <v>3741</v>
      </c>
      <c r="B665" s="6" t="s">
        <v>35</v>
      </c>
      <c r="C665" s="8">
        <v>45575.0</v>
      </c>
      <c r="D665" s="6" t="s">
        <v>764</v>
      </c>
      <c r="E665" s="6" t="s">
        <v>3742</v>
      </c>
      <c r="F665" s="10"/>
      <c r="G665" s="6" t="s">
        <v>3743</v>
      </c>
      <c r="H665" s="6" t="s">
        <v>195</v>
      </c>
      <c r="I665" s="17" t="b">
        <v>0</v>
      </c>
      <c r="J665" s="6" t="s">
        <v>546</v>
      </c>
      <c r="K665" s="10"/>
      <c r="L665" s="10"/>
      <c r="M665" s="10"/>
      <c r="N665" s="10"/>
      <c r="O665" s="18">
        <v>541.5</v>
      </c>
      <c r="P665" s="10"/>
      <c r="Q665" s="17" t="b">
        <v>1</v>
      </c>
      <c r="R665" s="10"/>
    </row>
    <row r="666">
      <c r="A666" s="6" t="s">
        <v>3745</v>
      </c>
      <c r="B666" s="6" t="s">
        <v>35</v>
      </c>
      <c r="C666" s="8">
        <v>45576.0</v>
      </c>
      <c r="D666" s="6" t="s">
        <v>112</v>
      </c>
      <c r="E666" s="6" t="s">
        <v>3746</v>
      </c>
      <c r="F666" s="10"/>
      <c r="G666" s="6" t="s">
        <v>3748</v>
      </c>
      <c r="H666" s="6" t="s">
        <v>157</v>
      </c>
      <c r="I666" s="17" t="b">
        <v>0</v>
      </c>
      <c r="J666" s="6" t="s">
        <v>546</v>
      </c>
      <c r="K666" s="10"/>
      <c r="L666" s="10"/>
      <c r="M666" s="10"/>
      <c r="N666" s="10"/>
      <c r="O666" s="18">
        <v>265.65</v>
      </c>
      <c r="P666" s="10"/>
      <c r="Q666" s="17" t="b">
        <v>1</v>
      </c>
      <c r="R666" s="10"/>
    </row>
    <row r="667">
      <c r="A667" s="6" t="s">
        <v>3749</v>
      </c>
      <c r="B667" s="6" t="s">
        <v>35</v>
      </c>
      <c r="C667" s="8">
        <v>45576.0</v>
      </c>
      <c r="D667" s="6" t="s">
        <v>175</v>
      </c>
      <c r="E667" s="6" t="s">
        <v>3751</v>
      </c>
      <c r="F667" s="10"/>
      <c r="G667" s="6" t="s">
        <v>3752</v>
      </c>
      <c r="H667" s="6" t="s">
        <v>3753</v>
      </c>
      <c r="I667" s="17" t="b">
        <v>0</v>
      </c>
      <c r="J667" s="6" t="s">
        <v>546</v>
      </c>
      <c r="K667" s="10"/>
      <c r="L667" s="10"/>
      <c r="M667" s="10"/>
      <c r="N667" s="10"/>
      <c r="O667" s="18">
        <v>349.34</v>
      </c>
      <c r="P667" s="10"/>
      <c r="Q667" s="17" t="b">
        <v>1</v>
      </c>
      <c r="R667" s="10"/>
    </row>
    <row r="668">
      <c r="A668" s="6" t="s">
        <v>3755</v>
      </c>
      <c r="B668" s="6" t="s">
        <v>35</v>
      </c>
      <c r="C668" s="8">
        <v>45577.0</v>
      </c>
      <c r="D668" s="6" t="s">
        <v>3756</v>
      </c>
      <c r="E668" s="6" t="s">
        <v>3757</v>
      </c>
      <c r="F668" s="10"/>
      <c r="G668" s="6" t="s">
        <v>3758</v>
      </c>
      <c r="H668" s="6" t="s">
        <v>3759</v>
      </c>
      <c r="I668" s="17" t="b">
        <v>0</v>
      </c>
      <c r="J668" s="6" t="s">
        <v>546</v>
      </c>
      <c r="K668" s="10"/>
      <c r="L668" s="10"/>
      <c r="M668" s="10"/>
      <c r="N668" s="10"/>
      <c r="O668" s="18">
        <v>450.0</v>
      </c>
      <c r="P668" s="10"/>
      <c r="Q668" s="17" t="b">
        <v>1</v>
      </c>
      <c r="R668" s="10"/>
    </row>
    <row r="669">
      <c r="A669" s="6" t="s">
        <v>3761</v>
      </c>
      <c r="B669" s="6" t="s">
        <v>35</v>
      </c>
      <c r="C669" s="8">
        <v>45579.0</v>
      </c>
      <c r="D669" s="6" t="s">
        <v>307</v>
      </c>
      <c r="E669" s="6" t="s">
        <v>3762</v>
      </c>
      <c r="F669" s="10"/>
      <c r="G669" s="6" t="s">
        <v>3763</v>
      </c>
      <c r="H669" s="6" t="s">
        <v>3764</v>
      </c>
      <c r="I669" s="17" t="b">
        <v>0</v>
      </c>
      <c r="J669" s="6" t="s">
        <v>546</v>
      </c>
      <c r="K669" s="10"/>
      <c r="L669" s="10"/>
      <c r="M669" s="10"/>
      <c r="N669" s="10"/>
      <c r="O669" s="18">
        <v>34.4</v>
      </c>
      <c r="P669" s="10"/>
      <c r="Q669" s="17" t="b">
        <v>1</v>
      </c>
      <c r="R669" s="10"/>
    </row>
    <row r="670">
      <c r="A670" s="6" t="s">
        <v>3766</v>
      </c>
      <c r="B670" s="6" t="s">
        <v>35</v>
      </c>
      <c r="C670" s="8">
        <v>45579.0</v>
      </c>
      <c r="D670" s="6" t="s">
        <v>3767</v>
      </c>
      <c r="E670" s="6" t="s">
        <v>3770</v>
      </c>
      <c r="F670" s="10"/>
      <c r="G670" s="6" t="s">
        <v>3771</v>
      </c>
      <c r="H670" s="6" t="s">
        <v>3772</v>
      </c>
      <c r="I670" s="17" t="b">
        <v>0</v>
      </c>
      <c r="J670" s="6" t="s">
        <v>546</v>
      </c>
      <c r="K670" s="10"/>
      <c r="L670" s="10"/>
      <c r="M670" s="10"/>
      <c r="N670" s="10"/>
      <c r="O670" s="18">
        <v>23.4</v>
      </c>
      <c r="P670" s="10"/>
      <c r="Q670" s="17" t="b">
        <v>1</v>
      </c>
      <c r="R670" s="10"/>
    </row>
    <row r="671">
      <c r="A671" s="6" t="s">
        <v>3774</v>
      </c>
      <c r="B671" s="6" t="s">
        <v>35</v>
      </c>
      <c r="C671" s="8">
        <v>45579.0</v>
      </c>
      <c r="D671" s="6" t="s">
        <v>543</v>
      </c>
      <c r="E671" s="6" t="s">
        <v>3775</v>
      </c>
      <c r="F671" s="10"/>
      <c r="G671" s="6" t="s">
        <v>3776</v>
      </c>
      <c r="H671" s="6" t="s">
        <v>171</v>
      </c>
      <c r="I671" s="17" t="b">
        <v>0</v>
      </c>
      <c r="J671" s="6" t="s">
        <v>546</v>
      </c>
      <c r="K671" s="10"/>
      <c r="L671" s="10"/>
      <c r="M671" s="10"/>
      <c r="N671" s="10"/>
      <c r="O671" s="18">
        <v>400.0</v>
      </c>
      <c r="P671" s="10"/>
      <c r="Q671" s="17" t="b">
        <v>1</v>
      </c>
      <c r="R671" s="10"/>
    </row>
    <row r="672">
      <c r="A672" s="6" t="s">
        <v>3777</v>
      </c>
      <c r="B672" s="6" t="s">
        <v>35</v>
      </c>
      <c r="C672" s="8">
        <v>45579.0</v>
      </c>
      <c r="D672" s="6" t="s">
        <v>112</v>
      </c>
      <c r="E672" s="6" t="s">
        <v>3778</v>
      </c>
      <c r="F672" s="10"/>
      <c r="G672" s="6" t="s">
        <v>3779</v>
      </c>
      <c r="H672" s="6" t="s">
        <v>157</v>
      </c>
      <c r="I672" s="17" t="b">
        <v>0</v>
      </c>
      <c r="J672" s="6" t="s">
        <v>546</v>
      </c>
      <c r="K672" s="10"/>
      <c r="L672" s="10"/>
      <c r="M672" s="10"/>
      <c r="N672" s="10"/>
      <c r="O672" s="18">
        <v>247.19</v>
      </c>
      <c r="P672" s="10"/>
      <c r="Q672" s="17" t="b">
        <v>1</v>
      </c>
      <c r="R672" s="10"/>
    </row>
    <row r="673">
      <c r="A673" s="6" t="s">
        <v>3781</v>
      </c>
      <c r="B673" s="6" t="s">
        <v>35</v>
      </c>
      <c r="C673" s="8">
        <v>45579.0</v>
      </c>
      <c r="D673" s="6" t="s">
        <v>353</v>
      </c>
      <c r="E673" s="6" t="s">
        <v>3783</v>
      </c>
      <c r="F673" s="10"/>
      <c r="G673" s="6" t="s">
        <v>3784</v>
      </c>
      <c r="H673" s="6" t="s">
        <v>3785</v>
      </c>
      <c r="I673" s="17" t="b">
        <v>0</v>
      </c>
      <c r="J673" s="6" t="s">
        <v>546</v>
      </c>
      <c r="K673" s="10"/>
      <c r="L673" s="10"/>
      <c r="M673" s="10"/>
      <c r="N673" s="10"/>
      <c r="O673" s="18">
        <v>135.38</v>
      </c>
      <c r="P673" s="10"/>
      <c r="Q673" s="17" t="b">
        <v>1</v>
      </c>
      <c r="R673" s="10"/>
    </row>
    <row r="674">
      <c r="A674" s="6" t="s">
        <v>3786</v>
      </c>
      <c r="B674" s="6" t="s">
        <v>35</v>
      </c>
      <c r="C674" s="8">
        <v>45580.0</v>
      </c>
      <c r="D674" s="6" t="s">
        <v>890</v>
      </c>
      <c r="E674" s="10"/>
      <c r="F674" s="10"/>
      <c r="G674" s="10"/>
      <c r="H674" s="6" t="s">
        <v>3788</v>
      </c>
      <c r="I674" s="10"/>
      <c r="J674" s="6" t="s">
        <v>539</v>
      </c>
      <c r="K674" s="10"/>
      <c r="L674" s="10"/>
      <c r="M674" s="10"/>
      <c r="N674" s="10"/>
      <c r="O674" s="18">
        <v>250.0</v>
      </c>
      <c r="P674" s="10"/>
      <c r="Q674" s="6"/>
      <c r="R674" s="10"/>
    </row>
    <row r="675">
      <c r="A675" s="6" t="s">
        <v>3790</v>
      </c>
      <c r="B675" s="6" t="s">
        <v>35</v>
      </c>
      <c r="C675" s="8">
        <v>45580.0</v>
      </c>
      <c r="D675" s="6" t="s">
        <v>2248</v>
      </c>
      <c r="E675" s="10"/>
      <c r="F675" s="10"/>
      <c r="G675" s="10"/>
      <c r="H675" s="6" t="s">
        <v>2549</v>
      </c>
      <c r="I675" s="10"/>
      <c r="J675" s="6" t="s">
        <v>539</v>
      </c>
      <c r="K675" s="10"/>
      <c r="L675" s="10"/>
      <c r="M675" s="10"/>
      <c r="N675" s="10"/>
      <c r="O675" s="18">
        <v>352.95</v>
      </c>
      <c r="P675" s="10"/>
      <c r="Q675" s="6"/>
      <c r="R675" s="10"/>
    </row>
    <row r="676">
      <c r="A676" s="6" t="s">
        <v>3792</v>
      </c>
      <c r="B676" s="6" t="s">
        <v>35</v>
      </c>
      <c r="C676" s="8">
        <v>45582.0</v>
      </c>
      <c r="D676" s="10"/>
      <c r="E676" s="10"/>
      <c r="F676" s="10"/>
      <c r="G676" s="10"/>
      <c r="H676" s="6" t="s">
        <v>1329</v>
      </c>
      <c r="I676" s="10"/>
      <c r="J676" s="6" t="s">
        <v>539</v>
      </c>
      <c r="K676" s="6" t="s">
        <v>2052</v>
      </c>
      <c r="L676" s="10"/>
      <c r="M676" s="10"/>
      <c r="N676" s="10"/>
      <c r="O676" s="18">
        <v>500.0</v>
      </c>
      <c r="P676" s="10"/>
      <c r="Q676" s="6"/>
      <c r="R676" s="10"/>
    </row>
    <row r="677">
      <c r="A677" s="6" t="s">
        <v>3794</v>
      </c>
      <c r="B677" s="6" t="s">
        <v>35</v>
      </c>
      <c r="C677" s="8">
        <v>45584.0</v>
      </c>
      <c r="D677" s="10"/>
      <c r="E677" s="10"/>
      <c r="F677" s="10"/>
      <c r="G677" s="10"/>
      <c r="H677" s="6" t="s">
        <v>1329</v>
      </c>
      <c r="I677" s="10"/>
      <c r="J677" s="6" t="s">
        <v>539</v>
      </c>
      <c r="K677" s="6" t="s">
        <v>3795</v>
      </c>
      <c r="L677" s="10"/>
      <c r="M677" s="10"/>
      <c r="N677" s="10"/>
      <c r="O677" s="18">
        <v>500.0</v>
      </c>
      <c r="P677" s="10"/>
      <c r="Q677" s="6"/>
      <c r="R677" s="10"/>
    </row>
    <row r="678">
      <c r="A678" s="6" t="s">
        <v>3797</v>
      </c>
      <c r="B678" s="6" t="s">
        <v>35</v>
      </c>
      <c r="C678" s="8">
        <v>45586.0</v>
      </c>
      <c r="D678" s="6" t="s">
        <v>460</v>
      </c>
      <c r="E678" s="10"/>
      <c r="F678" s="10"/>
      <c r="G678" s="10"/>
      <c r="H678" s="6" t="s">
        <v>3798</v>
      </c>
      <c r="I678" s="10"/>
      <c r="J678" s="6" t="s">
        <v>539</v>
      </c>
      <c r="K678" s="10"/>
      <c r="L678" s="10"/>
      <c r="M678" s="10"/>
      <c r="N678" s="10"/>
      <c r="O678" s="18">
        <v>1000.0</v>
      </c>
      <c r="P678" s="10"/>
      <c r="Q678" s="6"/>
      <c r="R678" s="10"/>
    </row>
    <row r="679">
      <c r="A679" s="6" t="s">
        <v>3800</v>
      </c>
      <c r="B679" s="6" t="s">
        <v>35</v>
      </c>
      <c r="C679" s="8">
        <v>45580.0</v>
      </c>
      <c r="D679" s="6" t="s">
        <v>1918</v>
      </c>
      <c r="E679" s="6" t="s">
        <v>3801</v>
      </c>
      <c r="F679" s="10"/>
      <c r="G679" s="6" t="s">
        <v>3803</v>
      </c>
      <c r="H679" s="6" t="s">
        <v>3804</v>
      </c>
      <c r="I679" s="17" t="b">
        <v>1</v>
      </c>
      <c r="J679" s="6" t="s">
        <v>546</v>
      </c>
      <c r="K679" s="10"/>
      <c r="L679" s="10"/>
      <c r="M679" s="10"/>
      <c r="N679" s="10"/>
      <c r="O679" s="18">
        <v>21.8</v>
      </c>
      <c r="P679" s="18">
        <v>1102317.0</v>
      </c>
      <c r="Q679" s="17" t="b">
        <v>1</v>
      </c>
      <c r="R679" s="10"/>
    </row>
    <row r="680">
      <c r="A680" s="6" t="s">
        <v>3805</v>
      </c>
      <c r="B680" s="6" t="s">
        <v>35</v>
      </c>
      <c r="C680" s="8">
        <v>45581.0</v>
      </c>
      <c r="D680" s="6" t="s">
        <v>112</v>
      </c>
      <c r="E680" s="6" t="s">
        <v>3807</v>
      </c>
      <c r="F680" s="10"/>
      <c r="G680" s="6" t="s">
        <v>3808</v>
      </c>
      <c r="H680" s="6" t="s">
        <v>157</v>
      </c>
      <c r="I680" s="17" t="b">
        <v>0</v>
      </c>
      <c r="J680" s="6" t="s">
        <v>546</v>
      </c>
      <c r="K680" s="10"/>
      <c r="L680" s="10"/>
      <c r="M680" s="10"/>
      <c r="N680" s="10"/>
      <c r="O680" s="18">
        <v>253.07</v>
      </c>
      <c r="P680" s="10"/>
      <c r="Q680" s="17" t="b">
        <v>1</v>
      </c>
      <c r="R680" s="10"/>
    </row>
    <row r="681">
      <c r="A681" s="6" t="s">
        <v>3810</v>
      </c>
      <c r="B681" s="6" t="s">
        <v>35</v>
      </c>
      <c r="C681" s="8">
        <v>45581.0</v>
      </c>
      <c r="D681" s="6" t="s">
        <v>890</v>
      </c>
      <c r="E681" s="6" t="s">
        <v>3811</v>
      </c>
      <c r="F681" s="10"/>
      <c r="G681" s="6" t="s">
        <v>3812</v>
      </c>
      <c r="H681" s="6" t="s">
        <v>3813</v>
      </c>
      <c r="I681" s="17" t="b">
        <v>0</v>
      </c>
      <c r="J681" s="6" t="s">
        <v>546</v>
      </c>
      <c r="K681" s="10"/>
      <c r="L681" s="10"/>
      <c r="M681" s="10"/>
      <c r="N681" s="10"/>
      <c r="O681" s="18">
        <v>9024.49</v>
      </c>
      <c r="P681" s="10"/>
      <c r="Q681" s="17" t="b">
        <v>1</v>
      </c>
      <c r="R681" s="10"/>
    </row>
    <row r="682">
      <c r="A682" s="6" t="s">
        <v>3815</v>
      </c>
      <c r="B682" s="6" t="s">
        <v>35</v>
      </c>
      <c r="C682" s="8">
        <v>45583.0</v>
      </c>
      <c r="D682" s="6" t="s">
        <v>3816</v>
      </c>
      <c r="E682" s="6" t="s">
        <v>3817</v>
      </c>
      <c r="F682" s="10"/>
      <c r="G682" s="6" t="s">
        <v>3819</v>
      </c>
      <c r="H682" s="6" t="s">
        <v>3820</v>
      </c>
      <c r="I682" s="17" t="b">
        <v>0</v>
      </c>
      <c r="J682" s="6" t="s">
        <v>546</v>
      </c>
      <c r="K682" s="10"/>
      <c r="L682" s="10"/>
      <c r="M682" s="10"/>
      <c r="N682" s="10"/>
      <c r="O682" s="18">
        <v>59.51</v>
      </c>
      <c r="P682" s="10"/>
      <c r="Q682" s="17" t="b">
        <v>1</v>
      </c>
      <c r="R682" s="10"/>
    </row>
    <row r="683">
      <c r="A683" s="6" t="s">
        <v>3821</v>
      </c>
      <c r="B683" s="6" t="s">
        <v>35</v>
      </c>
      <c r="C683" s="8">
        <v>45583.0</v>
      </c>
      <c r="D683" s="18">
        <v>8.627274E7</v>
      </c>
      <c r="E683" s="6" t="s">
        <v>3824</v>
      </c>
      <c r="F683" s="10"/>
      <c r="G683" s="6" t="s">
        <v>3825</v>
      </c>
      <c r="H683" s="6" t="s">
        <v>3826</v>
      </c>
      <c r="I683" s="17" t="b">
        <v>0</v>
      </c>
      <c r="J683" s="6" t="s">
        <v>546</v>
      </c>
      <c r="K683" s="10"/>
      <c r="L683" s="10"/>
      <c r="M683" s="10"/>
      <c r="N683" s="10"/>
      <c r="O683" s="18">
        <v>21.98</v>
      </c>
      <c r="P683" s="10"/>
      <c r="Q683" s="17" t="b">
        <v>1</v>
      </c>
      <c r="R683" s="10"/>
    </row>
    <row r="684">
      <c r="A684" s="6" t="s">
        <v>3828</v>
      </c>
      <c r="B684" s="6" t="s">
        <v>35</v>
      </c>
      <c r="C684" s="8">
        <v>45583.0</v>
      </c>
      <c r="D684" s="6" t="s">
        <v>543</v>
      </c>
      <c r="E684" s="6" t="s">
        <v>3829</v>
      </c>
      <c r="F684" s="10"/>
      <c r="G684" s="6" t="s">
        <v>3830</v>
      </c>
      <c r="H684" s="6" t="s">
        <v>171</v>
      </c>
      <c r="I684" s="17" t="b">
        <v>0</v>
      </c>
      <c r="J684" s="6" t="s">
        <v>546</v>
      </c>
      <c r="K684" s="10"/>
      <c r="L684" s="10"/>
      <c r="M684" s="10"/>
      <c r="N684" s="10"/>
      <c r="O684" s="18">
        <v>360.0</v>
      </c>
      <c r="P684" s="10"/>
      <c r="Q684" s="17" t="b">
        <v>1</v>
      </c>
      <c r="R684" s="10"/>
    </row>
    <row r="685">
      <c r="A685" s="6" t="s">
        <v>3832</v>
      </c>
      <c r="B685" s="6" t="s">
        <v>35</v>
      </c>
      <c r="C685" s="8">
        <v>45583.0</v>
      </c>
      <c r="D685" s="6" t="s">
        <v>112</v>
      </c>
      <c r="E685" s="6" t="s">
        <v>3834</v>
      </c>
      <c r="F685" s="10"/>
      <c r="G685" s="6" t="s">
        <v>3836</v>
      </c>
      <c r="H685" s="6" t="s">
        <v>157</v>
      </c>
      <c r="I685" s="17" t="b">
        <v>0</v>
      </c>
      <c r="J685" s="6" t="s">
        <v>546</v>
      </c>
      <c r="K685" s="10"/>
      <c r="L685" s="10"/>
      <c r="M685" s="10"/>
      <c r="N685" s="10"/>
      <c r="O685" s="18">
        <v>318.38</v>
      </c>
      <c r="P685" s="10"/>
      <c r="Q685" s="17" t="b">
        <v>1</v>
      </c>
      <c r="R685" s="10"/>
    </row>
    <row r="686">
      <c r="A686" s="6" t="s">
        <v>3837</v>
      </c>
      <c r="B686" s="6" t="s">
        <v>35</v>
      </c>
      <c r="C686" s="8">
        <v>45584.0</v>
      </c>
      <c r="D686" s="6" t="s">
        <v>890</v>
      </c>
      <c r="E686" s="6" t="s">
        <v>3839</v>
      </c>
      <c r="F686" s="10"/>
      <c r="G686" s="6" t="s">
        <v>3840</v>
      </c>
      <c r="H686" s="6" t="s">
        <v>2894</v>
      </c>
      <c r="I686" s="17" t="b">
        <v>0</v>
      </c>
      <c r="J686" s="6" t="s">
        <v>546</v>
      </c>
      <c r="K686" s="10"/>
      <c r="L686" s="10"/>
      <c r="M686" s="10"/>
      <c r="N686" s="10"/>
      <c r="O686" s="18">
        <v>17517.49</v>
      </c>
      <c r="P686" s="10"/>
      <c r="Q686" s="17" t="b">
        <v>1</v>
      </c>
      <c r="R686" s="10"/>
    </row>
    <row r="687">
      <c r="A687" s="6" t="s">
        <v>3842</v>
      </c>
      <c r="B687" s="6" t="s">
        <v>35</v>
      </c>
      <c r="C687" s="8">
        <v>45584.0</v>
      </c>
      <c r="D687" s="6" t="s">
        <v>193</v>
      </c>
      <c r="E687" s="6" t="s">
        <v>3843</v>
      </c>
      <c r="F687" s="10"/>
      <c r="G687" s="6" t="s">
        <v>3844</v>
      </c>
      <c r="H687" s="6" t="s">
        <v>195</v>
      </c>
      <c r="I687" s="17" t="b">
        <v>0</v>
      </c>
      <c r="J687" s="6" t="s">
        <v>546</v>
      </c>
      <c r="K687" s="10"/>
      <c r="L687" s="10"/>
      <c r="M687" s="10"/>
      <c r="N687" s="10"/>
      <c r="O687" s="18">
        <v>672.24</v>
      </c>
      <c r="P687" s="10"/>
      <c r="Q687" s="17" t="b">
        <v>1</v>
      </c>
      <c r="R687" s="10"/>
    </row>
    <row r="688">
      <c r="A688" s="6" t="s">
        <v>3846</v>
      </c>
      <c r="B688" s="6" t="s">
        <v>35</v>
      </c>
      <c r="C688" s="8">
        <v>45584.0</v>
      </c>
      <c r="D688" s="6" t="s">
        <v>193</v>
      </c>
      <c r="E688" s="6" t="s">
        <v>3843</v>
      </c>
      <c r="F688" s="10"/>
      <c r="G688" s="6" t="s">
        <v>3847</v>
      </c>
      <c r="H688" s="6" t="s">
        <v>195</v>
      </c>
      <c r="I688" s="17" t="b">
        <v>0</v>
      </c>
      <c r="J688" s="6" t="s">
        <v>546</v>
      </c>
      <c r="K688" s="10"/>
      <c r="L688" s="10"/>
      <c r="M688" s="10"/>
      <c r="N688" s="10"/>
      <c r="O688" s="18">
        <v>29.88</v>
      </c>
      <c r="P688" s="10"/>
      <c r="Q688" s="17" t="b">
        <v>1</v>
      </c>
      <c r="R688" s="10"/>
    </row>
    <row r="689">
      <c r="A689" s="6" t="s">
        <v>3849</v>
      </c>
      <c r="B689" s="6" t="s">
        <v>35</v>
      </c>
      <c r="C689" s="8">
        <v>45581.0</v>
      </c>
      <c r="D689" s="6" t="s">
        <v>420</v>
      </c>
      <c r="E689" s="6" t="s">
        <v>3851</v>
      </c>
      <c r="F689" s="10"/>
      <c r="G689" s="6" t="s">
        <v>3852</v>
      </c>
      <c r="H689" s="6" t="s">
        <v>369</v>
      </c>
      <c r="I689" s="17" t="b">
        <v>1</v>
      </c>
      <c r="J689" s="6" t="s">
        <v>546</v>
      </c>
      <c r="K689" s="10"/>
      <c r="L689" s="10"/>
      <c r="M689" s="10"/>
      <c r="N689" s="10"/>
      <c r="O689" s="18">
        <v>1017.13</v>
      </c>
      <c r="P689" s="18">
        <v>1105635.0</v>
      </c>
      <c r="Q689" s="17" t="b">
        <v>1</v>
      </c>
      <c r="R689" s="10"/>
    </row>
    <row r="690">
      <c r="A690" s="6" t="s">
        <v>3854</v>
      </c>
      <c r="B690" s="6" t="s">
        <v>35</v>
      </c>
      <c r="C690" s="8">
        <v>45587.0</v>
      </c>
      <c r="D690" s="6" t="s">
        <v>112</v>
      </c>
      <c r="E690" s="6" t="s">
        <v>3855</v>
      </c>
      <c r="F690" s="10"/>
      <c r="G690" s="6" t="s">
        <v>3856</v>
      </c>
      <c r="H690" s="6" t="s">
        <v>157</v>
      </c>
      <c r="I690" s="17" t="b">
        <v>0</v>
      </c>
      <c r="J690" s="6" t="s">
        <v>546</v>
      </c>
      <c r="K690" s="10"/>
      <c r="L690" s="10"/>
      <c r="M690" s="10"/>
      <c r="N690" s="10"/>
      <c r="O690" s="18">
        <v>167.59</v>
      </c>
      <c r="P690" s="10"/>
      <c r="Q690" s="17" t="b">
        <v>1</v>
      </c>
      <c r="R690" s="10"/>
    </row>
    <row r="691">
      <c r="A691" s="6" t="s">
        <v>3858</v>
      </c>
      <c r="B691" s="6" t="s">
        <v>35</v>
      </c>
      <c r="C691" s="8">
        <v>45588.0</v>
      </c>
      <c r="D691" s="6" t="s">
        <v>543</v>
      </c>
      <c r="E691" s="6" t="s">
        <v>3859</v>
      </c>
      <c r="F691" s="10"/>
      <c r="G691" s="6" t="s">
        <v>3860</v>
      </c>
      <c r="H691" s="6" t="s">
        <v>171</v>
      </c>
      <c r="I691" s="17" t="b">
        <v>0</v>
      </c>
      <c r="J691" s="6" t="s">
        <v>546</v>
      </c>
      <c r="K691" s="10"/>
      <c r="L691" s="10"/>
      <c r="M691" s="10"/>
      <c r="N691" s="10"/>
      <c r="O691" s="18">
        <v>400.0</v>
      </c>
      <c r="P691" s="10"/>
      <c r="Q691" s="17" t="b">
        <v>1</v>
      </c>
      <c r="R691" s="10"/>
    </row>
    <row r="692">
      <c r="A692" s="6" t="s">
        <v>3862</v>
      </c>
      <c r="B692" s="6" t="s">
        <v>35</v>
      </c>
      <c r="C692" s="8">
        <v>45588.0</v>
      </c>
      <c r="D692" s="6" t="s">
        <v>1414</v>
      </c>
      <c r="E692" s="6" t="s">
        <v>3863</v>
      </c>
      <c r="F692" s="10"/>
      <c r="G692" s="6" t="s">
        <v>3864</v>
      </c>
      <c r="H692" s="6" t="s">
        <v>1250</v>
      </c>
      <c r="I692" s="17" t="b">
        <v>0</v>
      </c>
      <c r="J692" s="6" t="s">
        <v>546</v>
      </c>
      <c r="K692" s="10"/>
      <c r="L692" s="10"/>
      <c r="M692" s="10"/>
      <c r="N692" s="10"/>
      <c r="O692" s="18">
        <v>50.0</v>
      </c>
      <c r="P692" s="10"/>
      <c r="Q692" s="17" t="b">
        <v>1</v>
      </c>
      <c r="R692" s="10"/>
    </row>
    <row r="693">
      <c r="A693" s="6" t="s">
        <v>3866</v>
      </c>
      <c r="B693" s="6" t="s">
        <v>35</v>
      </c>
      <c r="C693" s="8">
        <v>45589.0</v>
      </c>
      <c r="D693" s="6" t="s">
        <v>3155</v>
      </c>
      <c r="E693" s="6" t="s">
        <v>3868</v>
      </c>
      <c r="F693" s="10"/>
      <c r="G693" s="6" t="s">
        <v>3869</v>
      </c>
      <c r="H693" s="6" t="s">
        <v>3870</v>
      </c>
      <c r="I693" s="17" t="b">
        <v>0</v>
      </c>
      <c r="J693" s="6" t="s">
        <v>546</v>
      </c>
      <c r="K693" s="10"/>
      <c r="L693" s="10"/>
      <c r="M693" s="10"/>
      <c r="N693" s="10"/>
      <c r="O693" s="18">
        <v>118.0</v>
      </c>
      <c r="P693" s="10"/>
      <c r="Q693" s="17" t="b">
        <v>1</v>
      </c>
      <c r="R693" s="10"/>
    </row>
    <row r="694">
      <c r="A694" s="6" t="s">
        <v>3871</v>
      </c>
      <c r="B694" s="6" t="s">
        <v>35</v>
      </c>
      <c r="C694" s="8">
        <v>45589.0</v>
      </c>
      <c r="D694" s="10"/>
      <c r="E694" s="10"/>
      <c r="F694" s="10"/>
      <c r="G694" s="10"/>
      <c r="H694" s="6" t="s">
        <v>1329</v>
      </c>
      <c r="I694" s="10"/>
      <c r="J694" s="6" t="s">
        <v>539</v>
      </c>
      <c r="K694" s="6" t="s">
        <v>227</v>
      </c>
      <c r="L694" s="10"/>
      <c r="M694" s="10"/>
      <c r="N694" s="10"/>
      <c r="O694" s="18">
        <v>200.0</v>
      </c>
      <c r="P694" s="10"/>
      <c r="Q694" s="6"/>
      <c r="R694" s="10"/>
    </row>
    <row r="695">
      <c r="A695" s="6" t="s">
        <v>3875</v>
      </c>
      <c r="B695" s="6" t="s">
        <v>35</v>
      </c>
      <c r="C695" s="8">
        <v>45589.0</v>
      </c>
      <c r="D695" s="6" t="s">
        <v>2096</v>
      </c>
      <c r="E695" s="6" t="s">
        <v>3876</v>
      </c>
      <c r="F695" s="10"/>
      <c r="G695" s="6" t="s">
        <v>3877</v>
      </c>
      <c r="H695" s="6" t="s">
        <v>3878</v>
      </c>
      <c r="I695" s="17" t="b">
        <v>1</v>
      </c>
      <c r="J695" s="6" t="s">
        <v>546</v>
      </c>
      <c r="K695" s="10"/>
      <c r="L695" s="10"/>
      <c r="M695" s="10"/>
      <c r="N695" s="10"/>
      <c r="O695" s="18">
        <v>165.0</v>
      </c>
      <c r="P695" s="18">
        <v>1115205.0</v>
      </c>
      <c r="Q695" s="17" t="b">
        <v>1</v>
      </c>
      <c r="R695" s="10"/>
    </row>
    <row r="696">
      <c r="A696" s="6" t="s">
        <v>3880</v>
      </c>
      <c r="B696" s="6" t="s">
        <v>35</v>
      </c>
      <c r="C696" s="8">
        <v>45589.0</v>
      </c>
      <c r="D696" s="6" t="s">
        <v>764</v>
      </c>
      <c r="E696" s="6" t="s">
        <v>3881</v>
      </c>
      <c r="F696" s="10"/>
      <c r="G696" s="6" t="s">
        <v>3882</v>
      </c>
      <c r="H696" s="6" t="s">
        <v>195</v>
      </c>
      <c r="I696" s="17" t="b">
        <v>0</v>
      </c>
      <c r="J696" s="6" t="s">
        <v>546</v>
      </c>
      <c r="K696" s="10"/>
      <c r="L696" s="10"/>
      <c r="M696" s="10"/>
      <c r="N696" s="10"/>
      <c r="O696" s="18">
        <v>290.0</v>
      </c>
      <c r="P696" s="10"/>
      <c r="Q696" s="17" t="b">
        <v>1</v>
      </c>
      <c r="R696" s="10"/>
    </row>
    <row r="697">
      <c r="A697" s="6" t="s">
        <v>3884</v>
      </c>
      <c r="B697" s="6" t="s">
        <v>35</v>
      </c>
      <c r="C697" s="8">
        <v>45361.0</v>
      </c>
      <c r="D697" s="6" t="s">
        <v>2439</v>
      </c>
      <c r="E697" s="6" t="s">
        <v>3886</v>
      </c>
      <c r="F697" s="10"/>
      <c r="G697" s="6" t="s">
        <v>3887</v>
      </c>
      <c r="H697" s="6" t="s">
        <v>3888</v>
      </c>
      <c r="I697" s="17" t="b">
        <v>0</v>
      </c>
      <c r="J697" s="6" t="s">
        <v>546</v>
      </c>
      <c r="K697" s="10"/>
      <c r="L697" s="10"/>
      <c r="M697" s="10"/>
      <c r="N697" s="10"/>
      <c r="O697" s="18">
        <v>193.0</v>
      </c>
      <c r="P697" s="10"/>
      <c r="Q697" s="17" t="b">
        <v>1</v>
      </c>
      <c r="R697" s="10"/>
    </row>
    <row r="698">
      <c r="A698" s="6" t="s">
        <v>3890</v>
      </c>
      <c r="B698" s="6" t="s">
        <v>35</v>
      </c>
      <c r="C698" s="8">
        <v>45590.0</v>
      </c>
      <c r="D698" s="6" t="s">
        <v>112</v>
      </c>
      <c r="E698" s="6" t="s">
        <v>3892</v>
      </c>
      <c r="F698" s="10"/>
      <c r="G698" s="6" t="s">
        <v>3893</v>
      </c>
      <c r="H698" s="6" t="s">
        <v>157</v>
      </c>
      <c r="I698" s="17" t="b">
        <v>0</v>
      </c>
      <c r="J698" s="6" t="s">
        <v>546</v>
      </c>
      <c r="K698" s="10"/>
      <c r="L698" s="10"/>
      <c r="M698" s="10"/>
      <c r="N698" s="10"/>
      <c r="O698" s="18">
        <v>338.26</v>
      </c>
      <c r="P698" s="10"/>
      <c r="Q698" s="17" t="b">
        <v>1</v>
      </c>
      <c r="R698" s="10"/>
    </row>
    <row r="699">
      <c r="A699" s="6" t="s">
        <v>3894</v>
      </c>
      <c r="B699" s="6" t="s">
        <v>35</v>
      </c>
      <c r="C699" s="8">
        <v>45590.0</v>
      </c>
      <c r="D699" s="18">
        <v>8.627274E7</v>
      </c>
      <c r="E699" s="6" t="s">
        <v>3896</v>
      </c>
      <c r="F699" s="10"/>
      <c r="G699" s="6" t="s">
        <v>3897</v>
      </c>
      <c r="H699" s="6" t="s">
        <v>3898</v>
      </c>
      <c r="I699" s="17" t="b">
        <v>0</v>
      </c>
      <c r="J699" s="6" t="s">
        <v>546</v>
      </c>
      <c r="K699" s="10"/>
      <c r="L699" s="10"/>
      <c r="M699" s="10"/>
      <c r="N699" s="10"/>
      <c r="O699" s="18">
        <v>52.73</v>
      </c>
      <c r="P699" s="10"/>
      <c r="Q699" s="17" t="b">
        <v>1</v>
      </c>
      <c r="R699" s="10"/>
    </row>
    <row r="700">
      <c r="A700" s="6" t="s">
        <v>3900</v>
      </c>
      <c r="B700" s="6" t="s">
        <v>35</v>
      </c>
      <c r="C700" s="8">
        <v>45591.0</v>
      </c>
      <c r="D700" s="6" t="s">
        <v>1557</v>
      </c>
      <c r="E700" s="6" t="s">
        <v>3901</v>
      </c>
      <c r="F700" s="10"/>
      <c r="G700" s="6" t="s">
        <v>3902</v>
      </c>
      <c r="H700" s="6" t="s">
        <v>3903</v>
      </c>
      <c r="I700" s="17" t="b">
        <v>0</v>
      </c>
      <c r="J700" s="6" t="s">
        <v>546</v>
      </c>
      <c r="K700" s="10"/>
      <c r="L700" s="10"/>
      <c r="M700" s="10"/>
      <c r="N700" s="10"/>
      <c r="O700" s="18">
        <v>110.0</v>
      </c>
      <c r="P700" s="10"/>
      <c r="Q700" s="17" t="b">
        <v>1</v>
      </c>
      <c r="R700" s="10"/>
    </row>
    <row r="701">
      <c r="A701" s="6" t="s">
        <v>3905</v>
      </c>
      <c r="B701" s="6" t="s">
        <v>35</v>
      </c>
      <c r="C701" s="8">
        <v>45591.0</v>
      </c>
      <c r="D701" s="6" t="s">
        <v>112</v>
      </c>
      <c r="E701" s="6" t="s">
        <v>3906</v>
      </c>
      <c r="F701" s="10"/>
      <c r="G701" s="6" t="s">
        <v>3907</v>
      </c>
      <c r="H701" s="6" t="s">
        <v>157</v>
      </c>
      <c r="I701" s="17" t="b">
        <v>0</v>
      </c>
      <c r="J701" s="6" t="s">
        <v>546</v>
      </c>
      <c r="K701" s="10"/>
      <c r="L701" s="10"/>
      <c r="M701" s="10"/>
      <c r="N701" s="10"/>
      <c r="O701" s="18">
        <v>243.04</v>
      </c>
      <c r="P701" s="10"/>
      <c r="Q701" s="17" t="b">
        <v>1</v>
      </c>
      <c r="R701" s="10"/>
    </row>
    <row r="702">
      <c r="A702" s="6" t="s">
        <v>3909</v>
      </c>
      <c r="B702" s="6" t="s">
        <v>35</v>
      </c>
      <c r="C702" s="8">
        <v>45591.0</v>
      </c>
      <c r="D702" s="6" t="s">
        <v>3911</v>
      </c>
      <c r="E702" s="6" t="s">
        <v>3912</v>
      </c>
      <c r="F702" s="10"/>
      <c r="G702" s="6" t="s">
        <v>3913</v>
      </c>
      <c r="H702" s="6" t="s">
        <v>3914</v>
      </c>
      <c r="I702" s="17" t="b">
        <v>0</v>
      </c>
      <c r="J702" s="6" t="s">
        <v>546</v>
      </c>
      <c r="K702" s="10"/>
      <c r="L702" s="10"/>
      <c r="M702" s="10"/>
      <c r="N702" s="10"/>
      <c r="O702" s="18">
        <v>191.92</v>
      </c>
      <c r="P702" s="10"/>
      <c r="Q702" s="17" t="b">
        <v>1</v>
      </c>
      <c r="R702" s="10"/>
    </row>
    <row r="703">
      <c r="A703" s="6" t="s">
        <v>3916</v>
      </c>
      <c r="B703" s="6" t="s">
        <v>35</v>
      </c>
      <c r="C703" s="8">
        <v>45593.0</v>
      </c>
      <c r="D703" s="10"/>
      <c r="E703" s="10"/>
      <c r="F703" s="10"/>
      <c r="G703" s="10"/>
      <c r="H703" s="6" t="s">
        <v>3918</v>
      </c>
      <c r="I703" s="10"/>
      <c r="J703" s="6" t="s">
        <v>539</v>
      </c>
      <c r="K703" s="6" t="s">
        <v>658</v>
      </c>
      <c r="L703" s="10"/>
      <c r="M703" s="10"/>
      <c r="N703" s="10"/>
      <c r="O703" s="18">
        <v>100.0</v>
      </c>
      <c r="P703" s="10"/>
      <c r="Q703" s="6"/>
      <c r="R703" s="10"/>
    </row>
    <row r="704">
      <c r="A704" s="6" t="s">
        <v>3920</v>
      </c>
      <c r="B704" s="6" t="s">
        <v>35</v>
      </c>
      <c r="C704" s="8">
        <v>45594.0</v>
      </c>
      <c r="D704" s="6" t="s">
        <v>460</v>
      </c>
      <c r="E704" s="10"/>
      <c r="F704" s="10"/>
      <c r="G704" s="10"/>
      <c r="H704" s="6" t="s">
        <v>931</v>
      </c>
      <c r="I704" s="10"/>
      <c r="J704" s="6" t="s">
        <v>539</v>
      </c>
      <c r="K704" s="10"/>
      <c r="L704" s="10"/>
      <c r="M704" s="10"/>
      <c r="N704" s="10"/>
      <c r="O704" s="18">
        <v>30.0</v>
      </c>
      <c r="P704" s="10"/>
      <c r="Q704" s="6"/>
      <c r="R704" s="10"/>
    </row>
    <row r="705">
      <c r="A705" s="6" t="s">
        <v>3922</v>
      </c>
      <c r="B705" s="6" t="s">
        <v>35</v>
      </c>
      <c r="C705" s="8">
        <v>45593.0</v>
      </c>
      <c r="D705" s="6" t="s">
        <v>3716</v>
      </c>
      <c r="E705" s="6" t="s">
        <v>3925</v>
      </c>
      <c r="F705" s="10"/>
      <c r="G705" s="6" t="s">
        <v>3926</v>
      </c>
      <c r="H705" s="6" t="s">
        <v>767</v>
      </c>
      <c r="I705" s="17" t="b">
        <v>0</v>
      </c>
      <c r="J705" s="6" t="s">
        <v>546</v>
      </c>
      <c r="K705" s="10"/>
      <c r="L705" s="10"/>
      <c r="M705" s="10"/>
      <c r="N705" s="10"/>
      <c r="O705" s="18">
        <v>206.7</v>
      </c>
      <c r="P705" s="10"/>
      <c r="Q705" s="17" t="b">
        <v>1</v>
      </c>
      <c r="R705" s="10"/>
    </row>
    <row r="706">
      <c r="A706" s="6" t="s">
        <v>3929</v>
      </c>
      <c r="B706" s="6" t="s">
        <v>35</v>
      </c>
      <c r="C706" s="8">
        <v>45593.0</v>
      </c>
      <c r="D706" s="6" t="s">
        <v>543</v>
      </c>
      <c r="E706" s="6" t="s">
        <v>3931</v>
      </c>
      <c r="F706" s="10"/>
      <c r="G706" s="6" t="s">
        <v>3932</v>
      </c>
      <c r="H706" s="6" t="s">
        <v>59</v>
      </c>
      <c r="I706" s="17" t="b">
        <v>0</v>
      </c>
      <c r="J706" s="6" t="s">
        <v>546</v>
      </c>
      <c r="K706" s="10"/>
      <c r="L706" s="10"/>
      <c r="M706" s="10"/>
      <c r="N706" s="10"/>
      <c r="O706" s="18">
        <v>400.0</v>
      </c>
      <c r="P706" s="10"/>
      <c r="Q706" s="17" t="b">
        <v>1</v>
      </c>
      <c r="R706" s="10"/>
    </row>
    <row r="707">
      <c r="A707" s="6" t="s">
        <v>3934</v>
      </c>
      <c r="B707" s="6" t="s">
        <v>35</v>
      </c>
      <c r="C707" s="8">
        <v>45593.0</v>
      </c>
      <c r="D707" s="6" t="s">
        <v>122</v>
      </c>
      <c r="E707" s="6" t="s">
        <v>3936</v>
      </c>
      <c r="F707" s="10"/>
      <c r="G707" s="6" t="s">
        <v>3937</v>
      </c>
      <c r="H707" s="6" t="s">
        <v>801</v>
      </c>
      <c r="I707" s="17" t="b">
        <v>1</v>
      </c>
      <c r="J707" s="6" t="s">
        <v>546</v>
      </c>
      <c r="K707" s="10"/>
      <c r="L707" s="10"/>
      <c r="M707" s="10"/>
      <c r="N707" s="10"/>
      <c r="O707" s="18">
        <v>163.14</v>
      </c>
      <c r="P707" s="18">
        <v>1122528.0</v>
      </c>
      <c r="Q707" s="17" t="b">
        <v>1</v>
      </c>
      <c r="R707" s="10"/>
    </row>
    <row r="708">
      <c r="A708" s="6" t="s">
        <v>3939</v>
      </c>
      <c r="B708" s="6" t="s">
        <v>35</v>
      </c>
      <c r="C708" s="8">
        <v>45593.0</v>
      </c>
      <c r="D708" s="6" t="s">
        <v>112</v>
      </c>
      <c r="E708" s="6" t="s">
        <v>3940</v>
      </c>
      <c r="F708" s="10"/>
      <c r="G708" s="6" t="s">
        <v>3941</v>
      </c>
      <c r="H708" s="6" t="s">
        <v>45</v>
      </c>
      <c r="I708" s="17" t="b">
        <v>0</v>
      </c>
      <c r="J708" s="6" t="s">
        <v>546</v>
      </c>
      <c r="K708" s="10"/>
      <c r="L708" s="10"/>
      <c r="M708" s="10"/>
      <c r="N708" s="10"/>
      <c r="O708" s="18">
        <v>308.54</v>
      </c>
      <c r="P708" s="10"/>
      <c r="Q708" s="17" t="b">
        <v>1</v>
      </c>
      <c r="R708" s="10"/>
    </row>
    <row r="709">
      <c r="A709" s="6" t="s">
        <v>3943</v>
      </c>
      <c r="B709" s="6" t="s">
        <v>35</v>
      </c>
      <c r="C709" s="8">
        <v>45593.0</v>
      </c>
      <c r="D709" s="6" t="s">
        <v>112</v>
      </c>
      <c r="E709" s="6" t="s">
        <v>3940</v>
      </c>
      <c r="F709" s="10"/>
      <c r="G709" s="6" t="s">
        <v>3945</v>
      </c>
      <c r="H709" s="6" t="s">
        <v>45</v>
      </c>
      <c r="I709" s="17" t="b">
        <v>0</v>
      </c>
      <c r="J709" s="6" t="s">
        <v>546</v>
      </c>
      <c r="K709" s="10"/>
      <c r="L709" s="10"/>
      <c r="M709" s="10"/>
      <c r="N709" s="10"/>
      <c r="O709" s="18">
        <v>78.12</v>
      </c>
      <c r="P709" s="10"/>
      <c r="Q709" s="17" t="b">
        <v>1</v>
      </c>
      <c r="R709" s="10"/>
    </row>
    <row r="710">
      <c r="A710" s="6" t="s">
        <v>3946</v>
      </c>
      <c r="B710" s="6" t="s">
        <v>35</v>
      </c>
      <c r="C710" s="8">
        <v>45553.0</v>
      </c>
      <c r="D710" s="6" t="s">
        <v>2165</v>
      </c>
      <c r="E710" s="6" t="s">
        <v>3948</v>
      </c>
      <c r="F710" s="10"/>
      <c r="G710" s="6" t="s">
        <v>3949</v>
      </c>
      <c r="H710" s="6" t="s">
        <v>3950</v>
      </c>
      <c r="I710" s="17" t="b">
        <v>0</v>
      </c>
      <c r="J710" s="6" t="s">
        <v>546</v>
      </c>
      <c r="K710" s="10"/>
      <c r="L710" s="10"/>
      <c r="M710" s="10"/>
      <c r="N710" s="10"/>
      <c r="O710" s="18">
        <v>1134.14</v>
      </c>
      <c r="P710" s="10"/>
      <c r="Q710" s="17" t="b">
        <v>1</v>
      </c>
      <c r="R710" s="10"/>
    </row>
    <row r="711">
      <c r="A711" s="6" t="s">
        <v>3952</v>
      </c>
      <c r="B711" s="6" t="s">
        <v>35</v>
      </c>
      <c r="C711" s="8">
        <v>45583.0</v>
      </c>
      <c r="D711" s="6" t="s">
        <v>764</v>
      </c>
      <c r="E711" s="6" t="s">
        <v>3953</v>
      </c>
      <c r="F711" s="10"/>
      <c r="G711" s="6" t="s">
        <v>3954</v>
      </c>
      <c r="H711" s="6" t="s">
        <v>195</v>
      </c>
      <c r="I711" s="17" t="b">
        <v>0</v>
      </c>
      <c r="J711" s="6" t="s">
        <v>546</v>
      </c>
      <c r="K711" s="10"/>
      <c r="L711" s="10"/>
      <c r="M711" s="10"/>
      <c r="N711" s="10"/>
      <c r="O711" s="18">
        <v>915.0</v>
      </c>
      <c r="P711" s="10"/>
      <c r="Q711" s="17" t="b">
        <v>1</v>
      </c>
      <c r="R711" s="10"/>
    </row>
    <row r="712">
      <c r="A712" s="6" t="s">
        <v>3956</v>
      </c>
      <c r="B712" s="6" t="s">
        <v>35</v>
      </c>
      <c r="C712" s="8">
        <v>45597.0</v>
      </c>
      <c r="D712" s="10"/>
      <c r="E712" s="10"/>
      <c r="F712" s="10"/>
      <c r="G712" s="10"/>
      <c r="H712" s="6" t="s">
        <v>1329</v>
      </c>
      <c r="I712" s="10"/>
      <c r="J712" s="6" t="s">
        <v>539</v>
      </c>
      <c r="K712" s="6" t="s">
        <v>3795</v>
      </c>
      <c r="L712" s="10"/>
      <c r="M712" s="10"/>
      <c r="N712" s="10"/>
      <c r="O712" s="18">
        <v>500.0</v>
      </c>
      <c r="P712" s="10"/>
      <c r="Q712" s="6"/>
      <c r="R712" s="10"/>
    </row>
    <row r="713">
      <c r="A713" s="6" t="s">
        <v>3958</v>
      </c>
      <c r="B713" s="6" t="s">
        <v>35</v>
      </c>
      <c r="C713" s="8">
        <v>45597.0</v>
      </c>
      <c r="D713" s="10"/>
      <c r="E713" s="10"/>
      <c r="F713" s="10"/>
      <c r="G713" s="10"/>
      <c r="H713" s="6" t="s">
        <v>1329</v>
      </c>
      <c r="I713" s="10"/>
      <c r="J713" s="6" t="s">
        <v>539</v>
      </c>
      <c r="K713" s="6" t="s">
        <v>624</v>
      </c>
      <c r="L713" s="10"/>
      <c r="M713" s="10"/>
      <c r="N713" s="10"/>
      <c r="O713" s="18">
        <v>500.0</v>
      </c>
      <c r="P713" s="10"/>
      <c r="Q713" s="6"/>
      <c r="R713" s="10"/>
    </row>
    <row r="714">
      <c r="A714" s="6" t="s">
        <v>3961</v>
      </c>
      <c r="B714" s="6" t="s">
        <v>35</v>
      </c>
      <c r="C714" s="8">
        <v>45593.0</v>
      </c>
      <c r="D714" s="6" t="s">
        <v>890</v>
      </c>
      <c r="E714" s="6" t="s">
        <v>3962</v>
      </c>
      <c r="F714" s="10"/>
      <c r="G714" s="6" t="s">
        <v>3963</v>
      </c>
      <c r="H714" s="6" t="s">
        <v>3813</v>
      </c>
      <c r="I714" s="17" t="b">
        <v>0</v>
      </c>
      <c r="J714" s="6" t="s">
        <v>546</v>
      </c>
      <c r="K714" s="10"/>
      <c r="L714" s="10"/>
      <c r="M714" s="10"/>
      <c r="N714" s="10"/>
      <c r="O714" s="18">
        <v>9601.47</v>
      </c>
      <c r="P714" s="10"/>
      <c r="Q714" s="17" t="b">
        <v>1</v>
      </c>
      <c r="R714" s="10"/>
    </row>
    <row r="715">
      <c r="A715" s="6" t="s">
        <v>3965</v>
      </c>
      <c r="B715" s="6" t="s">
        <v>35</v>
      </c>
      <c r="C715" s="8">
        <v>45596.0</v>
      </c>
      <c r="D715" s="6" t="s">
        <v>764</v>
      </c>
      <c r="E715" s="6" t="s">
        <v>3966</v>
      </c>
      <c r="F715" s="10"/>
      <c r="G715" s="6" t="s">
        <v>3968</v>
      </c>
      <c r="H715" s="6" t="s">
        <v>195</v>
      </c>
      <c r="I715" s="17" t="b">
        <v>0</v>
      </c>
      <c r="J715" s="6" t="s">
        <v>546</v>
      </c>
      <c r="K715" s="10"/>
      <c r="L715" s="10"/>
      <c r="M715" s="10"/>
      <c r="N715" s="10"/>
      <c r="O715" s="18">
        <v>688.75</v>
      </c>
      <c r="P715" s="10"/>
      <c r="Q715" s="17" t="b">
        <v>1</v>
      </c>
      <c r="R715" s="10"/>
    </row>
    <row r="716">
      <c r="A716" s="6" t="s">
        <v>3969</v>
      </c>
      <c r="B716" s="6" t="s">
        <v>35</v>
      </c>
      <c r="C716" s="8">
        <v>45596.0</v>
      </c>
      <c r="D716" s="6" t="s">
        <v>890</v>
      </c>
      <c r="E716" s="6" t="s">
        <v>3971</v>
      </c>
      <c r="F716" s="10"/>
      <c r="G716" s="6" t="s">
        <v>3972</v>
      </c>
      <c r="H716" s="6" t="s">
        <v>2894</v>
      </c>
      <c r="I716" s="17" t="b">
        <v>0</v>
      </c>
      <c r="J716" s="6" t="s">
        <v>546</v>
      </c>
      <c r="K716" s="10"/>
      <c r="L716" s="10"/>
      <c r="M716" s="10"/>
      <c r="N716" s="10"/>
      <c r="O716" s="18">
        <v>16679.84</v>
      </c>
      <c r="P716" s="10"/>
      <c r="Q716" s="17" t="b">
        <v>1</v>
      </c>
      <c r="R716" s="10"/>
    </row>
    <row r="717">
      <c r="A717" s="6" t="s">
        <v>3974</v>
      </c>
      <c r="B717" s="6" t="s">
        <v>35</v>
      </c>
      <c r="C717" s="8">
        <v>45597.0</v>
      </c>
      <c r="D717" s="6" t="s">
        <v>112</v>
      </c>
      <c r="E717" s="6" t="s">
        <v>3975</v>
      </c>
      <c r="F717" s="10"/>
      <c r="G717" s="6" t="s">
        <v>3976</v>
      </c>
      <c r="H717" s="6" t="s">
        <v>157</v>
      </c>
      <c r="I717" s="17" t="b">
        <v>0</v>
      </c>
      <c r="J717" s="6" t="s">
        <v>546</v>
      </c>
      <c r="K717" s="10"/>
      <c r="L717" s="10"/>
      <c r="M717" s="10"/>
      <c r="N717" s="10"/>
      <c r="O717" s="18">
        <v>516.98</v>
      </c>
      <c r="P717" s="10"/>
      <c r="Q717" s="17" t="b">
        <v>1</v>
      </c>
      <c r="R717" s="10"/>
    </row>
    <row r="718">
      <c r="A718" s="6" t="s">
        <v>3978</v>
      </c>
      <c r="B718" s="6" t="s">
        <v>35</v>
      </c>
      <c r="C718" s="8">
        <v>45597.0</v>
      </c>
      <c r="D718" s="6" t="s">
        <v>543</v>
      </c>
      <c r="E718" s="6" t="s">
        <v>3979</v>
      </c>
      <c r="F718" s="10"/>
      <c r="G718" s="6" t="s">
        <v>3980</v>
      </c>
      <c r="H718" s="6" t="s">
        <v>171</v>
      </c>
      <c r="I718" s="17" t="b">
        <v>0</v>
      </c>
      <c r="J718" s="6" t="s">
        <v>546</v>
      </c>
      <c r="K718" s="10"/>
      <c r="L718" s="10"/>
      <c r="M718" s="10"/>
      <c r="N718" s="10"/>
      <c r="O718" s="18">
        <v>300.0</v>
      </c>
      <c r="P718" s="10"/>
      <c r="Q718" s="17" t="b">
        <v>1</v>
      </c>
      <c r="R718" s="10"/>
    </row>
    <row r="719">
      <c r="A719" s="6" t="s">
        <v>3982</v>
      </c>
      <c r="B719" s="6" t="s">
        <v>35</v>
      </c>
      <c r="C719" s="8">
        <v>45599.0</v>
      </c>
      <c r="D719" s="10"/>
      <c r="E719" s="10"/>
      <c r="F719" s="10"/>
      <c r="G719" s="10"/>
      <c r="H719" s="6" t="s">
        <v>1329</v>
      </c>
      <c r="I719" s="10"/>
      <c r="J719" s="6" t="s">
        <v>539</v>
      </c>
      <c r="K719" s="6" t="s">
        <v>658</v>
      </c>
      <c r="L719" s="10"/>
      <c r="M719" s="10"/>
      <c r="N719" s="10"/>
      <c r="O719" s="18">
        <v>100.0</v>
      </c>
      <c r="P719" s="10"/>
      <c r="Q719" s="6"/>
      <c r="R719" s="10"/>
    </row>
    <row r="720">
      <c r="A720" s="6" t="s">
        <v>3984</v>
      </c>
      <c r="B720" s="6" t="s">
        <v>35</v>
      </c>
      <c r="C720" s="8">
        <v>45601.0</v>
      </c>
      <c r="D720" s="10"/>
      <c r="E720" s="10"/>
      <c r="F720" s="10"/>
      <c r="G720" s="10"/>
      <c r="H720" s="6" t="s">
        <v>3986</v>
      </c>
      <c r="I720" s="10"/>
      <c r="J720" s="6" t="s">
        <v>539</v>
      </c>
      <c r="K720" s="6" t="s">
        <v>2052</v>
      </c>
      <c r="L720" s="10"/>
      <c r="M720" s="10"/>
      <c r="N720" s="10"/>
      <c r="O720" s="18">
        <v>1608.09</v>
      </c>
      <c r="P720" s="10"/>
      <c r="Q720" s="6"/>
      <c r="R720" s="10"/>
    </row>
    <row r="721">
      <c r="A721" s="6" t="s">
        <v>3989</v>
      </c>
      <c r="B721" s="6" t="s">
        <v>35</v>
      </c>
      <c r="C721" s="8">
        <v>45601.0</v>
      </c>
      <c r="D721" s="6" t="s">
        <v>460</v>
      </c>
      <c r="E721" s="10"/>
      <c r="F721" s="10"/>
      <c r="G721" s="10"/>
      <c r="H721" s="6" t="s">
        <v>23</v>
      </c>
      <c r="I721" s="10"/>
      <c r="J721" s="6" t="s">
        <v>539</v>
      </c>
      <c r="K721" s="10"/>
      <c r="L721" s="10"/>
      <c r="M721" s="10"/>
      <c r="N721" s="10"/>
      <c r="O721" s="18">
        <v>228.0</v>
      </c>
      <c r="P721" s="10"/>
      <c r="Q721" s="6"/>
      <c r="R721" s="10"/>
    </row>
    <row r="722">
      <c r="A722" s="6" t="s">
        <v>3991</v>
      </c>
      <c r="B722" s="6" t="s">
        <v>35</v>
      </c>
      <c r="C722" s="8">
        <v>45601.0</v>
      </c>
      <c r="D722" s="10"/>
      <c r="E722" s="10"/>
      <c r="F722" s="10"/>
      <c r="G722" s="10"/>
      <c r="H722" s="6" t="s">
        <v>3992</v>
      </c>
      <c r="I722" s="10"/>
      <c r="J722" s="6" t="s">
        <v>539</v>
      </c>
      <c r="K722" s="6" t="s">
        <v>624</v>
      </c>
      <c r="L722" s="10"/>
      <c r="M722" s="10"/>
      <c r="N722" s="10"/>
      <c r="O722" s="18">
        <v>2655.18</v>
      </c>
      <c r="P722" s="10"/>
      <c r="Q722" s="6"/>
      <c r="R722" s="10"/>
    </row>
    <row r="723">
      <c r="A723" s="6" t="s">
        <v>3994</v>
      </c>
      <c r="B723" s="6" t="s">
        <v>35</v>
      </c>
      <c r="C723" s="8">
        <v>45601.0</v>
      </c>
      <c r="D723" s="10"/>
      <c r="E723" s="10"/>
      <c r="F723" s="10"/>
      <c r="G723" s="10"/>
      <c r="H723" s="6" t="s">
        <v>3996</v>
      </c>
      <c r="I723" s="10"/>
      <c r="J723" s="6" t="s">
        <v>539</v>
      </c>
      <c r="K723" s="6" t="s">
        <v>227</v>
      </c>
      <c r="L723" s="10"/>
      <c r="M723" s="10"/>
      <c r="N723" s="10"/>
      <c r="O723" s="18">
        <v>2031.37</v>
      </c>
      <c r="P723" s="10"/>
      <c r="Q723" s="6"/>
      <c r="R723" s="10"/>
    </row>
    <row r="724">
      <c r="A724" s="18">
        <v>1.22709868E8</v>
      </c>
      <c r="B724" s="6" t="s">
        <v>35</v>
      </c>
      <c r="C724" s="8">
        <v>45601.0</v>
      </c>
      <c r="D724" s="10"/>
      <c r="E724" s="10"/>
      <c r="F724" s="10"/>
      <c r="G724" s="10"/>
      <c r="H724" s="6" t="s">
        <v>3986</v>
      </c>
      <c r="I724" s="10"/>
      <c r="J724" s="6" t="s">
        <v>539</v>
      </c>
      <c r="K724" s="6" t="s">
        <v>658</v>
      </c>
      <c r="L724" s="10"/>
      <c r="M724" s="10"/>
      <c r="N724" s="10"/>
      <c r="O724" s="18">
        <v>1262.4</v>
      </c>
      <c r="P724" s="10"/>
      <c r="Q724" s="6"/>
      <c r="R724" s="10"/>
    </row>
    <row r="725">
      <c r="A725" s="6" t="s">
        <v>3999</v>
      </c>
      <c r="B725" s="6" t="s">
        <v>35</v>
      </c>
      <c r="C725" s="8">
        <v>45601.0</v>
      </c>
      <c r="D725" s="10"/>
      <c r="E725" s="10"/>
      <c r="F725" s="10"/>
      <c r="G725" s="10"/>
      <c r="H725" s="6" t="s">
        <v>3986</v>
      </c>
      <c r="I725" s="10"/>
      <c r="J725" s="6" t="s">
        <v>539</v>
      </c>
      <c r="K725" s="6" t="s">
        <v>3795</v>
      </c>
      <c r="L725" s="10"/>
      <c r="M725" s="10"/>
      <c r="N725" s="10"/>
      <c r="O725" s="18">
        <v>1680.93</v>
      </c>
      <c r="P725" s="10"/>
      <c r="Q725" s="6"/>
      <c r="R725" s="10"/>
    </row>
    <row r="726">
      <c r="A726" s="6" t="s">
        <v>4001</v>
      </c>
      <c r="B726" s="6" t="s">
        <v>35</v>
      </c>
      <c r="C726" s="8">
        <v>45601.0</v>
      </c>
      <c r="D726" s="6" t="s">
        <v>890</v>
      </c>
      <c r="E726" s="10"/>
      <c r="F726" s="10"/>
      <c r="G726" s="10"/>
      <c r="H726" s="6" t="s">
        <v>4003</v>
      </c>
      <c r="I726" s="10"/>
      <c r="J726" s="6" t="s">
        <v>539</v>
      </c>
      <c r="K726" s="10"/>
      <c r="L726" s="10"/>
      <c r="M726" s="10"/>
      <c r="N726" s="10"/>
      <c r="O726" s="18">
        <v>81.75</v>
      </c>
      <c r="P726" s="10"/>
      <c r="Q726" s="6"/>
      <c r="R726" s="10"/>
    </row>
    <row r="727">
      <c r="A727" s="6" t="s">
        <v>4004</v>
      </c>
      <c r="B727" s="6" t="s">
        <v>35</v>
      </c>
      <c r="C727" s="8">
        <v>45601.0</v>
      </c>
      <c r="D727" s="6" t="s">
        <v>890</v>
      </c>
      <c r="E727" s="10"/>
      <c r="F727" s="10"/>
      <c r="G727" s="10"/>
      <c r="H727" s="6" t="s">
        <v>4003</v>
      </c>
      <c r="I727" s="10"/>
      <c r="J727" s="6" t="s">
        <v>539</v>
      </c>
      <c r="K727" s="10"/>
      <c r="L727" s="10"/>
      <c r="M727" s="10"/>
      <c r="N727" s="10"/>
      <c r="O727" s="18">
        <v>25.0</v>
      </c>
      <c r="P727" s="10"/>
      <c r="Q727" s="6"/>
      <c r="R727" s="10"/>
    </row>
    <row r="728">
      <c r="A728" s="6" t="s">
        <v>4006</v>
      </c>
      <c r="B728" s="6" t="s">
        <v>35</v>
      </c>
      <c r="C728" s="8">
        <v>45606.0</v>
      </c>
      <c r="D728" s="10"/>
      <c r="E728" s="10"/>
      <c r="F728" s="10"/>
      <c r="G728" s="10"/>
      <c r="H728" s="6" t="s">
        <v>1329</v>
      </c>
      <c r="I728" s="10"/>
      <c r="J728" s="6" t="s">
        <v>539</v>
      </c>
      <c r="K728" s="6" t="s">
        <v>624</v>
      </c>
      <c r="L728" s="10"/>
      <c r="M728" s="10"/>
      <c r="N728" s="10"/>
      <c r="O728" s="18">
        <v>700.0</v>
      </c>
      <c r="P728" s="10"/>
      <c r="Q728" s="6"/>
      <c r="R728" s="10"/>
    </row>
    <row r="729">
      <c r="A729" s="6" t="s">
        <v>4008</v>
      </c>
      <c r="B729" s="6" t="s">
        <v>35</v>
      </c>
      <c r="C729" s="8">
        <v>45609.0</v>
      </c>
      <c r="D729" s="6" t="s">
        <v>890</v>
      </c>
      <c r="E729" s="10"/>
      <c r="F729" s="10"/>
      <c r="G729" s="10"/>
      <c r="H729" s="6" t="s">
        <v>4010</v>
      </c>
      <c r="I729" s="10"/>
      <c r="J729" s="6" t="s">
        <v>539</v>
      </c>
      <c r="K729" s="10"/>
      <c r="L729" s="10"/>
      <c r="M729" s="10"/>
      <c r="N729" s="10"/>
      <c r="O729" s="18">
        <v>250.0</v>
      </c>
      <c r="P729" s="10"/>
      <c r="Q729" s="6"/>
      <c r="R729" s="10"/>
    </row>
    <row r="730">
      <c r="A730" s="6" t="s">
        <v>4012</v>
      </c>
      <c r="B730" s="6" t="s">
        <v>35</v>
      </c>
      <c r="C730" s="8">
        <v>45609.0</v>
      </c>
      <c r="D730" s="6" t="s">
        <v>2248</v>
      </c>
      <c r="E730" s="10"/>
      <c r="F730" s="10"/>
      <c r="G730" s="10"/>
      <c r="H730" s="6" t="s">
        <v>2549</v>
      </c>
      <c r="I730" s="10"/>
      <c r="J730" s="6" t="s">
        <v>539</v>
      </c>
      <c r="K730" s="10"/>
      <c r="L730" s="10"/>
      <c r="M730" s="10"/>
      <c r="N730" s="10"/>
      <c r="O730" s="18">
        <v>352.26</v>
      </c>
      <c r="P730" s="10"/>
      <c r="Q730" s="6"/>
      <c r="R730" s="10"/>
    </row>
    <row r="731">
      <c r="A731" s="6" t="s">
        <v>4015</v>
      </c>
      <c r="B731" s="6" t="s">
        <v>35</v>
      </c>
      <c r="C731" s="8">
        <v>45614.0</v>
      </c>
      <c r="D731" s="6" t="s">
        <v>460</v>
      </c>
      <c r="E731" s="10"/>
      <c r="F731" s="10"/>
      <c r="G731" s="10"/>
      <c r="H731" s="6" t="s">
        <v>4017</v>
      </c>
      <c r="I731" s="10"/>
      <c r="J731" s="6" t="s">
        <v>539</v>
      </c>
      <c r="K731" s="10"/>
      <c r="L731" s="10"/>
      <c r="M731" s="10"/>
      <c r="N731" s="10"/>
      <c r="O731" s="18">
        <v>20.0</v>
      </c>
      <c r="P731" s="10"/>
      <c r="Q731" s="6"/>
      <c r="R731" s="10"/>
    </row>
    <row r="732">
      <c r="A732" s="6" t="s">
        <v>4018</v>
      </c>
      <c r="B732" s="6" t="s">
        <v>35</v>
      </c>
      <c r="C732" s="8">
        <v>45614.0</v>
      </c>
      <c r="D732" s="6" t="s">
        <v>460</v>
      </c>
      <c r="E732" s="10"/>
      <c r="F732" s="10"/>
      <c r="G732" s="10"/>
      <c r="H732" s="6" t="s">
        <v>4020</v>
      </c>
      <c r="I732" s="10"/>
      <c r="J732" s="6" t="s">
        <v>539</v>
      </c>
      <c r="K732" s="10"/>
      <c r="L732" s="10"/>
      <c r="M732" s="10"/>
      <c r="N732" s="10"/>
      <c r="O732" s="18">
        <v>530.0</v>
      </c>
      <c r="P732" s="10"/>
      <c r="Q732" s="6"/>
      <c r="R732" s="10"/>
    </row>
    <row r="733">
      <c r="A733" s="6" t="s">
        <v>4022</v>
      </c>
      <c r="B733" s="6" t="s">
        <v>35</v>
      </c>
      <c r="C733" s="8">
        <v>45614.0</v>
      </c>
      <c r="D733" s="6" t="s">
        <v>460</v>
      </c>
      <c r="E733" s="10"/>
      <c r="F733" s="10"/>
      <c r="G733" s="10"/>
      <c r="H733" s="6" t="s">
        <v>4023</v>
      </c>
      <c r="I733" s="10"/>
      <c r="J733" s="6" t="s">
        <v>539</v>
      </c>
      <c r="K733" s="10"/>
      <c r="L733" s="10"/>
      <c r="M733" s="10"/>
      <c r="N733" s="10"/>
      <c r="O733" s="18">
        <v>472.8</v>
      </c>
      <c r="P733" s="10"/>
      <c r="Q733" s="6"/>
      <c r="R733" s="10"/>
    </row>
    <row r="734">
      <c r="A734" s="6" t="s">
        <v>4025</v>
      </c>
      <c r="B734" s="6" t="s">
        <v>35</v>
      </c>
      <c r="C734" s="8">
        <v>45614.0</v>
      </c>
      <c r="D734" s="6" t="s">
        <v>460</v>
      </c>
      <c r="E734" s="10"/>
      <c r="F734" s="10"/>
      <c r="G734" s="10"/>
      <c r="H734" s="6" t="s">
        <v>4026</v>
      </c>
      <c r="I734" s="10"/>
      <c r="J734" s="6" t="s">
        <v>539</v>
      </c>
      <c r="K734" s="10"/>
      <c r="L734" s="10"/>
      <c r="M734" s="10"/>
      <c r="N734" s="10"/>
      <c r="O734" s="18">
        <v>325.0</v>
      </c>
      <c r="P734" s="10"/>
      <c r="Q734" s="6"/>
      <c r="R734" s="10"/>
    </row>
    <row r="735">
      <c r="A735" s="6" t="s">
        <v>4028</v>
      </c>
      <c r="B735" s="6" t="s">
        <v>35</v>
      </c>
      <c r="C735" s="8">
        <v>45597.0</v>
      </c>
      <c r="D735" s="6" t="s">
        <v>4029</v>
      </c>
      <c r="E735" s="6" t="s">
        <v>4030</v>
      </c>
      <c r="F735" s="10"/>
      <c r="G735" s="6" t="s">
        <v>4032</v>
      </c>
      <c r="H735" s="6" t="s">
        <v>4033</v>
      </c>
      <c r="I735" s="17" t="b">
        <v>1</v>
      </c>
      <c r="J735" s="6" t="s">
        <v>546</v>
      </c>
      <c r="K735" s="10"/>
      <c r="L735" s="10"/>
      <c r="M735" s="10"/>
      <c r="N735" s="10"/>
      <c r="O735" s="18">
        <v>31.0</v>
      </c>
      <c r="P735" s="18">
        <v>1111520.0</v>
      </c>
      <c r="Q735" s="17" t="b">
        <v>1</v>
      </c>
      <c r="R735" s="10"/>
    </row>
    <row r="736">
      <c r="A736" s="6" t="s">
        <v>4034</v>
      </c>
      <c r="B736" s="6" t="s">
        <v>35</v>
      </c>
      <c r="C736" s="8">
        <v>45600.0</v>
      </c>
      <c r="D736" s="18">
        <v>6.8893939E7</v>
      </c>
      <c r="E736" s="6" t="s">
        <v>4036</v>
      </c>
      <c r="F736" s="10"/>
      <c r="G736" s="6" t="s">
        <v>4037</v>
      </c>
      <c r="H736" s="6" t="s">
        <v>772</v>
      </c>
      <c r="I736" s="17" t="b">
        <v>0</v>
      </c>
      <c r="J736" s="6" t="s">
        <v>546</v>
      </c>
      <c r="K736" s="10"/>
      <c r="L736" s="10"/>
      <c r="M736" s="10"/>
      <c r="N736" s="10"/>
      <c r="O736" s="18">
        <v>3247.87</v>
      </c>
      <c r="P736" s="10"/>
      <c r="Q736" s="17" t="b">
        <v>1</v>
      </c>
      <c r="R736" s="10"/>
    </row>
    <row r="737">
      <c r="A737" s="6" t="s">
        <v>4039</v>
      </c>
      <c r="B737" s="6" t="s">
        <v>35</v>
      </c>
      <c r="C737" s="8">
        <v>45601.0</v>
      </c>
      <c r="D737" s="6" t="s">
        <v>2439</v>
      </c>
      <c r="E737" s="6" t="s">
        <v>4040</v>
      </c>
      <c r="F737" s="10"/>
      <c r="G737" s="6" t="s">
        <v>4041</v>
      </c>
      <c r="H737" s="6" t="s">
        <v>4042</v>
      </c>
      <c r="I737" s="17" t="b">
        <v>0</v>
      </c>
      <c r="J737" s="6" t="s">
        <v>546</v>
      </c>
      <c r="K737" s="10"/>
      <c r="L737" s="10"/>
      <c r="M737" s="10"/>
      <c r="N737" s="10"/>
      <c r="O737" s="18">
        <v>237.86</v>
      </c>
      <c r="P737" s="10"/>
      <c r="Q737" s="17" t="b">
        <v>1</v>
      </c>
      <c r="R737" s="10"/>
    </row>
    <row r="738">
      <c r="A738" s="6" t="s">
        <v>4044</v>
      </c>
      <c r="B738" s="6" t="s">
        <v>35</v>
      </c>
      <c r="C738" s="8">
        <v>45601.0</v>
      </c>
      <c r="D738" s="6" t="s">
        <v>353</v>
      </c>
      <c r="E738" s="6" t="s">
        <v>4045</v>
      </c>
      <c r="F738" s="10"/>
      <c r="G738" s="6" t="s">
        <v>4047</v>
      </c>
      <c r="H738" s="6" t="s">
        <v>4048</v>
      </c>
      <c r="I738" s="17" t="b">
        <v>1</v>
      </c>
      <c r="J738" s="6" t="s">
        <v>546</v>
      </c>
      <c r="K738" s="10"/>
      <c r="L738" s="10"/>
      <c r="M738" s="10"/>
      <c r="N738" s="10"/>
      <c r="O738" s="18">
        <v>288.86</v>
      </c>
      <c r="P738" s="6" t="s">
        <v>4049</v>
      </c>
      <c r="Q738" s="17" t="b">
        <v>1</v>
      </c>
      <c r="R738" s="10"/>
    </row>
    <row r="739">
      <c r="A739" s="6" t="s">
        <v>4050</v>
      </c>
      <c r="B739" s="6" t="s">
        <v>35</v>
      </c>
      <c r="C739" s="8">
        <v>45601.0</v>
      </c>
      <c r="D739" s="6" t="s">
        <v>112</v>
      </c>
      <c r="E739" s="6" t="s">
        <v>4052</v>
      </c>
      <c r="F739" s="10"/>
      <c r="G739" s="6" t="s">
        <v>4053</v>
      </c>
      <c r="H739" s="6" t="s">
        <v>45</v>
      </c>
      <c r="I739" s="17" t="b">
        <v>0</v>
      </c>
      <c r="J739" s="6" t="s">
        <v>546</v>
      </c>
      <c r="K739" s="10"/>
      <c r="L739" s="10"/>
      <c r="M739" s="10"/>
      <c r="N739" s="10"/>
      <c r="O739" s="18">
        <v>246.5</v>
      </c>
      <c r="P739" s="10"/>
      <c r="Q739" s="17" t="b">
        <v>1</v>
      </c>
      <c r="R739" s="10"/>
    </row>
    <row r="740">
      <c r="A740" s="6" t="s">
        <v>4055</v>
      </c>
      <c r="B740" s="6" t="s">
        <v>35</v>
      </c>
      <c r="C740" s="8">
        <v>45602.0</v>
      </c>
      <c r="D740" s="6" t="s">
        <v>286</v>
      </c>
      <c r="E740" s="6" t="s">
        <v>4056</v>
      </c>
      <c r="F740" s="10"/>
      <c r="G740" s="6" t="s">
        <v>4057</v>
      </c>
      <c r="H740" s="6" t="s">
        <v>4058</v>
      </c>
      <c r="I740" s="17" t="b">
        <v>1</v>
      </c>
      <c r="J740" s="6" t="s">
        <v>546</v>
      </c>
      <c r="K740" s="10"/>
      <c r="L740" s="10"/>
      <c r="M740" s="10"/>
      <c r="N740" s="10"/>
      <c r="O740" s="18">
        <v>2.0</v>
      </c>
      <c r="P740" s="18">
        <v>1137155.0</v>
      </c>
      <c r="Q740" s="17" t="b">
        <v>1</v>
      </c>
      <c r="R740" s="10"/>
    </row>
    <row r="741">
      <c r="A741" s="6" t="s">
        <v>4060</v>
      </c>
      <c r="B741" s="6" t="s">
        <v>35</v>
      </c>
      <c r="C741" s="8">
        <v>45603.0</v>
      </c>
      <c r="D741" s="6" t="s">
        <v>1414</v>
      </c>
      <c r="E741" s="6" t="s">
        <v>4061</v>
      </c>
      <c r="F741" s="10"/>
      <c r="G741" s="6" t="s">
        <v>4062</v>
      </c>
      <c r="H741" s="6" t="s">
        <v>4063</v>
      </c>
      <c r="I741" s="17" t="b">
        <v>1</v>
      </c>
      <c r="J741" s="6" t="s">
        <v>546</v>
      </c>
      <c r="K741" s="10"/>
      <c r="L741" s="10"/>
      <c r="M741" s="10"/>
      <c r="N741" s="10"/>
      <c r="O741" s="18">
        <v>50.0</v>
      </c>
      <c r="P741" s="18">
        <v>1137244.0</v>
      </c>
      <c r="Q741" s="17" t="b">
        <v>1</v>
      </c>
      <c r="R741" s="10"/>
    </row>
    <row r="742">
      <c r="A742" s="6" t="s">
        <v>4065</v>
      </c>
      <c r="B742" s="6" t="s">
        <v>35</v>
      </c>
      <c r="C742" s="8">
        <v>45604.0</v>
      </c>
      <c r="D742" s="6" t="s">
        <v>3816</v>
      </c>
      <c r="E742" s="6" t="s">
        <v>4067</v>
      </c>
      <c r="F742" s="10"/>
      <c r="G742" s="6" t="s">
        <v>4068</v>
      </c>
      <c r="H742" s="6" t="s">
        <v>528</v>
      </c>
      <c r="I742" s="17" t="b">
        <v>1</v>
      </c>
      <c r="J742" s="6" t="s">
        <v>546</v>
      </c>
      <c r="K742" s="10"/>
      <c r="L742" s="10"/>
      <c r="M742" s="10"/>
      <c r="N742" s="10"/>
      <c r="O742" s="18">
        <v>24.11</v>
      </c>
      <c r="P742" s="18">
        <v>1138453.0</v>
      </c>
      <c r="Q742" s="17" t="b">
        <v>1</v>
      </c>
      <c r="R742" s="10"/>
    </row>
    <row r="743">
      <c r="A743" s="6" t="s">
        <v>4070</v>
      </c>
      <c r="B743" s="6" t="s">
        <v>35</v>
      </c>
      <c r="C743" s="8">
        <v>45604.0</v>
      </c>
      <c r="D743" s="6" t="s">
        <v>112</v>
      </c>
      <c r="E743" s="6" t="s">
        <v>4072</v>
      </c>
      <c r="F743" s="10"/>
      <c r="G743" s="6" t="s">
        <v>4074</v>
      </c>
      <c r="H743" s="6" t="s">
        <v>45</v>
      </c>
      <c r="I743" s="17" t="b">
        <v>0</v>
      </c>
      <c r="J743" s="6" t="s">
        <v>546</v>
      </c>
      <c r="K743" s="10"/>
      <c r="L743" s="10"/>
      <c r="M743" s="10"/>
      <c r="N743" s="10"/>
      <c r="O743" s="18">
        <v>388.08</v>
      </c>
      <c r="P743" s="10"/>
      <c r="Q743" s="17" t="b">
        <v>1</v>
      </c>
      <c r="R743" s="10"/>
    </row>
    <row r="744">
      <c r="A744" s="6" t="s">
        <v>4076</v>
      </c>
      <c r="B744" s="6" t="s">
        <v>35</v>
      </c>
      <c r="C744" s="8">
        <v>45604.0</v>
      </c>
      <c r="D744" s="6" t="s">
        <v>543</v>
      </c>
      <c r="E744" s="6" t="s">
        <v>4077</v>
      </c>
      <c r="F744" s="10"/>
      <c r="G744" s="6" t="s">
        <v>4078</v>
      </c>
      <c r="H744" s="6" t="s">
        <v>59</v>
      </c>
      <c r="I744" s="17" t="b">
        <v>0</v>
      </c>
      <c r="J744" s="6" t="s">
        <v>546</v>
      </c>
      <c r="K744" s="10"/>
      <c r="L744" s="10"/>
      <c r="M744" s="10"/>
      <c r="N744" s="10"/>
      <c r="O744" s="18">
        <v>200.0</v>
      </c>
      <c r="P744" s="10"/>
      <c r="Q744" s="17" t="b">
        <v>1</v>
      </c>
      <c r="R744" s="10"/>
    </row>
    <row r="745">
      <c r="A745" s="6" t="s">
        <v>4080</v>
      </c>
      <c r="B745" s="6" t="s">
        <v>35</v>
      </c>
      <c r="C745" s="8">
        <v>45606.0</v>
      </c>
      <c r="D745" s="6" t="s">
        <v>543</v>
      </c>
      <c r="E745" s="6" t="s">
        <v>4081</v>
      </c>
      <c r="F745" s="10"/>
      <c r="G745" s="6" t="s">
        <v>4082</v>
      </c>
      <c r="H745" s="6" t="s">
        <v>171</v>
      </c>
      <c r="I745" s="17" t="b">
        <v>0</v>
      </c>
      <c r="J745" s="6" t="s">
        <v>546</v>
      </c>
      <c r="K745" s="10"/>
      <c r="L745" s="10"/>
      <c r="M745" s="10"/>
      <c r="N745" s="10"/>
      <c r="O745" s="18">
        <v>400.0</v>
      </c>
      <c r="P745" s="10"/>
      <c r="Q745" s="17" t="b">
        <v>1</v>
      </c>
      <c r="R745" s="10"/>
    </row>
    <row r="746">
      <c r="A746" s="6" t="s">
        <v>4084</v>
      </c>
      <c r="B746" s="6" t="s">
        <v>35</v>
      </c>
      <c r="C746" s="8">
        <v>45607.0</v>
      </c>
      <c r="D746" s="6" t="s">
        <v>2613</v>
      </c>
      <c r="E746" s="6" t="s">
        <v>4086</v>
      </c>
      <c r="F746" s="10"/>
      <c r="G746" s="6" t="s">
        <v>4087</v>
      </c>
      <c r="H746" s="6" t="s">
        <v>482</v>
      </c>
      <c r="I746" s="17" t="b">
        <v>1</v>
      </c>
      <c r="J746" s="6" t="s">
        <v>546</v>
      </c>
      <c r="K746" s="10"/>
      <c r="L746" s="10"/>
      <c r="M746" s="10"/>
      <c r="N746" s="10"/>
      <c r="O746" s="18">
        <v>173.94</v>
      </c>
      <c r="P746" s="18">
        <v>1144730.0</v>
      </c>
      <c r="Q746" s="17" t="b">
        <v>1</v>
      </c>
      <c r="R746" s="10"/>
    </row>
    <row r="747">
      <c r="A747" s="6" t="s">
        <v>4089</v>
      </c>
      <c r="B747" s="6" t="s">
        <v>35</v>
      </c>
      <c r="C747" s="8">
        <v>45607.0</v>
      </c>
      <c r="D747" s="6" t="s">
        <v>112</v>
      </c>
      <c r="E747" s="6" t="s">
        <v>4090</v>
      </c>
      <c r="F747" s="10"/>
      <c r="G747" s="6" t="s">
        <v>4091</v>
      </c>
      <c r="H747" s="6" t="s">
        <v>157</v>
      </c>
      <c r="I747" s="17" t="b">
        <v>0</v>
      </c>
      <c r="J747" s="6" t="s">
        <v>546</v>
      </c>
      <c r="K747" s="10"/>
      <c r="L747" s="10"/>
      <c r="M747" s="10"/>
      <c r="N747" s="10"/>
      <c r="O747" s="18">
        <v>238.24</v>
      </c>
      <c r="P747" s="10"/>
      <c r="Q747" s="17" t="b">
        <v>1</v>
      </c>
      <c r="R747" s="10"/>
    </row>
    <row r="748">
      <c r="A748" s="6" t="s">
        <v>4093</v>
      </c>
      <c r="B748" s="6" t="s">
        <v>35</v>
      </c>
      <c r="C748" s="8">
        <v>45607.0</v>
      </c>
      <c r="D748" s="18">
        <v>6.8893939E7</v>
      </c>
      <c r="E748" s="6" t="s">
        <v>4094</v>
      </c>
      <c r="F748" s="10"/>
      <c r="G748" s="6" t="s">
        <v>4095</v>
      </c>
      <c r="H748" s="6" t="s">
        <v>605</v>
      </c>
      <c r="I748" s="17" t="b">
        <v>0</v>
      </c>
      <c r="J748" s="6" t="s">
        <v>546</v>
      </c>
      <c r="K748" s="10"/>
      <c r="L748" s="10"/>
      <c r="M748" s="10"/>
      <c r="N748" s="10"/>
      <c r="O748" s="18">
        <v>2980.19</v>
      </c>
      <c r="P748" s="10"/>
      <c r="Q748" s="17" t="b">
        <v>1</v>
      </c>
      <c r="R748" s="10"/>
    </row>
    <row r="749">
      <c r="A749" s="6" t="s">
        <v>4097</v>
      </c>
      <c r="B749" s="6" t="s">
        <v>35</v>
      </c>
      <c r="C749" s="8">
        <v>45607.0</v>
      </c>
      <c r="D749" s="6" t="s">
        <v>890</v>
      </c>
      <c r="E749" s="6" t="s">
        <v>4099</v>
      </c>
      <c r="F749" s="10"/>
      <c r="G749" s="6" t="s">
        <v>4100</v>
      </c>
      <c r="H749" s="6" t="s">
        <v>3813</v>
      </c>
      <c r="I749" s="17" t="b">
        <v>0</v>
      </c>
      <c r="J749" s="6" t="s">
        <v>546</v>
      </c>
      <c r="K749" s="10"/>
      <c r="L749" s="6" t="s">
        <v>4101</v>
      </c>
      <c r="M749" s="6" t="s">
        <v>4102</v>
      </c>
      <c r="N749" s="10"/>
      <c r="O749" s="18">
        <v>11688.06</v>
      </c>
      <c r="P749" s="10"/>
      <c r="Q749" s="17" t="b">
        <v>1</v>
      </c>
      <c r="R749" s="10"/>
    </row>
    <row r="750">
      <c r="A750" s="6" t="s">
        <v>4104</v>
      </c>
      <c r="B750" s="6" t="s">
        <v>35</v>
      </c>
      <c r="C750" s="8">
        <v>45608.0</v>
      </c>
      <c r="D750" s="6" t="s">
        <v>2096</v>
      </c>
      <c r="E750" s="6" t="s">
        <v>4105</v>
      </c>
      <c r="F750" s="10"/>
      <c r="G750" s="6" t="s">
        <v>4106</v>
      </c>
      <c r="H750" s="6" t="s">
        <v>4107</v>
      </c>
      <c r="I750" s="17" t="b">
        <v>1</v>
      </c>
      <c r="J750" s="6" t="s">
        <v>546</v>
      </c>
      <c r="K750" s="10"/>
      <c r="L750" s="10"/>
      <c r="M750" s="10"/>
      <c r="N750" s="10"/>
      <c r="O750" s="18">
        <v>30.0</v>
      </c>
      <c r="P750" s="18">
        <v>1146357.0</v>
      </c>
      <c r="Q750" s="17" t="b">
        <v>1</v>
      </c>
      <c r="R750" s="10"/>
    </row>
    <row r="751">
      <c r="A751" s="6" t="s">
        <v>4109</v>
      </c>
      <c r="B751" s="6" t="s">
        <v>35</v>
      </c>
      <c r="C751" s="8">
        <v>45608.0</v>
      </c>
      <c r="D751" s="18">
        <v>2.6065919E7</v>
      </c>
      <c r="E751" s="6" t="s">
        <v>4111</v>
      </c>
      <c r="F751" s="10"/>
      <c r="G751" s="6" t="s">
        <v>4112</v>
      </c>
      <c r="H751" s="6" t="s">
        <v>4113</v>
      </c>
      <c r="I751" s="17" t="b">
        <v>1</v>
      </c>
      <c r="J751" s="6" t="s">
        <v>546</v>
      </c>
      <c r="K751" s="10"/>
      <c r="L751" s="10"/>
      <c r="M751" s="10"/>
      <c r="N751" s="10"/>
      <c r="O751" s="18">
        <v>108.0</v>
      </c>
      <c r="P751" s="18">
        <v>1146460.0</v>
      </c>
      <c r="Q751" s="17" t="b">
        <v>1</v>
      </c>
      <c r="R751" s="10"/>
    </row>
    <row r="752">
      <c r="A752" s="6" t="s">
        <v>4115</v>
      </c>
      <c r="B752" s="6" t="s">
        <v>35</v>
      </c>
      <c r="C752" s="8">
        <v>45609.0</v>
      </c>
      <c r="D752" s="6" t="s">
        <v>145</v>
      </c>
      <c r="E752" s="6" t="s">
        <v>4116</v>
      </c>
      <c r="F752" s="10"/>
      <c r="G752" s="6" t="s">
        <v>4117</v>
      </c>
      <c r="H752" s="6" t="s">
        <v>3627</v>
      </c>
      <c r="I752" s="17" t="b">
        <v>0</v>
      </c>
      <c r="J752" s="6" t="s">
        <v>546</v>
      </c>
      <c r="K752" s="10"/>
      <c r="L752" s="10"/>
      <c r="M752" s="10"/>
      <c r="N752" s="10"/>
      <c r="O752" s="18">
        <v>120.0</v>
      </c>
      <c r="P752" s="10"/>
      <c r="Q752" s="17" t="b">
        <v>1</v>
      </c>
      <c r="R752" s="10"/>
    </row>
    <row r="753">
      <c r="A753" s="6" t="s">
        <v>4119</v>
      </c>
      <c r="B753" s="6" t="s">
        <v>35</v>
      </c>
      <c r="C753" s="8">
        <v>45609.0</v>
      </c>
      <c r="D753" s="6" t="s">
        <v>112</v>
      </c>
      <c r="E753" s="6" t="s">
        <v>4120</v>
      </c>
      <c r="F753" s="10"/>
      <c r="G753" s="6" t="s">
        <v>4121</v>
      </c>
      <c r="H753" s="6" t="s">
        <v>157</v>
      </c>
      <c r="I753" s="17" t="b">
        <v>0</v>
      </c>
      <c r="J753" s="6" t="s">
        <v>546</v>
      </c>
      <c r="K753" s="10"/>
      <c r="L753" s="10"/>
      <c r="M753" s="10"/>
      <c r="N753" s="10"/>
      <c r="O753" s="18">
        <v>384.99</v>
      </c>
      <c r="P753" s="10"/>
      <c r="Q753" s="17" t="b">
        <v>1</v>
      </c>
      <c r="R753" s="10"/>
    </row>
    <row r="754">
      <c r="A754" s="6" t="s">
        <v>4124</v>
      </c>
      <c r="B754" s="6" t="s">
        <v>35</v>
      </c>
      <c r="C754" s="8">
        <v>45610.0</v>
      </c>
      <c r="D754" s="6" t="s">
        <v>112</v>
      </c>
      <c r="E754" s="6" t="s">
        <v>4125</v>
      </c>
      <c r="F754" s="10"/>
      <c r="G754" s="6" t="s">
        <v>4126</v>
      </c>
      <c r="H754" s="6" t="s">
        <v>157</v>
      </c>
      <c r="I754" s="17" t="b">
        <v>0</v>
      </c>
      <c r="J754" s="6" t="s">
        <v>546</v>
      </c>
      <c r="K754" s="10"/>
      <c r="L754" s="10"/>
      <c r="M754" s="10"/>
      <c r="N754" s="10"/>
      <c r="O754" s="18">
        <v>383.7</v>
      </c>
      <c r="P754" s="10"/>
      <c r="Q754" s="17" t="b">
        <v>1</v>
      </c>
      <c r="R754" s="10"/>
    </row>
    <row r="755">
      <c r="A755" s="6" t="s">
        <v>4128</v>
      </c>
      <c r="B755" s="6" t="s">
        <v>35</v>
      </c>
      <c r="C755" s="8">
        <v>45610.0</v>
      </c>
      <c r="D755" s="6" t="s">
        <v>890</v>
      </c>
      <c r="E755" s="6" t="s">
        <v>4130</v>
      </c>
      <c r="F755" s="10"/>
      <c r="G755" s="6" t="s">
        <v>4131</v>
      </c>
      <c r="H755" s="6" t="s">
        <v>2894</v>
      </c>
      <c r="I755" s="17" t="b">
        <v>0</v>
      </c>
      <c r="J755" s="6" t="s">
        <v>546</v>
      </c>
      <c r="K755" s="10"/>
      <c r="L755" s="10"/>
      <c r="M755" s="10"/>
      <c r="N755" s="10"/>
      <c r="O755" s="18">
        <v>17971.6</v>
      </c>
      <c r="P755" s="10"/>
      <c r="Q755" s="17" t="b">
        <v>1</v>
      </c>
      <c r="R755" s="10"/>
    </row>
    <row r="756">
      <c r="A756" s="18">
        <v>5.21936E7</v>
      </c>
      <c r="B756" s="6" t="s">
        <v>35</v>
      </c>
      <c r="C756" s="8">
        <v>45610.0</v>
      </c>
      <c r="D756" s="6" t="s">
        <v>233</v>
      </c>
      <c r="E756" s="6" t="s">
        <v>4133</v>
      </c>
      <c r="F756" s="10"/>
      <c r="G756" s="6" t="s">
        <v>4134</v>
      </c>
      <c r="H756" s="6" t="s">
        <v>4135</v>
      </c>
      <c r="I756" s="17" t="b">
        <v>0</v>
      </c>
      <c r="J756" s="6" t="s">
        <v>546</v>
      </c>
      <c r="K756" s="10"/>
      <c r="L756" s="10"/>
      <c r="M756" s="10"/>
      <c r="N756" s="10"/>
      <c r="O756" s="18">
        <v>190.77</v>
      </c>
      <c r="P756" s="10"/>
      <c r="Q756" s="17" t="b">
        <v>1</v>
      </c>
      <c r="R756" s="10"/>
    </row>
    <row r="757">
      <c r="A757" s="6" t="s">
        <v>4137</v>
      </c>
      <c r="B757" s="6" t="s">
        <v>35</v>
      </c>
      <c r="C757" s="8">
        <v>45611.0</v>
      </c>
      <c r="D757" s="6" t="s">
        <v>543</v>
      </c>
      <c r="E757" s="6" t="s">
        <v>4138</v>
      </c>
      <c r="F757" s="10"/>
      <c r="G757" s="6" t="s">
        <v>4139</v>
      </c>
      <c r="H757" s="6" t="s">
        <v>171</v>
      </c>
      <c r="I757" s="17" t="b">
        <v>0</v>
      </c>
      <c r="J757" s="6" t="s">
        <v>546</v>
      </c>
      <c r="K757" s="10"/>
      <c r="L757" s="10"/>
      <c r="M757" s="10"/>
      <c r="N757" s="10"/>
      <c r="O757" s="18">
        <v>250.0</v>
      </c>
      <c r="P757" s="10"/>
      <c r="Q757" s="17" t="b">
        <v>1</v>
      </c>
      <c r="R757" s="10"/>
    </row>
    <row r="758">
      <c r="A758" s="6" t="s">
        <v>4141</v>
      </c>
      <c r="B758" s="6" t="s">
        <v>35</v>
      </c>
      <c r="C758" s="8">
        <v>45611.0</v>
      </c>
      <c r="D758" s="6" t="s">
        <v>4142</v>
      </c>
      <c r="E758" s="6" t="s">
        <v>4143</v>
      </c>
      <c r="F758" s="10"/>
      <c r="G758" s="6" t="s">
        <v>4145</v>
      </c>
      <c r="H758" s="6" t="s">
        <v>4146</v>
      </c>
      <c r="I758" s="17" t="b">
        <v>1</v>
      </c>
      <c r="J758" s="6" t="s">
        <v>546</v>
      </c>
      <c r="K758" s="10"/>
      <c r="L758" s="10"/>
      <c r="M758" s="10"/>
      <c r="N758" s="10"/>
      <c r="O758" s="18">
        <v>15.74</v>
      </c>
      <c r="P758" s="18">
        <v>1151646.0</v>
      </c>
      <c r="Q758" s="17" t="b">
        <v>1</v>
      </c>
      <c r="R758" s="10"/>
    </row>
    <row r="759">
      <c r="A759" s="6" t="s">
        <v>4147</v>
      </c>
      <c r="B759" s="6" t="s">
        <v>35</v>
      </c>
      <c r="C759" s="8">
        <v>45612.0</v>
      </c>
      <c r="D759" s="6" t="s">
        <v>112</v>
      </c>
      <c r="E759" s="6" t="s">
        <v>4149</v>
      </c>
      <c r="F759" s="10"/>
      <c r="G759" s="6" t="s">
        <v>4150</v>
      </c>
      <c r="H759" s="6" t="s">
        <v>157</v>
      </c>
      <c r="I759" s="17" t="b">
        <v>0</v>
      </c>
      <c r="J759" s="6" t="s">
        <v>546</v>
      </c>
      <c r="K759" s="10"/>
      <c r="L759" s="10"/>
      <c r="M759" s="10"/>
      <c r="N759" s="10"/>
      <c r="O759" s="18">
        <v>356.6</v>
      </c>
      <c r="P759" s="10"/>
      <c r="Q759" s="17" t="b">
        <v>1</v>
      </c>
      <c r="R759" s="10"/>
    </row>
    <row r="760">
      <c r="A760" s="6" t="s">
        <v>4152</v>
      </c>
      <c r="B760" s="6" t="s">
        <v>35</v>
      </c>
      <c r="C760" s="8">
        <v>45613.0</v>
      </c>
      <c r="D760" s="18">
        <v>8.627274E7</v>
      </c>
      <c r="E760" s="6" t="s">
        <v>4153</v>
      </c>
      <c r="F760" s="10"/>
      <c r="G760" s="6" t="s">
        <v>4154</v>
      </c>
      <c r="H760" s="6" t="s">
        <v>4146</v>
      </c>
      <c r="I760" s="17" t="b">
        <v>0</v>
      </c>
      <c r="J760" s="6" t="s">
        <v>546</v>
      </c>
      <c r="K760" s="10"/>
      <c r="L760" s="10"/>
      <c r="M760" s="10"/>
      <c r="N760" s="10"/>
      <c r="O760" s="18">
        <v>24.5</v>
      </c>
      <c r="P760" s="10"/>
      <c r="Q760" s="17" t="b">
        <v>1</v>
      </c>
      <c r="R760" s="10"/>
    </row>
    <row r="761">
      <c r="A761" s="6" t="s">
        <v>4156</v>
      </c>
      <c r="B761" s="6" t="s">
        <v>35</v>
      </c>
      <c r="C761" s="8">
        <v>45613.0</v>
      </c>
      <c r="D761" s="6" t="s">
        <v>543</v>
      </c>
      <c r="E761" s="6" t="s">
        <v>4158</v>
      </c>
      <c r="F761" s="10"/>
      <c r="G761" s="6" t="s">
        <v>4159</v>
      </c>
      <c r="H761" s="6" t="s">
        <v>171</v>
      </c>
      <c r="I761" s="17" t="b">
        <v>0</v>
      </c>
      <c r="J761" s="6" t="s">
        <v>546</v>
      </c>
      <c r="K761" s="10"/>
      <c r="L761" s="10"/>
      <c r="M761" s="10"/>
      <c r="N761" s="10"/>
      <c r="O761" s="18">
        <v>475.0</v>
      </c>
      <c r="P761" s="10"/>
      <c r="Q761" s="17" t="b">
        <v>1</v>
      </c>
      <c r="R761" s="10"/>
    </row>
    <row r="762">
      <c r="A762" s="6" t="s">
        <v>4161</v>
      </c>
      <c r="B762" s="6" t="s">
        <v>35</v>
      </c>
      <c r="C762" s="8">
        <v>45614.0</v>
      </c>
      <c r="D762" s="6" t="s">
        <v>353</v>
      </c>
      <c r="E762" s="6" t="s">
        <v>4163</v>
      </c>
      <c r="F762" s="10"/>
      <c r="G762" s="6" t="s">
        <v>4164</v>
      </c>
      <c r="H762" s="6" t="s">
        <v>4165</v>
      </c>
      <c r="I762" s="17" t="b">
        <v>1</v>
      </c>
      <c r="J762" s="6" t="s">
        <v>546</v>
      </c>
      <c r="K762" s="10"/>
      <c r="L762" s="10"/>
      <c r="M762" s="10"/>
      <c r="N762" s="10"/>
      <c r="O762" s="18">
        <v>277.63</v>
      </c>
      <c r="P762" s="6" t="s">
        <v>4049</v>
      </c>
      <c r="Q762" s="17" t="b">
        <v>1</v>
      </c>
      <c r="R762" s="10"/>
    </row>
    <row r="763">
      <c r="A763" s="6" t="s">
        <v>4167</v>
      </c>
      <c r="B763" s="6" t="s">
        <v>35</v>
      </c>
      <c r="C763" s="8">
        <v>45615.0</v>
      </c>
      <c r="D763" s="6" t="s">
        <v>543</v>
      </c>
      <c r="E763" s="6" t="s">
        <v>4168</v>
      </c>
      <c r="F763" s="10"/>
      <c r="G763" s="6" t="s">
        <v>4170</v>
      </c>
      <c r="H763" s="6" t="s">
        <v>171</v>
      </c>
      <c r="I763" s="17" t="b">
        <v>0</v>
      </c>
      <c r="J763" s="6" t="s">
        <v>546</v>
      </c>
      <c r="K763" s="10"/>
      <c r="L763" s="10"/>
      <c r="M763" s="10"/>
      <c r="N763" s="10"/>
      <c r="O763" s="18">
        <v>175.0</v>
      </c>
      <c r="P763" s="10"/>
      <c r="Q763" s="17" t="b">
        <v>1</v>
      </c>
      <c r="R763" s="10"/>
    </row>
    <row r="764">
      <c r="A764" s="6" t="s">
        <v>4172</v>
      </c>
      <c r="B764" s="6" t="s">
        <v>35</v>
      </c>
      <c r="C764" s="8">
        <v>45615.0</v>
      </c>
      <c r="D764" s="6" t="s">
        <v>112</v>
      </c>
      <c r="E764" s="6" t="s">
        <v>4173</v>
      </c>
      <c r="F764" s="10"/>
      <c r="G764" s="6" t="s">
        <v>4174</v>
      </c>
      <c r="H764" s="6" t="s">
        <v>157</v>
      </c>
      <c r="I764" s="17" t="b">
        <v>0</v>
      </c>
      <c r="J764" s="6" t="s">
        <v>546</v>
      </c>
      <c r="K764" s="10"/>
      <c r="L764" s="10"/>
      <c r="M764" s="10"/>
      <c r="N764" s="10"/>
      <c r="O764" s="18">
        <v>294.46</v>
      </c>
      <c r="P764" s="10"/>
      <c r="Q764" s="17" t="b">
        <v>1</v>
      </c>
      <c r="R764" s="10"/>
    </row>
    <row r="765">
      <c r="A765" s="6" t="s">
        <v>4177</v>
      </c>
      <c r="B765" s="6" t="s">
        <v>35</v>
      </c>
      <c r="C765" s="8">
        <v>45620.0</v>
      </c>
      <c r="D765" s="10"/>
      <c r="E765" s="10"/>
      <c r="F765" s="10"/>
      <c r="G765" s="10"/>
      <c r="H765" s="6" t="s">
        <v>4179</v>
      </c>
      <c r="I765" s="10"/>
      <c r="J765" s="6" t="s">
        <v>539</v>
      </c>
      <c r="K765" s="6" t="s">
        <v>658</v>
      </c>
      <c r="L765" s="10"/>
      <c r="M765" s="10"/>
      <c r="N765" s="10"/>
      <c r="O765" s="18">
        <v>1011.66</v>
      </c>
      <c r="P765" s="10"/>
      <c r="Q765" s="6"/>
      <c r="R765" s="10"/>
    </row>
    <row r="766">
      <c r="A766" s="6" t="s">
        <v>4182</v>
      </c>
      <c r="B766" s="6" t="s">
        <v>35</v>
      </c>
      <c r="C766" s="8">
        <v>45620.0</v>
      </c>
      <c r="D766" s="10"/>
      <c r="E766" s="10"/>
      <c r="F766" s="10"/>
      <c r="G766" s="10"/>
      <c r="H766" s="6" t="s">
        <v>4179</v>
      </c>
      <c r="I766" s="10"/>
      <c r="J766" s="6" t="s">
        <v>539</v>
      </c>
      <c r="K766" s="6" t="s">
        <v>624</v>
      </c>
      <c r="L766" s="10"/>
      <c r="M766" s="10"/>
      <c r="N766" s="10"/>
      <c r="O766" s="18">
        <v>957.0</v>
      </c>
      <c r="P766" s="10"/>
      <c r="Q766" s="6"/>
      <c r="R766" s="10"/>
    </row>
    <row r="767">
      <c r="A767" s="6" t="s">
        <v>4185</v>
      </c>
      <c r="B767" s="6" t="s">
        <v>35</v>
      </c>
      <c r="C767" s="8">
        <v>45620.0</v>
      </c>
      <c r="D767" s="10"/>
      <c r="E767" s="10"/>
      <c r="F767" s="10"/>
      <c r="G767" s="10"/>
      <c r="H767" s="6" t="s">
        <v>4179</v>
      </c>
      <c r="I767" s="10"/>
      <c r="J767" s="6" t="s">
        <v>539</v>
      </c>
      <c r="K767" s="6" t="s">
        <v>2052</v>
      </c>
      <c r="L767" s="10"/>
      <c r="M767" s="10"/>
      <c r="N767" s="10"/>
      <c r="O767" s="18">
        <v>665.11</v>
      </c>
      <c r="P767" s="10"/>
      <c r="Q767" s="6"/>
      <c r="R767" s="10"/>
    </row>
    <row r="768">
      <c r="A768" s="6" t="s">
        <v>4189</v>
      </c>
      <c r="B768" s="6" t="s">
        <v>35</v>
      </c>
      <c r="C768" s="8">
        <v>45620.0</v>
      </c>
      <c r="D768" s="10"/>
      <c r="E768" s="10"/>
      <c r="F768" s="10"/>
      <c r="G768" s="10"/>
      <c r="H768" s="6" t="s">
        <v>4179</v>
      </c>
      <c r="I768" s="10"/>
      <c r="J768" s="6" t="s">
        <v>539</v>
      </c>
      <c r="K768" s="6" t="s">
        <v>227</v>
      </c>
      <c r="L768" s="10"/>
      <c r="M768" s="10"/>
      <c r="N768" s="10"/>
      <c r="O768" s="18">
        <v>345.83</v>
      </c>
      <c r="P768" s="10"/>
      <c r="Q768" s="6"/>
      <c r="R768" s="10"/>
    </row>
    <row r="769">
      <c r="A769" s="6" t="s">
        <v>4192</v>
      </c>
      <c r="B769" s="6" t="s">
        <v>35</v>
      </c>
      <c r="C769" s="8">
        <v>45620.0</v>
      </c>
      <c r="D769" s="10"/>
      <c r="E769" s="10"/>
      <c r="F769" s="10"/>
      <c r="G769" s="10"/>
      <c r="H769" s="6" t="s">
        <v>4179</v>
      </c>
      <c r="I769" s="10"/>
      <c r="J769" s="6" t="s">
        <v>539</v>
      </c>
      <c r="K769" s="6" t="s">
        <v>682</v>
      </c>
      <c r="L769" s="10"/>
      <c r="M769" s="10"/>
      <c r="N769" s="10"/>
      <c r="O769" s="18">
        <v>1872.5</v>
      </c>
      <c r="P769" s="10"/>
      <c r="Q769" s="6"/>
      <c r="R769" s="10"/>
    </row>
    <row r="770">
      <c r="A770" s="6" t="s">
        <v>4196</v>
      </c>
      <c r="B770" s="6" t="s">
        <v>35</v>
      </c>
      <c r="C770" s="8">
        <v>45601.0</v>
      </c>
      <c r="D770" s="6" t="s">
        <v>233</v>
      </c>
      <c r="E770" s="6" t="s">
        <v>4198</v>
      </c>
      <c r="F770" s="10"/>
      <c r="G770" s="6" t="s">
        <v>4199</v>
      </c>
      <c r="H770" s="6" t="s">
        <v>4200</v>
      </c>
      <c r="I770" s="17" t="b">
        <v>1</v>
      </c>
      <c r="J770" s="6" t="s">
        <v>546</v>
      </c>
      <c r="K770" s="10"/>
      <c r="L770" s="10"/>
      <c r="M770" s="10"/>
      <c r="N770" s="10"/>
      <c r="O770" s="18">
        <v>302.35</v>
      </c>
      <c r="P770" s="6" t="s">
        <v>4049</v>
      </c>
      <c r="Q770" s="17" t="b">
        <v>1</v>
      </c>
      <c r="R770" s="10"/>
    </row>
    <row r="771">
      <c r="A771" s="6" t="s">
        <v>4205</v>
      </c>
      <c r="B771" s="6" t="s">
        <v>35</v>
      </c>
      <c r="C771" s="8">
        <v>45603.0</v>
      </c>
      <c r="D771" s="6" t="s">
        <v>2644</v>
      </c>
      <c r="E771" s="6" t="s">
        <v>4208</v>
      </c>
      <c r="F771" s="10"/>
      <c r="G771" s="6" t="s">
        <v>4209</v>
      </c>
      <c r="H771" s="6" t="s">
        <v>767</v>
      </c>
      <c r="I771" s="17" t="b">
        <v>0</v>
      </c>
      <c r="J771" s="6" t="s">
        <v>546</v>
      </c>
      <c r="K771" s="10"/>
      <c r="L771" s="10"/>
      <c r="M771" s="10"/>
      <c r="N771" s="10"/>
      <c r="O771" s="18">
        <v>828.5</v>
      </c>
      <c r="P771" s="10"/>
      <c r="Q771" s="17" t="b">
        <v>1</v>
      </c>
      <c r="R771" s="10"/>
    </row>
    <row r="772">
      <c r="A772" s="6" t="s">
        <v>4212</v>
      </c>
      <c r="B772" s="6" t="s">
        <v>35</v>
      </c>
      <c r="C772" s="8">
        <v>45607.0</v>
      </c>
      <c r="D772" s="6" t="s">
        <v>3716</v>
      </c>
      <c r="E772" s="6" t="s">
        <v>4214</v>
      </c>
      <c r="F772" s="10"/>
      <c r="G772" s="6" t="s">
        <v>4215</v>
      </c>
      <c r="H772" s="6" t="s">
        <v>195</v>
      </c>
      <c r="I772" s="17" t="b">
        <v>0</v>
      </c>
      <c r="J772" s="6" t="s">
        <v>546</v>
      </c>
      <c r="K772" s="10"/>
      <c r="L772" s="10"/>
      <c r="M772" s="10"/>
      <c r="N772" s="10"/>
      <c r="O772" s="18">
        <v>329.8</v>
      </c>
      <c r="P772" s="10"/>
      <c r="Q772" s="17" t="b">
        <v>1</v>
      </c>
      <c r="R772" s="10"/>
    </row>
    <row r="773">
      <c r="A773" s="6" t="s">
        <v>4218</v>
      </c>
      <c r="B773" s="6" t="s">
        <v>35</v>
      </c>
      <c r="C773" s="8">
        <v>45610.0</v>
      </c>
      <c r="D773" s="6" t="s">
        <v>764</v>
      </c>
      <c r="E773" s="6" t="s">
        <v>4220</v>
      </c>
      <c r="F773" s="10"/>
      <c r="G773" s="6" t="s">
        <v>4221</v>
      </c>
      <c r="H773" s="6" t="s">
        <v>195</v>
      </c>
      <c r="I773" s="17" t="b">
        <v>0</v>
      </c>
      <c r="J773" s="6" t="s">
        <v>546</v>
      </c>
      <c r="K773" s="10"/>
      <c r="L773" s="10"/>
      <c r="M773" s="10"/>
      <c r="N773" s="10"/>
      <c r="O773" s="18">
        <v>832.25</v>
      </c>
      <c r="P773" s="10"/>
      <c r="Q773" s="17" t="b">
        <v>1</v>
      </c>
      <c r="R773" s="10"/>
    </row>
    <row r="774">
      <c r="A774" s="6" t="s">
        <v>4225</v>
      </c>
      <c r="B774" s="6" t="s">
        <v>35</v>
      </c>
      <c r="C774" s="8">
        <v>45616.0</v>
      </c>
      <c r="D774" s="6" t="s">
        <v>420</v>
      </c>
      <c r="E774" s="6" t="s">
        <v>4227</v>
      </c>
      <c r="F774" s="10"/>
      <c r="G774" s="6" t="s">
        <v>4228</v>
      </c>
      <c r="H774" s="6" t="s">
        <v>4230</v>
      </c>
      <c r="I774" s="17" t="b">
        <v>0</v>
      </c>
      <c r="J774" s="6" t="s">
        <v>546</v>
      </c>
      <c r="K774" s="10"/>
      <c r="L774" s="6" t="s">
        <v>4231</v>
      </c>
      <c r="M774" s="10"/>
      <c r="N774" s="10"/>
      <c r="O774" s="18">
        <v>2252.66</v>
      </c>
      <c r="P774" s="10"/>
      <c r="Q774" s="17" t="b">
        <v>1</v>
      </c>
      <c r="R774" s="10"/>
    </row>
    <row r="775">
      <c r="A775" s="6" t="s">
        <v>4233</v>
      </c>
      <c r="B775" s="6" t="s">
        <v>35</v>
      </c>
      <c r="C775" s="8">
        <v>45618.0</v>
      </c>
      <c r="D775" s="6" t="s">
        <v>543</v>
      </c>
      <c r="E775" s="6" t="s">
        <v>4235</v>
      </c>
      <c r="F775" s="10"/>
      <c r="G775" s="6" t="s">
        <v>4236</v>
      </c>
      <c r="H775" s="6" t="s">
        <v>171</v>
      </c>
      <c r="I775" s="17" t="b">
        <v>0</v>
      </c>
      <c r="J775" s="6" t="s">
        <v>546</v>
      </c>
      <c r="K775" s="10"/>
      <c r="L775" s="10"/>
      <c r="M775" s="10"/>
      <c r="N775" s="10"/>
      <c r="O775" s="18">
        <v>250.0</v>
      </c>
      <c r="P775" s="10"/>
      <c r="Q775" s="17" t="b">
        <v>1</v>
      </c>
      <c r="R775" s="10"/>
    </row>
    <row r="776">
      <c r="A776" s="6" t="s">
        <v>4239</v>
      </c>
      <c r="B776" s="6" t="s">
        <v>35</v>
      </c>
      <c r="C776" s="8">
        <v>45619.0</v>
      </c>
      <c r="D776" s="6" t="s">
        <v>112</v>
      </c>
      <c r="E776" s="6" t="s">
        <v>4240</v>
      </c>
      <c r="F776" s="10"/>
      <c r="G776" s="6" t="s">
        <v>4241</v>
      </c>
      <c r="H776" s="6" t="s">
        <v>157</v>
      </c>
      <c r="I776" s="17" t="b">
        <v>0</v>
      </c>
      <c r="J776" s="6" t="s">
        <v>546</v>
      </c>
      <c r="K776" s="10"/>
      <c r="L776" s="10"/>
      <c r="M776" s="10"/>
      <c r="N776" s="10"/>
      <c r="O776" s="18">
        <v>280.04</v>
      </c>
      <c r="P776" s="10"/>
      <c r="Q776" s="17" t="b">
        <v>1</v>
      </c>
      <c r="R776" s="10"/>
    </row>
    <row r="777">
      <c r="A777" s="6" t="s">
        <v>4244</v>
      </c>
      <c r="B777" s="6" t="s">
        <v>35</v>
      </c>
      <c r="C777" s="8">
        <v>45619.0</v>
      </c>
      <c r="D777" s="6" t="s">
        <v>1807</v>
      </c>
      <c r="E777" s="6" t="s">
        <v>4246</v>
      </c>
      <c r="F777" s="10"/>
      <c r="G777" s="6" t="s">
        <v>4247</v>
      </c>
      <c r="H777" s="6" t="s">
        <v>4248</v>
      </c>
      <c r="I777" s="17" t="b">
        <v>1</v>
      </c>
      <c r="J777" s="6" t="s">
        <v>546</v>
      </c>
      <c r="K777" s="10"/>
      <c r="L777" s="10"/>
      <c r="M777" s="10"/>
      <c r="N777" s="10"/>
      <c r="O777" s="18">
        <v>115.19</v>
      </c>
      <c r="P777" s="6" t="s">
        <v>4250</v>
      </c>
      <c r="Q777" s="17" t="b">
        <v>1</v>
      </c>
      <c r="R777" s="10"/>
    </row>
    <row r="778">
      <c r="A778" s="6" t="s">
        <v>4252</v>
      </c>
      <c r="B778" s="6" t="s">
        <v>35</v>
      </c>
      <c r="C778" s="8">
        <v>45619.0</v>
      </c>
      <c r="D778" s="6" t="s">
        <v>286</v>
      </c>
      <c r="E778" s="6" t="s">
        <v>4254</v>
      </c>
      <c r="F778" s="10"/>
      <c r="G778" s="6" t="s">
        <v>4255</v>
      </c>
      <c r="H778" s="6" t="s">
        <v>456</v>
      </c>
      <c r="I778" s="17" t="b">
        <v>1</v>
      </c>
      <c r="J778" s="6" t="s">
        <v>546</v>
      </c>
      <c r="K778" s="10"/>
      <c r="L778" s="10"/>
      <c r="M778" s="10"/>
      <c r="N778" s="10"/>
      <c r="O778" s="18">
        <v>19.99</v>
      </c>
      <c r="P778" s="18">
        <v>1164855.0</v>
      </c>
      <c r="Q778" s="17" t="b">
        <v>1</v>
      </c>
      <c r="R778" s="10"/>
    </row>
    <row r="779">
      <c r="A779" s="6" t="s">
        <v>4258</v>
      </c>
      <c r="B779" s="6" t="s">
        <v>35</v>
      </c>
      <c r="C779" s="8">
        <v>45621.0</v>
      </c>
      <c r="D779" s="6" t="s">
        <v>543</v>
      </c>
      <c r="E779" s="6" t="s">
        <v>4260</v>
      </c>
      <c r="F779" s="10"/>
      <c r="G779" s="6" t="s">
        <v>4261</v>
      </c>
      <c r="H779" s="6" t="s">
        <v>157</v>
      </c>
      <c r="I779" s="17" t="b">
        <v>0</v>
      </c>
      <c r="J779" s="6" t="s">
        <v>546</v>
      </c>
      <c r="K779" s="10"/>
      <c r="L779" s="10"/>
      <c r="M779" s="10"/>
      <c r="N779" s="10"/>
      <c r="O779" s="18">
        <v>350.0</v>
      </c>
      <c r="P779" s="10"/>
      <c r="Q779" s="17" t="b">
        <v>1</v>
      </c>
      <c r="R779" s="10"/>
    </row>
    <row r="780">
      <c r="A780" s="6" t="s">
        <v>4264</v>
      </c>
      <c r="B780" s="6" t="s">
        <v>35</v>
      </c>
      <c r="C780" s="8">
        <v>45617.0</v>
      </c>
      <c r="D780" s="6" t="s">
        <v>764</v>
      </c>
      <c r="E780" s="6" t="s">
        <v>4265</v>
      </c>
      <c r="F780" s="10"/>
      <c r="G780" s="6" t="s">
        <v>4266</v>
      </c>
      <c r="H780" s="6" t="s">
        <v>195</v>
      </c>
      <c r="I780" s="17" t="b">
        <v>0</v>
      </c>
      <c r="J780" s="6" t="s">
        <v>546</v>
      </c>
      <c r="K780" s="10"/>
      <c r="L780" s="6" t="s">
        <v>4268</v>
      </c>
      <c r="M780" s="10"/>
      <c r="N780" s="10"/>
      <c r="O780" s="18">
        <v>622.0</v>
      </c>
      <c r="P780" s="10"/>
      <c r="Q780" s="17" t="b">
        <v>1</v>
      </c>
      <c r="R780" s="10"/>
    </row>
    <row r="781">
      <c r="A781" s="6" t="s">
        <v>4270</v>
      </c>
      <c r="B781" s="6" t="s">
        <v>35</v>
      </c>
      <c r="C781" s="8">
        <v>45609.0</v>
      </c>
      <c r="D781" s="6" t="s">
        <v>4271</v>
      </c>
      <c r="E781" s="6" t="s">
        <v>4272</v>
      </c>
      <c r="F781" s="10"/>
      <c r="G781" s="6" t="s">
        <v>4273</v>
      </c>
      <c r="H781" s="6" t="s">
        <v>171</v>
      </c>
      <c r="I781" s="17" t="b">
        <v>1</v>
      </c>
      <c r="J781" s="6" t="s">
        <v>546</v>
      </c>
      <c r="K781" s="10"/>
      <c r="L781" s="10"/>
      <c r="M781" s="10"/>
      <c r="N781" s="10"/>
      <c r="O781" s="18">
        <v>333.0</v>
      </c>
      <c r="P781" s="18">
        <v>1147760.0</v>
      </c>
      <c r="Q781" s="17" t="b">
        <v>1</v>
      </c>
      <c r="R781" s="10"/>
    </row>
    <row r="782">
      <c r="A782" s="6" t="s">
        <v>4275</v>
      </c>
      <c r="B782" s="6" t="s">
        <v>35</v>
      </c>
      <c r="C782" s="8">
        <v>45622.0</v>
      </c>
      <c r="D782" s="6" t="s">
        <v>890</v>
      </c>
      <c r="E782" s="10"/>
      <c r="F782" s="10"/>
      <c r="G782" s="10"/>
      <c r="H782" s="6" t="s">
        <v>4277</v>
      </c>
      <c r="I782" s="10"/>
      <c r="J782" s="6" t="s">
        <v>539</v>
      </c>
      <c r="K782" s="10"/>
      <c r="L782" s="10"/>
      <c r="M782" s="10"/>
      <c r="N782" s="10"/>
      <c r="O782" s="18">
        <v>11688.06</v>
      </c>
      <c r="P782" s="10"/>
      <c r="Q782" s="6"/>
      <c r="R782" s="10"/>
    </row>
    <row r="783">
      <c r="A783" s="6" t="s">
        <v>4279</v>
      </c>
      <c r="B783" s="6" t="s">
        <v>35</v>
      </c>
      <c r="C783" s="8">
        <v>45622.0</v>
      </c>
      <c r="D783" s="6" t="s">
        <v>460</v>
      </c>
      <c r="E783" s="10"/>
      <c r="F783" s="10"/>
      <c r="G783" s="10"/>
      <c r="H783" s="6" t="s">
        <v>931</v>
      </c>
      <c r="I783" s="10"/>
      <c r="J783" s="6" t="s">
        <v>539</v>
      </c>
      <c r="K783" s="10"/>
      <c r="L783" s="10"/>
      <c r="M783" s="10"/>
      <c r="N783" s="10"/>
      <c r="O783" s="18">
        <v>30.0</v>
      </c>
      <c r="P783" s="10"/>
      <c r="Q783" s="6"/>
      <c r="R783" s="10"/>
    </row>
    <row r="784">
      <c r="A784" s="6" t="s">
        <v>4282</v>
      </c>
      <c r="B784" s="6" t="s">
        <v>35</v>
      </c>
      <c r="C784" s="8">
        <v>45622.0</v>
      </c>
      <c r="D784" s="6" t="s">
        <v>460</v>
      </c>
      <c r="E784" s="10"/>
      <c r="F784" s="10"/>
      <c r="G784" s="10"/>
      <c r="H784" s="6" t="s">
        <v>4284</v>
      </c>
      <c r="I784" s="10"/>
      <c r="J784" s="6" t="s">
        <v>539</v>
      </c>
      <c r="K784" s="10"/>
      <c r="L784" s="10"/>
      <c r="M784" s="10"/>
      <c r="N784" s="10"/>
      <c r="O784" s="18">
        <v>200.0</v>
      </c>
      <c r="P784" s="10"/>
      <c r="Q784" s="6"/>
      <c r="R784" s="10"/>
    </row>
    <row r="785">
      <c r="A785" s="6" t="s">
        <v>4287</v>
      </c>
      <c r="B785" s="6" t="s">
        <v>35</v>
      </c>
      <c r="C785" s="8">
        <v>45622.0</v>
      </c>
      <c r="D785" s="6" t="s">
        <v>460</v>
      </c>
      <c r="E785" s="10"/>
      <c r="F785" s="10"/>
      <c r="G785" s="10"/>
      <c r="H785" s="6" t="s">
        <v>4289</v>
      </c>
      <c r="I785" s="10"/>
      <c r="J785" s="6" t="s">
        <v>539</v>
      </c>
      <c r="K785" s="10"/>
      <c r="L785" s="10"/>
      <c r="M785" s="10"/>
      <c r="N785" s="10"/>
      <c r="O785" s="18">
        <v>150.0</v>
      </c>
      <c r="P785" s="10"/>
      <c r="Q785" s="6"/>
      <c r="R785" s="10"/>
    </row>
    <row r="786">
      <c r="A786" s="6" t="s">
        <v>4291</v>
      </c>
      <c r="B786" s="6" t="s">
        <v>35</v>
      </c>
      <c r="C786" s="8">
        <v>45622.0</v>
      </c>
      <c r="D786" s="6" t="s">
        <v>460</v>
      </c>
      <c r="E786" s="10"/>
      <c r="F786" s="10"/>
      <c r="G786" s="10"/>
      <c r="H786" s="6" t="s">
        <v>4293</v>
      </c>
      <c r="I786" s="10"/>
      <c r="J786" s="6" t="s">
        <v>539</v>
      </c>
      <c r="K786" s="10"/>
      <c r="L786" s="10"/>
      <c r="M786" s="10"/>
      <c r="N786" s="10"/>
      <c r="O786" s="18">
        <v>396.0</v>
      </c>
      <c r="P786" s="10"/>
      <c r="Q786" s="6"/>
      <c r="R786" s="10"/>
    </row>
    <row r="787">
      <c r="A787" s="6" t="s">
        <v>4296</v>
      </c>
      <c r="B787" s="6" t="s">
        <v>35</v>
      </c>
      <c r="C787" s="8">
        <v>45617.0</v>
      </c>
      <c r="D787" s="18">
        <v>6.8893939E7</v>
      </c>
      <c r="E787" s="6" t="s">
        <v>4297</v>
      </c>
      <c r="F787" s="10"/>
      <c r="G787" s="6" t="s">
        <v>4298</v>
      </c>
      <c r="H787" s="6" t="s">
        <v>4300</v>
      </c>
      <c r="I787" s="17" t="b">
        <v>0</v>
      </c>
      <c r="J787" s="6" t="s">
        <v>546</v>
      </c>
      <c r="K787" s="10"/>
      <c r="L787" s="10"/>
      <c r="M787" s="10"/>
      <c r="N787" s="10"/>
      <c r="O787" s="18">
        <v>259.52</v>
      </c>
      <c r="P787" s="10"/>
      <c r="Q787" s="17" t="b">
        <v>1</v>
      </c>
      <c r="R787" s="10"/>
    </row>
    <row r="788">
      <c r="A788" s="6" t="s">
        <v>4302</v>
      </c>
      <c r="B788" s="6" t="s">
        <v>35</v>
      </c>
      <c r="C788" s="8">
        <v>45618.0</v>
      </c>
      <c r="D788" s="6" t="s">
        <v>4304</v>
      </c>
      <c r="E788" s="6" t="s">
        <v>4305</v>
      </c>
      <c r="F788" s="10"/>
      <c r="G788" s="6" t="s">
        <v>4307</v>
      </c>
      <c r="H788" s="6" t="s">
        <v>4308</v>
      </c>
      <c r="I788" s="17" t="b">
        <v>1</v>
      </c>
      <c r="J788" s="6" t="s">
        <v>546</v>
      </c>
      <c r="K788" s="10"/>
      <c r="L788" s="10"/>
      <c r="M788" s="10"/>
      <c r="N788" s="10"/>
      <c r="O788" s="18">
        <v>92.38</v>
      </c>
      <c r="P788" s="18">
        <v>1169366.0</v>
      </c>
      <c r="Q788" s="17" t="b">
        <v>1</v>
      </c>
      <c r="R788" s="10"/>
    </row>
    <row r="789">
      <c r="A789" s="6" t="s">
        <v>4310</v>
      </c>
      <c r="B789" s="6" t="s">
        <v>35</v>
      </c>
      <c r="C789" s="8">
        <v>45621.0</v>
      </c>
      <c r="D789" s="6" t="s">
        <v>2096</v>
      </c>
      <c r="E789" s="6" t="s">
        <v>4312</v>
      </c>
      <c r="F789" s="10"/>
      <c r="G789" s="6" t="s">
        <v>4314</v>
      </c>
      <c r="H789" s="6" t="s">
        <v>925</v>
      </c>
      <c r="I789" s="17" t="b">
        <v>1</v>
      </c>
      <c r="J789" s="6" t="s">
        <v>546</v>
      </c>
      <c r="K789" s="10"/>
      <c r="L789" s="10"/>
      <c r="M789" s="10"/>
      <c r="N789" s="10"/>
      <c r="O789" s="18">
        <v>80.0</v>
      </c>
      <c r="P789" s="18">
        <v>1169370.0</v>
      </c>
      <c r="Q789" s="17" t="b">
        <v>1</v>
      </c>
      <c r="R789" s="10"/>
    </row>
    <row r="790">
      <c r="A790" s="6" t="s">
        <v>4317</v>
      </c>
      <c r="B790" s="6" t="s">
        <v>35</v>
      </c>
      <c r="C790" s="8">
        <v>45621.0</v>
      </c>
      <c r="D790" s="6" t="s">
        <v>112</v>
      </c>
      <c r="E790" s="6" t="s">
        <v>4319</v>
      </c>
      <c r="F790" s="10"/>
      <c r="G790" s="6" t="s">
        <v>4320</v>
      </c>
      <c r="H790" s="6" t="s">
        <v>157</v>
      </c>
      <c r="I790" s="17" t="b">
        <v>0</v>
      </c>
      <c r="J790" s="6" t="s">
        <v>546</v>
      </c>
      <c r="K790" s="10"/>
      <c r="L790" s="10"/>
      <c r="M790" s="10"/>
      <c r="N790" s="10"/>
      <c r="O790" s="18">
        <v>84.21</v>
      </c>
      <c r="P790" s="10"/>
      <c r="Q790" s="17" t="b">
        <v>1</v>
      </c>
      <c r="R790" s="10"/>
    </row>
    <row r="791">
      <c r="A791" s="6" t="s">
        <v>4325</v>
      </c>
      <c r="B791" s="6" t="s">
        <v>35</v>
      </c>
      <c r="C791" s="8">
        <v>45622.0</v>
      </c>
      <c r="D791" s="6" t="s">
        <v>1557</v>
      </c>
      <c r="E791" s="6" t="s">
        <v>4327</v>
      </c>
      <c r="F791" s="10"/>
      <c r="G791" s="6" t="s">
        <v>4328</v>
      </c>
      <c r="H791" s="6" t="s">
        <v>3903</v>
      </c>
      <c r="I791" s="17" t="b">
        <v>0</v>
      </c>
      <c r="J791" s="6" t="s">
        <v>546</v>
      </c>
      <c r="K791" s="10"/>
      <c r="L791" s="10"/>
      <c r="M791" s="10"/>
      <c r="N791" s="10"/>
      <c r="O791" s="18">
        <v>110.0</v>
      </c>
      <c r="P791" s="10"/>
      <c r="Q791" s="17" t="b">
        <v>1</v>
      </c>
      <c r="R791" s="10"/>
    </row>
    <row r="792">
      <c r="A792" s="6" t="s">
        <v>4331</v>
      </c>
      <c r="B792" s="6" t="s">
        <v>35</v>
      </c>
      <c r="C792" s="8">
        <v>45622.0</v>
      </c>
      <c r="D792" s="6" t="s">
        <v>193</v>
      </c>
      <c r="E792" s="6" t="s">
        <v>4333</v>
      </c>
      <c r="F792" s="10"/>
      <c r="G792" s="6" t="s">
        <v>4334</v>
      </c>
      <c r="H792" s="6" t="s">
        <v>195</v>
      </c>
      <c r="I792" s="17" t="b">
        <v>0</v>
      </c>
      <c r="J792" s="6" t="s">
        <v>546</v>
      </c>
      <c r="K792" s="10"/>
      <c r="L792" s="10"/>
      <c r="M792" s="10"/>
      <c r="N792" s="10"/>
      <c r="O792" s="18">
        <v>457.56</v>
      </c>
      <c r="P792" s="10"/>
      <c r="Q792" s="17" t="b">
        <v>1</v>
      </c>
      <c r="R792" s="10"/>
    </row>
    <row r="793">
      <c r="A793" s="6" t="s">
        <v>4335</v>
      </c>
      <c r="B793" s="6" t="s">
        <v>35</v>
      </c>
      <c r="C793" s="8">
        <v>45627.0</v>
      </c>
      <c r="D793" s="6" t="s">
        <v>460</v>
      </c>
      <c r="E793" s="10"/>
      <c r="F793" s="10"/>
      <c r="G793" s="10"/>
      <c r="H793" s="6" t="s">
        <v>4337</v>
      </c>
      <c r="I793" s="10"/>
      <c r="J793" s="6" t="s">
        <v>539</v>
      </c>
      <c r="K793" s="10"/>
      <c r="L793" s="10"/>
      <c r="M793" s="10"/>
      <c r="N793" s="10"/>
      <c r="O793" s="18">
        <v>1371.0</v>
      </c>
      <c r="P793" s="10"/>
      <c r="Q793" s="6"/>
      <c r="R793" s="10"/>
    </row>
    <row r="794">
      <c r="A794" s="6" t="s">
        <v>4341</v>
      </c>
      <c r="B794" s="6" t="s">
        <v>35</v>
      </c>
      <c r="C794" s="8">
        <v>45622.0</v>
      </c>
      <c r="D794" s="6" t="s">
        <v>4343</v>
      </c>
      <c r="E794" s="6" t="s">
        <v>4344</v>
      </c>
      <c r="F794" s="10"/>
      <c r="G794" s="6" t="s">
        <v>4346</v>
      </c>
      <c r="H794" s="6" t="s">
        <v>195</v>
      </c>
      <c r="I794" s="17" t="b">
        <v>0</v>
      </c>
      <c r="J794" s="6" t="s">
        <v>546</v>
      </c>
      <c r="K794" s="10"/>
      <c r="L794" s="10"/>
      <c r="M794" s="10"/>
      <c r="N794" s="10"/>
      <c r="O794" s="18">
        <v>1080.0</v>
      </c>
      <c r="P794" s="10"/>
      <c r="Q794" s="17" t="b">
        <v>1</v>
      </c>
      <c r="R794" s="10"/>
    </row>
    <row r="795">
      <c r="A795" s="6" t="s">
        <v>4350</v>
      </c>
      <c r="B795" s="6" t="s">
        <v>35</v>
      </c>
      <c r="C795" s="8">
        <v>45623.0</v>
      </c>
      <c r="D795" s="6" t="s">
        <v>112</v>
      </c>
      <c r="E795" s="6" t="s">
        <v>4353</v>
      </c>
      <c r="F795" s="10"/>
      <c r="G795" s="6" t="s">
        <v>4355</v>
      </c>
      <c r="H795" s="6" t="s">
        <v>157</v>
      </c>
      <c r="I795" s="17" t="b">
        <v>0</v>
      </c>
      <c r="J795" s="6" t="s">
        <v>546</v>
      </c>
      <c r="K795" s="10"/>
      <c r="L795" s="10"/>
      <c r="M795" s="10"/>
      <c r="N795" s="10"/>
      <c r="O795" s="18">
        <v>367.14</v>
      </c>
      <c r="P795" s="10"/>
      <c r="Q795" s="17" t="b">
        <v>1</v>
      </c>
      <c r="R795" s="10"/>
    </row>
    <row r="796">
      <c r="A796" s="6" t="s">
        <v>4359</v>
      </c>
      <c r="B796" s="6" t="s">
        <v>35</v>
      </c>
      <c r="C796" s="8">
        <v>45623.0</v>
      </c>
      <c r="D796" s="6" t="s">
        <v>543</v>
      </c>
      <c r="E796" s="6" t="s">
        <v>4364</v>
      </c>
      <c r="F796" s="10"/>
      <c r="G796" s="6" t="s">
        <v>4365</v>
      </c>
      <c r="H796" s="6" t="s">
        <v>171</v>
      </c>
      <c r="I796" s="17" t="b">
        <v>0</v>
      </c>
      <c r="J796" s="6" t="s">
        <v>546</v>
      </c>
      <c r="K796" s="10"/>
      <c r="L796" s="10"/>
      <c r="M796" s="10"/>
      <c r="N796" s="10"/>
      <c r="O796" s="18">
        <v>300.0</v>
      </c>
      <c r="P796" s="10"/>
      <c r="Q796" s="17" t="b">
        <v>1</v>
      </c>
      <c r="R796" s="10"/>
    </row>
    <row r="797">
      <c r="A797" s="6" t="s">
        <v>4370</v>
      </c>
      <c r="B797" s="6" t="s">
        <v>35</v>
      </c>
      <c r="C797" s="8">
        <v>45624.0</v>
      </c>
      <c r="D797" s="6" t="s">
        <v>3716</v>
      </c>
      <c r="E797" s="6" t="s">
        <v>4372</v>
      </c>
      <c r="F797" s="10"/>
      <c r="G797" s="6" t="s">
        <v>4374</v>
      </c>
      <c r="H797" s="6" t="s">
        <v>195</v>
      </c>
      <c r="I797" s="17" t="b">
        <v>1</v>
      </c>
      <c r="J797" s="6" t="s">
        <v>546</v>
      </c>
      <c r="K797" s="10"/>
      <c r="L797" s="10"/>
      <c r="M797" s="10"/>
      <c r="N797" s="10"/>
      <c r="O797" s="18">
        <v>190.8</v>
      </c>
      <c r="P797" s="18">
        <v>1173947.0</v>
      </c>
      <c r="Q797" s="17" t="b">
        <v>1</v>
      </c>
      <c r="R797" s="10"/>
    </row>
    <row r="798">
      <c r="A798" s="6" t="s">
        <v>4379</v>
      </c>
      <c r="B798" s="6" t="s">
        <v>35</v>
      </c>
      <c r="C798" s="8">
        <v>45624.0</v>
      </c>
      <c r="D798" s="6" t="s">
        <v>2644</v>
      </c>
      <c r="E798" s="6" t="s">
        <v>4382</v>
      </c>
      <c r="F798" s="10"/>
      <c r="G798" s="6" t="s">
        <v>4383</v>
      </c>
      <c r="H798" s="6" t="s">
        <v>195</v>
      </c>
      <c r="I798" s="17" t="b">
        <v>0</v>
      </c>
      <c r="J798" s="6" t="s">
        <v>546</v>
      </c>
      <c r="K798" s="10"/>
      <c r="L798" s="6" t="s">
        <v>4386</v>
      </c>
      <c r="M798" s="10"/>
      <c r="N798" s="10"/>
      <c r="O798" s="18">
        <v>620.5</v>
      </c>
      <c r="P798" s="10"/>
      <c r="Q798" s="17" t="b">
        <v>1</v>
      </c>
      <c r="R798" s="10"/>
    </row>
    <row r="799">
      <c r="A799" s="6" t="s">
        <v>4389</v>
      </c>
      <c r="B799" s="6" t="s">
        <v>35</v>
      </c>
      <c r="C799" s="8">
        <v>45625.0</v>
      </c>
      <c r="D799" s="6" t="s">
        <v>112</v>
      </c>
      <c r="E799" s="6" t="s">
        <v>4391</v>
      </c>
      <c r="F799" s="10"/>
      <c r="G799" s="6" t="s">
        <v>4393</v>
      </c>
      <c r="H799" s="6" t="s">
        <v>157</v>
      </c>
      <c r="I799" s="17" t="b">
        <v>0</v>
      </c>
      <c r="J799" s="6" t="s">
        <v>546</v>
      </c>
      <c r="K799" s="10"/>
      <c r="L799" s="10"/>
      <c r="M799" s="10"/>
      <c r="N799" s="10"/>
      <c r="O799" s="18">
        <v>242.64</v>
      </c>
      <c r="P799" s="10"/>
      <c r="Q799" s="17" t="b">
        <v>1</v>
      </c>
      <c r="R799" s="10"/>
    </row>
    <row r="800">
      <c r="A800" s="6" t="s">
        <v>4398</v>
      </c>
      <c r="B800" s="6" t="s">
        <v>35</v>
      </c>
      <c r="C800" s="8">
        <v>45625.0</v>
      </c>
      <c r="D800" s="6" t="s">
        <v>1036</v>
      </c>
      <c r="E800" s="6" t="s">
        <v>4400</v>
      </c>
      <c r="F800" s="10"/>
      <c r="G800" s="6" t="s">
        <v>4402</v>
      </c>
      <c r="H800" s="6" t="s">
        <v>4403</v>
      </c>
      <c r="I800" s="17" t="b">
        <v>0</v>
      </c>
      <c r="J800" s="6" t="s">
        <v>546</v>
      </c>
      <c r="K800" s="10"/>
      <c r="L800" s="10"/>
      <c r="M800" s="10"/>
      <c r="N800" s="10"/>
      <c r="O800" s="18">
        <v>118.0</v>
      </c>
      <c r="P800" s="10"/>
      <c r="Q800" s="17" t="b">
        <v>1</v>
      </c>
      <c r="R800" s="10"/>
    </row>
    <row r="801">
      <c r="A801" s="6" t="s">
        <v>4409</v>
      </c>
      <c r="B801" s="6" t="s">
        <v>35</v>
      </c>
      <c r="C801" s="8">
        <v>45626.0</v>
      </c>
      <c r="D801" s="6" t="s">
        <v>112</v>
      </c>
      <c r="E801" s="6" t="s">
        <v>4411</v>
      </c>
      <c r="F801" s="10"/>
      <c r="G801" s="6" t="s">
        <v>4413</v>
      </c>
      <c r="H801" s="6" t="s">
        <v>157</v>
      </c>
      <c r="I801" s="17" t="b">
        <v>0</v>
      </c>
      <c r="J801" s="6" t="s">
        <v>546</v>
      </c>
      <c r="K801" s="10"/>
      <c r="L801" s="10"/>
      <c r="M801" s="10"/>
      <c r="N801" s="10"/>
      <c r="O801" s="18">
        <v>357.75</v>
      </c>
      <c r="P801" s="10"/>
      <c r="Q801" s="17" t="b">
        <v>1</v>
      </c>
      <c r="R801" s="10"/>
    </row>
    <row r="802">
      <c r="A802" s="6" t="s">
        <v>4417</v>
      </c>
      <c r="B802" s="6" t="s">
        <v>35</v>
      </c>
      <c r="C802" s="8">
        <v>45627.0</v>
      </c>
      <c r="D802" s="6" t="s">
        <v>890</v>
      </c>
      <c r="E802" s="6" t="s">
        <v>4419</v>
      </c>
      <c r="F802" s="10"/>
      <c r="G802" s="6" t="s">
        <v>4421</v>
      </c>
      <c r="H802" s="6" t="s">
        <v>4422</v>
      </c>
      <c r="I802" s="17" t="b">
        <v>0</v>
      </c>
      <c r="J802" s="6" t="s">
        <v>546</v>
      </c>
      <c r="K802" s="10"/>
      <c r="L802" s="10"/>
      <c r="M802" s="10"/>
      <c r="N802" s="10"/>
      <c r="O802" s="18">
        <v>7395.25</v>
      </c>
      <c r="P802" s="10"/>
      <c r="Q802" s="17" t="b">
        <v>1</v>
      </c>
      <c r="R802" s="10"/>
    </row>
    <row r="803">
      <c r="A803" s="6" t="s">
        <v>4426</v>
      </c>
      <c r="B803" s="6" t="s">
        <v>35</v>
      </c>
      <c r="C803" s="8">
        <v>45627.0</v>
      </c>
      <c r="D803" s="6" t="s">
        <v>890</v>
      </c>
      <c r="E803" s="6" t="s">
        <v>4428</v>
      </c>
      <c r="F803" s="10"/>
      <c r="G803" s="6" t="s">
        <v>4430</v>
      </c>
      <c r="H803" s="6" t="s">
        <v>4431</v>
      </c>
      <c r="I803" s="17" t="b">
        <v>0</v>
      </c>
      <c r="J803" s="6" t="s">
        <v>546</v>
      </c>
      <c r="K803" s="10"/>
      <c r="L803" s="6" t="s">
        <v>4434</v>
      </c>
      <c r="M803" s="10"/>
      <c r="N803" s="10"/>
      <c r="O803" s="18">
        <v>24539.95</v>
      </c>
      <c r="P803" s="10"/>
      <c r="Q803" s="17" t="b">
        <v>1</v>
      </c>
      <c r="R803" s="10"/>
    </row>
    <row r="804">
      <c r="A804" s="6" t="s">
        <v>4437</v>
      </c>
      <c r="B804" s="6" t="s">
        <v>35</v>
      </c>
      <c r="C804" s="8">
        <v>45616.0</v>
      </c>
      <c r="D804" s="6" t="s">
        <v>890</v>
      </c>
      <c r="E804" s="6" t="s">
        <v>4439</v>
      </c>
      <c r="F804" s="10"/>
      <c r="G804" s="6" t="s">
        <v>4441</v>
      </c>
      <c r="H804" s="6" t="s">
        <v>4442</v>
      </c>
      <c r="I804" s="17" t="b">
        <v>1</v>
      </c>
      <c r="J804" s="6" t="s">
        <v>546</v>
      </c>
      <c r="K804" s="10"/>
      <c r="L804" s="10"/>
      <c r="M804" s="10"/>
      <c r="N804" s="10"/>
      <c r="O804" s="18">
        <v>507.67</v>
      </c>
      <c r="P804" s="6" t="s">
        <v>4446</v>
      </c>
      <c r="Q804" s="17" t="b">
        <v>1</v>
      </c>
      <c r="R804" s="10"/>
    </row>
    <row r="805">
      <c r="A805" s="6" t="s">
        <v>4448</v>
      </c>
      <c r="B805" s="6" t="s">
        <v>35</v>
      </c>
      <c r="C805" s="8">
        <v>45628.0</v>
      </c>
      <c r="D805" s="6" t="s">
        <v>543</v>
      </c>
      <c r="E805" s="6" t="s">
        <v>4450</v>
      </c>
      <c r="F805" s="10"/>
      <c r="G805" s="6" t="s">
        <v>4452</v>
      </c>
      <c r="H805" s="6" t="s">
        <v>171</v>
      </c>
      <c r="I805" s="17" t="b">
        <v>0</v>
      </c>
      <c r="J805" s="6" t="s">
        <v>546</v>
      </c>
      <c r="K805" s="10"/>
      <c r="L805" s="10"/>
      <c r="M805" s="10"/>
      <c r="N805" s="10"/>
      <c r="O805" s="18">
        <v>375.0</v>
      </c>
      <c r="P805" s="10"/>
      <c r="Q805" s="17" t="b">
        <v>1</v>
      </c>
      <c r="R805" s="10"/>
    </row>
    <row r="806">
      <c r="A806" s="6" t="s">
        <v>4456</v>
      </c>
      <c r="B806" s="6" t="s">
        <v>35</v>
      </c>
      <c r="C806" s="8">
        <v>45628.0</v>
      </c>
      <c r="D806" s="6" t="s">
        <v>353</v>
      </c>
      <c r="E806" s="6" t="s">
        <v>4460</v>
      </c>
      <c r="F806" s="10"/>
      <c r="G806" s="6" t="s">
        <v>4462</v>
      </c>
      <c r="H806" s="6" t="s">
        <v>4464</v>
      </c>
      <c r="I806" s="17" t="b">
        <v>1</v>
      </c>
      <c r="J806" s="6" t="s">
        <v>546</v>
      </c>
      <c r="K806" s="10"/>
      <c r="L806" s="10"/>
      <c r="M806" s="10"/>
      <c r="N806" s="10"/>
      <c r="O806" s="18">
        <v>211.17</v>
      </c>
      <c r="P806" s="18">
        <v>1192372.0</v>
      </c>
      <c r="Q806" s="17" t="b">
        <v>1</v>
      </c>
      <c r="R806" s="10"/>
    </row>
    <row r="807">
      <c r="A807" s="6" t="s">
        <v>4468</v>
      </c>
      <c r="B807" s="6" t="s">
        <v>35</v>
      </c>
      <c r="C807" s="8">
        <v>45628.0</v>
      </c>
      <c r="D807" s="6" t="s">
        <v>145</v>
      </c>
      <c r="E807" s="6" t="s">
        <v>4472</v>
      </c>
      <c r="F807" s="10"/>
      <c r="G807" s="6" t="s">
        <v>4474</v>
      </c>
      <c r="H807" s="6" t="s">
        <v>4200</v>
      </c>
      <c r="I807" s="17" t="b">
        <v>0</v>
      </c>
      <c r="J807" s="6" t="s">
        <v>546</v>
      </c>
      <c r="K807" s="10"/>
      <c r="L807" s="10"/>
      <c r="M807" s="10"/>
      <c r="N807" s="10"/>
      <c r="O807" s="18">
        <v>305.5</v>
      </c>
      <c r="P807" s="10"/>
      <c r="Q807" s="17" t="b">
        <v>1</v>
      </c>
      <c r="R807" s="10"/>
    </row>
    <row r="808">
      <c r="A808" s="6" t="s">
        <v>4478</v>
      </c>
      <c r="B808" s="6" t="s">
        <v>35</v>
      </c>
      <c r="C808" s="8">
        <v>45630.0</v>
      </c>
      <c r="D808" s="10"/>
      <c r="E808" s="10"/>
      <c r="F808" s="10"/>
      <c r="G808" s="10"/>
      <c r="H808" s="6" t="s">
        <v>1329</v>
      </c>
      <c r="I808" s="10"/>
      <c r="J808" s="6" t="s">
        <v>539</v>
      </c>
      <c r="K808" s="6" t="s">
        <v>658</v>
      </c>
      <c r="L808" s="10"/>
      <c r="M808" s="10"/>
      <c r="N808" s="10"/>
      <c r="O808" s="18">
        <v>500.0</v>
      </c>
      <c r="P808" s="10"/>
      <c r="Q808" s="6"/>
      <c r="R808" s="10"/>
    </row>
    <row r="809">
      <c r="A809" s="6" t="s">
        <v>4484</v>
      </c>
      <c r="B809" s="6" t="s">
        <v>35</v>
      </c>
      <c r="C809" s="8">
        <v>45622.0</v>
      </c>
      <c r="D809" s="6" t="s">
        <v>2644</v>
      </c>
      <c r="E809" s="6" t="s">
        <v>4487</v>
      </c>
      <c r="F809" s="10"/>
      <c r="G809" s="6" t="s">
        <v>4488</v>
      </c>
      <c r="H809" s="6" t="s">
        <v>195</v>
      </c>
      <c r="I809" s="17" t="b">
        <v>0</v>
      </c>
      <c r="J809" s="6" t="s">
        <v>546</v>
      </c>
      <c r="K809" s="10"/>
      <c r="L809" s="10"/>
      <c r="M809" s="10"/>
      <c r="N809" s="10"/>
      <c r="O809" s="18">
        <v>620.5</v>
      </c>
      <c r="P809" s="10"/>
      <c r="Q809" s="17" t="b">
        <v>1</v>
      </c>
      <c r="R809" s="10"/>
    </row>
    <row r="810">
      <c r="A810" s="6" t="s">
        <v>4492</v>
      </c>
      <c r="B810" s="6" t="s">
        <v>35</v>
      </c>
      <c r="C810" s="8">
        <v>45625.0</v>
      </c>
      <c r="D810" s="6" t="s">
        <v>3427</v>
      </c>
      <c r="E810" s="6" t="s">
        <v>4494</v>
      </c>
      <c r="F810" s="10"/>
      <c r="G810" s="6" t="s">
        <v>4496</v>
      </c>
      <c r="H810" s="6" t="s">
        <v>4497</v>
      </c>
      <c r="I810" s="17" t="b">
        <v>0</v>
      </c>
      <c r="J810" s="6" t="s">
        <v>546</v>
      </c>
      <c r="K810" s="10"/>
      <c r="L810" s="10"/>
      <c r="M810" s="10"/>
      <c r="N810" s="10"/>
      <c r="O810" s="18">
        <v>1400.89</v>
      </c>
      <c r="P810" s="10"/>
      <c r="Q810" s="17" t="b">
        <v>1</v>
      </c>
      <c r="R810" s="10"/>
    </row>
    <row r="811">
      <c r="A811" s="6" t="s">
        <v>4500</v>
      </c>
      <c r="B811" s="6" t="s">
        <v>35</v>
      </c>
      <c r="C811" s="8">
        <v>45631.0</v>
      </c>
      <c r="D811" s="6" t="s">
        <v>890</v>
      </c>
      <c r="E811" s="10"/>
      <c r="F811" s="10"/>
      <c r="G811" s="10"/>
      <c r="H811" s="6" t="s">
        <v>4503</v>
      </c>
      <c r="I811" s="10"/>
      <c r="J811" s="6" t="s">
        <v>539</v>
      </c>
      <c r="K811" s="10"/>
      <c r="L811" s="10"/>
      <c r="M811" s="10"/>
      <c r="N811" s="10"/>
      <c r="O811" s="18">
        <v>508.18</v>
      </c>
      <c r="P811" s="10"/>
      <c r="Q811" s="6"/>
      <c r="R811" s="10"/>
    </row>
    <row r="812">
      <c r="A812" s="6" t="s">
        <v>4506</v>
      </c>
      <c r="B812" s="6" t="s">
        <v>35</v>
      </c>
      <c r="C812" s="8">
        <v>45631.0</v>
      </c>
      <c r="D812" s="6" t="s">
        <v>890</v>
      </c>
      <c r="E812" s="10"/>
      <c r="F812" s="10"/>
      <c r="G812" s="10"/>
      <c r="H812" s="6" t="s">
        <v>4509</v>
      </c>
      <c r="I812" s="10"/>
      <c r="J812" s="6" t="s">
        <v>539</v>
      </c>
      <c r="K812" s="10"/>
      <c r="L812" s="10"/>
      <c r="M812" s="10"/>
      <c r="N812" s="10"/>
      <c r="O812" s="18">
        <v>155.41</v>
      </c>
      <c r="P812" s="10"/>
      <c r="Q812" s="6"/>
      <c r="R812" s="10"/>
    </row>
    <row r="813">
      <c r="A813" s="6" t="s">
        <v>4512</v>
      </c>
      <c r="B813" s="6" t="s">
        <v>35</v>
      </c>
      <c r="C813" s="8">
        <v>45631.0</v>
      </c>
      <c r="D813" s="10"/>
      <c r="E813" s="10"/>
      <c r="F813" s="10"/>
      <c r="G813" s="10"/>
      <c r="H813" s="6" t="s">
        <v>1329</v>
      </c>
      <c r="I813" s="10"/>
      <c r="J813" s="6" t="s">
        <v>539</v>
      </c>
      <c r="K813" s="6" t="s">
        <v>624</v>
      </c>
      <c r="L813" s="10"/>
      <c r="M813" s="10"/>
      <c r="N813" s="10"/>
      <c r="O813" s="18">
        <v>300.0</v>
      </c>
      <c r="P813" s="10"/>
      <c r="Q813" s="6"/>
      <c r="R813" s="10"/>
    </row>
    <row r="814">
      <c r="A814" s="6" t="s">
        <v>4518</v>
      </c>
      <c r="B814" s="6" t="s">
        <v>35</v>
      </c>
      <c r="C814" s="8">
        <v>45631.0</v>
      </c>
      <c r="D814" s="10"/>
      <c r="E814" s="10"/>
      <c r="F814" s="10"/>
      <c r="G814" s="10"/>
      <c r="H814" s="6" t="s">
        <v>1329</v>
      </c>
      <c r="I814" s="10"/>
      <c r="J814" s="6" t="s">
        <v>539</v>
      </c>
      <c r="K814" s="6" t="s">
        <v>3795</v>
      </c>
      <c r="L814" s="10"/>
      <c r="M814" s="10"/>
      <c r="N814" s="10"/>
      <c r="O814" s="18">
        <v>100.0</v>
      </c>
      <c r="P814" s="10"/>
      <c r="Q814" s="6"/>
      <c r="R814" s="10"/>
    </row>
    <row r="815">
      <c r="A815" s="6" t="s">
        <v>4523</v>
      </c>
      <c r="B815" s="6" t="s">
        <v>35</v>
      </c>
      <c r="C815" s="8">
        <v>45634.0</v>
      </c>
      <c r="D815" s="10"/>
      <c r="E815" s="10"/>
      <c r="F815" s="10"/>
      <c r="G815" s="10"/>
      <c r="H815" s="6" t="s">
        <v>4526</v>
      </c>
      <c r="I815" s="10"/>
      <c r="J815" s="6" t="s">
        <v>539</v>
      </c>
      <c r="K815" s="6" t="s">
        <v>3795</v>
      </c>
      <c r="L815" s="10"/>
      <c r="M815" s="10"/>
      <c r="N815" s="10"/>
      <c r="O815" s="18">
        <v>400.0</v>
      </c>
      <c r="P815" s="10"/>
      <c r="Q815" s="6"/>
      <c r="R815" s="10"/>
    </row>
    <row r="816">
      <c r="A816" s="6" t="s">
        <v>4530</v>
      </c>
      <c r="B816" s="6" t="s">
        <v>35</v>
      </c>
      <c r="C816" s="8">
        <v>45631.0</v>
      </c>
      <c r="D816" s="6" t="s">
        <v>112</v>
      </c>
      <c r="E816" s="6" t="s">
        <v>4532</v>
      </c>
      <c r="F816" s="10"/>
      <c r="G816" s="6" t="s">
        <v>4534</v>
      </c>
      <c r="H816" s="6" t="s">
        <v>157</v>
      </c>
      <c r="I816" s="17" t="b">
        <v>0</v>
      </c>
      <c r="J816" s="6" t="s">
        <v>546</v>
      </c>
      <c r="K816" s="10"/>
      <c r="L816" s="10"/>
      <c r="M816" s="10"/>
      <c r="N816" s="10"/>
      <c r="O816" s="18">
        <v>298.48</v>
      </c>
      <c r="P816" s="10"/>
      <c r="Q816" s="17" t="b">
        <v>1</v>
      </c>
      <c r="R816" s="10"/>
    </row>
    <row r="817">
      <c r="A817" s="6" t="s">
        <v>4538</v>
      </c>
      <c r="B817" s="6" t="s">
        <v>35</v>
      </c>
      <c r="C817" s="8">
        <v>45631.0</v>
      </c>
      <c r="D817" s="6" t="s">
        <v>764</v>
      </c>
      <c r="E817" s="6" t="s">
        <v>4540</v>
      </c>
      <c r="F817" s="10"/>
      <c r="G817" s="6" t="s">
        <v>4542</v>
      </c>
      <c r="H817" s="6" t="s">
        <v>195</v>
      </c>
      <c r="I817" s="17" t="b">
        <v>1</v>
      </c>
      <c r="J817" s="6" t="s">
        <v>546</v>
      </c>
      <c r="K817" s="10"/>
      <c r="L817" s="10"/>
      <c r="M817" s="10"/>
      <c r="N817" s="10"/>
      <c r="O817" s="18">
        <v>431.0</v>
      </c>
      <c r="P817" s="18">
        <v>1186987.0</v>
      </c>
      <c r="Q817" s="17" t="b">
        <v>1</v>
      </c>
      <c r="R817" s="10"/>
    </row>
    <row r="818">
      <c r="A818" s="6" t="s">
        <v>4546</v>
      </c>
      <c r="B818" s="6" t="s">
        <v>35</v>
      </c>
      <c r="C818" s="8">
        <v>45631.0</v>
      </c>
      <c r="D818" s="6" t="s">
        <v>3716</v>
      </c>
      <c r="E818" s="6" t="s">
        <v>4548</v>
      </c>
      <c r="F818" s="10"/>
      <c r="G818" s="6" t="s">
        <v>4550</v>
      </c>
      <c r="H818" s="6" t="s">
        <v>195</v>
      </c>
      <c r="I818" s="17" t="b">
        <v>1</v>
      </c>
      <c r="J818" s="6" t="s">
        <v>546</v>
      </c>
      <c r="K818" s="10"/>
      <c r="L818" s="10"/>
      <c r="M818" s="10"/>
      <c r="N818" s="10"/>
      <c r="O818" s="18">
        <v>208.5</v>
      </c>
      <c r="P818" s="18">
        <v>1186989.0</v>
      </c>
      <c r="Q818" s="17" t="b">
        <v>1</v>
      </c>
      <c r="R818" s="10"/>
    </row>
    <row r="819">
      <c r="A819" s="6" t="s">
        <v>4554</v>
      </c>
      <c r="B819" s="6" t="s">
        <v>35</v>
      </c>
      <c r="C819" s="8">
        <v>45632.0</v>
      </c>
      <c r="D819" s="6" t="s">
        <v>3816</v>
      </c>
      <c r="E819" s="6" t="s">
        <v>4556</v>
      </c>
      <c r="F819" s="10"/>
      <c r="G819" s="6" t="s">
        <v>4558</v>
      </c>
      <c r="H819" s="6" t="s">
        <v>4146</v>
      </c>
      <c r="I819" s="17" t="b">
        <v>1</v>
      </c>
      <c r="J819" s="6" t="s">
        <v>546</v>
      </c>
      <c r="K819" s="10"/>
      <c r="L819" s="10"/>
      <c r="M819" s="10"/>
      <c r="N819" s="10"/>
      <c r="O819" s="18">
        <v>10.21</v>
      </c>
      <c r="P819" s="18">
        <v>1188243.0</v>
      </c>
      <c r="Q819" s="17" t="b">
        <v>1</v>
      </c>
      <c r="R819" s="10"/>
    </row>
    <row r="820">
      <c r="A820" s="6" t="s">
        <v>4562</v>
      </c>
      <c r="B820" s="6" t="s">
        <v>35</v>
      </c>
      <c r="C820" s="8">
        <v>45632.0</v>
      </c>
      <c r="D820" s="6" t="s">
        <v>353</v>
      </c>
      <c r="E820" s="6" t="s">
        <v>4564</v>
      </c>
      <c r="F820" s="10"/>
      <c r="G820" s="6" t="s">
        <v>4566</v>
      </c>
      <c r="H820" s="6" t="s">
        <v>605</v>
      </c>
      <c r="I820" s="17" t="b">
        <v>1</v>
      </c>
      <c r="J820" s="6" t="s">
        <v>546</v>
      </c>
      <c r="K820" s="10"/>
      <c r="L820" s="10"/>
      <c r="M820" s="10"/>
      <c r="N820" s="10"/>
      <c r="O820" s="18">
        <v>1158.25</v>
      </c>
      <c r="P820" s="6" t="s">
        <v>4568</v>
      </c>
      <c r="Q820" s="17" t="b">
        <v>1</v>
      </c>
      <c r="R820" s="10"/>
    </row>
    <row r="821">
      <c r="A821" s="6" t="s">
        <v>4570</v>
      </c>
      <c r="B821" s="6" t="s">
        <v>35</v>
      </c>
      <c r="C821" s="8">
        <v>45636.0</v>
      </c>
      <c r="D821" s="6" t="s">
        <v>2685</v>
      </c>
      <c r="E821" s="10"/>
      <c r="F821" s="10"/>
      <c r="G821" s="10"/>
      <c r="H821" s="6" t="s">
        <v>1172</v>
      </c>
      <c r="I821" s="10"/>
      <c r="J821" s="6" t="s">
        <v>539</v>
      </c>
      <c r="K821" s="10"/>
      <c r="L821" s="10"/>
      <c r="M821" s="10"/>
      <c r="N821" s="10"/>
      <c r="O821" s="18">
        <v>20.72</v>
      </c>
      <c r="P821" s="10"/>
      <c r="Q821" s="6"/>
      <c r="R821" s="10"/>
    </row>
    <row r="822">
      <c r="A822" s="6" t="s">
        <v>4576</v>
      </c>
      <c r="B822" s="6" t="s">
        <v>35</v>
      </c>
      <c r="C822" s="8">
        <v>45636.0</v>
      </c>
      <c r="D822" s="6" t="s">
        <v>2685</v>
      </c>
      <c r="E822" s="10"/>
      <c r="F822" s="10"/>
      <c r="G822" s="10"/>
      <c r="H822" s="6" t="s">
        <v>4579</v>
      </c>
      <c r="I822" s="10"/>
      <c r="J822" s="6" t="s">
        <v>539</v>
      </c>
      <c r="K822" s="10"/>
      <c r="L822" s="10"/>
      <c r="M822" s="10"/>
      <c r="N822" s="10"/>
      <c r="O822" s="18">
        <v>44.0</v>
      </c>
      <c r="P822" s="10"/>
      <c r="Q822" s="6"/>
      <c r="R822" s="10"/>
    </row>
    <row r="823">
      <c r="A823" s="6" t="s">
        <v>4582</v>
      </c>
      <c r="B823" s="6" t="s">
        <v>35</v>
      </c>
      <c r="C823" s="8">
        <v>45636.0</v>
      </c>
      <c r="D823" s="10"/>
      <c r="E823" s="10"/>
      <c r="F823" s="10"/>
      <c r="G823" s="10"/>
      <c r="H823" s="6" t="s">
        <v>4585</v>
      </c>
      <c r="I823" s="10"/>
      <c r="J823" s="6" t="s">
        <v>539</v>
      </c>
      <c r="K823" s="6" t="s">
        <v>668</v>
      </c>
      <c r="L823" s="10"/>
      <c r="M823" s="10"/>
      <c r="N823" s="10"/>
      <c r="O823" s="18">
        <v>290.0</v>
      </c>
      <c r="P823" s="10"/>
      <c r="Q823" s="6"/>
      <c r="R823" s="10"/>
    </row>
    <row r="824">
      <c r="A824" s="6" t="s">
        <v>4589</v>
      </c>
      <c r="B824" s="6" t="s">
        <v>35</v>
      </c>
      <c r="C824" s="8">
        <v>45636.0</v>
      </c>
      <c r="D824" s="6" t="s">
        <v>890</v>
      </c>
      <c r="E824" s="10"/>
      <c r="F824" s="10"/>
      <c r="G824" s="10"/>
      <c r="H824" s="6" t="s">
        <v>4010</v>
      </c>
      <c r="I824" s="10"/>
      <c r="J824" s="6" t="s">
        <v>539</v>
      </c>
      <c r="K824" s="10"/>
      <c r="L824" s="10"/>
      <c r="M824" s="10"/>
      <c r="N824" s="10"/>
      <c r="O824" s="18">
        <v>250.0</v>
      </c>
      <c r="P824" s="10"/>
      <c r="Q824" s="6"/>
      <c r="R824" s="10"/>
    </row>
    <row r="825">
      <c r="A825" s="6" t="s">
        <v>4595</v>
      </c>
      <c r="B825" s="6" t="s">
        <v>35</v>
      </c>
      <c r="C825" s="8">
        <v>45636.0</v>
      </c>
      <c r="D825" s="6" t="s">
        <v>2248</v>
      </c>
      <c r="E825" s="10"/>
      <c r="F825" s="10"/>
      <c r="G825" s="10"/>
      <c r="H825" s="6" t="s">
        <v>2549</v>
      </c>
      <c r="I825" s="10"/>
      <c r="J825" s="6" t="s">
        <v>539</v>
      </c>
      <c r="K825" s="10"/>
      <c r="L825" s="10"/>
      <c r="M825" s="10"/>
      <c r="N825" s="10"/>
      <c r="O825" s="18">
        <v>355.32</v>
      </c>
      <c r="P825" s="10"/>
      <c r="Q825" s="6"/>
      <c r="R825" s="10"/>
    </row>
    <row r="826">
      <c r="A826" s="6" t="s">
        <v>4600</v>
      </c>
      <c r="B826" s="6" t="s">
        <v>35</v>
      </c>
      <c r="C826" s="8">
        <v>45623.0</v>
      </c>
      <c r="D826" s="6" t="s">
        <v>890</v>
      </c>
      <c r="E826" s="6" t="s">
        <v>4602</v>
      </c>
      <c r="F826" s="10"/>
      <c r="G826" s="6" t="s">
        <v>4604</v>
      </c>
      <c r="H826" s="6" t="s">
        <v>3813</v>
      </c>
      <c r="I826" s="17" t="b">
        <v>0</v>
      </c>
      <c r="J826" s="6" t="s">
        <v>546</v>
      </c>
      <c r="K826" s="10"/>
      <c r="L826" s="6" t="s">
        <v>4606</v>
      </c>
      <c r="M826" s="10"/>
      <c r="N826" s="10"/>
      <c r="O826" s="18">
        <v>13950.69</v>
      </c>
      <c r="P826" s="10"/>
      <c r="Q826" s="17" t="b">
        <v>1</v>
      </c>
      <c r="R826" s="10"/>
    </row>
    <row r="827">
      <c r="A827" s="6" t="s">
        <v>4609</v>
      </c>
      <c r="B827" s="6" t="s">
        <v>35</v>
      </c>
      <c r="C827" s="8">
        <v>45634.0</v>
      </c>
      <c r="D827" s="18">
        <v>8.627274E7</v>
      </c>
      <c r="E827" s="6" t="s">
        <v>4611</v>
      </c>
      <c r="F827" s="10"/>
      <c r="G827" s="6" t="s">
        <v>4613</v>
      </c>
      <c r="H827" s="6" t="s">
        <v>4614</v>
      </c>
      <c r="I827" s="17" t="b">
        <v>1</v>
      </c>
      <c r="J827" s="6" t="s">
        <v>546</v>
      </c>
      <c r="K827" s="10"/>
      <c r="L827" s="10"/>
      <c r="M827" s="10"/>
      <c r="N827" s="10"/>
      <c r="O827" s="18">
        <v>77.36</v>
      </c>
      <c r="P827" s="6" t="s">
        <v>4049</v>
      </c>
      <c r="Q827" s="17" t="b">
        <v>1</v>
      </c>
      <c r="R827" s="10"/>
    </row>
    <row r="828">
      <c r="A828" s="6" t="s">
        <v>4618</v>
      </c>
      <c r="B828" s="6" t="s">
        <v>35</v>
      </c>
      <c r="C828" s="8">
        <v>45635.0</v>
      </c>
      <c r="D828" s="6" t="s">
        <v>543</v>
      </c>
      <c r="E828" s="6" t="s">
        <v>4621</v>
      </c>
      <c r="F828" s="10"/>
      <c r="G828" s="6" t="s">
        <v>4622</v>
      </c>
      <c r="H828" s="6" t="s">
        <v>171</v>
      </c>
      <c r="I828" s="17" t="b">
        <v>0</v>
      </c>
      <c r="J828" s="6" t="s">
        <v>546</v>
      </c>
      <c r="K828" s="10"/>
      <c r="L828" s="10"/>
      <c r="M828" s="10"/>
      <c r="N828" s="10"/>
      <c r="O828" s="18">
        <v>500.0</v>
      </c>
      <c r="P828" s="10"/>
      <c r="Q828" s="17" t="b">
        <v>1</v>
      </c>
      <c r="R828" s="10"/>
    </row>
    <row r="829">
      <c r="A829" s="6" t="s">
        <v>4626</v>
      </c>
      <c r="B829" s="6" t="s">
        <v>35</v>
      </c>
      <c r="C829" s="8">
        <v>45636.0</v>
      </c>
      <c r="D829" s="6" t="s">
        <v>2439</v>
      </c>
      <c r="E829" s="6" t="s">
        <v>4628</v>
      </c>
      <c r="F829" s="10"/>
      <c r="G829" s="6" t="s">
        <v>4630</v>
      </c>
      <c r="H829" s="6" t="s">
        <v>3888</v>
      </c>
      <c r="I829" s="17" t="b">
        <v>0</v>
      </c>
      <c r="J829" s="6" t="s">
        <v>546</v>
      </c>
      <c r="K829" s="10"/>
      <c r="L829" s="10"/>
      <c r="M829" s="10"/>
      <c r="N829" s="10"/>
      <c r="O829" s="18">
        <v>342.47</v>
      </c>
      <c r="P829" s="10"/>
      <c r="Q829" s="17" t="b">
        <v>1</v>
      </c>
      <c r="R829" s="10"/>
    </row>
    <row r="830">
      <c r="A830" s="6" t="s">
        <v>4634</v>
      </c>
      <c r="B830" s="6" t="s">
        <v>35</v>
      </c>
      <c r="C830" s="8">
        <v>45636.0</v>
      </c>
      <c r="D830" s="6" t="s">
        <v>233</v>
      </c>
      <c r="E830" s="6" t="s">
        <v>4637</v>
      </c>
      <c r="F830" s="10"/>
      <c r="G830" s="6" t="s">
        <v>4638</v>
      </c>
      <c r="H830" s="6" t="s">
        <v>4639</v>
      </c>
      <c r="I830" s="17" t="b">
        <v>1</v>
      </c>
      <c r="J830" s="6" t="s">
        <v>546</v>
      </c>
      <c r="K830" s="10"/>
      <c r="L830" s="10"/>
      <c r="M830" s="10"/>
      <c r="N830" s="10"/>
      <c r="O830" s="18">
        <v>343.54</v>
      </c>
      <c r="P830" s="6" t="s">
        <v>4049</v>
      </c>
      <c r="Q830" s="17" t="b">
        <v>1</v>
      </c>
      <c r="R830" s="10"/>
    </row>
    <row r="831">
      <c r="A831" s="6" t="s">
        <v>4643</v>
      </c>
      <c r="B831" s="6" t="s">
        <v>35</v>
      </c>
      <c r="C831" s="8">
        <v>45636.0</v>
      </c>
      <c r="D831" s="6" t="s">
        <v>307</v>
      </c>
      <c r="E831" s="6" t="s">
        <v>4646</v>
      </c>
      <c r="F831" s="10"/>
      <c r="G831" s="6" t="s">
        <v>4647</v>
      </c>
      <c r="H831" s="6" t="s">
        <v>4649</v>
      </c>
      <c r="I831" s="17" t="b">
        <v>1</v>
      </c>
      <c r="J831" s="6" t="s">
        <v>546</v>
      </c>
      <c r="K831" s="10"/>
      <c r="L831" s="10"/>
      <c r="M831" s="10"/>
      <c r="N831" s="10"/>
      <c r="O831" s="18">
        <v>109.6</v>
      </c>
      <c r="P831" s="6" t="s">
        <v>4049</v>
      </c>
      <c r="Q831" s="17" t="b">
        <v>1</v>
      </c>
      <c r="R831" s="10"/>
    </row>
    <row r="832">
      <c r="A832" s="6" t="s">
        <v>4652</v>
      </c>
      <c r="B832" s="6" t="s">
        <v>35</v>
      </c>
      <c r="C832" s="8">
        <v>45636.0</v>
      </c>
      <c r="D832" s="6" t="s">
        <v>2096</v>
      </c>
      <c r="E832" s="6" t="s">
        <v>4655</v>
      </c>
      <c r="F832" s="10"/>
      <c r="G832" s="6" t="s">
        <v>4656</v>
      </c>
      <c r="H832" s="6" t="s">
        <v>925</v>
      </c>
      <c r="I832" s="17" t="b">
        <v>1</v>
      </c>
      <c r="J832" s="6" t="s">
        <v>546</v>
      </c>
      <c r="K832" s="10"/>
      <c r="L832" s="6" t="s">
        <v>4659</v>
      </c>
      <c r="M832" s="10"/>
      <c r="N832" s="10"/>
      <c r="O832" s="18">
        <v>30.0</v>
      </c>
      <c r="P832" s="18">
        <v>1195226.0</v>
      </c>
      <c r="Q832" s="17" t="b">
        <v>1</v>
      </c>
      <c r="R832" s="10"/>
    </row>
    <row r="833">
      <c r="A833" s="6" t="s">
        <v>4664</v>
      </c>
      <c r="B833" s="6" t="s">
        <v>35</v>
      </c>
      <c r="C833" s="8">
        <v>45638.0</v>
      </c>
      <c r="D833" s="6" t="s">
        <v>112</v>
      </c>
      <c r="E833" s="6" t="s">
        <v>4666</v>
      </c>
      <c r="F833" s="10"/>
      <c r="G833" s="6" t="s">
        <v>4667</v>
      </c>
      <c r="H833" s="6" t="s">
        <v>157</v>
      </c>
      <c r="I833" s="17" t="b">
        <v>0</v>
      </c>
      <c r="J833" s="6" t="s">
        <v>546</v>
      </c>
      <c r="K833" s="10"/>
      <c r="L833" s="10"/>
      <c r="M833" s="10"/>
      <c r="N833" s="10"/>
      <c r="O833" s="18">
        <v>280.99</v>
      </c>
      <c r="P833" s="10"/>
      <c r="Q833" s="17" t="b">
        <v>1</v>
      </c>
      <c r="R833" s="10"/>
    </row>
    <row r="834">
      <c r="A834" s="6" t="s">
        <v>4671</v>
      </c>
      <c r="B834" s="6" t="s">
        <v>35</v>
      </c>
      <c r="C834" s="8">
        <v>45639.0</v>
      </c>
      <c r="D834" s="6" t="s">
        <v>2613</v>
      </c>
      <c r="E834" s="6" t="s">
        <v>4674</v>
      </c>
      <c r="F834" s="10"/>
      <c r="G834" s="6" t="s">
        <v>4675</v>
      </c>
      <c r="H834" s="6" t="s">
        <v>4677</v>
      </c>
      <c r="I834" s="17" t="b">
        <v>1</v>
      </c>
      <c r="J834" s="6" t="s">
        <v>546</v>
      </c>
      <c r="K834" s="10"/>
      <c r="L834" s="10"/>
      <c r="M834" s="10"/>
      <c r="N834" s="10"/>
      <c r="O834" s="18">
        <v>114.0</v>
      </c>
      <c r="P834" s="18">
        <v>1200055.0</v>
      </c>
      <c r="Q834" s="17" t="b">
        <v>1</v>
      </c>
      <c r="R834" s="10"/>
    </row>
    <row r="835">
      <c r="A835" s="6" t="s">
        <v>4680</v>
      </c>
      <c r="B835" s="6" t="s">
        <v>35</v>
      </c>
      <c r="C835" s="8">
        <v>45639.0</v>
      </c>
      <c r="D835" s="6" t="s">
        <v>543</v>
      </c>
      <c r="E835" s="6" t="s">
        <v>4683</v>
      </c>
      <c r="F835" s="10"/>
      <c r="G835" s="6" t="s">
        <v>4684</v>
      </c>
      <c r="H835" s="6" t="s">
        <v>171</v>
      </c>
      <c r="I835" s="17" t="b">
        <v>0</v>
      </c>
      <c r="J835" s="6" t="s">
        <v>546</v>
      </c>
      <c r="K835" s="10"/>
      <c r="L835" s="10"/>
      <c r="M835" s="10"/>
      <c r="N835" s="10"/>
      <c r="O835" s="18">
        <v>300.0</v>
      </c>
      <c r="P835" s="10"/>
      <c r="Q835" s="17" t="b">
        <v>1</v>
      </c>
      <c r="R835" s="10"/>
    </row>
    <row r="836">
      <c r="A836" s="6" t="s">
        <v>4688</v>
      </c>
      <c r="B836" s="6" t="s">
        <v>35</v>
      </c>
      <c r="C836" s="8">
        <v>45638.0</v>
      </c>
      <c r="D836" s="6" t="s">
        <v>764</v>
      </c>
      <c r="E836" s="6" t="s">
        <v>4690</v>
      </c>
      <c r="F836" s="10"/>
      <c r="G836" s="6" t="s">
        <v>4692</v>
      </c>
      <c r="H836" s="6" t="s">
        <v>195</v>
      </c>
      <c r="I836" s="17" t="b">
        <v>0</v>
      </c>
      <c r="J836" s="6" t="s">
        <v>546</v>
      </c>
      <c r="K836" s="10"/>
      <c r="L836" s="6" t="s">
        <v>4694</v>
      </c>
      <c r="M836" s="10"/>
      <c r="N836" s="10"/>
      <c r="O836" s="18">
        <v>964.5</v>
      </c>
      <c r="P836" s="10"/>
      <c r="Q836" s="17" t="b">
        <v>1</v>
      </c>
      <c r="R836" s="10"/>
    </row>
    <row r="837">
      <c r="A837" s="6" t="s">
        <v>4698</v>
      </c>
      <c r="B837" s="6" t="s">
        <v>35</v>
      </c>
      <c r="C837" s="8">
        <v>45643.0</v>
      </c>
      <c r="D837" s="10"/>
      <c r="E837" s="10"/>
      <c r="F837" s="10"/>
      <c r="G837" s="10"/>
      <c r="H837" s="6" t="s">
        <v>4700</v>
      </c>
      <c r="I837" s="10"/>
      <c r="J837" s="6" t="s">
        <v>539</v>
      </c>
      <c r="K837" s="6" t="s">
        <v>658</v>
      </c>
      <c r="L837" s="10"/>
      <c r="M837" s="10"/>
      <c r="N837" s="10"/>
      <c r="O837" s="18">
        <v>859.05</v>
      </c>
      <c r="P837" s="10"/>
      <c r="Q837" s="6"/>
      <c r="R837" s="10"/>
    </row>
    <row r="838">
      <c r="A838" s="6" t="s">
        <v>4704</v>
      </c>
      <c r="B838" s="6" t="s">
        <v>35</v>
      </c>
      <c r="C838" s="8">
        <v>45643.0</v>
      </c>
      <c r="D838" s="10"/>
      <c r="E838" s="10"/>
      <c r="F838" s="10"/>
      <c r="G838" s="10"/>
      <c r="H838" s="6" t="s">
        <v>4700</v>
      </c>
      <c r="I838" s="10"/>
      <c r="J838" s="6" t="s">
        <v>539</v>
      </c>
      <c r="K838" s="6" t="s">
        <v>682</v>
      </c>
      <c r="L838" s="10"/>
      <c r="M838" s="10"/>
      <c r="N838" s="10"/>
      <c r="O838" s="18">
        <v>1872.5</v>
      </c>
      <c r="P838" s="10"/>
      <c r="Q838" s="6"/>
      <c r="R838" s="10"/>
    </row>
    <row r="839">
      <c r="A839" s="6" t="s">
        <v>4710</v>
      </c>
      <c r="B839" s="6" t="s">
        <v>35</v>
      </c>
      <c r="C839" s="8">
        <v>45643.0</v>
      </c>
      <c r="D839" s="10"/>
      <c r="E839" s="10"/>
      <c r="F839" s="10"/>
      <c r="G839" s="10"/>
      <c r="H839" s="6" t="s">
        <v>4700</v>
      </c>
      <c r="I839" s="10"/>
      <c r="J839" s="6" t="s">
        <v>539</v>
      </c>
      <c r="K839" s="6" t="s">
        <v>2052</v>
      </c>
      <c r="L839" s="10"/>
      <c r="M839" s="10"/>
      <c r="N839" s="10"/>
      <c r="O839" s="18">
        <v>585.95</v>
      </c>
      <c r="P839" s="10"/>
      <c r="Q839" s="6"/>
      <c r="R839" s="10"/>
    </row>
    <row r="840">
      <c r="A840" s="6" t="s">
        <v>4716</v>
      </c>
      <c r="B840" s="6" t="s">
        <v>35</v>
      </c>
      <c r="C840" s="8">
        <v>45643.0</v>
      </c>
      <c r="D840" s="10"/>
      <c r="E840" s="10"/>
      <c r="F840" s="10"/>
      <c r="G840" s="10"/>
      <c r="H840" s="6" t="s">
        <v>4700</v>
      </c>
      <c r="I840" s="10"/>
      <c r="J840" s="6" t="s">
        <v>539</v>
      </c>
      <c r="K840" s="6" t="s">
        <v>227</v>
      </c>
      <c r="L840" s="10"/>
      <c r="M840" s="10"/>
      <c r="N840" s="10"/>
      <c r="O840" s="18">
        <v>318.9</v>
      </c>
      <c r="P840" s="10"/>
      <c r="Q840" s="6"/>
      <c r="R840" s="10"/>
    </row>
    <row r="841">
      <c r="A841" s="6" t="s">
        <v>4721</v>
      </c>
      <c r="B841" s="6" t="s">
        <v>35</v>
      </c>
      <c r="C841" s="8">
        <v>45643.0</v>
      </c>
      <c r="D841" s="10"/>
      <c r="E841" s="10"/>
      <c r="F841" s="10"/>
      <c r="G841" s="10"/>
      <c r="H841" s="6" t="s">
        <v>4700</v>
      </c>
      <c r="I841" s="10"/>
      <c r="J841" s="6" t="s">
        <v>539</v>
      </c>
      <c r="K841" s="6" t="s">
        <v>3795</v>
      </c>
      <c r="L841" s="10"/>
      <c r="M841" s="10"/>
      <c r="N841" s="10"/>
      <c r="O841" s="18">
        <v>147.54</v>
      </c>
      <c r="P841" s="10"/>
      <c r="Q841" s="6"/>
      <c r="R841" s="10"/>
    </row>
    <row r="842">
      <c r="A842" s="6" t="s">
        <v>4727</v>
      </c>
      <c r="B842" s="6" t="s">
        <v>35</v>
      </c>
      <c r="C842" s="8">
        <v>45643.0</v>
      </c>
      <c r="D842" s="10"/>
      <c r="E842" s="10"/>
      <c r="F842" s="10"/>
      <c r="G842" s="10"/>
      <c r="H842" s="6" t="s">
        <v>4700</v>
      </c>
      <c r="I842" s="10"/>
      <c r="J842" s="6" t="s">
        <v>539</v>
      </c>
      <c r="K842" s="6" t="s">
        <v>624</v>
      </c>
      <c r="L842" s="10"/>
      <c r="M842" s="10"/>
      <c r="N842" s="10"/>
      <c r="O842" s="18">
        <v>805.92</v>
      </c>
      <c r="P842" s="10"/>
      <c r="Q842" s="6"/>
      <c r="R842" s="10"/>
    </row>
    <row r="843">
      <c r="A843" s="6" t="s">
        <v>4732</v>
      </c>
      <c r="B843" s="6" t="s">
        <v>35</v>
      </c>
      <c r="C843" s="8">
        <v>45643.0</v>
      </c>
      <c r="D843" s="6" t="s">
        <v>2685</v>
      </c>
      <c r="E843" s="10"/>
      <c r="F843" s="10"/>
      <c r="G843" s="10"/>
      <c r="H843" s="6" t="s">
        <v>4735</v>
      </c>
      <c r="I843" s="10"/>
      <c r="J843" s="6" t="s">
        <v>539</v>
      </c>
      <c r="K843" s="10"/>
      <c r="L843" s="10"/>
      <c r="M843" s="10"/>
      <c r="N843" s="10"/>
      <c r="O843" s="18">
        <v>255.79</v>
      </c>
      <c r="P843" s="10"/>
      <c r="Q843" s="6"/>
      <c r="R843" s="10"/>
    </row>
    <row r="844">
      <c r="A844" s="6" t="s">
        <v>4739</v>
      </c>
      <c r="B844" s="6" t="s">
        <v>35</v>
      </c>
      <c r="C844" s="8">
        <v>45646.0</v>
      </c>
      <c r="D844" s="6" t="s">
        <v>4741</v>
      </c>
      <c r="E844" s="10"/>
      <c r="F844" s="10"/>
      <c r="G844" s="10"/>
      <c r="H844" s="6" t="s">
        <v>1314</v>
      </c>
      <c r="I844" s="10"/>
      <c r="J844" s="6" t="s">
        <v>539</v>
      </c>
      <c r="K844" s="10"/>
      <c r="L844" s="10"/>
      <c r="M844" s="10"/>
      <c r="N844" s="10"/>
      <c r="O844" s="18">
        <v>1265.4</v>
      </c>
      <c r="P844" s="10"/>
      <c r="Q844" s="6"/>
      <c r="R844" s="10"/>
    </row>
    <row r="845">
      <c r="A845" s="6" t="s">
        <v>4745</v>
      </c>
      <c r="B845" s="6" t="s">
        <v>35</v>
      </c>
      <c r="C845" s="8">
        <v>45649.0</v>
      </c>
      <c r="D845" s="6" t="s">
        <v>460</v>
      </c>
      <c r="E845" s="10"/>
      <c r="F845" s="10"/>
      <c r="G845" s="10"/>
      <c r="H845" s="6" t="s">
        <v>4748</v>
      </c>
      <c r="I845" s="10"/>
      <c r="J845" s="6" t="s">
        <v>539</v>
      </c>
      <c r="K845" s="10"/>
      <c r="L845" s="10"/>
      <c r="M845" s="10"/>
      <c r="N845" s="10"/>
      <c r="O845" s="18">
        <v>850.0</v>
      </c>
      <c r="P845" s="10"/>
      <c r="Q845" s="6"/>
      <c r="R845" s="10"/>
    </row>
    <row r="846">
      <c r="A846" s="6" t="s">
        <v>4752</v>
      </c>
      <c r="B846" s="6" t="s">
        <v>35</v>
      </c>
      <c r="C846" s="8">
        <v>45649.0</v>
      </c>
      <c r="D846" s="6" t="s">
        <v>460</v>
      </c>
      <c r="E846" s="10"/>
      <c r="F846" s="10"/>
      <c r="G846" s="10"/>
      <c r="H846" s="6" t="s">
        <v>4754</v>
      </c>
      <c r="I846" s="10"/>
      <c r="J846" s="6" t="s">
        <v>539</v>
      </c>
      <c r="K846" s="10"/>
      <c r="L846" s="10"/>
      <c r="M846" s="10"/>
      <c r="N846" s="10"/>
      <c r="O846" s="18">
        <v>716.0</v>
      </c>
      <c r="P846" s="10"/>
      <c r="Q846" s="6"/>
      <c r="R846" s="10"/>
    </row>
    <row r="847">
      <c r="A847" s="6" t="s">
        <v>4758</v>
      </c>
      <c r="B847" s="6" t="s">
        <v>35</v>
      </c>
      <c r="C847" s="8">
        <v>45649.0</v>
      </c>
      <c r="D847" s="6" t="s">
        <v>460</v>
      </c>
      <c r="E847" s="10"/>
      <c r="F847" s="10"/>
      <c r="G847" s="10"/>
      <c r="H847" s="6" t="s">
        <v>4761</v>
      </c>
      <c r="I847" s="10"/>
      <c r="J847" s="6" t="s">
        <v>539</v>
      </c>
      <c r="K847" s="10"/>
      <c r="L847" s="10"/>
      <c r="M847" s="10"/>
      <c r="N847" s="10"/>
      <c r="O847" s="18">
        <v>384.0</v>
      </c>
      <c r="P847" s="10"/>
      <c r="Q847" s="6"/>
      <c r="R847" s="10"/>
    </row>
    <row r="848">
      <c r="A848" s="6" t="s">
        <v>4764</v>
      </c>
      <c r="B848" s="6" t="s">
        <v>35</v>
      </c>
      <c r="C848" s="8">
        <v>45636.0</v>
      </c>
      <c r="D848" s="6" t="s">
        <v>1036</v>
      </c>
      <c r="E848" s="6" t="s">
        <v>4767</v>
      </c>
      <c r="F848" s="10"/>
      <c r="G848" s="6" t="s">
        <v>4768</v>
      </c>
      <c r="H848" s="6" t="s">
        <v>4770</v>
      </c>
      <c r="I848" s="17" t="b">
        <v>0</v>
      </c>
      <c r="J848" s="6" t="s">
        <v>546</v>
      </c>
      <c r="K848" s="10"/>
      <c r="L848" s="10"/>
      <c r="M848" s="10"/>
      <c r="N848" s="10"/>
      <c r="O848" s="18">
        <v>118.0</v>
      </c>
      <c r="P848" s="10"/>
      <c r="Q848" s="17" t="b">
        <v>1</v>
      </c>
      <c r="R848" s="10"/>
    </row>
    <row r="849">
      <c r="A849" s="6" t="s">
        <v>4773</v>
      </c>
      <c r="B849" s="6" t="s">
        <v>35</v>
      </c>
      <c r="C849" s="8">
        <v>45638.0</v>
      </c>
      <c r="D849" s="6" t="s">
        <v>890</v>
      </c>
      <c r="E849" s="6" t="s">
        <v>4775</v>
      </c>
      <c r="F849" s="10"/>
      <c r="G849" s="6" t="s">
        <v>4777</v>
      </c>
      <c r="H849" s="6" t="s">
        <v>4778</v>
      </c>
      <c r="I849" s="17" t="b">
        <v>0</v>
      </c>
      <c r="J849" s="6" t="s">
        <v>546</v>
      </c>
      <c r="K849" s="10"/>
      <c r="L849" s="10"/>
      <c r="M849" s="10"/>
      <c r="N849" s="10"/>
      <c r="O849" s="18">
        <v>266.83</v>
      </c>
      <c r="P849" s="10"/>
      <c r="Q849" s="17" t="b">
        <v>1</v>
      </c>
      <c r="R849" s="10"/>
    </row>
    <row r="850">
      <c r="A850" s="6" t="s">
        <v>4782</v>
      </c>
      <c r="B850" s="6" t="s">
        <v>35</v>
      </c>
      <c r="C850" s="8">
        <v>45638.0</v>
      </c>
      <c r="D850" s="6" t="s">
        <v>890</v>
      </c>
      <c r="E850" s="6" t="s">
        <v>4785</v>
      </c>
      <c r="F850" s="10"/>
      <c r="G850" s="6" t="s">
        <v>4786</v>
      </c>
      <c r="H850" s="6" t="s">
        <v>4787</v>
      </c>
      <c r="I850" s="17" t="b">
        <v>0</v>
      </c>
      <c r="J850" s="6" t="s">
        <v>546</v>
      </c>
      <c r="K850" s="10"/>
      <c r="L850" s="6" t="s">
        <v>4793</v>
      </c>
      <c r="M850" s="10"/>
      <c r="N850" s="10"/>
      <c r="O850" s="18">
        <v>17966.87</v>
      </c>
      <c r="P850" s="10"/>
      <c r="Q850" s="17" t="b">
        <v>1</v>
      </c>
      <c r="R850" s="10"/>
    </row>
    <row r="851">
      <c r="A851" s="6" t="s">
        <v>4796</v>
      </c>
      <c r="B851" s="6" t="s">
        <v>35</v>
      </c>
      <c r="C851" s="8">
        <v>45639.0</v>
      </c>
      <c r="D851" s="6" t="s">
        <v>890</v>
      </c>
      <c r="E851" s="6" t="s">
        <v>4798</v>
      </c>
      <c r="F851" s="10"/>
      <c r="G851" s="6" t="s">
        <v>4799</v>
      </c>
      <c r="H851" s="6" t="s">
        <v>1511</v>
      </c>
      <c r="I851" s="17" t="b">
        <v>0</v>
      </c>
      <c r="J851" s="6" t="s">
        <v>546</v>
      </c>
      <c r="K851" s="10"/>
      <c r="L851" s="6" t="s">
        <v>4802</v>
      </c>
      <c r="M851" s="6" t="s">
        <v>4803</v>
      </c>
      <c r="N851" s="10"/>
      <c r="O851" s="18">
        <v>10048.93</v>
      </c>
      <c r="P851" s="10"/>
      <c r="Q851" s="17" t="b">
        <v>1</v>
      </c>
      <c r="R851" s="10"/>
    </row>
    <row r="852">
      <c r="A852" s="18">
        <v>3.742165E7</v>
      </c>
      <c r="B852" s="6" t="s">
        <v>35</v>
      </c>
      <c r="C852" s="8">
        <v>45642.0</v>
      </c>
      <c r="D852" s="6" t="s">
        <v>543</v>
      </c>
      <c r="E852" s="6" t="s">
        <v>4807</v>
      </c>
      <c r="F852" s="10"/>
      <c r="G852" s="6" t="s">
        <v>4809</v>
      </c>
      <c r="H852" s="6" t="s">
        <v>171</v>
      </c>
      <c r="I852" s="17" t="b">
        <v>0</v>
      </c>
      <c r="J852" s="6" t="s">
        <v>546</v>
      </c>
      <c r="K852" s="10"/>
      <c r="L852" s="10"/>
      <c r="M852" s="10"/>
      <c r="N852" s="10"/>
      <c r="O852" s="18">
        <v>500.0</v>
      </c>
      <c r="P852" s="10"/>
      <c r="Q852" s="17" t="b">
        <v>1</v>
      </c>
      <c r="R852" s="10"/>
    </row>
    <row r="853">
      <c r="A853" s="6" t="s">
        <v>4813</v>
      </c>
      <c r="B853" s="6" t="s">
        <v>35</v>
      </c>
      <c r="C853" s="8">
        <v>45642.0</v>
      </c>
      <c r="D853" s="18">
        <v>6.8893939E7</v>
      </c>
      <c r="E853" s="6" t="s">
        <v>4815</v>
      </c>
      <c r="F853" s="10"/>
      <c r="G853" s="6" t="s">
        <v>4817</v>
      </c>
      <c r="H853" s="6" t="s">
        <v>605</v>
      </c>
      <c r="I853" s="17" t="b">
        <v>0</v>
      </c>
      <c r="J853" s="6" t="s">
        <v>546</v>
      </c>
      <c r="K853" s="10"/>
      <c r="L853" s="10"/>
      <c r="M853" s="10"/>
      <c r="N853" s="10"/>
      <c r="O853" s="18">
        <v>4879.73</v>
      </c>
      <c r="P853" s="10"/>
      <c r="Q853" s="17" t="b">
        <v>1</v>
      </c>
      <c r="R853" s="10"/>
    </row>
    <row r="854">
      <c r="A854" s="18">
        <v>8.6312875E7</v>
      </c>
      <c r="B854" s="6" t="s">
        <v>35</v>
      </c>
      <c r="C854" s="8">
        <v>45643.0</v>
      </c>
      <c r="D854" s="6" t="s">
        <v>112</v>
      </c>
      <c r="E854" s="6" t="s">
        <v>4821</v>
      </c>
      <c r="F854" s="10"/>
      <c r="G854" s="6" t="s">
        <v>4823</v>
      </c>
      <c r="H854" s="6" t="s">
        <v>157</v>
      </c>
      <c r="I854" s="17" t="b">
        <v>0</v>
      </c>
      <c r="J854" s="6" t="s">
        <v>546</v>
      </c>
      <c r="K854" s="10"/>
      <c r="L854" s="10"/>
      <c r="M854" s="10"/>
      <c r="N854" s="10"/>
      <c r="O854" s="18">
        <v>190.7</v>
      </c>
      <c r="P854" s="10"/>
      <c r="Q854" s="17" t="b">
        <v>1</v>
      </c>
      <c r="R854" s="10"/>
    </row>
    <row r="855">
      <c r="A855" s="6" t="s">
        <v>4827</v>
      </c>
      <c r="B855" s="6" t="s">
        <v>35</v>
      </c>
      <c r="C855" s="8">
        <v>45644.0</v>
      </c>
      <c r="D855" s="6" t="s">
        <v>112</v>
      </c>
      <c r="E855" s="6" t="s">
        <v>4830</v>
      </c>
      <c r="F855" s="10"/>
      <c r="G855" s="6" t="s">
        <v>4832</v>
      </c>
      <c r="H855" s="6" t="s">
        <v>157</v>
      </c>
      <c r="I855" s="17" t="b">
        <v>0</v>
      </c>
      <c r="J855" s="6" t="s">
        <v>546</v>
      </c>
      <c r="K855" s="10"/>
      <c r="L855" s="10"/>
      <c r="M855" s="10"/>
      <c r="N855" s="10"/>
      <c r="O855" s="18">
        <v>311.36</v>
      </c>
      <c r="P855" s="10"/>
      <c r="Q855" s="17" t="b">
        <v>1</v>
      </c>
      <c r="R855" s="10"/>
    </row>
    <row r="856">
      <c r="A856" s="6" t="s">
        <v>4836</v>
      </c>
      <c r="B856" s="6" t="s">
        <v>35</v>
      </c>
      <c r="C856" s="8">
        <v>45645.0</v>
      </c>
      <c r="D856" s="6" t="s">
        <v>3716</v>
      </c>
      <c r="E856" s="6" t="s">
        <v>4839</v>
      </c>
      <c r="F856" s="10"/>
      <c r="G856" s="6" t="s">
        <v>4840</v>
      </c>
      <c r="H856" s="6" t="s">
        <v>195</v>
      </c>
      <c r="I856" s="17" t="b">
        <v>1</v>
      </c>
      <c r="J856" s="6" t="s">
        <v>546</v>
      </c>
      <c r="K856" s="10"/>
      <c r="L856" s="10"/>
      <c r="M856" s="10"/>
      <c r="N856" s="10"/>
      <c r="O856" s="18">
        <v>208.5</v>
      </c>
      <c r="P856" s="18">
        <v>1210891.0</v>
      </c>
      <c r="Q856" s="17" t="b">
        <v>1</v>
      </c>
      <c r="R856" s="10"/>
    </row>
    <row r="857">
      <c r="A857" s="6" t="s">
        <v>4844</v>
      </c>
      <c r="B857" s="6" t="s">
        <v>35</v>
      </c>
      <c r="C857" s="8">
        <v>45646.0</v>
      </c>
      <c r="D857" s="6" t="s">
        <v>543</v>
      </c>
      <c r="E857" s="6" t="s">
        <v>4847</v>
      </c>
      <c r="F857" s="10"/>
      <c r="G857" s="6" t="s">
        <v>4848</v>
      </c>
      <c r="H857" s="6" t="s">
        <v>171</v>
      </c>
      <c r="I857" s="17" t="b">
        <v>0</v>
      </c>
      <c r="J857" s="6" t="s">
        <v>546</v>
      </c>
      <c r="K857" s="10"/>
      <c r="L857" s="10"/>
      <c r="M857" s="10"/>
      <c r="N857" s="10"/>
      <c r="O857" s="18">
        <v>250.0</v>
      </c>
      <c r="P857" s="10"/>
      <c r="Q857" s="17" t="b">
        <v>1</v>
      </c>
      <c r="R857" s="10"/>
    </row>
    <row r="858">
      <c r="A858" s="18">
        <v>9.6144959E7</v>
      </c>
      <c r="B858" s="6" t="s">
        <v>35</v>
      </c>
      <c r="C858" s="8">
        <v>45646.0</v>
      </c>
      <c r="D858" s="6" t="s">
        <v>112</v>
      </c>
      <c r="E858" s="6" t="s">
        <v>4853</v>
      </c>
      <c r="F858" s="10"/>
      <c r="G858" s="6" t="s">
        <v>4855</v>
      </c>
      <c r="H858" s="6" t="s">
        <v>157</v>
      </c>
      <c r="I858" s="17" t="b">
        <v>0</v>
      </c>
      <c r="J858" s="6" t="s">
        <v>546</v>
      </c>
      <c r="K858" s="10"/>
      <c r="L858" s="10"/>
      <c r="M858" s="10"/>
      <c r="N858" s="10"/>
      <c r="O858" s="18">
        <v>298.03</v>
      </c>
      <c r="P858" s="10"/>
      <c r="Q858" s="17" t="b">
        <v>1</v>
      </c>
      <c r="R858" s="10"/>
    </row>
    <row r="859">
      <c r="A859" s="6" t="s">
        <v>4859</v>
      </c>
      <c r="B859" s="6" t="s">
        <v>35</v>
      </c>
      <c r="C859" s="8">
        <v>45647.0</v>
      </c>
      <c r="D859" s="6" t="s">
        <v>112</v>
      </c>
      <c r="E859" s="6" t="s">
        <v>4861</v>
      </c>
      <c r="F859" s="10"/>
      <c r="G859" s="6" t="s">
        <v>4863</v>
      </c>
      <c r="H859" s="6" t="s">
        <v>157</v>
      </c>
      <c r="I859" s="17" t="b">
        <v>0</v>
      </c>
      <c r="J859" s="6" t="s">
        <v>546</v>
      </c>
      <c r="K859" s="10"/>
      <c r="L859" s="10"/>
      <c r="M859" s="10"/>
      <c r="N859" s="10"/>
      <c r="O859" s="18">
        <v>356.24</v>
      </c>
      <c r="P859" s="10"/>
      <c r="Q859" s="17" t="b">
        <v>1</v>
      </c>
      <c r="R859" s="10"/>
    </row>
    <row r="860">
      <c r="A860" s="6" t="s">
        <v>4867</v>
      </c>
      <c r="B860" s="6" t="s">
        <v>35</v>
      </c>
      <c r="C860" s="8">
        <v>45648.0</v>
      </c>
      <c r="D860" s="6" t="s">
        <v>543</v>
      </c>
      <c r="E860" s="6" t="s">
        <v>4869</v>
      </c>
      <c r="F860" s="10"/>
      <c r="G860" s="6" t="s">
        <v>4871</v>
      </c>
      <c r="H860" s="6" t="s">
        <v>171</v>
      </c>
      <c r="I860" s="17" t="b">
        <v>0</v>
      </c>
      <c r="J860" s="6" t="s">
        <v>546</v>
      </c>
      <c r="K860" s="10"/>
      <c r="L860" s="10"/>
      <c r="M860" s="10"/>
      <c r="N860" s="10"/>
      <c r="O860" s="18">
        <v>550.0</v>
      </c>
      <c r="P860" s="10"/>
      <c r="Q860" s="17" t="b">
        <v>1</v>
      </c>
      <c r="R860" s="10"/>
    </row>
    <row r="861">
      <c r="A861" s="6" t="s">
        <v>4876</v>
      </c>
      <c r="B861" s="6" t="s">
        <v>35</v>
      </c>
      <c r="C861" s="8">
        <v>45645.0</v>
      </c>
      <c r="D861" s="6" t="s">
        <v>764</v>
      </c>
      <c r="E861" s="6" t="s">
        <v>4878</v>
      </c>
      <c r="F861" s="10"/>
      <c r="G861" s="6" t="s">
        <v>4880</v>
      </c>
      <c r="H861" s="6" t="s">
        <v>195</v>
      </c>
      <c r="I861" s="17" t="b">
        <v>0</v>
      </c>
      <c r="J861" s="6" t="s">
        <v>546</v>
      </c>
      <c r="K861" s="10"/>
      <c r="L861" s="10"/>
      <c r="M861" s="10"/>
      <c r="N861" s="10"/>
      <c r="O861" s="18">
        <v>665.0</v>
      </c>
      <c r="P861" s="10"/>
      <c r="Q861" s="17" t="b">
        <v>1</v>
      </c>
      <c r="R861" s="10"/>
    </row>
    <row r="862">
      <c r="A862" s="6" t="s">
        <v>4883</v>
      </c>
      <c r="B862" s="6" t="s">
        <v>35</v>
      </c>
      <c r="C862" s="8">
        <v>45650.0</v>
      </c>
      <c r="D862" s="6" t="s">
        <v>193</v>
      </c>
      <c r="E862" s="6" t="s">
        <v>4886</v>
      </c>
      <c r="F862" s="10"/>
      <c r="G862" s="6" t="s">
        <v>4887</v>
      </c>
      <c r="H862" s="6" t="s">
        <v>195</v>
      </c>
      <c r="I862" s="17" t="b">
        <v>1</v>
      </c>
      <c r="J862" s="6" t="s">
        <v>546</v>
      </c>
      <c r="K862" s="10"/>
      <c r="L862" s="6" t="s">
        <v>4890</v>
      </c>
      <c r="M862" s="10"/>
      <c r="N862" s="10"/>
      <c r="O862" s="18">
        <v>614.32</v>
      </c>
      <c r="P862" s="6" t="s">
        <v>4892</v>
      </c>
      <c r="Q862" s="17" t="b">
        <v>1</v>
      </c>
      <c r="R862" s="10"/>
    </row>
    <row r="863">
      <c r="A863" s="6" t="s">
        <v>4894</v>
      </c>
      <c r="B863" s="6" t="s">
        <v>35</v>
      </c>
      <c r="C863" s="8">
        <v>45652.0</v>
      </c>
      <c r="D863" s="6" t="s">
        <v>112</v>
      </c>
      <c r="E863" s="6" t="s">
        <v>4896</v>
      </c>
      <c r="F863" s="10"/>
      <c r="G863" s="6" t="s">
        <v>4898</v>
      </c>
      <c r="H863" s="6" t="s">
        <v>157</v>
      </c>
      <c r="I863" s="17" t="b">
        <v>0</v>
      </c>
      <c r="J863" s="6" t="s">
        <v>546</v>
      </c>
      <c r="K863" s="10"/>
      <c r="L863" s="10"/>
      <c r="M863" s="10"/>
      <c r="N863" s="10"/>
      <c r="O863" s="18">
        <v>260.58</v>
      </c>
      <c r="P863" s="10"/>
      <c r="Q863" s="17" t="b">
        <v>1</v>
      </c>
      <c r="R863" s="10"/>
    </row>
    <row r="864">
      <c r="A864" s="6" t="s">
        <v>4902</v>
      </c>
      <c r="B864" s="6" t="s">
        <v>35</v>
      </c>
      <c r="C864" s="8">
        <v>45652.0</v>
      </c>
      <c r="D864" s="6" t="s">
        <v>112</v>
      </c>
      <c r="E864" s="6" t="s">
        <v>4896</v>
      </c>
      <c r="F864" s="10"/>
      <c r="G864" s="6" t="s">
        <v>4905</v>
      </c>
      <c r="H864" s="6" t="s">
        <v>157</v>
      </c>
      <c r="I864" s="17" t="b">
        <v>0</v>
      </c>
      <c r="J864" s="6" t="s">
        <v>546</v>
      </c>
      <c r="K864" s="10"/>
      <c r="L864" s="10"/>
      <c r="M864" s="10"/>
      <c r="N864" s="10"/>
      <c r="O864" s="18">
        <v>389.83</v>
      </c>
      <c r="P864" s="10"/>
      <c r="Q864" s="17" t="b">
        <v>1</v>
      </c>
      <c r="R864" s="10"/>
    </row>
    <row r="865">
      <c r="A865" s="6" t="s">
        <v>4909</v>
      </c>
      <c r="B865" s="6" t="s">
        <v>35</v>
      </c>
      <c r="C865" s="8">
        <v>45653.0</v>
      </c>
      <c r="D865" s="6" t="s">
        <v>2613</v>
      </c>
      <c r="E865" s="6" t="s">
        <v>4911</v>
      </c>
      <c r="F865" s="10"/>
      <c r="G865" s="6" t="s">
        <v>4913</v>
      </c>
      <c r="H865" s="6" t="s">
        <v>482</v>
      </c>
      <c r="I865" s="17" t="b">
        <v>1</v>
      </c>
      <c r="J865" s="6" t="s">
        <v>546</v>
      </c>
      <c r="K865" s="10"/>
      <c r="L865" s="10"/>
      <c r="M865" s="10"/>
      <c r="N865" s="10"/>
      <c r="O865" s="18">
        <v>141.54</v>
      </c>
      <c r="P865" s="18">
        <v>1224060.0</v>
      </c>
      <c r="Q865" s="17" t="b">
        <v>1</v>
      </c>
      <c r="R865" s="10"/>
    </row>
    <row r="866">
      <c r="A866" s="6" t="s">
        <v>4917</v>
      </c>
      <c r="B866" s="6" t="s">
        <v>35</v>
      </c>
      <c r="C866" s="8">
        <v>45653.0</v>
      </c>
      <c r="D866" s="6" t="s">
        <v>543</v>
      </c>
      <c r="E866" s="6" t="s">
        <v>4919</v>
      </c>
      <c r="F866" s="10"/>
      <c r="G866" s="6" t="s">
        <v>4921</v>
      </c>
      <c r="H866" s="6" t="s">
        <v>171</v>
      </c>
      <c r="I866" s="17" t="b">
        <v>0</v>
      </c>
      <c r="J866" s="6" t="s">
        <v>546</v>
      </c>
      <c r="K866" s="10"/>
      <c r="L866" s="10"/>
      <c r="M866" s="10"/>
      <c r="N866" s="10"/>
      <c r="O866" s="18">
        <v>500.0</v>
      </c>
      <c r="P866" s="10"/>
      <c r="Q866" s="17" t="b">
        <v>1</v>
      </c>
      <c r="R866" s="10"/>
    </row>
    <row r="867">
      <c r="A867" s="6" t="s">
        <v>4925</v>
      </c>
      <c r="B867" s="6" t="s">
        <v>35</v>
      </c>
      <c r="C867" s="8">
        <v>45653.0</v>
      </c>
      <c r="D867" s="6" t="s">
        <v>2644</v>
      </c>
      <c r="E867" s="6" t="s">
        <v>4927</v>
      </c>
      <c r="F867" s="10"/>
      <c r="G867" s="6" t="s">
        <v>4929</v>
      </c>
      <c r="H867" s="6" t="s">
        <v>195</v>
      </c>
      <c r="I867" s="17" t="b">
        <v>0</v>
      </c>
      <c r="J867" s="6" t="s">
        <v>546</v>
      </c>
      <c r="K867" s="10"/>
      <c r="L867" s="6" t="s">
        <v>4932</v>
      </c>
      <c r="M867" s="10"/>
      <c r="N867" s="10"/>
      <c r="O867" s="18">
        <v>952.5</v>
      </c>
      <c r="P867" s="10"/>
      <c r="Q867" s="17" t="b">
        <v>1</v>
      </c>
      <c r="R867" s="10"/>
    </row>
    <row r="868">
      <c r="A868" s="6" t="s">
        <v>4935</v>
      </c>
      <c r="B868" s="6" t="s">
        <v>35</v>
      </c>
      <c r="C868" s="8">
        <v>45654.0</v>
      </c>
      <c r="D868" s="6" t="s">
        <v>112</v>
      </c>
      <c r="E868" s="6" t="s">
        <v>4938</v>
      </c>
      <c r="F868" s="10"/>
      <c r="G868" s="6" t="s">
        <v>4940</v>
      </c>
      <c r="H868" s="6" t="s">
        <v>157</v>
      </c>
      <c r="I868" s="17" t="b">
        <v>0</v>
      </c>
      <c r="J868" s="6" t="s">
        <v>546</v>
      </c>
      <c r="K868" s="10"/>
      <c r="L868" s="10"/>
      <c r="M868" s="10"/>
      <c r="N868" s="10"/>
      <c r="O868" s="18">
        <v>324.87</v>
      </c>
      <c r="P868" s="10"/>
      <c r="Q868" s="17" t="b">
        <v>1</v>
      </c>
      <c r="R868" s="10"/>
    </row>
    <row r="869">
      <c r="A869" s="6" t="s">
        <v>4944</v>
      </c>
      <c r="B869" s="6" t="s">
        <v>35</v>
      </c>
      <c r="C869" s="8">
        <v>45656.0</v>
      </c>
      <c r="D869" s="6" t="s">
        <v>460</v>
      </c>
      <c r="E869" s="10"/>
      <c r="F869" s="10"/>
      <c r="G869" s="10"/>
      <c r="H869" s="6" t="s">
        <v>4947</v>
      </c>
      <c r="I869" s="10"/>
      <c r="J869" s="6" t="s">
        <v>539</v>
      </c>
      <c r="K869" s="10"/>
      <c r="L869" s="10"/>
      <c r="M869" s="10"/>
      <c r="N869" s="10"/>
      <c r="O869" s="18">
        <v>153.0</v>
      </c>
      <c r="P869" s="10"/>
      <c r="Q869" s="6"/>
      <c r="R869" s="10"/>
    </row>
    <row r="870">
      <c r="A870" s="6" t="s">
        <v>4951</v>
      </c>
      <c r="B870" s="6" t="s">
        <v>35</v>
      </c>
      <c r="C870" s="8">
        <v>45656.0</v>
      </c>
      <c r="D870" s="6" t="s">
        <v>460</v>
      </c>
      <c r="E870" s="10"/>
      <c r="F870" s="10"/>
      <c r="G870" s="10"/>
      <c r="H870" s="6" t="s">
        <v>4954</v>
      </c>
      <c r="I870" s="10"/>
      <c r="J870" s="6" t="s">
        <v>539</v>
      </c>
      <c r="K870" s="10"/>
      <c r="L870" s="10"/>
      <c r="M870" s="10"/>
      <c r="N870" s="10"/>
      <c r="O870" s="18">
        <v>130.0</v>
      </c>
      <c r="P870" s="10"/>
      <c r="Q870" s="6"/>
      <c r="R870" s="10"/>
    </row>
    <row r="871">
      <c r="A871" s="6" t="s">
        <v>4958</v>
      </c>
      <c r="B871" s="6" t="s">
        <v>35</v>
      </c>
      <c r="C871" s="8">
        <v>45656.0</v>
      </c>
      <c r="D871" s="6" t="s">
        <v>460</v>
      </c>
      <c r="E871" s="10"/>
      <c r="F871" s="10"/>
      <c r="G871" s="10"/>
      <c r="H871" s="6" t="s">
        <v>931</v>
      </c>
      <c r="I871" s="10"/>
      <c r="J871" s="6" t="s">
        <v>539</v>
      </c>
      <c r="K871" s="10"/>
      <c r="L871" s="10"/>
      <c r="M871" s="10"/>
      <c r="N871" s="10"/>
      <c r="O871" s="18">
        <v>30.0</v>
      </c>
      <c r="P871" s="10"/>
      <c r="Q871" s="6"/>
      <c r="R871" s="10"/>
    </row>
    <row r="872">
      <c r="A872" s="6" t="s">
        <v>4964</v>
      </c>
      <c r="B872" s="6" t="s">
        <v>35</v>
      </c>
      <c r="C872" s="8">
        <v>45656.0</v>
      </c>
      <c r="D872" s="6" t="s">
        <v>460</v>
      </c>
      <c r="E872" s="10"/>
      <c r="F872" s="10"/>
      <c r="G872" s="10"/>
      <c r="H872" s="6" t="s">
        <v>4284</v>
      </c>
      <c r="I872" s="10"/>
      <c r="J872" s="6" t="s">
        <v>539</v>
      </c>
      <c r="K872" s="10"/>
      <c r="L872" s="10"/>
      <c r="M872" s="10"/>
      <c r="N872" s="10"/>
      <c r="O872" s="18">
        <v>200.0</v>
      </c>
      <c r="P872" s="10"/>
      <c r="Q872" s="6"/>
      <c r="R872" s="10"/>
    </row>
    <row r="873">
      <c r="A873" s="6" t="s">
        <v>4969</v>
      </c>
      <c r="B873" s="6" t="s">
        <v>35</v>
      </c>
      <c r="C873" s="8">
        <v>45656.0</v>
      </c>
      <c r="D873" s="6" t="s">
        <v>460</v>
      </c>
      <c r="E873" s="10"/>
      <c r="F873" s="10"/>
      <c r="G873" s="10"/>
      <c r="H873" s="6" t="s">
        <v>4972</v>
      </c>
      <c r="I873" s="10"/>
      <c r="J873" s="6" t="s">
        <v>539</v>
      </c>
      <c r="K873" s="10"/>
      <c r="L873" s="10"/>
      <c r="M873" s="10"/>
      <c r="N873" s="10"/>
      <c r="O873" s="18">
        <v>22.0</v>
      </c>
      <c r="P873" s="10"/>
      <c r="Q873" s="6"/>
      <c r="R873" s="10"/>
    </row>
    <row r="874">
      <c r="A874" s="6" t="s">
        <v>4976</v>
      </c>
      <c r="B874" s="6" t="s">
        <v>35</v>
      </c>
      <c r="C874" s="8">
        <v>45656.0</v>
      </c>
      <c r="D874" s="6" t="s">
        <v>460</v>
      </c>
      <c r="E874" s="10"/>
      <c r="F874" s="10"/>
      <c r="G874" s="10"/>
      <c r="H874" s="6" t="s">
        <v>4979</v>
      </c>
      <c r="I874" s="10"/>
      <c r="J874" s="6" t="s">
        <v>539</v>
      </c>
      <c r="K874" s="10"/>
      <c r="L874" s="10"/>
      <c r="M874" s="10"/>
      <c r="N874" s="10"/>
      <c r="O874" s="18">
        <v>10.0</v>
      </c>
      <c r="P874" s="10"/>
      <c r="Q874" s="6"/>
      <c r="R874" s="10"/>
    </row>
    <row r="875">
      <c r="A875" s="6" t="s">
        <v>4982</v>
      </c>
      <c r="B875" s="6" t="s">
        <v>35</v>
      </c>
      <c r="C875" s="8">
        <v>45640.0</v>
      </c>
      <c r="D875" s="6" t="s">
        <v>112</v>
      </c>
      <c r="E875" s="6" t="s">
        <v>4984</v>
      </c>
      <c r="F875" s="10"/>
      <c r="G875" s="6" t="s">
        <v>4986</v>
      </c>
      <c r="H875" s="6" t="s">
        <v>157</v>
      </c>
      <c r="I875" s="17" t="b">
        <v>0</v>
      </c>
      <c r="J875" s="6" t="s">
        <v>546</v>
      </c>
      <c r="K875" s="10"/>
      <c r="L875" s="10"/>
      <c r="M875" s="10"/>
      <c r="N875" s="10"/>
      <c r="O875" s="18">
        <v>295.1</v>
      </c>
      <c r="P875" s="10"/>
      <c r="Q875" s="17" t="b">
        <v>1</v>
      </c>
      <c r="R875" s="10"/>
    </row>
    <row r="876">
      <c r="A876" s="6" t="s">
        <v>4989</v>
      </c>
      <c r="B876" s="6" t="s">
        <v>35</v>
      </c>
      <c r="C876" s="8">
        <v>45653.0</v>
      </c>
      <c r="D876" s="6" t="s">
        <v>890</v>
      </c>
      <c r="E876" s="6" t="s">
        <v>4991</v>
      </c>
      <c r="F876" s="10"/>
      <c r="G876" s="6" t="s">
        <v>4993</v>
      </c>
      <c r="H876" s="6" t="s">
        <v>3813</v>
      </c>
      <c r="I876" s="17" t="b">
        <v>0</v>
      </c>
      <c r="J876" s="6" t="s">
        <v>546</v>
      </c>
      <c r="K876" s="10"/>
      <c r="L876" s="6" t="s">
        <v>4995</v>
      </c>
      <c r="M876" s="6" t="s">
        <v>4996</v>
      </c>
      <c r="N876" s="10"/>
      <c r="O876" s="18">
        <v>21201.28</v>
      </c>
      <c r="P876" s="10"/>
      <c r="Q876" s="17" t="b">
        <v>1</v>
      </c>
      <c r="R876" s="10"/>
    </row>
    <row r="877">
      <c r="A877" s="6" t="s">
        <v>4999</v>
      </c>
      <c r="B877" s="6" t="s">
        <v>35</v>
      </c>
      <c r="C877" s="8">
        <v>45657.0</v>
      </c>
      <c r="D877" s="10"/>
      <c r="E877" s="10"/>
      <c r="F877" s="10"/>
      <c r="G877" s="10"/>
      <c r="H877" s="6" t="s">
        <v>1329</v>
      </c>
      <c r="I877" s="10"/>
      <c r="J877" s="6" t="s">
        <v>539</v>
      </c>
      <c r="K877" s="6" t="s">
        <v>658</v>
      </c>
      <c r="L877" s="10"/>
      <c r="M877" s="10"/>
      <c r="N877" s="10"/>
      <c r="O877" s="18">
        <v>500.0</v>
      </c>
      <c r="P877" s="10"/>
      <c r="Q877" s="6"/>
      <c r="R877" s="10"/>
    </row>
    <row r="878">
      <c r="A878" s="6" t="s">
        <v>5004</v>
      </c>
      <c r="B878" s="6" t="s">
        <v>35</v>
      </c>
      <c r="C878" s="8">
        <v>45653.0</v>
      </c>
      <c r="D878" s="6" t="s">
        <v>890</v>
      </c>
      <c r="E878" s="6" t="s">
        <v>5006</v>
      </c>
      <c r="F878" s="10"/>
      <c r="G878" s="6" t="s">
        <v>5008</v>
      </c>
      <c r="H878" s="6" t="s">
        <v>2894</v>
      </c>
      <c r="I878" s="17" t="b">
        <v>0</v>
      </c>
      <c r="J878" s="6" t="s">
        <v>546</v>
      </c>
      <c r="K878" s="10"/>
      <c r="L878" s="6" t="s">
        <v>5011</v>
      </c>
      <c r="M878" s="6" t="s">
        <v>5012</v>
      </c>
      <c r="N878" s="10"/>
      <c r="O878" s="18">
        <v>21201.28</v>
      </c>
      <c r="P878" s="10"/>
      <c r="Q878" s="17" t="b">
        <v>1</v>
      </c>
      <c r="R878" s="10"/>
    </row>
    <row r="879">
      <c r="A879" s="6" t="s">
        <v>5015</v>
      </c>
      <c r="B879" s="6" t="s">
        <v>35</v>
      </c>
      <c r="C879" s="8">
        <v>45659.0</v>
      </c>
      <c r="D879" s="10"/>
      <c r="E879" s="10"/>
      <c r="F879" s="10"/>
      <c r="G879" s="10"/>
      <c r="H879" s="6" t="s">
        <v>5019</v>
      </c>
      <c r="I879" s="10"/>
      <c r="J879" s="6" t="s">
        <v>539</v>
      </c>
      <c r="K879" s="6" t="s">
        <v>624</v>
      </c>
      <c r="L879" s="10"/>
      <c r="M879" s="10"/>
      <c r="N879" s="10"/>
      <c r="O879" s="18">
        <v>500.0</v>
      </c>
      <c r="P879" s="10"/>
      <c r="Q879" s="6"/>
      <c r="R879" s="10"/>
    </row>
    <row r="880">
      <c r="A880" s="6" t="s">
        <v>5024</v>
      </c>
      <c r="B880" s="6" t="s">
        <v>35</v>
      </c>
      <c r="C880" s="8">
        <v>45659.0</v>
      </c>
      <c r="D880" s="10"/>
      <c r="E880" s="10"/>
      <c r="F880" s="10"/>
      <c r="G880" s="10"/>
      <c r="H880" s="6" t="s">
        <v>5027</v>
      </c>
      <c r="I880" s="10"/>
      <c r="J880" s="6" t="s">
        <v>539</v>
      </c>
      <c r="K880" s="6" t="s">
        <v>3795</v>
      </c>
      <c r="L880" s="10"/>
      <c r="M880" s="10"/>
      <c r="N880" s="10"/>
      <c r="O880" s="18">
        <v>500.0</v>
      </c>
      <c r="P880" s="10"/>
      <c r="Q880" s="6"/>
      <c r="R880" s="10"/>
    </row>
    <row r="881">
      <c r="A881" s="6" t="s">
        <v>5031</v>
      </c>
      <c r="B881" s="6" t="s">
        <v>35</v>
      </c>
      <c r="C881" s="8">
        <v>45660.0</v>
      </c>
      <c r="D881" s="10"/>
      <c r="E881" s="10"/>
      <c r="F881" s="10"/>
      <c r="G881" s="10"/>
      <c r="H881" s="6" t="s">
        <v>1329</v>
      </c>
      <c r="I881" s="10"/>
      <c r="J881" s="6" t="s">
        <v>539</v>
      </c>
      <c r="K881" s="6" t="s">
        <v>117</v>
      </c>
      <c r="L881" s="10"/>
      <c r="M881" s="10"/>
      <c r="N881" s="10"/>
      <c r="O881" s="18">
        <v>100.0</v>
      </c>
      <c r="P881" s="10"/>
      <c r="Q881" s="6"/>
      <c r="R881" s="10"/>
    </row>
    <row r="882">
      <c r="A882" s="6" t="s">
        <v>5037</v>
      </c>
      <c r="B882" s="6" t="s">
        <v>35</v>
      </c>
      <c r="C882" s="8">
        <v>45652.0</v>
      </c>
      <c r="D882" s="18">
        <v>6.8893939E7</v>
      </c>
      <c r="E882" s="6" t="s">
        <v>5039</v>
      </c>
      <c r="F882" s="10"/>
      <c r="G882" s="6" t="s">
        <v>5041</v>
      </c>
      <c r="H882" s="6" t="s">
        <v>605</v>
      </c>
      <c r="I882" s="17" t="b">
        <v>0</v>
      </c>
      <c r="J882" s="6" t="s">
        <v>546</v>
      </c>
      <c r="K882" s="10"/>
      <c r="L882" s="10"/>
      <c r="M882" s="10"/>
      <c r="N882" s="10"/>
      <c r="O882" s="18">
        <v>185.53</v>
      </c>
      <c r="P882" s="10"/>
      <c r="Q882" s="17" t="b">
        <v>1</v>
      </c>
      <c r="R882" s="10"/>
    </row>
    <row r="883">
      <c r="A883" s="6" t="s">
        <v>5045</v>
      </c>
      <c r="B883" s="6" t="s">
        <v>35</v>
      </c>
      <c r="C883" s="8">
        <v>45654.0</v>
      </c>
      <c r="D883" s="6" t="s">
        <v>3816</v>
      </c>
      <c r="E883" s="6" t="s">
        <v>5047</v>
      </c>
      <c r="F883" s="10"/>
      <c r="G883" s="6" t="s">
        <v>5048</v>
      </c>
      <c r="H883" s="6" t="s">
        <v>4146</v>
      </c>
      <c r="I883" s="17" t="b">
        <v>1</v>
      </c>
      <c r="J883" s="6" t="s">
        <v>546</v>
      </c>
      <c r="K883" s="10"/>
      <c r="L883" s="10"/>
      <c r="M883" s="10"/>
      <c r="N883" s="10"/>
      <c r="O883" s="18">
        <v>14.36</v>
      </c>
      <c r="P883" s="18">
        <v>1226451.0</v>
      </c>
      <c r="Q883" s="17" t="b">
        <v>1</v>
      </c>
      <c r="R883" s="10"/>
    </row>
    <row r="884">
      <c r="A884" s="6" t="s">
        <v>5051</v>
      </c>
      <c r="B884" s="6" t="s">
        <v>35</v>
      </c>
      <c r="C884" s="8">
        <v>45655.0</v>
      </c>
      <c r="D884" s="6" t="s">
        <v>5053</v>
      </c>
      <c r="E884" s="6" t="s">
        <v>5054</v>
      </c>
      <c r="F884" s="10"/>
      <c r="G884" s="6" t="s">
        <v>5055</v>
      </c>
      <c r="H884" s="6" t="s">
        <v>5057</v>
      </c>
      <c r="I884" s="17" t="b">
        <v>1</v>
      </c>
      <c r="J884" s="6" t="s">
        <v>546</v>
      </c>
      <c r="K884" s="10"/>
      <c r="L884" s="10"/>
      <c r="M884" s="10"/>
      <c r="N884" s="10"/>
      <c r="O884" s="18">
        <v>10.13</v>
      </c>
      <c r="P884" s="18">
        <v>1228022.0</v>
      </c>
      <c r="Q884" s="17" t="b">
        <v>1</v>
      </c>
      <c r="R884" s="10"/>
    </row>
    <row r="885">
      <c r="A885" s="6" t="s">
        <v>5060</v>
      </c>
      <c r="B885" s="6" t="s">
        <v>35</v>
      </c>
      <c r="C885" s="8">
        <v>45656.0</v>
      </c>
      <c r="D885" s="6" t="s">
        <v>890</v>
      </c>
      <c r="E885" s="6" t="s">
        <v>5062</v>
      </c>
      <c r="F885" s="25"/>
      <c r="G885" s="6" t="s">
        <v>5066</v>
      </c>
      <c r="H885" s="6" t="s">
        <v>5067</v>
      </c>
      <c r="I885" s="17" t="b">
        <v>0</v>
      </c>
      <c r="J885" s="6" t="s">
        <v>546</v>
      </c>
      <c r="K885" s="10"/>
      <c r="L885" s="6" t="s">
        <v>5070</v>
      </c>
      <c r="M885" s="10"/>
      <c r="N885" s="10"/>
      <c r="O885" s="18">
        <v>6892.82</v>
      </c>
      <c r="P885" s="10"/>
      <c r="Q885" s="17" t="b">
        <v>1</v>
      </c>
      <c r="R885" s="10"/>
    </row>
    <row r="886">
      <c r="A886" s="6" t="s">
        <v>5073</v>
      </c>
      <c r="B886" s="6" t="s">
        <v>35</v>
      </c>
      <c r="C886" s="8">
        <v>45658.0</v>
      </c>
      <c r="D886" s="6" t="s">
        <v>5053</v>
      </c>
      <c r="E886" s="6" t="s">
        <v>5075</v>
      </c>
      <c r="F886" s="25"/>
      <c r="G886" s="6" t="s">
        <v>5077</v>
      </c>
      <c r="H886" s="6" t="s">
        <v>4248</v>
      </c>
      <c r="I886" s="17" t="b">
        <v>1</v>
      </c>
      <c r="J886" s="6" t="s">
        <v>546</v>
      </c>
      <c r="K886" s="10"/>
      <c r="L886" s="10"/>
      <c r="M886" s="10"/>
      <c r="N886" s="10"/>
      <c r="O886" s="18">
        <v>56.19</v>
      </c>
      <c r="P886" s="18">
        <v>1232941.0</v>
      </c>
      <c r="Q886" s="17" t="b">
        <v>1</v>
      </c>
      <c r="R886" s="10"/>
    </row>
    <row r="887">
      <c r="A887" s="6" t="s">
        <v>5081</v>
      </c>
      <c r="B887" s="6" t="s">
        <v>35</v>
      </c>
      <c r="C887" s="8">
        <v>45659.0</v>
      </c>
      <c r="D887" s="6" t="s">
        <v>543</v>
      </c>
      <c r="E887" s="6" t="s">
        <v>5087</v>
      </c>
      <c r="F887" s="10"/>
      <c r="G887" s="6" t="s">
        <v>5088</v>
      </c>
      <c r="H887" s="6" t="s">
        <v>171</v>
      </c>
      <c r="I887" s="17" t="b">
        <v>0</v>
      </c>
      <c r="J887" s="6" t="s">
        <v>546</v>
      </c>
      <c r="K887" s="10"/>
      <c r="L887" s="10"/>
      <c r="M887" s="10"/>
      <c r="N887" s="10"/>
      <c r="O887" s="18">
        <v>200.0</v>
      </c>
      <c r="P887" s="10"/>
      <c r="Q887" s="17" t="b">
        <v>1</v>
      </c>
      <c r="R887" s="10"/>
    </row>
    <row r="888">
      <c r="A888" s="6" t="s">
        <v>5093</v>
      </c>
      <c r="B888" s="6" t="s">
        <v>35</v>
      </c>
      <c r="C888" s="8">
        <v>45659.0</v>
      </c>
      <c r="D888" s="6" t="s">
        <v>112</v>
      </c>
      <c r="E888" s="6" t="s">
        <v>5095</v>
      </c>
      <c r="F888" s="10"/>
      <c r="G888" s="6" t="s">
        <v>5096</v>
      </c>
      <c r="H888" s="6" t="s">
        <v>157</v>
      </c>
      <c r="I888" s="17" t="b">
        <v>0</v>
      </c>
      <c r="J888" s="6" t="s">
        <v>546</v>
      </c>
      <c r="K888" s="10"/>
      <c r="L888" s="10"/>
      <c r="M888" s="10"/>
      <c r="N888" s="10"/>
      <c r="O888" s="18">
        <v>267.43</v>
      </c>
      <c r="P888" s="10"/>
      <c r="Q888" s="17" t="b">
        <v>1</v>
      </c>
      <c r="R888" s="10"/>
    </row>
    <row r="889">
      <c r="A889" s="6" t="s">
        <v>5100</v>
      </c>
      <c r="B889" s="6" t="s">
        <v>35</v>
      </c>
      <c r="C889" s="8">
        <v>45660.0</v>
      </c>
      <c r="D889" s="6" t="s">
        <v>353</v>
      </c>
      <c r="E889" s="6" t="s">
        <v>5103</v>
      </c>
      <c r="F889" s="10"/>
      <c r="G889" s="6" t="s">
        <v>5104</v>
      </c>
      <c r="H889" s="6" t="s">
        <v>605</v>
      </c>
      <c r="I889" s="17" t="b">
        <v>1</v>
      </c>
      <c r="J889" s="6" t="s">
        <v>546</v>
      </c>
      <c r="K889" s="10"/>
      <c r="L889" s="10"/>
      <c r="M889" s="10"/>
      <c r="N889" s="10"/>
      <c r="O889" s="18">
        <v>162.5</v>
      </c>
      <c r="P889" s="18">
        <v>1236988.0</v>
      </c>
      <c r="Q889" s="17" t="b">
        <v>1</v>
      </c>
      <c r="R889" s="10"/>
    </row>
    <row r="890">
      <c r="A890" s="6" t="s">
        <v>5109</v>
      </c>
      <c r="B890" s="6" t="s">
        <v>35</v>
      </c>
      <c r="C890" s="8">
        <v>45660.0</v>
      </c>
      <c r="D890" s="6" t="s">
        <v>543</v>
      </c>
      <c r="E890" s="6" t="s">
        <v>5111</v>
      </c>
      <c r="F890" s="10"/>
      <c r="G890" s="6" t="s">
        <v>5113</v>
      </c>
      <c r="H890" s="6" t="s">
        <v>171</v>
      </c>
      <c r="I890" s="17" t="b">
        <v>0</v>
      </c>
      <c r="J890" s="6" t="s">
        <v>546</v>
      </c>
      <c r="K890" s="10"/>
      <c r="L890" s="10"/>
      <c r="M890" s="10"/>
      <c r="N890" s="10"/>
      <c r="O890" s="18">
        <v>500.0</v>
      </c>
      <c r="P890" s="10"/>
      <c r="Q890" s="17" t="b">
        <v>1</v>
      </c>
      <c r="R890" s="10"/>
    </row>
    <row r="891">
      <c r="A891" s="6" t="s">
        <v>5116</v>
      </c>
      <c r="B891" s="6" t="s">
        <v>35</v>
      </c>
      <c r="C891" s="8">
        <v>45660.0</v>
      </c>
      <c r="D891" s="6" t="s">
        <v>112</v>
      </c>
      <c r="E891" s="6" t="s">
        <v>5118</v>
      </c>
      <c r="F891" s="10"/>
      <c r="G891" s="6" t="s">
        <v>5119</v>
      </c>
      <c r="H891" s="6" t="s">
        <v>157</v>
      </c>
      <c r="I891" s="17" t="b">
        <v>0</v>
      </c>
      <c r="J891" s="6" t="s">
        <v>546</v>
      </c>
      <c r="K891" s="10"/>
      <c r="L891" s="10"/>
      <c r="M891" s="10"/>
      <c r="N891" s="10"/>
      <c r="O891" s="18">
        <v>493.86</v>
      </c>
      <c r="P891" s="10"/>
      <c r="Q891" s="17" t="b">
        <v>1</v>
      </c>
      <c r="R891" s="10"/>
    </row>
    <row r="892">
      <c r="A892" s="6" t="s">
        <v>5123</v>
      </c>
      <c r="B892" s="6" t="s">
        <v>35</v>
      </c>
      <c r="C892" s="8">
        <v>45661.0</v>
      </c>
      <c r="D892" s="6" t="s">
        <v>112</v>
      </c>
      <c r="E892" s="6" t="s">
        <v>5126</v>
      </c>
      <c r="F892" s="10"/>
      <c r="G892" s="6" t="s">
        <v>5127</v>
      </c>
      <c r="H892" s="6" t="s">
        <v>157</v>
      </c>
      <c r="I892" s="17" t="b">
        <v>0</v>
      </c>
      <c r="J892" s="6" t="s">
        <v>546</v>
      </c>
      <c r="K892" s="10"/>
      <c r="L892" s="10"/>
      <c r="M892" s="10"/>
      <c r="N892" s="10"/>
      <c r="O892" s="18">
        <v>204.85</v>
      </c>
      <c r="P892" s="10"/>
      <c r="Q892" s="17" t="b">
        <v>1</v>
      </c>
      <c r="R892" s="10"/>
    </row>
    <row r="893">
      <c r="A893" s="6" t="s">
        <v>5131</v>
      </c>
      <c r="B893" s="6" t="s">
        <v>35</v>
      </c>
      <c r="C893" s="8">
        <v>45662.0</v>
      </c>
      <c r="D893" s="6" t="s">
        <v>2439</v>
      </c>
      <c r="E893" s="6" t="s">
        <v>5134</v>
      </c>
      <c r="F893" s="10"/>
      <c r="G893" s="6" t="s">
        <v>5135</v>
      </c>
      <c r="H893" s="6" t="s">
        <v>5136</v>
      </c>
      <c r="I893" s="17" t="b">
        <v>0</v>
      </c>
      <c r="J893" s="6" t="s">
        <v>546</v>
      </c>
      <c r="K893" s="10"/>
      <c r="L893" s="10"/>
      <c r="M893" s="10"/>
      <c r="N893" s="10"/>
      <c r="O893" s="18">
        <v>296.36</v>
      </c>
      <c r="P893" s="10"/>
      <c r="Q893" s="17" t="b">
        <v>1</v>
      </c>
      <c r="R893" s="10"/>
    </row>
    <row r="894">
      <c r="A894" s="6" t="s">
        <v>5141</v>
      </c>
      <c r="B894" s="6" t="s">
        <v>35</v>
      </c>
      <c r="C894" s="8">
        <v>45662.0</v>
      </c>
      <c r="D894" s="6" t="s">
        <v>1557</v>
      </c>
      <c r="E894" s="6" t="s">
        <v>5143</v>
      </c>
      <c r="F894" s="10"/>
      <c r="G894" s="6" t="s">
        <v>5145</v>
      </c>
      <c r="H894" s="6" t="s">
        <v>3903</v>
      </c>
      <c r="I894" s="17" t="b">
        <v>0</v>
      </c>
      <c r="J894" s="6" t="s">
        <v>546</v>
      </c>
      <c r="K894" s="10"/>
      <c r="L894" s="10"/>
      <c r="M894" s="10"/>
      <c r="N894" s="10"/>
      <c r="O894" s="18">
        <v>110.0</v>
      </c>
      <c r="P894" s="10"/>
      <c r="Q894" s="17" t="b">
        <v>1</v>
      </c>
      <c r="R894" s="10"/>
    </row>
    <row r="895">
      <c r="A895" s="6" t="s">
        <v>5148</v>
      </c>
      <c r="B895" s="6" t="s">
        <v>35</v>
      </c>
      <c r="C895" s="8">
        <v>45663.0</v>
      </c>
      <c r="D895" s="6" t="s">
        <v>543</v>
      </c>
      <c r="E895" s="6" t="s">
        <v>5151</v>
      </c>
      <c r="F895" s="10"/>
      <c r="G895" s="6" t="s">
        <v>5152</v>
      </c>
      <c r="H895" s="6" t="s">
        <v>171</v>
      </c>
      <c r="I895" s="17" t="b">
        <v>0</v>
      </c>
      <c r="J895" s="6" t="s">
        <v>546</v>
      </c>
      <c r="K895" s="10"/>
      <c r="L895" s="10"/>
      <c r="M895" s="10"/>
      <c r="N895" s="10"/>
      <c r="O895" s="18">
        <v>500.0</v>
      </c>
      <c r="P895" s="10"/>
      <c r="Q895" s="17" t="b">
        <v>1</v>
      </c>
      <c r="R895" s="10"/>
    </row>
    <row r="896">
      <c r="A896" s="6" t="s">
        <v>5156</v>
      </c>
      <c r="B896" s="6" t="s">
        <v>35</v>
      </c>
      <c r="C896" s="8">
        <v>45665.0</v>
      </c>
      <c r="D896" s="10"/>
      <c r="E896" s="10"/>
      <c r="F896" s="10"/>
      <c r="G896" s="10"/>
      <c r="H896" s="6" t="s">
        <v>5159</v>
      </c>
      <c r="I896" s="10"/>
      <c r="J896" s="6" t="s">
        <v>539</v>
      </c>
      <c r="K896" s="6" t="s">
        <v>658</v>
      </c>
      <c r="L896" s="10"/>
      <c r="M896" s="10"/>
      <c r="N896" s="10"/>
      <c r="O896" s="18">
        <v>1230.21</v>
      </c>
      <c r="P896" s="10"/>
      <c r="Q896" s="6"/>
      <c r="R896" s="10"/>
    </row>
    <row r="897">
      <c r="A897" s="6" t="s">
        <v>5163</v>
      </c>
      <c r="B897" s="6" t="s">
        <v>35</v>
      </c>
      <c r="C897" s="8">
        <v>45665.0</v>
      </c>
      <c r="D897" s="10"/>
      <c r="E897" s="10"/>
      <c r="F897" s="10"/>
      <c r="G897" s="10"/>
      <c r="H897" s="6" t="s">
        <v>5159</v>
      </c>
      <c r="I897" s="10"/>
      <c r="J897" s="6" t="s">
        <v>539</v>
      </c>
      <c r="K897" s="6" t="s">
        <v>117</v>
      </c>
      <c r="L897" s="10"/>
      <c r="M897" s="10"/>
      <c r="N897" s="10"/>
      <c r="O897" s="18">
        <v>1232.92</v>
      </c>
      <c r="P897" s="10"/>
      <c r="Q897" s="6"/>
      <c r="R897" s="10"/>
    </row>
    <row r="898">
      <c r="A898" s="6" t="s">
        <v>5169</v>
      </c>
      <c r="B898" s="6" t="s">
        <v>35</v>
      </c>
      <c r="C898" s="8">
        <v>45665.0</v>
      </c>
      <c r="D898" s="10"/>
      <c r="E898" s="10"/>
      <c r="F898" s="10"/>
      <c r="G898" s="10"/>
      <c r="H898" s="6" t="s">
        <v>5159</v>
      </c>
      <c r="I898" s="10"/>
      <c r="J898" s="6" t="s">
        <v>539</v>
      </c>
      <c r="K898" s="6" t="s">
        <v>2052</v>
      </c>
      <c r="L898" s="10"/>
      <c r="M898" s="10"/>
      <c r="N898" s="10"/>
      <c r="O898" s="18">
        <v>2160.18</v>
      </c>
      <c r="P898" s="10"/>
      <c r="Q898" s="6"/>
      <c r="R898" s="10"/>
    </row>
    <row r="899">
      <c r="A899" s="6" t="s">
        <v>5177</v>
      </c>
      <c r="B899" s="6" t="s">
        <v>35</v>
      </c>
      <c r="C899" s="8">
        <v>45665.0</v>
      </c>
      <c r="D899" s="10"/>
      <c r="E899" s="10"/>
      <c r="F899" s="10"/>
      <c r="G899" s="10"/>
      <c r="H899" s="6" t="s">
        <v>5159</v>
      </c>
      <c r="I899" s="10"/>
      <c r="J899" s="6" t="s">
        <v>539</v>
      </c>
      <c r="K899" s="6" t="s">
        <v>227</v>
      </c>
      <c r="L899" s="10"/>
      <c r="M899" s="10"/>
      <c r="N899" s="10"/>
      <c r="O899" s="18">
        <v>2190.74</v>
      </c>
      <c r="P899" s="10"/>
      <c r="Q899" s="6"/>
      <c r="R899" s="10"/>
    </row>
    <row r="900">
      <c r="A900" s="6" t="s">
        <v>5181</v>
      </c>
      <c r="B900" s="6" t="s">
        <v>35</v>
      </c>
      <c r="C900" s="8">
        <v>45665.0</v>
      </c>
      <c r="D900" s="10"/>
      <c r="E900" s="10"/>
      <c r="F900" s="10"/>
      <c r="G900" s="10"/>
      <c r="H900" s="6" t="s">
        <v>5159</v>
      </c>
      <c r="I900" s="10"/>
      <c r="J900" s="6" t="s">
        <v>539</v>
      </c>
      <c r="K900" s="6" t="s">
        <v>624</v>
      </c>
      <c r="L900" s="10"/>
      <c r="M900" s="10"/>
      <c r="N900" s="10"/>
      <c r="O900" s="18">
        <v>2686.84</v>
      </c>
      <c r="P900" s="10"/>
      <c r="Q900" s="6"/>
      <c r="R900" s="10"/>
    </row>
    <row r="901">
      <c r="A901" s="6" t="s">
        <v>5185</v>
      </c>
      <c r="B901" s="6" t="s">
        <v>35</v>
      </c>
      <c r="C901" s="8">
        <v>45665.0</v>
      </c>
      <c r="D901" s="6" t="s">
        <v>460</v>
      </c>
      <c r="E901" s="10"/>
      <c r="F901" s="10"/>
      <c r="G901" s="10"/>
      <c r="H901" s="6" t="s">
        <v>5188</v>
      </c>
      <c r="I901" s="10"/>
      <c r="J901" s="6" t="s">
        <v>539</v>
      </c>
      <c r="K901" s="10"/>
      <c r="L901" s="10"/>
      <c r="M901" s="10"/>
      <c r="N901" s="10"/>
      <c r="O901" s="18">
        <v>92.0</v>
      </c>
      <c r="P901" s="10"/>
      <c r="Q901" s="6"/>
      <c r="R901" s="10"/>
    </row>
    <row r="902">
      <c r="A902" s="6" t="s">
        <v>5191</v>
      </c>
      <c r="B902" s="6" t="s">
        <v>35</v>
      </c>
      <c r="C902" s="8">
        <v>45665.0</v>
      </c>
      <c r="D902" s="6" t="s">
        <v>460</v>
      </c>
      <c r="E902" s="10"/>
      <c r="F902" s="10"/>
      <c r="G902" s="10"/>
      <c r="H902" s="6" t="s">
        <v>5194</v>
      </c>
      <c r="I902" s="10"/>
      <c r="J902" s="6" t="s">
        <v>539</v>
      </c>
      <c r="K902" s="10"/>
      <c r="L902" s="10"/>
      <c r="M902" s="10"/>
      <c r="N902" s="10"/>
      <c r="O902" s="18">
        <v>200.0</v>
      </c>
      <c r="P902" s="10"/>
      <c r="Q902" s="6"/>
      <c r="R902" s="10"/>
    </row>
    <row r="903">
      <c r="A903" s="6" t="s">
        <v>5198</v>
      </c>
      <c r="B903" s="6" t="s">
        <v>35</v>
      </c>
      <c r="C903" s="8">
        <v>45665.0</v>
      </c>
      <c r="D903" s="10"/>
      <c r="E903" s="10"/>
      <c r="F903" s="10"/>
      <c r="G903" s="10"/>
      <c r="H903" s="8">
        <v>45665.0</v>
      </c>
      <c r="I903" s="10"/>
      <c r="J903" s="6" t="s">
        <v>539</v>
      </c>
      <c r="K903" s="6" t="s">
        <v>682</v>
      </c>
      <c r="L903" s="10"/>
      <c r="M903" s="10"/>
      <c r="N903" s="10"/>
      <c r="O903" s="18">
        <v>16000.0</v>
      </c>
      <c r="P903" s="10"/>
      <c r="Q903" s="6"/>
      <c r="R903" s="10"/>
    </row>
    <row r="904">
      <c r="A904" s="6" t="s">
        <v>5204</v>
      </c>
      <c r="B904" s="6" t="s">
        <v>35</v>
      </c>
      <c r="C904" s="8">
        <v>45665.0</v>
      </c>
      <c r="D904" s="10"/>
      <c r="E904" s="10"/>
      <c r="F904" s="10"/>
      <c r="G904" s="10"/>
      <c r="H904" s="8">
        <v>45665.0</v>
      </c>
      <c r="I904" s="10"/>
      <c r="J904" s="6" t="s">
        <v>539</v>
      </c>
      <c r="K904" s="6" t="s">
        <v>668</v>
      </c>
      <c r="L904" s="10"/>
      <c r="M904" s="10"/>
      <c r="N904" s="10"/>
      <c r="O904" s="18">
        <v>16000.0</v>
      </c>
      <c r="P904" s="10"/>
      <c r="Q904" s="6"/>
      <c r="R904" s="10"/>
    </row>
    <row r="905">
      <c r="A905" s="6" t="s">
        <v>5210</v>
      </c>
      <c r="B905" s="6" t="s">
        <v>35</v>
      </c>
      <c r="C905" s="8">
        <v>45665.0</v>
      </c>
      <c r="D905" s="10"/>
      <c r="E905" s="10"/>
      <c r="F905" s="10"/>
      <c r="G905" s="10"/>
      <c r="H905" s="8">
        <v>45665.0</v>
      </c>
      <c r="I905" s="10"/>
      <c r="J905" s="6" t="s">
        <v>539</v>
      </c>
      <c r="K905" s="6" t="s">
        <v>671</v>
      </c>
      <c r="L905" s="10"/>
      <c r="M905" s="10"/>
      <c r="N905" s="10"/>
      <c r="O905" s="18">
        <v>16000.0</v>
      </c>
      <c r="P905" s="10"/>
      <c r="Q905" s="6"/>
      <c r="R905" s="10"/>
    </row>
    <row r="906">
      <c r="A906" s="6" t="s">
        <v>5217</v>
      </c>
      <c r="B906" s="6" t="s">
        <v>35</v>
      </c>
      <c r="C906" s="8">
        <v>45665.0</v>
      </c>
      <c r="D906" s="6" t="s">
        <v>5219</v>
      </c>
      <c r="E906" s="10"/>
      <c r="F906" s="10"/>
      <c r="G906" s="10"/>
      <c r="H906" s="6" t="s">
        <v>5220</v>
      </c>
      <c r="I906" s="10"/>
      <c r="J906" s="6" t="s">
        <v>539</v>
      </c>
      <c r="K906" s="10"/>
      <c r="L906" s="10"/>
      <c r="M906" s="10"/>
      <c r="N906" s="10"/>
      <c r="O906" s="18">
        <v>89.9</v>
      </c>
      <c r="P906" s="10"/>
      <c r="Q906" s="6"/>
      <c r="R906" s="10"/>
    </row>
    <row r="907">
      <c r="A907" s="6" t="s">
        <v>5224</v>
      </c>
      <c r="B907" s="6" t="s">
        <v>35</v>
      </c>
      <c r="C907" s="8">
        <v>45665.0</v>
      </c>
      <c r="D907" s="6" t="s">
        <v>890</v>
      </c>
      <c r="E907" s="10"/>
      <c r="F907" s="10"/>
      <c r="G907" s="10"/>
      <c r="H907" s="6" t="s">
        <v>5227</v>
      </c>
      <c r="I907" s="10"/>
      <c r="J907" s="6" t="s">
        <v>539</v>
      </c>
      <c r="K907" s="10"/>
      <c r="L907" s="10"/>
      <c r="M907" s="10"/>
      <c r="N907" s="10"/>
      <c r="O907" s="18">
        <v>6082.0</v>
      </c>
      <c r="P907" s="10"/>
      <c r="Q907" s="6"/>
      <c r="R907" s="10"/>
    </row>
    <row r="908">
      <c r="A908" s="6" t="s">
        <v>5231</v>
      </c>
      <c r="B908" s="6" t="s">
        <v>35</v>
      </c>
      <c r="C908" s="8">
        <v>45665.0</v>
      </c>
      <c r="D908" s="10"/>
      <c r="E908" s="10"/>
      <c r="F908" s="10"/>
      <c r="G908" s="10"/>
      <c r="H908" s="6" t="s">
        <v>5159</v>
      </c>
      <c r="I908" s="10"/>
      <c r="J908" s="6" t="s">
        <v>539</v>
      </c>
      <c r="K908" s="6" t="s">
        <v>3795</v>
      </c>
      <c r="L908" s="10"/>
      <c r="M908" s="10"/>
      <c r="N908" s="10"/>
      <c r="O908" s="18">
        <v>1157.04</v>
      </c>
      <c r="P908" s="10"/>
      <c r="Q908" s="6"/>
      <c r="R908" s="10"/>
    </row>
    <row r="909">
      <c r="A909" s="6" t="s">
        <v>5234</v>
      </c>
      <c r="B909" s="6" t="s">
        <v>35</v>
      </c>
      <c r="C909" s="8">
        <v>45661.0</v>
      </c>
      <c r="D909" s="6" t="s">
        <v>3816</v>
      </c>
      <c r="E909" s="6" t="s">
        <v>5236</v>
      </c>
      <c r="F909" s="10"/>
      <c r="G909" s="6" t="s">
        <v>5237</v>
      </c>
      <c r="H909" s="6" t="s">
        <v>236</v>
      </c>
      <c r="I909" s="17" t="b">
        <v>1</v>
      </c>
      <c r="J909" s="6" t="s">
        <v>546</v>
      </c>
      <c r="K909" s="10"/>
      <c r="L909" s="10"/>
      <c r="M909" s="10"/>
      <c r="N909" s="10"/>
      <c r="O909" s="18">
        <v>72.58</v>
      </c>
      <c r="P909" s="18">
        <v>1238346.0</v>
      </c>
      <c r="Q909" s="17" t="b">
        <v>1</v>
      </c>
      <c r="R909" s="10"/>
    </row>
    <row r="910">
      <c r="A910" s="6" t="s">
        <v>5242</v>
      </c>
      <c r="B910" s="6" t="s">
        <v>35</v>
      </c>
      <c r="C910" s="8">
        <v>45663.0</v>
      </c>
      <c r="D910" s="18">
        <v>6.8893939E7</v>
      </c>
      <c r="E910" s="6" t="s">
        <v>5243</v>
      </c>
      <c r="F910" s="10"/>
      <c r="G910" s="6" t="s">
        <v>5245</v>
      </c>
      <c r="H910" s="6" t="s">
        <v>605</v>
      </c>
      <c r="I910" s="17" t="b">
        <v>0</v>
      </c>
      <c r="J910" s="6" t="s">
        <v>546</v>
      </c>
      <c r="K910" s="10"/>
      <c r="L910" s="10"/>
      <c r="M910" s="10"/>
      <c r="N910" s="10"/>
      <c r="O910" s="18">
        <v>4381.94</v>
      </c>
      <c r="P910" s="10"/>
      <c r="Q910" s="17" t="b">
        <v>1</v>
      </c>
      <c r="R910" s="10"/>
    </row>
    <row r="911">
      <c r="A911" s="6" t="s">
        <v>5250</v>
      </c>
      <c r="B911" s="6" t="s">
        <v>35</v>
      </c>
      <c r="C911" s="8">
        <v>45663.0</v>
      </c>
      <c r="D911" s="6" t="s">
        <v>890</v>
      </c>
      <c r="E911" s="6" t="s">
        <v>5252</v>
      </c>
      <c r="F911" s="10"/>
      <c r="G911" s="6" t="s">
        <v>5253</v>
      </c>
      <c r="H911" s="6" t="s">
        <v>3813</v>
      </c>
      <c r="I911" s="17" t="b">
        <v>0</v>
      </c>
      <c r="J911" s="6" t="s">
        <v>546</v>
      </c>
      <c r="K911" s="10"/>
      <c r="L911" s="10"/>
      <c r="M911" s="10"/>
      <c r="N911" s="10"/>
      <c r="O911" s="18">
        <v>47.37</v>
      </c>
      <c r="P911" s="10"/>
      <c r="Q911" s="17" t="b">
        <v>1</v>
      </c>
      <c r="R911" s="10"/>
    </row>
    <row r="912">
      <c r="A912" s="6" t="s">
        <v>5256</v>
      </c>
      <c r="B912" s="6" t="s">
        <v>35</v>
      </c>
      <c r="C912" s="8">
        <v>45664.0</v>
      </c>
      <c r="D912" s="6" t="s">
        <v>3716</v>
      </c>
      <c r="E912" s="6" t="s">
        <v>5258</v>
      </c>
      <c r="F912" s="10"/>
      <c r="G912" s="6" t="s">
        <v>5259</v>
      </c>
      <c r="H912" s="6" t="s">
        <v>195</v>
      </c>
      <c r="I912" s="17" t="b">
        <v>1</v>
      </c>
      <c r="J912" s="6" t="s">
        <v>546</v>
      </c>
      <c r="K912" s="10"/>
      <c r="L912" s="10"/>
      <c r="M912" s="10"/>
      <c r="N912" s="10"/>
      <c r="O912" s="18">
        <v>208.5</v>
      </c>
      <c r="P912" s="18">
        <v>1244921.0</v>
      </c>
      <c r="Q912" s="17" t="b">
        <v>1</v>
      </c>
      <c r="R912" s="10"/>
    </row>
    <row r="913">
      <c r="A913" s="6" t="s">
        <v>5262</v>
      </c>
      <c r="B913" s="6" t="s">
        <v>35</v>
      </c>
      <c r="C913" s="8">
        <v>45665.0</v>
      </c>
      <c r="D913" s="6" t="s">
        <v>112</v>
      </c>
      <c r="E913" s="6" t="s">
        <v>5264</v>
      </c>
      <c r="F913" s="10"/>
      <c r="G913" s="6" t="s">
        <v>5265</v>
      </c>
      <c r="H913" s="6" t="s">
        <v>157</v>
      </c>
      <c r="I913" s="17" t="b">
        <v>0</v>
      </c>
      <c r="J913" s="6" t="s">
        <v>546</v>
      </c>
      <c r="K913" s="10"/>
      <c r="L913" s="10"/>
      <c r="M913" s="10"/>
      <c r="N913" s="10"/>
      <c r="O913" s="18">
        <v>268.08</v>
      </c>
      <c r="P913" s="10"/>
      <c r="Q913" s="17" t="b">
        <v>1</v>
      </c>
      <c r="R913" s="10"/>
    </row>
    <row r="914">
      <c r="A914" s="6" t="s">
        <v>5268</v>
      </c>
      <c r="B914" s="6" t="s">
        <v>35</v>
      </c>
      <c r="C914" s="8">
        <v>45665.0</v>
      </c>
      <c r="D914" s="6" t="s">
        <v>145</v>
      </c>
      <c r="E914" s="6" t="s">
        <v>5270</v>
      </c>
      <c r="F914" s="10"/>
      <c r="G914" s="6" t="s">
        <v>5271</v>
      </c>
      <c r="H914" s="6" t="s">
        <v>3627</v>
      </c>
      <c r="I914" s="17" t="b">
        <v>0</v>
      </c>
      <c r="J914" s="6" t="s">
        <v>546</v>
      </c>
      <c r="K914" s="10"/>
      <c r="L914" s="10"/>
      <c r="M914" s="10"/>
      <c r="N914" s="10"/>
      <c r="O914" s="18">
        <v>367.0</v>
      </c>
      <c r="P914" s="10"/>
      <c r="Q914" s="17" t="b">
        <v>1</v>
      </c>
      <c r="R914" s="10"/>
    </row>
    <row r="915">
      <c r="A915" s="6" t="s">
        <v>5274</v>
      </c>
      <c r="B915" s="6" t="s">
        <v>35</v>
      </c>
      <c r="C915" s="8">
        <v>45664.0</v>
      </c>
      <c r="D915" s="6" t="s">
        <v>764</v>
      </c>
      <c r="E915" s="6" t="s">
        <v>5276</v>
      </c>
      <c r="F915" s="10"/>
      <c r="G915" s="6" t="s">
        <v>5277</v>
      </c>
      <c r="H915" s="6" t="s">
        <v>195</v>
      </c>
      <c r="I915" s="17" t="b">
        <v>0</v>
      </c>
      <c r="J915" s="6" t="s">
        <v>546</v>
      </c>
      <c r="K915" s="10"/>
      <c r="L915" s="6" t="s">
        <v>5279</v>
      </c>
      <c r="M915" s="10"/>
      <c r="N915" s="10"/>
      <c r="O915" s="18">
        <v>1381.25</v>
      </c>
      <c r="P915" s="10"/>
      <c r="Q915" s="17" t="b">
        <v>1</v>
      </c>
      <c r="R915" s="10"/>
    </row>
    <row r="916">
      <c r="A916" s="6" t="s">
        <v>5281</v>
      </c>
      <c r="B916" s="6" t="s">
        <v>35</v>
      </c>
      <c r="C916" s="8">
        <v>45669.0</v>
      </c>
      <c r="D916" s="6" t="s">
        <v>890</v>
      </c>
      <c r="E916" s="10"/>
      <c r="F916" s="10"/>
      <c r="G916" s="10"/>
      <c r="H916" s="6" t="s">
        <v>5283</v>
      </c>
      <c r="I916" s="10"/>
      <c r="J916" s="6" t="s">
        <v>539</v>
      </c>
      <c r="K916" s="10"/>
      <c r="L916" s="10"/>
      <c r="M916" s="10"/>
      <c r="N916" s="10"/>
      <c r="O916" s="18">
        <v>20233.67</v>
      </c>
      <c r="P916" s="10"/>
      <c r="Q916" s="6"/>
      <c r="R916" s="10"/>
    </row>
    <row r="917">
      <c r="A917" s="6" t="s">
        <v>5285</v>
      </c>
      <c r="B917" s="6" t="s">
        <v>35</v>
      </c>
      <c r="C917" s="8">
        <v>45669.0</v>
      </c>
      <c r="D917" s="6" t="s">
        <v>2248</v>
      </c>
      <c r="E917" s="10"/>
      <c r="F917" s="10"/>
      <c r="G917" s="10"/>
      <c r="H917" s="6" t="s">
        <v>2549</v>
      </c>
      <c r="I917" s="10"/>
      <c r="J917" s="6" t="s">
        <v>539</v>
      </c>
      <c r="K917" s="10"/>
      <c r="L917" s="10"/>
      <c r="M917" s="10"/>
      <c r="N917" s="10"/>
      <c r="O917" s="18">
        <v>353.53</v>
      </c>
      <c r="P917" s="10"/>
      <c r="Q917" s="6"/>
      <c r="R917" s="10"/>
    </row>
    <row r="918">
      <c r="A918" s="6" t="s">
        <v>5290</v>
      </c>
      <c r="B918" s="6" t="s">
        <v>35</v>
      </c>
      <c r="C918" s="8">
        <v>45669.0</v>
      </c>
      <c r="D918" s="6" t="s">
        <v>890</v>
      </c>
      <c r="E918" s="10"/>
      <c r="F918" s="10"/>
      <c r="G918" s="10"/>
      <c r="H918" s="6" t="s">
        <v>4010</v>
      </c>
      <c r="I918" s="10"/>
      <c r="J918" s="6" t="s">
        <v>539</v>
      </c>
      <c r="K918" s="10"/>
      <c r="L918" s="10"/>
      <c r="M918" s="10"/>
      <c r="N918" s="10"/>
      <c r="O918" s="18">
        <v>250.0</v>
      </c>
      <c r="P918" s="10"/>
      <c r="Q918" s="6"/>
      <c r="R918" s="10"/>
    </row>
    <row r="919">
      <c r="A919" s="6" t="s">
        <v>5295</v>
      </c>
      <c r="B919" s="6" t="s">
        <v>35</v>
      </c>
      <c r="C919" s="8">
        <v>45665.0</v>
      </c>
      <c r="D919" s="6" t="s">
        <v>286</v>
      </c>
      <c r="E919" s="6" t="s">
        <v>5297</v>
      </c>
      <c r="F919" s="10"/>
      <c r="G919" s="6" t="s">
        <v>5299</v>
      </c>
      <c r="H919" s="6" t="s">
        <v>5300</v>
      </c>
      <c r="I919" s="17" t="b">
        <v>1</v>
      </c>
      <c r="J919" s="6" t="s">
        <v>546</v>
      </c>
      <c r="K919" s="10"/>
      <c r="L919" s="10"/>
      <c r="M919" s="10"/>
      <c r="N919" s="10"/>
      <c r="O919" s="18">
        <v>47.2</v>
      </c>
      <c r="P919" s="18">
        <v>1247464.0</v>
      </c>
      <c r="Q919" s="17" t="b">
        <v>1</v>
      </c>
      <c r="R919" s="10"/>
    </row>
    <row r="920">
      <c r="A920" s="6" t="s">
        <v>5303</v>
      </c>
      <c r="B920" s="6" t="s">
        <v>35</v>
      </c>
      <c r="C920" s="8">
        <v>45665.0</v>
      </c>
      <c r="D920" s="18">
        <v>2.6065919E7</v>
      </c>
      <c r="E920" s="6" t="s">
        <v>5305</v>
      </c>
      <c r="F920" s="10"/>
      <c r="G920" s="6" t="s">
        <v>5306</v>
      </c>
      <c r="H920" s="6" t="s">
        <v>5308</v>
      </c>
      <c r="I920" s="17" t="b">
        <v>1</v>
      </c>
      <c r="J920" s="6" t="s">
        <v>546</v>
      </c>
      <c r="K920" s="10"/>
      <c r="L920" s="10"/>
      <c r="M920" s="10"/>
      <c r="N920" s="10"/>
      <c r="O920" s="18">
        <v>108.0</v>
      </c>
      <c r="P920" s="18">
        <v>1247464.0</v>
      </c>
      <c r="Q920" s="17" t="b">
        <v>1</v>
      </c>
      <c r="R920" s="10"/>
    </row>
    <row r="921">
      <c r="A921" s="6" t="s">
        <v>5311</v>
      </c>
      <c r="B921" s="6" t="s">
        <v>35</v>
      </c>
      <c r="C921" s="8">
        <v>45667.0</v>
      </c>
      <c r="D921" s="6" t="s">
        <v>122</v>
      </c>
      <c r="E921" s="6" t="s">
        <v>5313</v>
      </c>
      <c r="F921" s="10"/>
      <c r="G921" s="6" t="s">
        <v>5315</v>
      </c>
      <c r="H921" s="6" t="s">
        <v>482</v>
      </c>
      <c r="I921" s="17" t="b">
        <v>1</v>
      </c>
      <c r="J921" s="6" t="s">
        <v>546</v>
      </c>
      <c r="K921" s="10"/>
      <c r="L921" s="10"/>
      <c r="M921" s="10"/>
      <c r="N921" s="10"/>
      <c r="O921" s="18">
        <v>141.54</v>
      </c>
      <c r="P921" s="18">
        <v>1250767.0</v>
      </c>
      <c r="Q921" s="17" t="b">
        <v>1</v>
      </c>
      <c r="R921" s="10"/>
    </row>
    <row r="922">
      <c r="A922" s="6" t="s">
        <v>5319</v>
      </c>
      <c r="B922" s="6" t="s">
        <v>35</v>
      </c>
      <c r="C922" s="8">
        <v>45667.0</v>
      </c>
      <c r="D922" s="6" t="s">
        <v>543</v>
      </c>
      <c r="E922" s="6" t="s">
        <v>5321</v>
      </c>
      <c r="F922" s="10"/>
      <c r="G922" s="6" t="s">
        <v>5323</v>
      </c>
      <c r="H922" s="6" t="s">
        <v>171</v>
      </c>
      <c r="I922" s="17" t="b">
        <v>0</v>
      </c>
      <c r="J922" s="6" t="s">
        <v>546</v>
      </c>
      <c r="K922" s="10"/>
      <c r="L922" s="10"/>
      <c r="M922" s="10"/>
      <c r="N922" s="10"/>
      <c r="O922" s="18">
        <v>625.0</v>
      </c>
      <c r="P922" s="10"/>
      <c r="Q922" s="17" t="b">
        <v>1</v>
      </c>
      <c r="R922" s="10"/>
    </row>
    <row r="923">
      <c r="A923" s="6" t="s">
        <v>5328</v>
      </c>
      <c r="B923" s="6" t="s">
        <v>35</v>
      </c>
      <c r="C923" s="8">
        <v>45667.0</v>
      </c>
      <c r="D923" s="6" t="s">
        <v>112</v>
      </c>
      <c r="E923" s="6" t="s">
        <v>5330</v>
      </c>
      <c r="F923" s="10"/>
      <c r="G923" s="6" t="s">
        <v>5332</v>
      </c>
      <c r="H923" s="6" t="s">
        <v>157</v>
      </c>
      <c r="I923" s="17" t="b">
        <v>0</v>
      </c>
      <c r="J923" s="6" t="s">
        <v>546</v>
      </c>
      <c r="K923" s="10"/>
      <c r="L923" s="10"/>
      <c r="M923" s="10"/>
      <c r="N923" s="10"/>
      <c r="O923" s="18">
        <v>433.33</v>
      </c>
      <c r="P923" s="10"/>
      <c r="Q923" s="17" t="b">
        <v>1</v>
      </c>
      <c r="R923" s="10"/>
    </row>
    <row r="924">
      <c r="A924" s="6" t="s">
        <v>5336</v>
      </c>
      <c r="B924" s="6" t="s">
        <v>35</v>
      </c>
      <c r="C924" s="8">
        <v>45668.0</v>
      </c>
      <c r="D924" s="6" t="s">
        <v>1918</v>
      </c>
      <c r="E924" s="6" t="s">
        <v>5338</v>
      </c>
      <c r="F924" s="10"/>
      <c r="G924" s="6" t="s">
        <v>5340</v>
      </c>
      <c r="H924" s="6" t="s">
        <v>5341</v>
      </c>
      <c r="I924" s="17" t="b">
        <v>1</v>
      </c>
      <c r="J924" s="6" t="s">
        <v>546</v>
      </c>
      <c r="K924" s="10"/>
      <c r="L924" s="10"/>
      <c r="M924" s="10"/>
      <c r="N924" s="10"/>
      <c r="O924" s="18">
        <v>18.9</v>
      </c>
      <c r="P924" s="18">
        <v>1252798.0</v>
      </c>
      <c r="Q924" s="17" t="b">
        <v>1</v>
      </c>
      <c r="R924" s="10"/>
    </row>
    <row r="925">
      <c r="A925" s="6" t="s">
        <v>5345</v>
      </c>
      <c r="B925" s="6" t="s">
        <v>35</v>
      </c>
      <c r="C925" s="8">
        <v>45666.0</v>
      </c>
      <c r="D925" s="18">
        <v>6.8893939E7</v>
      </c>
      <c r="E925" s="6" t="s">
        <v>5347</v>
      </c>
      <c r="F925" s="10"/>
      <c r="G925" s="6" t="s">
        <v>5348</v>
      </c>
      <c r="H925" s="6" t="s">
        <v>605</v>
      </c>
      <c r="I925" s="17" t="b">
        <v>0</v>
      </c>
      <c r="J925" s="6" t="s">
        <v>546</v>
      </c>
      <c r="K925" s="10"/>
      <c r="L925" s="10"/>
      <c r="M925" s="10"/>
      <c r="N925" s="10"/>
      <c r="O925" s="18">
        <v>2589.53</v>
      </c>
      <c r="P925" s="10"/>
      <c r="Q925" s="17" t="b">
        <v>1</v>
      </c>
      <c r="R925" s="10"/>
    </row>
    <row r="926">
      <c r="A926" s="6" t="s">
        <v>5353</v>
      </c>
      <c r="B926" s="6" t="s">
        <v>35</v>
      </c>
      <c r="C926" s="8">
        <v>45666.0</v>
      </c>
      <c r="D926" s="6" t="s">
        <v>890</v>
      </c>
      <c r="E926" s="6" t="s">
        <v>5355</v>
      </c>
      <c r="F926" s="10"/>
      <c r="G926" s="6" t="s">
        <v>5356</v>
      </c>
      <c r="H926" s="6" t="s">
        <v>5358</v>
      </c>
      <c r="I926" s="17" t="b">
        <v>0</v>
      </c>
      <c r="J926" s="6" t="s">
        <v>546</v>
      </c>
      <c r="K926" s="10"/>
      <c r="L926" s="10"/>
      <c r="M926" s="10"/>
      <c r="N926" s="10"/>
      <c r="O926" s="18">
        <v>157.84</v>
      </c>
      <c r="P926" s="10"/>
      <c r="Q926" s="17" t="b">
        <v>1</v>
      </c>
      <c r="R926" s="10"/>
    </row>
    <row r="927">
      <c r="A927" s="6" t="s">
        <v>5361</v>
      </c>
      <c r="B927" s="6" t="s">
        <v>35</v>
      </c>
      <c r="C927" s="8">
        <v>45670.0</v>
      </c>
      <c r="D927" s="6" t="s">
        <v>543</v>
      </c>
      <c r="E927" s="6" t="s">
        <v>5363</v>
      </c>
      <c r="F927" s="10"/>
      <c r="G927" s="6" t="s">
        <v>5365</v>
      </c>
      <c r="H927" s="6" t="s">
        <v>171</v>
      </c>
      <c r="I927" s="17" t="b">
        <v>0</v>
      </c>
      <c r="J927" s="6" t="s">
        <v>546</v>
      </c>
      <c r="K927" s="10"/>
      <c r="L927" s="10"/>
      <c r="M927" s="10"/>
      <c r="N927" s="10"/>
      <c r="O927" s="18">
        <v>500.0</v>
      </c>
      <c r="P927" s="10"/>
      <c r="Q927" s="17" t="b">
        <v>1</v>
      </c>
      <c r="R927" s="10"/>
    </row>
    <row r="928">
      <c r="A928" s="6" t="s">
        <v>5369</v>
      </c>
      <c r="B928" s="6" t="s">
        <v>35</v>
      </c>
      <c r="C928" s="8">
        <v>45670.0</v>
      </c>
      <c r="D928" s="18">
        <v>2.6065919E7</v>
      </c>
      <c r="E928" s="6" t="s">
        <v>5370</v>
      </c>
      <c r="F928" s="10"/>
      <c r="G928" s="6" t="s">
        <v>5372</v>
      </c>
      <c r="H928" s="6" t="s">
        <v>5373</v>
      </c>
      <c r="I928" s="17" t="b">
        <v>1</v>
      </c>
      <c r="J928" s="6" t="s">
        <v>546</v>
      </c>
      <c r="K928" s="10"/>
      <c r="L928" s="10"/>
      <c r="M928" s="10"/>
      <c r="N928" s="10"/>
      <c r="O928" s="18">
        <v>229.0</v>
      </c>
      <c r="P928" s="18">
        <v>1257456.0</v>
      </c>
      <c r="Q928" s="17" t="b">
        <v>1</v>
      </c>
      <c r="R928" s="10"/>
    </row>
    <row r="929">
      <c r="A929" s="6" t="s">
        <v>5376</v>
      </c>
      <c r="B929" s="6" t="s">
        <v>35</v>
      </c>
      <c r="C929" s="8">
        <v>45670.0</v>
      </c>
      <c r="D929" s="6" t="s">
        <v>1414</v>
      </c>
      <c r="E929" s="6" t="s">
        <v>5379</v>
      </c>
      <c r="F929" s="10"/>
      <c r="G929" s="6" t="s">
        <v>5380</v>
      </c>
      <c r="H929" s="6" t="s">
        <v>5382</v>
      </c>
      <c r="I929" s="17" t="b">
        <v>1</v>
      </c>
      <c r="J929" s="6" t="s">
        <v>546</v>
      </c>
      <c r="K929" s="10"/>
      <c r="L929" s="10"/>
      <c r="M929" s="10"/>
      <c r="N929" s="10"/>
      <c r="O929" s="18">
        <v>100.0</v>
      </c>
      <c r="P929" s="18">
        <v>1257453.0</v>
      </c>
      <c r="Q929" s="17" t="b">
        <v>1</v>
      </c>
      <c r="R929" s="10"/>
    </row>
    <row r="930">
      <c r="A930" s="6" t="s">
        <v>5386</v>
      </c>
      <c r="B930" s="6" t="s">
        <v>35</v>
      </c>
      <c r="C930" s="8">
        <v>45671.0</v>
      </c>
      <c r="D930" s="6" t="s">
        <v>460</v>
      </c>
      <c r="E930" s="10"/>
      <c r="F930" s="10"/>
      <c r="G930" s="10"/>
      <c r="H930" s="6" t="s">
        <v>5389</v>
      </c>
      <c r="I930" s="10"/>
      <c r="J930" s="6" t="s">
        <v>539</v>
      </c>
      <c r="K930" s="10"/>
      <c r="L930" s="10"/>
      <c r="M930" s="10"/>
      <c r="N930" s="10"/>
      <c r="O930" s="18">
        <v>200.0</v>
      </c>
      <c r="P930" s="10"/>
      <c r="Q930" s="6"/>
      <c r="R930" s="10"/>
    </row>
    <row r="931">
      <c r="A931" s="6" t="s">
        <v>5392</v>
      </c>
      <c r="B931" s="6" t="s">
        <v>35</v>
      </c>
      <c r="C931" s="8">
        <v>45671.0</v>
      </c>
      <c r="D931" s="6" t="s">
        <v>460</v>
      </c>
      <c r="E931" s="10"/>
      <c r="F931" s="10"/>
      <c r="G931" s="10"/>
      <c r="H931" s="6" t="s">
        <v>5395</v>
      </c>
      <c r="I931" s="10"/>
      <c r="J931" s="6" t="s">
        <v>539</v>
      </c>
      <c r="K931" s="10"/>
      <c r="L931" s="10"/>
      <c r="M931" s="10"/>
      <c r="N931" s="10"/>
      <c r="O931" s="18">
        <v>53.0</v>
      </c>
      <c r="P931" s="10"/>
      <c r="Q931" s="6"/>
      <c r="R931" s="10"/>
    </row>
    <row r="932">
      <c r="A932" s="6" t="s">
        <v>5399</v>
      </c>
      <c r="B932" s="6" t="s">
        <v>35</v>
      </c>
      <c r="C932" s="8">
        <v>45671.0</v>
      </c>
      <c r="D932" s="6" t="s">
        <v>460</v>
      </c>
      <c r="E932" s="10"/>
      <c r="F932" s="10"/>
      <c r="G932" s="10"/>
      <c r="H932" s="6" t="s">
        <v>5402</v>
      </c>
      <c r="I932" s="10"/>
      <c r="J932" s="6" t="s">
        <v>539</v>
      </c>
      <c r="K932" s="10"/>
      <c r="L932" s="10"/>
      <c r="M932" s="10"/>
      <c r="N932" s="10"/>
      <c r="O932" s="18">
        <v>240.0</v>
      </c>
      <c r="P932" s="10"/>
      <c r="Q932" s="6"/>
      <c r="R932" s="10"/>
    </row>
    <row r="933">
      <c r="A933" s="6" t="s">
        <v>5406</v>
      </c>
      <c r="B933" s="6" t="s">
        <v>35</v>
      </c>
      <c r="C933" s="8">
        <v>45672.0</v>
      </c>
      <c r="D933" s="10"/>
      <c r="E933" s="10"/>
      <c r="F933" s="10"/>
      <c r="G933" s="10"/>
      <c r="H933" s="6" t="s">
        <v>1329</v>
      </c>
      <c r="I933" s="10"/>
      <c r="J933" s="6" t="s">
        <v>539</v>
      </c>
      <c r="K933" s="6" t="s">
        <v>2052</v>
      </c>
      <c r="L933" s="10"/>
      <c r="M933" s="10"/>
      <c r="N933" s="10"/>
      <c r="O933" s="18">
        <v>500.0</v>
      </c>
      <c r="P933" s="10"/>
      <c r="Q933" s="6"/>
      <c r="R933" s="10"/>
    </row>
    <row r="934">
      <c r="A934" s="6" t="s">
        <v>5412</v>
      </c>
      <c r="B934" s="6" t="s">
        <v>35</v>
      </c>
      <c r="C934" s="8">
        <v>45667.0</v>
      </c>
      <c r="D934" s="6" t="s">
        <v>890</v>
      </c>
      <c r="E934" s="6" t="s">
        <v>5414</v>
      </c>
      <c r="F934" s="10"/>
      <c r="G934" s="6" t="s">
        <v>5416</v>
      </c>
      <c r="H934" s="6" t="s">
        <v>2894</v>
      </c>
      <c r="I934" s="17" t="b">
        <v>0</v>
      </c>
      <c r="J934" s="6" t="s">
        <v>546</v>
      </c>
      <c r="K934" s="10"/>
      <c r="L934" s="6" t="s">
        <v>5418</v>
      </c>
      <c r="M934" s="10"/>
      <c r="N934" s="10"/>
      <c r="O934" s="18">
        <v>11530.47</v>
      </c>
      <c r="P934" s="10"/>
      <c r="Q934" s="17" t="b">
        <v>1</v>
      </c>
      <c r="R934" s="10"/>
    </row>
    <row r="935">
      <c r="A935" s="6" t="s">
        <v>5420</v>
      </c>
      <c r="B935" s="6" t="s">
        <v>35</v>
      </c>
      <c r="C935" s="8">
        <v>45672.0</v>
      </c>
      <c r="D935" s="6" t="s">
        <v>112</v>
      </c>
      <c r="E935" s="6" t="s">
        <v>5422</v>
      </c>
      <c r="F935" s="10"/>
      <c r="G935" s="6" t="s">
        <v>5424</v>
      </c>
      <c r="H935" s="6" t="s">
        <v>157</v>
      </c>
      <c r="I935" s="17" t="b">
        <v>0</v>
      </c>
      <c r="J935" s="6" t="s">
        <v>546</v>
      </c>
      <c r="K935" s="10"/>
      <c r="L935" s="10"/>
      <c r="M935" s="10"/>
      <c r="N935" s="10"/>
      <c r="O935" s="18">
        <v>248.54</v>
      </c>
      <c r="P935" s="10"/>
      <c r="Q935" s="17" t="b">
        <v>1</v>
      </c>
      <c r="R935" s="10"/>
    </row>
    <row r="936">
      <c r="A936" s="6" t="s">
        <v>5428</v>
      </c>
      <c r="B936" s="6" t="s">
        <v>35</v>
      </c>
      <c r="C936" s="8">
        <v>45672.0</v>
      </c>
      <c r="D936" s="6" t="s">
        <v>2165</v>
      </c>
      <c r="E936" s="6" t="s">
        <v>5430</v>
      </c>
      <c r="F936" s="10"/>
      <c r="G936" s="6" t="s">
        <v>5432</v>
      </c>
      <c r="H936" s="6" t="s">
        <v>5433</v>
      </c>
      <c r="I936" s="17" t="b">
        <v>1</v>
      </c>
      <c r="J936" s="6" t="s">
        <v>546</v>
      </c>
      <c r="K936" s="10"/>
      <c r="L936" s="6" t="s">
        <v>5435</v>
      </c>
      <c r="M936" s="10"/>
      <c r="N936" s="10"/>
      <c r="O936" s="18">
        <v>1707.19</v>
      </c>
      <c r="P936" s="18">
        <v>1263169.0</v>
      </c>
      <c r="Q936" s="17" t="b">
        <v>1</v>
      </c>
      <c r="R936" s="10"/>
    </row>
    <row r="937">
      <c r="A937" s="6" t="s">
        <v>5438</v>
      </c>
      <c r="B937" s="6" t="s">
        <v>35</v>
      </c>
      <c r="C937" s="8">
        <v>45673.0</v>
      </c>
      <c r="D937" s="6" t="s">
        <v>2096</v>
      </c>
      <c r="E937" s="6" t="s">
        <v>5442</v>
      </c>
      <c r="F937" s="10"/>
      <c r="G937" s="6" t="s">
        <v>5444</v>
      </c>
      <c r="H937" s="6" t="s">
        <v>5445</v>
      </c>
      <c r="I937" s="17" t="b">
        <v>1</v>
      </c>
      <c r="J937" s="6" t="s">
        <v>546</v>
      </c>
      <c r="K937" s="10"/>
      <c r="L937" s="10"/>
      <c r="M937" s="10"/>
      <c r="N937" s="10"/>
      <c r="O937" s="18">
        <v>205.0</v>
      </c>
      <c r="P937" s="18">
        <v>1265678.0</v>
      </c>
      <c r="Q937" s="17" t="b">
        <v>1</v>
      </c>
      <c r="R937" s="10"/>
    </row>
    <row r="938">
      <c r="A938" s="6" t="s">
        <v>5449</v>
      </c>
      <c r="B938" s="6" t="s">
        <v>35</v>
      </c>
      <c r="C938" s="8">
        <v>45674.0</v>
      </c>
      <c r="D938" s="6" t="s">
        <v>543</v>
      </c>
      <c r="E938" s="6" t="s">
        <v>5451</v>
      </c>
      <c r="F938" s="10"/>
      <c r="G938" s="6" t="s">
        <v>5453</v>
      </c>
      <c r="H938" s="6" t="s">
        <v>171</v>
      </c>
      <c r="I938" s="17" t="b">
        <v>0</v>
      </c>
      <c r="J938" s="6" t="s">
        <v>546</v>
      </c>
      <c r="K938" s="10"/>
      <c r="L938" s="10"/>
      <c r="M938" s="10"/>
      <c r="N938" s="10"/>
      <c r="O938" s="18">
        <v>375.0</v>
      </c>
      <c r="P938" s="10"/>
      <c r="Q938" s="17" t="b">
        <v>1</v>
      </c>
      <c r="R938" s="10"/>
    </row>
    <row r="939">
      <c r="A939" s="6" t="s">
        <v>5457</v>
      </c>
      <c r="B939" s="6" t="s">
        <v>35</v>
      </c>
      <c r="C939" s="8">
        <v>45674.0</v>
      </c>
      <c r="D939" s="6" t="s">
        <v>112</v>
      </c>
      <c r="E939" s="6" t="s">
        <v>5459</v>
      </c>
      <c r="F939" s="10"/>
      <c r="G939" s="6" t="s">
        <v>5461</v>
      </c>
      <c r="H939" s="6" t="s">
        <v>157</v>
      </c>
      <c r="I939" s="17" t="b">
        <v>0</v>
      </c>
      <c r="J939" s="6" t="s">
        <v>546</v>
      </c>
      <c r="K939" s="10"/>
      <c r="L939" s="10"/>
      <c r="M939" s="10"/>
      <c r="N939" s="10"/>
      <c r="O939" s="18">
        <v>443.86</v>
      </c>
      <c r="P939" s="10"/>
      <c r="Q939" s="17" t="b">
        <v>1</v>
      </c>
      <c r="R939" s="10"/>
    </row>
    <row r="940">
      <c r="A940" s="6" t="s">
        <v>5465</v>
      </c>
      <c r="B940" s="6" t="s">
        <v>35</v>
      </c>
      <c r="C940" s="8">
        <v>45674.0</v>
      </c>
      <c r="D940" s="6" t="s">
        <v>2613</v>
      </c>
      <c r="E940" s="6" t="s">
        <v>5467</v>
      </c>
      <c r="F940" s="10"/>
      <c r="G940" s="6" t="s">
        <v>5469</v>
      </c>
      <c r="H940" s="6" t="s">
        <v>482</v>
      </c>
      <c r="I940" s="17" t="b">
        <v>1</v>
      </c>
      <c r="J940" s="6" t="s">
        <v>546</v>
      </c>
      <c r="K940" s="10"/>
      <c r="L940" s="10"/>
      <c r="M940" s="10"/>
      <c r="N940" s="10"/>
      <c r="O940" s="18">
        <v>141.54</v>
      </c>
      <c r="P940" s="18">
        <v>1264858.0</v>
      </c>
      <c r="Q940" s="17" t="b">
        <v>1</v>
      </c>
      <c r="R940" s="10"/>
    </row>
    <row r="941">
      <c r="A941" s="6" t="s">
        <v>5474</v>
      </c>
      <c r="B941" s="6" t="s">
        <v>35</v>
      </c>
      <c r="C941" s="8">
        <v>45674.0</v>
      </c>
      <c r="D941" s="6" t="s">
        <v>286</v>
      </c>
      <c r="E941" s="6" t="s">
        <v>5476</v>
      </c>
      <c r="F941" s="10"/>
      <c r="G941" s="6" t="s">
        <v>5478</v>
      </c>
      <c r="H941" s="6" t="s">
        <v>5479</v>
      </c>
      <c r="I941" s="17" t="b">
        <v>1</v>
      </c>
      <c r="J941" s="6" t="s">
        <v>546</v>
      </c>
      <c r="K941" s="10"/>
      <c r="L941" s="10"/>
      <c r="M941" s="10"/>
      <c r="N941" s="10"/>
      <c r="O941" s="18">
        <v>4.0</v>
      </c>
      <c r="P941" s="18">
        <v>1264511.0</v>
      </c>
      <c r="Q941" s="17" t="b">
        <v>1</v>
      </c>
      <c r="R941" s="10"/>
    </row>
    <row r="942">
      <c r="A942" s="6" t="s">
        <v>5483</v>
      </c>
      <c r="B942" s="6" t="s">
        <v>35</v>
      </c>
      <c r="C942" s="8">
        <v>45675.0</v>
      </c>
      <c r="D942" s="6" t="s">
        <v>1918</v>
      </c>
      <c r="E942" s="6" t="s">
        <v>5485</v>
      </c>
      <c r="F942" s="10"/>
      <c r="G942" s="6" t="s">
        <v>5486</v>
      </c>
      <c r="H942" s="6" t="s">
        <v>5488</v>
      </c>
      <c r="I942" s="17" t="b">
        <v>1</v>
      </c>
      <c r="J942" s="6" t="s">
        <v>546</v>
      </c>
      <c r="K942" s="10"/>
      <c r="L942" s="10"/>
      <c r="M942" s="10"/>
      <c r="N942" s="10"/>
      <c r="O942" s="18">
        <v>79.8</v>
      </c>
      <c r="P942" s="6" t="s">
        <v>4049</v>
      </c>
      <c r="Q942" s="17" t="b">
        <v>1</v>
      </c>
      <c r="R942" s="10"/>
    </row>
    <row r="943">
      <c r="A943" s="6" t="s">
        <v>5491</v>
      </c>
      <c r="B943" s="6" t="s">
        <v>35</v>
      </c>
      <c r="C943" s="8">
        <v>45653.0</v>
      </c>
      <c r="D943" s="6" t="s">
        <v>233</v>
      </c>
      <c r="E943" s="6" t="s">
        <v>5493</v>
      </c>
      <c r="F943" s="10"/>
      <c r="G943" s="6" t="s">
        <v>5494</v>
      </c>
      <c r="H943" s="6" t="s">
        <v>5495</v>
      </c>
      <c r="I943" s="17" t="b">
        <v>1</v>
      </c>
      <c r="J943" s="6" t="s">
        <v>546</v>
      </c>
      <c r="K943" s="10"/>
      <c r="L943" s="10"/>
      <c r="M943" s="10"/>
      <c r="N943" s="10"/>
      <c r="O943" s="18">
        <v>268.57</v>
      </c>
      <c r="P943" s="6" t="s">
        <v>5497</v>
      </c>
      <c r="Q943" s="17" t="b">
        <v>1</v>
      </c>
      <c r="R943" s="10"/>
    </row>
    <row r="944">
      <c r="A944" s="6" t="s">
        <v>5499</v>
      </c>
      <c r="B944" s="6" t="s">
        <v>35</v>
      </c>
      <c r="C944" s="8">
        <v>45667.0</v>
      </c>
      <c r="D944" s="6" t="s">
        <v>233</v>
      </c>
      <c r="E944" s="6" t="s">
        <v>5500</v>
      </c>
      <c r="F944" s="10"/>
      <c r="G944" s="6" t="s">
        <v>5502</v>
      </c>
      <c r="H944" s="6" t="s">
        <v>5503</v>
      </c>
      <c r="I944" s="17" t="b">
        <v>1</v>
      </c>
      <c r="J944" s="6" t="s">
        <v>546</v>
      </c>
      <c r="K944" s="10"/>
      <c r="L944" s="10"/>
      <c r="M944" s="10"/>
      <c r="N944" s="10"/>
      <c r="O944" s="18">
        <v>198.41</v>
      </c>
      <c r="P944" s="6" t="s">
        <v>5497</v>
      </c>
      <c r="Q944" s="17" t="b">
        <v>1</v>
      </c>
      <c r="R944" s="10"/>
    </row>
    <row r="945">
      <c r="A945" s="6" t="s">
        <v>5505</v>
      </c>
      <c r="B945" s="6" t="s">
        <v>35</v>
      </c>
      <c r="C945" s="8">
        <v>45674.0</v>
      </c>
      <c r="D945" s="6" t="s">
        <v>3816</v>
      </c>
      <c r="E945" s="6" t="s">
        <v>5507</v>
      </c>
      <c r="F945" s="10"/>
      <c r="G945" s="6" t="s">
        <v>5508</v>
      </c>
      <c r="H945" s="6" t="s">
        <v>5510</v>
      </c>
      <c r="I945" s="17" t="b">
        <v>1</v>
      </c>
      <c r="J945" s="6" t="s">
        <v>546</v>
      </c>
      <c r="K945" s="10"/>
      <c r="L945" s="10"/>
      <c r="M945" s="10"/>
      <c r="N945" s="10"/>
      <c r="O945" s="18">
        <v>55.33</v>
      </c>
      <c r="P945" s="6" t="s">
        <v>5497</v>
      </c>
      <c r="Q945" s="17" t="b">
        <v>1</v>
      </c>
      <c r="R945" s="10"/>
    </row>
    <row r="946">
      <c r="A946" s="6" t="s">
        <v>5514</v>
      </c>
      <c r="B946" s="6" t="s">
        <v>35</v>
      </c>
      <c r="C946" s="8">
        <v>45675.0</v>
      </c>
      <c r="D946" s="6" t="s">
        <v>1807</v>
      </c>
      <c r="E946" s="6" t="s">
        <v>5516</v>
      </c>
      <c r="F946" s="10"/>
      <c r="G946" s="6" t="s">
        <v>5517</v>
      </c>
      <c r="H946" s="6" t="s">
        <v>5519</v>
      </c>
      <c r="I946" s="17" t="b">
        <v>1</v>
      </c>
      <c r="J946" s="6" t="s">
        <v>546</v>
      </c>
      <c r="K946" s="10"/>
      <c r="L946" s="10"/>
      <c r="M946" s="10"/>
      <c r="N946" s="10"/>
      <c r="O946" s="18">
        <v>153.79</v>
      </c>
      <c r="P946" s="6" t="s">
        <v>5521</v>
      </c>
      <c r="Q946" s="17" t="b">
        <v>1</v>
      </c>
      <c r="R946" s="10"/>
    </row>
    <row r="947">
      <c r="A947" s="6" t="s">
        <v>5523</v>
      </c>
      <c r="B947" s="6" t="s">
        <v>35</v>
      </c>
      <c r="C947" s="8">
        <v>45677.0</v>
      </c>
      <c r="D947" s="6" t="s">
        <v>137</v>
      </c>
      <c r="E947" s="6" t="s">
        <v>5526</v>
      </c>
      <c r="F947" s="10"/>
      <c r="G947" s="6" t="s">
        <v>5527</v>
      </c>
      <c r="H947" s="6" t="s">
        <v>171</v>
      </c>
      <c r="I947" s="17" t="b">
        <v>0</v>
      </c>
      <c r="J947" s="6" t="s">
        <v>546</v>
      </c>
      <c r="K947" s="10"/>
      <c r="L947" s="10"/>
      <c r="M947" s="10"/>
      <c r="N947" s="10"/>
      <c r="O947" s="18">
        <v>550.0</v>
      </c>
      <c r="P947" s="10"/>
      <c r="Q947" s="17" t="b">
        <v>1</v>
      </c>
      <c r="R947" s="10"/>
    </row>
    <row r="948">
      <c r="A948" s="6" t="s">
        <v>5531</v>
      </c>
      <c r="B948" s="6" t="s">
        <v>35</v>
      </c>
      <c r="C948" s="8">
        <v>45678.0</v>
      </c>
      <c r="D948" s="6" t="s">
        <v>3716</v>
      </c>
      <c r="E948" s="6" t="s">
        <v>5533</v>
      </c>
      <c r="F948" s="10"/>
      <c r="G948" s="6" t="s">
        <v>5535</v>
      </c>
      <c r="H948" s="6" t="s">
        <v>5536</v>
      </c>
      <c r="I948" s="17" t="b">
        <v>1</v>
      </c>
      <c r="J948" s="6" t="s">
        <v>546</v>
      </c>
      <c r="K948" s="10"/>
      <c r="L948" s="10"/>
      <c r="M948" s="10"/>
      <c r="N948" s="10"/>
      <c r="O948" s="18">
        <v>347.5</v>
      </c>
      <c r="P948" s="18">
        <v>1274574.0</v>
      </c>
      <c r="Q948" s="17" t="b">
        <v>1</v>
      </c>
      <c r="R948" s="10"/>
    </row>
    <row r="949">
      <c r="A949" s="6" t="s">
        <v>5540</v>
      </c>
      <c r="B949" s="6" t="s">
        <v>35</v>
      </c>
      <c r="C949" s="8">
        <v>45678.0</v>
      </c>
      <c r="D949" s="6" t="s">
        <v>112</v>
      </c>
      <c r="E949" s="6" t="s">
        <v>5542</v>
      </c>
      <c r="F949" s="10"/>
      <c r="G949" s="6" t="s">
        <v>5544</v>
      </c>
      <c r="H949" s="6" t="s">
        <v>5545</v>
      </c>
      <c r="I949" s="17" t="b">
        <v>0</v>
      </c>
      <c r="J949" s="6" t="s">
        <v>546</v>
      </c>
      <c r="K949" s="10"/>
      <c r="L949" s="10"/>
      <c r="M949" s="10"/>
      <c r="N949" s="10"/>
      <c r="O949" s="18">
        <v>269.6</v>
      </c>
      <c r="P949" s="10"/>
      <c r="Q949" s="17" t="b">
        <v>1</v>
      </c>
      <c r="R949" s="10"/>
    </row>
    <row r="950">
      <c r="A950" s="6" t="s">
        <v>5549</v>
      </c>
      <c r="B950" s="6" t="s">
        <v>35</v>
      </c>
      <c r="C950" s="8">
        <v>45674.0</v>
      </c>
      <c r="D950" s="6" t="s">
        <v>764</v>
      </c>
      <c r="E950" s="6" t="s">
        <v>5551</v>
      </c>
      <c r="F950" s="10"/>
      <c r="G950" s="6" t="s">
        <v>5553</v>
      </c>
      <c r="H950" s="6" t="s">
        <v>195</v>
      </c>
      <c r="I950" s="17" t="b">
        <v>0</v>
      </c>
      <c r="J950" s="6" t="s">
        <v>546</v>
      </c>
      <c r="K950" s="10"/>
      <c r="L950" s="10"/>
      <c r="M950" s="10"/>
      <c r="N950" s="10"/>
      <c r="O950" s="18">
        <v>446.0</v>
      </c>
      <c r="P950" s="10"/>
      <c r="Q950" s="17" t="b">
        <v>1</v>
      </c>
      <c r="R950" s="10"/>
    </row>
    <row r="951">
      <c r="A951" s="6" t="s">
        <v>5557</v>
      </c>
      <c r="B951" s="6" t="s">
        <v>35</v>
      </c>
      <c r="C951" s="8">
        <v>45678.0</v>
      </c>
      <c r="D951" s="6" t="s">
        <v>764</v>
      </c>
      <c r="E951" s="6" t="s">
        <v>5559</v>
      </c>
      <c r="F951" s="10"/>
      <c r="G951" s="6" t="s">
        <v>5561</v>
      </c>
      <c r="H951" s="6" t="s">
        <v>195</v>
      </c>
      <c r="I951" s="17" t="b">
        <v>0</v>
      </c>
      <c r="J951" s="6" t="s">
        <v>546</v>
      </c>
      <c r="K951" s="10"/>
      <c r="L951" s="6" t="s">
        <v>5564</v>
      </c>
      <c r="M951" s="10"/>
      <c r="N951" s="10"/>
      <c r="O951" s="18">
        <v>1084.25</v>
      </c>
      <c r="P951" s="10"/>
      <c r="Q951" s="17" t="b">
        <v>1</v>
      </c>
      <c r="R951" s="10"/>
    </row>
    <row r="952">
      <c r="A952" s="6" t="s">
        <v>5567</v>
      </c>
      <c r="B952" s="6" t="s">
        <v>35</v>
      </c>
      <c r="C952" s="8">
        <v>45681.0</v>
      </c>
      <c r="D952" s="6" t="s">
        <v>543</v>
      </c>
      <c r="E952" s="6" t="s">
        <v>5569</v>
      </c>
      <c r="F952" s="10"/>
      <c r="G952" s="6" t="s">
        <v>5571</v>
      </c>
      <c r="H952" s="6" t="s">
        <v>171</v>
      </c>
      <c r="I952" s="17" t="b">
        <v>0</v>
      </c>
      <c r="J952" s="6" t="s">
        <v>546</v>
      </c>
      <c r="K952" s="10"/>
      <c r="L952" s="10"/>
      <c r="M952" s="10"/>
      <c r="N952" s="10"/>
      <c r="O952" s="18">
        <v>500.0</v>
      </c>
      <c r="P952" s="10"/>
      <c r="Q952" s="17" t="b">
        <v>1</v>
      </c>
      <c r="R952" s="10"/>
    </row>
    <row r="953">
      <c r="A953" s="6" t="s">
        <v>5574</v>
      </c>
      <c r="B953" s="6" t="s">
        <v>35</v>
      </c>
      <c r="C953" s="8">
        <v>45678.0</v>
      </c>
      <c r="D953" s="6" t="s">
        <v>890</v>
      </c>
      <c r="E953" s="6" t="s">
        <v>5577</v>
      </c>
      <c r="F953" s="10"/>
      <c r="G953" s="6" t="s">
        <v>5578</v>
      </c>
      <c r="H953" s="6" t="s">
        <v>2894</v>
      </c>
      <c r="I953" s="17" t="b">
        <v>0</v>
      </c>
      <c r="J953" s="6" t="s">
        <v>546</v>
      </c>
      <c r="K953" s="10"/>
      <c r="L953" s="6" t="s">
        <v>5580</v>
      </c>
      <c r="M953" s="6" t="s">
        <v>5581</v>
      </c>
      <c r="N953" s="10"/>
      <c r="O953" s="18">
        <v>15847.46</v>
      </c>
      <c r="P953" s="10"/>
      <c r="Q953" s="17" t="b">
        <v>1</v>
      </c>
      <c r="R953" s="10"/>
    </row>
    <row r="954">
      <c r="A954" s="6" t="s">
        <v>5584</v>
      </c>
      <c r="B954" s="6" t="s">
        <v>35</v>
      </c>
      <c r="C954" s="8">
        <v>45678.0</v>
      </c>
      <c r="D954" s="6" t="s">
        <v>890</v>
      </c>
      <c r="E954" s="6" t="s">
        <v>5586</v>
      </c>
      <c r="F954" s="10"/>
      <c r="G954" s="6" t="s">
        <v>5588</v>
      </c>
      <c r="H954" s="6" t="s">
        <v>3813</v>
      </c>
      <c r="I954" s="17" t="b">
        <v>0</v>
      </c>
      <c r="J954" s="6" t="s">
        <v>546</v>
      </c>
      <c r="K954" s="10"/>
      <c r="L954" s="6" t="s">
        <v>5590</v>
      </c>
      <c r="M954" s="6" t="s">
        <v>5592</v>
      </c>
      <c r="N954" s="10"/>
      <c r="O954" s="18">
        <v>7003.37</v>
      </c>
      <c r="P954" s="10"/>
      <c r="Q954" s="17" t="b">
        <v>1</v>
      </c>
      <c r="R954" s="10"/>
    </row>
    <row r="955">
      <c r="A955" s="6" t="s">
        <v>5594</v>
      </c>
      <c r="B955" s="6" t="s">
        <v>35</v>
      </c>
      <c r="C955" s="8">
        <v>45681.0</v>
      </c>
      <c r="D955" s="6" t="s">
        <v>112</v>
      </c>
      <c r="E955" s="6" t="s">
        <v>5597</v>
      </c>
      <c r="F955" s="10"/>
      <c r="G955" s="6" t="s">
        <v>5598</v>
      </c>
      <c r="H955" s="6" t="s">
        <v>157</v>
      </c>
      <c r="I955" s="17" t="b">
        <v>0</v>
      </c>
      <c r="J955" s="6" t="s">
        <v>546</v>
      </c>
      <c r="K955" s="10"/>
      <c r="L955" s="10"/>
      <c r="M955" s="10"/>
      <c r="N955" s="10"/>
      <c r="O955" s="18">
        <v>463.94</v>
      </c>
      <c r="P955" s="10"/>
      <c r="Q955" s="17" t="b">
        <v>1</v>
      </c>
      <c r="R955" s="10"/>
    </row>
    <row r="956">
      <c r="A956" s="6" t="s">
        <v>5602</v>
      </c>
      <c r="B956" s="6" t="s">
        <v>35</v>
      </c>
      <c r="C956" s="8">
        <v>45681.0</v>
      </c>
      <c r="D956" s="6" t="s">
        <v>673</v>
      </c>
      <c r="E956" s="10"/>
      <c r="F956" s="10"/>
      <c r="G956" s="10"/>
      <c r="H956" s="18">
        <v>2025.0</v>
      </c>
      <c r="I956" s="10"/>
      <c r="J956" s="6" t="s">
        <v>539</v>
      </c>
      <c r="K956" s="10"/>
      <c r="L956" s="10"/>
      <c r="M956" s="10"/>
      <c r="N956" s="10"/>
      <c r="O956" s="18">
        <v>824.36</v>
      </c>
      <c r="P956" s="10"/>
      <c r="Q956" s="6"/>
      <c r="R956" s="10"/>
    </row>
    <row r="957">
      <c r="A957" s="6" t="s">
        <v>5607</v>
      </c>
      <c r="B957" s="6" t="s">
        <v>35</v>
      </c>
      <c r="C957" s="8">
        <v>45681.0</v>
      </c>
      <c r="D957" s="6" t="s">
        <v>1267</v>
      </c>
      <c r="E957" s="10"/>
      <c r="F957" s="10"/>
      <c r="G957" s="10"/>
      <c r="H957" s="18">
        <v>2025.0</v>
      </c>
      <c r="I957" s="10"/>
      <c r="J957" s="6" t="s">
        <v>539</v>
      </c>
      <c r="K957" s="10"/>
      <c r="L957" s="10"/>
      <c r="M957" s="10"/>
      <c r="N957" s="10"/>
      <c r="O957" s="18">
        <v>100.0</v>
      </c>
      <c r="P957" s="10"/>
      <c r="Q957" s="6"/>
      <c r="R957" s="10"/>
    </row>
    <row r="958">
      <c r="A958" s="6" t="s">
        <v>5612</v>
      </c>
      <c r="B958" s="6" t="s">
        <v>35</v>
      </c>
      <c r="C958" s="8">
        <v>45682.0</v>
      </c>
      <c r="D958" s="10"/>
      <c r="E958" s="10"/>
      <c r="F958" s="10"/>
      <c r="G958" s="10"/>
      <c r="H958" s="6" t="s">
        <v>1329</v>
      </c>
      <c r="I958" s="10"/>
      <c r="J958" s="6" t="s">
        <v>539</v>
      </c>
      <c r="K958" s="6" t="s">
        <v>624</v>
      </c>
      <c r="L958" s="10"/>
      <c r="M958" s="10"/>
      <c r="N958" s="10"/>
      <c r="O958" s="18">
        <v>200.0</v>
      </c>
      <c r="P958" s="10"/>
      <c r="Q958" s="6"/>
      <c r="R958" s="10"/>
    </row>
    <row r="959">
      <c r="A959" s="6" t="s">
        <v>5621</v>
      </c>
      <c r="B959" s="6" t="s">
        <v>35</v>
      </c>
      <c r="C959" s="8">
        <v>45683.0</v>
      </c>
      <c r="D959" s="6" t="s">
        <v>460</v>
      </c>
      <c r="E959" s="10"/>
      <c r="F959" s="10"/>
      <c r="G959" s="10"/>
      <c r="H959" s="6" t="s">
        <v>931</v>
      </c>
      <c r="I959" s="10"/>
      <c r="J959" s="6" t="s">
        <v>539</v>
      </c>
      <c r="K959" s="10"/>
      <c r="L959" s="10"/>
      <c r="M959" s="10"/>
      <c r="N959" s="10"/>
      <c r="O959" s="18">
        <v>30.0</v>
      </c>
      <c r="P959" s="10"/>
      <c r="Q959" s="6"/>
      <c r="R959" s="10"/>
    </row>
    <row r="960">
      <c r="A960" s="6" t="s">
        <v>5627</v>
      </c>
      <c r="B960" s="6" t="s">
        <v>35</v>
      </c>
      <c r="C960" s="8">
        <v>45683.0</v>
      </c>
      <c r="D960" s="6" t="s">
        <v>460</v>
      </c>
      <c r="E960" s="10"/>
      <c r="F960" s="10"/>
      <c r="G960" s="10"/>
      <c r="H960" s="6" t="s">
        <v>5630</v>
      </c>
      <c r="I960" s="10"/>
      <c r="J960" s="6" t="s">
        <v>539</v>
      </c>
      <c r="K960" s="10"/>
      <c r="L960" s="10"/>
      <c r="M960" s="10"/>
      <c r="N960" s="10"/>
      <c r="O960" s="18">
        <v>200.0</v>
      </c>
      <c r="P960" s="10"/>
      <c r="Q960" s="6"/>
      <c r="R960" s="10"/>
    </row>
    <row r="961">
      <c r="A961" s="6" t="s">
        <v>5634</v>
      </c>
      <c r="B961" s="6" t="s">
        <v>35</v>
      </c>
      <c r="C961" s="8">
        <v>45683.0</v>
      </c>
      <c r="D961" s="6" t="s">
        <v>460</v>
      </c>
      <c r="E961" s="10"/>
      <c r="F961" s="10"/>
      <c r="G961" s="10"/>
      <c r="H961" s="6" t="s">
        <v>4979</v>
      </c>
      <c r="I961" s="10"/>
      <c r="J961" s="6" t="s">
        <v>539</v>
      </c>
      <c r="K961" s="10"/>
      <c r="L961" s="10"/>
      <c r="M961" s="10"/>
      <c r="N961" s="10"/>
      <c r="O961" s="18">
        <v>10.0</v>
      </c>
      <c r="P961" s="10"/>
      <c r="Q961" s="6"/>
      <c r="R961" s="10"/>
    </row>
    <row r="962">
      <c r="A962" s="6" t="s">
        <v>5642</v>
      </c>
      <c r="B962" s="6" t="s">
        <v>35</v>
      </c>
      <c r="C962" s="8">
        <v>45683.0</v>
      </c>
      <c r="D962" s="6" t="s">
        <v>460</v>
      </c>
      <c r="E962" s="10"/>
      <c r="F962" s="10"/>
      <c r="G962" s="10"/>
      <c r="H962" s="6" t="s">
        <v>4972</v>
      </c>
      <c r="I962" s="10"/>
      <c r="J962" s="6" t="s">
        <v>539</v>
      </c>
      <c r="K962" s="10"/>
      <c r="L962" s="10"/>
      <c r="M962" s="10"/>
      <c r="N962" s="10"/>
      <c r="O962" s="18">
        <v>22.0</v>
      </c>
      <c r="P962" s="10"/>
      <c r="Q962" s="6"/>
      <c r="R962" s="10"/>
    </row>
    <row r="963">
      <c r="A963" s="6" t="s">
        <v>5649</v>
      </c>
      <c r="B963" s="6" t="s">
        <v>35</v>
      </c>
      <c r="C963" s="8">
        <v>45678.0</v>
      </c>
      <c r="D963" s="6" t="s">
        <v>193</v>
      </c>
      <c r="E963" s="6" t="s">
        <v>5651</v>
      </c>
      <c r="F963" s="10"/>
      <c r="G963" s="6" t="s">
        <v>5653</v>
      </c>
      <c r="H963" s="6" t="s">
        <v>195</v>
      </c>
      <c r="I963" s="17" t="b">
        <v>0</v>
      </c>
      <c r="J963" s="6" t="s">
        <v>546</v>
      </c>
      <c r="K963" s="10"/>
      <c r="L963" s="6" t="s">
        <v>5655</v>
      </c>
      <c r="M963" s="10"/>
      <c r="N963" s="10"/>
      <c r="O963" s="18">
        <v>452.9</v>
      </c>
      <c r="P963" s="10"/>
      <c r="Q963" s="17" t="b">
        <v>1</v>
      </c>
      <c r="R963" s="10"/>
    </row>
    <row r="964">
      <c r="A964" s="6" t="s">
        <v>5658</v>
      </c>
      <c r="B964" s="6" t="s">
        <v>35</v>
      </c>
      <c r="C964" s="8">
        <v>45678.0</v>
      </c>
      <c r="D964" s="6" t="s">
        <v>193</v>
      </c>
      <c r="E964" s="6" t="s">
        <v>5651</v>
      </c>
      <c r="F964" s="10"/>
      <c r="G964" s="6" t="s">
        <v>5662</v>
      </c>
      <c r="H964" s="6" t="s">
        <v>195</v>
      </c>
      <c r="I964" s="17" t="b">
        <v>0</v>
      </c>
      <c r="J964" s="6" t="s">
        <v>546</v>
      </c>
      <c r="K964" s="10"/>
      <c r="L964" s="10"/>
      <c r="M964" s="10"/>
      <c r="N964" s="10"/>
      <c r="O964" s="18">
        <v>391.69</v>
      </c>
      <c r="P964" s="10"/>
      <c r="Q964" s="17" t="b">
        <v>1</v>
      </c>
      <c r="R964" s="10"/>
    </row>
    <row r="965">
      <c r="A965" s="6" t="s">
        <v>5666</v>
      </c>
      <c r="B965" s="6" t="s">
        <v>35</v>
      </c>
      <c r="C965" s="8">
        <v>45680.0</v>
      </c>
      <c r="D965" s="6" t="s">
        <v>112</v>
      </c>
      <c r="E965" s="6" t="s">
        <v>5669</v>
      </c>
      <c r="F965" s="10"/>
      <c r="G965" s="6" t="s">
        <v>5670</v>
      </c>
      <c r="H965" s="6" t="s">
        <v>157</v>
      </c>
      <c r="I965" s="17" t="b">
        <v>0</v>
      </c>
      <c r="J965" s="6" t="s">
        <v>546</v>
      </c>
      <c r="K965" s="10"/>
      <c r="L965" s="10"/>
      <c r="M965" s="10"/>
      <c r="N965" s="10"/>
      <c r="O965" s="18">
        <v>362.64</v>
      </c>
      <c r="P965" s="10"/>
      <c r="Q965" s="17" t="b">
        <v>1</v>
      </c>
      <c r="R965" s="10"/>
    </row>
    <row r="966">
      <c r="A966" s="18">
        <v>4.2804146E7</v>
      </c>
      <c r="B966" s="6" t="s">
        <v>35</v>
      </c>
      <c r="C966" s="8">
        <v>45680.0</v>
      </c>
      <c r="D966" s="6" t="s">
        <v>353</v>
      </c>
      <c r="E966" s="6" t="s">
        <v>5676</v>
      </c>
      <c r="F966" s="10"/>
      <c r="G966" s="6" t="s">
        <v>5677</v>
      </c>
      <c r="H966" s="6" t="s">
        <v>5679</v>
      </c>
      <c r="I966" s="17" t="b">
        <v>1</v>
      </c>
      <c r="J966" s="6" t="s">
        <v>546</v>
      </c>
      <c r="K966" s="10"/>
      <c r="L966" s="10"/>
      <c r="M966" s="10"/>
      <c r="N966" s="10"/>
      <c r="O966" s="18">
        <v>205.86</v>
      </c>
      <c r="P966" s="18">
        <v>1276515.0</v>
      </c>
      <c r="Q966" s="17" t="b">
        <v>1</v>
      </c>
      <c r="R966" s="10"/>
    </row>
    <row r="967">
      <c r="A967" s="6" t="s">
        <v>5681</v>
      </c>
      <c r="B967" s="6" t="s">
        <v>35</v>
      </c>
      <c r="C967" s="8">
        <v>45680.0</v>
      </c>
      <c r="D967" s="6" t="s">
        <v>233</v>
      </c>
      <c r="E967" s="6" t="s">
        <v>5682</v>
      </c>
      <c r="F967" s="10"/>
      <c r="G967" s="6" t="s">
        <v>5684</v>
      </c>
      <c r="H967" s="6" t="s">
        <v>5685</v>
      </c>
      <c r="I967" s="17" t="b">
        <v>1</v>
      </c>
      <c r="J967" s="6" t="s">
        <v>546</v>
      </c>
      <c r="K967" s="10"/>
      <c r="L967" s="6" t="s">
        <v>5687</v>
      </c>
      <c r="M967" s="10"/>
      <c r="N967" s="10"/>
      <c r="O967" s="18">
        <v>326.73</v>
      </c>
      <c r="P967" s="6" t="s">
        <v>4049</v>
      </c>
      <c r="Q967" s="17" t="b">
        <v>1</v>
      </c>
      <c r="R967" s="10"/>
    </row>
    <row r="968">
      <c r="A968" s="6" t="s">
        <v>5690</v>
      </c>
      <c r="B968" s="6" t="s">
        <v>35</v>
      </c>
      <c r="C968" s="8">
        <v>45680.0</v>
      </c>
      <c r="D968" s="18">
        <v>6.8893939E7</v>
      </c>
      <c r="E968" s="6" t="s">
        <v>5692</v>
      </c>
      <c r="F968" s="10"/>
      <c r="G968" s="6" t="s">
        <v>5693</v>
      </c>
      <c r="H968" s="6" t="s">
        <v>605</v>
      </c>
      <c r="I968" s="17" t="b">
        <v>0</v>
      </c>
      <c r="J968" s="6" t="s">
        <v>546</v>
      </c>
      <c r="K968" s="10"/>
      <c r="L968" s="10"/>
      <c r="M968" s="10"/>
      <c r="N968" s="10"/>
      <c r="O968" s="18">
        <v>4236.27</v>
      </c>
      <c r="P968" s="10"/>
      <c r="Q968" s="17" t="b">
        <v>1</v>
      </c>
      <c r="R968" s="10"/>
    </row>
    <row r="969">
      <c r="A969" s="6" t="s">
        <v>5694</v>
      </c>
      <c r="B969" s="6" t="s">
        <v>35</v>
      </c>
      <c r="C969" s="8">
        <v>45684.0</v>
      </c>
      <c r="D969" s="6" t="s">
        <v>543</v>
      </c>
      <c r="E969" s="6" t="s">
        <v>5695</v>
      </c>
      <c r="F969" s="10"/>
      <c r="G969" s="6" t="s">
        <v>5697</v>
      </c>
      <c r="H969" s="6" t="s">
        <v>171</v>
      </c>
      <c r="I969" s="17" t="b">
        <v>0</v>
      </c>
      <c r="J969" s="6" t="s">
        <v>546</v>
      </c>
      <c r="K969" s="10"/>
      <c r="L969" s="10"/>
      <c r="M969" s="10"/>
      <c r="N969" s="10"/>
      <c r="O969" s="18">
        <v>500.0</v>
      </c>
      <c r="P969" s="10"/>
      <c r="Q969" s="17" t="b">
        <v>1</v>
      </c>
      <c r="R969" s="10"/>
    </row>
    <row r="970">
      <c r="A970" s="6" t="s">
        <v>5699</v>
      </c>
      <c r="B970" s="6" t="s">
        <v>35</v>
      </c>
      <c r="C970" s="8">
        <v>45684.0</v>
      </c>
      <c r="D970" s="10"/>
      <c r="E970" s="10"/>
      <c r="F970" s="10"/>
      <c r="G970" s="10"/>
      <c r="H970" s="6" t="s">
        <v>1329</v>
      </c>
      <c r="I970" s="10"/>
      <c r="J970" s="6" t="s">
        <v>539</v>
      </c>
      <c r="K970" s="6" t="s">
        <v>117</v>
      </c>
      <c r="L970" s="10"/>
      <c r="M970" s="10"/>
      <c r="N970" s="10"/>
      <c r="O970" s="18">
        <v>200.0</v>
      </c>
      <c r="P970" s="10"/>
      <c r="Q970" s="6"/>
      <c r="R970" s="10"/>
    </row>
    <row r="971">
      <c r="A971" s="6" t="s">
        <v>5704</v>
      </c>
      <c r="B971" s="6" t="s">
        <v>35</v>
      </c>
      <c r="C971" s="8">
        <v>45686.0</v>
      </c>
      <c r="D971" s="10"/>
      <c r="E971" s="10"/>
      <c r="F971" s="10"/>
      <c r="G971" s="10"/>
      <c r="H971" s="6" t="s">
        <v>1329</v>
      </c>
      <c r="I971" s="10"/>
      <c r="J971" s="6" t="s">
        <v>539</v>
      </c>
      <c r="K971" s="6" t="s">
        <v>624</v>
      </c>
      <c r="L971" s="10"/>
      <c r="M971" s="10"/>
      <c r="N971" s="10"/>
      <c r="O971" s="18">
        <v>500.0</v>
      </c>
      <c r="P971" s="10"/>
      <c r="Q971" s="6"/>
      <c r="R971" s="10"/>
    </row>
    <row r="972">
      <c r="A972" s="6" t="s">
        <v>5711</v>
      </c>
      <c r="B972" s="6" t="s">
        <v>35</v>
      </c>
      <c r="C972" s="8">
        <v>45691.0</v>
      </c>
      <c r="D972" s="10"/>
      <c r="E972" s="10"/>
      <c r="F972" s="10"/>
      <c r="G972" s="10"/>
      <c r="H972" s="6" t="s">
        <v>1329</v>
      </c>
      <c r="I972" s="10"/>
      <c r="J972" s="6" t="s">
        <v>539</v>
      </c>
      <c r="K972" s="6" t="s">
        <v>3795</v>
      </c>
      <c r="L972" s="10"/>
      <c r="M972" s="10"/>
      <c r="N972" s="10"/>
      <c r="O972" s="18">
        <v>500.0</v>
      </c>
      <c r="P972" s="10"/>
      <c r="Q972" s="6"/>
      <c r="R972" s="10"/>
    </row>
    <row r="973">
      <c r="A973" s="6" t="s">
        <v>5718</v>
      </c>
      <c r="B973" s="6" t="s">
        <v>35</v>
      </c>
      <c r="C973" s="8">
        <v>45691.0</v>
      </c>
      <c r="D973" s="6" t="s">
        <v>460</v>
      </c>
      <c r="E973" s="10"/>
      <c r="F973" s="10"/>
      <c r="G973" s="10"/>
      <c r="H973" s="6" t="s">
        <v>5721</v>
      </c>
      <c r="I973" s="10"/>
      <c r="J973" s="6" t="s">
        <v>539</v>
      </c>
      <c r="K973" s="10"/>
      <c r="L973" s="10"/>
      <c r="M973" s="10"/>
      <c r="N973" s="10"/>
      <c r="O973" s="18">
        <v>206.0</v>
      </c>
      <c r="P973" s="10"/>
      <c r="Q973" s="6"/>
      <c r="R973" s="10"/>
    </row>
    <row r="974">
      <c r="A974" s="6" t="s">
        <v>5725</v>
      </c>
      <c r="B974" s="6" t="s">
        <v>35</v>
      </c>
      <c r="C974" s="8">
        <v>45691.0</v>
      </c>
      <c r="D974" s="6" t="s">
        <v>460</v>
      </c>
      <c r="E974" s="10"/>
      <c r="F974" s="10"/>
      <c r="G974" s="10"/>
      <c r="H974" s="6" t="s">
        <v>5727</v>
      </c>
      <c r="I974" s="10"/>
      <c r="J974" s="6" t="s">
        <v>539</v>
      </c>
      <c r="K974" s="10"/>
      <c r="L974" s="10"/>
      <c r="M974" s="10"/>
      <c r="N974" s="10"/>
      <c r="O974" s="18">
        <v>136.0</v>
      </c>
      <c r="P974" s="10"/>
      <c r="Q974" s="6"/>
      <c r="R974" s="10"/>
    </row>
    <row r="975">
      <c r="A975" s="6" t="s">
        <v>5731</v>
      </c>
      <c r="B975" s="6" t="s">
        <v>35</v>
      </c>
      <c r="C975" s="8">
        <v>45691.0</v>
      </c>
      <c r="D975" s="6" t="s">
        <v>460</v>
      </c>
      <c r="E975" s="10"/>
      <c r="F975" s="10"/>
      <c r="G975" s="10"/>
      <c r="H975" s="6" t="s">
        <v>5734</v>
      </c>
      <c r="I975" s="10"/>
      <c r="J975" s="6" t="s">
        <v>539</v>
      </c>
      <c r="K975" s="10"/>
      <c r="L975" s="10"/>
      <c r="M975" s="10"/>
      <c r="N975" s="10"/>
      <c r="O975" s="18">
        <v>98.0</v>
      </c>
      <c r="P975" s="10"/>
      <c r="Q975" s="6"/>
      <c r="R975" s="10"/>
    </row>
    <row r="976">
      <c r="A976" s="6" t="s">
        <v>5737</v>
      </c>
      <c r="B976" s="6" t="s">
        <v>35</v>
      </c>
      <c r="C976" s="8">
        <v>45691.0</v>
      </c>
      <c r="D976" s="6" t="s">
        <v>460</v>
      </c>
      <c r="E976" s="10"/>
      <c r="F976" s="10"/>
      <c r="G976" s="10"/>
      <c r="H976" s="6" t="s">
        <v>5740</v>
      </c>
      <c r="I976" s="10"/>
      <c r="J976" s="6" t="s">
        <v>539</v>
      </c>
      <c r="K976" s="10"/>
      <c r="L976" s="10"/>
      <c r="M976" s="10"/>
      <c r="N976" s="10"/>
      <c r="O976" s="18">
        <v>110.0</v>
      </c>
      <c r="P976" s="10"/>
      <c r="Q976" s="6"/>
      <c r="R976" s="10"/>
    </row>
    <row r="977">
      <c r="A977" s="6" t="s">
        <v>5743</v>
      </c>
      <c r="B977" s="6" t="s">
        <v>35</v>
      </c>
      <c r="C977" s="8">
        <v>45691.0</v>
      </c>
      <c r="D977" s="6" t="s">
        <v>460</v>
      </c>
      <c r="E977" s="10"/>
      <c r="F977" s="10"/>
      <c r="G977" s="10"/>
      <c r="H977" s="6" t="s">
        <v>5746</v>
      </c>
      <c r="I977" s="10"/>
      <c r="J977" s="6" t="s">
        <v>539</v>
      </c>
      <c r="K977" s="10"/>
      <c r="L977" s="10"/>
      <c r="M977" s="10"/>
      <c r="N977" s="10"/>
      <c r="O977" s="18">
        <v>477.0</v>
      </c>
      <c r="P977" s="10"/>
      <c r="Q977" s="6"/>
      <c r="R977" s="10"/>
    </row>
    <row r="978">
      <c r="A978" s="6" t="s">
        <v>5750</v>
      </c>
      <c r="B978" s="6" t="s">
        <v>35</v>
      </c>
      <c r="C978" s="8">
        <v>45677.0</v>
      </c>
      <c r="D978" s="6" t="s">
        <v>3155</v>
      </c>
      <c r="E978" s="6" t="s">
        <v>5752</v>
      </c>
      <c r="F978" s="10"/>
      <c r="G978" s="6" t="s">
        <v>5754</v>
      </c>
      <c r="H978" s="6" t="s">
        <v>5755</v>
      </c>
      <c r="I978" s="17" t="b">
        <v>0</v>
      </c>
      <c r="J978" s="6" t="s">
        <v>546</v>
      </c>
      <c r="K978" s="10"/>
      <c r="L978" s="10"/>
      <c r="M978" s="10"/>
      <c r="N978" s="10"/>
      <c r="O978" s="18">
        <v>114.46</v>
      </c>
      <c r="P978" s="10"/>
      <c r="Q978" s="17" t="b">
        <v>1</v>
      </c>
      <c r="R978" s="10"/>
    </row>
    <row r="979">
      <c r="A979" s="6" t="s">
        <v>5759</v>
      </c>
      <c r="B979" s="6" t="s">
        <v>35</v>
      </c>
      <c r="C979" s="8">
        <v>45685.0</v>
      </c>
      <c r="D979" s="6" t="s">
        <v>112</v>
      </c>
      <c r="E979" s="6" t="s">
        <v>5761</v>
      </c>
      <c r="F979" s="10"/>
      <c r="G979" s="6" t="s">
        <v>5762</v>
      </c>
      <c r="H979" s="6" t="s">
        <v>157</v>
      </c>
      <c r="I979" s="17" t="b">
        <v>0</v>
      </c>
      <c r="J979" s="6" t="s">
        <v>546</v>
      </c>
      <c r="K979" s="10"/>
      <c r="L979" s="10"/>
      <c r="M979" s="10"/>
      <c r="N979" s="10"/>
      <c r="O979" s="18">
        <v>274.31</v>
      </c>
      <c r="P979" s="10"/>
      <c r="Q979" s="17" t="b">
        <v>1</v>
      </c>
      <c r="R979" s="10"/>
    </row>
    <row r="980">
      <c r="A980" s="6" t="s">
        <v>5766</v>
      </c>
      <c r="B980" s="6" t="s">
        <v>35</v>
      </c>
      <c r="C980" s="8">
        <v>45687.0</v>
      </c>
      <c r="D980" s="6" t="s">
        <v>112</v>
      </c>
      <c r="E980" s="6" t="s">
        <v>5768</v>
      </c>
      <c r="F980" s="10"/>
      <c r="G980" s="6" t="s">
        <v>5771</v>
      </c>
      <c r="H980" s="6" t="s">
        <v>157</v>
      </c>
      <c r="I980" s="17" t="b">
        <v>0</v>
      </c>
      <c r="J980" s="6" t="s">
        <v>546</v>
      </c>
      <c r="K980" s="10"/>
      <c r="L980" s="10"/>
      <c r="M980" s="10"/>
      <c r="N980" s="10"/>
      <c r="O980" s="18">
        <v>438.85</v>
      </c>
      <c r="P980" s="10"/>
      <c r="Q980" s="17" t="b">
        <v>1</v>
      </c>
      <c r="R980" s="10"/>
    </row>
    <row r="981">
      <c r="A981" s="6" t="s">
        <v>5775</v>
      </c>
      <c r="B981" s="6" t="s">
        <v>35</v>
      </c>
      <c r="C981" s="8">
        <v>45687.0</v>
      </c>
      <c r="D981" s="6" t="s">
        <v>764</v>
      </c>
      <c r="E981" s="6" t="s">
        <v>5778</v>
      </c>
      <c r="F981" s="10"/>
      <c r="G981" s="6" t="s">
        <v>5780</v>
      </c>
      <c r="H981" s="6" t="s">
        <v>195</v>
      </c>
      <c r="I981" s="17" t="b">
        <v>0</v>
      </c>
      <c r="J981" s="6" t="s">
        <v>546</v>
      </c>
      <c r="K981" s="10"/>
      <c r="L981" s="10"/>
      <c r="M981" s="10"/>
      <c r="N981" s="10"/>
      <c r="O981" s="18">
        <v>179.5</v>
      </c>
      <c r="P981" s="10"/>
      <c r="Q981" s="17" t="b">
        <v>1</v>
      </c>
      <c r="R981" s="10"/>
    </row>
    <row r="982">
      <c r="A982" s="6" t="s">
        <v>5784</v>
      </c>
      <c r="B982" s="6" t="s">
        <v>35</v>
      </c>
      <c r="C982" s="8">
        <v>45688.0</v>
      </c>
      <c r="D982" s="6" t="s">
        <v>2613</v>
      </c>
      <c r="E982" s="6" t="s">
        <v>5786</v>
      </c>
      <c r="F982" s="10"/>
      <c r="G982" s="6" t="s">
        <v>5787</v>
      </c>
      <c r="H982" s="6" t="s">
        <v>319</v>
      </c>
      <c r="I982" s="17" t="b">
        <v>1</v>
      </c>
      <c r="J982" s="6" t="s">
        <v>546</v>
      </c>
      <c r="K982" s="10"/>
      <c r="L982" s="10"/>
      <c r="M982" s="10"/>
      <c r="N982" s="10"/>
      <c r="O982" s="18">
        <v>241.88</v>
      </c>
      <c r="P982" s="18">
        <v>1291406.0</v>
      </c>
      <c r="Q982" s="17" t="b">
        <v>1</v>
      </c>
      <c r="R982" s="10"/>
    </row>
    <row r="983">
      <c r="A983" s="6" t="s">
        <v>5792</v>
      </c>
      <c r="B983" s="6" t="s">
        <v>35</v>
      </c>
      <c r="C983" s="8">
        <v>45688.0</v>
      </c>
      <c r="D983" s="6" t="s">
        <v>233</v>
      </c>
      <c r="E983" s="6" t="s">
        <v>5795</v>
      </c>
      <c r="F983" s="10"/>
      <c r="G983" s="6" t="s">
        <v>5796</v>
      </c>
      <c r="H983" s="6" t="s">
        <v>5798</v>
      </c>
      <c r="I983" s="17" t="b">
        <v>1</v>
      </c>
      <c r="J983" s="6" t="s">
        <v>546</v>
      </c>
      <c r="K983" s="10"/>
      <c r="L983" s="10"/>
      <c r="M983" s="10"/>
      <c r="N983" s="10"/>
      <c r="O983" s="18">
        <v>220.86</v>
      </c>
      <c r="P983" s="6" t="s">
        <v>5497</v>
      </c>
      <c r="Q983" s="17" t="b">
        <v>1</v>
      </c>
      <c r="R983" s="10"/>
    </row>
    <row r="984">
      <c r="A984" s="18">
        <v>4.7464915E7</v>
      </c>
      <c r="B984" s="6" t="s">
        <v>35</v>
      </c>
      <c r="C984" s="8">
        <v>45688.0</v>
      </c>
      <c r="D984" s="6" t="s">
        <v>543</v>
      </c>
      <c r="E984" s="6" t="s">
        <v>5803</v>
      </c>
      <c r="F984" s="10"/>
      <c r="G984" s="6" t="s">
        <v>5804</v>
      </c>
      <c r="H984" s="6" t="s">
        <v>171</v>
      </c>
      <c r="I984" s="17" t="b">
        <v>0</v>
      </c>
      <c r="J984" s="6" t="s">
        <v>546</v>
      </c>
      <c r="K984" s="10"/>
      <c r="L984" s="10"/>
      <c r="M984" s="10"/>
      <c r="N984" s="10"/>
      <c r="O984" s="18">
        <v>500.0</v>
      </c>
      <c r="P984" s="10"/>
      <c r="Q984" s="17" t="b">
        <v>1</v>
      </c>
      <c r="R984" s="10"/>
    </row>
    <row r="985">
      <c r="A985" s="6" t="s">
        <v>5810</v>
      </c>
      <c r="B985" s="6" t="s">
        <v>35</v>
      </c>
      <c r="C985" s="8">
        <v>45689.0</v>
      </c>
      <c r="D985" s="18">
        <v>8.627274E7</v>
      </c>
      <c r="E985" s="6" t="s">
        <v>5813</v>
      </c>
      <c r="F985" s="10"/>
      <c r="G985" s="6" t="s">
        <v>5814</v>
      </c>
      <c r="H985" s="6" t="s">
        <v>5815</v>
      </c>
      <c r="I985" s="17" t="b">
        <v>1</v>
      </c>
      <c r="J985" s="6" t="s">
        <v>546</v>
      </c>
      <c r="K985" s="10"/>
      <c r="L985" s="10"/>
      <c r="M985" s="10"/>
      <c r="N985" s="10"/>
      <c r="O985" s="18">
        <v>89.95</v>
      </c>
      <c r="P985" s="18">
        <v>1293444.0</v>
      </c>
      <c r="Q985" s="17" t="b">
        <v>1</v>
      </c>
      <c r="R985" s="10"/>
    </row>
    <row r="986">
      <c r="A986" s="6" t="s">
        <v>5818</v>
      </c>
      <c r="B986" s="6" t="s">
        <v>35</v>
      </c>
      <c r="C986" s="8">
        <v>45689.0</v>
      </c>
      <c r="D986" s="6" t="s">
        <v>112</v>
      </c>
      <c r="E986" s="6" t="s">
        <v>5820</v>
      </c>
      <c r="F986" s="10"/>
      <c r="G986" s="6" t="s">
        <v>5822</v>
      </c>
      <c r="H986" s="6" t="s">
        <v>157</v>
      </c>
      <c r="I986" s="17" t="b">
        <v>0</v>
      </c>
      <c r="J986" s="6" t="s">
        <v>546</v>
      </c>
      <c r="K986" s="10"/>
      <c r="L986" s="10"/>
      <c r="M986" s="10"/>
      <c r="N986" s="10"/>
      <c r="O986" s="18">
        <v>188.47</v>
      </c>
      <c r="P986" s="10"/>
      <c r="Q986" s="17" t="b">
        <v>1</v>
      </c>
      <c r="R986" s="10"/>
    </row>
    <row r="987">
      <c r="A987" s="6" t="s">
        <v>5825</v>
      </c>
      <c r="B987" s="6" t="s">
        <v>35</v>
      </c>
      <c r="C987" s="8">
        <v>45689.0</v>
      </c>
      <c r="D987" s="6" t="s">
        <v>4029</v>
      </c>
      <c r="E987" s="6" t="s">
        <v>5827</v>
      </c>
      <c r="F987" s="10"/>
      <c r="G987" s="6" t="s">
        <v>5828</v>
      </c>
      <c r="H987" s="6" t="s">
        <v>5830</v>
      </c>
      <c r="I987" s="17" t="b">
        <v>1</v>
      </c>
      <c r="J987" s="6" t="s">
        <v>546</v>
      </c>
      <c r="K987" s="10"/>
      <c r="L987" s="10"/>
      <c r="M987" s="10"/>
      <c r="N987" s="10"/>
      <c r="O987" s="18">
        <v>31.0</v>
      </c>
      <c r="P987" s="18">
        <v>1291798.0</v>
      </c>
      <c r="Q987" s="17" t="b">
        <v>1</v>
      </c>
      <c r="R987" s="10"/>
    </row>
    <row r="988">
      <c r="A988" s="6" t="s">
        <v>5832</v>
      </c>
      <c r="B988" s="6" t="s">
        <v>35</v>
      </c>
      <c r="C988" s="8">
        <v>45691.0</v>
      </c>
      <c r="D988" s="6" t="s">
        <v>543</v>
      </c>
      <c r="E988" s="6" t="s">
        <v>5834</v>
      </c>
      <c r="F988" s="10"/>
      <c r="G988" s="6" t="s">
        <v>5835</v>
      </c>
      <c r="H988" s="6" t="s">
        <v>171</v>
      </c>
      <c r="I988" s="17" t="b">
        <v>0</v>
      </c>
      <c r="J988" s="6" t="s">
        <v>546</v>
      </c>
      <c r="K988" s="10"/>
      <c r="L988" s="10"/>
      <c r="M988" s="10"/>
      <c r="N988" s="10"/>
      <c r="O988" s="18">
        <v>500.0</v>
      </c>
      <c r="P988" s="10"/>
      <c r="Q988" s="17" t="b">
        <v>1</v>
      </c>
      <c r="R988" s="10"/>
    </row>
    <row r="989">
      <c r="A989" s="6" t="s">
        <v>5838</v>
      </c>
      <c r="B989" s="6" t="s">
        <v>35</v>
      </c>
      <c r="C989" s="8">
        <v>45691.0</v>
      </c>
      <c r="D989" s="6" t="s">
        <v>1414</v>
      </c>
      <c r="E989" s="6" t="s">
        <v>5840</v>
      </c>
      <c r="F989" s="10"/>
      <c r="G989" s="6" t="s">
        <v>5842</v>
      </c>
      <c r="H989" s="6" t="s">
        <v>5843</v>
      </c>
      <c r="I989" s="17" t="b">
        <v>1</v>
      </c>
      <c r="J989" s="6" t="s">
        <v>546</v>
      </c>
      <c r="K989" s="10"/>
      <c r="L989" s="10"/>
      <c r="M989" s="10"/>
      <c r="N989" s="10"/>
      <c r="O989" s="18">
        <v>50.0</v>
      </c>
      <c r="P989" s="18">
        <v>1298164.0</v>
      </c>
      <c r="Q989" s="17" t="b">
        <v>1</v>
      </c>
      <c r="R989" s="10"/>
    </row>
    <row r="990">
      <c r="A990" s="6" t="s">
        <v>5846</v>
      </c>
      <c r="B990" s="6" t="s">
        <v>35</v>
      </c>
      <c r="C990" s="8">
        <v>45692.0</v>
      </c>
      <c r="D990" s="6" t="s">
        <v>2439</v>
      </c>
      <c r="E990" s="6" t="s">
        <v>5848</v>
      </c>
      <c r="F990" s="10"/>
      <c r="G990" s="6" t="s">
        <v>5850</v>
      </c>
      <c r="H990" s="6" t="s">
        <v>5136</v>
      </c>
      <c r="I990" s="17" t="b">
        <v>0</v>
      </c>
      <c r="J990" s="6" t="s">
        <v>546</v>
      </c>
      <c r="K990" s="10"/>
      <c r="L990" s="10"/>
      <c r="M990" s="10"/>
      <c r="N990" s="10"/>
      <c r="O990" s="18">
        <v>286.01</v>
      </c>
      <c r="P990" s="10"/>
      <c r="Q990" s="17" t="b">
        <v>1</v>
      </c>
      <c r="R990" s="10"/>
    </row>
    <row r="991">
      <c r="A991" s="6" t="s">
        <v>5855</v>
      </c>
      <c r="B991" s="6" t="s">
        <v>35</v>
      </c>
      <c r="C991" s="8">
        <v>45692.0</v>
      </c>
      <c r="D991" s="6" t="s">
        <v>2129</v>
      </c>
      <c r="E991" s="6" t="s">
        <v>5858</v>
      </c>
      <c r="F991" s="10"/>
      <c r="G991" s="6" t="s">
        <v>5860</v>
      </c>
      <c r="H991" s="6" t="s">
        <v>5815</v>
      </c>
      <c r="I991" s="17" t="b">
        <v>1</v>
      </c>
      <c r="J991" s="6" t="s">
        <v>546</v>
      </c>
      <c r="K991" s="10"/>
      <c r="L991" s="10"/>
      <c r="M991" s="10"/>
      <c r="N991" s="10"/>
      <c r="O991" s="18">
        <v>204.26</v>
      </c>
      <c r="P991" s="6" t="s">
        <v>5497</v>
      </c>
      <c r="Q991" s="17" t="b">
        <v>1</v>
      </c>
      <c r="R991" s="10"/>
    </row>
    <row r="992">
      <c r="A992" s="6" t="s">
        <v>5865</v>
      </c>
      <c r="B992" s="6" t="s">
        <v>35</v>
      </c>
      <c r="C992" s="8">
        <v>45692.0</v>
      </c>
      <c r="D992" s="6" t="s">
        <v>5866</v>
      </c>
      <c r="E992" s="6" t="s">
        <v>5867</v>
      </c>
      <c r="F992" s="10"/>
      <c r="G992" s="6" t="s">
        <v>5868</v>
      </c>
      <c r="H992" s="6" t="s">
        <v>4042</v>
      </c>
      <c r="I992" s="17" t="b">
        <v>0</v>
      </c>
      <c r="J992" s="6" t="s">
        <v>546</v>
      </c>
      <c r="K992" s="10"/>
      <c r="L992" s="10"/>
      <c r="M992" s="10"/>
      <c r="N992" s="10"/>
      <c r="O992" s="18">
        <v>49.87</v>
      </c>
      <c r="P992" s="10"/>
      <c r="Q992" s="17" t="b">
        <v>1</v>
      </c>
      <c r="R992" s="10"/>
    </row>
    <row r="993">
      <c r="A993" s="6" t="s">
        <v>5872</v>
      </c>
      <c r="B993" s="6" t="s">
        <v>35</v>
      </c>
      <c r="C993" s="8">
        <v>45692.0</v>
      </c>
      <c r="D993" s="6" t="s">
        <v>112</v>
      </c>
      <c r="E993" s="6" t="s">
        <v>5875</v>
      </c>
      <c r="F993" s="10"/>
      <c r="G993" s="6" t="s">
        <v>5876</v>
      </c>
      <c r="H993" s="6" t="s">
        <v>157</v>
      </c>
      <c r="I993" s="17" t="b">
        <v>0</v>
      </c>
      <c r="J993" s="6" t="s">
        <v>546</v>
      </c>
      <c r="K993" s="10"/>
      <c r="L993" s="10"/>
      <c r="M993" s="10"/>
      <c r="N993" s="10"/>
      <c r="O993" s="18">
        <v>169.21</v>
      </c>
      <c r="P993" s="10"/>
      <c r="Q993" s="17" t="b">
        <v>1</v>
      </c>
      <c r="R993" s="10"/>
    </row>
    <row r="994">
      <c r="A994" s="6" t="s">
        <v>5880</v>
      </c>
      <c r="B994" s="6" t="s">
        <v>35</v>
      </c>
      <c r="C994" s="8">
        <v>45692.0</v>
      </c>
      <c r="D994" s="18">
        <v>2.6065919E7</v>
      </c>
      <c r="E994" s="6" t="s">
        <v>5883</v>
      </c>
      <c r="F994" s="10"/>
      <c r="G994" s="6" t="s">
        <v>5884</v>
      </c>
      <c r="H994" s="6" t="s">
        <v>5885</v>
      </c>
      <c r="I994" s="17" t="b">
        <v>1</v>
      </c>
      <c r="J994" s="6" t="s">
        <v>546</v>
      </c>
      <c r="K994" s="10"/>
      <c r="L994" s="10"/>
      <c r="M994" s="10"/>
      <c r="N994" s="10"/>
      <c r="O994" s="18">
        <v>134.0</v>
      </c>
      <c r="P994" s="18">
        <v>1299418.0</v>
      </c>
      <c r="Q994" s="17" t="b">
        <v>1</v>
      </c>
      <c r="R994" s="10"/>
    </row>
    <row r="995">
      <c r="A995" s="6" t="s">
        <v>5889</v>
      </c>
      <c r="B995" s="6" t="s">
        <v>35</v>
      </c>
      <c r="C995" s="8">
        <v>45692.0</v>
      </c>
      <c r="D995" s="6" t="s">
        <v>764</v>
      </c>
      <c r="E995" s="6" t="s">
        <v>5892</v>
      </c>
      <c r="F995" s="10"/>
      <c r="G995" s="6" t="s">
        <v>5893</v>
      </c>
      <c r="H995" s="6" t="s">
        <v>195</v>
      </c>
      <c r="I995" s="17" t="b">
        <v>0</v>
      </c>
      <c r="J995" s="6" t="s">
        <v>546</v>
      </c>
      <c r="K995" s="10"/>
      <c r="L995" s="6" t="s">
        <v>5896</v>
      </c>
      <c r="M995" s="10"/>
      <c r="N995" s="10"/>
      <c r="O995" s="18">
        <v>1066.91</v>
      </c>
      <c r="P995" s="10"/>
      <c r="Q995" s="17" t="b">
        <v>1</v>
      </c>
      <c r="R995" s="10"/>
    </row>
    <row r="996">
      <c r="A996" s="6" t="s">
        <v>5899</v>
      </c>
      <c r="B996" s="6" t="s">
        <v>35</v>
      </c>
      <c r="C996" s="8">
        <v>45694.0</v>
      </c>
      <c r="D996" s="10"/>
      <c r="E996" s="10"/>
      <c r="F996" s="10"/>
      <c r="G996" s="10"/>
      <c r="H996" s="6" t="s">
        <v>1329</v>
      </c>
      <c r="I996" s="10"/>
      <c r="J996" s="6" t="s">
        <v>539</v>
      </c>
      <c r="K996" s="6" t="s">
        <v>624</v>
      </c>
      <c r="L996" s="10"/>
      <c r="M996" s="10"/>
      <c r="N996" s="10"/>
      <c r="O996" s="18">
        <v>500.0</v>
      </c>
      <c r="P996" s="10"/>
      <c r="Q996" s="6"/>
      <c r="R996" s="10"/>
    </row>
    <row r="997">
      <c r="A997" s="6" t="s">
        <v>5904</v>
      </c>
      <c r="B997" s="6" t="s">
        <v>35</v>
      </c>
      <c r="C997" s="8">
        <v>45695.0</v>
      </c>
      <c r="D997" s="10"/>
      <c r="E997" s="10"/>
      <c r="F997" s="10"/>
      <c r="G997" s="10"/>
      <c r="H997" s="6" t="s">
        <v>1329</v>
      </c>
      <c r="I997" s="10"/>
      <c r="J997" s="6" t="s">
        <v>539</v>
      </c>
      <c r="K997" s="6" t="s">
        <v>2052</v>
      </c>
      <c r="L997" s="10"/>
      <c r="M997" s="10"/>
      <c r="N997" s="10"/>
      <c r="O997" s="18">
        <v>500.0</v>
      </c>
      <c r="P997" s="10"/>
      <c r="Q997" s="6"/>
      <c r="R997" s="10"/>
    </row>
    <row r="998">
      <c r="A998" s="6" t="s">
        <v>5910</v>
      </c>
      <c r="B998" s="6" t="s">
        <v>35</v>
      </c>
      <c r="C998" s="8">
        <v>45691.0</v>
      </c>
      <c r="D998" s="6" t="s">
        <v>890</v>
      </c>
      <c r="E998" s="6" t="s">
        <v>5912</v>
      </c>
      <c r="F998" s="10"/>
      <c r="G998" s="6" t="s">
        <v>5914</v>
      </c>
      <c r="H998" s="6" t="s">
        <v>5915</v>
      </c>
      <c r="I998" s="17" t="b">
        <v>0</v>
      </c>
      <c r="J998" s="6" t="s">
        <v>546</v>
      </c>
      <c r="K998" s="10"/>
      <c r="L998" s="6" t="s">
        <v>5917</v>
      </c>
      <c r="M998" s="10"/>
      <c r="N998" s="10"/>
      <c r="O998" s="18">
        <v>907.49</v>
      </c>
      <c r="P998" s="10"/>
      <c r="Q998" s="17" t="b">
        <v>1</v>
      </c>
      <c r="R998" s="10"/>
    </row>
    <row r="999">
      <c r="A999" s="6" t="s">
        <v>5920</v>
      </c>
      <c r="B999" s="6" t="s">
        <v>35</v>
      </c>
      <c r="C999" s="8">
        <v>45691.0</v>
      </c>
      <c r="D999" s="6" t="s">
        <v>890</v>
      </c>
      <c r="E999" s="6" t="s">
        <v>5922</v>
      </c>
      <c r="F999" s="10"/>
      <c r="G999" s="6" t="s">
        <v>5924</v>
      </c>
      <c r="H999" s="6" t="s">
        <v>1511</v>
      </c>
      <c r="I999" s="17" t="b">
        <v>0</v>
      </c>
      <c r="J999" s="6" t="s">
        <v>546</v>
      </c>
      <c r="K999" s="10"/>
      <c r="L999" s="6" t="s">
        <v>5926</v>
      </c>
      <c r="M999" s="6" t="s">
        <v>5928</v>
      </c>
      <c r="N999" s="10"/>
      <c r="O999" s="18">
        <v>9642.94</v>
      </c>
      <c r="P999" s="10"/>
      <c r="Q999" s="17" t="b">
        <v>1</v>
      </c>
      <c r="R999" s="10"/>
    </row>
    <row r="1000">
      <c r="A1000" s="6" t="s">
        <v>5930</v>
      </c>
      <c r="B1000" s="6" t="s">
        <v>35</v>
      </c>
      <c r="C1000" s="8">
        <v>45692.0</v>
      </c>
      <c r="D1000" s="6" t="s">
        <v>858</v>
      </c>
      <c r="E1000" s="6" t="s">
        <v>5932</v>
      </c>
      <c r="F1000" s="10"/>
      <c r="G1000" s="6" t="s">
        <v>5934</v>
      </c>
      <c r="H1000" s="6" t="s">
        <v>5935</v>
      </c>
      <c r="I1000" s="17" t="b">
        <v>0</v>
      </c>
      <c r="J1000" s="6" t="s">
        <v>546</v>
      </c>
      <c r="K1000" s="10"/>
      <c r="L1000" s="10"/>
      <c r="M1000" s="10"/>
      <c r="N1000" s="10"/>
      <c r="O1000" s="18">
        <v>1431.61</v>
      </c>
      <c r="P1000" s="10"/>
      <c r="Q1000" s="17" t="b">
        <v>1</v>
      </c>
      <c r="R1000" s="10"/>
    </row>
    <row r="1001">
      <c r="A1001" s="6" t="s">
        <v>5939</v>
      </c>
      <c r="B1001" s="6" t="s">
        <v>35</v>
      </c>
      <c r="C1001" s="8">
        <v>45693.0</v>
      </c>
      <c r="D1001" s="6" t="s">
        <v>890</v>
      </c>
      <c r="E1001" s="6" t="s">
        <v>5941</v>
      </c>
      <c r="F1001" s="10"/>
      <c r="G1001" s="6" t="s">
        <v>5942</v>
      </c>
      <c r="H1001" s="6" t="s">
        <v>4787</v>
      </c>
      <c r="I1001" s="17" t="b">
        <v>0</v>
      </c>
      <c r="J1001" s="6" t="s">
        <v>546</v>
      </c>
      <c r="K1001" s="10"/>
      <c r="L1001" s="6" t="s">
        <v>5945</v>
      </c>
      <c r="M1001" s="6" t="s">
        <v>5946</v>
      </c>
      <c r="N1001" s="6" t="s">
        <v>5948</v>
      </c>
      <c r="O1001" s="18">
        <v>19552.53</v>
      </c>
      <c r="P1001" s="10"/>
      <c r="Q1001" s="17" t="b">
        <v>1</v>
      </c>
      <c r="R1001" s="10"/>
    </row>
    <row r="1002">
      <c r="A1002" s="6" t="s">
        <v>5950</v>
      </c>
      <c r="B1002" s="6" t="s">
        <v>35</v>
      </c>
      <c r="C1002" s="8">
        <v>45693.0</v>
      </c>
      <c r="D1002" s="6" t="s">
        <v>145</v>
      </c>
      <c r="E1002" s="6" t="s">
        <v>5952</v>
      </c>
      <c r="F1002" s="10"/>
      <c r="G1002" s="6" t="s">
        <v>5954</v>
      </c>
      <c r="H1002" s="6" t="s">
        <v>3627</v>
      </c>
      <c r="I1002" s="17" t="b">
        <v>0</v>
      </c>
      <c r="J1002" s="6" t="s">
        <v>546</v>
      </c>
      <c r="K1002" s="10"/>
      <c r="L1002" s="10"/>
      <c r="M1002" s="10"/>
      <c r="N1002" s="10"/>
      <c r="O1002" s="18">
        <v>276.0</v>
      </c>
      <c r="P1002" s="10"/>
      <c r="Q1002" s="17" t="b">
        <v>1</v>
      </c>
      <c r="R1002" s="10"/>
    </row>
    <row r="1003">
      <c r="A1003" s="6" t="s">
        <v>5958</v>
      </c>
      <c r="B1003" s="6" t="s">
        <v>35</v>
      </c>
      <c r="C1003" s="8">
        <v>45693.0</v>
      </c>
      <c r="D1003" s="18">
        <v>2.6065919E7</v>
      </c>
      <c r="E1003" s="6" t="s">
        <v>5960</v>
      </c>
      <c r="F1003" s="10"/>
      <c r="G1003" s="6" t="s">
        <v>5961</v>
      </c>
      <c r="H1003" s="6" t="s">
        <v>5373</v>
      </c>
      <c r="I1003" s="17" t="b">
        <v>1</v>
      </c>
      <c r="J1003" s="6" t="s">
        <v>546</v>
      </c>
      <c r="K1003" s="10"/>
      <c r="L1003" s="10"/>
      <c r="M1003" s="10"/>
      <c r="N1003" s="10"/>
      <c r="O1003" s="18">
        <v>268.86</v>
      </c>
      <c r="P1003" s="18">
        <v>1300889.0</v>
      </c>
      <c r="Q1003" s="17" t="b">
        <v>1</v>
      </c>
      <c r="R1003" s="10"/>
    </row>
    <row r="1004">
      <c r="A1004" s="6" t="s">
        <v>5965</v>
      </c>
      <c r="B1004" s="6" t="s">
        <v>35</v>
      </c>
      <c r="C1004" s="8">
        <v>45693.0</v>
      </c>
      <c r="D1004" s="6" t="s">
        <v>5967</v>
      </c>
      <c r="E1004" s="6" t="s">
        <v>5968</v>
      </c>
      <c r="F1004" s="10"/>
      <c r="G1004" s="6" t="s">
        <v>5970</v>
      </c>
      <c r="H1004" s="6" t="s">
        <v>5971</v>
      </c>
      <c r="I1004" s="17" t="b">
        <v>1</v>
      </c>
      <c r="J1004" s="6" t="s">
        <v>546</v>
      </c>
      <c r="K1004" s="10"/>
      <c r="L1004" s="10"/>
      <c r="M1004" s="10"/>
      <c r="N1004" s="10"/>
      <c r="O1004" s="18">
        <v>30.0</v>
      </c>
      <c r="P1004" s="18">
        <v>1301034.0</v>
      </c>
      <c r="Q1004" s="17" t="b">
        <v>1</v>
      </c>
      <c r="R1004" s="10"/>
    </row>
    <row r="1005">
      <c r="A1005" s="6" t="s">
        <v>5975</v>
      </c>
      <c r="B1005" s="6" t="s">
        <v>35</v>
      </c>
      <c r="C1005" s="8">
        <v>45695.0</v>
      </c>
      <c r="D1005" s="6" t="s">
        <v>112</v>
      </c>
      <c r="E1005" s="6" t="s">
        <v>5978</v>
      </c>
      <c r="F1005" s="10"/>
      <c r="G1005" s="6" t="s">
        <v>5979</v>
      </c>
      <c r="H1005" s="6" t="s">
        <v>157</v>
      </c>
      <c r="I1005" s="17" t="b">
        <v>0</v>
      </c>
      <c r="J1005" s="6" t="s">
        <v>546</v>
      </c>
      <c r="K1005" s="10"/>
      <c r="L1005" s="10"/>
      <c r="M1005" s="10"/>
      <c r="N1005" s="10"/>
      <c r="O1005" s="18">
        <v>577.29</v>
      </c>
      <c r="P1005" s="10"/>
      <c r="Q1005" s="17" t="b">
        <v>1</v>
      </c>
      <c r="R1005" s="10"/>
    </row>
    <row r="1006">
      <c r="A1006" s="6" t="s">
        <v>5983</v>
      </c>
      <c r="B1006" s="6" t="s">
        <v>35</v>
      </c>
      <c r="C1006" s="8">
        <v>45695.0</v>
      </c>
      <c r="D1006" s="6" t="s">
        <v>543</v>
      </c>
      <c r="E1006" s="6" t="s">
        <v>5985</v>
      </c>
      <c r="F1006" s="10"/>
      <c r="G1006" s="6" t="s">
        <v>5987</v>
      </c>
      <c r="H1006" s="6" t="s">
        <v>171</v>
      </c>
      <c r="I1006" s="17" t="b">
        <v>0</v>
      </c>
      <c r="J1006" s="6" t="s">
        <v>546</v>
      </c>
      <c r="K1006" s="10"/>
      <c r="L1006" s="10"/>
      <c r="M1006" s="10"/>
      <c r="N1006" s="10"/>
      <c r="O1006" s="18">
        <v>300.0</v>
      </c>
      <c r="P1006" s="10"/>
      <c r="Q1006" s="17" t="b">
        <v>1</v>
      </c>
      <c r="R1006" s="10"/>
    </row>
    <row r="1007">
      <c r="A1007" s="6" t="s">
        <v>5991</v>
      </c>
      <c r="B1007" s="6" t="s">
        <v>35</v>
      </c>
      <c r="C1007" s="8">
        <v>45692.0</v>
      </c>
      <c r="D1007" s="6" t="s">
        <v>1414</v>
      </c>
      <c r="E1007" s="6" t="s">
        <v>5993</v>
      </c>
      <c r="F1007" s="25"/>
      <c r="G1007" s="6" t="s">
        <v>5995</v>
      </c>
      <c r="H1007" s="6" t="s">
        <v>5996</v>
      </c>
      <c r="I1007" s="17" t="b">
        <v>1</v>
      </c>
      <c r="J1007" s="6" t="s">
        <v>546</v>
      </c>
      <c r="K1007" s="10"/>
      <c r="L1007" s="10"/>
      <c r="M1007" s="10"/>
      <c r="N1007" s="10"/>
      <c r="O1007" s="18">
        <v>50.0</v>
      </c>
      <c r="P1007" s="18">
        <v>1299654.0</v>
      </c>
      <c r="Q1007" s="17" t="b">
        <v>1</v>
      </c>
      <c r="R1007" s="10"/>
    </row>
    <row r="1008">
      <c r="A1008" s="6" t="s">
        <v>6000</v>
      </c>
      <c r="B1008" s="6" t="s">
        <v>35</v>
      </c>
      <c r="C1008" s="8">
        <v>45696.0</v>
      </c>
      <c r="D1008" s="6" t="s">
        <v>112</v>
      </c>
      <c r="E1008" s="6" t="s">
        <v>6002</v>
      </c>
      <c r="F1008" s="25"/>
      <c r="G1008" s="6" t="s">
        <v>6004</v>
      </c>
      <c r="H1008" s="6" t="s">
        <v>157</v>
      </c>
      <c r="I1008" s="17" t="b">
        <v>0</v>
      </c>
      <c r="J1008" s="6" t="s">
        <v>546</v>
      </c>
      <c r="K1008" s="10"/>
      <c r="L1008" s="10"/>
      <c r="M1008" s="10"/>
      <c r="N1008" s="10"/>
      <c r="O1008" s="18">
        <v>140.35</v>
      </c>
      <c r="P1008" s="10"/>
      <c r="Q1008" s="17" t="b">
        <v>1</v>
      </c>
      <c r="R1008" s="10"/>
    </row>
    <row r="1009">
      <c r="A1009" s="6" t="s">
        <v>6007</v>
      </c>
      <c r="B1009" s="6" t="s">
        <v>35</v>
      </c>
      <c r="C1009" s="8">
        <v>45698.0</v>
      </c>
      <c r="D1009" s="6" t="s">
        <v>6008</v>
      </c>
      <c r="E1009" s="6" t="s">
        <v>6009</v>
      </c>
      <c r="F1009" s="10"/>
      <c r="G1009" s="6" t="s">
        <v>6011</v>
      </c>
      <c r="H1009" s="6" t="s">
        <v>171</v>
      </c>
      <c r="I1009" s="17" t="b">
        <v>0</v>
      </c>
      <c r="J1009" s="6" t="s">
        <v>546</v>
      </c>
      <c r="K1009" s="10"/>
      <c r="L1009" s="10"/>
      <c r="M1009" s="10"/>
      <c r="N1009" s="10"/>
      <c r="O1009" s="18">
        <v>500.0</v>
      </c>
      <c r="P1009" s="10"/>
      <c r="Q1009" s="17" t="b">
        <v>1</v>
      </c>
      <c r="R1009" s="10"/>
    </row>
    <row r="1010">
      <c r="A1010" s="6" t="s">
        <v>6013</v>
      </c>
      <c r="B1010" s="6" t="s">
        <v>35</v>
      </c>
      <c r="C1010" s="8">
        <v>45698.0</v>
      </c>
      <c r="D1010" s="6" t="s">
        <v>112</v>
      </c>
      <c r="E1010" s="6" t="s">
        <v>6015</v>
      </c>
      <c r="F1010" s="10"/>
      <c r="G1010" s="6" t="s">
        <v>6016</v>
      </c>
      <c r="H1010" s="6" t="s">
        <v>157</v>
      </c>
      <c r="I1010" s="17" t="b">
        <v>0</v>
      </c>
      <c r="J1010" s="6" t="s">
        <v>546</v>
      </c>
      <c r="K1010" s="10"/>
      <c r="L1010" s="10"/>
      <c r="M1010" s="10"/>
      <c r="N1010" s="10"/>
      <c r="O1010" s="18">
        <v>165.2</v>
      </c>
      <c r="P1010" s="10"/>
      <c r="Q1010" s="17" t="b">
        <v>1</v>
      </c>
      <c r="R1010" s="10"/>
    </row>
    <row r="1011">
      <c r="A1011" s="6" t="s">
        <v>6019</v>
      </c>
      <c r="B1011" s="6" t="s">
        <v>35</v>
      </c>
      <c r="C1011" s="8">
        <v>45699.0</v>
      </c>
      <c r="D1011" s="6" t="s">
        <v>3716</v>
      </c>
      <c r="E1011" s="6" t="s">
        <v>6021</v>
      </c>
      <c r="F1011" s="10"/>
      <c r="G1011" s="6" t="s">
        <v>6023</v>
      </c>
      <c r="H1011" s="6" t="s">
        <v>6025</v>
      </c>
      <c r="I1011" s="17" t="b">
        <v>1</v>
      </c>
      <c r="J1011" s="6" t="s">
        <v>546</v>
      </c>
      <c r="K1011" s="10"/>
      <c r="L1011" s="10"/>
      <c r="M1011" s="10"/>
      <c r="N1011" s="10"/>
      <c r="O1011" s="18">
        <v>208.5</v>
      </c>
      <c r="P1011" s="18">
        <v>1313344.0</v>
      </c>
      <c r="Q1011" s="17" t="b">
        <v>1</v>
      </c>
      <c r="R1011" s="10"/>
    </row>
    <row r="1012">
      <c r="A1012" s="6" t="s">
        <v>6027</v>
      </c>
      <c r="B1012" s="6" t="s">
        <v>35</v>
      </c>
      <c r="C1012" s="8">
        <v>45699.0</v>
      </c>
      <c r="D1012" s="6" t="s">
        <v>2248</v>
      </c>
      <c r="E1012" s="10"/>
      <c r="F1012" s="10"/>
      <c r="G1012" s="10"/>
      <c r="H1012" s="6" t="s">
        <v>2549</v>
      </c>
      <c r="I1012" s="10"/>
      <c r="J1012" s="6" t="s">
        <v>539</v>
      </c>
      <c r="K1012" s="10"/>
      <c r="L1012" s="10"/>
      <c r="M1012" s="10"/>
      <c r="N1012" s="10"/>
      <c r="O1012" s="18">
        <v>354.04</v>
      </c>
      <c r="P1012" s="10"/>
      <c r="Q1012" s="6"/>
      <c r="R1012" s="10"/>
    </row>
    <row r="1013">
      <c r="A1013" s="6" t="s">
        <v>6032</v>
      </c>
      <c r="B1013" s="6" t="s">
        <v>35</v>
      </c>
      <c r="C1013" s="8">
        <v>45699.0</v>
      </c>
      <c r="D1013" s="6" t="s">
        <v>890</v>
      </c>
      <c r="E1013" s="10"/>
      <c r="F1013" s="10"/>
      <c r="G1013" s="10"/>
      <c r="H1013" s="6" t="s">
        <v>4010</v>
      </c>
      <c r="I1013" s="10"/>
      <c r="J1013" s="6" t="s">
        <v>539</v>
      </c>
      <c r="K1013" s="10"/>
      <c r="L1013" s="10"/>
      <c r="M1013" s="10"/>
      <c r="N1013" s="10"/>
      <c r="O1013" s="18">
        <v>375.0</v>
      </c>
      <c r="P1013" s="10"/>
      <c r="Q1013" s="6"/>
      <c r="R1013" s="10"/>
    </row>
    <row r="1014">
      <c r="A1014" s="6" t="s">
        <v>6038</v>
      </c>
      <c r="B1014" s="6" t="s">
        <v>35</v>
      </c>
      <c r="C1014" s="8">
        <v>45700.0</v>
      </c>
      <c r="D1014" s="6" t="s">
        <v>764</v>
      </c>
      <c r="E1014" s="6" t="s">
        <v>6041</v>
      </c>
      <c r="F1014" s="10"/>
      <c r="G1014" s="6" t="s">
        <v>6043</v>
      </c>
      <c r="H1014" s="6" t="s">
        <v>195</v>
      </c>
      <c r="I1014" s="17" t="b">
        <v>0</v>
      </c>
      <c r="J1014" s="6" t="s">
        <v>546</v>
      </c>
      <c r="K1014" s="10"/>
      <c r="L1014" s="6" t="s">
        <v>6045</v>
      </c>
      <c r="M1014" s="10"/>
      <c r="N1014" s="10"/>
      <c r="O1014" s="18">
        <v>1240.2</v>
      </c>
      <c r="P1014" s="10"/>
      <c r="Q1014" s="17" t="b">
        <v>1</v>
      </c>
      <c r="R1014" s="10"/>
    </row>
    <row r="1015">
      <c r="A1015" s="6" t="s">
        <v>6048</v>
      </c>
      <c r="B1015" s="6" t="s">
        <v>35</v>
      </c>
      <c r="C1015" s="8">
        <v>45700.0</v>
      </c>
      <c r="D1015" s="6" t="s">
        <v>420</v>
      </c>
      <c r="E1015" s="6" t="s">
        <v>6051</v>
      </c>
      <c r="F1015" s="10"/>
      <c r="G1015" s="6" t="s">
        <v>6053</v>
      </c>
      <c r="H1015" s="6" t="s">
        <v>6054</v>
      </c>
      <c r="I1015" s="17" t="b">
        <v>0</v>
      </c>
      <c r="J1015" s="6" t="s">
        <v>546</v>
      </c>
      <c r="K1015" s="10"/>
      <c r="L1015" s="6" t="s">
        <v>6056</v>
      </c>
      <c r="M1015" s="10"/>
      <c r="N1015" s="10"/>
      <c r="O1015" s="18">
        <v>2317.48</v>
      </c>
      <c r="P1015" s="10"/>
      <c r="Q1015" s="17" t="b">
        <v>1</v>
      </c>
      <c r="R1015" s="10"/>
    </row>
    <row r="1016">
      <c r="A1016" s="18">
        <v>1.93579329E8</v>
      </c>
      <c r="B1016" s="6" t="s">
        <v>35</v>
      </c>
      <c r="C1016" s="8">
        <v>45701.0</v>
      </c>
      <c r="D1016" s="10"/>
      <c r="E1016" s="10"/>
      <c r="F1016" s="10"/>
      <c r="G1016" s="10"/>
      <c r="H1016" s="6" t="s">
        <v>1329</v>
      </c>
      <c r="I1016" s="10"/>
      <c r="J1016" s="6" t="s">
        <v>2051</v>
      </c>
      <c r="K1016" s="6" t="s">
        <v>6062</v>
      </c>
      <c r="L1016" s="10"/>
      <c r="M1016" s="10"/>
      <c r="N1016" s="10"/>
      <c r="O1016" s="18">
        <v>500.0</v>
      </c>
      <c r="P1016" s="10"/>
      <c r="Q1016" s="6"/>
      <c r="R1016" s="10"/>
    </row>
    <row r="1017">
      <c r="A1017" s="6" t="s">
        <v>6065</v>
      </c>
      <c r="B1017" s="6" t="s">
        <v>35</v>
      </c>
      <c r="C1017" s="8">
        <v>45702.0</v>
      </c>
      <c r="D1017" s="6" t="s">
        <v>890</v>
      </c>
      <c r="E1017" s="10"/>
      <c r="F1017" s="10"/>
      <c r="G1017" s="10"/>
      <c r="H1017" s="6" t="s">
        <v>6069</v>
      </c>
      <c r="I1017" s="10"/>
      <c r="J1017" s="6" t="s">
        <v>539</v>
      </c>
      <c r="K1017" s="10"/>
      <c r="L1017" s="10"/>
      <c r="M1017" s="10"/>
      <c r="N1017" s="10"/>
      <c r="O1017" s="18">
        <v>2091.18</v>
      </c>
      <c r="P1017" s="10"/>
      <c r="Q1017" s="6"/>
      <c r="R1017" s="10"/>
    </row>
    <row r="1018">
      <c r="A1018" s="6" t="s">
        <v>6073</v>
      </c>
      <c r="B1018" s="6" t="s">
        <v>35</v>
      </c>
      <c r="C1018" s="8">
        <v>45701.0</v>
      </c>
      <c r="D1018" s="6" t="s">
        <v>112</v>
      </c>
      <c r="E1018" s="6" t="s">
        <v>6076</v>
      </c>
      <c r="F1018" s="10"/>
      <c r="G1018" s="6" t="s">
        <v>6077</v>
      </c>
      <c r="H1018" s="6" t="s">
        <v>157</v>
      </c>
      <c r="I1018" s="17" t="b">
        <v>0</v>
      </c>
      <c r="J1018" s="6" t="s">
        <v>546</v>
      </c>
      <c r="K1018" s="10"/>
      <c r="L1018" s="10"/>
      <c r="M1018" s="10"/>
      <c r="N1018" s="10"/>
      <c r="O1018" s="18">
        <v>350.62</v>
      </c>
      <c r="P1018" s="10"/>
      <c r="Q1018" s="17" t="b">
        <v>1</v>
      </c>
      <c r="R1018" s="10"/>
    </row>
    <row r="1019">
      <c r="A1019" s="6" t="s">
        <v>6081</v>
      </c>
      <c r="B1019" s="6" t="s">
        <v>35</v>
      </c>
      <c r="C1019" s="8">
        <v>45702.0</v>
      </c>
      <c r="D1019" s="6" t="s">
        <v>543</v>
      </c>
      <c r="E1019" s="6" t="s">
        <v>6084</v>
      </c>
      <c r="F1019" s="10"/>
      <c r="G1019" s="6" t="s">
        <v>6085</v>
      </c>
      <c r="H1019" s="6" t="s">
        <v>157</v>
      </c>
      <c r="I1019" s="17" t="b">
        <v>0</v>
      </c>
      <c r="J1019" s="6" t="s">
        <v>546</v>
      </c>
      <c r="K1019" s="10"/>
      <c r="L1019" s="10"/>
      <c r="M1019" s="10"/>
      <c r="N1019" s="10"/>
      <c r="O1019" s="18">
        <v>250.0</v>
      </c>
      <c r="P1019" s="10"/>
      <c r="Q1019" s="17" t="b">
        <v>1</v>
      </c>
      <c r="R1019" s="10"/>
    </row>
    <row r="1020">
      <c r="A1020" s="6" t="s">
        <v>6089</v>
      </c>
      <c r="B1020" s="6" t="s">
        <v>35</v>
      </c>
      <c r="C1020" s="8">
        <v>45703.0</v>
      </c>
      <c r="D1020" s="6" t="s">
        <v>112</v>
      </c>
      <c r="E1020" s="6" t="s">
        <v>6092</v>
      </c>
      <c r="F1020" s="10"/>
      <c r="G1020" s="6" t="s">
        <v>6093</v>
      </c>
      <c r="H1020" s="6" t="s">
        <v>157</v>
      </c>
      <c r="I1020" s="17" t="b">
        <v>0</v>
      </c>
      <c r="J1020" s="6" t="s">
        <v>546</v>
      </c>
      <c r="K1020" s="10"/>
      <c r="L1020" s="10"/>
      <c r="M1020" s="10"/>
      <c r="N1020" s="10"/>
      <c r="O1020" s="18">
        <v>201.69</v>
      </c>
      <c r="P1020" s="10"/>
      <c r="Q1020" s="17" t="b">
        <v>1</v>
      </c>
      <c r="R1020" s="10"/>
    </row>
    <row r="1021">
      <c r="A1021" s="6" t="s">
        <v>6096</v>
      </c>
      <c r="B1021" s="6" t="s">
        <v>35</v>
      </c>
      <c r="C1021" s="8">
        <v>45691.0</v>
      </c>
      <c r="D1021" s="6" t="s">
        <v>1557</v>
      </c>
      <c r="E1021" s="6" t="s">
        <v>6098</v>
      </c>
      <c r="F1021" s="10"/>
      <c r="G1021" s="6" t="s">
        <v>6099</v>
      </c>
      <c r="H1021" s="6" t="s">
        <v>3903</v>
      </c>
      <c r="I1021" s="17" t="b">
        <v>0</v>
      </c>
      <c r="J1021" s="6" t="s">
        <v>546</v>
      </c>
      <c r="K1021" s="10"/>
      <c r="L1021" s="10"/>
      <c r="M1021" s="10"/>
      <c r="N1021" s="10"/>
      <c r="O1021" s="18">
        <v>110.0</v>
      </c>
      <c r="P1021" s="10"/>
      <c r="Q1021" s="17" t="b">
        <v>1</v>
      </c>
      <c r="R1021" s="10"/>
    </row>
    <row r="1022">
      <c r="A1022" s="6" t="s">
        <v>6102</v>
      </c>
      <c r="B1022" s="6" t="s">
        <v>35</v>
      </c>
      <c r="C1022" s="8">
        <v>45705.0</v>
      </c>
      <c r="D1022" s="6" t="s">
        <v>543</v>
      </c>
      <c r="E1022" s="6" t="s">
        <v>6103</v>
      </c>
      <c r="F1022" s="10"/>
      <c r="G1022" s="6" t="s">
        <v>6105</v>
      </c>
      <c r="H1022" s="6" t="s">
        <v>171</v>
      </c>
      <c r="I1022" s="17" t="b">
        <v>0</v>
      </c>
      <c r="J1022" s="6" t="s">
        <v>546</v>
      </c>
      <c r="K1022" s="10"/>
      <c r="L1022" s="10"/>
      <c r="M1022" s="10"/>
      <c r="N1022" s="10"/>
      <c r="O1022" s="18">
        <v>375.0</v>
      </c>
      <c r="P1022" s="10"/>
      <c r="Q1022" s="17" t="b">
        <v>1</v>
      </c>
      <c r="R1022" s="10"/>
    </row>
    <row r="1023">
      <c r="A1023" s="6" t="s">
        <v>6108</v>
      </c>
      <c r="B1023" s="6" t="s">
        <v>35</v>
      </c>
      <c r="C1023" s="8">
        <v>45708.0</v>
      </c>
      <c r="D1023" s="6" t="s">
        <v>1160</v>
      </c>
      <c r="E1023" s="10"/>
      <c r="F1023" s="10"/>
      <c r="G1023" s="10"/>
      <c r="H1023" s="6" t="s">
        <v>2500</v>
      </c>
      <c r="I1023" s="10"/>
      <c r="J1023" s="6" t="s">
        <v>539</v>
      </c>
      <c r="K1023" s="10"/>
      <c r="L1023" s="10"/>
      <c r="M1023" s="10"/>
      <c r="N1023" s="10"/>
      <c r="O1023" s="18">
        <v>3558.56</v>
      </c>
      <c r="P1023" s="10"/>
      <c r="Q1023" s="6"/>
      <c r="R1023" s="10"/>
    </row>
    <row r="1024">
      <c r="A1024" s="6" t="s">
        <v>6113</v>
      </c>
      <c r="B1024" s="6" t="s">
        <v>35</v>
      </c>
      <c r="C1024" s="8">
        <v>45706.0</v>
      </c>
      <c r="D1024" s="6" t="s">
        <v>193</v>
      </c>
      <c r="E1024" s="6" t="s">
        <v>6116</v>
      </c>
      <c r="F1024" s="10"/>
      <c r="G1024" s="6" t="s">
        <v>6117</v>
      </c>
      <c r="H1024" s="6" t="s">
        <v>195</v>
      </c>
      <c r="I1024" s="17" t="b">
        <v>0</v>
      </c>
      <c r="J1024" s="6" t="s">
        <v>546</v>
      </c>
      <c r="K1024" s="10"/>
      <c r="L1024" s="6" t="s">
        <v>6120</v>
      </c>
      <c r="M1024" s="10"/>
      <c r="N1024" s="10"/>
      <c r="O1024" s="18">
        <v>811.02</v>
      </c>
      <c r="P1024" s="10"/>
      <c r="Q1024" s="17" t="b">
        <v>1</v>
      </c>
      <c r="R1024" s="10"/>
    </row>
    <row r="1025">
      <c r="A1025" s="6" t="s">
        <v>6123</v>
      </c>
      <c r="B1025" s="6" t="s">
        <v>35</v>
      </c>
      <c r="C1025" s="8">
        <v>45707.0</v>
      </c>
      <c r="D1025" s="6" t="s">
        <v>112</v>
      </c>
      <c r="E1025" s="6" t="s">
        <v>6126</v>
      </c>
      <c r="F1025" s="10"/>
      <c r="G1025" s="6" t="s">
        <v>6127</v>
      </c>
      <c r="H1025" s="6" t="s">
        <v>157</v>
      </c>
      <c r="I1025" s="17" t="b">
        <v>0</v>
      </c>
      <c r="J1025" s="6" t="s">
        <v>546</v>
      </c>
      <c r="K1025" s="10"/>
      <c r="L1025" s="10"/>
      <c r="M1025" s="10"/>
      <c r="N1025" s="10"/>
      <c r="O1025" s="18">
        <v>474.97</v>
      </c>
      <c r="P1025" s="10"/>
      <c r="Q1025" s="17" t="b">
        <v>1</v>
      </c>
      <c r="R1025" s="10"/>
    </row>
    <row r="1026">
      <c r="A1026" s="6" t="s">
        <v>6131</v>
      </c>
      <c r="B1026" s="6" t="s">
        <v>35</v>
      </c>
      <c r="C1026" s="8">
        <v>45708.0</v>
      </c>
      <c r="D1026" s="6" t="s">
        <v>764</v>
      </c>
      <c r="E1026" s="6" t="s">
        <v>6133</v>
      </c>
      <c r="F1026" s="10"/>
      <c r="G1026" s="6" t="s">
        <v>6135</v>
      </c>
      <c r="H1026" s="6" t="s">
        <v>195</v>
      </c>
      <c r="I1026" s="17" t="b">
        <v>0</v>
      </c>
      <c r="J1026" s="6" t="s">
        <v>546</v>
      </c>
      <c r="K1026" s="10"/>
      <c r="L1026" s="6" t="s">
        <v>6137</v>
      </c>
      <c r="M1026" s="10"/>
      <c r="N1026" s="10"/>
      <c r="O1026" s="18">
        <v>796.9</v>
      </c>
      <c r="P1026" s="10"/>
      <c r="Q1026" s="17" t="b">
        <v>1</v>
      </c>
      <c r="R1026" s="10"/>
    </row>
    <row r="1027">
      <c r="A1027" s="6" t="s">
        <v>6140</v>
      </c>
      <c r="B1027" s="6" t="s">
        <v>35</v>
      </c>
      <c r="C1027" s="8">
        <v>45711.0</v>
      </c>
      <c r="D1027" s="6" t="s">
        <v>1160</v>
      </c>
      <c r="E1027" s="10"/>
      <c r="F1027" s="10"/>
      <c r="G1027" s="10"/>
      <c r="H1027" s="6" t="s">
        <v>6142</v>
      </c>
      <c r="I1027" s="10"/>
      <c r="J1027" s="6" t="s">
        <v>539</v>
      </c>
      <c r="K1027" s="10"/>
      <c r="L1027" s="10"/>
      <c r="M1027" s="10"/>
      <c r="N1027" s="10"/>
      <c r="O1027" s="18">
        <v>474.0</v>
      </c>
      <c r="P1027" s="10"/>
      <c r="Q1027" s="6"/>
      <c r="R1027" s="10"/>
    </row>
    <row r="1028">
      <c r="A1028" s="6" t="s">
        <v>6152</v>
      </c>
      <c r="B1028" s="6" t="s">
        <v>35</v>
      </c>
      <c r="C1028" s="8">
        <v>45711.0</v>
      </c>
      <c r="D1028" s="6" t="s">
        <v>460</v>
      </c>
      <c r="E1028" s="10"/>
      <c r="F1028" s="10"/>
      <c r="G1028" s="10"/>
      <c r="H1028" s="6" t="s">
        <v>931</v>
      </c>
      <c r="I1028" s="10"/>
      <c r="J1028" s="6" t="s">
        <v>539</v>
      </c>
      <c r="K1028" s="10"/>
      <c r="L1028" s="10"/>
      <c r="M1028" s="10"/>
      <c r="N1028" s="10"/>
      <c r="O1028" s="18">
        <v>30.0</v>
      </c>
      <c r="P1028" s="10"/>
      <c r="Q1028" s="6"/>
      <c r="R1028" s="10"/>
    </row>
    <row r="1029">
      <c r="A1029" s="6" t="s">
        <v>6169</v>
      </c>
      <c r="B1029" s="6" t="s">
        <v>35</v>
      </c>
      <c r="C1029" s="8">
        <v>45711.0</v>
      </c>
      <c r="D1029" s="6" t="s">
        <v>460</v>
      </c>
      <c r="E1029" s="10"/>
      <c r="F1029" s="10"/>
      <c r="G1029" s="10"/>
      <c r="H1029" s="6" t="s">
        <v>6172</v>
      </c>
      <c r="I1029" s="10"/>
      <c r="J1029" s="6" t="s">
        <v>539</v>
      </c>
      <c r="K1029" s="10"/>
      <c r="L1029" s="10"/>
      <c r="M1029" s="10"/>
      <c r="N1029" s="10"/>
      <c r="O1029" s="18">
        <v>200.0</v>
      </c>
      <c r="P1029" s="10"/>
      <c r="Q1029" s="6"/>
      <c r="R1029" s="10"/>
    </row>
    <row r="1030">
      <c r="A1030" s="6" t="s">
        <v>6179</v>
      </c>
      <c r="B1030" s="6" t="s">
        <v>35</v>
      </c>
      <c r="C1030" s="8">
        <v>45711.0</v>
      </c>
      <c r="D1030" s="6" t="s">
        <v>460</v>
      </c>
      <c r="E1030" s="10"/>
      <c r="F1030" s="10"/>
      <c r="G1030" s="10"/>
      <c r="H1030" s="6" t="s">
        <v>4972</v>
      </c>
      <c r="I1030" s="10"/>
      <c r="J1030" s="6" t="s">
        <v>539</v>
      </c>
      <c r="K1030" s="10"/>
      <c r="L1030" s="10"/>
      <c r="M1030" s="10"/>
      <c r="N1030" s="10"/>
      <c r="O1030" s="18">
        <v>22.0</v>
      </c>
      <c r="P1030" s="10"/>
      <c r="Q1030" s="6"/>
      <c r="R1030" s="10"/>
    </row>
    <row r="1031">
      <c r="A1031" s="6" t="s">
        <v>6185</v>
      </c>
      <c r="B1031" s="6" t="s">
        <v>35</v>
      </c>
      <c r="C1031" s="8">
        <v>45711.0</v>
      </c>
      <c r="D1031" s="6" t="s">
        <v>460</v>
      </c>
      <c r="E1031" s="10"/>
      <c r="F1031" s="10"/>
      <c r="G1031" s="10"/>
      <c r="H1031" s="6" t="s">
        <v>4979</v>
      </c>
      <c r="I1031" s="10"/>
      <c r="J1031" s="6" t="s">
        <v>539</v>
      </c>
      <c r="K1031" s="10"/>
      <c r="L1031" s="10"/>
      <c r="M1031" s="10"/>
      <c r="N1031" s="10"/>
      <c r="O1031" s="18">
        <v>10.0</v>
      </c>
      <c r="P1031" s="10"/>
      <c r="Q1031" s="6"/>
      <c r="R1031" s="10"/>
    </row>
    <row r="1032">
      <c r="A1032" s="6" t="s">
        <v>6191</v>
      </c>
      <c r="B1032" s="6" t="s">
        <v>35</v>
      </c>
      <c r="C1032" s="8">
        <v>45705.0</v>
      </c>
      <c r="D1032" s="6" t="s">
        <v>890</v>
      </c>
      <c r="E1032" s="6" t="s">
        <v>6193</v>
      </c>
      <c r="F1032" s="10"/>
      <c r="G1032" s="6" t="s">
        <v>6195</v>
      </c>
      <c r="H1032" s="6" t="s">
        <v>3813</v>
      </c>
      <c r="I1032" s="17" t="b">
        <v>0</v>
      </c>
      <c r="J1032" s="6" t="s">
        <v>546</v>
      </c>
      <c r="K1032" s="10"/>
      <c r="L1032" s="6" t="s">
        <v>6198</v>
      </c>
      <c r="M1032" s="10"/>
      <c r="N1032" s="10"/>
      <c r="O1032" s="18">
        <v>5639.52</v>
      </c>
      <c r="P1032" s="10"/>
      <c r="Q1032" s="17" t="b">
        <v>1</v>
      </c>
      <c r="R1032" s="10"/>
    </row>
    <row r="1033">
      <c r="A1033" s="6" t="s">
        <v>6202</v>
      </c>
      <c r="B1033" s="6" t="s">
        <v>35</v>
      </c>
      <c r="C1033" s="8">
        <v>45707.0</v>
      </c>
      <c r="D1033" s="6" t="s">
        <v>6204</v>
      </c>
      <c r="E1033" s="6" t="s">
        <v>6205</v>
      </c>
      <c r="F1033" s="10"/>
      <c r="G1033" s="6" t="s">
        <v>6207</v>
      </c>
      <c r="H1033" s="6" t="s">
        <v>6208</v>
      </c>
      <c r="I1033" s="17" t="b">
        <v>1</v>
      </c>
      <c r="J1033" s="6" t="s">
        <v>546</v>
      </c>
      <c r="K1033" s="10"/>
      <c r="L1033" s="10"/>
      <c r="M1033" s="10"/>
      <c r="N1033" s="10"/>
      <c r="O1033" s="18">
        <v>250.0</v>
      </c>
      <c r="P1033" s="18">
        <v>1329053.0</v>
      </c>
      <c r="Q1033" s="17" t="b">
        <v>1</v>
      </c>
      <c r="R1033" s="10"/>
    </row>
    <row r="1034">
      <c r="A1034" s="6" t="s">
        <v>6212</v>
      </c>
      <c r="B1034" s="6" t="s">
        <v>35</v>
      </c>
      <c r="C1034" s="8">
        <v>45708.0</v>
      </c>
      <c r="D1034" s="6" t="s">
        <v>2096</v>
      </c>
      <c r="E1034" s="6" t="s">
        <v>6215</v>
      </c>
      <c r="F1034" s="10"/>
      <c r="G1034" s="6" t="s">
        <v>6216</v>
      </c>
      <c r="H1034" s="6" t="s">
        <v>4107</v>
      </c>
      <c r="I1034" s="17" t="b">
        <v>1</v>
      </c>
      <c r="J1034" s="6" t="s">
        <v>546</v>
      </c>
      <c r="K1034" s="10"/>
      <c r="L1034" s="6" t="s">
        <v>6219</v>
      </c>
      <c r="M1034" s="10"/>
      <c r="N1034" s="10"/>
      <c r="O1034" s="18">
        <v>190.0</v>
      </c>
      <c r="P1034" s="18">
        <v>1330335.0</v>
      </c>
      <c r="Q1034" s="17" t="b">
        <v>1</v>
      </c>
      <c r="R1034" s="10"/>
    </row>
    <row r="1035">
      <c r="A1035" s="6" t="s">
        <v>6221</v>
      </c>
      <c r="B1035" s="6" t="s">
        <v>35</v>
      </c>
      <c r="C1035" s="8">
        <v>45712.0</v>
      </c>
      <c r="D1035" s="6" t="s">
        <v>890</v>
      </c>
      <c r="E1035" s="10"/>
      <c r="F1035" s="10"/>
      <c r="G1035" s="10"/>
      <c r="H1035" s="6" t="s">
        <v>6224</v>
      </c>
      <c r="I1035" s="10"/>
      <c r="J1035" s="6" t="s">
        <v>539</v>
      </c>
      <c r="K1035" s="10"/>
      <c r="L1035" s="10"/>
      <c r="M1035" s="10"/>
      <c r="N1035" s="10"/>
      <c r="O1035" s="18">
        <v>1222.99</v>
      </c>
      <c r="P1035" s="10"/>
      <c r="Q1035" s="6"/>
      <c r="R1035" s="10"/>
    </row>
    <row r="1036">
      <c r="A1036" s="6" t="s">
        <v>6228</v>
      </c>
      <c r="B1036" s="6" t="s">
        <v>35</v>
      </c>
      <c r="C1036" s="8">
        <v>45698.0</v>
      </c>
      <c r="D1036" s="6" t="s">
        <v>1557</v>
      </c>
      <c r="E1036" s="6" t="s">
        <v>6230</v>
      </c>
      <c r="F1036" s="10"/>
      <c r="G1036" s="6" t="s">
        <v>6232</v>
      </c>
      <c r="H1036" s="6" t="s">
        <v>3903</v>
      </c>
      <c r="I1036" s="17" t="b">
        <v>0</v>
      </c>
      <c r="J1036" s="6" t="s">
        <v>546</v>
      </c>
      <c r="K1036" s="10"/>
      <c r="L1036" s="10"/>
      <c r="M1036" s="10"/>
      <c r="N1036" s="10"/>
      <c r="O1036" s="18">
        <v>110.0</v>
      </c>
      <c r="P1036" s="10"/>
      <c r="Q1036" s="17" t="b">
        <v>1</v>
      </c>
      <c r="R1036" s="10"/>
    </row>
    <row r="1037">
      <c r="A1037" s="6" t="s">
        <v>6236</v>
      </c>
      <c r="B1037" s="6" t="s">
        <v>35</v>
      </c>
      <c r="C1037" s="8">
        <v>45709.0</v>
      </c>
      <c r="D1037" s="6" t="s">
        <v>890</v>
      </c>
      <c r="E1037" s="6" t="s">
        <v>6238</v>
      </c>
      <c r="F1037" s="10"/>
      <c r="G1037" s="6" t="s">
        <v>6240</v>
      </c>
      <c r="H1037" s="6" t="s">
        <v>2894</v>
      </c>
      <c r="I1037" s="17" t="b">
        <v>0</v>
      </c>
      <c r="J1037" s="6" t="s">
        <v>546</v>
      </c>
      <c r="K1037" s="10"/>
      <c r="L1037" s="6" t="s">
        <v>6243</v>
      </c>
      <c r="M1037" s="6" t="s">
        <v>6244</v>
      </c>
      <c r="N1037" s="6" t="s">
        <v>6246</v>
      </c>
      <c r="O1037" s="18">
        <v>20959.87</v>
      </c>
      <c r="P1037" s="10"/>
      <c r="Q1037" s="17" t="b">
        <v>1</v>
      </c>
      <c r="R1037" s="10"/>
    </row>
    <row r="1038">
      <c r="A1038" s="6" t="s">
        <v>6248</v>
      </c>
      <c r="B1038" s="6" t="s">
        <v>35</v>
      </c>
      <c r="C1038" s="8">
        <v>45710.0</v>
      </c>
      <c r="D1038" s="6" t="s">
        <v>112</v>
      </c>
      <c r="E1038" s="6" t="s">
        <v>6250</v>
      </c>
      <c r="F1038" s="10"/>
      <c r="G1038" s="6" t="s">
        <v>6251</v>
      </c>
      <c r="H1038" s="6" t="s">
        <v>157</v>
      </c>
      <c r="I1038" s="17" t="b">
        <v>0</v>
      </c>
      <c r="J1038" s="6" t="s">
        <v>546</v>
      </c>
      <c r="K1038" s="10"/>
      <c r="L1038" s="10"/>
      <c r="M1038" s="10"/>
      <c r="N1038" s="10"/>
      <c r="O1038" s="18">
        <v>239.92</v>
      </c>
      <c r="P1038" s="10"/>
      <c r="Q1038" s="17" t="b">
        <v>1</v>
      </c>
      <c r="R1038" s="10"/>
    </row>
    <row r="1039">
      <c r="A1039" s="6" t="s">
        <v>6256</v>
      </c>
      <c r="B1039" s="6" t="s">
        <v>35</v>
      </c>
      <c r="C1039" s="8">
        <v>45710.0</v>
      </c>
      <c r="D1039" s="6" t="s">
        <v>3816</v>
      </c>
      <c r="E1039" s="6" t="s">
        <v>6258</v>
      </c>
      <c r="F1039" s="10"/>
      <c r="G1039" s="6" t="s">
        <v>6260</v>
      </c>
      <c r="H1039" s="6" t="s">
        <v>4146</v>
      </c>
      <c r="I1039" s="17" t="b">
        <v>1</v>
      </c>
      <c r="J1039" s="6" t="s">
        <v>546</v>
      </c>
      <c r="K1039" s="10"/>
      <c r="L1039" s="10"/>
      <c r="M1039" s="10"/>
      <c r="N1039" s="10"/>
      <c r="O1039" s="18">
        <v>16.36</v>
      </c>
      <c r="P1039" s="18">
        <v>1333798.0</v>
      </c>
      <c r="Q1039" s="17" t="b">
        <v>1</v>
      </c>
      <c r="R1039" s="10"/>
    </row>
    <row r="1040">
      <c r="A1040" s="6" t="s">
        <v>6263</v>
      </c>
      <c r="B1040" s="6" t="s">
        <v>35</v>
      </c>
      <c r="C1040" s="8">
        <v>45711.0</v>
      </c>
      <c r="D1040" s="6" t="s">
        <v>233</v>
      </c>
      <c r="E1040" s="6" t="s">
        <v>6267</v>
      </c>
      <c r="F1040" s="10"/>
      <c r="G1040" s="6" t="s">
        <v>6269</v>
      </c>
      <c r="H1040" s="6" t="s">
        <v>6271</v>
      </c>
      <c r="I1040" s="17" t="b">
        <v>1</v>
      </c>
      <c r="J1040" s="6" t="s">
        <v>546</v>
      </c>
      <c r="K1040" s="10"/>
      <c r="L1040" s="10"/>
      <c r="M1040" s="10"/>
      <c r="N1040" s="10"/>
      <c r="O1040" s="18">
        <v>103.91</v>
      </c>
      <c r="P1040" s="18">
        <v>1336239.0</v>
      </c>
      <c r="Q1040" s="17" t="b">
        <v>1</v>
      </c>
      <c r="R1040" s="10"/>
    </row>
    <row r="1041">
      <c r="A1041" s="6" t="s">
        <v>6277</v>
      </c>
      <c r="B1041" s="6" t="s">
        <v>35</v>
      </c>
      <c r="C1041" s="8">
        <v>45712.0</v>
      </c>
      <c r="D1041" s="6" t="s">
        <v>543</v>
      </c>
      <c r="E1041" s="6" t="s">
        <v>6280</v>
      </c>
      <c r="F1041" s="10"/>
      <c r="G1041" s="6" t="s">
        <v>6281</v>
      </c>
      <c r="H1041" s="6" t="s">
        <v>171</v>
      </c>
      <c r="I1041" s="17" t="b">
        <v>0</v>
      </c>
      <c r="J1041" s="6" t="s">
        <v>546</v>
      </c>
      <c r="K1041" s="10"/>
      <c r="L1041" s="10"/>
      <c r="M1041" s="10"/>
      <c r="N1041" s="10"/>
      <c r="O1041" s="18">
        <v>600.0</v>
      </c>
      <c r="P1041" s="10"/>
      <c r="Q1041" s="17" t="b">
        <v>1</v>
      </c>
      <c r="R1041" s="10"/>
    </row>
    <row r="1042">
      <c r="A1042" s="6" t="s">
        <v>6284</v>
      </c>
      <c r="B1042" s="6" t="s">
        <v>35</v>
      </c>
      <c r="C1042" s="8">
        <v>45715.0</v>
      </c>
      <c r="D1042" s="10"/>
      <c r="E1042" s="10"/>
      <c r="F1042" s="10"/>
      <c r="G1042" s="10"/>
      <c r="H1042" s="6" t="s">
        <v>1329</v>
      </c>
      <c r="I1042" s="10"/>
      <c r="J1042" s="6" t="s">
        <v>539</v>
      </c>
      <c r="K1042" s="6" t="s">
        <v>6062</v>
      </c>
      <c r="L1042" s="10"/>
      <c r="M1042" s="10"/>
      <c r="N1042" s="10"/>
      <c r="O1042" s="18">
        <v>500.0</v>
      </c>
      <c r="P1042" s="10"/>
      <c r="Q1042" s="6"/>
      <c r="R1042" s="10"/>
    </row>
    <row r="1043">
      <c r="A1043" s="6" t="s">
        <v>6288</v>
      </c>
      <c r="B1043" s="6" t="s">
        <v>35</v>
      </c>
      <c r="C1043" s="8">
        <v>45715.0</v>
      </c>
      <c r="D1043" s="10"/>
      <c r="E1043" s="10"/>
      <c r="F1043" s="10"/>
      <c r="G1043" s="10"/>
      <c r="H1043" s="6" t="s">
        <v>1329</v>
      </c>
      <c r="I1043" s="10"/>
      <c r="J1043" s="6" t="s">
        <v>539</v>
      </c>
      <c r="K1043" s="6" t="s">
        <v>624</v>
      </c>
      <c r="L1043" s="10"/>
      <c r="M1043" s="10"/>
      <c r="N1043" s="10"/>
      <c r="O1043" s="18">
        <v>100.0</v>
      </c>
      <c r="P1043" s="10"/>
      <c r="Q1043" s="6"/>
      <c r="R1043" s="10"/>
    </row>
    <row r="1044">
      <c r="A1044" s="6" t="s">
        <v>6293</v>
      </c>
      <c r="B1044" s="6" t="s">
        <v>35</v>
      </c>
      <c r="C1044" s="8">
        <v>45706.0</v>
      </c>
      <c r="D1044" s="6" t="s">
        <v>1036</v>
      </c>
      <c r="E1044" s="6" t="s">
        <v>6296</v>
      </c>
      <c r="F1044" s="10"/>
      <c r="G1044" s="6" t="s">
        <v>6297</v>
      </c>
      <c r="H1044" s="6" t="s">
        <v>5755</v>
      </c>
      <c r="I1044" s="17" t="b">
        <v>0</v>
      </c>
      <c r="J1044" s="6" t="s">
        <v>546</v>
      </c>
      <c r="K1044" s="10"/>
      <c r="L1044" s="10"/>
      <c r="M1044" s="10"/>
      <c r="N1044" s="10"/>
      <c r="O1044" s="18">
        <v>114.46</v>
      </c>
      <c r="P1044" s="10"/>
      <c r="Q1044" s="17" t="b">
        <v>1</v>
      </c>
      <c r="R1044" s="10"/>
    </row>
    <row r="1045">
      <c r="A1045" s="6" t="s">
        <v>6301</v>
      </c>
      <c r="B1045" s="6" t="s">
        <v>35</v>
      </c>
      <c r="C1045" s="8">
        <v>45713.0</v>
      </c>
      <c r="D1045" s="6" t="s">
        <v>112</v>
      </c>
      <c r="E1045" s="6" t="s">
        <v>6303</v>
      </c>
      <c r="F1045" s="10"/>
      <c r="G1045" s="6" t="s">
        <v>6304</v>
      </c>
      <c r="H1045" s="6" t="s">
        <v>157</v>
      </c>
      <c r="I1045" s="17" t="b">
        <v>0</v>
      </c>
      <c r="J1045" s="6" t="s">
        <v>546</v>
      </c>
      <c r="K1045" s="10"/>
      <c r="L1045" s="10"/>
      <c r="M1045" s="10"/>
      <c r="N1045" s="10"/>
      <c r="O1045" s="18">
        <v>364.66</v>
      </c>
      <c r="P1045" s="10"/>
      <c r="Q1045" s="17" t="b">
        <v>1</v>
      </c>
      <c r="R1045" s="10"/>
    </row>
    <row r="1046">
      <c r="A1046" s="6" t="s">
        <v>6308</v>
      </c>
      <c r="B1046" s="6" t="s">
        <v>35</v>
      </c>
      <c r="C1046" s="8">
        <v>45719.0</v>
      </c>
      <c r="D1046" s="10"/>
      <c r="E1046" s="10"/>
      <c r="F1046" s="10"/>
      <c r="G1046" s="10"/>
      <c r="H1046" s="6" t="s">
        <v>1329</v>
      </c>
      <c r="I1046" s="10"/>
      <c r="J1046" s="6" t="s">
        <v>539</v>
      </c>
      <c r="K1046" s="6" t="s">
        <v>624</v>
      </c>
      <c r="L1046" s="10"/>
      <c r="M1046" s="10"/>
      <c r="N1046" s="10"/>
      <c r="O1046" s="18">
        <v>400.0</v>
      </c>
      <c r="P1046" s="10"/>
      <c r="Q1046" s="6"/>
      <c r="R1046" s="10"/>
    </row>
    <row r="1047">
      <c r="A1047" s="6" t="s">
        <v>6312</v>
      </c>
      <c r="B1047" s="6" t="s">
        <v>35</v>
      </c>
      <c r="C1047" s="8">
        <v>45712.0</v>
      </c>
      <c r="D1047" s="6" t="s">
        <v>353</v>
      </c>
      <c r="E1047" s="6" t="s">
        <v>6314</v>
      </c>
      <c r="F1047" s="10"/>
      <c r="G1047" s="6" t="s">
        <v>6316</v>
      </c>
      <c r="H1047" s="6" t="s">
        <v>6317</v>
      </c>
      <c r="I1047" s="17" t="b">
        <v>1</v>
      </c>
      <c r="J1047" s="6" t="s">
        <v>546</v>
      </c>
      <c r="K1047" s="10"/>
      <c r="L1047" s="10"/>
      <c r="M1047" s="10"/>
      <c r="N1047" s="10"/>
      <c r="O1047" s="18">
        <v>139.28</v>
      </c>
      <c r="P1047" s="18">
        <v>1339047.0</v>
      </c>
      <c r="Q1047" s="17" t="b">
        <v>1</v>
      </c>
      <c r="R1047" s="10"/>
    </row>
    <row r="1048">
      <c r="A1048" s="6" t="s">
        <v>6321</v>
      </c>
      <c r="B1048" s="6" t="s">
        <v>35</v>
      </c>
      <c r="C1048" s="8">
        <v>45715.0</v>
      </c>
      <c r="D1048" s="6" t="s">
        <v>764</v>
      </c>
      <c r="E1048" s="6" t="s">
        <v>6324</v>
      </c>
      <c r="F1048" s="10"/>
      <c r="G1048" s="6" t="s">
        <v>6325</v>
      </c>
      <c r="H1048" s="6" t="s">
        <v>195</v>
      </c>
      <c r="I1048" s="17" t="b">
        <v>0</v>
      </c>
      <c r="J1048" s="6" t="s">
        <v>546</v>
      </c>
      <c r="K1048" s="10"/>
      <c r="L1048" s="6" t="s">
        <v>6327</v>
      </c>
      <c r="M1048" s="6" t="s">
        <v>6329</v>
      </c>
      <c r="N1048" s="10"/>
      <c r="O1048" s="18">
        <v>1580.8</v>
      </c>
      <c r="P1048" s="10"/>
      <c r="Q1048" s="17" t="b">
        <v>1</v>
      </c>
      <c r="R1048" s="10"/>
    </row>
    <row r="1049">
      <c r="A1049" s="6" t="s">
        <v>6332</v>
      </c>
      <c r="B1049" s="6" t="s">
        <v>35</v>
      </c>
      <c r="C1049" s="8">
        <v>45716.0</v>
      </c>
      <c r="D1049" s="6" t="s">
        <v>2613</v>
      </c>
      <c r="E1049" s="6" t="s">
        <v>6334</v>
      </c>
      <c r="F1049" s="10"/>
      <c r="G1049" s="6" t="s">
        <v>6336</v>
      </c>
      <c r="H1049" s="6" t="s">
        <v>319</v>
      </c>
      <c r="I1049" s="17" t="b">
        <v>1</v>
      </c>
      <c r="J1049" s="6" t="s">
        <v>546</v>
      </c>
      <c r="K1049" s="10"/>
      <c r="L1049" s="10"/>
      <c r="M1049" s="10"/>
      <c r="N1049" s="10"/>
      <c r="O1049" s="18">
        <v>235.96</v>
      </c>
      <c r="P1049" s="18">
        <v>1345755.0</v>
      </c>
      <c r="Q1049" s="17" t="b">
        <v>1</v>
      </c>
      <c r="R1049" s="10"/>
    </row>
    <row r="1050">
      <c r="A1050" s="6" t="s">
        <v>6341</v>
      </c>
      <c r="B1050" s="6" t="s">
        <v>35</v>
      </c>
      <c r="C1050" s="8">
        <v>45716.0</v>
      </c>
      <c r="D1050" s="6" t="s">
        <v>286</v>
      </c>
      <c r="E1050" s="6" t="s">
        <v>6342</v>
      </c>
      <c r="F1050" s="10"/>
      <c r="G1050" s="6" t="s">
        <v>6343</v>
      </c>
      <c r="H1050" s="6" t="s">
        <v>6344</v>
      </c>
      <c r="I1050" s="17" t="b">
        <v>1</v>
      </c>
      <c r="J1050" s="6" t="s">
        <v>546</v>
      </c>
      <c r="K1050" s="10"/>
      <c r="L1050" s="10"/>
      <c r="M1050" s="10"/>
      <c r="N1050" s="10"/>
      <c r="O1050" s="18">
        <v>4.0</v>
      </c>
      <c r="P1050" s="18">
        <v>1346085.0</v>
      </c>
      <c r="Q1050" s="17" t="b">
        <v>1</v>
      </c>
      <c r="R1050" s="10"/>
    </row>
    <row r="1051">
      <c r="A1051" s="6" t="s">
        <v>6348</v>
      </c>
      <c r="B1051" s="6" t="s">
        <v>35</v>
      </c>
      <c r="C1051" s="8">
        <v>45716.0</v>
      </c>
      <c r="D1051" s="6" t="s">
        <v>3716</v>
      </c>
      <c r="E1051" s="6" t="s">
        <v>6350</v>
      </c>
      <c r="F1051" s="10"/>
      <c r="G1051" s="6" t="s">
        <v>6351</v>
      </c>
      <c r="H1051" s="6" t="s">
        <v>6352</v>
      </c>
      <c r="I1051" s="17" t="b">
        <v>1</v>
      </c>
      <c r="J1051" s="6" t="s">
        <v>546</v>
      </c>
      <c r="K1051" s="10"/>
      <c r="L1051" s="10"/>
      <c r="M1051" s="10"/>
      <c r="N1051" s="10"/>
      <c r="O1051" s="18">
        <v>204.77</v>
      </c>
      <c r="P1051" s="18">
        <v>1345748.0</v>
      </c>
      <c r="Q1051" s="17" t="b">
        <v>1</v>
      </c>
      <c r="R1051" s="10"/>
    </row>
    <row r="1052">
      <c r="A1052" s="6" t="s">
        <v>6356</v>
      </c>
      <c r="B1052" s="6" t="s">
        <v>35</v>
      </c>
      <c r="C1052" s="8">
        <v>45716.0</v>
      </c>
      <c r="D1052" s="6" t="s">
        <v>543</v>
      </c>
      <c r="E1052" s="6" t="s">
        <v>6359</v>
      </c>
      <c r="F1052" s="10"/>
      <c r="G1052" s="6" t="s">
        <v>6361</v>
      </c>
      <c r="H1052" s="6" t="s">
        <v>171</v>
      </c>
      <c r="I1052" s="17" t="b">
        <v>0</v>
      </c>
      <c r="J1052" s="6" t="s">
        <v>546</v>
      </c>
      <c r="K1052" s="10"/>
      <c r="L1052" s="10"/>
      <c r="M1052" s="10"/>
      <c r="N1052" s="10"/>
      <c r="O1052" s="18">
        <v>400.0</v>
      </c>
      <c r="P1052" s="10"/>
      <c r="Q1052" s="17" t="b">
        <v>1</v>
      </c>
      <c r="R1052" s="10"/>
    </row>
    <row r="1053">
      <c r="A1053" s="6" t="s">
        <v>6365</v>
      </c>
      <c r="B1053" s="6" t="s">
        <v>35</v>
      </c>
      <c r="C1053" s="8">
        <v>45716.0</v>
      </c>
      <c r="D1053" s="6" t="s">
        <v>112</v>
      </c>
      <c r="E1053" s="6" t="s">
        <v>6368</v>
      </c>
      <c r="F1053" s="10"/>
      <c r="G1053" s="6" t="s">
        <v>6370</v>
      </c>
      <c r="H1053" s="6" t="s">
        <v>157</v>
      </c>
      <c r="I1053" s="17" t="b">
        <v>0</v>
      </c>
      <c r="J1053" s="6" t="s">
        <v>546</v>
      </c>
      <c r="K1053" s="10"/>
      <c r="L1053" s="10"/>
      <c r="M1053" s="10"/>
      <c r="N1053" s="10"/>
      <c r="O1053" s="18">
        <v>329.36</v>
      </c>
      <c r="P1053" s="10"/>
      <c r="Q1053" s="17" t="b">
        <v>1</v>
      </c>
      <c r="R1053" s="10"/>
    </row>
    <row r="1054">
      <c r="A1054" s="6" t="s">
        <v>6375</v>
      </c>
      <c r="B1054" s="6" t="s">
        <v>35</v>
      </c>
      <c r="C1054" s="8">
        <v>45717.0</v>
      </c>
      <c r="D1054" s="6" t="s">
        <v>112</v>
      </c>
      <c r="E1054" s="6" t="s">
        <v>6377</v>
      </c>
      <c r="F1054" s="10"/>
      <c r="G1054" s="6" t="s">
        <v>6379</v>
      </c>
      <c r="H1054" s="6" t="s">
        <v>157</v>
      </c>
      <c r="I1054" s="17" t="b">
        <v>0</v>
      </c>
      <c r="J1054" s="6" t="s">
        <v>546</v>
      </c>
      <c r="K1054" s="10"/>
      <c r="L1054" s="10"/>
      <c r="M1054" s="10"/>
      <c r="N1054" s="10"/>
      <c r="O1054" s="18">
        <v>223.8</v>
      </c>
      <c r="P1054" s="10"/>
      <c r="Q1054" s="17" t="b">
        <v>1</v>
      </c>
      <c r="R1054" s="10"/>
    </row>
    <row r="1055">
      <c r="A1055" s="6" t="s">
        <v>6384</v>
      </c>
      <c r="B1055" s="6" t="s">
        <v>35</v>
      </c>
      <c r="C1055" s="8">
        <v>45717.0</v>
      </c>
      <c r="D1055" s="6" t="s">
        <v>3816</v>
      </c>
      <c r="E1055" s="6" t="s">
        <v>6387</v>
      </c>
      <c r="F1055" s="10"/>
      <c r="G1055" s="6" t="s">
        <v>6389</v>
      </c>
      <c r="H1055" s="6" t="s">
        <v>4146</v>
      </c>
      <c r="I1055" s="17" t="b">
        <v>1</v>
      </c>
      <c r="J1055" s="6" t="s">
        <v>546</v>
      </c>
      <c r="K1055" s="10"/>
      <c r="L1055" s="10"/>
      <c r="M1055" s="10"/>
      <c r="N1055" s="10"/>
      <c r="O1055" s="18">
        <v>21.48</v>
      </c>
      <c r="P1055" s="18">
        <v>1347852.0</v>
      </c>
      <c r="Q1055" s="17" t="b">
        <v>1</v>
      </c>
      <c r="R1055" s="10"/>
    </row>
    <row r="1056">
      <c r="A1056" s="6" t="s">
        <v>6393</v>
      </c>
      <c r="B1056" s="6" t="s">
        <v>35</v>
      </c>
      <c r="C1056" s="8">
        <v>45722.0</v>
      </c>
      <c r="D1056" s="6" t="s">
        <v>1864</v>
      </c>
      <c r="E1056" s="10"/>
      <c r="F1056" s="10"/>
      <c r="G1056" s="10"/>
      <c r="H1056" s="6" t="s">
        <v>6396</v>
      </c>
      <c r="I1056" s="10"/>
      <c r="J1056" s="6" t="s">
        <v>539</v>
      </c>
      <c r="K1056" s="10"/>
      <c r="L1056" s="10"/>
      <c r="M1056" s="10"/>
      <c r="N1056" s="10"/>
      <c r="O1056" s="18">
        <v>1841.38</v>
      </c>
      <c r="P1056" s="10"/>
      <c r="Q1056" s="6"/>
      <c r="R1056" s="10"/>
    </row>
    <row r="1057">
      <c r="A1057" s="6" t="s">
        <v>6400</v>
      </c>
      <c r="B1057" s="6" t="s">
        <v>35</v>
      </c>
      <c r="C1057" s="8">
        <v>45722.0</v>
      </c>
      <c r="D1057" s="10"/>
      <c r="E1057" s="10"/>
      <c r="F1057" s="10"/>
      <c r="G1057" s="10"/>
      <c r="H1057" s="6" t="s">
        <v>3676</v>
      </c>
      <c r="I1057" s="10"/>
      <c r="J1057" s="6" t="s">
        <v>539</v>
      </c>
      <c r="K1057" s="6" t="s">
        <v>2052</v>
      </c>
      <c r="L1057" s="10"/>
      <c r="M1057" s="10"/>
      <c r="N1057" s="10"/>
      <c r="O1057" s="18">
        <v>500.0</v>
      </c>
      <c r="P1057" s="10"/>
      <c r="Q1057" s="6"/>
      <c r="R1057" s="10"/>
    </row>
    <row r="1058">
      <c r="A1058" s="6" t="s">
        <v>6406</v>
      </c>
      <c r="B1058" s="6" t="s">
        <v>35</v>
      </c>
      <c r="C1058" s="8">
        <v>45716.0</v>
      </c>
      <c r="D1058" s="18">
        <v>2.6065919E7</v>
      </c>
      <c r="E1058" s="6" t="s">
        <v>6409</v>
      </c>
      <c r="F1058" s="10"/>
      <c r="G1058" s="6" t="s">
        <v>6410</v>
      </c>
      <c r="H1058" s="6" t="s">
        <v>5885</v>
      </c>
      <c r="I1058" s="17" t="b">
        <v>1</v>
      </c>
      <c r="J1058" s="6" t="s">
        <v>546</v>
      </c>
      <c r="K1058" s="10"/>
      <c r="L1058" s="10"/>
      <c r="M1058" s="10"/>
      <c r="N1058" s="10"/>
      <c r="O1058" s="18">
        <v>135.0</v>
      </c>
      <c r="P1058" s="18">
        <v>1346054.0</v>
      </c>
      <c r="Q1058" s="17" t="b">
        <v>1</v>
      </c>
      <c r="R1058" s="10"/>
    </row>
    <row r="1059">
      <c r="A1059" s="6" t="s">
        <v>6415</v>
      </c>
      <c r="B1059" s="6" t="s">
        <v>35</v>
      </c>
      <c r="C1059" s="8">
        <v>45719.0</v>
      </c>
      <c r="D1059" s="6" t="s">
        <v>890</v>
      </c>
      <c r="E1059" s="6" t="s">
        <v>6418</v>
      </c>
      <c r="F1059" s="10"/>
      <c r="G1059" s="6" t="s">
        <v>6420</v>
      </c>
      <c r="H1059" s="6" t="s">
        <v>3813</v>
      </c>
      <c r="I1059" s="17" t="b">
        <v>0</v>
      </c>
      <c r="J1059" s="6" t="s">
        <v>546</v>
      </c>
      <c r="K1059" s="10"/>
      <c r="L1059" s="6" t="s">
        <v>6422</v>
      </c>
      <c r="M1059" s="6" t="s">
        <v>6424</v>
      </c>
      <c r="N1059" s="6" t="s">
        <v>6425</v>
      </c>
      <c r="O1059" s="18">
        <v>9884.46</v>
      </c>
      <c r="P1059" s="10"/>
      <c r="Q1059" s="17" t="b">
        <v>1</v>
      </c>
      <c r="R1059" s="10"/>
    </row>
    <row r="1060">
      <c r="A1060" s="6" t="s">
        <v>6427</v>
      </c>
      <c r="B1060" s="6" t="s">
        <v>35</v>
      </c>
      <c r="C1060" s="8">
        <v>45721.0</v>
      </c>
      <c r="D1060" s="6" t="s">
        <v>145</v>
      </c>
      <c r="E1060" s="6" t="s">
        <v>6430</v>
      </c>
      <c r="F1060" s="10"/>
      <c r="G1060" s="6" t="s">
        <v>6432</v>
      </c>
      <c r="H1060" s="6" t="s">
        <v>3627</v>
      </c>
      <c r="I1060" s="17" t="b">
        <v>0</v>
      </c>
      <c r="J1060" s="6" t="s">
        <v>546</v>
      </c>
      <c r="K1060" s="10"/>
      <c r="L1060" s="10"/>
      <c r="M1060" s="10"/>
      <c r="N1060" s="10"/>
      <c r="O1060" s="18">
        <v>496.0</v>
      </c>
      <c r="P1060" s="10"/>
      <c r="Q1060" s="17" t="b">
        <v>1</v>
      </c>
      <c r="R1060" s="10"/>
    </row>
    <row r="1061">
      <c r="A1061" s="6" t="s">
        <v>6436</v>
      </c>
      <c r="B1061" s="6" t="s">
        <v>35</v>
      </c>
      <c r="C1061" s="8">
        <v>45721.0</v>
      </c>
      <c r="D1061" s="6" t="s">
        <v>543</v>
      </c>
      <c r="E1061" s="6" t="s">
        <v>6438</v>
      </c>
      <c r="F1061" s="10"/>
      <c r="G1061" s="6" t="s">
        <v>6440</v>
      </c>
      <c r="H1061" s="6" t="s">
        <v>171</v>
      </c>
      <c r="I1061" s="17" t="b">
        <v>0</v>
      </c>
      <c r="J1061" s="6" t="s">
        <v>546</v>
      </c>
      <c r="K1061" s="10"/>
      <c r="L1061" s="10"/>
      <c r="M1061" s="10"/>
      <c r="N1061" s="10"/>
      <c r="O1061" s="18">
        <v>300.0</v>
      </c>
      <c r="P1061" s="10"/>
      <c r="Q1061" s="17" t="b">
        <v>1</v>
      </c>
      <c r="R1061" s="10"/>
    </row>
    <row r="1062">
      <c r="A1062" s="6" t="s">
        <v>6444</v>
      </c>
      <c r="B1062" s="6" t="s">
        <v>35</v>
      </c>
      <c r="C1062" s="8">
        <v>45721.0</v>
      </c>
      <c r="D1062" s="6" t="s">
        <v>112</v>
      </c>
      <c r="E1062" s="6" t="s">
        <v>6447</v>
      </c>
      <c r="F1062" s="10"/>
      <c r="G1062" s="6" t="s">
        <v>6449</v>
      </c>
      <c r="H1062" s="6" t="s">
        <v>157</v>
      </c>
      <c r="I1062" s="17" t="b">
        <v>0</v>
      </c>
      <c r="J1062" s="6" t="s">
        <v>546</v>
      </c>
      <c r="K1062" s="10"/>
      <c r="L1062" s="10"/>
      <c r="M1062" s="10"/>
      <c r="N1062" s="10"/>
      <c r="O1062" s="18">
        <v>277.28</v>
      </c>
      <c r="P1062" s="10"/>
      <c r="Q1062" s="17" t="b">
        <v>1</v>
      </c>
      <c r="R1062" s="10"/>
    </row>
    <row r="1063">
      <c r="A1063" s="6" t="s">
        <v>6453</v>
      </c>
      <c r="B1063" s="6" t="s">
        <v>35</v>
      </c>
      <c r="C1063" s="8">
        <v>45722.0</v>
      </c>
      <c r="D1063" s="6" t="s">
        <v>112</v>
      </c>
      <c r="E1063" s="6" t="s">
        <v>6455</v>
      </c>
      <c r="F1063" s="10"/>
      <c r="G1063" s="6" t="s">
        <v>6457</v>
      </c>
      <c r="H1063" s="6" t="s">
        <v>5545</v>
      </c>
      <c r="I1063" s="17" t="b">
        <v>0</v>
      </c>
      <c r="J1063" s="6" t="s">
        <v>546</v>
      </c>
      <c r="K1063" s="10"/>
      <c r="L1063" s="10"/>
      <c r="M1063" s="10"/>
      <c r="N1063" s="10"/>
      <c r="O1063" s="18">
        <v>378.48</v>
      </c>
      <c r="P1063" s="10"/>
      <c r="Q1063" s="17" t="b">
        <v>1</v>
      </c>
      <c r="R1063" s="10"/>
    </row>
    <row r="1064">
      <c r="A1064" s="6" t="s">
        <v>6461</v>
      </c>
      <c r="B1064" s="6" t="s">
        <v>35</v>
      </c>
      <c r="C1064" s="8">
        <v>45722.0</v>
      </c>
      <c r="D1064" s="6" t="s">
        <v>764</v>
      </c>
      <c r="E1064" s="6" t="s">
        <v>6464</v>
      </c>
      <c r="F1064" s="10"/>
      <c r="G1064" s="6" t="s">
        <v>6465</v>
      </c>
      <c r="H1064" s="6" t="s">
        <v>195</v>
      </c>
      <c r="I1064" s="17" t="b">
        <v>0</v>
      </c>
      <c r="J1064" s="6" t="s">
        <v>546</v>
      </c>
      <c r="K1064" s="10"/>
      <c r="L1064" s="6" t="s">
        <v>6468</v>
      </c>
      <c r="M1064" s="10"/>
      <c r="N1064" s="10"/>
      <c r="O1064" s="18">
        <v>838.1</v>
      </c>
      <c r="P1064" s="10"/>
      <c r="Q1064" s="17" t="b">
        <v>1</v>
      </c>
      <c r="R1064" s="10"/>
    </row>
    <row r="1065">
      <c r="A1065" s="6" t="s">
        <v>6473</v>
      </c>
      <c r="B1065" s="6" t="s">
        <v>35</v>
      </c>
      <c r="C1065" s="8">
        <v>45722.0</v>
      </c>
      <c r="D1065" s="6" t="s">
        <v>890</v>
      </c>
      <c r="E1065" s="6" t="s">
        <v>6475</v>
      </c>
      <c r="F1065" s="10"/>
      <c r="G1065" s="6" t="s">
        <v>6477</v>
      </c>
      <c r="H1065" s="6" t="s">
        <v>2894</v>
      </c>
      <c r="I1065" s="17" t="b">
        <v>0</v>
      </c>
      <c r="J1065" s="6" t="s">
        <v>546</v>
      </c>
      <c r="K1065" s="10"/>
      <c r="L1065" s="6" t="s">
        <v>6480</v>
      </c>
      <c r="M1065" s="6" t="s">
        <v>6481</v>
      </c>
      <c r="N1065" s="6" t="s">
        <v>6483</v>
      </c>
      <c r="O1065" s="18">
        <v>20650.67</v>
      </c>
      <c r="P1065" s="10"/>
      <c r="Q1065" s="17" t="b">
        <v>1</v>
      </c>
      <c r="R1065" s="10"/>
    </row>
    <row r="1066">
      <c r="A1066" s="6" t="s">
        <v>6485</v>
      </c>
      <c r="B1066" s="6" t="s">
        <v>35</v>
      </c>
      <c r="C1066" s="8">
        <v>45723.0</v>
      </c>
      <c r="D1066" s="6" t="s">
        <v>5866</v>
      </c>
      <c r="E1066" s="6" t="s">
        <v>6488</v>
      </c>
      <c r="F1066" s="10"/>
      <c r="G1066" s="6" t="s">
        <v>6490</v>
      </c>
      <c r="H1066" s="6" t="s">
        <v>5136</v>
      </c>
      <c r="I1066" s="17" t="b">
        <v>0</v>
      </c>
      <c r="J1066" s="6" t="s">
        <v>546</v>
      </c>
      <c r="K1066" s="10"/>
      <c r="L1066" s="10"/>
      <c r="M1066" s="10"/>
      <c r="N1066" s="10"/>
      <c r="O1066" s="18">
        <v>53.74</v>
      </c>
      <c r="P1066" s="10"/>
      <c r="Q1066" s="17" t="b">
        <v>1</v>
      </c>
      <c r="R1066" s="10"/>
    </row>
    <row r="1067">
      <c r="A1067" s="6" t="s">
        <v>6495</v>
      </c>
      <c r="B1067" s="6" t="s">
        <v>35</v>
      </c>
      <c r="C1067" s="8">
        <v>45723.0</v>
      </c>
      <c r="D1067" s="6" t="s">
        <v>543</v>
      </c>
      <c r="E1067" s="6" t="s">
        <v>6506</v>
      </c>
      <c r="F1067" s="10"/>
      <c r="G1067" s="6" t="s">
        <v>6507</v>
      </c>
      <c r="H1067" s="6" t="s">
        <v>171</v>
      </c>
      <c r="I1067" s="17" t="b">
        <v>0</v>
      </c>
      <c r="J1067" s="6" t="s">
        <v>546</v>
      </c>
      <c r="K1067" s="10"/>
      <c r="L1067" s="10"/>
      <c r="M1067" s="10"/>
      <c r="N1067" s="10"/>
      <c r="O1067" s="18">
        <v>225.0</v>
      </c>
      <c r="P1067" s="10"/>
      <c r="Q1067" s="17" t="b">
        <v>1</v>
      </c>
      <c r="R1067" s="10"/>
    </row>
    <row r="1068">
      <c r="A1068" s="6" t="s">
        <v>6510</v>
      </c>
      <c r="B1068" s="6" t="s">
        <v>35</v>
      </c>
      <c r="C1068" s="8">
        <v>45723.0</v>
      </c>
      <c r="D1068" s="6" t="s">
        <v>286</v>
      </c>
      <c r="E1068" s="6" t="s">
        <v>6512</v>
      </c>
      <c r="F1068" s="10"/>
      <c r="G1068" s="6" t="s">
        <v>6514</v>
      </c>
      <c r="H1068" s="6" t="s">
        <v>6515</v>
      </c>
      <c r="I1068" s="17" t="b">
        <v>1</v>
      </c>
      <c r="J1068" s="6" t="s">
        <v>546</v>
      </c>
      <c r="K1068" s="10"/>
      <c r="L1068" s="10"/>
      <c r="M1068" s="10"/>
      <c r="N1068" s="10"/>
      <c r="O1068" s="18">
        <v>3.0</v>
      </c>
      <c r="P1068" s="18">
        <v>1361863.0</v>
      </c>
      <c r="Q1068" s="17" t="b">
        <v>1</v>
      </c>
      <c r="R1068" s="10"/>
    </row>
    <row r="1069">
      <c r="A1069" s="6" t="s">
        <v>6520</v>
      </c>
      <c r="B1069" s="6" t="s">
        <v>35</v>
      </c>
      <c r="C1069" s="8">
        <v>45723.0</v>
      </c>
      <c r="D1069" s="6" t="s">
        <v>2613</v>
      </c>
      <c r="E1069" s="6" t="s">
        <v>6523</v>
      </c>
      <c r="F1069" s="10"/>
      <c r="G1069" s="6" t="s">
        <v>6525</v>
      </c>
      <c r="H1069" s="6" t="s">
        <v>1469</v>
      </c>
      <c r="I1069" s="17" t="b">
        <v>1</v>
      </c>
      <c r="J1069" s="6" t="s">
        <v>546</v>
      </c>
      <c r="K1069" s="10"/>
      <c r="L1069" s="10"/>
      <c r="M1069" s="10"/>
      <c r="N1069" s="10"/>
      <c r="O1069" s="18">
        <v>122.16</v>
      </c>
      <c r="P1069" s="18">
        <v>1362020.0</v>
      </c>
      <c r="Q1069" s="17" t="b">
        <v>1</v>
      </c>
      <c r="R1069" s="10"/>
    </row>
    <row r="1070">
      <c r="A1070" s="6" t="s">
        <v>6528</v>
      </c>
      <c r="B1070" s="6" t="s">
        <v>35</v>
      </c>
      <c r="C1070" s="8">
        <v>45723.0</v>
      </c>
      <c r="D1070" s="6" t="s">
        <v>3716</v>
      </c>
      <c r="E1070" s="6" t="s">
        <v>6531</v>
      </c>
      <c r="F1070" s="10"/>
      <c r="G1070" s="6" t="s">
        <v>6532</v>
      </c>
      <c r="H1070" s="6" t="s">
        <v>6533</v>
      </c>
      <c r="I1070" s="17" t="b">
        <v>1</v>
      </c>
      <c r="J1070" s="6" t="s">
        <v>546</v>
      </c>
      <c r="K1070" s="10"/>
      <c r="L1070" s="10"/>
      <c r="M1070" s="10"/>
      <c r="N1070" s="10"/>
      <c r="O1070" s="18">
        <v>337.5</v>
      </c>
      <c r="P1070" s="18">
        <v>1361995.0</v>
      </c>
      <c r="Q1070" s="17" t="b">
        <v>1</v>
      </c>
      <c r="R1070" s="10"/>
    </row>
    <row r="1071">
      <c r="A1071" s="6" t="s">
        <v>6537</v>
      </c>
      <c r="B1071" s="6" t="s">
        <v>35</v>
      </c>
      <c r="C1071" s="8">
        <v>45724.0</v>
      </c>
      <c r="D1071" s="6" t="s">
        <v>6538</v>
      </c>
      <c r="E1071" s="6" t="s">
        <v>6540</v>
      </c>
      <c r="F1071" s="10"/>
      <c r="G1071" s="6" t="s">
        <v>6541</v>
      </c>
      <c r="H1071" s="6" t="s">
        <v>6542</v>
      </c>
      <c r="I1071" s="17" t="b">
        <v>1</v>
      </c>
      <c r="J1071" s="6" t="s">
        <v>546</v>
      </c>
      <c r="K1071" s="10"/>
      <c r="L1071" s="10"/>
      <c r="M1071" s="10"/>
      <c r="N1071" s="10"/>
      <c r="O1071" s="18">
        <v>170.0</v>
      </c>
      <c r="P1071" s="18">
        <v>1363483.0</v>
      </c>
      <c r="Q1071" s="17" t="b">
        <v>1</v>
      </c>
      <c r="R1071" s="10"/>
    </row>
    <row r="1072">
      <c r="A1072" s="6" t="s">
        <v>6546</v>
      </c>
      <c r="B1072" s="6" t="s">
        <v>35</v>
      </c>
      <c r="C1072" s="8">
        <v>45724.0</v>
      </c>
      <c r="D1072" s="6" t="s">
        <v>112</v>
      </c>
      <c r="E1072" s="6" t="s">
        <v>6549</v>
      </c>
      <c r="F1072" s="10"/>
      <c r="G1072" s="6" t="s">
        <v>6550</v>
      </c>
      <c r="H1072" s="6" t="s">
        <v>157</v>
      </c>
      <c r="I1072" s="17" t="b">
        <v>0</v>
      </c>
      <c r="J1072" s="6" t="s">
        <v>546</v>
      </c>
      <c r="K1072" s="10"/>
      <c r="L1072" s="10"/>
      <c r="M1072" s="10"/>
      <c r="N1072" s="10"/>
      <c r="O1072" s="18">
        <v>317.45</v>
      </c>
      <c r="P1072" s="10"/>
      <c r="Q1072" s="17" t="b">
        <v>1</v>
      </c>
      <c r="R1072" s="10"/>
    </row>
    <row r="1073">
      <c r="A1073" s="6" t="s">
        <v>6555</v>
      </c>
      <c r="B1073" s="6" t="s">
        <v>35</v>
      </c>
      <c r="C1073" s="8">
        <v>45725.0</v>
      </c>
      <c r="D1073" s="18">
        <v>8.627274E7</v>
      </c>
      <c r="E1073" s="6" t="s">
        <v>6558</v>
      </c>
      <c r="F1073" s="10"/>
      <c r="G1073" s="6" t="s">
        <v>6560</v>
      </c>
      <c r="H1073" s="6" t="s">
        <v>4248</v>
      </c>
      <c r="I1073" s="17" t="b">
        <v>1</v>
      </c>
      <c r="J1073" s="6" t="s">
        <v>546</v>
      </c>
      <c r="K1073" s="10"/>
      <c r="L1073" s="10"/>
      <c r="M1073" s="10"/>
      <c r="N1073" s="10"/>
      <c r="O1073" s="18">
        <v>97.91</v>
      </c>
      <c r="P1073" s="6" t="s">
        <v>5497</v>
      </c>
      <c r="Q1073" s="17" t="b">
        <v>1</v>
      </c>
      <c r="R1073" s="10"/>
    </row>
    <row r="1074">
      <c r="A1074" s="6" t="s">
        <v>6567</v>
      </c>
      <c r="B1074" s="6" t="s">
        <v>35</v>
      </c>
      <c r="C1074" s="8">
        <v>45724.0</v>
      </c>
      <c r="D1074" s="6" t="s">
        <v>3816</v>
      </c>
      <c r="E1074" s="6" t="s">
        <v>6570</v>
      </c>
      <c r="F1074" s="10"/>
      <c r="G1074" s="6" t="s">
        <v>6572</v>
      </c>
      <c r="H1074" s="6" t="s">
        <v>4614</v>
      </c>
      <c r="I1074" s="17" t="b">
        <v>1</v>
      </c>
      <c r="J1074" s="6" t="s">
        <v>546</v>
      </c>
      <c r="K1074" s="10"/>
      <c r="L1074" s="10"/>
      <c r="M1074" s="10"/>
      <c r="N1074" s="10"/>
      <c r="O1074" s="18">
        <v>36.22</v>
      </c>
      <c r="P1074" s="18">
        <v>1363779.0</v>
      </c>
      <c r="Q1074" s="17" t="b">
        <v>1</v>
      </c>
      <c r="R1074" s="10"/>
    </row>
    <row r="1075">
      <c r="A1075" s="6" t="s">
        <v>6577</v>
      </c>
      <c r="B1075" s="6" t="s">
        <v>35</v>
      </c>
      <c r="C1075" s="8">
        <v>45726.0</v>
      </c>
      <c r="D1075" s="6" t="s">
        <v>543</v>
      </c>
      <c r="E1075" s="6" t="s">
        <v>6580</v>
      </c>
      <c r="F1075" s="10"/>
      <c r="G1075" s="6" t="s">
        <v>6582</v>
      </c>
      <c r="H1075" s="6" t="s">
        <v>171</v>
      </c>
      <c r="I1075" s="17" t="b">
        <v>0</v>
      </c>
      <c r="J1075" s="6" t="s">
        <v>546</v>
      </c>
      <c r="K1075" s="10"/>
      <c r="L1075" s="10"/>
      <c r="M1075" s="10"/>
      <c r="N1075" s="10"/>
      <c r="O1075" s="18">
        <v>275.0</v>
      </c>
      <c r="P1075" s="10"/>
      <c r="Q1075" s="17" t="b">
        <v>1</v>
      </c>
      <c r="R1075" s="10"/>
    </row>
    <row r="1076">
      <c r="A1076" s="6" t="s">
        <v>6587</v>
      </c>
      <c r="B1076" s="6" t="s">
        <v>35</v>
      </c>
      <c r="C1076" s="8">
        <v>45727.0</v>
      </c>
      <c r="D1076" s="6" t="s">
        <v>2584</v>
      </c>
      <c r="E1076" s="6" t="s">
        <v>6590</v>
      </c>
      <c r="F1076" s="10"/>
      <c r="G1076" s="6" t="s">
        <v>6592</v>
      </c>
      <c r="H1076" s="6" t="s">
        <v>6594</v>
      </c>
      <c r="I1076" s="17" t="b">
        <v>0</v>
      </c>
      <c r="J1076" s="6" t="s">
        <v>546</v>
      </c>
      <c r="K1076" s="10"/>
      <c r="L1076" s="10"/>
      <c r="M1076" s="10"/>
      <c r="N1076" s="10"/>
      <c r="O1076" s="18">
        <v>550.0</v>
      </c>
      <c r="P1076" s="10"/>
      <c r="Q1076" s="17" t="b">
        <v>1</v>
      </c>
      <c r="R1076" s="10"/>
    </row>
    <row r="1077">
      <c r="A1077" s="6" t="s">
        <v>6598</v>
      </c>
      <c r="B1077" s="6" t="s">
        <v>35</v>
      </c>
      <c r="C1077" s="8">
        <v>45727.0</v>
      </c>
      <c r="D1077" s="6" t="s">
        <v>233</v>
      </c>
      <c r="E1077" s="6" t="s">
        <v>6600</v>
      </c>
      <c r="F1077" s="10"/>
      <c r="G1077" s="6" t="s">
        <v>6601</v>
      </c>
      <c r="H1077" s="6" t="s">
        <v>3627</v>
      </c>
      <c r="I1077" s="17" t="b">
        <v>1</v>
      </c>
      <c r="J1077" s="6" t="s">
        <v>546</v>
      </c>
      <c r="K1077" s="10"/>
      <c r="L1077" s="10"/>
      <c r="M1077" s="10"/>
      <c r="N1077" s="10"/>
      <c r="O1077" s="18">
        <v>190.21</v>
      </c>
      <c r="P1077" s="6" t="s">
        <v>4049</v>
      </c>
      <c r="Q1077" s="17" t="b">
        <v>1</v>
      </c>
      <c r="R1077" s="10"/>
    </row>
    <row r="1078">
      <c r="A1078" s="6" t="s">
        <v>6606</v>
      </c>
      <c r="B1078" s="6" t="s">
        <v>35</v>
      </c>
      <c r="C1078" s="8">
        <v>45727.0</v>
      </c>
      <c r="D1078" s="6" t="s">
        <v>420</v>
      </c>
      <c r="E1078" s="6" t="s">
        <v>6609</v>
      </c>
      <c r="F1078" s="10"/>
      <c r="G1078" s="6" t="s">
        <v>6611</v>
      </c>
      <c r="H1078" s="6" t="s">
        <v>6612</v>
      </c>
      <c r="I1078" s="17" t="b">
        <v>1</v>
      </c>
      <c r="J1078" s="6" t="s">
        <v>546</v>
      </c>
      <c r="K1078" s="10"/>
      <c r="L1078" s="10"/>
      <c r="M1078" s="10"/>
      <c r="N1078" s="10"/>
      <c r="O1078" s="18">
        <v>1164.19</v>
      </c>
      <c r="P1078" s="18">
        <v>1370497.0</v>
      </c>
      <c r="Q1078" s="17" t="b">
        <v>1</v>
      </c>
      <c r="R1078" s="10"/>
    </row>
    <row r="1079">
      <c r="A1079" s="6" t="s">
        <v>6617</v>
      </c>
      <c r="B1079" s="6" t="s">
        <v>35</v>
      </c>
      <c r="C1079" s="8">
        <v>45715.0</v>
      </c>
      <c r="D1079" s="10"/>
      <c r="E1079" s="10"/>
      <c r="F1079" s="10"/>
      <c r="G1079" s="10"/>
      <c r="H1079" s="6" t="s">
        <v>6621</v>
      </c>
      <c r="I1079" s="10"/>
      <c r="J1079" s="6" t="s">
        <v>539</v>
      </c>
      <c r="K1079" s="6" t="s">
        <v>6062</v>
      </c>
      <c r="L1079" s="10"/>
      <c r="M1079" s="10"/>
      <c r="N1079" s="10"/>
      <c r="O1079" s="18">
        <v>457.12</v>
      </c>
      <c r="P1079" s="10"/>
      <c r="Q1079" s="6"/>
      <c r="R1079" s="10"/>
    </row>
    <row r="1080">
      <c r="A1080" s="6" t="s">
        <v>6625</v>
      </c>
      <c r="B1080" s="6" t="s">
        <v>35</v>
      </c>
      <c r="C1080" s="8">
        <v>45715.0</v>
      </c>
      <c r="D1080" s="10"/>
      <c r="E1080" s="10"/>
      <c r="F1080" s="10"/>
      <c r="G1080" s="10"/>
      <c r="H1080" s="6" t="s">
        <v>6621</v>
      </c>
      <c r="I1080" s="10"/>
      <c r="J1080" s="6" t="s">
        <v>539</v>
      </c>
      <c r="K1080" s="6" t="s">
        <v>2052</v>
      </c>
      <c r="L1080" s="10"/>
      <c r="M1080" s="10"/>
      <c r="N1080" s="10"/>
      <c r="O1080" s="18">
        <v>1643.81</v>
      </c>
      <c r="P1080" s="10"/>
      <c r="Q1080" s="6"/>
      <c r="R1080" s="10"/>
    </row>
    <row r="1081">
      <c r="A1081" s="6" t="s">
        <v>6632</v>
      </c>
      <c r="B1081" s="6" t="s">
        <v>35</v>
      </c>
      <c r="C1081" s="8">
        <v>45715.0</v>
      </c>
      <c r="D1081" s="10"/>
      <c r="E1081" s="10"/>
      <c r="F1081" s="10"/>
      <c r="G1081" s="10"/>
      <c r="H1081" s="6" t="s">
        <v>6621</v>
      </c>
      <c r="I1081" s="10"/>
      <c r="J1081" s="6" t="s">
        <v>539</v>
      </c>
      <c r="K1081" s="6" t="s">
        <v>624</v>
      </c>
      <c r="L1081" s="10"/>
      <c r="M1081" s="10"/>
      <c r="N1081" s="10"/>
      <c r="O1081" s="18">
        <v>2042.34</v>
      </c>
      <c r="P1081" s="10"/>
      <c r="Q1081" s="6"/>
      <c r="R1081" s="10"/>
    </row>
    <row r="1082">
      <c r="A1082" s="6" t="s">
        <v>6638</v>
      </c>
      <c r="B1082" s="6" t="s">
        <v>35</v>
      </c>
      <c r="C1082" s="8">
        <v>45715.0</v>
      </c>
      <c r="D1082" s="10"/>
      <c r="E1082" s="10"/>
      <c r="F1082" s="10"/>
      <c r="G1082" s="10"/>
      <c r="H1082" s="6" t="s">
        <v>6621</v>
      </c>
      <c r="I1082" s="10"/>
      <c r="J1082" s="6" t="s">
        <v>539</v>
      </c>
      <c r="K1082" s="6" t="s">
        <v>227</v>
      </c>
      <c r="L1082" s="10"/>
      <c r="M1082" s="10"/>
      <c r="N1082" s="10"/>
      <c r="O1082" s="18">
        <v>2096.94</v>
      </c>
      <c r="P1082" s="10"/>
      <c r="Q1082" s="6"/>
      <c r="R1082" s="10"/>
    </row>
    <row r="1083">
      <c r="A1083" s="6" t="s">
        <v>6640</v>
      </c>
      <c r="B1083" s="6" t="s">
        <v>35</v>
      </c>
      <c r="C1083" s="8">
        <v>45716.0</v>
      </c>
      <c r="D1083" s="10"/>
      <c r="E1083" s="10"/>
      <c r="F1083" s="10"/>
      <c r="G1083" s="10"/>
      <c r="H1083" s="6" t="s">
        <v>6658</v>
      </c>
      <c r="I1083" s="10"/>
      <c r="J1083" s="6" t="s">
        <v>539</v>
      </c>
      <c r="K1083" s="6" t="s">
        <v>6062</v>
      </c>
      <c r="L1083" s="10"/>
      <c r="M1083" s="10"/>
      <c r="N1083" s="10"/>
      <c r="O1083" s="18">
        <v>1345.58</v>
      </c>
      <c r="P1083" s="10"/>
      <c r="Q1083" s="6"/>
      <c r="R1083" s="10"/>
    </row>
    <row r="1084">
      <c r="A1084" s="6" t="s">
        <v>6642</v>
      </c>
      <c r="B1084" s="6" t="s">
        <v>35</v>
      </c>
      <c r="C1084" s="8">
        <v>45722.0</v>
      </c>
      <c r="D1084" s="10"/>
      <c r="E1084" s="10"/>
      <c r="F1084" s="10"/>
      <c r="G1084" s="10"/>
      <c r="H1084" s="6" t="s">
        <v>6621</v>
      </c>
      <c r="I1084" s="10"/>
      <c r="J1084" s="6" t="s">
        <v>539</v>
      </c>
      <c r="K1084" s="6" t="s">
        <v>3795</v>
      </c>
      <c r="L1084" s="10"/>
      <c r="M1084" s="10"/>
      <c r="N1084" s="10"/>
      <c r="O1084" s="18">
        <v>521.31</v>
      </c>
      <c r="P1084" s="10"/>
      <c r="Q1084" s="6"/>
      <c r="R1084" s="10"/>
    </row>
    <row r="1085">
      <c r="A1085" s="6" t="s">
        <v>6644</v>
      </c>
      <c r="B1085" s="6" t="s">
        <v>35</v>
      </c>
      <c r="C1085" s="8">
        <v>45727.0</v>
      </c>
      <c r="D1085" s="6" t="s">
        <v>2248</v>
      </c>
      <c r="E1085" s="10"/>
      <c r="F1085" s="10"/>
      <c r="G1085" s="10"/>
      <c r="H1085" s="6" t="s">
        <v>2549</v>
      </c>
      <c r="I1085" s="10"/>
      <c r="J1085" s="6" t="s">
        <v>539</v>
      </c>
      <c r="K1085" s="10"/>
      <c r="L1085" s="10"/>
      <c r="M1085" s="10"/>
      <c r="N1085" s="10"/>
      <c r="O1085" s="18">
        <v>350.79</v>
      </c>
      <c r="P1085" s="10"/>
      <c r="Q1085" s="6"/>
      <c r="R1085" s="10"/>
    </row>
    <row r="1086">
      <c r="A1086" s="6" t="s">
        <v>6646</v>
      </c>
      <c r="B1086" s="6" t="s">
        <v>35</v>
      </c>
      <c r="C1086" s="8">
        <v>45722.0</v>
      </c>
      <c r="D1086" s="18">
        <v>6.8893939E7</v>
      </c>
      <c r="E1086" s="6" t="s">
        <v>6682</v>
      </c>
      <c r="F1086" s="10"/>
      <c r="G1086" s="6" t="s">
        <v>6683</v>
      </c>
      <c r="H1086" s="6" t="s">
        <v>6685</v>
      </c>
      <c r="I1086" s="17" t="b">
        <v>0</v>
      </c>
      <c r="J1086" s="6" t="s">
        <v>546</v>
      </c>
      <c r="K1086" s="10"/>
      <c r="L1086" s="10"/>
      <c r="M1086" s="10"/>
      <c r="N1086" s="10"/>
      <c r="O1086" s="18">
        <v>340.26</v>
      </c>
      <c r="P1086" s="10"/>
      <c r="Q1086" s="17" t="b">
        <v>1</v>
      </c>
      <c r="R1086" s="10"/>
    </row>
    <row r="1087">
      <c r="A1087" s="6" t="s">
        <v>6648</v>
      </c>
      <c r="B1087" s="6" t="s">
        <v>35</v>
      </c>
      <c r="C1087" s="8">
        <v>45728.0</v>
      </c>
      <c r="D1087" s="6" t="s">
        <v>353</v>
      </c>
      <c r="E1087" s="6" t="s">
        <v>6695</v>
      </c>
      <c r="F1087" s="10"/>
      <c r="G1087" s="6" t="s">
        <v>6697</v>
      </c>
      <c r="H1087" s="6" t="s">
        <v>6699</v>
      </c>
      <c r="I1087" s="17" t="b">
        <v>1</v>
      </c>
      <c r="J1087" s="6" t="s">
        <v>546</v>
      </c>
      <c r="K1087" s="10"/>
      <c r="L1087" s="10"/>
      <c r="M1087" s="10"/>
      <c r="N1087" s="10"/>
      <c r="O1087" s="18">
        <v>341.82</v>
      </c>
      <c r="P1087" s="6" t="s">
        <v>4049</v>
      </c>
      <c r="Q1087" s="17" t="b">
        <v>1</v>
      </c>
      <c r="R1087" s="10"/>
    </row>
    <row r="1088">
      <c r="A1088" s="6" t="s">
        <v>6651</v>
      </c>
      <c r="B1088" s="6" t="s">
        <v>35</v>
      </c>
      <c r="C1088" s="8">
        <v>45729.0</v>
      </c>
      <c r="D1088" s="6" t="s">
        <v>890</v>
      </c>
      <c r="E1088" s="10"/>
      <c r="F1088" s="10"/>
      <c r="G1088" s="10"/>
      <c r="H1088" s="6" t="s">
        <v>4010</v>
      </c>
      <c r="I1088" s="10"/>
      <c r="J1088" s="6" t="s">
        <v>539</v>
      </c>
      <c r="K1088" s="10"/>
      <c r="L1088" s="10"/>
      <c r="M1088" s="10"/>
      <c r="N1088" s="10"/>
      <c r="O1088" s="18">
        <v>375.0</v>
      </c>
      <c r="P1088" s="10"/>
      <c r="Q1088" s="6"/>
      <c r="R1088" s="10"/>
    </row>
    <row r="1089">
      <c r="A1089" s="6" t="s">
        <v>6653</v>
      </c>
      <c r="B1089" s="6" t="s">
        <v>35</v>
      </c>
      <c r="C1089" s="8">
        <v>45723.0</v>
      </c>
      <c r="D1089" s="10"/>
      <c r="E1089" s="10"/>
      <c r="F1089" s="10"/>
      <c r="G1089" s="10"/>
      <c r="H1089" s="6" t="s">
        <v>6721</v>
      </c>
      <c r="I1089" s="10"/>
      <c r="J1089" s="6" t="s">
        <v>539</v>
      </c>
      <c r="K1089" s="6" t="s">
        <v>671</v>
      </c>
      <c r="L1089" s="10"/>
      <c r="M1089" s="10"/>
      <c r="N1089" s="10"/>
      <c r="O1089" s="18">
        <v>11000.0</v>
      </c>
      <c r="P1089" s="10"/>
      <c r="Q1089" s="6"/>
      <c r="R1089" s="10"/>
    </row>
    <row r="1090">
      <c r="A1090" s="6" t="s">
        <v>6655</v>
      </c>
      <c r="B1090" s="6" t="s">
        <v>35</v>
      </c>
      <c r="C1090" s="8">
        <v>45723.0</v>
      </c>
      <c r="D1090" s="10"/>
      <c r="E1090" s="10"/>
      <c r="F1090" s="10"/>
      <c r="G1090" s="10"/>
      <c r="H1090" s="6" t="s">
        <v>6721</v>
      </c>
      <c r="I1090" s="10"/>
      <c r="J1090" s="6" t="s">
        <v>539</v>
      </c>
      <c r="K1090" s="6" t="s">
        <v>682</v>
      </c>
      <c r="L1090" s="10"/>
      <c r="M1090" s="10"/>
      <c r="N1090" s="10"/>
      <c r="O1090" s="18">
        <v>11000.0</v>
      </c>
      <c r="P1090" s="10"/>
      <c r="Q1090" s="6"/>
      <c r="R1090" s="10"/>
    </row>
    <row r="1091">
      <c r="A1091" s="6" t="s">
        <v>6657</v>
      </c>
      <c r="B1091" s="6" t="s">
        <v>35</v>
      </c>
      <c r="C1091" s="8">
        <v>45723.0</v>
      </c>
      <c r="D1091" s="10"/>
      <c r="E1091" s="10"/>
      <c r="F1091" s="10"/>
      <c r="G1091" s="10"/>
      <c r="H1091" s="6" t="s">
        <v>6721</v>
      </c>
      <c r="I1091" s="10"/>
      <c r="J1091" s="6" t="s">
        <v>539</v>
      </c>
      <c r="K1091" s="6" t="s">
        <v>668</v>
      </c>
      <c r="L1091" s="10"/>
      <c r="M1091" s="10"/>
      <c r="N1091" s="10"/>
      <c r="O1091" s="18">
        <v>11000.0</v>
      </c>
      <c r="P1091" s="10"/>
      <c r="Q1091" s="6"/>
      <c r="R1091" s="10"/>
    </row>
    <row r="1092">
      <c r="A1092" s="6" t="s">
        <v>6660</v>
      </c>
      <c r="B1092" s="6" t="s">
        <v>35</v>
      </c>
      <c r="C1092" s="8">
        <v>45722.0</v>
      </c>
      <c r="D1092" s="6" t="s">
        <v>941</v>
      </c>
      <c r="E1092" s="6" t="s">
        <v>6752</v>
      </c>
      <c r="F1092" s="10"/>
      <c r="G1092" s="6" t="s">
        <v>6753</v>
      </c>
      <c r="H1092" s="6" t="s">
        <v>6755</v>
      </c>
      <c r="I1092" s="17" t="b">
        <v>1</v>
      </c>
      <c r="J1092" s="6" t="s">
        <v>546</v>
      </c>
      <c r="K1092" s="10"/>
      <c r="L1092" s="10"/>
      <c r="M1092" s="10"/>
      <c r="N1092" s="10"/>
      <c r="O1092" s="18">
        <v>553.0</v>
      </c>
      <c r="P1092" s="6" t="s">
        <v>6757</v>
      </c>
      <c r="Q1092" s="17" t="b">
        <v>1</v>
      </c>
      <c r="R1092" s="10"/>
    </row>
    <row r="1093">
      <c r="A1093" s="6" t="s">
        <v>6662</v>
      </c>
      <c r="B1093" s="6" t="s">
        <v>35</v>
      </c>
      <c r="C1093" s="8">
        <v>45723.0</v>
      </c>
      <c r="D1093" s="6" t="s">
        <v>4343</v>
      </c>
      <c r="E1093" s="6" t="s">
        <v>6762</v>
      </c>
      <c r="F1093" s="10"/>
      <c r="G1093" s="6" t="s">
        <v>6763</v>
      </c>
      <c r="H1093" s="6" t="s">
        <v>6764</v>
      </c>
      <c r="I1093" s="17" t="b">
        <v>0</v>
      </c>
      <c r="J1093" s="6" t="s">
        <v>546</v>
      </c>
      <c r="K1093" s="10"/>
      <c r="L1093" s="10"/>
      <c r="M1093" s="10"/>
      <c r="N1093" s="10"/>
      <c r="O1093" s="18">
        <v>1080.0</v>
      </c>
      <c r="P1093" s="10"/>
      <c r="Q1093" s="17" t="b">
        <v>1</v>
      </c>
      <c r="R1093" s="10"/>
    </row>
    <row r="1094">
      <c r="A1094" s="6" t="s">
        <v>6665</v>
      </c>
      <c r="B1094" s="6" t="s">
        <v>35</v>
      </c>
      <c r="C1094" s="8">
        <v>45729.0</v>
      </c>
      <c r="D1094" s="6" t="s">
        <v>764</v>
      </c>
      <c r="E1094" s="6" t="s">
        <v>6770</v>
      </c>
      <c r="F1094" s="10"/>
      <c r="G1094" s="6" t="s">
        <v>6771</v>
      </c>
      <c r="H1094" s="6" t="s">
        <v>195</v>
      </c>
      <c r="I1094" s="17" t="b">
        <v>0</v>
      </c>
      <c r="J1094" s="6" t="s">
        <v>546</v>
      </c>
      <c r="K1094" s="10"/>
      <c r="L1094" s="10"/>
      <c r="M1094" s="10"/>
      <c r="N1094" s="10"/>
      <c r="O1094" s="18">
        <v>545.5</v>
      </c>
      <c r="P1094" s="10"/>
      <c r="Q1094" s="17" t="b">
        <v>1</v>
      </c>
      <c r="R1094" s="10"/>
    </row>
    <row r="1095">
      <c r="A1095" s="18">
        <v>2.4830701E7</v>
      </c>
      <c r="B1095" s="6" t="s">
        <v>35</v>
      </c>
      <c r="C1095" s="8">
        <v>45730.0</v>
      </c>
      <c r="D1095" s="6" t="s">
        <v>3816</v>
      </c>
      <c r="E1095" s="6" t="s">
        <v>6781</v>
      </c>
      <c r="F1095" s="10"/>
      <c r="G1095" s="6" t="s">
        <v>6784</v>
      </c>
      <c r="H1095" s="6" t="s">
        <v>6785</v>
      </c>
      <c r="I1095" s="17" t="b">
        <v>1</v>
      </c>
      <c r="J1095" s="6" t="s">
        <v>546</v>
      </c>
      <c r="K1095" s="10"/>
      <c r="L1095" s="10"/>
      <c r="M1095" s="10"/>
      <c r="N1095" s="10"/>
      <c r="O1095" s="18">
        <v>38.93</v>
      </c>
      <c r="P1095" s="18">
        <v>1374931.0</v>
      </c>
      <c r="Q1095" s="17" t="b">
        <v>1</v>
      </c>
      <c r="R1095" s="10"/>
    </row>
    <row r="1096">
      <c r="A1096" s="6" t="s">
        <v>6673</v>
      </c>
      <c r="B1096" s="6" t="s">
        <v>35</v>
      </c>
      <c r="C1096" s="8">
        <v>45730.0</v>
      </c>
      <c r="D1096" s="6" t="s">
        <v>112</v>
      </c>
      <c r="E1096" s="6" t="s">
        <v>6793</v>
      </c>
      <c r="F1096" s="10"/>
      <c r="G1096" s="6" t="s">
        <v>6794</v>
      </c>
      <c r="H1096" s="6" t="s">
        <v>157</v>
      </c>
      <c r="I1096" s="17" t="b">
        <v>0</v>
      </c>
      <c r="J1096" s="6" t="s">
        <v>546</v>
      </c>
      <c r="K1096" s="10"/>
      <c r="L1096" s="10"/>
      <c r="M1096" s="10"/>
      <c r="N1096" s="10"/>
      <c r="O1096" s="18">
        <v>417.29</v>
      </c>
      <c r="P1096" s="10"/>
      <c r="Q1096" s="17" t="b">
        <v>1</v>
      </c>
      <c r="R1096" s="10"/>
    </row>
    <row r="1097">
      <c r="A1097" s="6" t="s">
        <v>6678</v>
      </c>
      <c r="B1097" s="6" t="s">
        <v>35</v>
      </c>
      <c r="C1097" s="8">
        <v>45731.0</v>
      </c>
      <c r="D1097" s="6" t="s">
        <v>543</v>
      </c>
      <c r="E1097" s="6" t="s">
        <v>6800</v>
      </c>
      <c r="F1097" s="10"/>
      <c r="G1097" s="6" t="s">
        <v>6802</v>
      </c>
      <c r="H1097" s="6" t="s">
        <v>171</v>
      </c>
      <c r="I1097" s="17" t="b">
        <v>0</v>
      </c>
      <c r="J1097" s="6" t="s">
        <v>546</v>
      </c>
      <c r="K1097" s="10"/>
      <c r="L1097" s="10"/>
      <c r="M1097" s="10"/>
      <c r="N1097" s="10"/>
      <c r="O1097" s="18">
        <v>250.0</v>
      </c>
      <c r="P1097" s="10"/>
      <c r="Q1097" s="17" t="b">
        <v>1</v>
      </c>
      <c r="R1097" s="10"/>
    </row>
    <row r="1098">
      <c r="A1098" s="6" t="s">
        <v>6680</v>
      </c>
      <c r="B1098" s="6" t="s">
        <v>35</v>
      </c>
      <c r="C1098" s="8">
        <v>45731.0</v>
      </c>
      <c r="D1098" s="6" t="s">
        <v>112</v>
      </c>
      <c r="E1098" s="6" t="s">
        <v>6810</v>
      </c>
      <c r="F1098" s="10"/>
      <c r="G1098" s="6" t="s">
        <v>6811</v>
      </c>
      <c r="H1098" s="6" t="s">
        <v>157</v>
      </c>
      <c r="I1098" s="17" t="b">
        <v>0</v>
      </c>
      <c r="J1098" s="6" t="s">
        <v>546</v>
      </c>
      <c r="K1098" s="10"/>
      <c r="L1098" s="10"/>
      <c r="M1098" s="10"/>
      <c r="N1098" s="10"/>
      <c r="O1098" s="18">
        <v>226.1</v>
      </c>
      <c r="P1098" s="10"/>
      <c r="Q1098" s="17" t="b">
        <v>1</v>
      </c>
      <c r="R1098" s="10"/>
    </row>
    <row r="1099">
      <c r="A1099" s="6" t="s">
        <v>6688</v>
      </c>
      <c r="B1099" s="6" t="s">
        <v>35</v>
      </c>
      <c r="C1099" s="8">
        <v>45731.0</v>
      </c>
      <c r="D1099" s="6" t="s">
        <v>3816</v>
      </c>
      <c r="E1099" s="6" t="s">
        <v>6820</v>
      </c>
      <c r="F1099" s="10"/>
      <c r="G1099" s="6" t="s">
        <v>6823</v>
      </c>
      <c r="H1099" s="6" t="s">
        <v>6824</v>
      </c>
      <c r="I1099" s="17" t="b">
        <v>1</v>
      </c>
      <c r="J1099" s="6" t="s">
        <v>546</v>
      </c>
      <c r="K1099" s="10"/>
      <c r="L1099" s="10"/>
      <c r="M1099" s="10"/>
      <c r="N1099" s="10"/>
      <c r="O1099" s="18">
        <v>18.3</v>
      </c>
      <c r="P1099" s="6" t="s">
        <v>4049</v>
      </c>
      <c r="Q1099" s="17" t="b">
        <v>1</v>
      </c>
      <c r="R1099" s="10"/>
    </row>
    <row r="1100">
      <c r="A1100" s="6" t="s">
        <v>6690</v>
      </c>
      <c r="B1100" s="6" t="s">
        <v>35</v>
      </c>
      <c r="C1100" s="8">
        <v>45732.0</v>
      </c>
      <c r="D1100" s="6" t="s">
        <v>3493</v>
      </c>
      <c r="E1100" s="6" t="s">
        <v>6833</v>
      </c>
      <c r="F1100" s="10"/>
      <c r="G1100" s="6" t="s">
        <v>6835</v>
      </c>
      <c r="H1100" s="6" t="s">
        <v>6836</v>
      </c>
      <c r="I1100" s="17" t="b">
        <v>1</v>
      </c>
      <c r="J1100" s="6" t="s">
        <v>546</v>
      </c>
      <c r="K1100" s="10"/>
      <c r="L1100" s="10"/>
      <c r="M1100" s="10"/>
      <c r="N1100" s="10"/>
      <c r="O1100" s="18">
        <v>32.7</v>
      </c>
      <c r="P1100" s="18">
        <v>1378861.0</v>
      </c>
      <c r="Q1100" s="17" t="b">
        <v>1</v>
      </c>
      <c r="R1100" s="10"/>
    </row>
    <row r="1101">
      <c r="A1101" s="6" t="s">
        <v>6692</v>
      </c>
      <c r="B1101" s="6" t="s">
        <v>35</v>
      </c>
      <c r="C1101" s="8">
        <v>45733.0</v>
      </c>
      <c r="D1101" s="6" t="s">
        <v>353</v>
      </c>
      <c r="E1101" s="6" t="s">
        <v>6841</v>
      </c>
      <c r="F1101" s="10"/>
      <c r="G1101" s="6" t="s">
        <v>6843</v>
      </c>
      <c r="H1101" s="6" t="s">
        <v>6844</v>
      </c>
      <c r="I1101" s="17" t="b">
        <v>1</v>
      </c>
      <c r="J1101" s="6" t="s">
        <v>546</v>
      </c>
      <c r="K1101" s="10"/>
      <c r="L1101" s="10"/>
      <c r="M1101" s="10"/>
      <c r="N1101" s="10"/>
      <c r="O1101" s="18">
        <v>735.94</v>
      </c>
      <c r="P1101" s="18">
        <v>1381913.0</v>
      </c>
      <c r="Q1101" s="17" t="b">
        <v>1</v>
      </c>
      <c r="R1101" s="10"/>
    </row>
    <row r="1102">
      <c r="A1102" s="6" t="s">
        <v>6694</v>
      </c>
      <c r="B1102" s="6" t="s">
        <v>35</v>
      </c>
      <c r="C1102" s="8">
        <v>45733.0</v>
      </c>
      <c r="D1102" s="6" t="s">
        <v>543</v>
      </c>
      <c r="E1102" s="6" t="s">
        <v>6849</v>
      </c>
      <c r="F1102" s="10"/>
      <c r="G1102" s="6" t="s">
        <v>6851</v>
      </c>
      <c r="H1102" s="6" t="s">
        <v>171</v>
      </c>
      <c r="I1102" s="17" t="b">
        <v>0</v>
      </c>
      <c r="J1102" s="6" t="s">
        <v>546</v>
      </c>
      <c r="K1102" s="10"/>
      <c r="L1102" s="10"/>
      <c r="M1102" s="10"/>
      <c r="N1102" s="10"/>
      <c r="O1102" s="18">
        <v>200.0</v>
      </c>
      <c r="P1102" s="10"/>
      <c r="Q1102" s="17" t="b">
        <v>1</v>
      </c>
      <c r="R1102" s="10"/>
    </row>
    <row r="1103">
      <c r="A1103" s="6" t="s">
        <v>6698</v>
      </c>
      <c r="B1103" s="6" t="s">
        <v>35</v>
      </c>
      <c r="C1103" s="8">
        <v>45734.0</v>
      </c>
      <c r="D1103" s="6" t="s">
        <v>890</v>
      </c>
      <c r="E1103" s="6" t="s">
        <v>6853</v>
      </c>
      <c r="F1103" s="10"/>
      <c r="G1103" s="6" t="s">
        <v>6855</v>
      </c>
      <c r="H1103" s="6" t="s">
        <v>2894</v>
      </c>
      <c r="I1103" s="17" t="b">
        <v>0</v>
      </c>
      <c r="J1103" s="6" t="s">
        <v>546</v>
      </c>
      <c r="K1103" s="10"/>
      <c r="L1103" s="6" t="s">
        <v>6857</v>
      </c>
      <c r="M1103" s="10"/>
      <c r="N1103" s="10"/>
      <c r="O1103" s="18">
        <v>266.62</v>
      </c>
      <c r="P1103" s="10"/>
      <c r="Q1103" s="17" t="b">
        <v>1</v>
      </c>
      <c r="R1103" s="10"/>
    </row>
    <row r="1104">
      <c r="A1104" s="6" t="s">
        <v>6701</v>
      </c>
      <c r="B1104" s="6" t="s">
        <v>35</v>
      </c>
      <c r="C1104" s="8">
        <v>45734.0</v>
      </c>
      <c r="D1104" s="6" t="s">
        <v>890</v>
      </c>
      <c r="E1104" s="6" t="s">
        <v>6853</v>
      </c>
      <c r="F1104" s="10"/>
      <c r="G1104" s="6" t="s">
        <v>6861</v>
      </c>
      <c r="H1104" s="6" t="s">
        <v>2894</v>
      </c>
      <c r="I1104" s="17" t="b">
        <v>0</v>
      </c>
      <c r="J1104" s="6" t="s">
        <v>546</v>
      </c>
      <c r="K1104" s="10"/>
      <c r="L1104" s="6" t="s">
        <v>6862</v>
      </c>
      <c r="M1104" s="6" t="s">
        <v>6863</v>
      </c>
      <c r="N1104" s="6" t="s">
        <v>6865</v>
      </c>
      <c r="O1104" s="18">
        <v>21101.51</v>
      </c>
      <c r="P1104" s="10"/>
      <c r="Q1104" s="17" t="b">
        <v>1</v>
      </c>
      <c r="R1104" s="10"/>
    </row>
    <row r="1105">
      <c r="A1105" s="6" t="s">
        <v>6703</v>
      </c>
      <c r="B1105" s="6" t="s">
        <v>35</v>
      </c>
      <c r="C1105" s="8">
        <v>45735.0</v>
      </c>
      <c r="D1105" s="6" t="s">
        <v>890</v>
      </c>
      <c r="E1105" s="6" t="s">
        <v>6867</v>
      </c>
      <c r="F1105" s="10"/>
      <c r="G1105" s="6" t="s">
        <v>6868</v>
      </c>
      <c r="H1105" s="6" t="s">
        <v>3813</v>
      </c>
      <c r="I1105" s="17" t="b">
        <v>0</v>
      </c>
      <c r="J1105" s="6" t="s">
        <v>546</v>
      </c>
      <c r="K1105" s="10"/>
      <c r="L1105" s="6" t="s">
        <v>6871</v>
      </c>
      <c r="M1105" s="6" t="s">
        <v>6872</v>
      </c>
      <c r="N1105" s="10"/>
      <c r="O1105" s="18">
        <v>8223.17</v>
      </c>
      <c r="P1105" s="10"/>
      <c r="Q1105" s="17" t="b">
        <v>1</v>
      </c>
      <c r="R1105" s="10"/>
    </row>
    <row r="1106">
      <c r="A1106" s="6" t="s">
        <v>6705</v>
      </c>
      <c r="B1106" s="6" t="s">
        <v>35</v>
      </c>
      <c r="C1106" s="8">
        <v>45737.0</v>
      </c>
      <c r="D1106" s="18">
        <v>8.627274E7</v>
      </c>
      <c r="E1106" s="6" t="s">
        <v>6877</v>
      </c>
      <c r="F1106" s="10"/>
      <c r="G1106" s="6" t="s">
        <v>6878</v>
      </c>
      <c r="H1106" s="6" t="s">
        <v>6880</v>
      </c>
      <c r="I1106" s="17" t="b">
        <v>1</v>
      </c>
      <c r="J1106" s="6" t="s">
        <v>546</v>
      </c>
      <c r="K1106" s="10"/>
      <c r="L1106" s="10"/>
      <c r="M1106" s="10"/>
      <c r="N1106" s="10"/>
      <c r="O1106" s="18">
        <v>193.5</v>
      </c>
      <c r="P1106" s="6" t="s">
        <v>4049</v>
      </c>
      <c r="Q1106" s="17" t="b">
        <v>1</v>
      </c>
      <c r="R1106" s="10"/>
    </row>
    <row r="1107">
      <c r="A1107" s="6" t="s">
        <v>6707</v>
      </c>
      <c r="B1107" s="6" t="s">
        <v>35</v>
      </c>
      <c r="C1107" s="8">
        <v>45737.0</v>
      </c>
      <c r="D1107" s="6" t="s">
        <v>112</v>
      </c>
      <c r="E1107" s="6" t="s">
        <v>6884</v>
      </c>
      <c r="F1107" s="10"/>
      <c r="G1107" s="6" t="s">
        <v>6886</v>
      </c>
      <c r="H1107" s="6" t="s">
        <v>157</v>
      </c>
      <c r="I1107" s="17" t="b">
        <v>0</v>
      </c>
      <c r="J1107" s="6" t="s">
        <v>546</v>
      </c>
      <c r="K1107" s="10"/>
      <c r="L1107" s="10"/>
      <c r="M1107" s="10"/>
      <c r="N1107" s="10"/>
      <c r="O1107" s="18">
        <v>244.29</v>
      </c>
      <c r="P1107" s="10"/>
      <c r="Q1107" s="17" t="b">
        <v>1</v>
      </c>
      <c r="R1107" s="10"/>
    </row>
    <row r="1108">
      <c r="A1108" s="6" t="s">
        <v>6712</v>
      </c>
      <c r="B1108" s="6" t="s">
        <v>35</v>
      </c>
      <c r="C1108" s="8">
        <v>45738.0</v>
      </c>
      <c r="D1108" s="6" t="s">
        <v>112</v>
      </c>
      <c r="E1108" s="6" t="s">
        <v>6889</v>
      </c>
      <c r="F1108" s="10"/>
      <c r="G1108" s="6" t="s">
        <v>6892</v>
      </c>
      <c r="H1108" s="6" t="s">
        <v>157</v>
      </c>
      <c r="I1108" s="17" t="b">
        <v>0</v>
      </c>
      <c r="J1108" s="6" t="s">
        <v>546</v>
      </c>
      <c r="K1108" s="10"/>
      <c r="L1108" s="10"/>
      <c r="M1108" s="10"/>
      <c r="N1108" s="10"/>
      <c r="O1108" s="18">
        <v>223.06</v>
      </c>
      <c r="P1108" s="10"/>
      <c r="Q1108" s="17" t="b">
        <v>1</v>
      </c>
      <c r="R1108" s="10"/>
    </row>
    <row r="1109">
      <c r="A1109" s="6" t="s">
        <v>6717</v>
      </c>
      <c r="B1109" s="6" t="s">
        <v>35</v>
      </c>
      <c r="C1109" s="8">
        <v>45739.0</v>
      </c>
      <c r="D1109" s="6" t="s">
        <v>543</v>
      </c>
      <c r="E1109" s="6" t="s">
        <v>6898</v>
      </c>
      <c r="F1109" s="10"/>
      <c r="G1109" s="6" t="s">
        <v>6899</v>
      </c>
      <c r="H1109" s="6" t="s">
        <v>171</v>
      </c>
      <c r="I1109" s="17" t="b">
        <v>0</v>
      </c>
      <c r="J1109" s="6" t="s">
        <v>546</v>
      </c>
      <c r="K1109" s="10"/>
      <c r="L1109" s="10"/>
      <c r="M1109" s="10"/>
      <c r="N1109" s="10"/>
      <c r="O1109" s="18">
        <v>525.0</v>
      </c>
      <c r="P1109" s="10"/>
      <c r="Q1109" s="17" t="b">
        <v>1</v>
      </c>
      <c r="R1109" s="10"/>
    </row>
    <row r="1110">
      <c r="A1110" s="6" t="s">
        <v>6719</v>
      </c>
      <c r="B1110" s="6" t="s">
        <v>35</v>
      </c>
      <c r="C1110" s="8">
        <v>45739.0</v>
      </c>
      <c r="D1110" s="6" t="s">
        <v>6909</v>
      </c>
      <c r="E1110" s="6" t="s">
        <v>6911</v>
      </c>
      <c r="F1110" s="10"/>
      <c r="G1110" s="6" t="s">
        <v>6913</v>
      </c>
      <c r="H1110" s="6" t="s">
        <v>6914</v>
      </c>
      <c r="I1110" s="17" t="b">
        <v>0</v>
      </c>
      <c r="J1110" s="6" t="s">
        <v>546</v>
      </c>
      <c r="K1110" s="10"/>
      <c r="L1110" s="10"/>
      <c r="M1110" s="10"/>
      <c r="N1110" s="10"/>
      <c r="O1110" s="18">
        <v>210.0</v>
      </c>
      <c r="P1110" s="10"/>
      <c r="Q1110" s="17" t="b">
        <v>1</v>
      </c>
      <c r="R1110" s="10"/>
    </row>
    <row r="1111">
      <c r="A1111" s="6" t="s">
        <v>6723</v>
      </c>
      <c r="B1111" s="6" t="s">
        <v>35</v>
      </c>
      <c r="C1111" s="8">
        <v>45717.0</v>
      </c>
      <c r="D1111" s="6" t="s">
        <v>2439</v>
      </c>
      <c r="E1111" s="6" t="s">
        <v>6922</v>
      </c>
      <c r="F1111" s="10"/>
      <c r="G1111" s="6" t="s">
        <v>6924</v>
      </c>
      <c r="H1111" s="6" t="s">
        <v>5136</v>
      </c>
      <c r="I1111" s="17" t="b">
        <v>0</v>
      </c>
      <c r="J1111" s="6" t="s">
        <v>546</v>
      </c>
      <c r="K1111" s="10"/>
      <c r="L1111" s="10"/>
      <c r="M1111" s="10"/>
      <c r="N1111" s="10"/>
      <c r="O1111" s="18">
        <v>232.67</v>
      </c>
      <c r="P1111" s="10"/>
      <c r="Q1111" s="17" t="b">
        <v>1</v>
      </c>
      <c r="R1111" s="10"/>
    </row>
    <row r="1112">
      <c r="A1112" s="6" t="s">
        <v>6725</v>
      </c>
      <c r="B1112" s="6" t="s">
        <v>35</v>
      </c>
      <c r="C1112" s="8">
        <v>45742.0</v>
      </c>
      <c r="D1112" s="10"/>
      <c r="E1112" s="10"/>
      <c r="F1112" s="10"/>
      <c r="G1112" s="10"/>
      <c r="H1112" s="6" t="s">
        <v>6930</v>
      </c>
      <c r="I1112" s="10"/>
      <c r="J1112" s="6" t="s">
        <v>539</v>
      </c>
      <c r="K1112" s="6" t="s">
        <v>6062</v>
      </c>
      <c r="L1112" s="10"/>
      <c r="M1112" s="10"/>
      <c r="N1112" s="10"/>
      <c r="O1112" s="18">
        <v>500.0</v>
      </c>
      <c r="P1112" s="10"/>
      <c r="Q1112" s="6"/>
      <c r="R1112" s="10"/>
    </row>
    <row r="1113">
      <c r="A1113" s="6" t="s">
        <v>6727</v>
      </c>
      <c r="B1113" s="6" t="s">
        <v>35</v>
      </c>
      <c r="C1113" s="8">
        <v>45743.0</v>
      </c>
      <c r="D1113" s="10"/>
      <c r="E1113" s="10"/>
      <c r="F1113" s="10"/>
      <c r="G1113" s="10"/>
      <c r="H1113" s="6" t="s">
        <v>1329</v>
      </c>
      <c r="I1113" s="10"/>
      <c r="J1113" s="6" t="s">
        <v>539</v>
      </c>
      <c r="K1113" s="6" t="s">
        <v>2052</v>
      </c>
      <c r="L1113" s="10"/>
      <c r="M1113" s="10"/>
      <c r="N1113" s="10"/>
      <c r="O1113" s="18">
        <v>500.0</v>
      </c>
      <c r="P1113" s="10"/>
      <c r="Q1113" s="6"/>
      <c r="R1113" s="10"/>
    </row>
    <row r="1114">
      <c r="A1114" s="6" t="s">
        <v>6729</v>
      </c>
      <c r="B1114" s="6" t="s">
        <v>35</v>
      </c>
      <c r="C1114" s="8">
        <v>45743.0</v>
      </c>
      <c r="D1114" s="10"/>
      <c r="E1114" s="10"/>
      <c r="F1114" s="10"/>
      <c r="G1114" s="10"/>
      <c r="H1114" s="6" t="s">
        <v>1329</v>
      </c>
      <c r="I1114" s="10"/>
      <c r="J1114" s="6" t="s">
        <v>539</v>
      </c>
      <c r="K1114" s="6" t="s">
        <v>624</v>
      </c>
      <c r="L1114" s="10"/>
      <c r="M1114" s="10"/>
      <c r="N1114" s="10"/>
      <c r="O1114" s="18">
        <v>500.0</v>
      </c>
      <c r="P1114" s="10"/>
      <c r="Q1114" s="6"/>
      <c r="R1114" s="10"/>
    </row>
    <row r="1115">
      <c r="A1115" s="6" t="s">
        <v>6731</v>
      </c>
      <c r="B1115" s="6" t="s">
        <v>35</v>
      </c>
      <c r="C1115" s="8">
        <v>45734.0</v>
      </c>
      <c r="D1115" s="6" t="s">
        <v>1036</v>
      </c>
      <c r="E1115" s="6" t="s">
        <v>6957</v>
      </c>
      <c r="F1115" s="10"/>
      <c r="G1115" s="6" t="s">
        <v>6959</v>
      </c>
      <c r="H1115" s="6" t="s">
        <v>5755</v>
      </c>
      <c r="I1115" s="17" t="b">
        <v>0</v>
      </c>
      <c r="J1115" s="6" t="s">
        <v>546</v>
      </c>
      <c r="K1115" s="10"/>
      <c r="L1115" s="10"/>
      <c r="M1115" s="10"/>
      <c r="N1115" s="10"/>
      <c r="O1115" s="18">
        <v>124.16</v>
      </c>
      <c r="P1115" s="10"/>
      <c r="Q1115" s="17" t="b">
        <v>1</v>
      </c>
      <c r="R1115" s="10"/>
    </row>
    <row r="1116">
      <c r="A1116" s="6" t="s">
        <v>6733</v>
      </c>
      <c r="B1116" s="6" t="s">
        <v>35</v>
      </c>
      <c r="C1116" s="8">
        <v>45734.0</v>
      </c>
      <c r="D1116" s="6" t="s">
        <v>890</v>
      </c>
      <c r="E1116" s="6" t="s">
        <v>6967</v>
      </c>
      <c r="F1116" s="10"/>
      <c r="G1116" s="6" t="s">
        <v>6969</v>
      </c>
      <c r="H1116" s="6" t="s">
        <v>6970</v>
      </c>
      <c r="I1116" s="17" t="b">
        <v>0</v>
      </c>
      <c r="J1116" s="6" t="s">
        <v>546</v>
      </c>
      <c r="K1116" s="10"/>
      <c r="L1116" s="6" t="s">
        <v>6973</v>
      </c>
      <c r="M1116" s="10"/>
      <c r="N1116" s="10"/>
      <c r="O1116" s="18">
        <v>1027.1</v>
      </c>
      <c r="P1116" s="10"/>
      <c r="Q1116" s="17" t="b">
        <v>1</v>
      </c>
      <c r="R1116" s="10"/>
    </row>
    <row r="1117">
      <c r="A1117" s="6" t="s">
        <v>6735</v>
      </c>
      <c r="B1117" s="6" t="s">
        <v>35</v>
      </c>
      <c r="C1117" s="8">
        <v>45741.0</v>
      </c>
      <c r="D1117" s="6" t="s">
        <v>112</v>
      </c>
      <c r="E1117" s="6" t="s">
        <v>6981</v>
      </c>
      <c r="F1117" s="10"/>
      <c r="G1117" s="6" t="s">
        <v>6983</v>
      </c>
      <c r="H1117" s="6" t="s">
        <v>157</v>
      </c>
      <c r="I1117" s="17" t="b">
        <v>0</v>
      </c>
      <c r="J1117" s="6" t="s">
        <v>546</v>
      </c>
      <c r="K1117" s="10"/>
      <c r="L1117" s="10"/>
      <c r="M1117" s="10"/>
      <c r="N1117" s="10"/>
      <c r="O1117" s="18">
        <v>204.7</v>
      </c>
      <c r="P1117" s="10"/>
      <c r="Q1117" s="17" t="b">
        <v>1</v>
      </c>
      <c r="R1117" s="10"/>
    </row>
    <row r="1118">
      <c r="A1118" s="6" t="s">
        <v>6739</v>
      </c>
      <c r="B1118" s="6" t="s">
        <v>35</v>
      </c>
      <c r="C1118" s="8">
        <v>45741.0</v>
      </c>
      <c r="D1118" s="6" t="s">
        <v>112</v>
      </c>
      <c r="E1118" s="6" t="s">
        <v>6991</v>
      </c>
      <c r="F1118" s="10"/>
      <c r="G1118" s="6" t="s">
        <v>6994</v>
      </c>
      <c r="H1118" s="6" t="s">
        <v>6995</v>
      </c>
      <c r="I1118" s="17" t="b">
        <v>0</v>
      </c>
      <c r="J1118" s="6" t="s">
        <v>546</v>
      </c>
      <c r="K1118" s="10"/>
      <c r="L1118" s="10"/>
      <c r="M1118" s="10"/>
      <c r="N1118" s="10"/>
      <c r="O1118" s="18">
        <v>40.59</v>
      </c>
      <c r="P1118" s="10"/>
      <c r="Q1118" s="17" t="b">
        <v>1</v>
      </c>
      <c r="R1118" s="10"/>
    </row>
    <row r="1119">
      <c r="A1119" s="6" t="s">
        <v>6741</v>
      </c>
      <c r="B1119" s="6" t="s">
        <v>35</v>
      </c>
      <c r="C1119" s="8">
        <v>45742.0</v>
      </c>
      <c r="D1119" s="6" t="s">
        <v>2096</v>
      </c>
      <c r="E1119" s="6" t="s">
        <v>7006</v>
      </c>
      <c r="F1119" s="10"/>
      <c r="G1119" s="6" t="s">
        <v>7008</v>
      </c>
      <c r="H1119" s="6" t="s">
        <v>4107</v>
      </c>
      <c r="I1119" s="17" t="b">
        <v>1</v>
      </c>
      <c r="J1119" s="6" t="s">
        <v>546</v>
      </c>
      <c r="K1119" s="10"/>
      <c r="L1119" s="6" t="s">
        <v>7012</v>
      </c>
      <c r="M1119" s="10"/>
      <c r="N1119" s="10"/>
      <c r="O1119" s="18">
        <v>20.0</v>
      </c>
      <c r="P1119" s="18">
        <v>1398407.0</v>
      </c>
      <c r="Q1119" s="17" t="b">
        <v>1</v>
      </c>
      <c r="R1119" s="10"/>
    </row>
    <row r="1120">
      <c r="A1120" s="6" t="s">
        <v>6743</v>
      </c>
      <c r="B1120" s="6" t="s">
        <v>35</v>
      </c>
      <c r="C1120" s="8">
        <v>45744.0</v>
      </c>
      <c r="D1120" s="18">
        <v>2.6065919E7</v>
      </c>
      <c r="E1120" s="6" t="s">
        <v>7021</v>
      </c>
      <c r="F1120" s="10"/>
      <c r="G1120" s="6" t="s">
        <v>7022</v>
      </c>
      <c r="H1120" s="6" t="s">
        <v>5885</v>
      </c>
      <c r="I1120" s="17" t="b">
        <v>1</v>
      </c>
      <c r="J1120" s="6" t="s">
        <v>546</v>
      </c>
      <c r="K1120" s="10"/>
      <c r="L1120" s="10"/>
      <c r="M1120" s="10"/>
      <c r="N1120" s="10"/>
      <c r="O1120" s="18">
        <v>174.4</v>
      </c>
      <c r="P1120" s="18">
        <v>1401439.0</v>
      </c>
      <c r="Q1120" s="17" t="b">
        <v>1</v>
      </c>
      <c r="R1120" s="10"/>
    </row>
    <row r="1121">
      <c r="A1121" s="6" t="s">
        <v>6745</v>
      </c>
      <c r="B1121" s="6" t="s">
        <v>35</v>
      </c>
      <c r="C1121" s="8">
        <v>45744.0</v>
      </c>
      <c r="D1121" s="6" t="s">
        <v>3493</v>
      </c>
      <c r="E1121" s="6" t="s">
        <v>7029</v>
      </c>
      <c r="F1121" s="10"/>
      <c r="G1121" s="6" t="s">
        <v>7030</v>
      </c>
      <c r="H1121" s="6" t="s">
        <v>4248</v>
      </c>
      <c r="I1121" s="17" t="b">
        <v>1</v>
      </c>
      <c r="J1121" s="6" t="s">
        <v>546</v>
      </c>
      <c r="K1121" s="10"/>
      <c r="L1121" s="10"/>
      <c r="M1121" s="10"/>
      <c r="N1121" s="10"/>
      <c r="O1121" s="18">
        <v>35.56</v>
      </c>
      <c r="P1121" s="6" t="s">
        <v>4049</v>
      </c>
      <c r="Q1121" s="17" t="b">
        <v>1</v>
      </c>
      <c r="R1121" s="10"/>
    </row>
    <row r="1122">
      <c r="A1122" s="6" t="s">
        <v>6747</v>
      </c>
      <c r="B1122" s="6" t="s">
        <v>35</v>
      </c>
      <c r="C1122" s="8">
        <v>45744.0</v>
      </c>
      <c r="D1122" s="6" t="s">
        <v>3816</v>
      </c>
      <c r="E1122" s="6" t="s">
        <v>7034</v>
      </c>
      <c r="F1122" s="10"/>
      <c r="G1122" s="6" t="s">
        <v>7035</v>
      </c>
      <c r="H1122" s="6" t="s">
        <v>4146</v>
      </c>
      <c r="I1122" s="17" t="b">
        <v>1</v>
      </c>
      <c r="J1122" s="6" t="s">
        <v>546</v>
      </c>
      <c r="K1122" s="10"/>
      <c r="L1122" s="10"/>
      <c r="M1122" s="10"/>
      <c r="N1122" s="10"/>
      <c r="O1122" s="18">
        <v>12.01</v>
      </c>
      <c r="P1122" s="6" t="s">
        <v>4049</v>
      </c>
      <c r="Q1122" s="17" t="b">
        <v>1</v>
      </c>
      <c r="R1122" s="10"/>
    </row>
    <row r="1123">
      <c r="A1123" s="6" t="s">
        <v>6749</v>
      </c>
      <c r="B1123" s="6" t="s">
        <v>35</v>
      </c>
      <c r="C1123" s="8">
        <v>45744.0</v>
      </c>
      <c r="D1123" s="6" t="s">
        <v>543</v>
      </c>
      <c r="E1123" s="6" t="s">
        <v>7044</v>
      </c>
      <c r="F1123" s="10"/>
      <c r="G1123" s="6" t="s">
        <v>7045</v>
      </c>
      <c r="H1123" s="6" t="s">
        <v>171</v>
      </c>
      <c r="I1123" s="17" t="b">
        <v>0</v>
      </c>
      <c r="J1123" s="6" t="s">
        <v>546</v>
      </c>
      <c r="K1123" s="10"/>
      <c r="L1123" s="10"/>
      <c r="M1123" s="10"/>
      <c r="N1123" s="10"/>
      <c r="O1123" s="18">
        <v>325.0</v>
      </c>
      <c r="P1123" s="10"/>
      <c r="Q1123" s="17" t="b">
        <v>1</v>
      </c>
      <c r="R1123" s="10"/>
    </row>
    <row r="1124">
      <c r="A1124" s="18">
        <v>8.771972E7</v>
      </c>
      <c r="B1124" s="6" t="s">
        <v>35</v>
      </c>
      <c r="C1124" s="8">
        <v>45744.0</v>
      </c>
      <c r="D1124" s="6" t="s">
        <v>112</v>
      </c>
      <c r="E1124" s="6" t="s">
        <v>7052</v>
      </c>
      <c r="F1124" s="10"/>
      <c r="G1124" s="6" t="s">
        <v>7053</v>
      </c>
      <c r="H1124" s="6" t="s">
        <v>6995</v>
      </c>
      <c r="I1124" s="17" t="b">
        <v>0</v>
      </c>
      <c r="J1124" s="6" t="s">
        <v>546</v>
      </c>
      <c r="K1124" s="10"/>
      <c r="L1124" s="10"/>
      <c r="M1124" s="10"/>
      <c r="N1124" s="10"/>
      <c r="O1124" s="18">
        <v>421.75</v>
      </c>
      <c r="P1124" s="10"/>
      <c r="Q1124" s="17" t="b">
        <v>1</v>
      </c>
      <c r="R1124" s="10"/>
    </row>
    <row r="1125">
      <c r="A1125" s="6" t="s">
        <v>6759</v>
      </c>
      <c r="B1125" s="6" t="s">
        <v>35</v>
      </c>
      <c r="C1125" s="8">
        <v>45744.0</v>
      </c>
      <c r="D1125" s="6" t="s">
        <v>1557</v>
      </c>
      <c r="E1125" s="6" t="s">
        <v>7058</v>
      </c>
      <c r="F1125" s="10"/>
      <c r="G1125" s="6" t="s">
        <v>7059</v>
      </c>
      <c r="H1125" s="6" t="s">
        <v>3903</v>
      </c>
      <c r="I1125" s="17" t="b">
        <v>0</v>
      </c>
      <c r="J1125" s="6" t="s">
        <v>546</v>
      </c>
      <c r="K1125" s="10"/>
      <c r="L1125" s="10"/>
      <c r="M1125" s="10"/>
      <c r="N1125" s="10"/>
      <c r="O1125" s="18">
        <v>110.0</v>
      </c>
      <c r="P1125" s="10"/>
      <c r="Q1125" s="17" t="b">
        <v>1</v>
      </c>
      <c r="R1125" s="10"/>
    </row>
    <row r="1126">
      <c r="A1126" s="6" t="s">
        <v>6761</v>
      </c>
      <c r="B1126" s="6" t="s">
        <v>35</v>
      </c>
      <c r="C1126" s="8">
        <v>45744.0</v>
      </c>
      <c r="D1126" s="6" t="s">
        <v>3716</v>
      </c>
      <c r="E1126" s="6" t="s">
        <v>7064</v>
      </c>
      <c r="F1126" s="10"/>
      <c r="G1126" s="6" t="s">
        <v>7066</v>
      </c>
      <c r="H1126" s="6" t="s">
        <v>6533</v>
      </c>
      <c r="I1126" s="17" t="b">
        <v>1</v>
      </c>
      <c r="J1126" s="6" t="s">
        <v>546</v>
      </c>
      <c r="K1126" s="10"/>
      <c r="L1126" s="10"/>
      <c r="M1126" s="10"/>
      <c r="N1126" s="10"/>
      <c r="O1126" s="18">
        <v>485.0</v>
      </c>
      <c r="P1126" s="18">
        <v>1401690.0</v>
      </c>
      <c r="Q1126" s="17" t="b">
        <v>1</v>
      </c>
      <c r="R1126" s="10"/>
    </row>
    <row r="1127">
      <c r="A1127" s="6" t="s">
        <v>6769</v>
      </c>
      <c r="B1127" s="6" t="s">
        <v>35</v>
      </c>
      <c r="C1127" s="8">
        <v>45745.0</v>
      </c>
      <c r="D1127" s="6" t="s">
        <v>112</v>
      </c>
      <c r="E1127" s="6" t="s">
        <v>7072</v>
      </c>
      <c r="F1127" s="10"/>
      <c r="G1127" s="6" t="s">
        <v>7074</v>
      </c>
      <c r="H1127" s="6" t="s">
        <v>157</v>
      </c>
      <c r="I1127" s="17" t="b">
        <v>0</v>
      </c>
      <c r="J1127" s="6" t="s">
        <v>546</v>
      </c>
      <c r="K1127" s="10"/>
      <c r="L1127" s="10"/>
      <c r="M1127" s="10"/>
      <c r="N1127" s="10"/>
      <c r="O1127" s="18">
        <v>119.94</v>
      </c>
      <c r="P1127" s="10"/>
      <c r="Q1127" s="17" t="b">
        <v>1</v>
      </c>
      <c r="R1127" s="10"/>
    </row>
    <row r="1128">
      <c r="A1128" s="6" t="s">
        <v>6775</v>
      </c>
      <c r="B1128" s="6" t="s">
        <v>35</v>
      </c>
      <c r="C1128" s="8">
        <v>45745.0</v>
      </c>
      <c r="D1128" s="6" t="s">
        <v>543</v>
      </c>
      <c r="E1128" s="6" t="s">
        <v>7079</v>
      </c>
      <c r="F1128" s="10"/>
      <c r="G1128" s="6" t="s">
        <v>7080</v>
      </c>
      <c r="H1128" s="6" t="s">
        <v>171</v>
      </c>
      <c r="I1128" s="17" t="b">
        <v>0</v>
      </c>
      <c r="J1128" s="6" t="s">
        <v>546</v>
      </c>
      <c r="K1128" s="10"/>
      <c r="L1128" s="10"/>
      <c r="M1128" s="10"/>
      <c r="N1128" s="10"/>
      <c r="O1128" s="18">
        <v>500.0</v>
      </c>
      <c r="P1128" s="10"/>
      <c r="Q1128" s="17" t="b">
        <v>1</v>
      </c>
      <c r="R1128" s="10"/>
    </row>
    <row r="1129">
      <c r="A1129" s="6" t="s">
        <v>6777</v>
      </c>
      <c r="B1129" s="6" t="s">
        <v>35</v>
      </c>
      <c r="C1129" s="8">
        <v>45745.0</v>
      </c>
      <c r="D1129" s="6" t="s">
        <v>3816</v>
      </c>
      <c r="E1129" s="6" t="s">
        <v>7087</v>
      </c>
      <c r="F1129" s="10"/>
      <c r="G1129" s="6" t="s">
        <v>7088</v>
      </c>
      <c r="H1129" s="6" t="s">
        <v>4146</v>
      </c>
      <c r="I1129" s="17" t="b">
        <v>1</v>
      </c>
      <c r="J1129" s="6" t="s">
        <v>546</v>
      </c>
      <c r="K1129" s="10"/>
      <c r="L1129" s="10"/>
      <c r="M1129" s="10"/>
      <c r="N1129" s="10"/>
      <c r="O1129" s="18">
        <v>8.3</v>
      </c>
      <c r="P1129" s="18">
        <v>1403333.0</v>
      </c>
      <c r="Q1129" s="17" t="b">
        <v>1</v>
      </c>
      <c r="R1129" s="10"/>
    </row>
    <row r="1130">
      <c r="A1130" s="6" t="s">
        <v>6779</v>
      </c>
      <c r="B1130" s="6" t="s">
        <v>35</v>
      </c>
      <c r="C1130" s="8">
        <v>45745.0</v>
      </c>
      <c r="D1130" s="6" t="s">
        <v>7095</v>
      </c>
      <c r="E1130" s="6" t="s">
        <v>7096</v>
      </c>
      <c r="F1130" s="10"/>
      <c r="G1130" s="6" t="s">
        <v>7098</v>
      </c>
      <c r="H1130" s="6" t="s">
        <v>195</v>
      </c>
      <c r="I1130" s="17" t="b">
        <v>0</v>
      </c>
      <c r="J1130" s="6" t="s">
        <v>546</v>
      </c>
      <c r="K1130" s="10"/>
      <c r="L1130" s="6" t="s">
        <v>7100</v>
      </c>
      <c r="M1130" s="10"/>
      <c r="N1130" s="10"/>
      <c r="O1130" s="18">
        <v>201.28</v>
      </c>
      <c r="P1130" s="10"/>
      <c r="Q1130" s="17" t="b">
        <v>1</v>
      </c>
      <c r="R1130" s="10"/>
    </row>
    <row r="1131">
      <c r="A1131" s="6" t="s">
        <v>6783</v>
      </c>
      <c r="B1131" s="6" t="s">
        <v>35</v>
      </c>
      <c r="C1131" s="8">
        <v>45746.0</v>
      </c>
      <c r="D1131" s="6" t="s">
        <v>3493</v>
      </c>
      <c r="E1131" s="6" t="s">
        <v>7105</v>
      </c>
      <c r="F1131" s="10"/>
      <c r="G1131" s="6" t="s">
        <v>7106</v>
      </c>
      <c r="H1131" s="6" t="s">
        <v>7107</v>
      </c>
      <c r="I1131" s="17" t="b">
        <v>1</v>
      </c>
      <c r="J1131" s="6" t="s">
        <v>546</v>
      </c>
      <c r="K1131" s="10"/>
      <c r="L1131" s="10"/>
      <c r="M1131" s="10"/>
      <c r="N1131" s="10"/>
      <c r="O1131" s="18">
        <v>16.59</v>
      </c>
      <c r="P1131" s="18">
        <v>1407139.0</v>
      </c>
      <c r="Q1131" s="17" t="b">
        <v>1</v>
      </c>
      <c r="R1131" s="10"/>
    </row>
    <row r="1132">
      <c r="A1132" s="6" t="s">
        <v>6787</v>
      </c>
      <c r="B1132" s="6" t="s">
        <v>35</v>
      </c>
      <c r="C1132" s="8">
        <v>45743.0</v>
      </c>
      <c r="D1132" s="6" t="s">
        <v>764</v>
      </c>
      <c r="E1132" s="6" t="s">
        <v>7111</v>
      </c>
      <c r="F1132" s="10"/>
      <c r="G1132" s="6" t="s">
        <v>7113</v>
      </c>
      <c r="H1132" s="6" t="s">
        <v>195</v>
      </c>
      <c r="I1132" s="17" t="b">
        <v>0</v>
      </c>
      <c r="J1132" s="6" t="s">
        <v>546</v>
      </c>
      <c r="K1132" s="10"/>
      <c r="L1132" s="6" t="s">
        <v>7117</v>
      </c>
      <c r="M1132" s="10"/>
      <c r="N1132" s="10"/>
      <c r="O1132" s="18">
        <v>886.8</v>
      </c>
      <c r="P1132" s="10"/>
      <c r="Q1132" s="17" t="b">
        <v>1</v>
      </c>
      <c r="R1132" s="10"/>
    </row>
    <row r="1133">
      <c r="A1133" s="6" t="s">
        <v>6805</v>
      </c>
      <c r="B1133" s="6" t="s">
        <v>35</v>
      </c>
      <c r="C1133" s="8">
        <v>45748.0</v>
      </c>
      <c r="D1133" s="10"/>
      <c r="E1133" s="10"/>
      <c r="F1133" s="10"/>
      <c r="G1133" s="10"/>
      <c r="H1133" s="6" t="s">
        <v>7124</v>
      </c>
      <c r="I1133" s="10"/>
      <c r="J1133" s="6" t="s">
        <v>539</v>
      </c>
      <c r="K1133" s="6" t="s">
        <v>624</v>
      </c>
      <c r="L1133" s="10"/>
      <c r="M1133" s="10"/>
      <c r="N1133" s="10"/>
      <c r="O1133" s="18">
        <v>2291.15</v>
      </c>
      <c r="P1133" s="10"/>
      <c r="Q1133" s="6"/>
      <c r="R1133" s="10"/>
    </row>
    <row r="1134">
      <c r="A1134" s="6" t="s">
        <v>6807</v>
      </c>
      <c r="B1134" s="6" t="s">
        <v>35</v>
      </c>
      <c r="C1134" s="8">
        <v>45748.0</v>
      </c>
      <c r="D1134" s="10"/>
      <c r="E1134" s="10"/>
      <c r="F1134" s="10"/>
      <c r="G1134" s="10"/>
      <c r="H1134" s="6" t="s">
        <v>6721</v>
      </c>
      <c r="I1134" s="10"/>
      <c r="J1134" s="6" t="s">
        <v>539</v>
      </c>
      <c r="K1134" s="6" t="s">
        <v>2052</v>
      </c>
      <c r="L1134" s="10"/>
      <c r="M1134" s="10"/>
      <c r="N1134" s="10"/>
      <c r="O1134" s="18">
        <v>1778.15</v>
      </c>
      <c r="P1134" s="10"/>
      <c r="Q1134" s="6"/>
      <c r="R1134" s="10"/>
    </row>
    <row r="1135">
      <c r="A1135" s="6" t="s">
        <v>6809</v>
      </c>
      <c r="B1135" s="6" t="s">
        <v>35</v>
      </c>
      <c r="C1135" s="8">
        <v>45748.0</v>
      </c>
      <c r="D1135" s="10"/>
      <c r="E1135" s="10"/>
      <c r="F1135" s="10"/>
      <c r="G1135" s="10"/>
      <c r="H1135" s="6" t="s">
        <v>6721</v>
      </c>
      <c r="I1135" s="10"/>
      <c r="J1135" s="6" t="s">
        <v>539</v>
      </c>
      <c r="K1135" s="6" t="s">
        <v>227</v>
      </c>
      <c r="L1135" s="10"/>
      <c r="M1135" s="10"/>
      <c r="N1135" s="10"/>
      <c r="O1135" s="18">
        <v>2110.69</v>
      </c>
      <c r="P1135" s="10"/>
      <c r="Q1135" s="6"/>
      <c r="R1135" s="10"/>
    </row>
    <row r="1136">
      <c r="A1136" s="6" t="s">
        <v>6813</v>
      </c>
      <c r="B1136" s="6" t="s">
        <v>35</v>
      </c>
      <c r="C1136" s="8">
        <v>45748.0</v>
      </c>
      <c r="D1136" s="10"/>
      <c r="E1136" s="10"/>
      <c r="F1136" s="10"/>
      <c r="G1136" s="10"/>
      <c r="H1136" s="6" t="s">
        <v>6721</v>
      </c>
      <c r="I1136" s="10"/>
      <c r="J1136" s="6" t="s">
        <v>539</v>
      </c>
      <c r="K1136" s="6" t="s">
        <v>6062</v>
      </c>
      <c r="L1136" s="10"/>
      <c r="M1136" s="10"/>
      <c r="N1136" s="10"/>
      <c r="O1136" s="18">
        <v>872.3</v>
      </c>
      <c r="P1136" s="10"/>
      <c r="Q1136" s="6"/>
      <c r="R1136" s="10"/>
    </row>
    <row r="1137">
      <c r="A1137" s="6" t="s">
        <v>6815</v>
      </c>
      <c r="B1137" s="6" t="s">
        <v>35</v>
      </c>
      <c r="C1137" s="8">
        <v>45748.0</v>
      </c>
      <c r="D1137" s="10"/>
      <c r="E1137" s="10"/>
      <c r="F1137" s="10"/>
      <c r="G1137" s="10"/>
      <c r="H1137" s="6" t="s">
        <v>6721</v>
      </c>
      <c r="I1137" s="10"/>
      <c r="J1137" s="6" t="s">
        <v>539</v>
      </c>
      <c r="K1137" s="6" t="s">
        <v>3795</v>
      </c>
      <c r="L1137" s="10"/>
      <c r="M1137" s="10"/>
      <c r="N1137" s="10"/>
      <c r="O1137" s="18">
        <v>1115.47</v>
      </c>
      <c r="P1137" s="10"/>
      <c r="Q1137" s="6"/>
      <c r="R1137" s="10"/>
    </row>
    <row r="1138">
      <c r="A1138" s="6" t="s">
        <v>6817</v>
      </c>
      <c r="B1138" s="6" t="s">
        <v>35</v>
      </c>
      <c r="C1138" s="8">
        <v>45748.0</v>
      </c>
      <c r="D1138" s="6" t="s">
        <v>460</v>
      </c>
      <c r="E1138" s="10"/>
      <c r="F1138" s="10"/>
      <c r="G1138" s="10"/>
      <c r="H1138" s="6" t="s">
        <v>931</v>
      </c>
      <c r="I1138" s="10"/>
      <c r="J1138" s="6" t="s">
        <v>539</v>
      </c>
      <c r="K1138" s="10"/>
      <c r="L1138" s="10"/>
      <c r="M1138" s="10"/>
      <c r="N1138" s="10"/>
      <c r="O1138" s="18">
        <v>30.0</v>
      </c>
      <c r="P1138" s="10"/>
      <c r="Q1138" s="6"/>
      <c r="R1138" s="10"/>
    </row>
    <row r="1139">
      <c r="A1139" s="6" t="s">
        <v>6819</v>
      </c>
      <c r="B1139" s="6" t="s">
        <v>35</v>
      </c>
      <c r="C1139" s="8">
        <v>45748.0</v>
      </c>
      <c r="D1139" s="6" t="s">
        <v>460</v>
      </c>
      <c r="E1139" s="10"/>
      <c r="F1139" s="10"/>
      <c r="G1139" s="10"/>
      <c r="H1139" s="6" t="s">
        <v>6172</v>
      </c>
      <c r="I1139" s="10"/>
      <c r="J1139" s="6" t="s">
        <v>539</v>
      </c>
      <c r="K1139" s="10"/>
      <c r="L1139" s="10"/>
      <c r="M1139" s="10"/>
      <c r="N1139" s="10"/>
      <c r="O1139" s="18">
        <v>200.0</v>
      </c>
      <c r="P1139" s="10"/>
      <c r="Q1139" s="6"/>
      <c r="R1139" s="10"/>
    </row>
    <row r="1140">
      <c r="A1140" s="6" t="s">
        <v>6822</v>
      </c>
      <c r="B1140" s="6" t="s">
        <v>35</v>
      </c>
      <c r="C1140" s="8">
        <v>45748.0</v>
      </c>
      <c r="D1140" s="6" t="s">
        <v>460</v>
      </c>
      <c r="E1140" s="10"/>
      <c r="F1140" s="10"/>
      <c r="G1140" s="10"/>
      <c r="H1140" s="6" t="s">
        <v>4972</v>
      </c>
      <c r="I1140" s="10"/>
      <c r="J1140" s="6" t="s">
        <v>539</v>
      </c>
      <c r="K1140" s="10"/>
      <c r="L1140" s="10"/>
      <c r="M1140" s="10"/>
      <c r="N1140" s="10"/>
      <c r="O1140" s="18">
        <v>22.0</v>
      </c>
      <c r="P1140" s="10"/>
      <c r="Q1140" s="6"/>
      <c r="R1140" s="10"/>
    </row>
    <row r="1141">
      <c r="A1141" s="6" t="s">
        <v>6826</v>
      </c>
      <c r="B1141" s="6" t="s">
        <v>35</v>
      </c>
      <c r="C1141" s="8">
        <v>45748.0</v>
      </c>
      <c r="D1141" s="6" t="s">
        <v>460</v>
      </c>
      <c r="E1141" s="10"/>
      <c r="F1141" s="10"/>
      <c r="G1141" s="10"/>
      <c r="H1141" s="6" t="s">
        <v>4979</v>
      </c>
      <c r="I1141" s="10"/>
      <c r="J1141" s="6" t="s">
        <v>539</v>
      </c>
      <c r="K1141" s="10"/>
      <c r="L1141" s="10"/>
      <c r="M1141" s="10"/>
      <c r="N1141" s="10"/>
      <c r="O1141" s="18">
        <v>10.0</v>
      </c>
      <c r="P1141" s="10"/>
      <c r="Q1141" s="6"/>
      <c r="R1141" s="10"/>
    </row>
    <row r="1142">
      <c r="A1142" s="6" t="s">
        <v>6828</v>
      </c>
      <c r="B1142" s="6" t="s">
        <v>35</v>
      </c>
      <c r="C1142" s="8">
        <v>45748.0</v>
      </c>
      <c r="D1142" s="6" t="s">
        <v>460</v>
      </c>
      <c r="E1142" s="10"/>
      <c r="F1142" s="10"/>
      <c r="G1142" s="10"/>
      <c r="H1142" s="6" t="s">
        <v>7192</v>
      </c>
      <c r="I1142" s="10"/>
      <c r="J1142" s="6" t="s">
        <v>539</v>
      </c>
      <c r="K1142" s="10"/>
      <c r="L1142" s="10"/>
      <c r="M1142" s="10"/>
      <c r="N1142" s="10"/>
      <c r="O1142" s="18">
        <v>792.0</v>
      </c>
      <c r="P1142" s="10"/>
      <c r="Q1142" s="6"/>
      <c r="R1142" s="10"/>
    </row>
    <row r="1143">
      <c r="A1143" s="6" t="s">
        <v>6831</v>
      </c>
      <c r="B1143" s="6" t="s">
        <v>35</v>
      </c>
      <c r="C1143" s="8">
        <v>45749.0</v>
      </c>
      <c r="D1143" s="6" t="s">
        <v>353</v>
      </c>
      <c r="E1143" s="6" t="s">
        <v>7201</v>
      </c>
      <c r="F1143" s="10"/>
      <c r="G1143" s="6" t="s">
        <v>7202</v>
      </c>
      <c r="H1143" s="6" t="s">
        <v>605</v>
      </c>
      <c r="I1143" s="17" t="b">
        <v>1</v>
      </c>
      <c r="J1143" s="6" t="s">
        <v>546</v>
      </c>
      <c r="K1143" s="10"/>
      <c r="L1143" s="10"/>
      <c r="M1143" s="10"/>
      <c r="N1143" s="10"/>
      <c r="O1143" s="18">
        <v>2247.88</v>
      </c>
      <c r="P1143" s="6" t="s">
        <v>4049</v>
      </c>
      <c r="Q1143" s="17" t="b">
        <v>1</v>
      </c>
      <c r="R1143" s="10"/>
    </row>
    <row r="1144">
      <c r="A1144" s="6" t="s">
        <v>6848</v>
      </c>
      <c r="B1144" s="6" t="s">
        <v>35</v>
      </c>
      <c r="C1144" s="8">
        <v>45749.0</v>
      </c>
      <c r="D1144" s="6" t="s">
        <v>7209</v>
      </c>
      <c r="E1144" s="6" t="s">
        <v>7210</v>
      </c>
      <c r="F1144" s="10"/>
      <c r="G1144" s="6" t="s">
        <v>7213</v>
      </c>
      <c r="H1144" s="6" t="s">
        <v>369</v>
      </c>
      <c r="I1144" s="17" t="b">
        <v>1</v>
      </c>
      <c r="J1144" s="6" t="s">
        <v>546</v>
      </c>
      <c r="K1144" s="10"/>
      <c r="L1144" s="10"/>
      <c r="M1144" s="10"/>
      <c r="N1144" s="10"/>
      <c r="O1144" s="18">
        <v>335.59</v>
      </c>
      <c r="P1144" s="6" t="s">
        <v>5497</v>
      </c>
      <c r="Q1144" s="17" t="b">
        <v>1</v>
      </c>
      <c r="R1144" s="10"/>
    </row>
    <row r="1145">
      <c r="A1145" s="6" t="s">
        <v>6859</v>
      </c>
      <c r="B1145" s="6" t="s">
        <v>35</v>
      </c>
      <c r="C1145" s="8">
        <v>45749.0</v>
      </c>
      <c r="D1145" s="6" t="s">
        <v>112</v>
      </c>
      <c r="E1145" s="6" t="s">
        <v>7223</v>
      </c>
      <c r="F1145" s="10"/>
      <c r="G1145" s="6" t="s">
        <v>7224</v>
      </c>
      <c r="H1145" s="6" t="s">
        <v>157</v>
      </c>
      <c r="I1145" s="17" t="b">
        <v>0</v>
      </c>
      <c r="J1145" s="6" t="s">
        <v>546</v>
      </c>
      <c r="K1145" s="10"/>
      <c r="L1145" s="10"/>
      <c r="M1145" s="10"/>
      <c r="N1145" s="10"/>
      <c r="O1145" s="18">
        <v>250.07</v>
      </c>
      <c r="P1145" s="10"/>
      <c r="Q1145" s="17" t="b">
        <v>1</v>
      </c>
      <c r="R1145" s="10"/>
    </row>
    <row r="1146">
      <c r="A1146" s="6" t="s">
        <v>6870</v>
      </c>
      <c r="B1146" s="6" t="s">
        <v>35</v>
      </c>
      <c r="C1146" s="8">
        <v>45753.0</v>
      </c>
      <c r="D1146" s="10"/>
      <c r="E1146" s="10"/>
      <c r="F1146" s="10"/>
      <c r="G1146" s="10"/>
      <c r="H1146" s="6" t="s">
        <v>7232</v>
      </c>
      <c r="I1146" s="10"/>
      <c r="J1146" s="6" t="s">
        <v>539</v>
      </c>
      <c r="K1146" s="6" t="s">
        <v>682</v>
      </c>
      <c r="L1146" s="10"/>
      <c r="M1146" s="10"/>
      <c r="N1146" s="10"/>
      <c r="O1146" s="18">
        <v>6000.0</v>
      </c>
      <c r="P1146" s="10"/>
      <c r="Q1146" s="6"/>
      <c r="R1146" s="10"/>
    </row>
    <row r="1147">
      <c r="A1147" s="6" t="s">
        <v>6874</v>
      </c>
      <c r="B1147" s="6" t="s">
        <v>35</v>
      </c>
      <c r="C1147" s="8">
        <v>45753.0</v>
      </c>
      <c r="D1147" s="10"/>
      <c r="E1147" s="10"/>
      <c r="F1147" s="10"/>
      <c r="G1147" s="10"/>
      <c r="H1147" s="6" t="s">
        <v>7232</v>
      </c>
      <c r="I1147" s="10"/>
      <c r="J1147" s="6" t="s">
        <v>539</v>
      </c>
      <c r="K1147" s="6" t="s">
        <v>668</v>
      </c>
      <c r="L1147" s="10"/>
      <c r="M1147" s="10"/>
      <c r="N1147" s="10"/>
      <c r="O1147" s="18">
        <v>6000.0</v>
      </c>
      <c r="P1147" s="10"/>
      <c r="Q1147" s="6"/>
      <c r="R1147" s="10"/>
    </row>
    <row r="1148">
      <c r="A1148" s="6" t="s">
        <v>6876</v>
      </c>
      <c r="B1148" s="6" t="s">
        <v>35</v>
      </c>
      <c r="C1148" s="8">
        <v>45753.0</v>
      </c>
      <c r="D1148" s="10"/>
      <c r="E1148" s="10"/>
      <c r="F1148" s="10"/>
      <c r="G1148" s="10"/>
      <c r="H1148" s="6" t="s">
        <v>7232</v>
      </c>
      <c r="I1148" s="10"/>
      <c r="J1148" s="6" t="s">
        <v>539</v>
      </c>
      <c r="K1148" s="6" t="s">
        <v>671</v>
      </c>
      <c r="L1148" s="10"/>
      <c r="M1148" s="10"/>
      <c r="N1148" s="10"/>
      <c r="O1148" s="18">
        <v>6000.0</v>
      </c>
      <c r="P1148" s="10"/>
      <c r="Q1148" s="6"/>
      <c r="R1148" s="10"/>
    </row>
    <row r="1149">
      <c r="A1149" s="6" t="s">
        <v>6881</v>
      </c>
      <c r="B1149" s="6" t="s">
        <v>35</v>
      </c>
      <c r="C1149" s="8">
        <v>45747.0</v>
      </c>
      <c r="D1149" s="6" t="s">
        <v>890</v>
      </c>
      <c r="E1149" s="6" t="s">
        <v>7244</v>
      </c>
      <c r="F1149" s="10"/>
      <c r="G1149" s="6" t="s">
        <v>7246</v>
      </c>
      <c r="H1149" s="6" t="s">
        <v>3813</v>
      </c>
      <c r="I1149" s="17" t="b">
        <v>0</v>
      </c>
      <c r="J1149" s="6" t="s">
        <v>546</v>
      </c>
      <c r="K1149" s="10"/>
      <c r="L1149" s="6" t="s">
        <v>7249</v>
      </c>
      <c r="M1149" s="6" t="s">
        <v>7252</v>
      </c>
      <c r="N1149" s="10"/>
      <c r="O1149" s="18">
        <v>11237.81</v>
      </c>
      <c r="P1149" s="10"/>
      <c r="Q1149" s="17" t="b">
        <v>1</v>
      </c>
      <c r="R1149" s="10"/>
    </row>
    <row r="1150">
      <c r="A1150" s="6" t="s">
        <v>6883</v>
      </c>
      <c r="B1150" s="6" t="s">
        <v>35</v>
      </c>
      <c r="C1150" s="8">
        <v>45750.0</v>
      </c>
      <c r="D1150" s="6" t="s">
        <v>2613</v>
      </c>
      <c r="E1150" s="6" t="s">
        <v>7255</v>
      </c>
      <c r="F1150" s="10"/>
      <c r="G1150" s="6" t="s">
        <v>7257</v>
      </c>
      <c r="H1150" s="6" t="s">
        <v>319</v>
      </c>
      <c r="I1150" s="17" t="b">
        <v>1</v>
      </c>
      <c r="J1150" s="6" t="s">
        <v>546</v>
      </c>
      <c r="K1150" s="10"/>
      <c r="L1150" s="10"/>
      <c r="M1150" s="10"/>
      <c r="N1150" s="10"/>
      <c r="O1150" s="18">
        <v>165.48</v>
      </c>
      <c r="P1150" s="18">
        <v>1413637.0</v>
      </c>
      <c r="Q1150" s="17" t="b">
        <v>1</v>
      </c>
      <c r="R1150" s="10"/>
    </row>
    <row r="1151">
      <c r="A1151" s="6" t="s">
        <v>6891</v>
      </c>
      <c r="B1151" s="6" t="s">
        <v>35</v>
      </c>
      <c r="C1151" s="8">
        <v>45750.0</v>
      </c>
      <c r="D1151" s="6" t="s">
        <v>764</v>
      </c>
      <c r="E1151" s="6" t="s">
        <v>7262</v>
      </c>
      <c r="F1151" s="10"/>
      <c r="G1151" s="6" t="s">
        <v>7264</v>
      </c>
      <c r="H1151" s="6" t="s">
        <v>195</v>
      </c>
      <c r="I1151" s="17" t="b">
        <v>0</v>
      </c>
      <c r="J1151" s="6" t="s">
        <v>546</v>
      </c>
      <c r="K1151" s="10"/>
      <c r="L1151" s="6" t="s">
        <v>7265</v>
      </c>
      <c r="M1151" s="10"/>
      <c r="N1151" s="10"/>
      <c r="O1151" s="18">
        <v>976.5</v>
      </c>
      <c r="P1151" s="10"/>
      <c r="Q1151" s="17" t="b">
        <v>1</v>
      </c>
      <c r="R1151" s="10"/>
    </row>
    <row r="1152">
      <c r="A1152" s="6" t="s">
        <v>6905</v>
      </c>
      <c r="B1152" s="6" t="s">
        <v>35</v>
      </c>
      <c r="C1152" s="8">
        <v>45751.0</v>
      </c>
      <c r="D1152" s="18">
        <v>8.627274E7</v>
      </c>
      <c r="E1152" s="6" t="s">
        <v>7271</v>
      </c>
      <c r="F1152" s="10"/>
      <c r="G1152" s="6" t="s">
        <v>7272</v>
      </c>
      <c r="H1152" s="6" t="s">
        <v>7274</v>
      </c>
      <c r="I1152" s="17" t="b">
        <v>1</v>
      </c>
      <c r="J1152" s="6" t="s">
        <v>546</v>
      </c>
      <c r="K1152" s="10"/>
      <c r="L1152" s="10"/>
      <c r="M1152" s="10"/>
      <c r="N1152" s="10"/>
      <c r="O1152" s="18">
        <v>68.15</v>
      </c>
      <c r="P1152" s="18">
        <v>1415011.0</v>
      </c>
      <c r="Q1152" s="17" t="b">
        <v>1</v>
      </c>
      <c r="R1152" s="10"/>
    </row>
    <row r="1153">
      <c r="A1153" s="6" t="s">
        <v>6907</v>
      </c>
      <c r="B1153" s="6" t="s">
        <v>35</v>
      </c>
      <c r="C1153" s="8">
        <v>45751.0</v>
      </c>
      <c r="D1153" s="6" t="s">
        <v>112</v>
      </c>
      <c r="E1153" s="6" t="s">
        <v>7277</v>
      </c>
      <c r="F1153" s="10"/>
      <c r="G1153" s="6" t="s">
        <v>7279</v>
      </c>
      <c r="H1153" s="6" t="s">
        <v>157</v>
      </c>
      <c r="I1153" s="17" t="b">
        <v>0</v>
      </c>
      <c r="J1153" s="6" t="s">
        <v>546</v>
      </c>
      <c r="K1153" s="10"/>
      <c r="L1153" s="10"/>
      <c r="M1153" s="10"/>
      <c r="N1153" s="10"/>
      <c r="O1153" s="18">
        <v>347.15</v>
      </c>
      <c r="P1153" s="10"/>
      <c r="Q1153" s="17" t="b">
        <v>1</v>
      </c>
      <c r="R1153" s="10"/>
    </row>
    <row r="1154">
      <c r="A1154" s="6" t="s">
        <v>6916</v>
      </c>
      <c r="B1154" s="6" t="s">
        <v>35</v>
      </c>
      <c r="C1154" s="8">
        <v>45748.0</v>
      </c>
      <c r="D1154" s="18">
        <v>6.8893939E7</v>
      </c>
      <c r="E1154" s="6" t="s">
        <v>7286</v>
      </c>
      <c r="F1154" s="10"/>
      <c r="G1154" s="6" t="s">
        <v>7287</v>
      </c>
      <c r="H1154" s="6" t="s">
        <v>605</v>
      </c>
      <c r="I1154" s="17" t="b">
        <v>0</v>
      </c>
      <c r="J1154" s="6" t="s">
        <v>546</v>
      </c>
      <c r="K1154" s="10"/>
      <c r="L1154" s="10"/>
      <c r="M1154" s="10"/>
      <c r="N1154" s="10"/>
      <c r="O1154" s="18">
        <v>4047.04</v>
      </c>
      <c r="P1154" s="10"/>
      <c r="Q1154" s="17" t="b">
        <v>1</v>
      </c>
      <c r="R1154" s="10"/>
    </row>
    <row r="1155">
      <c r="A1155" s="6" t="s">
        <v>6918</v>
      </c>
      <c r="B1155" s="6" t="s">
        <v>35</v>
      </c>
      <c r="C1155" s="8">
        <v>45754.0</v>
      </c>
      <c r="D1155" s="6" t="s">
        <v>543</v>
      </c>
      <c r="E1155" s="6" t="s">
        <v>7295</v>
      </c>
      <c r="F1155" s="10"/>
      <c r="G1155" s="6" t="s">
        <v>7296</v>
      </c>
      <c r="H1155" s="6" t="s">
        <v>171</v>
      </c>
      <c r="I1155" s="17" t="b">
        <v>0</v>
      </c>
      <c r="J1155" s="6" t="s">
        <v>546</v>
      </c>
      <c r="K1155" s="10"/>
      <c r="L1155" s="10"/>
      <c r="M1155" s="10"/>
      <c r="N1155" s="10"/>
      <c r="O1155" s="18">
        <v>250.0</v>
      </c>
      <c r="P1155" s="10"/>
      <c r="Q1155" s="17" t="b">
        <v>1</v>
      </c>
      <c r="R1155" s="10"/>
    </row>
    <row r="1156">
      <c r="A1156" s="6" t="s">
        <v>6920</v>
      </c>
      <c r="B1156" s="6" t="s">
        <v>35</v>
      </c>
      <c r="C1156" s="8">
        <v>45757.0</v>
      </c>
      <c r="D1156" s="6" t="s">
        <v>112</v>
      </c>
      <c r="E1156" s="6" t="s">
        <v>7305</v>
      </c>
      <c r="F1156" s="10"/>
      <c r="G1156" s="6" t="s">
        <v>7307</v>
      </c>
      <c r="H1156" s="6" t="s">
        <v>157</v>
      </c>
      <c r="I1156" s="17" t="b">
        <v>0</v>
      </c>
      <c r="J1156" s="6" t="s">
        <v>546</v>
      </c>
      <c r="K1156" s="10"/>
      <c r="L1156" s="10"/>
      <c r="M1156" s="10"/>
      <c r="N1156" s="10"/>
      <c r="O1156" s="18">
        <v>437.08</v>
      </c>
      <c r="P1156" s="10"/>
      <c r="Q1156" s="17" t="b">
        <v>1</v>
      </c>
      <c r="R1156" s="10"/>
    </row>
    <row r="1157">
      <c r="A1157" s="6" t="s">
        <v>6927</v>
      </c>
      <c r="B1157" s="6" t="s">
        <v>35</v>
      </c>
      <c r="C1157" s="8">
        <v>45750.0</v>
      </c>
      <c r="D1157" s="6" t="s">
        <v>890</v>
      </c>
      <c r="E1157" s="6" t="s">
        <v>7318</v>
      </c>
      <c r="F1157" s="10"/>
      <c r="G1157" s="6" t="s">
        <v>7320</v>
      </c>
      <c r="H1157" s="6" t="s">
        <v>5067</v>
      </c>
      <c r="I1157" s="17" t="b">
        <v>0</v>
      </c>
      <c r="J1157" s="6" t="s">
        <v>546</v>
      </c>
      <c r="K1157" s="10"/>
      <c r="L1157" s="6" t="s">
        <v>7325</v>
      </c>
      <c r="M1157" s="6" t="s">
        <v>7327</v>
      </c>
      <c r="N1157" s="6" t="s">
        <v>7329</v>
      </c>
      <c r="O1157" s="18">
        <v>13643.74</v>
      </c>
      <c r="P1157" s="10"/>
      <c r="Q1157" s="17" t="b">
        <v>1</v>
      </c>
      <c r="R1157" s="10"/>
    </row>
    <row r="1158">
      <c r="A1158" s="6" t="s">
        <v>6929</v>
      </c>
      <c r="B1158" s="6" t="s">
        <v>35</v>
      </c>
      <c r="C1158" s="8">
        <v>45755.0</v>
      </c>
      <c r="D1158" s="6" t="s">
        <v>3427</v>
      </c>
      <c r="E1158" s="6" t="s">
        <v>7336</v>
      </c>
      <c r="F1158" s="10"/>
      <c r="G1158" s="6" t="s">
        <v>7338</v>
      </c>
      <c r="H1158" s="6" t="s">
        <v>7340</v>
      </c>
      <c r="I1158" s="17" t="b">
        <v>0</v>
      </c>
      <c r="J1158" s="6" t="s">
        <v>546</v>
      </c>
      <c r="K1158" s="10"/>
      <c r="L1158" s="10"/>
      <c r="M1158" s="10"/>
      <c r="N1158" s="10"/>
      <c r="O1158" s="18">
        <v>2016.98</v>
      </c>
      <c r="P1158" s="10"/>
      <c r="Q1158" s="17" t="b">
        <v>1</v>
      </c>
      <c r="R1158" s="10"/>
    </row>
    <row r="1159">
      <c r="A1159" s="6" t="s">
        <v>6933</v>
      </c>
      <c r="B1159" s="6" t="s">
        <v>35</v>
      </c>
      <c r="C1159" s="8">
        <v>45758.0</v>
      </c>
      <c r="D1159" s="6" t="s">
        <v>543</v>
      </c>
      <c r="E1159" s="6" t="s">
        <v>7349</v>
      </c>
      <c r="F1159" s="10"/>
      <c r="G1159" s="6" t="s">
        <v>7352</v>
      </c>
      <c r="H1159" s="6" t="s">
        <v>171</v>
      </c>
      <c r="I1159" s="17" t="b">
        <v>0</v>
      </c>
      <c r="J1159" s="6" t="s">
        <v>546</v>
      </c>
      <c r="K1159" s="10"/>
      <c r="L1159" s="10"/>
      <c r="M1159" s="10"/>
      <c r="N1159" s="10"/>
      <c r="O1159" s="18">
        <v>250.0</v>
      </c>
      <c r="P1159" s="10"/>
      <c r="Q1159" s="17" t="b">
        <v>1</v>
      </c>
      <c r="R1159" s="10"/>
    </row>
    <row r="1160">
      <c r="A1160" s="6" t="s">
        <v>6935</v>
      </c>
      <c r="B1160" s="6" t="s">
        <v>35</v>
      </c>
      <c r="C1160" s="8">
        <v>45759.0</v>
      </c>
      <c r="D1160" s="6" t="s">
        <v>112</v>
      </c>
      <c r="E1160" s="6" t="s">
        <v>7358</v>
      </c>
      <c r="F1160" s="10"/>
      <c r="G1160" s="6" t="s">
        <v>7359</v>
      </c>
      <c r="H1160" s="6" t="s">
        <v>157</v>
      </c>
      <c r="I1160" s="17" t="b">
        <v>0</v>
      </c>
      <c r="J1160" s="6" t="s">
        <v>546</v>
      </c>
      <c r="K1160" s="10"/>
      <c r="L1160" s="10"/>
      <c r="M1160" s="10"/>
      <c r="N1160" s="10"/>
      <c r="O1160" s="18">
        <v>214.42</v>
      </c>
      <c r="P1160" s="10"/>
      <c r="Q1160" s="17" t="b">
        <v>1</v>
      </c>
      <c r="R1160" s="10"/>
    </row>
    <row r="1161">
      <c r="A1161" s="6" t="s">
        <v>6940</v>
      </c>
      <c r="B1161" s="6" t="s">
        <v>35</v>
      </c>
      <c r="C1161" s="8">
        <v>45759.0</v>
      </c>
      <c r="D1161" s="6" t="s">
        <v>3493</v>
      </c>
      <c r="E1161" s="6" t="s">
        <v>7365</v>
      </c>
      <c r="F1161" s="10"/>
      <c r="G1161" s="6" t="s">
        <v>7367</v>
      </c>
      <c r="H1161" s="6" t="s">
        <v>236</v>
      </c>
      <c r="I1161" s="17" t="b">
        <v>1</v>
      </c>
      <c r="J1161" s="6" t="s">
        <v>546</v>
      </c>
      <c r="K1161" s="10"/>
      <c r="L1161" s="10"/>
      <c r="M1161" s="10"/>
      <c r="N1161" s="10"/>
      <c r="O1161" s="18">
        <v>54.37</v>
      </c>
      <c r="P1161" s="18">
        <v>1428609.0</v>
      </c>
      <c r="Q1161" s="17" t="b">
        <v>1</v>
      </c>
      <c r="R1161" s="10"/>
    </row>
    <row r="1162">
      <c r="A1162" s="6" t="s">
        <v>6942</v>
      </c>
      <c r="B1162" s="6" t="s">
        <v>35</v>
      </c>
      <c r="C1162" s="8">
        <v>45761.0</v>
      </c>
      <c r="D1162" s="6" t="s">
        <v>890</v>
      </c>
      <c r="E1162" s="10"/>
      <c r="F1162" s="10"/>
      <c r="G1162" s="10"/>
      <c r="H1162" s="6" t="s">
        <v>4010</v>
      </c>
      <c r="I1162" s="10"/>
      <c r="J1162" s="6" t="s">
        <v>539</v>
      </c>
      <c r="K1162" s="10"/>
      <c r="L1162" s="10"/>
      <c r="M1162" s="10"/>
      <c r="N1162" s="10"/>
      <c r="O1162" s="18">
        <v>375.0</v>
      </c>
      <c r="P1162" s="10"/>
      <c r="Q1162" s="6"/>
      <c r="R1162" s="10"/>
    </row>
    <row r="1163">
      <c r="A1163" s="6" t="s">
        <v>6944</v>
      </c>
      <c r="B1163" s="6" t="s">
        <v>35</v>
      </c>
      <c r="C1163" s="8">
        <v>45761.0</v>
      </c>
      <c r="D1163" s="6" t="s">
        <v>2248</v>
      </c>
      <c r="E1163" s="10"/>
      <c r="F1163" s="10"/>
      <c r="G1163" s="10"/>
      <c r="H1163" s="6" t="s">
        <v>2549</v>
      </c>
      <c r="I1163" s="10"/>
      <c r="J1163" s="6" t="s">
        <v>539</v>
      </c>
      <c r="K1163" s="10"/>
      <c r="L1163" s="10"/>
      <c r="M1163" s="10"/>
      <c r="N1163" s="10"/>
      <c r="O1163" s="18">
        <v>364.35</v>
      </c>
      <c r="P1163" s="10"/>
      <c r="Q1163" s="6"/>
      <c r="R1163" s="10"/>
    </row>
    <row r="1164">
      <c r="A1164" s="6" t="s">
        <v>6946</v>
      </c>
      <c r="B1164" s="6" t="s">
        <v>35</v>
      </c>
      <c r="C1164" s="8">
        <v>45762.0</v>
      </c>
      <c r="D1164" s="10"/>
      <c r="E1164" s="10"/>
      <c r="F1164" s="10"/>
      <c r="G1164" s="10"/>
      <c r="H1164" s="6" t="s">
        <v>1329</v>
      </c>
      <c r="I1164" s="10"/>
      <c r="J1164" s="6" t="s">
        <v>539</v>
      </c>
      <c r="K1164" s="6" t="s">
        <v>3795</v>
      </c>
      <c r="L1164" s="10"/>
      <c r="M1164" s="10"/>
      <c r="N1164" s="10"/>
      <c r="O1164" s="18">
        <v>500.0</v>
      </c>
      <c r="P1164" s="10"/>
      <c r="Q1164" s="6"/>
      <c r="R1164" s="10"/>
    </row>
    <row r="1165">
      <c r="A1165" s="6" t="s">
        <v>6948</v>
      </c>
      <c r="B1165" s="6" t="s">
        <v>35</v>
      </c>
      <c r="C1165" s="8">
        <v>45757.0</v>
      </c>
      <c r="D1165" s="18">
        <v>6.8893939E7</v>
      </c>
      <c r="E1165" s="6" t="s">
        <v>7381</v>
      </c>
      <c r="F1165" s="10"/>
      <c r="G1165" s="6" t="s">
        <v>7383</v>
      </c>
      <c r="H1165" s="6" t="s">
        <v>605</v>
      </c>
      <c r="I1165" s="17" t="b">
        <v>0</v>
      </c>
      <c r="J1165" s="6" t="s">
        <v>546</v>
      </c>
      <c r="K1165" s="10"/>
      <c r="L1165" s="10"/>
      <c r="M1165" s="10"/>
      <c r="N1165" s="10"/>
      <c r="O1165" s="18">
        <v>4661.94</v>
      </c>
      <c r="P1165" s="10"/>
      <c r="Q1165" s="17" t="b">
        <v>1</v>
      </c>
      <c r="R1165" s="10"/>
    </row>
    <row r="1166">
      <c r="A1166" s="6" t="s">
        <v>6950</v>
      </c>
      <c r="B1166" s="6" t="s">
        <v>35</v>
      </c>
      <c r="C1166" s="8">
        <v>45757.0</v>
      </c>
      <c r="D1166" s="18">
        <v>6.8893939E7</v>
      </c>
      <c r="E1166" s="6" t="s">
        <v>7381</v>
      </c>
      <c r="F1166" s="10"/>
      <c r="G1166" s="6" t="s">
        <v>7386</v>
      </c>
      <c r="H1166" s="6" t="s">
        <v>605</v>
      </c>
      <c r="I1166" s="17" t="b">
        <v>0</v>
      </c>
      <c r="J1166" s="6" t="s">
        <v>546</v>
      </c>
      <c r="K1166" s="10"/>
      <c r="L1166" s="10"/>
      <c r="M1166" s="10"/>
      <c r="N1166" s="10"/>
      <c r="O1166" s="18">
        <v>4661.94</v>
      </c>
      <c r="P1166" s="10"/>
      <c r="Q1166" s="17" t="b">
        <v>1</v>
      </c>
      <c r="R1166" s="10"/>
    </row>
    <row r="1167">
      <c r="A1167" s="6" t="s">
        <v>6952</v>
      </c>
      <c r="B1167" s="6" t="s">
        <v>35</v>
      </c>
      <c r="C1167" s="8">
        <v>45766.0</v>
      </c>
      <c r="D1167" s="10"/>
      <c r="E1167" s="10"/>
      <c r="F1167" s="10"/>
      <c r="G1167" s="10"/>
      <c r="H1167" s="6" t="s">
        <v>1329</v>
      </c>
      <c r="I1167" s="10"/>
      <c r="J1167" s="6" t="s">
        <v>539</v>
      </c>
      <c r="K1167" s="6" t="s">
        <v>227</v>
      </c>
      <c r="L1167" s="10"/>
      <c r="M1167" s="10"/>
      <c r="N1167" s="10"/>
      <c r="O1167" s="18">
        <v>200.0</v>
      </c>
      <c r="P1167" s="10"/>
      <c r="Q1167" s="6"/>
      <c r="R1167" s="10"/>
    </row>
    <row r="1168">
      <c r="A1168" s="6" t="s">
        <v>6954</v>
      </c>
      <c r="B1168" s="6" t="s">
        <v>35</v>
      </c>
      <c r="C1168" s="8">
        <v>45761.0</v>
      </c>
      <c r="D1168" s="6" t="s">
        <v>890</v>
      </c>
      <c r="E1168" s="6" t="s">
        <v>7401</v>
      </c>
      <c r="F1168" s="10"/>
      <c r="G1168" s="6" t="s">
        <v>7403</v>
      </c>
      <c r="H1168" s="6" t="s">
        <v>3813</v>
      </c>
      <c r="I1168" s="17" t="b">
        <v>0</v>
      </c>
      <c r="J1168" s="6" t="s">
        <v>546</v>
      </c>
      <c r="K1168" s="10"/>
      <c r="L1168" s="6" t="s">
        <v>7406</v>
      </c>
      <c r="M1168" s="6" t="s">
        <v>7408</v>
      </c>
      <c r="N1168" s="10"/>
      <c r="O1168" s="18">
        <v>7647.98</v>
      </c>
      <c r="P1168" s="10"/>
      <c r="Q1168" s="17" t="b">
        <v>1</v>
      </c>
      <c r="R1168" s="10"/>
    </row>
    <row r="1169">
      <c r="A1169" s="6" t="s">
        <v>6960</v>
      </c>
      <c r="B1169" s="6" t="s">
        <v>35</v>
      </c>
      <c r="C1169" s="8">
        <v>45764.0</v>
      </c>
      <c r="D1169" s="6" t="s">
        <v>543</v>
      </c>
      <c r="E1169" s="6" t="s">
        <v>7411</v>
      </c>
      <c r="F1169" s="10"/>
      <c r="G1169" s="6" t="s">
        <v>7413</v>
      </c>
      <c r="H1169" s="6" t="s">
        <v>171</v>
      </c>
      <c r="I1169" s="17" t="b">
        <v>0</v>
      </c>
      <c r="J1169" s="6" t="s">
        <v>546</v>
      </c>
      <c r="K1169" s="10"/>
      <c r="L1169" s="10"/>
      <c r="M1169" s="10"/>
      <c r="N1169" s="10"/>
      <c r="O1169" s="18">
        <v>250.0</v>
      </c>
      <c r="P1169" s="10"/>
      <c r="Q1169" s="17" t="b">
        <v>1</v>
      </c>
      <c r="R1169" s="10"/>
    </row>
    <row r="1170">
      <c r="A1170" s="6" t="s">
        <v>6962</v>
      </c>
      <c r="B1170" s="6" t="s">
        <v>35</v>
      </c>
      <c r="C1170" s="8">
        <v>45764.0</v>
      </c>
      <c r="D1170" s="6" t="s">
        <v>112</v>
      </c>
      <c r="E1170" s="6" t="s">
        <v>7420</v>
      </c>
      <c r="F1170" s="10"/>
      <c r="G1170" s="6" t="s">
        <v>7422</v>
      </c>
      <c r="H1170" s="6" t="s">
        <v>157</v>
      </c>
      <c r="I1170" s="17" t="b">
        <v>0</v>
      </c>
      <c r="J1170" s="6" t="s">
        <v>546</v>
      </c>
      <c r="K1170" s="10"/>
      <c r="L1170" s="10"/>
      <c r="M1170" s="10"/>
      <c r="N1170" s="10"/>
      <c r="O1170" s="18">
        <v>325.41</v>
      </c>
      <c r="P1170" s="10"/>
      <c r="Q1170" s="17" t="b">
        <v>1</v>
      </c>
      <c r="R1170" s="10"/>
    </row>
    <row r="1171">
      <c r="A1171" s="6" t="s">
        <v>6968</v>
      </c>
      <c r="B1171" s="6" t="s">
        <v>35</v>
      </c>
      <c r="C1171" s="8">
        <v>45764.0</v>
      </c>
      <c r="D1171" s="6" t="s">
        <v>764</v>
      </c>
      <c r="E1171" s="6" t="s">
        <v>7428</v>
      </c>
      <c r="F1171" s="10"/>
      <c r="G1171" s="6" t="s">
        <v>7429</v>
      </c>
      <c r="H1171" s="6" t="s">
        <v>195</v>
      </c>
      <c r="I1171" s="17" t="b">
        <v>0</v>
      </c>
      <c r="J1171" s="6" t="s">
        <v>546</v>
      </c>
      <c r="K1171" s="10"/>
      <c r="L1171" s="10"/>
      <c r="M1171" s="10"/>
      <c r="N1171" s="10"/>
      <c r="O1171" s="18">
        <v>441.0</v>
      </c>
      <c r="P1171" s="10"/>
      <c r="Q1171" s="17" t="b">
        <v>1</v>
      </c>
      <c r="R1171" s="10"/>
    </row>
    <row r="1172">
      <c r="A1172" s="6" t="s">
        <v>6975</v>
      </c>
      <c r="B1172" s="6" t="s">
        <v>35</v>
      </c>
      <c r="C1172" s="8">
        <v>45764.0</v>
      </c>
      <c r="D1172" s="6" t="s">
        <v>890</v>
      </c>
      <c r="E1172" s="6" t="s">
        <v>7435</v>
      </c>
      <c r="F1172" s="10"/>
      <c r="G1172" s="6" t="s">
        <v>7437</v>
      </c>
      <c r="H1172" s="6" t="s">
        <v>2894</v>
      </c>
      <c r="I1172" s="17" t="b">
        <v>0</v>
      </c>
      <c r="J1172" s="6" t="s">
        <v>546</v>
      </c>
      <c r="K1172" s="10"/>
      <c r="L1172" s="6" t="s">
        <v>7439</v>
      </c>
      <c r="M1172" s="6" t="s">
        <v>7441</v>
      </c>
      <c r="N1172" s="6" t="s">
        <v>7443</v>
      </c>
      <c r="O1172" s="18">
        <v>15517.95</v>
      </c>
      <c r="P1172" s="10"/>
      <c r="Q1172" s="17" t="b">
        <v>1</v>
      </c>
      <c r="R1172" s="10"/>
    </row>
    <row r="1173">
      <c r="A1173" s="6" t="s">
        <v>6978</v>
      </c>
      <c r="B1173" s="6" t="s">
        <v>35</v>
      </c>
      <c r="C1173" s="8">
        <v>45766.0</v>
      </c>
      <c r="D1173" s="6" t="s">
        <v>3493</v>
      </c>
      <c r="E1173" s="6" t="s">
        <v>7449</v>
      </c>
      <c r="F1173" s="10"/>
      <c r="G1173" s="6" t="s">
        <v>7451</v>
      </c>
      <c r="H1173" s="6" t="s">
        <v>7454</v>
      </c>
      <c r="I1173" s="17" t="b">
        <v>1</v>
      </c>
      <c r="J1173" s="6" t="s">
        <v>546</v>
      </c>
      <c r="K1173" s="10"/>
      <c r="L1173" s="10"/>
      <c r="M1173" s="10"/>
      <c r="N1173" s="10"/>
      <c r="O1173" s="18">
        <v>47.39</v>
      </c>
      <c r="P1173" s="18">
        <v>1440651.0</v>
      </c>
      <c r="Q1173" s="17" t="b">
        <v>1</v>
      </c>
      <c r="R1173" s="10"/>
    </row>
    <row r="1174">
      <c r="A1174" s="6" t="s">
        <v>6980</v>
      </c>
      <c r="B1174" s="6" t="s">
        <v>35</v>
      </c>
      <c r="C1174" s="8">
        <v>45766.0</v>
      </c>
      <c r="D1174" s="6" t="s">
        <v>112</v>
      </c>
      <c r="E1174" s="6" t="s">
        <v>7461</v>
      </c>
      <c r="F1174" s="10"/>
      <c r="G1174" s="6" t="s">
        <v>7462</v>
      </c>
      <c r="H1174" s="6" t="s">
        <v>157</v>
      </c>
      <c r="I1174" s="17" t="b">
        <v>0</v>
      </c>
      <c r="J1174" s="6" t="s">
        <v>546</v>
      </c>
      <c r="K1174" s="10"/>
      <c r="L1174" s="10"/>
      <c r="M1174" s="10"/>
      <c r="N1174" s="10"/>
      <c r="O1174" s="18">
        <v>283.39</v>
      </c>
      <c r="P1174" s="10"/>
      <c r="Q1174" s="17" t="b">
        <v>1</v>
      </c>
      <c r="R1174" s="10"/>
    </row>
    <row r="1175">
      <c r="A1175" s="6" t="s">
        <v>6986</v>
      </c>
      <c r="B1175" s="6" t="s">
        <v>35</v>
      </c>
      <c r="C1175" s="8">
        <v>45769.0</v>
      </c>
      <c r="D1175" s="18">
        <v>6.8893939E7</v>
      </c>
      <c r="E1175" s="10"/>
      <c r="F1175" s="10"/>
      <c r="G1175" s="10"/>
      <c r="H1175" s="6" t="s">
        <v>7467</v>
      </c>
      <c r="I1175" s="10"/>
      <c r="J1175" s="6" t="s">
        <v>539</v>
      </c>
      <c r="K1175" s="10"/>
      <c r="L1175" s="10"/>
      <c r="M1175" s="10"/>
      <c r="N1175" s="10"/>
      <c r="O1175" s="18">
        <v>978.12</v>
      </c>
      <c r="P1175" s="10"/>
      <c r="Q1175" s="6"/>
      <c r="R1175" s="10"/>
    </row>
    <row r="1176">
      <c r="A1176" s="6" t="s">
        <v>6988</v>
      </c>
      <c r="B1176" s="6" t="s">
        <v>35</v>
      </c>
      <c r="C1176" s="8">
        <v>45769.0</v>
      </c>
      <c r="D1176" s="6" t="s">
        <v>673</v>
      </c>
      <c r="E1176" s="10"/>
      <c r="F1176" s="10"/>
      <c r="G1176" s="10"/>
      <c r="H1176" s="6" t="s">
        <v>7474</v>
      </c>
      <c r="I1176" s="10"/>
      <c r="J1176" s="6" t="s">
        <v>539</v>
      </c>
      <c r="K1176" s="10"/>
      <c r="L1176" s="10"/>
      <c r="M1176" s="10"/>
      <c r="N1176" s="10"/>
      <c r="O1176" s="18">
        <v>1357.36</v>
      </c>
      <c r="P1176" s="10"/>
      <c r="Q1176" s="6"/>
      <c r="R1176" s="10"/>
    </row>
    <row r="1177">
      <c r="A1177" s="6" t="s">
        <v>6990</v>
      </c>
      <c r="B1177" s="6" t="s">
        <v>35</v>
      </c>
      <c r="C1177" s="8">
        <v>45769.0</v>
      </c>
      <c r="D1177" s="6" t="s">
        <v>673</v>
      </c>
      <c r="E1177" s="10"/>
      <c r="F1177" s="10"/>
      <c r="G1177" s="10"/>
      <c r="H1177" s="6" t="s">
        <v>7484</v>
      </c>
      <c r="I1177" s="10"/>
      <c r="J1177" s="6" t="s">
        <v>539</v>
      </c>
      <c r="K1177" s="10"/>
      <c r="L1177" s="10"/>
      <c r="M1177" s="10"/>
      <c r="N1177" s="10"/>
      <c r="O1177" s="18">
        <v>1357.36</v>
      </c>
      <c r="P1177" s="10"/>
      <c r="Q1177" s="6"/>
      <c r="R1177" s="10"/>
    </row>
    <row r="1178">
      <c r="A1178" s="6" t="s">
        <v>6993</v>
      </c>
      <c r="B1178" s="6" t="s">
        <v>35</v>
      </c>
      <c r="C1178" s="8">
        <v>45769.0</v>
      </c>
      <c r="D1178" s="6" t="s">
        <v>543</v>
      </c>
      <c r="E1178" s="6" t="s">
        <v>7492</v>
      </c>
      <c r="F1178" s="10"/>
      <c r="G1178" s="6" t="s">
        <v>7495</v>
      </c>
      <c r="H1178" s="6" t="s">
        <v>171</v>
      </c>
      <c r="I1178" s="17" t="b">
        <v>0</v>
      </c>
      <c r="J1178" s="6" t="s">
        <v>546</v>
      </c>
      <c r="K1178" s="10"/>
      <c r="L1178" s="10"/>
      <c r="M1178" s="10"/>
      <c r="N1178" s="10"/>
      <c r="O1178" s="18">
        <v>350.0</v>
      </c>
      <c r="P1178" s="10"/>
      <c r="Q1178" s="17" t="b">
        <v>1</v>
      </c>
      <c r="R1178" s="10"/>
    </row>
    <row r="1179">
      <c r="A1179" s="6" t="s">
        <v>6997</v>
      </c>
      <c r="B1179" s="6" t="s">
        <v>35</v>
      </c>
      <c r="C1179" s="8">
        <v>45771.0</v>
      </c>
      <c r="D1179" s="6" t="s">
        <v>890</v>
      </c>
      <c r="E1179" s="10"/>
      <c r="F1179" s="10"/>
      <c r="G1179" s="10"/>
      <c r="H1179" s="6" t="s">
        <v>7504</v>
      </c>
      <c r="I1179" s="10"/>
      <c r="J1179" s="6" t="s">
        <v>539</v>
      </c>
      <c r="K1179" s="10"/>
      <c r="L1179" s="10"/>
      <c r="M1179" s="10"/>
      <c r="N1179" s="10"/>
      <c r="O1179" s="18">
        <v>23392.38</v>
      </c>
      <c r="P1179" s="10"/>
      <c r="Q1179" s="6"/>
      <c r="R1179" s="10"/>
    </row>
    <row r="1180">
      <c r="A1180" s="6" t="s">
        <v>6999</v>
      </c>
      <c r="B1180" s="6" t="s">
        <v>35</v>
      </c>
      <c r="C1180" s="8">
        <v>45771.0</v>
      </c>
      <c r="D1180" s="6" t="s">
        <v>890</v>
      </c>
      <c r="E1180" s="10"/>
      <c r="F1180" s="10"/>
      <c r="G1180" s="10"/>
      <c r="H1180" s="6" t="s">
        <v>7513</v>
      </c>
      <c r="I1180" s="10"/>
      <c r="J1180" s="6" t="s">
        <v>539</v>
      </c>
      <c r="K1180" s="10"/>
      <c r="L1180" s="10"/>
      <c r="M1180" s="10"/>
      <c r="N1180" s="10"/>
      <c r="O1180" s="18">
        <v>5005.68</v>
      </c>
      <c r="P1180" s="10"/>
      <c r="Q1180" s="6"/>
      <c r="R1180" s="10"/>
    </row>
    <row r="1181">
      <c r="A1181" s="6" t="s">
        <v>7001</v>
      </c>
      <c r="B1181" s="6" t="s">
        <v>35</v>
      </c>
      <c r="C1181" s="8">
        <v>45773.0</v>
      </c>
      <c r="D1181" s="10"/>
      <c r="E1181" s="10"/>
      <c r="F1181" s="10"/>
      <c r="G1181" s="10"/>
      <c r="H1181" s="6" t="s">
        <v>1329</v>
      </c>
      <c r="I1181" s="10"/>
      <c r="J1181" s="6" t="s">
        <v>539</v>
      </c>
      <c r="K1181" s="6" t="s">
        <v>2052</v>
      </c>
      <c r="L1181" s="10"/>
      <c r="M1181" s="10"/>
      <c r="N1181" s="10"/>
      <c r="O1181" s="18">
        <v>500.0</v>
      </c>
      <c r="P1181" s="10"/>
      <c r="Q1181" s="6"/>
      <c r="R1181" s="10"/>
    </row>
    <row r="1182">
      <c r="A1182" s="6" t="s">
        <v>7003</v>
      </c>
      <c r="B1182" s="6" t="s">
        <v>35</v>
      </c>
      <c r="C1182" s="8">
        <v>45773.0</v>
      </c>
      <c r="D1182" s="10"/>
      <c r="E1182" s="10"/>
      <c r="F1182" s="10"/>
      <c r="G1182" s="10"/>
      <c r="H1182" s="6" t="s">
        <v>1329</v>
      </c>
      <c r="I1182" s="10"/>
      <c r="J1182" s="6" t="s">
        <v>539</v>
      </c>
      <c r="K1182" s="6" t="s">
        <v>624</v>
      </c>
      <c r="L1182" s="10"/>
      <c r="M1182" s="10"/>
      <c r="N1182" s="10"/>
      <c r="O1182" s="18">
        <v>500.0</v>
      </c>
      <c r="P1182" s="10"/>
      <c r="Q1182" s="6"/>
      <c r="R1182" s="10"/>
    </row>
    <row r="1183">
      <c r="A1183" s="6" t="s">
        <v>7005</v>
      </c>
      <c r="B1183" s="6" t="s">
        <v>35</v>
      </c>
      <c r="C1183" s="8">
        <v>45773.0</v>
      </c>
      <c r="D1183" s="10"/>
      <c r="E1183" s="10"/>
      <c r="F1183" s="10"/>
      <c r="G1183" s="10"/>
      <c r="H1183" s="6" t="s">
        <v>1329</v>
      </c>
      <c r="I1183" s="10"/>
      <c r="J1183" s="6" t="s">
        <v>539</v>
      </c>
      <c r="K1183" s="6" t="s">
        <v>6062</v>
      </c>
      <c r="L1183" s="10"/>
      <c r="M1183" s="10"/>
      <c r="N1183" s="10"/>
      <c r="O1183" s="18">
        <v>500.0</v>
      </c>
      <c r="P1183" s="10"/>
      <c r="Q1183" s="6"/>
      <c r="R1183" s="10"/>
    </row>
    <row r="1184">
      <c r="A1184" s="6" t="s">
        <v>7009</v>
      </c>
      <c r="B1184" s="6" t="s">
        <v>35</v>
      </c>
      <c r="C1184" s="8">
        <v>45774.0</v>
      </c>
      <c r="D1184" s="10"/>
      <c r="E1184" s="10"/>
      <c r="F1184" s="10"/>
      <c r="G1184" s="10"/>
      <c r="H1184" s="6" t="s">
        <v>1329</v>
      </c>
      <c r="I1184" s="10"/>
      <c r="J1184" s="6" t="s">
        <v>539</v>
      </c>
      <c r="K1184" s="6" t="s">
        <v>227</v>
      </c>
      <c r="L1184" s="10"/>
      <c r="M1184" s="10"/>
      <c r="N1184" s="10"/>
      <c r="O1184" s="18">
        <v>300.0</v>
      </c>
      <c r="P1184" s="10"/>
      <c r="Q1184" s="6"/>
      <c r="R1184" s="10"/>
    </row>
    <row r="1185">
      <c r="A1185" s="6" t="s">
        <v>7011</v>
      </c>
      <c r="B1185" s="6" t="s">
        <v>35</v>
      </c>
      <c r="C1185" s="8">
        <v>45775.0</v>
      </c>
      <c r="D1185" s="6" t="s">
        <v>460</v>
      </c>
      <c r="E1185" s="10"/>
      <c r="F1185" s="10"/>
      <c r="G1185" s="10"/>
      <c r="H1185" s="6" t="s">
        <v>931</v>
      </c>
      <c r="I1185" s="10"/>
      <c r="J1185" s="6" t="s">
        <v>539</v>
      </c>
      <c r="K1185" s="10"/>
      <c r="L1185" s="10"/>
      <c r="M1185" s="10"/>
      <c r="N1185" s="10"/>
      <c r="O1185" s="18">
        <v>30.0</v>
      </c>
      <c r="P1185" s="10"/>
      <c r="Q1185" s="6"/>
      <c r="R1185" s="10"/>
    </row>
    <row r="1186">
      <c r="A1186" s="6" t="s">
        <v>7014</v>
      </c>
      <c r="B1186" s="6" t="s">
        <v>35</v>
      </c>
      <c r="C1186" s="8">
        <v>45775.0</v>
      </c>
      <c r="D1186" s="6" t="s">
        <v>460</v>
      </c>
      <c r="E1186" s="10"/>
      <c r="F1186" s="10"/>
      <c r="G1186" s="10"/>
      <c r="H1186" s="6" t="s">
        <v>7544</v>
      </c>
      <c r="I1186" s="10"/>
      <c r="J1186" s="6" t="s">
        <v>539</v>
      </c>
      <c r="K1186" s="10"/>
      <c r="L1186" s="10"/>
      <c r="M1186" s="10"/>
      <c r="N1186" s="10"/>
      <c r="O1186" s="18">
        <v>200.0</v>
      </c>
      <c r="P1186" s="10"/>
      <c r="Q1186" s="6"/>
      <c r="R1186" s="10"/>
    </row>
    <row r="1187">
      <c r="A1187" s="6" t="s">
        <v>7016</v>
      </c>
      <c r="B1187" s="6" t="s">
        <v>35</v>
      </c>
      <c r="C1187" s="8">
        <v>45775.0</v>
      </c>
      <c r="D1187" s="6" t="s">
        <v>460</v>
      </c>
      <c r="E1187" s="10"/>
      <c r="F1187" s="10"/>
      <c r="G1187" s="10"/>
      <c r="H1187" s="6" t="s">
        <v>4972</v>
      </c>
      <c r="I1187" s="10"/>
      <c r="J1187" s="6" t="s">
        <v>539</v>
      </c>
      <c r="K1187" s="10"/>
      <c r="L1187" s="10"/>
      <c r="M1187" s="10"/>
      <c r="N1187" s="10"/>
      <c r="O1187" s="18">
        <v>22.0</v>
      </c>
      <c r="P1187" s="10"/>
      <c r="Q1187" s="6"/>
      <c r="R1187" s="10"/>
    </row>
    <row r="1188">
      <c r="A1188" s="6" t="s">
        <v>7018</v>
      </c>
      <c r="B1188" s="6" t="s">
        <v>35</v>
      </c>
      <c r="C1188" s="8">
        <v>45775.0</v>
      </c>
      <c r="D1188" s="6" t="s">
        <v>460</v>
      </c>
      <c r="E1188" s="10"/>
      <c r="F1188" s="10"/>
      <c r="G1188" s="10"/>
      <c r="H1188" s="6" t="s">
        <v>4979</v>
      </c>
      <c r="I1188" s="10"/>
      <c r="J1188" s="6" t="s">
        <v>539</v>
      </c>
      <c r="K1188" s="10"/>
      <c r="L1188" s="10"/>
      <c r="M1188" s="10"/>
      <c r="N1188" s="10"/>
      <c r="O1188" s="18">
        <v>10.0</v>
      </c>
      <c r="P1188" s="10"/>
      <c r="Q1188" s="6"/>
      <c r="R1188" s="10"/>
    </row>
    <row r="1189">
      <c r="A1189" s="6" t="s">
        <v>7020</v>
      </c>
      <c r="B1189" s="6" t="s">
        <v>35</v>
      </c>
      <c r="C1189" s="8">
        <v>45762.0</v>
      </c>
      <c r="D1189" s="6" t="s">
        <v>1036</v>
      </c>
      <c r="E1189" s="6" t="s">
        <v>7564</v>
      </c>
      <c r="F1189" s="10"/>
      <c r="G1189" s="6" t="s">
        <v>7567</v>
      </c>
      <c r="H1189" s="6" t="s">
        <v>7568</v>
      </c>
      <c r="I1189" s="17" t="b">
        <v>0</v>
      </c>
      <c r="J1189" s="6" t="s">
        <v>546</v>
      </c>
      <c r="K1189" s="10"/>
      <c r="L1189" s="10"/>
      <c r="M1189" s="10"/>
      <c r="N1189" s="10"/>
      <c r="O1189" s="18">
        <v>124.16</v>
      </c>
      <c r="P1189" s="10"/>
      <c r="Q1189" s="17" t="b">
        <v>1</v>
      </c>
      <c r="R1189" s="10"/>
    </row>
    <row r="1190">
      <c r="A1190" s="6" t="s">
        <v>7024</v>
      </c>
      <c r="B1190" s="6" t="s">
        <v>35</v>
      </c>
      <c r="C1190" s="8">
        <v>45764.0</v>
      </c>
      <c r="D1190" s="6" t="s">
        <v>7578</v>
      </c>
      <c r="E1190" s="6" t="s">
        <v>7579</v>
      </c>
      <c r="F1190" s="10"/>
      <c r="G1190" s="6" t="s">
        <v>7580</v>
      </c>
      <c r="H1190" s="6" t="s">
        <v>147</v>
      </c>
      <c r="I1190" s="17" t="b">
        <v>1</v>
      </c>
      <c r="J1190" s="6" t="s">
        <v>546</v>
      </c>
      <c r="K1190" s="10"/>
      <c r="L1190" s="10"/>
      <c r="M1190" s="10"/>
      <c r="N1190" s="10"/>
      <c r="O1190" s="18">
        <v>497.18</v>
      </c>
      <c r="P1190" s="6" t="s">
        <v>4049</v>
      </c>
      <c r="Q1190" s="17" t="b">
        <v>1</v>
      </c>
      <c r="R1190" s="10"/>
    </row>
    <row r="1191">
      <c r="A1191" s="18">
        <v>4.9263576E7</v>
      </c>
      <c r="B1191" s="6" t="s">
        <v>35</v>
      </c>
      <c r="C1191" s="8">
        <v>45767.0</v>
      </c>
      <c r="D1191" s="6" t="s">
        <v>233</v>
      </c>
      <c r="E1191" s="6" t="s">
        <v>7585</v>
      </c>
      <c r="F1191" s="10"/>
      <c r="G1191" s="6" t="s">
        <v>7587</v>
      </c>
      <c r="H1191" s="6" t="s">
        <v>6836</v>
      </c>
      <c r="I1191" s="17" t="b">
        <v>1</v>
      </c>
      <c r="J1191" s="6" t="s">
        <v>546</v>
      </c>
      <c r="K1191" s="10"/>
      <c r="L1191" s="10"/>
      <c r="M1191" s="10"/>
      <c r="N1191" s="10"/>
      <c r="O1191" s="18">
        <v>59.9</v>
      </c>
      <c r="P1191" s="18">
        <v>1442848.0</v>
      </c>
      <c r="Q1191" s="17" t="b">
        <v>1</v>
      </c>
      <c r="R1191" s="10"/>
    </row>
    <row r="1192">
      <c r="A1192" s="6" t="s">
        <v>7038</v>
      </c>
      <c r="B1192" s="6" t="s">
        <v>35</v>
      </c>
      <c r="C1192" s="8">
        <v>45772.0</v>
      </c>
      <c r="D1192" s="6" t="s">
        <v>233</v>
      </c>
      <c r="E1192" s="6" t="s">
        <v>7593</v>
      </c>
      <c r="F1192" s="10"/>
      <c r="G1192" s="6" t="s">
        <v>7595</v>
      </c>
      <c r="H1192" s="6" t="s">
        <v>5495</v>
      </c>
      <c r="I1192" s="17" t="b">
        <v>1</v>
      </c>
      <c r="J1192" s="6" t="s">
        <v>546</v>
      </c>
      <c r="K1192" s="10"/>
      <c r="L1192" s="10"/>
      <c r="M1192" s="10"/>
      <c r="N1192" s="10"/>
      <c r="O1192" s="18">
        <v>96.08</v>
      </c>
      <c r="P1192" s="6" t="s">
        <v>5497</v>
      </c>
      <c r="Q1192" s="17" t="b">
        <v>1</v>
      </c>
      <c r="R1192" s="10"/>
    </row>
    <row r="1193">
      <c r="A1193" s="6" t="s">
        <v>7040</v>
      </c>
      <c r="B1193" s="6" t="s">
        <v>35</v>
      </c>
      <c r="C1193" s="8">
        <v>45772.0</v>
      </c>
      <c r="D1193" s="6" t="s">
        <v>1557</v>
      </c>
      <c r="E1193" s="6" t="s">
        <v>7600</v>
      </c>
      <c r="F1193" s="10"/>
      <c r="G1193" s="6" t="s">
        <v>7602</v>
      </c>
      <c r="H1193" s="6" t="s">
        <v>7603</v>
      </c>
      <c r="I1193" s="17" t="b">
        <v>0</v>
      </c>
      <c r="J1193" s="6" t="s">
        <v>546</v>
      </c>
      <c r="K1193" s="10"/>
      <c r="L1193" s="10"/>
      <c r="M1193" s="10"/>
      <c r="N1193" s="10"/>
      <c r="O1193" s="18">
        <v>110.0</v>
      </c>
      <c r="P1193" s="10"/>
      <c r="Q1193" s="17" t="b">
        <v>1</v>
      </c>
      <c r="R1193" s="10"/>
    </row>
    <row r="1194">
      <c r="A1194" s="6" t="s">
        <v>7042</v>
      </c>
      <c r="B1194" s="6" t="s">
        <v>35</v>
      </c>
      <c r="C1194" s="8">
        <v>45772.0</v>
      </c>
      <c r="D1194" s="6" t="s">
        <v>3716</v>
      </c>
      <c r="E1194" s="6" t="s">
        <v>7610</v>
      </c>
      <c r="F1194" s="10"/>
      <c r="G1194" s="6" t="s">
        <v>7612</v>
      </c>
      <c r="H1194" s="6" t="s">
        <v>195</v>
      </c>
      <c r="I1194" s="17" t="b">
        <v>1</v>
      </c>
      <c r="J1194" s="6" t="s">
        <v>546</v>
      </c>
      <c r="K1194" s="10"/>
      <c r="L1194" s="10"/>
      <c r="M1194" s="10"/>
      <c r="N1194" s="10"/>
      <c r="O1194" s="18">
        <v>198.98</v>
      </c>
      <c r="P1194" s="18">
        <v>1450028.0</v>
      </c>
      <c r="Q1194" s="17" t="b">
        <v>1</v>
      </c>
      <c r="R1194" s="10"/>
    </row>
    <row r="1195">
      <c r="A1195" s="6" t="s">
        <v>7047</v>
      </c>
      <c r="B1195" s="6" t="s">
        <v>35</v>
      </c>
      <c r="C1195" s="8">
        <v>45772.0</v>
      </c>
      <c r="D1195" s="6" t="s">
        <v>543</v>
      </c>
      <c r="E1195" s="6" t="s">
        <v>7616</v>
      </c>
      <c r="F1195" s="10"/>
      <c r="G1195" s="6" t="s">
        <v>7618</v>
      </c>
      <c r="H1195" s="6" t="s">
        <v>171</v>
      </c>
      <c r="I1195" s="17" t="b">
        <v>0</v>
      </c>
      <c r="J1195" s="6" t="s">
        <v>546</v>
      </c>
      <c r="K1195" s="10"/>
      <c r="L1195" s="10"/>
      <c r="M1195" s="10"/>
      <c r="N1195" s="10"/>
      <c r="O1195" s="18">
        <v>175.0</v>
      </c>
      <c r="P1195" s="10"/>
      <c r="Q1195" s="17" t="b">
        <v>1</v>
      </c>
      <c r="R1195" s="10"/>
    </row>
    <row r="1196">
      <c r="A1196" s="6" t="s">
        <v>7049</v>
      </c>
      <c r="B1196" s="6" t="s">
        <v>35</v>
      </c>
      <c r="C1196" s="8">
        <v>45773.0</v>
      </c>
      <c r="D1196" s="6" t="s">
        <v>112</v>
      </c>
      <c r="E1196" s="6" t="s">
        <v>7625</v>
      </c>
      <c r="F1196" s="10"/>
      <c r="G1196" s="6" t="s">
        <v>7626</v>
      </c>
      <c r="H1196" s="6" t="s">
        <v>157</v>
      </c>
      <c r="I1196" s="17" t="b">
        <v>0</v>
      </c>
      <c r="J1196" s="6" t="s">
        <v>546</v>
      </c>
      <c r="K1196" s="10"/>
      <c r="L1196" s="10"/>
      <c r="M1196" s="10"/>
      <c r="N1196" s="10"/>
      <c r="O1196" s="18">
        <v>385.44</v>
      </c>
      <c r="P1196" s="10"/>
      <c r="Q1196" s="17" t="b">
        <v>1</v>
      </c>
      <c r="R1196" s="10"/>
    </row>
    <row r="1197">
      <c r="A1197" s="6" t="s">
        <v>7056</v>
      </c>
      <c r="B1197" s="6" t="s">
        <v>35</v>
      </c>
      <c r="C1197" s="8">
        <v>45770.0</v>
      </c>
      <c r="D1197" s="6" t="s">
        <v>2165</v>
      </c>
      <c r="E1197" s="6" t="s">
        <v>7633</v>
      </c>
      <c r="F1197" s="10"/>
      <c r="G1197" s="6" t="s">
        <v>7636</v>
      </c>
      <c r="H1197" s="6" t="s">
        <v>7637</v>
      </c>
      <c r="I1197" s="17" t="b">
        <v>0</v>
      </c>
      <c r="J1197" s="6" t="s">
        <v>546</v>
      </c>
      <c r="K1197" s="10"/>
      <c r="L1197" s="6" t="s">
        <v>7640</v>
      </c>
      <c r="M1197" s="10"/>
      <c r="N1197" s="10"/>
      <c r="O1197" s="18">
        <v>2284.81</v>
      </c>
      <c r="P1197" s="10"/>
      <c r="Q1197" s="17" t="b">
        <v>1</v>
      </c>
      <c r="R1197" s="10"/>
    </row>
    <row r="1198">
      <c r="A1198" s="6" t="s">
        <v>7069</v>
      </c>
      <c r="B1198" s="6" t="s">
        <v>35</v>
      </c>
      <c r="C1198" s="8">
        <v>45771.0</v>
      </c>
      <c r="D1198" s="6" t="s">
        <v>764</v>
      </c>
      <c r="E1198" s="6" t="s">
        <v>7643</v>
      </c>
      <c r="F1198" s="10"/>
      <c r="G1198" s="6" t="s">
        <v>7644</v>
      </c>
      <c r="H1198" s="6" t="s">
        <v>195</v>
      </c>
      <c r="I1198" s="17" t="b">
        <v>0</v>
      </c>
      <c r="J1198" s="6" t="s">
        <v>546</v>
      </c>
      <c r="K1198" s="10"/>
      <c r="L1198" s="6" t="s">
        <v>7646</v>
      </c>
      <c r="M1198" s="10"/>
      <c r="N1198" s="10"/>
      <c r="O1198" s="18">
        <v>725.9</v>
      </c>
      <c r="P1198" s="10"/>
      <c r="Q1198" s="17" t="b">
        <v>1</v>
      </c>
      <c r="R1198" s="10"/>
    </row>
    <row r="1199">
      <c r="A1199" s="6" t="s">
        <v>7082</v>
      </c>
      <c r="B1199" s="6" t="s">
        <v>35</v>
      </c>
      <c r="C1199" s="8">
        <v>45773.0</v>
      </c>
      <c r="D1199" s="6" t="s">
        <v>7095</v>
      </c>
      <c r="E1199" s="6" t="s">
        <v>7650</v>
      </c>
      <c r="F1199" s="10"/>
      <c r="G1199" s="6" t="s">
        <v>7653</v>
      </c>
      <c r="H1199" s="6" t="s">
        <v>7654</v>
      </c>
      <c r="I1199" s="17" t="b">
        <v>0</v>
      </c>
      <c r="J1199" s="6" t="s">
        <v>546</v>
      </c>
      <c r="K1199" s="10"/>
      <c r="L1199" s="6" t="s">
        <v>7657</v>
      </c>
      <c r="M1199" s="10"/>
      <c r="N1199" s="10"/>
      <c r="O1199" s="18">
        <v>665.15</v>
      </c>
      <c r="P1199" s="10"/>
      <c r="Q1199" s="17" t="b">
        <v>1</v>
      </c>
      <c r="R1199" s="10"/>
    </row>
    <row r="1200">
      <c r="A1200" s="6" t="s">
        <v>7091</v>
      </c>
      <c r="B1200" s="6" t="s">
        <v>35</v>
      </c>
      <c r="C1200" s="8">
        <v>45777.0</v>
      </c>
      <c r="D1200" s="18">
        <v>2.6065919E7</v>
      </c>
      <c r="E1200" s="6" t="s">
        <v>7660</v>
      </c>
      <c r="F1200" s="10"/>
      <c r="G1200" s="6" t="s">
        <v>7661</v>
      </c>
      <c r="H1200" s="6" t="s">
        <v>5885</v>
      </c>
      <c r="I1200" s="17" t="b">
        <v>1</v>
      </c>
      <c r="J1200" s="6" t="s">
        <v>546</v>
      </c>
      <c r="K1200" s="10"/>
      <c r="L1200" s="10"/>
      <c r="M1200" s="10"/>
      <c r="N1200" s="10"/>
      <c r="O1200" s="18">
        <v>135.0</v>
      </c>
      <c r="P1200" s="18">
        <v>1358010.0</v>
      </c>
      <c r="Q1200" s="17" t="b">
        <v>1</v>
      </c>
      <c r="R1200" s="10"/>
    </row>
    <row r="1201">
      <c r="A1201" s="6" t="s">
        <v>7093</v>
      </c>
      <c r="B1201" s="6" t="s">
        <v>35</v>
      </c>
      <c r="C1201" s="8">
        <v>45777.0</v>
      </c>
      <c r="D1201" s="6" t="s">
        <v>112</v>
      </c>
      <c r="E1201" s="6" t="s">
        <v>7668</v>
      </c>
      <c r="F1201" s="10"/>
      <c r="G1201" s="6" t="s">
        <v>7671</v>
      </c>
      <c r="H1201" s="6" t="s">
        <v>157</v>
      </c>
      <c r="I1201" s="17" t="b">
        <v>0</v>
      </c>
      <c r="J1201" s="6" t="s">
        <v>546</v>
      </c>
      <c r="K1201" s="10"/>
      <c r="L1201" s="10"/>
      <c r="M1201" s="10"/>
      <c r="N1201" s="10"/>
      <c r="O1201" s="18">
        <v>326.3</v>
      </c>
      <c r="P1201" s="10"/>
      <c r="Q1201" s="17" t="b">
        <v>1</v>
      </c>
      <c r="R1201" s="10"/>
    </row>
    <row r="1202">
      <c r="A1202" s="6" t="s">
        <v>7102</v>
      </c>
      <c r="B1202" s="6" t="s">
        <v>35</v>
      </c>
      <c r="C1202" s="8">
        <v>45779.0</v>
      </c>
      <c r="D1202" s="6" t="s">
        <v>112</v>
      </c>
      <c r="E1202" s="6" t="s">
        <v>7677</v>
      </c>
      <c r="F1202" s="10"/>
      <c r="G1202" s="6" t="s">
        <v>7679</v>
      </c>
      <c r="H1202" s="6" t="s">
        <v>157</v>
      </c>
      <c r="I1202" s="17" t="b">
        <v>0</v>
      </c>
      <c r="J1202" s="6" t="s">
        <v>546</v>
      </c>
      <c r="K1202" s="10"/>
      <c r="L1202" s="10"/>
      <c r="M1202" s="10"/>
      <c r="N1202" s="10"/>
      <c r="O1202" s="18">
        <v>219.79</v>
      </c>
      <c r="P1202" s="10"/>
      <c r="Q1202" s="17" t="b">
        <v>1</v>
      </c>
      <c r="R1202" s="10"/>
    </row>
    <row r="1203">
      <c r="A1203" s="6" t="s">
        <v>7110</v>
      </c>
      <c r="B1203" s="6" t="s">
        <v>35</v>
      </c>
      <c r="C1203" s="8">
        <v>45781.0</v>
      </c>
      <c r="D1203" s="6" t="s">
        <v>543</v>
      </c>
      <c r="E1203" s="6" t="s">
        <v>7683</v>
      </c>
      <c r="F1203" s="10"/>
      <c r="G1203" s="6" t="s">
        <v>7684</v>
      </c>
      <c r="H1203" s="6" t="s">
        <v>171</v>
      </c>
      <c r="I1203" s="17" t="b">
        <v>0</v>
      </c>
      <c r="J1203" s="6" t="s">
        <v>546</v>
      </c>
      <c r="K1203" s="10"/>
      <c r="L1203" s="10"/>
      <c r="M1203" s="10"/>
      <c r="N1203" s="10"/>
      <c r="O1203" s="18">
        <v>250.0</v>
      </c>
      <c r="P1203" s="10"/>
      <c r="Q1203" s="17" t="b">
        <v>1</v>
      </c>
      <c r="R1203" s="10"/>
    </row>
    <row r="1204">
      <c r="A1204" s="6" t="s">
        <v>7114</v>
      </c>
      <c r="B1204" s="6" t="s">
        <v>35</v>
      </c>
      <c r="C1204" s="8">
        <v>45782.0</v>
      </c>
      <c r="D1204" s="10"/>
      <c r="E1204" s="10"/>
      <c r="F1204" s="10"/>
      <c r="G1204" s="10"/>
      <c r="H1204" s="6" t="s">
        <v>7232</v>
      </c>
      <c r="I1204" s="10"/>
      <c r="J1204" s="6" t="s">
        <v>539</v>
      </c>
      <c r="K1204" s="6" t="s">
        <v>3795</v>
      </c>
      <c r="L1204" s="10"/>
      <c r="M1204" s="10"/>
      <c r="N1204" s="10"/>
      <c r="O1204" s="18">
        <v>642.39</v>
      </c>
      <c r="P1204" s="10"/>
      <c r="Q1204" s="6"/>
      <c r="R1204" s="10"/>
    </row>
    <row r="1205">
      <c r="A1205" s="6" t="s">
        <v>7116</v>
      </c>
      <c r="B1205" s="6" t="s">
        <v>35</v>
      </c>
      <c r="C1205" s="8">
        <v>45782.0</v>
      </c>
      <c r="D1205" s="10"/>
      <c r="E1205" s="10"/>
      <c r="F1205" s="10"/>
      <c r="G1205" s="10"/>
      <c r="H1205" s="6" t="s">
        <v>7232</v>
      </c>
      <c r="I1205" s="10"/>
      <c r="J1205" s="6" t="s">
        <v>539</v>
      </c>
      <c r="K1205" s="6" t="s">
        <v>624</v>
      </c>
      <c r="L1205" s="10"/>
      <c r="M1205" s="10"/>
      <c r="N1205" s="10"/>
      <c r="O1205" s="18">
        <v>2836.59</v>
      </c>
      <c r="P1205" s="10"/>
      <c r="Q1205" s="6"/>
      <c r="R1205" s="10"/>
    </row>
    <row r="1206">
      <c r="A1206" s="6" t="s">
        <v>7119</v>
      </c>
      <c r="B1206" s="6" t="s">
        <v>35</v>
      </c>
      <c r="C1206" s="8">
        <v>45782.0</v>
      </c>
      <c r="D1206" s="10"/>
      <c r="E1206" s="10"/>
      <c r="F1206" s="10"/>
      <c r="G1206" s="10"/>
      <c r="H1206" s="6" t="s">
        <v>7232</v>
      </c>
      <c r="I1206" s="10"/>
      <c r="J1206" s="6" t="s">
        <v>539</v>
      </c>
      <c r="K1206" s="6" t="s">
        <v>2052</v>
      </c>
      <c r="L1206" s="10"/>
      <c r="M1206" s="10"/>
      <c r="N1206" s="10"/>
      <c r="O1206" s="18">
        <v>1909.57</v>
      </c>
      <c r="P1206" s="10"/>
      <c r="Q1206" s="6"/>
      <c r="R1206" s="10"/>
    </row>
    <row r="1207">
      <c r="A1207" s="6" t="s">
        <v>7121</v>
      </c>
      <c r="B1207" s="6" t="s">
        <v>35</v>
      </c>
      <c r="C1207" s="8">
        <v>45782.0</v>
      </c>
      <c r="D1207" s="10"/>
      <c r="E1207" s="10"/>
      <c r="F1207" s="10"/>
      <c r="G1207" s="10"/>
      <c r="H1207" s="6" t="s">
        <v>7232</v>
      </c>
      <c r="I1207" s="10"/>
      <c r="J1207" s="6" t="s">
        <v>539</v>
      </c>
      <c r="K1207" s="6" t="s">
        <v>227</v>
      </c>
      <c r="L1207" s="10"/>
      <c r="M1207" s="10"/>
      <c r="N1207" s="10"/>
      <c r="O1207" s="18">
        <v>2080.59</v>
      </c>
      <c r="P1207" s="10"/>
      <c r="Q1207" s="6"/>
      <c r="R1207" s="10"/>
    </row>
    <row r="1208">
      <c r="A1208" s="6" t="s">
        <v>7123</v>
      </c>
      <c r="B1208" s="6" t="s">
        <v>35</v>
      </c>
      <c r="C1208" s="8">
        <v>45782.0</v>
      </c>
      <c r="D1208" s="10"/>
      <c r="E1208" s="10"/>
      <c r="F1208" s="10"/>
      <c r="G1208" s="10"/>
      <c r="H1208" s="6" t="s">
        <v>7232</v>
      </c>
      <c r="I1208" s="10"/>
      <c r="J1208" s="6" t="s">
        <v>539</v>
      </c>
      <c r="K1208" s="6" t="s">
        <v>6062</v>
      </c>
      <c r="L1208" s="10"/>
      <c r="M1208" s="10"/>
      <c r="N1208" s="10"/>
      <c r="O1208" s="18">
        <v>1145.93</v>
      </c>
      <c r="P1208" s="10"/>
      <c r="Q1208" s="6"/>
      <c r="R1208" s="10"/>
    </row>
    <row r="1209">
      <c r="A1209" s="6" t="s">
        <v>7126</v>
      </c>
      <c r="B1209" s="6" t="s">
        <v>35</v>
      </c>
      <c r="C1209" s="8">
        <v>45782.0</v>
      </c>
      <c r="D1209" s="10"/>
      <c r="E1209" s="10"/>
      <c r="F1209" s="10"/>
      <c r="G1209" s="10"/>
      <c r="H1209" s="6" t="s">
        <v>7232</v>
      </c>
      <c r="I1209" s="10"/>
      <c r="J1209" s="6" t="s">
        <v>539</v>
      </c>
      <c r="K1209" s="6" t="s">
        <v>3795</v>
      </c>
      <c r="L1209" s="10"/>
      <c r="M1209" s="10"/>
      <c r="N1209" s="10"/>
      <c r="O1209" s="18">
        <v>642.39</v>
      </c>
      <c r="P1209" s="10"/>
      <c r="Q1209" s="6"/>
      <c r="R1209" s="10"/>
    </row>
    <row r="1210">
      <c r="A1210" s="6" t="s">
        <v>7128</v>
      </c>
      <c r="B1210" s="6" t="s">
        <v>35</v>
      </c>
      <c r="C1210" s="8">
        <v>45759.0</v>
      </c>
      <c r="D1210" s="6" t="s">
        <v>112</v>
      </c>
      <c r="E1210" s="6" t="s">
        <v>7358</v>
      </c>
      <c r="F1210" s="10"/>
      <c r="G1210" s="6" t="s">
        <v>7720</v>
      </c>
      <c r="H1210" s="6" t="s">
        <v>157</v>
      </c>
      <c r="I1210" s="17" t="b">
        <v>0</v>
      </c>
      <c r="J1210" s="6" t="s">
        <v>546</v>
      </c>
      <c r="K1210" s="10"/>
      <c r="L1210" s="10"/>
      <c r="M1210" s="10"/>
      <c r="N1210" s="10"/>
      <c r="O1210" s="18">
        <v>214.42</v>
      </c>
      <c r="P1210" s="10"/>
      <c r="Q1210" s="17" t="b">
        <v>1</v>
      </c>
      <c r="R1210" s="10"/>
    </row>
    <row r="1211">
      <c r="A1211" s="6" t="s">
        <v>7133</v>
      </c>
      <c r="B1211" s="6" t="s">
        <v>35</v>
      </c>
      <c r="C1211" s="8">
        <v>45782.0</v>
      </c>
      <c r="D1211" s="6" t="s">
        <v>353</v>
      </c>
      <c r="E1211" s="6" t="s">
        <v>7727</v>
      </c>
      <c r="F1211" s="10"/>
      <c r="G1211" s="6" t="s">
        <v>7728</v>
      </c>
      <c r="H1211" s="6" t="s">
        <v>7730</v>
      </c>
      <c r="I1211" s="17" t="b">
        <v>1</v>
      </c>
      <c r="J1211" s="6" t="s">
        <v>546</v>
      </c>
      <c r="K1211" s="10"/>
      <c r="L1211" s="10"/>
      <c r="M1211" s="10"/>
      <c r="N1211" s="10"/>
      <c r="O1211" s="18">
        <v>282.04</v>
      </c>
      <c r="P1211" s="18">
        <v>1467541.0</v>
      </c>
      <c r="Q1211" s="17" t="b">
        <v>1</v>
      </c>
      <c r="R1211" s="10"/>
    </row>
    <row r="1212">
      <c r="A1212" s="6" t="s">
        <v>7139</v>
      </c>
      <c r="B1212" s="6" t="s">
        <v>35</v>
      </c>
      <c r="C1212" s="8">
        <v>45781.0</v>
      </c>
      <c r="D1212" s="10"/>
      <c r="E1212" s="10"/>
      <c r="F1212" s="10"/>
      <c r="G1212" s="10"/>
      <c r="H1212" s="6" t="s">
        <v>1791</v>
      </c>
      <c r="I1212" s="10"/>
      <c r="J1212" s="6" t="s">
        <v>539</v>
      </c>
      <c r="K1212" s="6" t="s">
        <v>2052</v>
      </c>
      <c r="L1212" s="10"/>
      <c r="M1212" s="10"/>
      <c r="N1212" s="10"/>
      <c r="O1212" s="18">
        <v>2618.46</v>
      </c>
      <c r="P1212" s="10"/>
      <c r="Q1212" s="6"/>
      <c r="R1212" s="10"/>
    </row>
    <row r="1213">
      <c r="A1213" s="6" t="s">
        <v>7141</v>
      </c>
      <c r="B1213" s="6" t="s">
        <v>35</v>
      </c>
      <c r="C1213" s="8">
        <v>45784.0</v>
      </c>
      <c r="D1213" s="6" t="s">
        <v>7740</v>
      </c>
      <c r="E1213" s="6" t="s">
        <v>7741</v>
      </c>
      <c r="F1213" s="10"/>
      <c r="G1213" s="6" t="s">
        <v>7744</v>
      </c>
      <c r="H1213" s="6" t="s">
        <v>5136</v>
      </c>
      <c r="I1213" s="17" t="b">
        <v>0</v>
      </c>
      <c r="J1213" s="6" t="s">
        <v>546</v>
      </c>
      <c r="K1213" s="10"/>
      <c r="L1213" s="10"/>
      <c r="M1213" s="10"/>
      <c r="N1213" s="10"/>
      <c r="O1213" s="18">
        <v>32.77</v>
      </c>
      <c r="P1213" s="10"/>
      <c r="Q1213" s="17" t="b">
        <v>1</v>
      </c>
      <c r="R1213" s="10"/>
    </row>
    <row r="1214">
      <c r="A1214" s="6" t="s">
        <v>7143</v>
      </c>
      <c r="B1214" s="6" t="s">
        <v>35</v>
      </c>
      <c r="C1214" s="8">
        <v>45784.0</v>
      </c>
      <c r="D1214" s="6" t="s">
        <v>145</v>
      </c>
      <c r="E1214" s="6" t="s">
        <v>7753</v>
      </c>
      <c r="F1214" s="10"/>
      <c r="G1214" s="6" t="s">
        <v>7756</v>
      </c>
      <c r="H1214" s="6" t="s">
        <v>147</v>
      </c>
      <c r="I1214" s="17" t="b">
        <v>0</v>
      </c>
      <c r="J1214" s="6" t="s">
        <v>546</v>
      </c>
      <c r="K1214" s="10"/>
      <c r="L1214" s="10"/>
      <c r="M1214" s="10"/>
      <c r="N1214" s="10"/>
      <c r="O1214" s="18">
        <v>183.5</v>
      </c>
      <c r="P1214" s="10"/>
      <c r="Q1214" s="17" t="b">
        <v>1</v>
      </c>
      <c r="R1214" s="10"/>
    </row>
    <row r="1215">
      <c r="A1215" s="6" t="s">
        <v>7147</v>
      </c>
      <c r="B1215" s="6" t="s">
        <v>35</v>
      </c>
      <c r="C1215" s="8">
        <v>45785.0</v>
      </c>
      <c r="D1215" s="10"/>
      <c r="E1215" s="10"/>
      <c r="F1215" s="10"/>
      <c r="G1215" s="10"/>
      <c r="H1215" s="6" t="s">
        <v>7760</v>
      </c>
      <c r="I1215" s="10"/>
      <c r="J1215" s="6" t="s">
        <v>539</v>
      </c>
      <c r="K1215" s="6" t="s">
        <v>624</v>
      </c>
      <c r="L1215" s="10"/>
      <c r="M1215" s="10"/>
      <c r="N1215" s="10"/>
      <c r="O1215" s="18">
        <v>1600.0</v>
      </c>
      <c r="P1215" s="10"/>
      <c r="Q1215" s="6"/>
      <c r="R1215" s="10"/>
    </row>
    <row r="1216">
      <c r="A1216" s="6" t="s">
        <v>7149</v>
      </c>
      <c r="B1216" s="6" t="s">
        <v>35</v>
      </c>
      <c r="C1216" s="8">
        <v>45787.0</v>
      </c>
      <c r="D1216" s="10"/>
      <c r="E1216" s="10"/>
      <c r="F1216" s="10"/>
      <c r="G1216" s="10"/>
      <c r="H1216" s="6" t="s">
        <v>1329</v>
      </c>
      <c r="I1216" s="10"/>
      <c r="J1216" s="6" t="s">
        <v>539</v>
      </c>
      <c r="K1216" s="6" t="s">
        <v>3795</v>
      </c>
      <c r="L1216" s="10"/>
      <c r="M1216" s="10"/>
      <c r="N1216" s="10"/>
      <c r="O1216" s="18">
        <v>500.0</v>
      </c>
      <c r="P1216" s="10"/>
      <c r="Q1216" s="6"/>
      <c r="R1216" s="10"/>
    </row>
    <row r="1217">
      <c r="A1217" s="6" t="s">
        <v>7151</v>
      </c>
      <c r="B1217" s="6" t="s">
        <v>35</v>
      </c>
      <c r="C1217" s="8">
        <v>45784.0</v>
      </c>
      <c r="D1217" s="6" t="s">
        <v>543</v>
      </c>
      <c r="E1217" s="6" t="s">
        <v>7767</v>
      </c>
      <c r="F1217" s="10"/>
      <c r="G1217" s="6" t="s">
        <v>7769</v>
      </c>
      <c r="H1217" s="6" t="s">
        <v>171</v>
      </c>
      <c r="I1217" s="17" t="b">
        <v>0</v>
      </c>
      <c r="J1217" s="6" t="s">
        <v>546</v>
      </c>
      <c r="K1217" s="10"/>
      <c r="L1217" s="10"/>
      <c r="M1217" s="10"/>
      <c r="N1217" s="10"/>
      <c r="O1217" s="18">
        <v>250.0</v>
      </c>
      <c r="P1217" s="10"/>
      <c r="Q1217" s="17" t="b">
        <v>1</v>
      </c>
      <c r="R1217" s="10"/>
    </row>
    <row r="1218">
      <c r="A1218" s="6" t="s">
        <v>7153</v>
      </c>
      <c r="B1218" s="6" t="s">
        <v>35</v>
      </c>
      <c r="C1218" s="8">
        <v>45785.0</v>
      </c>
      <c r="D1218" s="6" t="s">
        <v>764</v>
      </c>
      <c r="E1218" s="6" t="s">
        <v>7773</v>
      </c>
      <c r="F1218" s="10"/>
      <c r="G1218" s="6" t="s">
        <v>7775</v>
      </c>
      <c r="H1218" s="6" t="s">
        <v>195</v>
      </c>
      <c r="I1218" s="17" t="b">
        <v>0</v>
      </c>
      <c r="J1218" s="6" t="s">
        <v>546</v>
      </c>
      <c r="K1218" s="10"/>
      <c r="L1218" s="10"/>
      <c r="M1218" s="10"/>
      <c r="N1218" s="10"/>
      <c r="O1218" s="18">
        <v>323.0</v>
      </c>
      <c r="P1218" s="10"/>
      <c r="Q1218" s="17" t="b">
        <v>1</v>
      </c>
      <c r="R1218" s="10"/>
    </row>
    <row r="1219">
      <c r="A1219" s="6" t="s">
        <v>7158</v>
      </c>
      <c r="B1219" s="6" t="s">
        <v>35</v>
      </c>
      <c r="C1219" s="8">
        <v>45785.0</v>
      </c>
      <c r="D1219" s="6" t="s">
        <v>764</v>
      </c>
      <c r="E1219" s="6" t="s">
        <v>7773</v>
      </c>
      <c r="F1219" s="10"/>
      <c r="G1219" s="6" t="s">
        <v>7781</v>
      </c>
      <c r="H1219" s="6" t="s">
        <v>195</v>
      </c>
      <c r="I1219" s="17" t="b">
        <v>0</v>
      </c>
      <c r="J1219" s="6" t="s">
        <v>546</v>
      </c>
      <c r="K1219" s="10"/>
      <c r="L1219" s="10"/>
      <c r="M1219" s="10"/>
      <c r="N1219" s="10"/>
      <c r="O1219" s="18">
        <v>452.1</v>
      </c>
      <c r="P1219" s="10"/>
      <c r="Q1219" s="17" t="b">
        <v>1</v>
      </c>
      <c r="R1219" s="10"/>
    </row>
    <row r="1220">
      <c r="A1220" s="6" t="s">
        <v>7167</v>
      </c>
      <c r="B1220" s="6" t="s">
        <v>35</v>
      </c>
      <c r="C1220" s="8">
        <v>45786.0</v>
      </c>
      <c r="D1220" s="6" t="s">
        <v>112</v>
      </c>
      <c r="E1220" s="6" t="s">
        <v>7785</v>
      </c>
      <c r="F1220" s="10"/>
      <c r="G1220" s="6" t="s">
        <v>7786</v>
      </c>
      <c r="H1220" s="6" t="s">
        <v>157</v>
      </c>
      <c r="I1220" s="17" t="b">
        <v>0</v>
      </c>
      <c r="J1220" s="6" t="s">
        <v>546</v>
      </c>
      <c r="K1220" s="10"/>
      <c r="L1220" s="10"/>
      <c r="M1220" s="10"/>
      <c r="N1220" s="10"/>
      <c r="O1220" s="18">
        <v>444.43</v>
      </c>
      <c r="P1220" s="10"/>
      <c r="Q1220" s="17" t="b">
        <v>1</v>
      </c>
      <c r="R1220" s="10"/>
    </row>
    <row r="1221">
      <c r="A1221" s="6" t="s">
        <v>7172</v>
      </c>
      <c r="B1221" s="6" t="s">
        <v>35</v>
      </c>
      <c r="C1221" s="8">
        <v>45787.0</v>
      </c>
      <c r="D1221" s="18">
        <v>8.627274E7</v>
      </c>
      <c r="E1221" s="6" t="s">
        <v>7793</v>
      </c>
      <c r="F1221" s="10"/>
      <c r="G1221" s="6" t="s">
        <v>7794</v>
      </c>
      <c r="H1221" s="6" t="s">
        <v>236</v>
      </c>
      <c r="I1221" s="17" t="b">
        <v>1</v>
      </c>
      <c r="J1221" s="6" t="s">
        <v>546</v>
      </c>
      <c r="K1221" s="10"/>
      <c r="L1221" s="10"/>
      <c r="M1221" s="10"/>
      <c r="N1221" s="10"/>
      <c r="O1221" s="18">
        <v>93.85</v>
      </c>
      <c r="P1221" s="18">
        <v>1475171.0</v>
      </c>
      <c r="Q1221" s="17" t="b">
        <v>1</v>
      </c>
      <c r="R1221" s="10"/>
    </row>
    <row r="1222">
      <c r="A1222" s="6" t="s">
        <v>7174</v>
      </c>
      <c r="B1222" s="6" t="s">
        <v>35</v>
      </c>
      <c r="C1222" s="8">
        <v>45789.0</v>
      </c>
      <c r="D1222" s="18">
        <v>6.8893939E7</v>
      </c>
      <c r="E1222" s="10"/>
      <c r="F1222" s="10"/>
      <c r="G1222" s="10"/>
      <c r="H1222" s="6" t="s">
        <v>7799</v>
      </c>
      <c r="I1222" s="10"/>
      <c r="J1222" s="6" t="s">
        <v>539</v>
      </c>
      <c r="K1222" s="10"/>
      <c r="L1222" s="10"/>
      <c r="M1222" s="10"/>
      <c r="N1222" s="10"/>
      <c r="O1222" s="18">
        <v>19.61</v>
      </c>
      <c r="P1222" s="10"/>
      <c r="Q1222" s="6"/>
      <c r="R1222" s="10"/>
    </row>
    <row r="1223">
      <c r="A1223" s="6" t="s">
        <v>7176</v>
      </c>
      <c r="B1223" s="6" t="s">
        <v>35</v>
      </c>
      <c r="C1223" s="8">
        <v>45789.0</v>
      </c>
      <c r="D1223" s="6" t="s">
        <v>2248</v>
      </c>
      <c r="E1223" s="10"/>
      <c r="F1223" s="10"/>
      <c r="G1223" s="10"/>
      <c r="H1223" s="6" t="s">
        <v>2549</v>
      </c>
      <c r="I1223" s="10"/>
      <c r="J1223" s="6" t="s">
        <v>539</v>
      </c>
      <c r="K1223" s="10"/>
      <c r="L1223" s="10"/>
      <c r="M1223" s="10"/>
      <c r="N1223" s="10"/>
      <c r="O1223" s="18">
        <v>366.15</v>
      </c>
      <c r="P1223" s="10"/>
      <c r="Q1223" s="6"/>
      <c r="R1223" s="10"/>
    </row>
    <row r="1224">
      <c r="A1224" s="6" t="s">
        <v>7178</v>
      </c>
      <c r="B1224" s="6" t="s">
        <v>35</v>
      </c>
      <c r="C1224" s="8">
        <v>45789.0</v>
      </c>
      <c r="D1224" s="6" t="s">
        <v>460</v>
      </c>
      <c r="E1224" s="10"/>
      <c r="F1224" s="10"/>
      <c r="G1224" s="10"/>
      <c r="H1224" s="6" t="s">
        <v>7811</v>
      </c>
      <c r="I1224" s="10"/>
      <c r="J1224" s="6" t="s">
        <v>539</v>
      </c>
      <c r="K1224" s="10"/>
      <c r="L1224" s="10"/>
      <c r="M1224" s="10"/>
      <c r="N1224" s="10"/>
      <c r="O1224" s="18">
        <v>230.0</v>
      </c>
      <c r="P1224" s="10"/>
      <c r="Q1224" s="6"/>
      <c r="R1224" s="10"/>
    </row>
    <row r="1225">
      <c r="A1225" s="6" t="s">
        <v>7181</v>
      </c>
      <c r="B1225" s="6" t="s">
        <v>35</v>
      </c>
      <c r="C1225" s="8">
        <v>45790.0</v>
      </c>
      <c r="D1225" s="6" t="s">
        <v>7817</v>
      </c>
      <c r="E1225" s="10"/>
      <c r="F1225" s="10"/>
      <c r="G1225" s="10"/>
      <c r="H1225" s="6" t="s">
        <v>7819</v>
      </c>
      <c r="I1225" s="10"/>
      <c r="J1225" s="6" t="s">
        <v>539</v>
      </c>
      <c r="K1225" s="10"/>
      <c r="L1225" s="10"/>
      <c r="M1225" s="10"/>
      <c r="N1225" s="10"/>
      <c r="O1225" s="18">
        <v>244.11</v>
      </c>
      <c r="P1225" s="10"/>
      <c r="Q1225" s="6"/>
      <c r="R1225" s="10"/>
    </row>
    <row r="1226">
      <c r="A1226" s="6" t="s">
        <v>7183</v>
      </c>
      <c r="B1226" s="6" t="s">
        <v>35</v>
      </c>
      <c r="C1226" s="8">
        <v>45773.0</v>
      </c>
      <c r="D1226" s="6" t="s">
        <v>112</v>
      </c>
      <c r="E1226" s="6" t="s">
        <v>7625</v>
      </c>
      <c r="F1226" s="10"/>
      <c r="G1226" s="6" t="s">
        <v>7824</v>
      </c>
      <c r="H1226" s="6" t="s">
        <v>157</v>
      </c>
      <c r="I1226" s="17" t="b">
        <v>0</v>
      </c>
      <c r="J1226" s="6" t="s">
        <v>546</v>
      </c>
      <c r="K1226" s="10"/>
      <c r="L1226" s="10"/>
      <c r="M1226" s="10"/>
      <c r="N1226" s="10"/>
      <c r="O1226" s="18">
        <v>385.44</v>
      </c>
      <c r="P1226" s="10"/>
      <c r="Q1226" s="17" t="b">
        <v>1</v>
      </c>
      <c r="R1226" s="10"/>
    </row>
    <row r="1227">
      <c r="A1227" s="6" t="s">
        <v>7188</v>
      </c>
      <c r="B1227" s="6" t="s">
        <v>35</v>
      </c>
      <c r="C1227" s="8">
        <v>45786.0</v>
      </c>
      <c r="D1227" s="6" t="s">
        <v>543</v>
      </c>
      <c r="E1227" s="6" t="s">
        <v>7828</v>
      </c>
      <c r="F1227" s="10"/>
      <c r="G1227" s="6" t="s">
        <v>7829</v>
      </c>
      <c r="H1227" s="6" t="s">
        <v>171</v>
      </c>
      <c r="I1227" s="17" t="b">
        <v>0</v>
      </c>
      <c r="J1227" s="6" t="s">
        <v>546</v>
      </c>
      <c r="K1227" s="10"/>
      <c r="L1227" s="10"/>
      <c r="M1227" s="10"/>
      <c r="N1227" s="10"/>
      <c r="O1227" s="18">
        <v>250.0</v>
      </c>
      <c r="P1227" s="10"/>
      <c r="Q1227" s="17" t="b">
        <v>1</v>
      </c>
      <c r="R1227" s="10"/>
    </row>
    <row r="1228">
      <c r="A1228" s="6" t="s">
        <v>7190</v>
      </c>
      <c r="B1228" s="6" t="s">
        <v>35</v>
      </c>
      <c r="C1228" s="8">
        <v>45792.0</v>
      </c>
      <c r="D1228" s="10"/>
      <c r="E1228" s="10"/>
      <c r="F1228" s="10"/>
      <c r="G1228" s="10"/>
      <c r="H1228" s="6" t="s">
        <v>7835</v>
      </c>
      <c r="I1228" s="10"/>
      <c r="J1228" s="6" t="s">
        <v>539</v>
      </c>
      <c r="K1228" s="6" t="s">
        <v>624</v>
      </c>
      <c r="L1228" s="10"/>
      <c r="M1228" s="10"/>
      <c r="N1228" s="10"/>
      <c r="O1228" s="18">
        <v>2320.64</v>
      </c>
      <c r="P1228" s="10"/>
      <c r="Q1228" s="6"/>
      <c r="R1228" s="10"/>
    </row>
    <row r="1229">
      <c r="A1229" s="6" t="s">
        <v>7193</v>
      </c>
      <c r="B1229" s="6" t="s">
        <v>35</v>
      </c>
      <c r="C1229" s="8">
        <v>45795.0</v>
      </c>
      <c r="D1229" s="6" t="s">
        <v>890</v>
      </c>
      <c r="E1229" s="10"/>
      <c r="F1229" s="10"/>
      <c r="G1229" s="10"/>
      <c r="H1229" s="6" t="s">
        <v>4010</v>
      </c>
      <c r="I1229" s="10"/>
      <c r="J1229" s="6" t="s">
        <v>539</v>
      </c>
      <c r="K1229" s="10"/>
      <c r="L1229" s="10"/>
      <c r="M1229" s="10"/>
      <c r="N1229" s="10"/>
      <c r="O1229" s="18">
        <v>375.0</v>
      </c>
      <c r="P1229" s="10"/>
      <c r="Q1229" s="6"/>
      <c r="R1229" s="10"/>
    </row>
    <row r="1230">
      <c r="A1230" s="6" t="s">
        <v>7195</v>
      </c>
      <c r="B1230" s="6" t="s">
        <v>35</v>
      </c>
      <c r="C1230" s="8">
        <v>45790.0</v>
      </c>
      <c r="D1230" s="6" t="s">
        <v>890</v>
      </c>
      <c r="E1230" s="6" t="s">
        <v>7848</v>
      </c>
      <c r="F1230" s="10"/>
      <c r="G1230" s="6" t="s">
        <v>7849</v>
      </c>
      <c r="H1230" s="6" t="s">
        <v>2894</v>
      </c>
      <c r="I1230" s="17" t="b">
        <v>0</v>
      </c>
      <c r="J1230" s="6" t="s">
        <v>546</v>
      </c>
      <c r="K1230" s="10"/>
      <c r="L1230" s="6" t="s">
        <v>7852</v>
      </c>
      <c r="M1230" s="6" t="s">
        <v>7853</v>
      </c>
      <c r="N1230" s="10"/>
      <c r="O1230" s="18">
        <v>3699.89</v>
      </c>
      <c r="P1230" s="10"/>
      <c r="Q1230" s="17" t="b">
        <v>1</v>
      </c>
      <c r="R1230" s="10"/>
    </row>
    <row r="1231">
      <c r="A1231" s="6" t="s">
        <v>7197</v>
      </c>
      <c r="B1231" s="6" t="s">
        <v>35</v>
      </c>
      <c r="C1231" s="8">
        <v>45791.0</v>
      </c>
      <c r="D1231" s="6" t="s">
        <v>890</v>
      </c>
      <c r="E1231" s="6" t="s">
        <v>7856</v>
      </c>
      <c r="F1231" s="10"/>
      <c r="G1231" s="6" t="s">
        <v>7857</v>
      </c>
      <c r="H1231" s="6" t="s">
        <v>2894</v>
      </c>
      <c r="I1231" s="17" t="b">
        <v>0</v>
      </c>
      <c r="J1231" s="6" t="s">
        <v>546</v>
      </c>
      <c r="K1231" s="10"/>
      <c r="L1231" s="6" t="s">
        <v>7859</v>
      </c>
      <c r="M1231" s="6" t="s">
        <v>7860</v>
      </c>
      <c r="N1231" s="6" t="s">
        <v>7862</v>
      </c>
      <c r="O1231" s="18">
        <v>18342.73</v>
      </c>
      <c r="P1231" s="10"/>
      <c r="Q1231" s="17" t="b">
        <v>1</v>
      </c>
      <c r="R1231" s="10"/>
    </row>
    <row r="1232">
      <c r="A1232" s="6" t="s">
        <v>7199</v>
      </c>
      <c r="B1232" s="6" t="s">
        <v>35</v>
      </c>
      <c r="C1232" s="8">
        <v>45792.0</v>
      </c>
      <c r="D1232" s="6" t="s">
        <v>112</v>
      </c>
      <c r="E1232" s="6" t="s">
        <v>7864</v>
      </c>
      <c r="F1232" s="10"/>
      <c r="G1232" s="6" t="s">
        <v>7865</v>
      </c>
      <c r="H1232" s="6" t="s">
        <v>157</v>
      </c>
      <c r="I1232" s="17" t="b">
        <v>0</v>
      </c>
      <c r="J1232" s="6" t="s">
        <v>546</v>
      </c>
      <c r="K1232" s="10"/>
      <c r="L1232" s="10"/>
      <c r="M1232" s="10"/>
      <c r="N1232" s="10"/>
      <c r="O1232" s="18">
        <v>357.82</v>
      </c>
      <c r="P1232" s="10"/>
      <c r="Q1232" s="17" t="b">
        <v>1</v>
      </c>
      <c r="R1232" s="10"/>
    </row>
    <row r="1233">
      <c r="A1233" s="6" t="s">
        <v>7206</v>
      </c>
      <c r="B1233" s="6" t="s">
        <v>35</v>
      </c>
      <c r="C1233" s="8">
        <v>45793.0</v>
      </c>
      <c r="D1233" s="6" t="s">
        <v>1807</v>
      </c>
      <c r="E1233" s="6" t="s">
        <v>7869</v>
      </c>
      <c r="F1233" s="10"/>
      <c r="G1233" s="6" t="s">
        <v>7870</v>
      </c>
      <c r="H1233" s="6" t="s">
        <v>4248</v>
      </c>
      <c r="I1233" s="17" t="b">
        <v>1</v>
      </c>
      <c r="J1233" s="6" t="s">
        <v>546</v>
      </c>
      <c r="K1233" s="10"/>
      <c r="L1233" s="10"/>
      <c r="M1233" s="10"/>
      <c r="N1233" s="10"/>
      <c r="O1233" s="18">
        <v>169.66</v>
      </c>
      <c r="P1233" s="18">
        <v>1484619.0</v>
      </c>
      <c r="Q1233" s="17" t="b">
        <v>1</v>
      </c>
      <c r="R1233" s="10"/>
    </row>
    <row r="1234">
      <c r="A1234" s="6" t="s">
        <v>7208</v>
      </c>
      <c r="B1234" s="6" t="s">
        <v>35</v>
      </c>
      <c r="C1234" s="8">
        <v>45793.0</v>
      </c>
      <c r="D1234" s="6" t="s">
        <v>137</v>
      </c>
      <c r="E1234" s="6" t="s">
        <v>7875</v>
      </c>
      <c r="F1234" s="10"/>
      <c r="G1234" s="6" t="s">
        <v>7876</v>
      </c>
      <c r="H1234" s="6" t="s">
        <v>171</v>
      </c>
      <c r="I1234" s="17" t="b">
        <v>0</v>
      </c>
      <c r="J1234" s="6" t="s">
        <v>546</v>
      </c>
      <c r="K1234" s="10"/>
      <c r="L1234" s="10"/>
      <c r="M1234" s="10"/>
      <c r="N1234" s="10"/>
      <c r="O1234" s="18">
        <v>250.0</v>
      </c>
      <c r="P1234" s="10"/>
      <c r="Q1234" s="17" t="b">
        <v>1</v>
      </c>
      <c r="R1234" s="10"/>
    </row>
    <row r="1235">
      <c r="A1235" s="6" t="s">
        <v>7212</v>
      </c>
      <c r="B1235" s="6" t="s">
        <v>35</v>
      </c>
      <c r="C1235" s="8">
        <v>45797.0</v>
      </c>
      <c r="D1235" s="6" t="s">
        <v>7882</v>
      </c>
      <c r="E1235" s="6" t="s">
        <v>7883</v>
      </c>
      <c r="F1235" s="10"/>
      <c r="G1235" s="6" t="s">
        <v>7885</v>
      </c>
      <c r="H1235" s="6" t="s">
        <v>7887</v>
      </c>
      <c r="I1235" s="17" t="b">
        <v>1</v>
      </c>
      <c r="J1235" s="6" t="s">
        <v>546</v>
      </c>
      <c r="K1235" s="10"/>
      <c r="L1235" s="10"/>
      <c r="M1235" s="10"/>
      <c r="N1235" s="10"/>
      <c r="O1235" s="18">
        <v>75.0</v>
      </c>
      <c r="P1235" s="18">
        <v>1492249.0</v>
      </c>
      <c r="Q1235" s="17" t="b">
        <v>1</v>
      </c>
      <c r="R1235" s="10"/>
    </row>
    <row r="1236">
      <c r="A1236" s="6" t="s">
        <v>7216</v>
      </c>
      <c r="B1236" s="6" t="s">
        <v>35</v>
      </c>
      <c r="C1236" s="8">
        <v>45797.0</v>
      </c>
      <c r="D1236" s="6" t="s">
        <v>7890</v>
      </c>
      <c r="E1236" s="6" t="s">
        <v>7892</v>
      </c>
      <c r="F1236" s="10"/>
      <c r="G1236" s="6" t="s">
        <v>7894</v>
      </c>
      <c r="H1236" s="6" t="s">
        <v>7895</v>
      </c>
      <c r="I1236" s="17" t="b">
        <v>1</v>
      </c>
      <c r="J1236" s="6" t="s">
        <v>546</v>
      </c>
      <c r="K1236" s="10"/>
      <c r="L1236" s="10"/>
      <c r="M1236" s="10"/>
      <c r="N1236" s="10"/>
      <c r="O1236" s="18">
        <v>30.0</v>
      </c>
      <c r="P1236" s="18">
        <v>1492248.0</v>
      </c>
      <c r="Q1236" s="17" t="b">
        <v>1</v>
      </c>
      <c r="R1236" s="10"/>
    </row>
    <row r="1237">
      <c r="A1237" s="6" t="s">
        <v>7218</v>
      </c>
      <c r="B1237" s="6" t="s">
        <v>35</v>
      </c>
      <c r="C1237" s="8">
        <v>45797.0</v>
      </c>
      <c r="D1237" s="6" t="s">
        <v>543</v>
      </c>
      <c r="E1237" s="6" t="s">
        <v>7900</v>
      </c>
      <c r="F1237" s="10"/>
      <c r="G1237" s="6" t="s">
        <v>7901</v>
      </c>
      <c r="H1237" s="6" t="s">
        <v>157</v>
      </c>
      <c r="I1237" s="17" t="b">
        <v>0</v>
      </c>
      <c r="J1237" s="6" t="s">
        <v>546</v>
      </c>
      <c r="K1237" s="10"/>
      <c r="L1237" s="10"/>
      <c r="M1237" s="10"/>
      <c r="N1237" s="10"/>
      <c r="O1237" s="18">
        <v>250.0</v>
      </c>
      <c r="P1237" s="10"/>
      <c r="Q1237" s="17" t="b">
        <v>1</v>
      </c>
      <c r="R1237" s="10"/>
    </row>
    <row r="1238">
      <c r="A1238" s="6" t="s">
        <v>7220</v>
      </c>
      <c r="B1238" s="6" t="s">
        <v>35</v>
      </c>
      <c r="C1238" s="8">
        <v>45802.0</v>
      </c>
      <c r="D1238" s="6" t="s">
        <v>460</v>
      </c>
      <c r="E1238" s="10"/>
      <c r="F1238" s="10"/>
      <c r="G1238" s="10"/>
      <c r="H1238" s="6" t="s">
        <v>4979</v>
      </c>
      <c r="I1238" s="10"/>
      <c r="J1238" s="6" t="s">
        <v>539</v>
      </c>
      <c r="K1238" s="10"/>
      <c r="L1238" s="10"/>
      <c r="M1238" s="10"/>
      <c r="N1238" s="10"/>
      <c r="O1238" s="18">
        <v>10.0</v>
      </c>
      <c r="P1238" s="10"/>
      <c r="Q1238" s="6"/>
      <c r="R1238" s="10"/>
    </row>
    <row r="1239">
      <c r="A1239" s="6" t="s">
        <v>7222</v>
      </c>
      <c r="B1239" s="6" t="s">
        <v>35</v>
      </c>
      <c r="C1239" s="8">
        <v>45802.0</v>
      </c>
      <c r="D1239" s="6" t="s">
        <v>460</v>
      </c>
      <c r="E1239" s="10"/>
      <c r="F1239" s="10"/>
      <c r="G1239" s="10"/>
      <c r="H1239" s="6" t="s">
        <v>4972</v>
      </c>
      <c r="I1239" s="10"/>
      <c r="J1239" s="6" t="s">
        <v>539</v>
      </c>
      <c r="K1239" s="10"/>
      <c r="L1239" s="10"/>
      <c r="M1239" s="10"/>
      <c r="N1239" s="10"/>
      <c r="O1239" s="18">
        <v>22.0</v>
      </c>
      <c r="P1239" s="10"/>
      <c r="Q1239" s="6"/>
      <c r="R1239" s="10"/>
    </row>
    <row r="1240">
      <c r="A1240" s="6" t="s">
        <v>7226</v>
      </c>
      <c r="B1240" s="6" t="s">
        <v>35</v>
      </c>
      <c r="C1240" s="8">
        <v>45802.0</v>
      </c>
      <c r="D1240" s="6" t="s">
        <v>460</v>
      </c>
      <c r="E1240" s="10"/>
      <c r="F1240" s="10"/>
      <c r="G1240" s="10"/>
      <c r="H1240" s="6" t="s">
        <v>7544</v>
      </c>
      <c r="I1240" s="10"/>
      <c r="J1240" s="6" t="s">
        <v>539</v>
      </c>
      <c r="K1240" s="10"/>
      <c r="L1240" s="10"/>
      <c r="M1240" s="10"/>
      <c r="N1240" s="10"/>
      <c r="O1240" s="18">
        <v>200.0</v>
      </c>
      <c r="P1240" s="10"/>
      <c r="Q1240" s="6"/>
      <c r="R1240" s="10"/>
    </row>
    <row r="1241">
      <c r="A1241" s="6" t="s">
        <v>7228</v>
      </c>
      <c r="B1241" s="6" t="s">
        <v>35</v>
      </c>
      <c r="C1241" s="8">
        <v>45802.0</v>
      </c>
      <c r="D1241" s="6" t="s">
        <v>460</v>
      </c>
      <c r="E1241" s="10"/>
      <c r="F1241" s="10"/>
      <c r="G1241" s="10"/>
      <c r="H1241" s="6" t="s">
        <v>931</v>
      </c>
      <c r="I1241" s="10"/>
      <c r="J1241" s="6" t="s">
        <v>539</v>
      </c>
      <c r="K1241" s="10"/>
      <c r="L1241" s="10"/>
      <c r="M1241" s="10"/>
      <c r="N1241" s="10"/>
      <c r="O1241" s="18">
        <v>30.0</v>
      </c>
      <c r="P1241" s="10"/>
      <c r="Q1241" s="6"/>
      <c r="R1241" s="10"/>
    </row>
    <row r="1242">
      <c r="A1242" s="6" t="s">
        <v>7230</v>
      </c>
      <c r="B1242" s="6" t="s">
        <v>35</v>
      </c>
      <c r="C1242" s="8">
        <v>45799.0</v>
      </c>
      <c r="D1242" s="6" t="s">
        <v>764</v>
      </c>
      <c r="E1242" s="6" t="s">
        <v>7918</v>
      </c>
      <c r="F1242" s="10"/>
      <c r="G1242" s="6" t="s">
        <v>7920</v>
      </c>
      <c r="H1242" s="6" t="s">
        <v>195</v>
      </c>
      <c r="I1242" s="17" t="b">
        <v>0</v>
      </c>
      <c r="J1242" s="6" t="s">
        <v>546</v>
      </c>
      <c r="K1242" s="10"/>
      <c r="L1242" s="10"/>
      <c r="M1242" s="10"/>
      <c r="N1242" s="10"/>
      <c r="O1242" s="18">
        <v>648.7</v>
      </c>
      <c r="P1242" s="10"/>
      <c r="Q1242" s="17" t="b">
        <v>1</v>
      </c>
      <c r="R1242" s="10"/>
    </row>
    <row r="1243">
      <c r="A1243" s="6" t="s">
        <v>7239</v>
      </c>
      <c r="B1243" s="6" t="s">
        <v>35</v>
      </c>
      <c r="C1243" s="8">
        <v>45799.0</v>
      </c>
      <c r="D1243" s="6" t="s">
        <v>112</v>
      </c>
      <c r="E1243" s="6" t="s">
        <v>7926</v>
      </c>
      <c r="F1243" s="10"/>
      <c r="G1243" s="6" t="s">
        <v>7927</v>
      </c>
      <c r="H1243" s="6" t="s">
        <v>157</v>
      </c>
      <c r="I1243" s="17" t="b">
        <v>0</v>
      </c>
      <c r="J1243" s="6" t="s">
        <v>546</v>
      </c>
      <c r="K1243" s="10"/>
      <c r="L1243" s="10"/>
      <c r="M1243" s="10"/>
      <c r="N1243" s="10"/>
      <c r="O1243" s="18">
        <v>309.84</v>
      </c>
      <c r="P1243" s="10"/>
      <c r="Q1243" s="17" t="b">
        <v>1</v>
      </c>
      <c r="R1243" s="10"/>
    </row>
    <row r="1244">
      <c r="A1244" s="6" t="s">
        <v>7245</v>
      </c>
      <c r="B1244" s="6" t="s">
        <v>35</v>
      </c>
      <c r="C1244" s="8">
        <v>45803.0</v>
      </c>
      <c r="D1244" s="10"/>
      <c r="E1244" s="10"/>
      <c r="F1244" s="25"/>
      <c r="G1244" s="10"/>
      <c r="H1244" s="6" t="s">
        <v>1329</v>
      </c>
      <c r="I1244" s="10"/>
      <c r="J1244" s="6" t="s">
        <v>539</v>
      </c>
      <c r="K1244" s="6" t="s">
        <v>6062</v>
      </c>
      <c r="L1244" s="10"/>
      <c r="M1244" s="10"/>
      <c r="N1244" s="10"/>
      <c r="O1244" s="18">
        <v>500.0</v>
      </c>
      <c r="P1244" s="10"/>
      <c r="Q1244" s="6"/>
      <c r="R1244" s="10"/>
    </row>
    <row r="1245">
      <c r="A1245" s="6" t="s">
        <v>7248</v>
      </c>
      <c r="B1245" s="6" t="s">
        <v>35</v>
      </c>
      <c r="C1245" s="8">
        <v>45804.0</v>
      </c>
      <c r="D1245" s="6" t="s">
        <v>1864</v>
      </c>
      <c r="E1245" s="10"/>
      <c r="F1245" s="25"/>
      <c r="G1245" s="10"/>
      <c r="H1245" s="6" t="s">
        <v>7936</v>
      </c>
      <c r="I1245" s="10"/>
      <c r="J1245" s="6" t="s">
        <v>539</v>
      </c>
      <c r="K1245" s="10"/>
      <c r="L1245" s="10"/>
      <c r="M1245" s="10"/>
      <c r="N1245" s="10"/>
      <c r="O1245" s="18">
        <v>4288.59</v>
      </c>
      <c r="P1245" s="10"/>
      <c r="Q1245" s="6"/>
      <c r="R1245" s="10"/>
    </row>
    <row r="1246">
      <c r="A1246" s="6" t="s">
        <v>7251</v>
      </c>
      <c r="B1246" s="6" t="s">
        <v>35</v>
      </c>
      <c r="C1246" s="8">
        <v>45804.0</v>
      </c>
      <c r="D1246" s="6" t="s">
        <v>1864</v>
      </c>
      <c r="E1246" s="10"/>
      <c r="F1246" s="10"/>
      <c r="G1246" s="10"/>
      <c r="H1246" s="6" t="s">
        <v>7936</v>
      </c>
      <c r="I1246" s="10"/>
      <c r="J1246" s="6" t="s">
        <v>539</v>
      </c>
      <c r="K1246" s="10"/>
      <c r="L1246" s="10"/>
      <c r="M1246" s="10"/>
      <c r="N1246" s="10"/>
      <c r="O1246" s="18">
        <v>35.59</v>
      </c>
      <c r="P1246" s="10"/>
      <c r="Q1246" s="6"/>
      <c r="R1246" s="10"/>
    </row>
    <row r="1247">
      <c r="A1247" s="6" t="s">
        <v>7254</v>
      </c>
      <c r="B1247" s="6" t="s">
        <v>35</v>
      </c>
      <c r="C1247" s="8">
        <v>45805.0</v>
      </c>
      <c r="D1247" s="10"/>
      <c r="E1247" s="10"/>
      <c r="F1247" s="10"/>
      <c r="G1247" s="10"/>
      <c r="H1247" s="6" t="s">
        <v>1329</v>
      </c>
      <c r="I1247" s="10"/>
      <c r="J1247" s="6" t="s">
        <v>539</v>
      </c>
      <c r="K1247" s="6" t="s">
        <v>2052</v>
      </c>
      <c r="L1247" s="10"/>
      <c r="M1247" s="10"/>
      <c r="N1247" s="10"/>
      <c r="O1247" s="18">
        <v>500.0</v>
      </c>
      <c r="P1247" s="10"/>
      <c r="Q1247" s="6"/>
      <c r="R1247" s="10"/>
    </row>
    <row r="1248">
      <c r="A1248" s="6" t="s">
        <v>7258</v>
      </c>
      <c r="B1248" s="6" t="s">
        <v>35</v>
      </c>
      <c r="C1248" s="8">
        <v>45786.0</v>
      </c>
      <c r="D1248" s="18">
        <v>6.8893939E7</v>
      </c>
      <c r="E1248" s="6" t="s">
        <v>7951</v>
      </c>
      <c r="F1248" s="10"/>
      <c r="G1248" s="6" t="s">
        <v>7952</v>
      </c>
      <c r="H1248" s="6" t="s">
        <v>7953</v>
      </c>
      <c r="I1248" s="17" t="b">
        <v>0</v>
      </c>
      <c r="J1248" s="6" t="s">
        <v>546</v>
      </c>
      <c r="K1248" s="10"/>
      <c r="L1248" s="10"/>
      <c r="M1248" s="10"/>
      <c r="N1248" s="10"/>
      <c r="O1248" s="18">
        <v>419.48</v>
      </c>
      <c r="P1248" s="10"/>
      <c r="Q1248" s="17" t="b">
        <v>1</v>
      </c>
      <c r="R1248" s="10"/>
    </row>
    <row r="1249">
      <c r="A1249" s="6" t="s">
        <v>7260</v>
      </c>
      <c r="B1249" s="6" t="s">
        <v>35</v>
      </c>
      <c r="C1249" s="8">
        <v>45803.0</v>
      </c>
      <c r="D1249" s="6" t="s">
        <v>890</v>
      </c>
      <c r="E1249" s="6" t="s">
        <v>7956</v>
      </c>
      <c r="F1249" s="10"/>
      <c r="G1249" s="6" t="s">
        <v>7958</v>
      </c>
      <c r="H1249" s="6" t="s">
        <v>3813</v>
      </c>
      <c r="I1249" s="17" t="b">
        <v>0</v>
      </c>
      <c r="J1249" s="6" t="s">
        <v>546</v>
      </c>
      <c r="K1249" s="10"/>
      <c r="L1249" s="6" t="s">
        <v>7960</v>
      </c>
      <c r="M1249" s="6" t="s">
        <v>7962</v>
      </c>
      <c r="N1249" s="10"/>
      <c r="O1249" s="18">
        <v>4433.09</v>
      </c>
      <c r="P1249" s="10"/>
      <c r="Q1249" s="17" t="b">
        <v>1</v>
      </c>
      <c r="R1249" s="10"/>
    </row>
    <row r="1250">
      <c r="A1250" s="6" t="s">
        <v>7263</v>
      </c>
      <c r="B1250" s="6" t="s">
        <v>35</v>
      </c>
      <c r="C1250" s="8">
        <v>45803.0</v>
      </c>
      <c r="D1250" s="6" t="s">
        <v>543</v>
      </c>
      <c r="E1250" s="6" t="s">
        <v>7964</v>
      </c>
      <c r="F1250" s="10"/>
      <c r="G1250" s="6" t="s">
        <v>7966</v>
      </c>
      <c r="H1250" s="6" t="s">
        <v>171</v>
      </c>
      <c r="I1250" s="17" t="b">
        <v>0</v>
      </c>
      <c r="J1250" s="6" t="s">
        <v>546</v>
      </c>
      <c r="K1250" s="10"/>
      <c r="L1250" s="10"/>
      <c r="M1250" s="10"/>
      <c r="N1250" s="10"/>
      <c r="O1250" s="18">
        <v>150.0</v>
      </c>
      <c r="P1250" s="10"/>
      <c r="Q1250" s="17" t="b">
        <v>1</v>
      </c>
      <c r="R1250" s="10"/>
    </row>
    <row r="1251">
      <c r="A1251" s="6" t="s">
        <v>7267</v>
      </c>
      <c r="B1251" s="6" t="s">
        <v>35</v>
      </c>
      <c r="C1251" s="8">
        <v>45804.0</v>
      </c>
      <c r="D1251" s="6" t="s">
        <v>7095</v>
      </c>
      <c r="E1251" s="6" t="s">
        <v>7969</v>
      </c>
      <c r="F1251" s="10"/>
      <c r="G1251" s="6" t="s">
        <v>7970</v>
      </c>
      <c r="H1251" s="6" t="s">
        <v>195</v>
      </c>
      <c r="I1251" s="17" t="b">
        <v>0</v>
      </c>
      <c r="J1251" s="6" t="s">
        <v>546</v>
      </c>
      <c r="K1251" s="10"/>
      <c r="L1251" s="10"/>
      <c r="M1251" s="10"/>
      <c r="N1251" s="10"/>
      <c r="O1251" s="18">
        <v>234.2</v>
      </c>
      <c r="P1251" s="10"/>
      <c r="Q1251" s="17" t="b">
        <v>1</v>
      </c>
      <c r="R1251" s="10"/>
    </row>
    <row r="1252">
      <c r="A1252" s="6" t="s">
        <v>7269</v>
      </c>
      <c r="B1252" s="6" t="s">
        <v>35</v>
      </c>
      <c r="C1252" s="8">
        <v>45799.0</v>
      </c>
      <c r="D1252" s="18">
        <v>6.8893939E7</v>
      </c>
      <c r="E1252" s="6" t="s">
        <v>7975</v>
      </c>
      <c r="F1252" s="10"/>
      <c r="G1252" s="6" t="s">
        <v>7977</v>
      </c>
      <c r="H1252" s="6" t="s">
        <v>7978</v>
      </c>
      <c r="I1252" s="17" t="b">
        <v>0</v>
      </c>
      <c r="J1252" s="6" t="s">
        <v>546</v>
      </c>
      <c r="K1252" s="10"/>
      <c r="L1252" s="10"/>
      <c r="M1252" s="10"/>
      <c r="N1252" s="10"/>
      <c r="O1252" s="18">
        <v>166.5</v>
      </c>
      <c r="P1252" s="10"/>
      <c r="Q1252" s="17" t="b">
        <v>1</v>
      </c>
      <c r="R1252" s="10"/>
    </row>
    <row r="1253">
      <c r="A1253" s="6" t="s">
        <v>7275</v>
      </c>
      <c r="B1253" s="6" t="s">
        <v>35</v>
      </c>
      <c r="C1253" s="8">
        <v>45805.0</v>
      </c>
      <c r="D1253" s="6" t="s">
        <v>112</v>
      </c>
      <c r="E1253" s="6" t="s">
        <v>7981</v>
      </c>
      <c r="F1253" s="10"/>
      <c r="G1253" s="6" t="s">
        <v>7983</v>
      </c>
      <c r="H1253" s="6" t="s">
        <v>157</v>
      </c>
      <c r="I1253" s="17" t="b">
        <v>0</v>
      </c>
      <c r="J1253" s="6" t="s">
        <v>546</v>
      </c>
      <c r="K1253" s="10"/>
      <c r="L1253" s="10"/>
      <c r="M1253" s="10"/>
      <c r="N1253" s="10"/>
      <c r="O1253" s="18">
        <v>314.68</v>
      </c>
      <c r="P1253" s="10"/>
      <c r="Q1253" s="17" t="b">
        <v>1</v>
      </c>
      <c r="R1253" s="10"/>
    </row>
    <row r="1254">
      <c r="A1254" s="6" t="s">
        <v>7282</v>
      </c>
      <c r="B1254" s="6" t="s">
        <v>35</v>
      </c>
      <c r="C1254" s="8">
        <v>45807.0</v>
      </c>
      <c r="D1254" s="6" t="s">
        <v>1036</v>
      </c>
      <c r="E1254" s="6" t="s">
        <v>7987</v>
      </c>
      <c r="F1254" s="10"/>
      <c r="G1254" s="6" t="s">
        <v>7989</v>
      </c>
      <c r="H1254" s="6" t="s">
        <v>5755</v>
      </c>
      <c r="I1254" s="17" t="b">
        <v>0</v>
      </c>
      <c r="J1254" s="6" t="s">
        <v>546</v>
      </c>
      <c r="K1254" s="10"/>
      <c r="L1254" s="10"/>
      <c r="M1254" s="10"/>
      <c r="N1254" s="10"/>
      <c r="O1254" s="18">
        <v>124.16</v>
      </c>
      <c r="P1254" s="10"/>
      <c r="Q1254" s="17" t="b">
        <v>1</v>
      </c>
      <c r="R1254" s="10"/>
    </row>
    <row r="1255">
      <c r="A1255" s="6" t="s">
        <v>7284</v>
      </c>
      <c r="B1255" s="6" t="s">
        <v>35</v>
      </c>
      <c r="C1255" s="8">
        <v>45807.0</v>
      </c>
      <c r="D1255" s="6" t="s">
        <v>233</v>
      </c>
      <c r="E1255" s="6" t="s">
        <v>7993</v>
      </c>
      <c r="F1255" s="10"/>
      <c r="G1255" s="6" t="s">
        <v>7995</v>
      </c>
      <c r="H1255" s="6" t="s">
        <v>236</v>
      </c>
      <c r="I1255" s="17" t="b">
        <v>1</v>
      </c>
      <c r="J1255" s="6" t="s">
        <v>546</v>
      </c>
      <c r="K1255" s="10"/>
      <c r="L1255" s="10"/>
      <c r="M1255" s="10"/>
      <c r="N1255" s="10"/>
      <c r="O1255" s="18">
        <v>464.46</v>
      </c>
      <c r="P1255" s="18">
        <v>1506468.0</v>
      </c>
      <c r="Q1255" s="17" t="b">
        <v>1</v>
      </c>
      <c r="R1255" s="10"/>
    </row>
    <row r="1256">
      <c r="A1256" s="6" t="s">
        <v>7290</v>
      </c>
      <c r="B1256" s="6" t="s">
        <v>35</v>
      </c>
      <c r="C1256" s="8">
        <v>45807.0</v>
      </c>
      <c r="D1256" s="6" t="s">
        <v>543</v>
      </c>
      <c r="E1256" s="6" t="s">
        <v>7999</v>
      </c>
      <c r="F1256" s="10"/>
      <c r="G1256" s="6" t="s">
        <v>8001</v>
      </c>
      <c r="H1256" s="6" t="s">
        <v>171</v>
      </c>
      <c r="I1256" s="17" t="b">
        <v>0</v>
      </c>
      <c r="J1256" s="6" t="s">
        <v>546</v>
      </c>
      <c r="K1256" s="10"/>
      <c r="L1256" s="10"/>
      <c r="M1256" s="10"/>
      <c r="N1256" s="10"/>
      <c r="O1256" s="18">
        <v>300.0</v>
      </c>
      <c r="P1256" s="10"/>
      <c r="Q1256" s="17" t="b">
        <v>1</v>
      </c>
      <c r="R1256" s="10"/>
    </row>
    <row r="1257">
      <c r="A1257" s="6" t="s">
        <v>7292</v>
      </c>
      <c r="B1257" s="6" t="s">
        <v>35</v>
      </c>
      <c r="C1257" s="8">
        <v>45808.0</v>
      </c>
      <c r="D1257" s="6" t="s">
        <v>112</v>
      </c>
      <c r="E1257" s="6" t="s">
        <v>8005</v>
      </c>
      <c r="F1257" s="10"/>
      <c r="G1257" s="6" t="s">
        <v>8006</v>
      </c>
      <c r="H1257" s="6" t="s">
        <v>157</v>
      </c>
      <c r="I1257" s="17" t="b">
        <v>0</v>
      </c>
      <c r="J1257" s="6" t="s">
        <v>546</v>
      </c>
      <c r="K1257" s="10"/>
      <c r="L1257" s="10"/>
      <c r="M1257" s="10"/>
      <c r="N1257" s="10"/>
      <c r="O1257" s="18">
        <v>203.98</v>
      </c>
      <c r="P1257" s="10"/>
      <c r="Q1257" s="17" t="b">
        <v>1</v>
      </c>
      <c r="R1257" s="10"/>
    </row>
    <row r="1258">
      <c r="A1258" s="6" t="s">
        <v>7299</v>
      </c>
      <c r="B1258" s="6" t="s">
        <v>35</v>
      </c>
      <c r="C1258" s="8">
        <v>45809.0</v>
      </c>
      <c r="D1258" s="6" t="s">
        <v>1557</v>
      </c>
      <c r="E1258" s="6" t="s">
        <v>8011</v>
      </c>
      <c r="F1258" s="10"/>
      <c r="G1258" s="6" t="s">
        <v>8012</v>
      </c>
      <c r="H1258" s="6" t="s">
        <v>7603</v>
      </c>
      <c r="I1258" s="17" t="b">
        <v>0</v>
      </c>
      <c r="J1258" s="6" t="s">
        <v>546</v>
      </c>
      <c r="K1258" s="10"/>
      <c r="L1258" s="10"/>
      <c r="M1258" s="10"/>
      <c r="N1258" s="10"/>
      <c r="O1258" s="18">
        <v>110.0</v>
      </c>
      <c r="P1258" s="10"/>
      <c r="Q1258" s="17" t="b">
        <v>1</v>
      </c>
      <c r="R1258" s="10"/>
    </row>
    <row r="1259">
      <c r="A1259" s="6" t="s">
        <v>7301</v>
      </c>
      <c r="B1259" s="6" t="s">
        <v>35</v>
      </c>
      <c r="C1259" s="8">
        <v>45804.0</v>
      </c>
      <c r="D1259" s="10"/>
      <c r="E1259" s="10"/>
      <c r="F1259" s="10"/>
      <c r="G1259" s="10"/>
      <c r="H1259" s="6" t="s">
        <v>3676</v>
      </c>
      <c r="I1259" s="10"/>
      <c r="J1259" s="6" t="s">
        <v>539</v>
      </c>
      <c r="K1259" s="6" t="s">
        <v>624</v>
      </c>
      <c r="L1259" s="10"/>
      <c r="M1259" s="10"/>
      <c r="N1259" s="10"/>
      <c r="O1259" s="18">
        <v>500.0</v>
      </c>
      <c r="P1259" s="10"/>
      <c r="Q1259" s="6"/>
      <c r="R1259" s="10"/>
    </row>
    <row r="1260">
      <c r="A1260" s="6" t="s">
        <v>7303</v>
      </c>
      <c r="B1260" s="6" t="s">
        <v>35</v>
      </c>
      <c r="C1260" s="8">
        <v>45809.0</v>
      </c>
      <c r="D1260" s="10"/>
      <c r="E1260" s="10"/>
      <c r="F1260" s="10"/>
      <c r="G1260" s="10"/>
      <c r="H1260" s="6" t="s">
        <v>3676</v>
      </c>
      <c r="I1260" s="10"/>
      <c r="J1260" s="6" t="s">
        <v>539</v>
      </c>
      <c r="K1260" s="6" t="s">
        <v>3795</v>
      </c>
      <c r="L1260" s="10"/>
      <c r="M1260" s="10"/>
      <c r="N1260" s="10"/>
      <c r="O1260" s="18">
        <v>500.0</v>
      </c>
      <c r="P1260" s="10"/>
      <c r="Q1260" s="6"/>
      <c r="R1260" s="10"/>
    </row>
    <row r="1261">
      <c r="A1261" s="6" t="s">
        <v>7306</v>
      </c>
      <c r="B1261" s="6" t="s">
        <v>35</v>
      </c>
      <c r="C1261" s="8">
        <v>45812.0</v>
      </c>
      <c r="D1261" s="6" t="s">
        <v>890</v>
      </c>
      <c r="E1261" s="6" t="s">
        <v>8021</v>
      </c>
      <c r="F1261" s="10"/>
      <c r="G1261" s="6" t="s">
        <v>8023</v>
      </c>
      <c r="H1261" s="6" t="s">
        <v>2894</v>
      </c>
      <c r="I1261" s="17" t="b">
        <v>0</v>
      </c>
      <c r="J1261" s="6" t="s">
        <v>546</v>
      </c>
      <c r="K1261" s="10"/>
      <c r="L1261" s="6" t="s">
        <v>8024</v>
      </c>
      <c r="M1261" s="6" t="s">
        <v>8026</v>
      </c>
      <c r="N1261" s="6" t="s">
        <v>8027</v>
      </c>
      <c r="O1261" s="18">
        <v>5645.26</v>
      </c>
      <c r="P1261" s="10"/>
      <c r="Q1261" s="17" t="b">
        <v>1</v>
      </c>
      <c r="R1261" s="10"/>
    </row>
    <row r="1262">
      <c r="A1262" s="6" t="s">
        <v>7309</v>
      </c>
      <c r="B1262" s="6" t="s">
        <v>35</v>
      </c>
      <c r="C1262" s="8">
        <v>45814.0</v>
      </c>
      <c r="D1262" s="6" t="s">
        <v>112</v>
      </c>
      <c r="E1262" s="6" t="s">
        <v>8029</v>
      </c>
      <c r="F1262" s="10"/>
      <c r="G1262" s="6" t="s">
        <v>8030</v>
      </c>
      <c r="H1262" s="6" t="s">
        <v>157</v>
      </c>
      <c r="I1262" s="17" t="b">
        <v>0</v>
      </c>
      <c r="J1262" s="6" t="s">
        <v>546</v>
      </c>
      <c r="K1262" s="10"/>
      <c r="L1262" s="10"/>
      <c r="M1262" s="10"/>
      <c r="N1262" s="10"/>
      <c r="O1262" s="18">
        <v>352.89</v>
      </c>
      <c r="P1262" s="10"/>
      <c r="Q1262" s="17" t="b">
        <v>1</v>
      </c>
      <c r="R1262" s="10"/>
    </row>
    <row r="1263">
      <c r="A1263" s="6" t="s">
        <v>7314</v>
      </c>
      <c r="B1263" s="6" t="s">
        <v>35</v>
      </c>
      <c r="C1263" s="8">
        <v>45814.0</v>
      </c>
      <c r="D1263" s="6" t="s">
        <v>233</v>
      </c>
      <c r="E1263" s="6" t="s">
        <v>8033</v>
      </c>
      <c r="F1263" s="10"/>
      <c r="G1263" s="6" t="s">
        <v>8034</v>
      </c>
      <c r="H1263" s="6" t="s">
        <v>8036</v>
      </c>
      <c r="I1263" s="17" t="b">
        <v>1</v>
      </c>
      <c r="J1263" s="6" t="s">
        <v>546</v>
      </c>
      <c r="K1263" s="10"/>
      <c r="L1263" s="10"/>
      <c r="M1263" s="10"/>
      <c r="N1263" s="10"/>
      <c r="O1263" s="18">
        <v>231.88</v>
      </c>
      <c r="P1263" s="18">
        <v>1516310.0</v>
      </c>
      <c r="Q1263" s="17" t="b">
        <v>1</v>
      </c>
      <c r="R1263" s="10"/>
    </row>
    <row r="1264">
      <c r="A1264" s="6" t="s">
        <v>7316</v>
      </c>
      <c r="B1264" s="6" t="s">
        <v>35</v>
      </c>
      <c r="C1264" s="8">
        <v>45814.0</v>
      </c>
      <c r="D1264" s="6" t="s">
        <v>543</v>
      </c>
      <c r="E1264" s="6" t="s">
        <v>8041</v>
      </c>
      <c r="F1264" s="10"/>
      <c r="G1264" s="6" t="s">
        <v>8042</v>
      </c>
      <c r="H1264" s="6" t="s">
        <v>171</v>
      </c>
      <c r="I1264" s="17" t="b">
        <v>0</v>
      </c>
      <c r="J1264" s="6" t="s">
        <v>546</v>
      </c>
      <c r="K1264" s="10"/>
      <c r="L1264" s="10"/>
      <c r="M1264" s="10"/>
      <c r="N1264" s="10"/>
      <c r="O1264" s="18">
        <v>120.0</v>
      </c>
      <c r="P1264" s="10"/>
      <c r="Q1264" s="17" t="b">
        <v>1</v>
      </c>
      <c r="R1264" s="10"/>
    </row>
    <row r="1265">
      <c r="A1265" s="6" t="s">
        <v>7319</v>
      </c>
      <c r="B1265" s="6" t="s">
        <v>35</v>
      </c>
      <c r="C1265" s="8">
        <v>45817.0</v>
      </c>
      <c r="D1265" s="6" t="s">
        <v>460</v>
      </c>
      <c r="E1265" s="10"/>
      <c r="F1265" s="10"/>
      <c r="G1265" s="10"/>
      <c r="H1265" s="6" t="s">
        <v>8046</v>
      </c>
      <c r="I1265" s="10"/>
      <c r="J1265" s="6" t="s">
        <v>539</v>
      </c>
      <c r="K1265" s="10"/>
      <c r="L1265" s="10"/>
      <c r="M1265" s="10"/>
      <c r="N1265" s="10"/>
      <c r="O1265" s="18">
        <v>2845.0</v>
      </c>
      <c r="P1265" s="10"/>
      <c r="Q1265" s="6"/>
      <c r="R1265" s="10"/>
    </row>
    <row r="1266">
      <c r="A1266" s="6" t="s">
        <v>7322</v>
      </c>
      <c r="B1266" s="6" t="s">
        <v>35</v>
      </c>
      <c r="C1266" s="8">
        <v>45817.0</v>
      </c>
      <c r="D1266" s="6" t="s">
        <v>460</v>
      </c>
      <c r="E1266" s="10"/>
      <c r="F1266" s="10"/>
      <c r="G1266" s="10"/>
      <c r="H1266" s="6" t="s">
        <v>8050</v>
      </c>
      <c r="I1266" s="10"/>
      <c r="J1266" s="6" t="s">
        <v>539</v>
      </c>
      <c r="K1266" s="10"/>
      <c r="L1266" s="10"/>
      <c r="M1266" s="10"/>
      <c r="N1266" s="10"/>
      <c r="O1266" s="18">
        <v>102.0</v>
      </c>
      <c r="P1266" s="10"/>
      <c r="Q1266" s="6"/>
      <c r="R1266" s="10"/>
    </row>
    <row r="1267">
      <c r="A1267" s="6" t="s">
        <v>7326</v>
      </c>
      <c r="B1267" s="6" t="s">
        <v>35</v>
      </c>
      <c r="C1267" s="8">
        <v>45817.0</v>
      </c>
      <c r="D1267" s="6" t="s">
        <v>2248</v>
      </c>
      <c r="E1267" s="10"/>
      <c r="F1267" s="10"/>
      <c r="G1267" s="10"/>
      <c r="H1267" s="6" t="s">
        <v>8055</v>
      </c>
      <c r="I1267" s="10"/>
      <c r="J1267" s="6" t="s">
        <v>539</v>
      </c>
      <c r="K1267" s="10"/>
      <c r="L1267" s="10"/>
      <c r="M1267" s="10"/>
      <c r="N1267" s="10"/>
      <c r="O1267" s="18">
        <v>185.0</v>
      </c>
      <c r="P1267" s="10"/>
      <c r="Q1267" s="6"/>
      <c r="R1267" s="10"/>
    </row>
    <row r="1268">
      <c r="A1268" s="6" t="s">
        <v>7330</v>
      </c>
      <c r="B1268" s="6" t="s">
        <v>35</v>
      </c>
      <c r="C1268" s="8">
        <v>45810.0</v>
      </c>
      <c r="D1268" s="10"/>
      <c r="E1268" s="10"/>
      <c r="F1268" s="10"/>
      <c r="G1268" s="10"/>
      <c r="H1268" s="6" t="s">
        <v>8058</v>
      </c>
      <c r="I1268" s="10"/>
      <c r="J1268" s="6" t="s">
        <v>539</v>
      </c>
      <c r="K1268" s="6" t="s">
        <v>2052</v>
      </c>
      <c r="L1268" s="10"/>
      <c r="M1268" s="10"/>
      <c r="N1268" s="10"/>
      <c r="O1268" s="18">
        <v>634.73</v>
      </c>
      <c r="P1268" s="10"/>
      <c r="Q1268" s="6"/>
      <c r="R1268" s="10"/>
    </row>
    <row r="1269">
      <c r="A1269" s="6" t="s">
        <v>7332</v>
      </c>
      <c r="B1269" s="6" t="s">
        <v>35</v>
      </c>
      <c r="C1269" s="8">
        <v>45810.0</v>
      </c>
      <c r="D1269" s="10"/>
      <c r="E1269" s="10"/>
      <c r="F1269" s="10"/>
      <c r="G1269" s="10"/>
      <c r="H1269" s="6" t="s">
        <v>8058</v>
      </c>
      <c r="I1269" s="10"/>
      <c r="J1269" s="6" t="s">
        <v>539</v>
      </c>
      <c r="K1269" s="6" t="s">
        <v>227</v>
      </c>
      <c r="L1269" s="10"/>
      <c r="M1269" s="10"/>
      <c r="N1269" s="10"/>
      <c r="O1269" s="18">
        <v>2082.25</v>
      </c>
      <c r="P1269" s="10"/>
      <c r="Q1269" s="6"/>
      <c r="R1269" s="10"/>
    </row>
    <row r="1270">
      <c r="A1270" s="6" t="s">
        <v>7334</v>
      </c>
      <c r="B1270" s="6" t="s">
        <v>35</v>
      </c>
      <c r="C1270" s="8">
        <v>45810.0</v>
      </c>
      <c r="D1270" s="10"/>
      <c r="E1270" s="10"/>
      <c r="F1270" s="10"/>
      <c r="G1270" s="10"/>
      <c r="H1270" s="6" t="s">
        <v>8058</v>
      </c>
      <c r="I1270" s="10"/>
      <c r="J1270" s="6" t="s">
        <v>539</v>
      </c>
      <c r="K1270" s="6" t="s">
        <v>6062</v>
      </c>
      <c r="L1270" s="10"/>
      <c r="M1270" s="10"/>
      <c r="N1270" s="10"/>
      <c r="O1270" s="18">
        <v>1696.47</v>
      </c>
      <c r="P1270" s="10"/>
      <c r="Q1270" s="6"/>
      <c r="R1270" s="10"/>
    </row>
    <row r="1271">
      <c r="A1271" s="6" t="s">
        <v>7337</v>
      </c>
      <c r="B1271" s="6" t="s">
        <v>35</v>
      </c>
      <c r="C1271" s="8">
        <v>45810.0</v>
      </c>
      <c r="D1271" s="10"/>
      <c r="E1271" s="10"/>
      <c r="F1271" s="10"/>
      <c r="G1271" s="10"/>
      <c r="H1271" s="6" t="s">
        <v>8058</v>
      </c>
      <c r="I1271" s="10"/>
      <c r="J1271" s="6" t="s">
        <v>539</v>
      </c>
      <c r="K1271" s="6" t="s">
        <v>3795</v>
      </c>
      <c r="L1271" s="10"/>
      <c r="M1271" s="10"/>
      <c r="N1271" s="10"/>
      <c r="O1271" s="18">
        <v>1325.42</v>
      </c>
      <c r="P1271" s="10"/>
      <c r="Q1271" s="6"/>
      <c r="R1271" s="10"/>
    </row>
    <row r="1272">
      <c r="A1272" s="6" t="s">
        <v>7341</v>
      </c>
      <c r="B1272" s="6" t="s">
        <v>35</v>
      </c>
      <c r="C1272" s="8">
        <v>45810.0</v>
      </c>
      <c r="D1272" s="10"/>
      <c r="E1272" s="10"/>
      <c r="F1272" s="10"/>
      <c r="G1272" s="10"/>
      <c r="H1272" s="6" t="s">
        <v>1791</v>
      </c>
      <c r="I1272" s="10"/>
      <c r="J1272" s="6" t="s">
        <v>539</v>
      </c>
      <c r="K1272" s="6" t="s">
        <v>624</v>
      </c>
      <c r="L1272" s="10"/>
      <c r="M1272" s="10"/>
      <c r="N1272" s="10"/>
      <c r="O1272" s="18">
        <v>2590.85</v>
      </c>
      <c r="P1272" s="10"/>
      <c r="Q1272" s="6"/>
      <c r="R1272" s="10"/>
    </row>
    <row r="1273">
      <c r="A1273" s="6" t="s">
        <v>7343</v>
      </c>
      <c r="B1273" s="6" t="s">
        <v>35</v>
      </c>
      <c r="C1273" s="8">
        <v>45818.0</v>
      </c>
      <c r="D1273" s="6" t="s">
        <v>8075</v>
      </c>
      <c r="E1273" s="10"/>
      <c r="F1273" s="10"/>
      <c r="G1273" s="10"/>
      <c r="H1273" s="6" t="s">
        <v>8077</v>
      </c>
      <c r="I1273" s="10"/>
      <c r="J1273" s="6" t="s">
        <v>539</v>
      </c>
      <c r="K1273" s="10"/>
      <c r="L1273" s="10"/>
      <c r="M1273" s="10"/>
      <c r="N1273" s="10"/>
      <c r="O1273" s="18">
        <v>348.0</v>
      </c>
      <c r="P1273" s="10"/>
      <c r="Q1273" s="6"/>
      <c r="R1273" s="10"/>
    </row>
    <row r="1274">
      <c r="A1274" s="6" t="s">
        <v>7346</v>
      </c>
      <c r="B1274" s="6" t="s">
        <v>35</v>
      </c>
      <c r="C1274" s="8">
        <v>45817.0</v>
      </c>
      <c r="D1274" s="6" t="s">
        <v>543</v>
      </c>
      <c r="E1274" s="6" t="s">
        <v>8079</v>
      </c>
      <c r="F1274" s="10"/>
      <c r="G1274" s="6" t="s">
        <v>8081</v>
      </c>
      <c r="H1274" s="6" t="s">
        <v>171</v>
      </c>
      <c r="I1274" s="17" t="b">
        <v>0</v>
      </c>
      <c r="J1274" s="6" t="s">
        <v>546</v>
      </c>
      <c r="K1274" s="10"/>
      <c r="L1274" s="10"/>
      <c r="M1274" s="10"/>
      <c r="N1274" s="10"/>
      <c r="O1274" s="18">
        <v>180.0</v>
      </c>
      <c r="P1274" s="10"/>
      <c r="Q1274" s="17" t="b">
        <v>1</v>
      </c>
      <c r="R1274" s="10"/>
    </row>
    <row r="1275">
      <c r="A1275" s="6" t="s">
        <v>7348</v>
      </c>
      <c r="B1275" s="6" t="s">
        <v>35</v>
      </c>
      <c r="C1275" s="8">
        <v>45758.0</v>
      </c>
      <c r="D1275" s="6" t="s">
        <v>941</v>
      </c>
      <c r="E1275" s="6" t="s">
        <v>8083</v>
      </c>
      <c r="F1275" s="10"/>
      <c r="G1275" s="6" t="s">
        <v>8085</v>
      </c>
      <c r="H1275" s="6" t="s">
        <v>2341</v>
      </c>
      <c r="I1275" s="17" t="b">
        <v>0</v>
      </c>
      <c r="J1275" s="6" t="s">
        <v>546</v>
      </c>
      <c r="K1275" s="10"/>
      <c r="L1275" s="10"/>
      <c r="M1275" s="10"/>
      <c r="N1275" s="10"/>
      <c r="O1275" s="18">
        <v>725.0</v>
      </c>
      <c r="P1275" s="10"/>
      <c r="Q1275" s="17" t="b">
        <v>1</v>
      </c>
      <c r="R1275" s="10"/>
    </row>
    <row r="1276">
      <c r="A1276" s="6" t="s">
        <v>7351</v>
      </c>
      <c r="B1276" s="6" t="s">
        <v>35</v>
      </c>
      <c r="C1276" s="8">
        <v>45820.0</v>
      </c>
      <c r="D1276" s="6" t="s">
        <v>1864</v>
      </c>
      <c r="E1276" s="10"/>
      <c r="F1276" s="10"/>
      <c r="G1276" s="10"/>
      <c r="H1276" s="6" t="s">
        <v>7936</v>
      </c>
      <c r="I1276" s="10"/>
      <c r="J1276" s="6" t="s">
        <v>539</v>
      </c>
      <c r="K1276" s="10"/>
      <c r="L1276" s="10"/>
      <c r="M1276" s="10"/>
      <c r="N1276" s="10"/>
      <c r="O1276" s="18">
        <v>131.08</v>
      </c>
      <c r="P1276" s="10"/>
      <c r="Q1276" s="6"/>
      <c r="R1276" s="10"/>
    </row>
    <row r="1277">
      <c r="A1277" s="6" t="s">
        <v>7354</v>
      </c>
      <c r="B1277" s="6" t="s">
        <v>35</v>
      </c>
      <c r="C1277" s="8">
        <v>45822.0</v>
      </c>
      <c r="D1277" s="6" t="s">
        <v>543</v>
      </c>
      <c r="E1277" s="6" t="s">
        <v>8089</v>
      </c>
      <c r="F1277" s="10"/>
      <c r="G1277" s="6" t="s">
        <v>8091</v>
      </c>
      <c r="H1277" s="6" t="s">
        <v>171</v>
      </c>
      <c r="I1277" s="17" t="b">
        <v>0</v>
      </c>
      <c r="J1277" s="6" t="s">
        <v>546</v>
      </c>
      <c r="K1277" s="10"/>
      <c r="L1277" s="10"/>
      <c r="M1277" s="10"/>
      <c r="N1277" s="10"/>
      <c r="O1277" s="18">
        <v>210.0</v>
      </c>
      <c r="P1277" s="10"/>
      <c r="Q1277" s="17" t="b">
        <v>1</v>
      </c>
      <c r="R1277" s="10"/>
    </row>
    <row r="1278">
      <c r="A1278" s="6" t="s">
        <v>7356</v>
      </c>
      <c r="B1278" s="6" t="s">
        <v>35</v>
      </c>
      <c r="C1278" s="8">
        <v>45819.0</v>
      </c>
      <c r="D1278" s="6" t="s">
        <v>145</v>
      </c>
      <c r="E1278" s="6" t="s">
        <v>8095</v>
      </c>
      <c r="F1278" s="10"/>
      <c r="G1278" s="6" t="s">
        <v>8096</v>
      </c>
      <c r="H1278" s="6" t="s">
        <v>4200</v>
      </c>
      <c r="I1278" s="17" t="b">
        <v>0</v>
      </c>
      <c r="J1278" s="6" t="s">
        <v>546</v>
      </c>
      <c r="K1278" s="10"/>
      <c r="L1278" s="10"/>
      <c r="M1278" s="10"/>
      <c r="N1278" s="10"/>
      <c r="O1278" s="18">
        <v>147.5</v>
      </c>
      <c r="P1278" s="10"/>
      <c r="Q1278" s="17" t="b">
        <v>1</v>
      </c>
      <c r="R1278" s="10"/>
    </row>
    <row r="1279">
      <c r="A1279" s="6" t="s">
        <v>7361</v>
      </c>
      <c r="B1279" s="6" t="s">
        <v>35</v>
      </c>
      <c r="C1279" s="8">
        <v>45820.0</v>
      </c>
      <c r="D1279" s="6" t="s">
        <v>764</v>
      </c>
      <c r="E1279" s="6" t="s">
        <v>8101</v>
      </c>
      <c r="F1279" s="10"/>
      <c r="G1279" s="6" t="s">
        <v>8102</v>
      </c>
      <c r="H1279" s="6" t="s">
        <v>195</v>
      </c>
      <c r="I1279" s="17" t="b">
        <v>0</v>
      </c>
      <c r="J1279" s="6" t="s">
        <v>546</v>
      </c>
      <c r="K1279" s="10"/>
      <c r="L1279" s="6" t="s">
        <v>8104</v>
      </c>
      <c r="M1279" s="10"/>
      <c r="N1279" s="10"/>
      <c r="O1279" s="18">
        <v>1239.9</v>
      </c>
      <c r="P1279" s="10"/>
      <c r="Q1279" s="17" t="b">
        <v>1</v>
      </c>
      <c r="R1279" s="10"/>
    </row>
    <row r="1280">
      <c r="A1280" s="6" t="s">
        <v>7376</v>
      </c>
      <c r="B1280" s="6" t="s">
        <v>35</v>
      </c>
      <c r="C1280" s="8">
        <v>45821.0</v>
      </c>
      <c r="D1280" s="6" t="s">
        <v>112</v>
      </c>
      <c r="E1280" s="6" t="s">
        <v>8108</v>
      </c>
      <c r="F1280" s="10"/>
      <c r="G1280" s="6" t="s">
        <v>8109</v>
      </c>
      <c r="H1280" s="6" t="s">
        <v>157</v>
      </c>
      <c r="I1280" s="17" t="b">
        <v>0</v>
      </c>
      <c r="J1280" s="6" t="s">
        <v>546</v>
      </c>
      <c r="K1280" s="10"/>
      <c r="L1280" s="10"/>
      <c r="M1280" s="10"/>
      <c r="N1280" s="10"/>
      <c r="O1280" s="18">
        <v>428.19</v>
      </c>
      <c r="P1280" s="10"/>
      <c r="Q1280" s="17" t="b">
        <v>1</v>
      </c>
      <c r="R1280" s="10"/>
    </row>
    <row r="1281">
      <c r="A1281" s="6" t="s">
        <v>7382</v>
      </c>
      <c r="B1281" s="6" t="s">
        <v>35</v>
      </c>
      <c r="C1281" s="8">
        <v>45820.0</v>
      </c>
      <c r="D1281" s="6" t="s">
        <v>890</v>
      </c>
      <c r="E1281" s="6" t="s">
        <v>8117</v>
      </c>
      <c r="F1281" s="10"/>
      <c r="G1281" s="6" t="s">
        <v>8120</v>
      </c>
      <c r="H1281" s="6" t="s">
        <v>2894</v>
      </c>
      <c r="I1281" s="17" t="b">
        <v>0</v>
      </c>
      <c r="J1281" s="6" t="s">
        <v>546</v>
      </c>
      <c r="K1281" s="10"/>
      <c r="L1281" s="6" t="s">
        <v>8122</v>
      </c>
      <c r="M1281" s="6" t="s">
        <v>8124</v>
      </c>
      <c r="N1281" s="10"/>
      <c r="O1281" s="18">
        <v>3870.81</v>
      </c>
      <c r="P1281" s="10"/>
      <c r="Q1281" s="17" t="b">
        <v>1</v>
      </c>
      <c r="R1281" s="10"/>
    </row>
    <row r="1282">
      <c r="A1282" s="18">
        <v>2.9984784E7</v>
      </c>
      <c r="B1282" s="6" t="s">
        <v>35</v>
      </c>
      <c r="C1282" s="8">
        <v>45821.0</v>
      </c>
      <c r="D1282" s="6" t="s">
        <v>353</v>
      </c>
      <c r="E1282" s="6" t="s">
        <v>8128</v>
      </c>
      <c r="F1282" s="10"/>
      <c r="G1282" s="6" t="s">
        <v>8130</v>
      </c>
      <c r="H1282" s="6" t="s">
        <v>8131</v>
      </c>
      <c r="I1282" s="17" t="b">
        <v>1</v>
      </c>
      <c r="J1282" s="6" t="s">
        <v>546</v>
      </c>
      <c r="K1282" s="10"/>
      <c r="L1282" s="10"/>
      <c r="M1282" s="10"/>
      <c r="N1282" s="10"/>
      <c r="O1282" s="18">
        <v>820.2</v>
      </c>
      <c r="P1282" s="18">
        <v>1527234.0</v>
      </c>
      <c r="Q1282" s="17" t="b">
        <v>1</v>
      </c>
      <c r="R1282" s="10"/>
    </row>
    <row r="1283">
      <c r="A1283" s="6" t="s">
        <v>7390</v>
      </c>
      <c r="B1283" s="6" t="s">
        <v>35</v>
      </c>
      <c r="C1283" s="8">
        <v>45824.0</v>
      </c>
      <c r="D1283" s="18">
        <v>2.6065919E7</v>
      </c>
      <c r="E1283" s="6" t="s">
        <v>8138</v>
      </c>
      <c r="F1283" s="10"/>
      <c r="G1283" s="6" t="s">
        <v>8139</v>
      </c>
      <c r="H1283" s="6" t="s">
        <v>8140</v>
      </c>
      <c r="I1283" s="17" t="b">
        <v>1</v>
      </c>
      <c r="J1283" s="6" t="s">
        <v>546</v>
      </c>
      <c r="K1283" s="10"/>
      <c r="L1283" s="10"/>
      <c r="M1283" s="10"/>
      <c r="N1283" s="10"/>
      <c r="O1283" s="18">
        <v>135.0</v>
      </c>
      <c r="P1283" s="18">
        <v>1530592.0</v>
      </c>
      <c r="Q1283" s="17" t="b">
        <v>1</v>
      </c>
      <c r="R1283" s="10"/>
    </row>
    <row r="1284">
      <c r="A1284" s="6" t="s">
        <v>7392</v>
      </c>
      <c r="B1284" s="6" t="s">
        <v>35</v>
      </c>
      <c r="C1284" s="8">
        <v>45826.0</v>
      </c>
      <c r="D1284" s="6" t="s">
        <v>112</v>
      </c>
      <c r="E1284" s="6" t="s">
        <v>8146</v>
      </c>
      <c r="F1284" s="10"/>
      <c r="G1284" s="6" t="s">
        <v>8148</v>
      </c>
      <c r="H1284" s="6" t="s">
        <v>157</v>
      </c>
      <c r="I1284" s="17" t="b">
        <v>0</v>
      </c>
      <c r="J1284" s="6" t="s">
        <v>546</v>
      </c>
      <c r="K1284" s="10"/>
      <c r="L1284" s="10"/>
      <c r="M1284" s="10"/>
      <c r="N1284" s="10"/>
      <c r="O1284" s="18">
        <v>145.0</v>
      </c>
      <c r="P1284" s="10"/>
      <c r="Q1284" s="17" t="b">
        <v>1</v>
      </c>
      <c r="R1284" s="10"/>
    </row>
    <row r="1285">
      <c r="A1285" s="6" t="s">
        <v>7394</v>
      </c>
      <c r="B1285" s="6" t="s">
        <v>35</v>
      </c>
      <c r="C1285" s="8">
        <v>45826.0</v>
      </c>
      <c r="D1285" s="6" t="s">
        <v>112</v>
      </c>
      <c r="E1285" s="6" t="s">
        <v>8146</v>
      </c>
      <c r="F1285" s="10"/>
      <c r="G1285" s="6" t="s">
        <v>8153</v>
      </c>
      <c r="H1285" s="6" t="s">
        <v>157</v>
      </c>
      <c r="I1285" s="17" t="b">
        <v>0</v>
      </c>
      <c r="J1285" s="6" t="s">
        <v>546</v>
      </c>
      <c r="K1285" s="10"/>
      <c r="L1285" s="10"/>
      <c r="M1285" s="10"/>
      <c r="N1285" s="10"/>
      <c r="O1285" s="18">
        <v>309.75</v>
      </c>
      <c r="P1285" s="10"/>
      <c r="Q1285" s="17" t="b">
        <v>1</v>
      </c>
      <c r="R1285" s="10"/>
    </row>
    <row r="1286">
      <c r="A1286" s="6" t="s">
        <v>7398</v>
      </c>
      <c r="B1286" s="6" t="s">
        <v>35</v>
      </c>
      <c r="C1286" s="8">
        <v>45828.0</v>
      </c>
      <c r="D1286" s="6" t="s">
        <v>460</v>
      </c>
      <c r="E1286" s="10"/>
      <c r="F1286" s="10"/>
      <c r="G1286" s="10"/>
      <c r="H1286" s="6" t="s">
        <v>8158</v>
      </c>
      <c r="I1286" s="10"/>
      <c r="J1286" s="6" t="s">
        <v>539</v>
      </c>
      <c r="K1286" s="10"/>
      <c r="L1286" s="10"/>
      <c r="M1286" s="10"/>
      <c r="N1286" s="10"/>
      <c r="O1286" s="18">
        <v>995.0</v>
      </c>
      <c r="P1286" s="10"/>
      <c r="Q1286" s="6"/>
      <c r="R1286" s="10"/>
    </row>
    <row r="1287">
      <c r="A1287" s="6" t="s">
        <v>7400</v>
      </c>
      <c r="B1287" s="6" t="s">
        <v>35</v>
      </c>
      <c r="C1287" s="8">
        <v>45828.0</v>
      </c>
      <c r="D1287" s="6" t="s">
        <v>543</v>
      </c>
      <c r="E1287" s="6" t="s">
        <v>8163</v>
      </c>
      <c r="F1287" s="10"/>
      <c r="G1287" s="6" t="s">
        <v>8165</v>
      </c>
      <c r="H1287" s="6" t="s">
        <v>171</v>
      </c>
      <c r="I1287" s="17" t="b">
        <v>0</v>
      </c>
      <c r="J1287" s="6" t="s">
        <v>546</v>
      </c>
      <c r="K1287" s="10"/>
      <c r="L1287" s="10"/>
      <c r="M1287" s="10"/>
      <c r="N1287" s="10"/>
      <c r="O1287" s="18">
        <v>300.0</v>
      </c>
      <c r="P1287" s="10"/>
      <c r="Q1287" s="17" t="b">
        <v>1</v>
      </c>
      <c r="R1287" s="10"/>
    </row>
    <row r="1288">
      <c r="A1288" s="6" t="s">
        <v>7404</v>
      </c>
      <c r="B1288" s="6" t="s">
        <v>35</v>
      </c>
      <c r="C1288" s="8">
        <v>45821.0</v>
      </c>
      <c r="D1288" s="6" t="s">
        <v>7578</v>
      </c>
      <c r="E1288" s="6" t="s">
        <v>8170</v>
      </c>
      <c r="F1288" s="10"/>
      <c r="G1288" s="6" t="s">
        <v>8171</v>
      </c>
      <c r="H1288" s="6" t="s">
        <v>147</v>
      </c>
      <c r="I1288" s="17" t="b">
        <v>0</v>
      </c>
      <c r="J1288" s="6" t="s">
        <v>546</v>
      </c>
      <c r="K1288" s="10"/>
      <c r="L1288" s="10"/>
      <c r="M1288" s="10"/>
      <c r="N1288" s="10"/>
      <c r="O1288" s="18">
        <v>553.72</v>
      </c>
      <c r="P1288" s="10"/>
      <c r="Q1288" s="17" t="b">
        <v>1</v>
      </c>
      <c r="R1288" s="10"/>
    </row>
    <row r="1289">
      <c r="A1289" s="6" t="s">
        <v>7412</v>
      </c>
      <c r="B1289" s="6" t="s">
        <v>35</v>
      </c>
      <c r="C1289" s="8">
        <v>45820.0</v>
      </c>
      <c r="D1289" s="6" t="s">
        <v>3716</v>
      </c>
      <c r="E1289" s="6" t="s">
        <v>8175</v>
      </c>
      <c r="F1289" s="10"/>
      <c r="G1289" s="6" t="s">
        <v>8176</v>
      </c>
      <c r="H1289" s="6" t="s">
        <v>195</v>
      </c>
      <c r="I1289" s="17" t="b">
        <v>1</v>
      </c>
      <c r="J1289" s="6" t="s">
        <v>546</v>
      </c>
      <c r="K1289" s="10"/>
      <c r="L1289" s="10"/>
      <c r="M1289" s="10"/>
      <c r="N1289" s="10"/>
      <c r="O1289" s="18">
        <v>275.94</v>
      </c>
      <c r="P1289" s="18">
        <v>1526010.0</v>
      </c>
      <c r="Q1289" s="17" t="b">
        <v>1</v>
      </c>
      <c r="R1289" s="10"/>
    </row>
    <row r="1290">
      <c r="A1290" s="6" t="s">
        <v>7416</v>
      </c>
      <c r="B1290" s="6" t="s">
        <v>35</v>
      </c>
      <c r="C1290" s="8">
        <v>45831.0</v>
      </c>
      <c r="D1290" s="6" t="s">
        <v>890</v>
      </c>
      <c r="E1290" s="10"/>
      <c r="F1290" s="10"/>
      <c r="G1290" s="10"/>
      <c r="H1290" s="6" t="s">
        <v>4010</v>
      </c>
      <c r="I1290" s="10"/>
      <c r="J1290" s="6" t="s">
        <v>539</v>
      </c>
      <c r="K1290" s="10"/>
      <c r="L1290" s="10"/>
      <c r="M1290" s="10"/>
      <c r="N1290" s="10"/>
      <c r="O1290" s="18">
        <v>375.0</v>
      </c>
      <c r="P1290" s="10"/>
      <c r="Q1290" s="6"/>
      <c r="R1290" s="10"/>
    </row>
    <row r="1291">
      <c r="A1291" s="6" t="s">
        <v>7418</v>
      </c>
      <c r="B1291" s="6" t="s">
        <v>35</v>
      </c>
      <c r="C1291" s="8">
        <v>45829.0</v>
      </c>
      <c r="D1291" s="6" t="s">
        <v>112</v>
      </c>
      <c r="E1291" s="6" t="s">
        <v>8185</v>
      </c>
      <c r="F1291" s="10"/>
      <c r="G1291" s="6" t="s">
        <v>8186</v>
      </c>
      <c r="H1291" s="6" t="s">
        <v>157</v>
      </c>
      <c r="I1291" s="17" t="b">
        <v>0</v>
      </c>
      <c r="J1291" s="6" t="s">
        <v>546</v>
      </c>
      <c r="K1291" s="10"/>
      <c r="L1291" s="10"/>
      <c r="M1291" s="10"/>
      <c r="N1291" s="10"/>
      <c r="O1291" s="18">
        <v>164.26</v>
      </c>
      <c r="P1291" s="10"/>
      <c r="Q1291" s="17" t="b">
        <v>1</v>
      </c>
      <c r="R1291" s="10"/>
    </row>
    <row r="1292">
      <c r="A1292" s="6" t="s">
        <v>7425</v>
      </c>
      <c r="B1292" s="6" t="s">
        <v>35</v>
      </c>
      <c r="C1292" s="8">
        <v>45832.0</v>
      </c>
      <c r="D1292" s="6" t="s">
        <v>7095</v>
      </c>
      <c r="E1292" s="6" t="s">
        <v>8191</v>
      </c>
      <c r="F1292" s="10"/>
      <c r="G1292" s="6" t="s">
        <v>8192</v>
      </c>
      <c r="H1292" s="6" t="s">
        <v>195</v>
      </c>
      <c r="I1292" s="17" t="b">
        <v>0</v>
      </c>
      <c r="J1292" s="6" t="s">
        <v>546</v>
      </c>
      <c r="K1292" s="10"/>
      <c r="L1292" s="10"/>
      <c r="M1292" s="10"/>
      <c r="N1292" s="10"/>
      <c r="O1292" s="18">
        <v>182.52</v>
      </c>
      <c r="P1292" s="10"/>
      <c r="Q1292" s="17" t="b">
        <v>1</v>
      </c>
      <c r="R1292" s="10"/>
    </row>
    <row r="1293">
      <c r="A1293" s="18">
        <v>1.60391984E8</v>
      </c>
      <c r="B1293" s="6" t="s">
        <v>35</v>
      </c>
      <c r="C1293" s="8">
        <v>45834.0</v>
      </c>
      <c r="D1293" s="10"/>
      <c r="E1293" s="10"/>
      <c r="F1293" s="10"/>
      <c r="G1293" s="10"/>
      <c r="H1293" s="6" t="s">
        <v>1329</v>
      </c>
      <c r="I1293" s="10"/>
      <c r="J1293" s="6" t="s">
        <v>539</v>
      </c>
      <c r="K1293" s="6" t="s">
        <v>6062</v>
      </c>
      <c r="L1293" s="10"/>
      <c r="M1293" s="10"/>
      <c r="N1293" s="10"/>
      <c r="O1293" s="18">
        <v>500.0</v>
      </c>
      <c r="P1293" s="10"/>
      <c r="Q1293" s="6"/>
      <c r="R1293" s="10"/>
    </row>
    <row r="1294">
      <c r="A1294" s="6" t="s">
        <v>7432</v>
      </c>
      <c r="B1294" s="6" t="s">
        <v>35</v>
      </c>
      <c r="C1294" s="8">
        <v>45835.0</v>
      </c>
      <c r="D1294" s="10"/>
      <c r="E1294" s="10"/>
      <c r="F1294" s="10"/>
      <c r="G1294" s="10"/>
      <c r="H1294" s="6" t="s">
        <v>8205</v>
      </c>
      <c r="I1294" s="10"/>
      <c r="J1294" s="6" t="s">
        <v>539</v>
      </c>
      <c r="K1294" s="6" t="s">
        <v>2052</v>
      </c>
      <c r="L1294" s="10"/>
      <c r="M1294" s="10"/>
      <c r="N1294" s="10"/>
      <c r="O1294" s="18">
        <v>500.0</v>
      </c>
      <c r="P1294" s="10"/>
      <c r="Q1294" s="6"/>
      <c r="R1294" s="10"/>
    </row>
    <row r="1295">
      <c r="A1295" s="6" t="s">
        <v>7434</v>
      </c>
      <c r="B1295" s="6" t="s">
        <v>35</v>
      </c>
      <c r="C1295" s="8">
        <v>45831.0</v>
      </c>
      <c r="D1295" s="6" t="s">
        <v>890</v>
      </c>
      <c r="E1295" s="6" t="s">
        <v>8209</v>
      </c>
      <c r="F1295" s="10"/>
      <c r="G1295" s="6" t="s">
        <v>8211</v>
      </c>
      <c r="H1295" s="6" t="s">
        <v>3813</v>
      </c>
      <c r="I1295" s="17" t="b">
        <v>0</v>
      </c>
      <c r="J1295" s="6" t="s">
        <v>546</v>
      </c>
      <c r="K1295" s="10"/>
      <c r="L1295" s="10"/>
      <c r="M1295" s="10"/>
      <c r="N1295" s="10"/>
      <c r="O1295" s="18">
        <v>3406.88</v>
      </c>
      <c r="P1295" s="10"/>
      <c r="Q1295" s="17" t="b">
        <v>1</v>
      </c>
      <c r="R1295" s="10"/>
    </row>
    <row r="1296">
      <c r="A1296" s="6" t="s">
        <v>7438</v>
      </c>
      <c r="B1296" s="6" t="s">
        <v>35</v>
      </c>
      <c r="C1296" s="8">
        <v>45833.0</v>
      </c>
      <c r="D1296" s="6" t="s">
        <v>890</v>
      </c>
      <c r="E1296" s="6" t="s">
        <v>8214</v>
      </c>
      <c r="F1296" s="10"/>
      <c r="G1296" s="6" t="s">
        <v>8215</v>
      </c>
      <c r="H1296" s="6" t="s">
        <v>2894</v>
      </c>
      <c r="I1296" s="17" t="b">
        <v>0</v>
      </c>
      <c r="J1296" s="6" t="s">
        <v>546</v>
      </c>
      <c r="K1296" s="10"/>
      <c r="L1296" s="6" t="s">
        <v>8218</v>
      </c>
      <c r="M1296" s="6" t="s">
        <v>8220</v>
      </c>
      <c r="N1296" s="10"/>
      <c r="O1296" s="18">
        <v>9002.72</v>
      </c>
      <c r="P1296" s="10"/>
      <c r="Q1296" s="17" t="b">
        <v>1</v>
      </c>
      <c r="R1296" s="10"/>
    </row>
    <row r="1297">
      <c r="A1297" s="6" t="s">
        <v>7442</v>
      </c>
      <c r="B1297" s="6" t="s">
        <v>35</v>
      </c>
      <c r="C1297" s="8">
        <v>45834.0</v>
      </c>
      <c r="D1297" s="6" t="s">
        <v>2096</v>
      </c>
      <c r="E1297" s="6" t="s">
        <v>8222</v>
      </c>
      <c r="F1297" s="10"/>
      <c r="G1297" s="6" t="s">
        <v>8225</v>
      </c>
      <c r="H1297" s="6" t="s">
        <v>8226</v>
      </c>
      <c r="I1297" s="17" t="b">
        <v>1</v>
      </c>
      <c r="J1297" s="6" t="s">
        <v>546</v>
      </c>
      <c r="K1297" s="10"/>
      <c r="L1297" s="6" t="s">
        <v>8228</v>
      </c>
      <c r="M1297" s="10"/>
      <c r="N1297" s="10"/>
      <c r="O1297" s="18">
        <v>425.0</v>
      </c>
      <c r="P1297" s="18">
        <v>1544596.0</v>
      </c>
      <c r="Q1297" s="17" t="b">
        <v>1</v>
      </c>
      <c r="R1297" s="10"/>
    </row>
    <row r="1298">
      <c r="A1298" s="6" t="s">
        <v>7445</v>
      </c>
      <c r="B1298" s="6" t="s">
        <v>35</v>
      </c>
      <c r="C1298" s="8">
        <v>45838.0</v>
      </c>
      <c r="D1298" s="6" t="s">
        <v>460</v>
      </c>
      <c r="E1298" s="10"/>
      <c r="F1298" s="10"/>
      <c r="G1298" s="10"/>
      <c r="H1298" s="6" t="s">
        <v>931</v>
      </c>
      <c r="I1298" s="10"/>
      <c r="J1298" s="6" t="s">
        <v>539</v>
      </c>
      <c r="K1298" s="10"/>
      <c r="L1298" s="10"/>
      <c r="M1298" s="10"/>
      <c r="N1298" s="10"/>
      <c r="O1298" s="18">
        <v>30.0</v>
      </c>
      <c r="P1298" s="10"/>
      <c r="Q1298" s="6"/>
      <c r="R1298" s="10"/>
    </row>
    <row r="1299">
      <c r="A1299" s="6" t="s">
        <v>7447</v>
      </c>
      <c r="B1299" s="6" t="s">
        <v>35</v>
      </c>
      <c r="C1299" s="8">
        <v>45838.0</v>
      </c>
      <c r="D1299" s="6" t="s">
        <v>460</v>
      </c>
      <c r="E1299" s="10"/>
      <c r="F1299" s="10"/>
      <c r="G1299" s="10"/>
      <c r="H1299" s="6" t="s">
        <v>8234</v>
      </c>
      <c r="I1299" s="10"/>
      <c r="J1299" s="6" t="s">
        <v>539</v>
      </c>
      <c r="K1299" s="10"/>
      <c r="L1299" s="10"/>
      <c r="M1299" s="10"/>
      <c r="N1299" s="10"/>
      <c r="O1299" s="18">
        <v>200.0</v>
      </c>
      <c r="P1299" s="10"/>
      <c r="Q1299" s="6"/>
      <c r="R1299" s="10"/>
    </row>
    <row r="1300">
      <c r="A1300" s="6" t="s">
        <v>7450</v>
      </c>
      <c r="B1300" s="6" t="s">
        <v>35</v>
      </c>
      <c r="C1300" s="8">
        <v>45838.0</v>
      </c>
      <c r="D1300" s="6" t="s">
        <v>460</v>
      </c>
      <c r="E1300" s="10"/>
      <c r="F1300" s="10"/>
      <c r="G1300" s="10"/>
      <c r="H1300" s="6" t="s">
        <v>4972</v>
      </c>
      <c r="I1300" s="10"/>
      <c r="J1300" s="6" t="s">
        <v>539</v>
      </c>
      <c r="K1300" s="10"/>
      <c r="L1300" s="10"/>
      <c r="M1300" s="10"/>
      <c r="N1300" s="10"/>
      <c r="O1300" s="18">
        <v>22.0</v>
      </c>
      <c r="P1300" s="10"/>
      <c r="Q1300" s="6"/>
      <c r="R1300" s="10"/>
    </row>
    <row r="1301">
      <c r="A1301" s="6" t="s">
        <v>7453</v>
      </c>
      <c r="B1301" s="6" t="s">
        <v>35</v>
      </c>
      <c r="C1301" s="8">
        <v>45838.0</v>
      </c>
      <c r="D1301" s="6" t="s">
        <v>460</v>
      </c>
      <c r="E1301" s="10"/>
      <c r="F1301" s="10"/>
      <c r="G1301" s="10"/>
      <c r="H1301" s="6" t="s">
        <v>4979</v>
      </c>
      <c r="I1301" s="10"/>
      <c r="J1301" s="6" t="s">
        <v>539</v>
      </c>
      <c r="K1301" s="10"/>
      <c r="L1301" s="10"/>
      <c r="M1301" s="10"/>
      <c r="N1301" s="10"/>
      <c r="O1301" s="18">
        <v>10.0</v>
      </c>
      <c r="P1301" s="10"/>
      <c r="Q1301" s="6"/>
      <c r="R1301" s="10"/>
    </row>
    <row r="1302">
      <c r="A1302" s="6" t="s">
        <v>7456</v>
      </c>
      <c r="B1302" s="6" t="s">
        <v>35</v>
      </c>
      <c r="C1302" s="8">
        <v>45839.0</v>
      </c>
      <c r="D1302" s="10"/>
      <c r="E1302" s="10"/>
      <c r="F1302" s="10"/>
      <c r="G1302" s="10"/>
      <c r="H1302" s="6" t="s">
        <v>1329</v>
      </c>
      <c r="I1302" s="10"/>
      <c r="J1302" s="6" t="s">
        <v>539</v>
      </c>
      <c r="K1302" s="6" t="s">
        <v>3795</v>
      </c>
      <c r="L1302" s="10"/>
      <c r="M1302" s="10"/>
      <c r="N1302" s="10"/>
      <c r="O1302" s="18">
        <v>500.0</v>
      </c>
      <c r="P1302" s="10"/>
      <c r="Q1302" s="6"/>
      <c r="R1302" s="10"/>
    </row>
    <row r="1303">
      <c r="A1303" s="6" t="s">
        <v>7458</v>
      </c>
      <c r="B1303" s="6" t="s">
        <v>35</v>
      </c>
      <c r="C1303" s="8">
        <v>45839.0</v>
      </c>
      <c r="D1303" s="6" t="s">
        <v>890</v>
      </c>
      <c r="E1303" s="10"/>
      <c r="F1303" s="10"/>
      <c r="G1303" s="10"/>
      <c r="H1303" s="6" t="s">
        <v>8251</v>
      </c>
      <c r="I1303" s="10"/>
      <c r="J1303" s="6" t="s">
        <v>539</v>
      </c>
      <c r="K1303" s="10"/>
      <c r="L1303" s="10"/>
      <c r="M1303" s="10"/>
      <c r="N1303" s="10"/>
      <c r="O1303" s="18">
        <v>16.0</v>
      </c>
      <c r="P1303" s="10"/>
      <c r="Q1303" s="6"/>
      <c r="R1303" s="10"/>
    </row>
    <row r="1304">
      <c r="A1304" s="6" t="s">
        <v>7460</v>
      </c>
      <c r="B1304" s="6" t="s">
        <v>35</v>
      </c>
      <c r="C1304" s="8">
        <v>45839.0</v>
      </c>
      <c r="D1304" s="6" t="s">
        <v>890</v>
      </c>
      <c r="E1304" s="10"/>
      <c r="F1304" s="10"/>
      <c r="G1304" s="10"/>
      <c r="H1304" s="6" t="s">
        <v>8251</v>
      </c>
      <c r="I1304" s="10"/>
      <c r="J1304" s="6" t="s">
        <v>539</v>
      </c>
      <c r="K1304" s="10"/>
      <c r="L1304" s="10"/>
      <c r="M1304" s="10"/>
      <c r="N1304" s="10"/>
      <c r="O1304" s="18">
        <v>73.8</v>
      </c>
      <c r="P1304" s="10"/>
      <c r="Q1304" s="6"/>
      <c r="R1304" s="10"/>
    </row>
    <row r="1305">
      <c r="A1305" s="6" t="s">
        <v>7464</v>
      </c>
      <c r="B1305" s="6" t="s">
        <v>35</v>
      </c>
      <c r="C1305" s="8">
        <v>45835.0</v>
      </c>
      <c r="D1305" s="6" t="s">
        <v>112</v>
      </c>
      <c r="E1305" s="6" t="s">
        <v>8258</v>
      </c>
      <c r="F1305" s="10"/>
      <c r="G1305" s="6" t="s">
        <v>8259</v>
      </c>
      <c r="H1305" s="6" t="s">
        <v>157</v>
      </c>
      <c r="I1305" s="17" t="b">
        <v>0</v>
      </c>
      <c r="J1305" s="6" t="s">
        <v>546</v>
      </c>
      <c r="K1305" s="10"/>
      <c r="L1305" s="10"/>
      <c r="M1305" s="10"/>
      <c r="N1305" s="10"/>
      <c r="O1305" s="18">
        <v>218.96</v>
      </c>
      <c r="P1305" s="10"/>
      <c r="Q1305" s="17" t="b">
        <v>1</v>
      </c>
      <c r="R1305" s="10"/>
    </row>
    <row r="1306">
      <c r="A1306" s="6" t="s">
        <v>7470</v>
      </c>
      <c r="B1306" s="6" t="s">
        <v>35</v>
      </c>
      <c r="C1306" s="8">
        <v>45835.0</v>
      </c>
      <c r="D1306" s="6" t="s">
        <v>233</v>
      </c>
      <c r="E1306" s="6" t="s">
        <v>8264</v>
      </c>
      <c r="F1306" s="10"/>
      <c r="G1306" s="6" t="s">
        <v>8266</v>
      </c>
      <c r="H1306" s="6" t="s">
        <v>4248</v>
      </c>
      <c r="I1306" s="17" t="b">
        <v>1</v>
      </c>
      <c r="J1306" s="6" t="s">
        <v>546</v>
      </c>
      <c r="K1306" s="10"/>
      <c r="L1306" s="10"/>
      <c r="M1306" s="10"/>
      <c r="N1306" s="10"/>
      <c r="O1306" s="18">
        <v>123.62</v>
      </c>
      <c r="P1306" s="18">
        <v>1545738.0</v>
      </c>
      <c r="Q1306" s="17" t="b">
        <v>1</v>
      </c>
      <c r="R1306" s="10"/>
    </row>
    <row r="1307">
      <c r="A1307" s="6" t="s">
        <v>7472</v>
      </c>
      <c r="B1307" s="6" t="s">
        <v>35</v>
      </c>
      <c r="C1307" s="8">
        <v>45839.0</v>
      </c>
      <c r="D1307" s="18">
        <v>8.627274E7</v>
      </c>
      <c r="E1307" s="6" t="s">
        <v>8272</v>
      </c>
      <c r="F1307" s="10"/>
      <c r="G1307" s="6" t="s">
        <v>8274</v>
      </c>
      <c r="H1307" s="6" t="s">
        <v>8275</v>
      </c>
      <c r="I1307" s="17" t="b">
        <v>1</v>
      </c>
      <c r="J1307" s="6" t="s">
        <v>546</v>
      </c>
      <c r="K1307" s="10"/>
      <c r="L1307" s="10"/>
      <c r="M1307" s="10"/>
      <c r="N1307" s="10"/>
      <c r="O1307" s="18">
        <v>51.98</v>
      </c>
      <c r="P1307" s="18">
        <v>1551939.0</v>
      </c>
      <c r="Q1307" s="17" t="b">
        <v>1</v>
      </c>
      <c r="R1307" s="10"/>
    </row>
    <row r="1308">
      <c r="A1308" s="6" t="s">
        <v>7476</v>
      </c>
      <c r="B1308" s="6" t="s">
        <v>35</v>
      </c>
      <c r="C1308" s="8">
        <v>45839.0</v>
      </c>
      <c r="D1308" s="18">
        <v>2.6065919E7</v>
      </c>
      <c r="E1308" s="6" t="s">
        <v>8280</v>
      </c>
      <c r="F1308" s="10"/>
      <c r="G1308" s="6" t="s">
        <v>8282</v>
      </c>
      <c r="H1308" s="6" t="s">
        <v>5885</v>
      </c>
      <c r="I1308" s="17" t="b">
        <v>1</v>
      </c>
      <c r="J1308" s="6" t="s">
        <v>546</v>
      </c>
      <c r="K1308" s="10"/>
      <c r="L1308" s="10"/>
      <c r="M1308" s="10"/>
      <c r="N1308" s="10"/>
      <c r="O1308" s="18">
        <v>150.0</v>
      </c>
      <c r="P1308" s="18">
        <v>1551937.0</v>
      </c>
      <c r="Q1308" s="17" t="b">
        <v>1</v>
      </c>
      <c r="R1308" s="10"/>
    </row>
    <row r="1309">
      <c r="A1309" s="6" t="s">
        <v>7478</v>
      </c>
      <c r="B1309" s="6" t="s">
        <v>35</v>
      </c>
      <c r="C1309" s="8">
        <v>45839.0</v>
      </c>
      <c r="D1309" s="6" t="s">
        <v>548</v>
      </c>
      <c r="E1309" s="6" t="s">
        <v>8287</v>
      </c>
      <c r="F1309" s="10"/>
      <c r="G1309" s="6" t="s">
        <v>8288</v>
      </c>
      <c r="H1309" s="6" t="s">
        <v>8290</v>
      </c>
      <c r="I1309" s="17" t="b">
        <v>1</v>
      </c>
      <c r="J1309" s="6" t="s">
        <v>546</v>
      </c>
      <c r="K1309" s="10"/>
      <c r="L1309" s="10"/>
      <c r="M1309" s="10"/>
      <c r="N1309" s="10"/>
      <c r="O1309" s="18">
        <v>110.0</v>
      </c>
      <c r="P1309" s="18">
        <v>1551954.0</v>
      </c>
      <c r="Q1309" s="17" t="b">
        <v>1</v>
      </c>
      <c r="R1309" s="10"/>
    </row>
    <row r="1310">
      <c r="A1310" s="6" t="s">
        <v>7480</v>
      </c>
      <c r="B1310" s="6" t="s">
        <v>35</v>
      </c>
      <c r="C1310" s="8">
        <v>45840.0</v>
      </c>
      <c r="D1310" s="6" t="s">
        <v>1036</v>
      </c>
      <c r="E1310" s="6" t="s">
        <v>8296</v>
      </c>
      <c r="F1310" s="10"/>
      <c r="G1310" s="6" t="s">
        <v>8298</v>
      </c>
      <c r="H1310" s="6" t="s">
        <v>5755</v>
      </c>
      <c r="I1310" s="17" t="b">
        <v>0</v>
      </c>
      <c r="J1310" s="6" t="s">
        <v>546</v>
      </c>
      <c r="K1310" s="10"/>
      <c r="L1310" s="10"/>
      <c r="M1310" s="10"/>
      <c r="N1310" s="10"/>
      <c r="O1310" s="18">
        <v>124.16</v>
      </c>
      <c r="P1310" s="10"/>
      <c r="Q1310" s="17" t="b">
        <v>1</v>
      </c>
      <c r="R1310" s="10"/>
    </row>
    <row r="1311">
      <c r="A1311" s="6" t="s">
        <v>7482</v>
      </c>
      <c r="B1311" s="6" t="s">
        <v>35</v>
      </c>
      <c r="C1311" s="8">
        <v>45841.0</v>
      </c>
      <c r="D1311" s="6" t="s">
        <v>112</v>
      </c>
      <c r="E1311" s="6" t="s">
        <v>8303</v>
      </c>
      <c r="F1311" s="10"/>
      <c r="G1311" s="6" t="s">
        <v>8305</v>
      </c>
      <c r="H1311" s="6" t="s">
        <v>157</v>
      </c>
      <c r="I1311" s="17" t="b">
        <v>0</v>
      </c>
      <c r="J1311" s="6" t="s">
        <v>546</v>
      </c>
      <c r="K1311" s="10"/>
      <c r="L1311" s="10"/>
      <c r="M1311" s="10"/>
      <c r="N1311" s="10"/>
      <c r="O1311" s="18">
        <v>310.62</v>
      </c>
      <c r="P1311" s="10"/>
      <c r="Q1311" s="17" t="b">
        <v>1</v>
      </c>
      <c r="R1311" s="10"/>
    </row>
    <row r="1312">
      <c r="A1312" s="6" t="s">
        <v>7488</v>
      </c>
      <c r="B1312" s="6" t="s">
        <v>35</v>
      </c>
      <c r="C1312" s="8">
        <v>45842.0</v>
      </c>
      <c r="D1312" s="6" t="s">
        <v>3493</v>
      </c>
      <c r="E1312" s="6" t="s">
        <v>8311</v>
      </c>
      <c r="F1312" s="10"/>
      <c r="G1312" s="6" t="s">
        <v>8312</v>
      </c>
      <c r="H1312" s="6" t="s">
        <v>8314</v>
      </c>
      <c r="I1312" s="17" t="b">
        <v>1</v>
      </c>
      <c r="J1312" s="6" t="s">
        <v>546</v>
      </c>
      <c r="K1312" s="10"/>
      <c r="L1312" s="10"/>
      <c r="M1312" s="10"/>
      <c r="N1312" s="10"/>
      <c r="O1312" s="18">
        <v>180.88</v>
      </c>
      <c r="P1312" s="18">
        <v>1555067.0</v>
      </c>
      <c r="Q1312" s="17" t="b">
        <v>1</v>
      </c>
      <c r="R1312" s="10"/>
    </row>
    <row r="1313">
      <c r="A1313" s="18">
        <v>7.2203232E7</v>
      </c>
      <c r="B1313" s="6" t="s">
        <v>35</v>
      </c>
      <c r="C1313" s="8">
        <v>45843.0</v>
      </c>
      <c r="D1313" s="6" t="s">
        <v>8319</v>
      </c>
      <c r="E1313" s="6" t="s">
        <v>8320</v>
      </c>
      <c r="F1313" s="10"/>
      <c r="G1313" s="6" t="s">
        <v>8321</v>
      </c>
      <c r="H1313" s="6" t="s">
        <v>171</v>
      </c>
      <c r="I1313" s="17" t="b">
        <v>1</v>
      </c>
      <c r="J1313" s="6" t="s">
        <v>546</v>
      </c>
      <c r="K1313" s="10"/>
      <c r="L1313" s="10"/>
      <c r="M1313" s="10"/>
      <c r="N1313" s="10"/>
      <c r="O1313" s="18">
        <v>129.9</v>
      </c>
      <c r="P1313" s="18">
        <v>1557237.0</v>
      </c>
      <c r="Q1313" s="17" t="b">
        <v>1</v>
      </c>
      <c r="R1313" s="10"/>
    </row>
    <row r="1314">
      <c r="A1314" s="6" t="s">
        <v>7491</v>
      </c>
      <c r="B1314" s="6" t="s">
        <v>35</v>
      </c>
      <c r="C1314" s="8">
        <v>45844.0</v>
      </c>
      <c r="D1314" s="6" t="s">
        <v>233</v>
      </c>
      <c r="E1314" s="6" t="s">
        <v>8326</v>
      </c>
      <c r="F1314" s="10"/>
      <c r="G1314" s="6" t="s">
        <v>8328</v>
      </c>
      <c r="H1314" s="6" t="s">
        <v>171</v>
      </c>
      <c r="I1314" s="17" t="b">
        <v>1</v>
      </c>
      <c r="J1314" s="6" t="s">
        <v>546</v>
      </c>
      <c r="K1314" s="10"/>
      <c r="L1314" s="10"/>
      <c r="M1314" s="10"/>
      <c r="N1314" s="10"/>
      <c r="O1314" s="18">
        <v>159.9</v>
      </c>
      <c r="P1314" s="18">
        <v>1558232.0</v>
      </c>
      <c r="Q1314" s="17" t="b">
        <v>1</v>
      </c>
      <c r="R1314" s="10"/>
    </row>
    <row r="1315">
      <c r="A1315" s="6" t="s">
        <v>7494</v>
      </c>
      <c r="B1315" s="6" t="s">
        <v>35</v>
      </c>
      <c r="C1315" s="8">
        <v>45845.0</v>
      </c>
      <c r="D1315" s="6" t="s">
        <v>890</v>
      </c>
      <c r="E1315" s="10"/>
      <c r="F1315" s="10"/>
      <c r="G1315" s="10"/>
      <c r="H1315" s="6" t="s">
        <v>8333</v>
      </c>
      <c r="I1315" s="10"/>
      <c r="J1315" s="6" t="s">
        <v>539</v>
      </c>
      <c r="K1315" s="10"/>
      <c r="L1315" s="10"/>
      <c r="M1315" s="10"/>
      <c r="N1315" s="10"/>
      <c r="O1315" s="18">
        <v>738.82</v>
      </c>
      <c r="P1315" s="10"/>
      <c r="Q1315" s="6"/>
      <c r="R1315" s="10"/>
    </row>
    <row r="1316">
      <c r="A1316" s="6" t="s">
        <v>7497</v>
      </c>
      <c r="B1316" s="6" t="s">
        <v>35</v>
      </c>
      <c r="C1316" s="8">
        <v>45845.0</v>
      </c>
      <c r="D1316" s="6" t="s">
        <v>890</v>
      </c>
      <c r="E1316" s="10"/>
      <c r="F1316" s="10"/>
      <c r="G1316" s="10"/>
      <c r="H1316" s="6" t="s">
        <v>8333</v>
      </c>
      <c r="I1316" s="10"/>
      <c r="J1316" s="6" t="s">
        <v>539</v>
      </c>
      <c r="K1316" s="10"/>
      <c r="L1316" s="10"/>
      <c r="M1316" s="10"/>
      <c r="N1316" s="10"/>
      <c r="O1316" s="18">
        <v>1924.84</v>
      </c>
      <c r="P1316" s="10"/>
      <c r="Q1316" s="6"/>
      <c r="R1316" s="10"/>
    </row>
    <row r="1317">
      <c r="A1317" s="6" t="s">
        <v>7499</v>
      </c>
      <c r="B1317" s="6" t="s">
        <v>35</v>
      </c>
      <c r="C1317" s="8">
        <v>45845.0</v>
      </c>
      <c r="D1317" s="6" t="s">
        <v>1557</v>
      </c>
      <c r="E1317" s="10"/>
      <c r="F1317" s="10"/>
      <c r="G1317" s="10"/>
      <c r="H1317" s="6" t="s">
        <v>8343</v>
      </c>
      <c r="I1317" s="10"/>
      <c r="J1317" s="6" t="s">
        <v>539</v>
      </c>
      <c r="K1317" s="10"/>
      <c r="L1317" s="10"/>
      <c r="M1317" s="10"/>
      <c r="N1317" s="10"/>
      <c r="O1317" s="18">
        <v>110.0</v>
      </c>
      <c r="P1317" s="10"/>
      <c r="Q1317" s="6"/>
      <c r="R1317" s="10"/>
    </row>
    <row r="1318">
      <c r="A1318" s="6" t="s">
        <v>7501</v>
      </c>
      <c r="B1318" s="6" t="s">
        <v>35</v>
      </c>
      <c r="C1318" s="8">
        <v>45845.0</v>
      </c>
      <c r="D1318" s="6" t="s">
        <v>543</v>
      </c>
      <c r="E1318" s="6" t="s">
        <v>8348</v>
      </c>
      <c r="F1318" s="10"/>
      <c r="G1318" s="6" t="s">
        <v>8351</v>
      </c>
      <c r="H1318" s="6" t="s">
        <v>171</v>
      </c>
      <c r="I1318" s="17" t="b">
        <v>0</v>
      </c>
      <c r="J1318" s="6" t="s">
        <v>546</v>
      </c>
      <c r="K1318" s="10"/>
      <c r="L1318" s="10"/>
      <c r="M1318" s="10"/>
      <c r="N1318" s="10"/>
      <c r="O1318" s="18">
        <v>122.5</v>
      </c>
      <c r="P1318" s="10"/>
      <c r="Q1318" s="17" t="b">
        <v>1</v>
      </c>
      <c r="R1318" s="10"/>
    </row>
    <row r="1319">
      <c r="A1319" s="6" t="s">
        <v>7503</v>
      </c>
      <c r="B1319" s="6" t="s">
        <v>35</v>
      </c>
      <c r="C1319" s="8">
        <v>45846.0</v>
      </c>
      <c r="D1319" s="6" t="s">
        <v>8353</v>
      </c>
      <c r="E1319" s="10"/>
      <c r="F1319" s="10"/>
      <c r="G1319" s="10"/>
      <c r="H1319" s="6" t="s">
        <v>8354</v>
      </c>
      <c r="I1319" s="10"/>
      <c r="J1319" s="6" t="s">
        <v>539</v>
      </c>
      <c r="K1319" s="10"/>
      <c r="L1319" s="10"/>
      <c r="M1319" s="10"/>
      <c r="N1319" s="10"/>
      <c r="O1319" s="18">
        <v>1728.0</v>
      </c>
      <c r="P1319" s="10"/>
      <c r="Q1319" s="6"/>
      <c r="R1319" s="10"/>
    </row>
    <row r="1320">
      <c r="A1320" s="6" t="s">
        <v>7506</v>
      </c>
      <c r="B1320" s="6" t="s">
        <v>35</v>
      </c>
      <c r="C1320" s="8">
        <v>45845.0</v>
      </c>
      <c r="D1320" s="6" t="s">
        <v>890</v>
      </c>
      <c r="E1320" s="6" t="s">
        <v>8358</v>
      </c>
      <c r="F1320" s="10"/>
      <c r="G1320" s="6" t="s">
        <v>8360</v>
      </c>
      <c r="H1320" s="6" t="s">
        <v>3813</v>
      </c>
      <c r="I1320" s="17" t="b">
        <v>0</v>
      </c>
      <c r="J1320" s="6" t="s">
        <v>546</v>
      </c>
      <c r="K1320" s="10"/>
      <c r="L1320" s="6" t="s">
        <v>8363</v>
      </c>
      <c r="M1320" s="10"/>
      <c r="N1320" s="10"/>
      <c r="O1320" s="18">
        <v>5146.03</v>
      </c>
      <c r="P1320" s="10"/>
      <c r="Q1320" s="17" t="b">
        <v>1</v>
      </c>
      <c r="R1320" s="10"/>
    </row>
    <row r="1321">
      <c r="A1321" s="6" t="s">
        <v>7508</v>
      </c>
      <c r="B1321" s="6" t="s">
        <v>35</v>
      </c>
      <c r="C1321" s="8">
        <v>45846.0</v>
      </c>
      <c r="D1321" s="6" t="s">
        <v>1557</v>
      </c>
      <c r="E1321" s="6" t="s">
        <v>8367</v>
      </c>
      <c r="F1321" s="10"/>
      <c r="G1321" s="6" t="s">
        <v>8369</v>
      </c>
      <c r="H1321" s="6" t="s">
        <v>7603</v>
      </c>
      <c r="I1321" s="17" t="b">
        <v>0</v>
      </c>
      <c r="J1321" s="6" t="s">
        <v>546</v>
      </c>
      <c r="K1321" s="10"/>
      <c r="L1321" s="10"/>
      <c r="M1321" s="10"/>
      <c r="N1321" s="10"/>
      <c r="O1321" s="18">
        <v>110.0</v>
      </c>
      <c r="P1321" s="10"/>
      <c r="Q1321" s="17" t="b">
        <v>1</v>
      </c>
      <c r="R1321" s="10"/>
    </row>
    <row r="1322">
      <c r="A1322" s="6" t="s">
        <v>7510</v>
      </c>
      <c r="B1322" s="6" t="s">
        <v>35</v>
      </c>
      <c r="C1322" s="8">
        <v>45846.0</v>
      </c>
      <c r="D1322" s="6" t="s">
        <v>353</v>
      </c>
      <c r="E1322" s="6" t="s">
        <v>8376</v>
      </c>
      <c r="F1322" s="10"/>
      <c r="G1322" s="6" t="s">
        <v>8377</v>
      </c>
      <c r="H1322" s="6" t="s">
        <v>8378</v>
      </c>
      <c r="I1322" s="17" t="b">
        <v>1</v>
      </c>
      <c r="J1322" s="6" t="s">
        <v>546</v>
      </c>
      <c r="K1322" s="10"/>
      <c r="L1322" s="10"/>
      <c r="M1322" s="10"/>
      <c r="N1322" s="10"/>
      <c r="O1322" s="18">
        <v>39.9</v>
      </c>
      <c r="P1322" s="18">
        <v>1561953.0</v>
      </c>
      <c r="Q1322" s="17" t="b">
        <v>1</v>
      </c>
      <c r="R1322" s="10"/>
    </row>
    <row r="1323">
      <c r="A1323" s="6" t="s">
        <v>7512</v>
      </c>
      <c r="B1323" s="6" t="s">
        <v>35</v>
      </c>
      <c r="C1323" s="8">
        <v>45846.0</v>
      </c>
      <c r="D1323" s="6" t="s">
        <v>112</v>
      </c>
      <c r="E1323" s="6" t="s">
        <v>8385</v>
      </c>
      <c r="F1323" s="10"/>
      <c r="G1323" s="6" t="s">
        <v>8387</v>
      </c>
      <c r="H1323" s="6" t="s">
        <v>157</v>
      </c>
      <c r="I1323" s="17" t="b">
        <v>0</v>
      </c>
      <c r="J1323" s="6" t="s">
        <v>546</v>
      </c>
      <c r="K1323" s="10"/>
      <c r="L1323" s="10"/>
      <c r="M1323" s="10"/>
      <c r="N1323" s="10"/>
      <c r="O1323" s="18">
        <v>321.06</v>
      </c>
      <c r="P1323" s="10"/>
      <c r="Q1323" s="17" t="b">
        <v>1</v>
      </c>
      <c r="R1323" s="10"/>
    </row>
    <row r="1324">
      <c r="A1324" s="6" t="s">
        <v>7519</v>
      </c>
      <c r="B1324" s="6" t="s">
        <v>35</v>
      </c>
      <c r="C1324" s="8">
        <v>45848.0</v>
      </c>
      <c r="D1324" s="6" t="s">
        <v>8393</v>
      </c>
      <c r="E1324" s="10"/>
      <c r="F1324" s="10"/>
      <c r="G1324" s="10"/>
      <c r="H1324" s="6" t="s">
        <v>8394</v>
      </c>
      <c r="I1324" s="10"/>
      <c r="J1324" s="6" t="s">
        <v>539</v>
      </c>
      <c r="K1324" s="10"/>
      <c r="L1324" s="10"/>
      <c r="M1324" s="10"/>
      <c r="N1324" s="10"/>
      <c r="O1324" s="18">
        <v>16308.23</v>
      </c>
      <c r="P1324" s="10"/>
      <c r="Q1324" s="6"/>
      <c r="R1324" s="10"/>
    </row>
    <row r="1325">
      <c r="A1325" s="6" t="s">
        <v>7521</v>
      </c>
      <c r="B1325" s="6" t="s">
        <v>35</v>
      </c>
      <c r="C1325" s="8">
        <v>45848.0</v>
      </c>
      <c r="D1325" s="6" t="s">
        <v>1864</v>
      </c>
      <c r="E1325" s="10"/>
      <c r="F1325" s="10"/>
      <c r="G1325" s="10"/>
      <c r="H1325" s="6" t="s">
        <v>8399</v>
      </c>
      <c r="I1325" s="10"/>
      <c r="J1325" s="6" t="s">
        <v>539</v>
      </c>
      <c r="K1325" s="10"/>
      <c r="L1325" s="10"/>
      <c r="M1325" s="10"/>
      <c r="N1325" s="10"/>
      <c r="O1325" s="18">
        <v>72.55</v>
      </c>
      <c r="P1325" s="10"/>
      <c r="Q1325" s="6"/>
      <c r="R1325" s="10"/>
    </row>
    <row r="1326">
      <c r="A1326" s="6" t="s">
        <v>7524</v>
      </c>
      <c r="B1326" s="6" t="s">
        <v>35</v>
      </c>
      <c r="C1326" s="8">
        <v>45847.0</v>
      </c>
      <c r="D1326" s="6" t="s">
        <v>145</v>
      </c>
      <c r="E1326" s="6" t="s">
        <v>8406</v>
      </c>
      <c r="F1326" s="10"/>
      <c r="G1326" s="6" t="s">
        <v>8408</v>
      </c>
      <c r="H1326" s="6" t="s">
        <v>3627</v>
      </c>
      <c r="I1326" s="17" t="b">
        <v>0</v>
      </c>
      <c r="J1326" s="6" t="s">
        <v>546</v>
      </c>
      <c r="K1326" s="10"/>
      <c r="L1326" s="10"/>
      <c r="M1326" s="10"/>
      <c r="N1326" s="10"/>
      <c r="O1326" s="18">
        <v>247.5</v>
      </c>
      <c r="P1326" s="10"/>
      <c r="Q1326" s="17" t="b">
        <v>1</v>
      </c>
      <c r="R1326" s="10"/>
    </row>
    <row r="1327">
      <c r="A1327" s="6" t="s">
        <v>7531</v>
      </c>
      <c r="B1327" s="6" t="s">
        <v>35</v>
      </c>
      <c r="C1327" s="8">
        <v>45847.0</v>
      </c>
      <c r="D1327" s="6" t="s">
        <v>890</v>
      </c>
      <c r="E1327" s="6" t="s">
        <v>8413</v>
      </c>
      <c r="F1327" s="10"/>
      <c r="G1327" s="6" t="s">
        <v>8414</v>
      </c>
      <c r="H1327" s="6" t="s">
        <v>2894</v>
      </c>
      <c r="I1327" s="17" t="b">
        <v>0</v>
      </c>
      <c r="J1327" s="6" t="s">
        <v>546</v>
      </c>
      <c r="K1327" s="10"/>
      <c r="L1327" s="6" t="s">
        <v>8417</v>
      </c>
      <c r="M1327" s="6" t="s">
        <v>8418</v>
      </c>
      <c r="N1327" s="10"/>
      <c r="O1327" s="18">
        <v>9284.22</v>
      </c>
      <c r="P1327" s="10"/>
      <c r="Q1327" s="17" t="b">
        <v>1</v>
      </c>
      <c r="R1327" s="10"/>
    </row>
    <row r="1328">
      <c r="A1328" s="6" t="s">
        <v>7533</v>
      </c>
      <c r="B1328" s="6" t="s">
        <v>35</v>
      </c>
      <c r="C1328" s="8">
        <v>45848.0</v>
      </c>
      <c r="D1328" s="6" t="s">
        <v>764</v>
      </c>
      <c r="E1328" s="6" t="s">
        <v>8423</v>
      </c>
      <c r="F1328" s="10"/>
      <c r="G1328" s="6" t="s">
        <v>8424</v>
      </c>
      <c r="H1328" s="6" t="s">
        <v>195</v>
      </c>
      <c r="I1328" s="17" t="b">
        <v>0</v>
      </c>
      <c r="J1328" s="6" t="s">
        <v>546</v>
      </c>
      <c r="K1328" s="10"/>
      <c r="L1328" s="6" t="s">
        <v>8427</v>
      </c>
      <c r="M1328" s="10"/>
      <c r="N1328" s="10"/>
      <c r="O1328" s="18">
        <v>1147.5</v>
      </c>
      <c r="P1328" s="10"/>
      <c r="Q1328" s="17" t="b">
        <v>1</v>
      </c>
      <c r="R1328" s="10"/>
    </row>
    <row r="1329">
      <c r="A1329" s="6" t="s">
        <v>7547</v>
      </c>
      <c r="B1329" s="6" t="s">
        <v>35</v>
      </c>
      <c r="C1329" s="8">
        <v>45849.0</v>
      </c>
      <c r="D1329" s="6" t="s">
        <v>112</v>
      </c>
      <c r="E1329" s="6" t="s">
        <v>8432</v>
      </c>
      <c r="F1329" s="10"/>
      <c r="G1329" s="6" t="s">
        <v>8433</v>
      </c>
      <c r="H1329" s="6" t="s">
        <v>157</v>
      </c>
      <c r="I1329" s="17" t="b">
        <v>0</v>
      </c>
      <c r="J1329" s="6" t="s">
        <v>546</v>
      </c>
      <c r="K1329" s="10"/>
      <c r="L1329" s="10"/>
      <c r="M1329" s="10"/>
      <c r="N1329" s="10"/>
      <c r="O1329" s="18">
        <v>645.64</v>
      </c>
      <c r="P1329" s="10"/>
      <c r="Q1329" s="17" t="b">
        <v>1</v>
      </c>
      <c r="R1329" s="10"/>
    </row>
    <row r="1330">
      <c r="A1330" s="6" t="s">
        <v>7554</v>
      </c>
      <c r="B1330" s="6" t="s">
        <v>35</v>
      </c>
      <c r="C1330" s="8">
        <v>45850.0</v>
      </c>
      <c r="D1330" s="6" t="s">
        <v>404</v>
      </c>
      <c r="E1330" s="6" t="s">
        <v>8438</v>
      </c>
      <c r="F1330" s="10"/>
      <c r="G1330" s="6" t="s">
        <v>8439</v>
      </c>
      <c r="H1330" s="6" t="s">
        <v>4248</v>
      </c>
      <c r="I1330" s="17" t="b">
        <v>1</v>
      </c>
      <c r="J1330" s="6" t="s">
        <v>546</v>
      </c>
      <c r="K1330" s="10"/>
      <c r="L1330" s="10"/>
      <c r="M1330" s="10"/>
      <c r="N1330" s="10"/>
      <c r="O1330" s="18">
        <v>28.96</v>
      </c>
      <c r="P1330" s="18">
        <v>1567900.0</v>
      </c>
      <c r="Q1330" s="17" t="b">
        <v>1</v>
      </c>
      <c r="R1330" s="10"/>
    </row>
    <row r="1331">
      <c r="A1331" s="6" t="s">
        <v>7556</v>
      </c>
      <c r="B1331" s="6" t="s">
        <v>35</v>
      </c>
      <c r="C1331" s="8">
        <v>45850.0</v>
      </c>
      <c r="D1331" s="6" t="s">
        <v>8443</v>
      </c>
      <c r="E1331" s="6" t="s">
        <v>8444</v>
      </c>
      <c r="F1331" s="10"/>
      <c r="G1331" s="6" t="s">
        <v>8445</v>
      </c>
      <c r="H1331" s="6" t="s">
        <v>4248</v>
      </c>
      <c r="I1331" s="17" t="b">
        <v>1</v>
      </c>
      <c r="J1331" s="6" t="s">
        <v>546</v>
      </c>
      <c r="K1331" s="10"/>
      <c r="L1331" s="10"/>
      <c r="M1331" s="10"/>
      <c r="N1331" s="10"/>
      <c r="O1331" s="18">
        <v>9.98</v>
      </c>
      <c r="P1331" s="18">
        <v>1567903.0</v>
      </c>
      <c r="Q1331" s="17" t="b">
        <v>1</v>
      </c>
      <c r="R1331" s="10"/>
    </row>
    <row r="1332">
      <c r="A1332" s="6" t="s">
        <v>7558</v>
      </c>
      <c r="B1332" s="6" t="s">
        <v>35</v>
      </c>
      <c r="C1332" s="8">
        <v>45852.0</v>
      </c>
      <c r="D1332" s="6" t="s">
        <v>2248</v>
      </c>
      <c r="E1332" s="10"/>
      <c r="F1332" s="10"/>
      <c r="G1332" s="10"/>
      <c r="H1332" s="6" t="s">
        <v>8055</v>
      </c>
      <c r="I1332" s="10"/>
      <c r="J1332" s="6" t="s">
        <v>539</v>
      </c>
      <c r="K1332" s="10"/>
      <c r="L1332" s="10"/>
      <c r="M1332" s="10"/>
      <c r="N1332" s="10"/>
      <c r="O1332" s="18">
        <v>185.0</v>
      </c>
      <c r="P1332" s="10"/>
      <c r="Q1332" s="6"/>
      <c r="R1332" s="10"/>
    </row>
    <row r="1333">
      <c r="A1333" s="6" t="s">
        <v>7560</v>
      </c>
      <c r="B1333" s="6" t="s">
        <v>35</v>
      </c>
      <c r="C1333" s="8">
        <v>45853.0</v>
      </c>
      <c r="D1333" s="6" t="s">
        <v>890</v>
      </c>
      <c r="E1333" s="10"/>
      <c r="F1333" s="10"/>
      <c r="G1333" s="10"/>
      <c r="H1333" s="6" t="s">
        <v>4010</v>
      </c>
      <c r="I1333" s="10"/>
      <c r="J1333" s="6" t="s">
        <v>539</v>
      </c>
      <c r="K1333" s="10"/>
      <c r="L1333" s="10"/>
      <c r="M1333" s="10"/>
      <c r="N1333" s="10"/>
      <c r="O1333" s="18">
        <v>375.0</v>
      </c>
      <c r="P1333" s="10"/>
      <c r="Q1333" s="6"/>
      <c r="R1333" s="10"/>
    </row>
    <row r="1334">
      <c r="A1334" s="18">
        <v>1.12347759E8</v>
      </c>
      <c r="B1334" s="6" t="s">
        <v>35</v>
      </c>
      <c r="C1334" s="8">
        <v>45853.0</v>
      </c>
      <c r="D1334" s="6" t="s">
        <v>890</v>
      </c>
      <c r="E1334" s="10"/>
      <c r="F1334" s="10"/>
      <c r="G1334" s="10"/>
      <c r="H1334" s="6" t="s">
        <v>899</v>
      </c>
      <c r="I1334" s="10"/>
      <c r="J1334" s="6" t="s">
        <v>539</v>
      </c>
      <c r="K1334" s="10"/>
      <c r="L1334" s="10"/>
      <c r="M1334" s="10"/>
      <c r="N1334" s="10"/>
      <c r="O1334" s="18">
        <v>1123.55</v>
      </c>
      <c r="P1334" s="10"/>
      <c r="Q1334" s="6"/>
      <c r="R1334" s="10"/>
    </row>
    <row r="1335">
      <c r="A1335" s="6" t="s">
        <v>7563</v>
      </c>
      <c r="B1335" s="6" t="s">
        <v>35</v>
      </c>
      <c r="C1335" s="8">
        <v>45854.0</v>
      </c>
      <c r="D1335" s="6" t="s">
        <v>1864</v>
      </c>
      <c r="E1335" s="10"/>
      <c r="F1335" s="10"/>
      <c r="G1335" s="10"/>
      <c r="H1335" s="6" t="s">
        <v>8455</v>
      </c>
      <c r="I1335" s="10"/>
      <c r="J1335" s="6" t="s">
        <v>539</v>
      </c>
      <c r="K1335" s="10"/>
      <c r="L1335" s="10"/>
      <c r="M1335" s="10"/>
      <c r="N1335" s="10"/>
      <c r="O1335" s="18">
        <v>17.16</v>
      </c>
      <c r="P1335" s="10"/>
      <c r="Q1335" s="6"/>
      <c r="R1335" s="10"/>
    </row>
    <row r="1336">
      <c r="A1336" s="6" t="s">
        <v>7566</v>
      </c>
      <c r="B1336" s="6" t="s">
        <v>35</v>
      </c>
      <c r="C1336" s="8">
        <v>45854.0</v>
      </c>
      <c r="D1336" s="6" t="s">
        <v>1864</v>
      </c>
      <c r="E1336" s="10"/>
      <c r="F1336" s="10"/>
      <c r="G1336" s="10"/>
      <c r="H1336" s="6" t="s">
        <v>8455</v>
      </c>
      <c r="I1336" s="10"/>
      <c r="J1336" s="6" t="s">
        <v>539</v>
      </c>
      <c r="K1336" s="10"/>
      <c r="L1336" s="10"/>
      <c r="M1336" s="10"/>
      <c r="N1336" s="10"/>
      <c r="O1336" s="18">
        <v>2370.69</v>
      </c>
      <c r="P1336" s="10"/>
      <c r="Q1336" s="6"/>
      <c r="R1336" s="10"/>
    </row>
    <row r="1337">
      <c r="A1337" s="6" t="s">
        <v>7570</v>
      </c>
      <c r="B1337" s="6" t="s">
        <v>35</v>
      </c>
      <c r="C1337" s="8">
        <v>45858.0</v>
      </c>
      <c r="D1337" s="6" t="s">
        <v>890</v>
      </c>
      <c r="E1337" s="10"/>
      <c r="F1337" s="10"/>
      <c r="G1337" s="10"/>
      <c r="H1337" s="6" t="s">
        <v>8333</v>
      </c>
      <c r="I1337" s="10"/>
      <c r="J1337" s="6" t="s">
        <v>539</v>
      </c>
      <c r="K1337" s="10"/>
      <c r="L1337" s="10"/>
      <c r="M1337" s="10"/>
      <c r="N1337" s="10"/>
      <c r="O1337" s="18">
        <v>1979.0</v>
      </c>
      <c r="P1337" s="10"/>
      <c r="Q1337" s="6"/>
      <c r="R1337" s="10"/>
    </row>
    <row r="1338">
      <c r="A1338" s="6" t="s">
        <v>7572</v>
      </c>
      <c r="B1338" s="6" t="s">
        <v>35</v>
      </c>
      <c r="C1338" s="8">
        <v>45852.0</v>
      </c>
      <c r="D1338" s="6" t="s">
        <v>8466</v>
      </c>
      <c r="E1338" s="6" t="s">
        <v>8467</v>
      </c>
      <c r="F1338" s="10"/>
      <c r="G1338" s="6" t="s">
        <v>8468</v>
      </c>
      <c r="H1338" s="6" t="s">
        <v>8469</v>
      </c>
      <c r="I1338" s="17" t="b">
        <v>1</v>
      </c>
      <c r="J1338" s="6" t="s">
        <v>546</v>
      </c>
      <c r="K1338" s="10"/>
      <c r="L1338" s="10"/>
      <c r="M1338" s="10"/>
      <c r="N1338" s="10"/>
      <c r="O1338" s="18">
        <v>250.0</v>
      </c>
      <c r="P1338" s="18">
        <v>1572003.0</v>
      </c>
      <c r="Q1338" s="17" t="b">
        <v>1</v>
      </c>
      <c r="R1338" s="10"/>
    </row>
    <row r="1339">
      <c r="A1339" s="6" t="s">
        <v>7575</v>
      </c>
      <c r="B1339" s="6" t="s">
        <v>35</v>
      </c>
      <c r="C1339" s="8">
        <v>45855.0</v>
      </c>
      <c r="D1339" s="6" t="s">
        <v>112</v>
      </c>
      <c r="E1339" s="6" t="s">
        <v>8472</v>
      </c>
      <c r="F1339" s="10"/>
      <c r="G1339" s="6" t="s">
        <v>8474</v>
      </c>
      <c r="H1339" s="6" t="s">
        <v>157</v>
      </c>
      <c r="I1339" s="17" t="b">
        <v>0</v>
      </c>
      <c r="J1339" s="6" t="s">
        <v>546</v>
      </c>
      <c r="K1339" s="10"/>
      <c r="L1339" s="10"/>
      <c r="M1339" s="10"/>
      <c r="N1339" s="10"/>
      <c r="O1339" s="18">
        <v>499.67</v>
      </c>
      <c r="P1339" s="10"/>
      <c r="Q1339" s="17" t="b">
        <v>1</v>
      </c>
      <c r="R1339" s="10"/>
    </row>
    <row r="1340">
      <c r="A1340" s="6" t="s">
        <v>7586</v>
      </c>
      <c r="B1340" s="6" t="s">
        <v>35</v>
      </c>
      <c r="C1340" s="8">
        <v>45855.0</v>
      </c>
      <c r="D1340" s="6" t="s">
        <v>1310</v>
      </c>
      <c r="E1340" s="6" t="s">
        <v>8476</v>
      </c>
      <c r="F1340" s="10"/>
      <c r="G1340" s="6" t="s">
        <v>8477</v>
      </c>
      <c r="H1340" s="6" t="s">
        <v>8478</v>
      </c>
      <c r="I1340" s="17" t="b">
        <v>1</v>
      </c>
      <c r="J1340" s="6" t="s">
        <v>546</v>
      </c>
      <c r="K1340" s="10"/>
      <c r="L1340" s="10"/>
      <c r="M1340" s="10"/>
      <c r="N1340" s="10"/>
      <c r="O1340" s="18">
        <v>80.56</v>
      </c>
      <c r="P1340" s="18">
        <v>1578565.0</v>
      </c>
      <c r="Q1340" s="17" t="b">
        <v>1</v>
      </c>
      <c r="R1340" s="10"/>
    </row>
    <row r="1341">
      <c r="A1341" s="18">
        <v>2.3758284E7</v>
      </c>
      <c r="B1341" s="6" t="s">
        <v>35</v>
      </c>
      <c r="C1341" s="8">
        <v>45856.0</v>
      </c>
      <c r="D1341" s="6" t="s">
        <v>543</v>
      </c>
      <c r="E1341" s="6" t="s">
        <v>8481</v>
      </c>
      <c r="F1341" s="10"/>
      <c r="G1341" s="6" t="s">
        <v>8482</v>
      </c>
      <c r="H1341" s="6" t="s">
        <v>171</v>
      </c>
      <c r="I1341" s="17" t="b">
        <v>0</v>
      </c>
      <c r="J1341" s="6" t="s">
        <v>546</v>
      </c>
      <c r="K1341" s="10"/>
      <c r="L1341" s="10"/>
      <c r="M1341" s="10"/>
      <c r="N1341" s="10"/>
      <c r="O1341" s="18">
        <v>70.0</v>
      </c>
      <c r="P1341" s="10"/>
      <c r="Q1341" s="17" t="b">
        <v>1</v>
      </c>
      <c r="R1341" s="10"/>
    </row>
    <row r="1342">
      <c r="A1342" s="6" t="s">
        <v>7590</v>
      </c>
      <c r="B1342" s="6" t="s">
        <v>35</v>
      </c>
      <c r="C1342" s="8">
        <v>45859.0</v>
      </c>
      <c r="D1342" s="6" t="s">
        <v>112</v>
      </c>
      <c r="E1342" s="6" t="s">
        <v>8491</v>
      </c>
      <c r="F1342" s="10"/>
      <c r="G1342" s="6" t="s">
        <v>8492</v>
      </c>
      <c r="H1342" s="6" t="s">
        <v>171</v>
      </c>
      <c r="I1342" s="17" t="b">
        <v>0</v>
      </c>
      <c r="J1342" s="6" t="s">
        <v>546</v>
      </c>
      <c r="K1342" s="10"/>
      <c r="L1342" s="10"/>
      <c r="M1342" s="10"/>
      <c r="N1342" s="10"/>
      <c r="O1342" s="18">
        <v>190.0</v>
      </c>
      <c r="P1342" s="10"/>
      <c r="Q1342" s="17" t="b">
        <v>1</v>
      </c>
      <c r="R1342" s="10"/>
    </row>
    <row r="1343">
      <c r="A1343" s="6" t="s">
        <v>7592</v>
      </c>
      <c r="B1343" s="6" t="s">
        <v>35</v>
      </c>
      <c r="C1343" s="8">
        <v>45858.0</v>
      </c>
      <c r="D1343" s="6" t="s">
        <v>233</v>
      </c>
      <c r="E1343" s="6" t="s">
        <v>8496</v>
      </c>
      <c r="F1343" s="10"/>
      <c r="G1343" s="6" t="s">
        <v>8497</v>
      </c>
      <c r="H1343" s="6" t="s">
        <v>8499</v>
      </c>
      <c r="I1343" s="17" t="b">
        <v>1</v>
      </c>
      <c r="J1343" s="6" t="s">
        <v>546</v>
      </c>
      <c r="K1343" s="10"/>
      <c r="L1343" s="10"/>
      <c r="M1343" s="10"/>
      <c r="N1343" s="10"/>
      <c r="O1343" s="18">
        <v>104.33</v>
      </c>
      <c r="P1343" s="18">
        <v>1582479.0</v>
      </c>
      <c r="Q1343" s="17" t="b">
        <v>1</v>
      </c>
      <c r="R1343" s="10"/>
    </row>
    <row r="1344">
      <c r="A1344" s="6" t="s">
        <v>7598</v>
      </c>
      <c r="B1344" s="6" t="s">
        <v>35</v>
      </c>
      <c r="C1344" s="8">
        <v>45858.0</v>
      </c>
      <c r="D1344" s="6" t="s">
        <v>233</v>
      </c>
      <c r="E1344" s="6" t="s">
        <v>8503</v>
      </c>
      <c r="F1344" s="10"/>
      <c r="G1344" s="6" t="s">
        <v>8504</v>
      </c>
      <c r="H1344" s="6" t="s">
        <v>171</v>
      </c>
      <c r="I1344" s="17" t="b">
        <v>1</v>
      </c>
      <c r="J1344" s="6" t="s">
        <v>546</v>
      </c>
      <c r="K1344" s="10"/>
      <c r="L1344" s="10"/>
      <c r="M1344" s="10"/>
      <c r="N1344" s="10"/>
      <c r="O1344" s="18">
        <v>63.96</v>
      </c>
      <c r="P1344" s="18">
        <v>1581699.0</v>
      </c>
      <c r="Q1344" s="17" t="b">
        <v>1</v>
      </c>
      <c r="R1344" s="10"/>
    </row>
    <row r="1345">
      <c r="A1345" s="6" t="s">
        <v>7601</v>
      </c>
      <c r="B1345" s="6" t="s">
        <v>35</v>
      </c>
      <c r="C1345" s="8">
        <v>45858.0</v>
      </c>
      <c r="D1345" s="6" t="s">
        <v>8319</v>
      </c>
      <c r="E1345" s="6" t="s">
        <v>8507</v>
      </c>
      <c r="F1345" s="10"/>
      <c r="G1345" s="6" t="s">
        <v>8509</v>
      </c>
      <c r="H1345" s="6" t="s">
        <v>8510</v>
      </c>
      <c r="I1345" s="17" t="b">
        <v>1</v>
      </c>
      <c r="J1345" s="6" t="s">
        <v>546</v>
      </c>
      <c r="K1345" s="10"/>
      <c r="L1345" s="10"/>
      <c r="M1345" s="10"/>
      <c r="N1345" s="10"/>
      <c r="O1345" s="18">
        <v>36.16</v>
      </c>
      <c r="P1345" s="18">
        <v>1581700.0</v>
      </c>
      <c r="Q1345" s="17" t="b">
        <v>1</v>
      </c>
      <c r="R1345" s="10"/>
    </row>
    <row r="1346">
      <c r="A1346" s="6" t="s">
        <v>7605</v>
      </c>
      <c r="B1346" s="6" t="s">
        <v>35</v>
      </c>
      <c r="C1346" s="8">
        <v>45857.0</v>
      </c>
      <c r="D1346" s="6" t="s">
        <v>175</v>
      </c>
      <c r="E1346" s="6" t="s">
        <v>8515</v>
      </c>
      <c r="F1346" s="10"/>
      <c r="G1346" s="6" t="s">
        <v>8516</v>
      </c>
      <c r="H1346" s="6" t="s">
        <v>171</v>
      </c>
      <c r="I1346" s="17" t="b">
        <v>1</v>
      </c>
      <c r="J1346" s="6" t="s">
        <v>546</v>
      </c>
      <c r="K1346" s="10"/>
      <c r="L1346" s="10"/>
      <c r="M1346" s="10"/>
      <c r="N1346" s="10"/>
      <c r="O1346" s="18">
        <v>140.25</v>
      </c>
      <c r="P1346" s="18">
        <v>1580242.0</v>
      </c>
      <c r="Q1346" s="17" t="b">
        <v>1</v>
      </c>
      <c r="R1346" s="10"/>
    </row>
    <row r="1347">
      <c r="A1347" s="6" t="s">
        <v>7607</v>
      </c>
      <c r="B1347" s="6" t="s">
        <v>35</v>
      </c>
      <c r="C1347" s="8">
        <v>45856.0</v>
      </c>
      <c r="D1347" s="18">
        <v>8.627274E7</v>
      </c>
      <c r="E1347" s="6" t="s">
        <v>8523</v>
      </c>
      <c r="F1347" s="10"/>
      <c r="G1347" s="6" t="s">
        <v>8524</v>
      </c>
      <c r="H1347" s="6" t="s">
        <v>236</v>
      </c>
      <c r="I1347" s="17" t="b">
        <v>1</v>
      </c>
      <c r="J1347" s="6" t="s">
        <v>546</v>
      </c>
      <c r="K1347" s="10"/>
      <c r="L1347" s="10"/>
      <c r="M1347" s="10"/>
      <c r="N1347" s="10"/>
      <c r="O1347" s="18">
        <v>125.82</v>
      </c>
      <c r="P1347" s="18">
        <v>1578209.0</v>
      </c>
      <c r="Q1347" s="17" t="b">
        <v>1</v>
      </c>
      <c r="R1347" s="10"/>
    </row>
    <row r="1348">
      <c r="A1348" s="6" t="s">
        <v>7609</v>
      </c>
      <c r="B1348" s="6" t="s">
        <v>35</v>
      </c>
      <c r="C1348" s="8">
        <v>45856.0</v>
      </c>
      <c r="D1348" s="6" t="s">
        <v>353</v>
      </c>
      <c r="E1348" s="6" t="s">
        <v>8527</v>
      </c>
      <c r="F1348" s="10"/>
      <c r="G1348" s="6" t="s">
        <v>8529</v>
      </c>
      <c r="H1348" s="6" t="s">
        <v>8531</v>
      </c>
      <c r="I1348" s="17" t="b">
        <v>1</v>
      </c>
      <c r="J1348" s="6" t="s">
        <v>546</v>
      </c>
      <c r="K1348" s="10"/>
      <c r="L1348" s="10"/>
      <c r="M1348" s="10"/>
      <c r="N1348" s="10"/>
      <c r="O1348" s="18">
        <v>552.64</v>
      </c>
      <c r="P1348" s="18">
        <v>1578376.0</v>
      </c>
      <c r="Q1348" s="17" t="b">
        <v>1</v>
      </c>
      <c r="R1348" s="10"/>
    </row>
    <row r="1349">
      <c r="A1349" s="6" t="s">
        <v>7617</v>
      </c>
      <c r="B1349" s="6" t="s">
        <v>35</v>
      </c>
      <c r="C1349" s="8">
        <v>45839.0</v>
      </c>
      <c r="D1349" s="6" t="s">
        <v>1036</v>
      </c>
      <c r="E1349" s="6" t="s">
        <v>8536</v>
      </c>
      <c r="F1349" s="10"/>
      <c r="G1349" s="6" t="s">
        <v>8538</v>
      </c>
      <c r="H1349" s="6" t="s">
        <v>5755</v>
      </c>
      <c r="I1349" s="17" t="b">
        <v>0</v>
      </c>
      <c r="J1349" s="6" t="s">
        <v>546</v>
      </c>
      <c r="K1349" s="10"/>
      <c r="L1349" s="10"/>
      <c r="M1349" s="10"/>
      <c r="N1349" s="10"/>
      <c r="O1349" s="18">
        <v>124.16</v>
      </c>
      <c r="P1349" s="10"/>
      <c r="Q1349" s="17" t="b">
        <v>1</v>
      </c>
      <c r="R1349" s="10"/>
    </row>
    <row r="1350">
      <c r="A1350" s="6" t="s">
        <v>7620</v>
      </c>
      <c r="B1350" s="6" t="s">
        <v>35</v>
      </c>
      <c r="C1350" s="8">
        <v>45860.0</v>
      </c>
      <c r="D1350" s="6" t="s">
        <v>890</v>
      </c>
      <c r="E1350" s="6" t="s">
        <v>8543</v>
      </c>
      <c r="F1350" s="10"/>
      <c r="G1350" s="6" t="s">
        <v>8544</v>
      </c>
      <c r="H1350" s="6" t="s">
        <v>3813</v>
      </c>
      <c r="I1350" s="17" t="b">
        <v>0</v>
      </c>
      <c r="J1350" s="6" t="s">
        <v>546</v>
      </c>
      <c r="K1350" s="10"/>
      <c r="L1350" s="6" t="s">
        <v>8546</v>
      </c>
      <c r="M1350" s="6" t="s">
        <v>8547</v>
      </c>
      <c r="N1350" s="10"/>
      <c r="O1350" s="18">
        <v>14901.09</v>
      </c>
      <c r="P1350" s="10"/>
      <c r="Q1350" s="17" t="b">
        <v>1</v>
      </c>
      <c r="R1350" s="10"/>
    </row>
    <row r="1351">
      <c r="A1351" s="6" t="s">
        <v>7622</v>
      </c>
      <c r="B1351" s="6" t="s">
        <v>35</v>
      </c>
      <c r="C1351" s="8">
        <v>45843.0</v>
      </c>
      <c r="D1351" s="10"/>
      <c r="E1351" s="10"/>
      <c r="F1351" s="10"/>
      <c r="G1351" s="10"/>
      <c r="H1351" s="6" t="s">
        <v>8550</v>
      </c>
      <c r="I1351" s="10"/>
      <c r="J1351" s="6" t="s">
        <v>539</v>
      </c>
      <c r="K1351" s="6" t="s">
        <v>2052</v>
      </c>
      <c r="L1351" s="10"/>
      <c r="M1351" s="10"/>
      <c r="N1351" s="10"/>
      <c r="O1351" s="18">
        <v>962.42</v>
      </c>
      <c r="P1351" s="10"/>
      <c r="Q1351" s="6"/>
      <c r="R1351" s="10"/>
    </row>
    <row r="1352">
      <c r="A1352" s="6" t="s">
        <v>7624</v>
      </c>
      <c r="B1352" s="6" t="s">
        <v>35</v>
      </c>
      <c r="C1352" s="8">
        <v>45843.0</v>
      </c>
      <c r="D1352" s="10"/>
      <c r="E1352" s="10"/>
      <c r="F1352" s="10"/>
      <c r="G1352" s="10"/>
      <c r="H1352" s="6" t="s">
        <v>8550</v>
      </c>
      <c r="I1352" s="10"/>
      <c r="J1352" s="6" t="s">
        <v>539</v>
      </c>
      <c r="K1352" s="6" t="s">
        <v>227</v>
      </c>
      <c r="L1352" s="10"/>
      <c r="M1352" s="10"/>
      <c r="N1352" s="10"/>
      <c r="O1352" s="18">
        <v>2040.65</v>
      </c>
      <c r="P1352" s="10"/>
      <c r="Q1352" s="6"/>
      <c r="R1352" s="10"/>
    </row>
    <row r="1353">
      <c r="A1353" s="6" t="s">
        <v>7628</v>
      </c>
      <c r="B1353" s="6" t="s">
        <v>35</v>
      </c>
      <c r="C1353" s="8">
        <v>45843.0</v>
      </c>
      <c r="D1353" s="10"/>
      <c r="E1353" s="10"/>
      <c r="F1353" s="10"/>
      <c r="G1353" s="10"/>
      <c r="H1353" s="6" t="s">
        <v>8550</v>
      </c>
      <c r="I1353" s="10"/>
      <c r="J1353" s="6" t="s">
        <v>539</v>
      </c>
      <c r="K1353" s="6" t="s">
        <v>6062</v>
      </c>
      <c r="L1353" s="10"/>
      <c r="M1353" s="10"/>
      <c r="N1353" s="10"/>
      <c r="O1353" s="18">
        <v>1365.16</v>
      </c>
      <c r="P1353" s="10"/>
      <c r="Q1353" s="6"/>
      <c r="R1353" s="10"/>
    </row>
    <row r="1354">
      <c r="A1354" s="6" t="s">
        <v>7630</v>
      </c>
      <c r="B1354" s="6" t="s">
        <v>35</v>
      </c>
      <c r="C1354" s="8">
        <v>45843.0</v>
      </c>
      <c r="D1354" s="10"/>
      <c r="E1354" s="10"/>
      <c r="F1354" s="10"/>
      <c r="G1354" s="10"/>
      <c r="H1354" s="6" t="s">
        <v>8550</v>
      </c>
      <c r="I1354" s="10"/>
      <c r="J1354" s="6" t="s">
        <v>539</v>
      </c>
      <c r="K1354" s="6" t="s">
        <v>3795</v>
      </c>
      <c r="L1354" s="10"/>
      <c r="M1354" s="10"/>
      <c r="N1354" s="10"/>
      <c r="O1354" s="18">
        <v>1433.69</v>
      </c>
      <c r="P1354" s="10"/>
      <c r="Q1354" s="6"/>
      <c r="R1354" s="10"/>
    </row>
    <row r="1355">
      <c r="A1355" s="6" t="s">
        <v>7632</v>
      </c>
      <c r="B1355" s="6" t="s">
        <v>35</v>
      </c>
      <c r="C1355" s="8">
        <v>45864.0</v>
      </c>
      <c r="D1355" s="10"/>
      <c r="E1355" s="10"/>
      <c r="F1355" s="10"/>
      <c r="G1355" s="10"/>
      <c r="H1355" s="6" t="s">
        <v>1329</v>
      </c>
      <c r="I1355" s="10"/>
      <c r="J1355" s="6" t="s">
        <v>539</v>
      </c>
      <c r="K1355" s="6" t="s">
        <v>624</v>
      </c>
      <c r="L1355" s="10"/>
      <c r="M1355" s="10"/>
      <c r="N1355" s="10"/>
      <c r="O1355" s="18">
        <v>500.0</v>
      </c>
      <c r="P1355" s="10"/>
      <c r="Q1355" s="6"/>
      <c r="R1355" s="10"/>
    </row>
    <row r="1356">
      <c r="A1356" s="6" t="s">
        <v>7635</v>
      </c>
      <c r="B1356" s="6" t="s">
        <v>35</v>
      </c>
      <c r="C1356" s="8">
        <v>45864.0</v>
      </c>
      <c r="D1356" s="10"/>
      <c r="E1356" s="10"/>
      <c r="F1356" s="10"/>
      <c r="G1356" s="10"/>
      <c r="H1356" s="6" t="s">
        <v>1329</v>
      </c>
      <c r="I1356" s="10"/>
      <c r="J1356" s="6" t="s">
        <v>539</v>
      </c>
      <c r="K1356" s="6" t="s">
        <v>2052</v>
      </c>
      <c r="L1356" s="10"/>
      <c r="M1356" s="10"/>
      <c r="N1356" s="10"/>
      <c r="O1356" s="18">
        <v>500.0</v>
      </c>
      <c r="P1356" s="10"/>
      <c r="Q1356" s="6"/>
      <c r="R1356" s="10"/>
    </row>
    <row r="1357">
      <c r="A1357" s="6" t="s">
        <v>7639</v>
      </c>
      <c r="B1357" s="6" t="s">
        <v>35</v>
      </c>
      <c r="C1357" s="8">
        <v>45864.0</v>
      </c>
      <c r="D1357" s="10"/>
      <c r="E1357" s="10"/>
      <c r="F1357" s="10"/>
      <c r="G1357" s="10"/>
      <c r="H1357" s="6" t="s">
        <v>1329</v>
      </c>
      <c r="I1357" s="10"/>
      <c r="J1357" s="6" t="s">
        <v>539</v>
      </c>
      <c r="K1357" s="6" t="s">
        <v>6062</v>
      </c>
      <c r="L1357" s="10"/>
      <c r="M1357" s="10"/>
      <c r="N1357" s="10"/>
      <c r="O1357" s="18">
        <v>500.0</v>
      </c>
      <c r="P1357" s="10"/>
      <c r="Q1357" s="6"/>
      <c r="R1357" s="10"/>
    </row>
    <row r="1358">
      <c r="A1358" s="18">
        <v>6.5797525E7</v>
      </c>
      <c r="B1358" s="6" t="s">
        <v>35</v>
      </c>
      <c r="C1358" s="8">
        <v>45862.0</v>
      </c>
      <c r="D1358" s="6" t="s">
        <v>112</v>
      </c>
      <c r="E1358" s="6" t="s">
        <v>8573</v>
      </c>
      <c r="F1358" s="10"/>
      <c r="G1358" s="6" t="s">
        <v>8575</v>
      </c>
      <c r="H1358" s="6" t="s">
        <v>157</v>
      </c>
      <c r="I1358" s="17" t="b">
        <v>0</v>
      </c>
      <c r="J1358" s="6" t="s">
        <v>546</v>
      </c>
      <c r="K1358" s="10"/>
      <c r="L1358" s="10"/>
      <c r="M1358" s="10"/>
      <c r="N1358" s="10"/>
      <c r="O1358" s="18">
        <v>253.7</v>
      </c>
      <c r="P1358" s="10"/>
      <c r="Q1358" s="17" t="b">
        <v>1</v>
      </c>
      <c r="R1358" s="10"/>
    </row>
    <row r="1359">
      <c r="A1359" s="6" t="s">
        <v>7649</v>
      </c>
      <c r="B1359" s="6" t="s">
        <v>35</v>
      </c>
      <c r="C1359" s="8">
        <v>45862.0</v>
      </c>
      <c r="D1359" s="6" t="s">
        <v>8582</v>
      </c>
      <c r="E1359" s="6" t="s">
        <v>8583</v>
      </c>
      <c r="F1359" s="10"/>
      <c r="G1359" s="6" t="s">
        <v>8586</v>
      </c>
      <c r="H1359" s="6" t="s">
        <v>605</v>
      </c>
      <c r="I1359" s="17" t="b">
        <v>0</v>
      </c>
      <c r="J1359" s="6" t="s">
        <v>546</v>
      </c>
      <c r="K1359" s="10"/>
      <c r="L1359" s="10"/>
      <c r="M1359" s="10"/>
      <c r="N1359" s="10"/>
      <c r="O1359" s="18">
        <v>3744.66</v>
      </c>
      <c r="P1359" s="10"/>
      <c r="Q1359" s="17" t="b">
        <v>1</v>
      </c>
      <c r="R1359" s="10"/>
    </row>
    <row r="1360">
      <c r="A1360" s="6" t="s">
        <v>7652</v>
      </c>
      <c r="B1360" s="6" t="s">
        <v>35</v>
      </c>
      <c r="C1360" s="8">
        <v>45862.0</v>
      </c>
      <c r="D1360" s="6" t="s">
        <v>890</v>
      </c>
      <c r="E1360" s="6" t="s">
        <v>8592</v>
      </c>
      <c r="F1360" s="10"/>
      <c r="G1360" s="6" t="s">
        <v>8593</v>
      </c>
      <c r="H1360" s="6" t="s">
        <v>2894</v>
      </c>
      <c r="I1360" s="17" t="b">
        <v>0</v>
      </c>
      <c r="J1360" s="6" t="s">
        <v>8596</v>
      </c>
      <c r="K1360" s="10"/>
      <c r="L1360" s="6" t="s">
        <v>8597</v>
      </c>
      <c r="M1360" s="10"/>
      <c r="N1360" s="10"/>
      <c r="O1360" s="18">
        <v>22424.48</v>
      </c>
      <c r="P1360" s="10"/>
      <c r="Q1360" s="17" t="b">
        <v>1</v>
      </c>
      <c r="R1360" s="10"/>
    </row>
    <row r="1361">
      <c r="A1361" s="6" t="s">
        <v>7656</v>
      </c>
      <c r="B1361" s="6" t="s">
        <v>35</v>
      </c>
      <c r="C1361" s="8">
        <v>45863.0</v>
      </c>
      <c r="D1361" s="6" t="s">
        <v>2613</v>
      </c>
      <c r="E1361" s="6" t="s">
        <v>8599</v>
      </c>
      <c r="F1361" s="10"/>
      <c r="G1361" s="6" t="s">
        <v>8600</v>
      </c>
      <c r="H1361" s="6" t="s">
        <v>319</v>
      </c>
      <c r="I1361" s="17" t="b">
        <v>1</v>
      </c>
      <c r="J1361" s="6" t="s">
        <v>546</v>
      </c>
      <c r="K1361" s="10"/>
      <c r="L1361" s="10"/>
      <c r="M1361" s="10"/>
      <c r="N1361" s="10"/>
      <c r="O1361" s="18">
        <v>100.8</v>
      </c>
      <c r="P1361" s="18">
        <v>1590504.0</v>
      </c>
      <c r="Q1361" s="17" t="b">
        <v>1</v>
      </c>
      <c r="R1361" s="10"/>
    </row>
    <row r="1362">
      <c r="A1362" s="18">
        <v>5.2179647E7</v>
      </c>
      <c r="B1362" s="6" t="s">
        <v>35</v>
      </c>
      <c r="C1362" s="8">
        <v>45863.0</v>
      </c>
      <c r="D1362" s="6" t="s">
        <v>233</v>
      </c>
      <c r="E1362" s="6" t="s">
        <v>8604</v>
      </c>
      <c r="F1362" s="10"/>
      <c r="G1362" s="6" t="s">
        <v>8605</v>
      </c>
      <c r="H1362" s="6" t="s">
        <v>8606</v>
      </c>
      <c r="I1362" s="17" t="b">
        <v>1</v>
      </c>
      <c r="J1362" s="6" t="s">
        <v>546</v>
      </c>
      <c r="K1362" s="10"/>
      <c r="L1362" s="10"/>
      <c r="M1362" s="10"/>
      <c r="N1362" s="10"/>
      <c r="O1362" s="18">
        <v>161.15</v>
      </c>
      <c r="P1362" s="18">
        <v>1590352.0</v>
      </c>
      <c r="Q1362" s="17" t="b">
        <v>1</v>
      </c>
      <c r="R1362" s="10"/>
    </row>
    <row r="1363">
      <c r="A1363" s="6" t="s">
        <v>7664</v>
      </c>
      <c r="B1363" s="6" t="s">
        <v>35</v>
      </c>
      <c r="C1363" s="8">
        <v>45863.0</v>
      </c>
      <c r="D1363" s="6" t="s">
        <v>286</v>
      </c>
      <c r="E1363" s="6" t="s">
        <v>8609</v>
      </c>
      <c r="F1363" s="10"/>
      <c r="G1363" s="6" t="s">
        <v>8610</v>
      </c>
      <c r="H1363" s="6" t="s">
        <v>8611</v>
      </c>
      <c r="I1363" s="17" t="b">
        <v>1</v>
      </c>
      <c r="J1363" s="6" t="s">
        <v>546</v>
      </c>
      <c r="K1363" s="10"/>
      <c r="L1363" s="10"/>
      <c r="M1363" s="10"/>
      <c r="N1363" s="10"/>
      <c r="O1363" s="18">
        <v>61.8</v>
      </c>
      <c r="P1363" s="18">
        <v>1590357.0</v>
      </c>
      <c r="Q1363" s="17" t="b">
        <v>1</v>
      </c>
      <c r="R1363" s="10"/>
    </row>
    <row r="1364">
      <c r="A1364" s="6" t="s">
        <v>7667</v>
      </c>
      <c r="B1364" s="6" t="s">
        <v>35</v>
      </c>
      <c r="C1364" s="8">
        <v>45866.0</v>
      </c>
      <c r="D1364" s="6" t="s">
        <v>460</v>
      </c>
      <c r="E1364" s="10"/>
      <c r="F1364" s="10"/>
      <c r="G1364" s="10"/>
      <c r="H1364" s="6" t="s">
        <v>931</v>
      </c>
      <c r="I1364" s="10"/>
      <c r="J1364" s="6" t="s">
        <v>539</v>
      </c>
      <c r="K1364" s="10"/>
      <c r="L1364" s="10"/>
      <c r="M1364" s="10"/>
      <c r="N1364" s="10"/>
      <c r="O1364" s="18">
        <v>40.0</v>
      </c>
      <c r="P1364" s="10"/>
      <c r="Q1364" s="6"/>
      <c r="R1364" s="10"/>
    </row>
    <row r="1365">
      <c r="A1365" s="6" t="s">
        <v>7670</v>
      </c>
      <c r="B1365" s="6" t="s">
        <v>35</v>
      </c>
      <c r="C1365" s="8">
        <v>45866.0</v>
      </c>
      <c r="D1365" s="6" t="s">
        <v>460</v>
      </c>
      <c r="E1365" s="10"/>
      <c r="F1365" s="10"/>
      <c r="G1365" s="10"/>
      <c r="H1365" s="6" t="s">
        <v>8619</v>
      </c>
      <c r="I1365" s="10"/>
      <c r="J1365" s="6" t="s">
        <v>539</v>
      </c>
      <c r="K1365" s="10"/>
      <c r="L1365" s="10"/>
      <c r="M1365" s="10"/>
      <c r="N1365" s="10"/>
      <c r="O1365" s="18">
        <v>200.0</v>
      </c>
      <c r="P1365" s="10"/>
      <c r="Q1365" s="6"/>
      <c r="R1365" s="10"/>
    </row>
    <row r="1366">
      <c r="A1366" s="6" t="s">
        <v>7673</v>
      </c>
      <c r="B1366" s="6" t="s">
        <v>35</v>
      </c>
      <c r="C1366" s="8">
        <v>45866.0</v>
      </c>
      <c r="D1366" s="6" t="s">
        <v>460</v>
      </c>
      <c r="E1366" s="10"/>
      <c r="F1366" s="10"/>
      <c r="G1366" s="10"/>
      <c r="H1366" s="6" t="s">
        <v>4972</v>
      </c>
      <c r="I1366" s="10"/>
      <c r="J1366" s="6" t="s">
        <v>539</v>
      </c>
      <c r="K1366" s="10"/>
      <c r="L1366" s="10"/>
      <c r="M1366" s="10"/>
      <c r="N1366" s="10"/>
      <c r="O1366" s="18">
        <v>22.0</v>
      </c>
      <c r="P1366" s="10"/>
      <c r="Q1366" s="6"/>
      <c r="R1366" s="10"/>
    </row>
    <row r="1367">
      <c r="A1367" s="6" t="s">
        <v>7675</v>
      </c>
      <c r="B1367" s="6" t="s">
        <v>35</v>
      </c>
      <c r="C1367" s="8">
        <v>45866.0</v>
      </c>
      <c r="D1367" s="6" t="s">
        <v>460</v>
      </c>
      <c r="E1367" s="10"/>
      <c r="F1367" s="10"/>
      <c r="G1367" s="10"/>
      <c r="H1367" s="6" t="s">
        <v>4979</v>
      </c>
      <c r="I1367" s="10"/>
      <c r="J1367" s="6" t="s">
        <v>539</v>
      </c>
      <c r="K1367" s="10"/>
      <c r="L1367" s="10"/>
      <c r="M1367" s="10"/>
      <c r="N1367" s="10"/>
      <c r="O1367" s="18">
        <v>10.0</v>
      </c>
      <c r="P1367" s="10"/>
      <c r="Q1367" s="6"/>
      <c r="R1367" s="10"/>
    </row>
    <row r="1368">
      <c r="A1368" s="6" t="s">
        <v>7678</v>
      </c>
      <c r="B1368" s="6" t="s">
        <v>35</v>
      </c>
      <c r="C1368" s="8">
        <v>45862.0</v>
      </c>
      <c r="D1368" s="6" t="s">
        <v>764</v>
      </c>
      <c r="E1368" s="6" t="s">
        <v>8632</v>
      </c>
      <c r="F1368" s="10"/>
      <c r="G1368" s="6" t="s">
        <v>8633</v>
      </c>
      <c r="H1368" s="6" t="s">
        <v>195</v>
      </c>
      <c r="I1368" s="17" t="b">
        <v>0</v>
      </c>
      <c r="J1368" s="6" t="s">
        <v>546</v>
      </c>
      <c r="K1368" s="10"/>
      <c r="L1368" s="6" t="s">
        <v>8635</v>
      </c>
      <c r="M1368" s="10"/>
      <c r="N1368" s="10"/>
      <c r="O1368" s="18">
        <v>991.6</v>
      </c>
      <c r="P1368" s="10"/>
      <c r="Q1368" s="17" t="b">
        <v>1</v>
      </c>
      <c r="R1368" s="10"/>
    </row>
    <row r="1369">
      <c r="A1369" s="6" t="s">
        <v>7688</v>
      </c>
      <c r="B1369" s="6" t="s">
        <v>35</v>
      </c>
      <c r="C1369" s="8">
        <v>45863.0</v>
      </c>
      <c r="D1369" s="6" t="s">
        <v>3716</v>
      </c>
      <c r="E1369" s="6" t="s">
        <v>8638</v>
      </c>
      <c r="F1369" s="10"/>
      <c r="G1369" s="6" t="s">
        <v>8640</v>
      </c>
      <c r="H1369" s="6" t="s">
        <v>8641</v>
      </c>
      <c r="I1369" s="17" t="b">
        <v>1</v>
      </c>
      <c r="J1369" s="6" t="s">
        <v>546</v>
      </c>
      <c r="K1369" s="10"/>
      <c r="L1369" s="10"/>
      <c r="M1369" s="10"/>
      <c r="N1369" s="10"/>
      <c r="O1369" s="18">
        <v>239.38</v>
      </c>
      <c r="P1369" s="18">
        <v>1590361.0</v>
      </c>
      <c r="Q1369" s="17" t="b">
        <v>1</v>
      </c>
      <c r="R1369" s="10"/>
    </row>
    <row r="1370">
      <c r="A1370" s="6" t="s">
        <v>7690</v>
      </c>
      <c r="B1370" s="6" t="s">
        <v>35</v>
      </c>
      <c r="C1370" s="8">
        <v>45868.0</v>
      </c>
      <c r="D1370" s="6" t="s">
        <v>7095</v>
      </c>
      <c r="E1370" s="6" t="s">
        <v>8644</v>
      </c>
      <c r="F1370" s="10"/>
      <c r="G1370" s="6" t="s">
        <v>8645</v>
      </c>
      <c r="H1370" s="6" t="s">
        <v>195</v>
      </c>
      <c r="I1370" s="17" t="b">
        <v>0</v>
      </c>
      <c r="J1370" s="6" t="s">
        <v>546</v>
      </c>
      <c r="K1370" s="10"/>
      <c r="L1370" s="10"/>
      <c r="M1370" s="10"/>
      <c r="N1370" s="10"/>
      <c r="O1370" s="18">
        <v>426.14</v>
      </c>
      <c r="P1370" s="10"/>
      <c r="Q1370" s="17" t="b">
        <v>1</v>
      </c>
      <c r="R1370" s="10"/>
    </row>
    <row r="1371">
      <c r="A1371" s="6" t="s">
        <v>7695</v>
      </c>
      <c r="B1371" s="6" t="s">
        <v>35</v>
      </c>
      <c r="C1371" s="8">
        <v>45873.0</v>
      </c>
      <c r="D1371" s="6" t="s">
        <v>890</v>
      </c>
      <c r="E1371" s="10"/>
      <c r="F1371" s="10"/>
      <c r="G1371" s="10"/>
      <c r="H1371" s="6" t="s">
        <v>8652</v>
      </c>
      <c r="I1371" s="10"/>
      <c r="J1371" s="6" t="s">
        <v>539</v>
      </c>
      <c r="K1371" s="10"/>
      <c r="L1371" s="10"/>
      <c r="M1371" s="10"/>
      <c r="N1371" s="10"/>
      <c r="O1371" s="18">
        <v>3231.46</v>
      </c>
      <c r="P1371" s="10"/>
      <c r="Q1371" s="6"/>
      <c r="R1371" s="10"/>
    </row>
    <row r="1372">
      <c r="A1372" s="6" t="s">
        <v>7697</v>
      </c>
      <c r="B1372" s="6" t="s">
        <v>35</v>
      </c>
      <c r="C1372" s="8">
        <v>45873.0</v>
      </c>
      <c r="D1372" s="10"/>
      <c r="E1372" s="10"/>
      <c r="F1372" s="10"/>
      <c r="G1372" s="10"/>
      <c r="H1372" s="6" t="s">
        <v>8658</v>
      </c>
      <c r="I1372" s="10"/>
      <c r="J1372" s="6" t="s">
        <v>539</v>
      </c>
      <c r="K1372" s="6" t="s">
        <v>2052</v>
      </c>
      <c r="L1372" s="10"/>
      <c r="M1372" s="10"/>
      <c r="N1372" s="10"/>
      <c r="O1372" s="18">
        <v>1729.01</v>
      </c>
      <c r="P1372" s="10"/>
      <c r="Q1372" s="6"/>
      <c r="R1372" s="10"/>
    </row>
    <row r="1373">
      <c r="A1373" s="6" t="s">
        <v>7699</v>
      </c>
      <c r="B1373" s="6" t="s">
        <v>35</v>
      </c>
      <c r="C1373" s="8">
        <v>45873.0</v>
      </c>
      <c r="D1373" s="10"/>
      <c r="E1373" s="10"/>
      <c r="F1373" s="10"/>
      <c r="G1373" s="10"/>
      <c r="H1373" s="6" t="s">
        <v>8658</v>
      </c>
      <c r="I1373" s="10"/>
      <c r="J1373" s="6" t="s">
        <v>539</v>
      </c>
      <c r="K1373" s="6" t="s">
        <v>227</v>
      </c>
      <c r="L1373" s="10"/>
      <c r="M1373" s="10"/>
      <c r="N1373" s="10"/>
      <c r="O1373" s="18">
        <v>2123.02</v>
      </c>
      <c r="P1373" s="10"/>
      <c r="Q1373" s="6"/>
      <c r="R1373" s="10"/>
    </row>
    <row r="1374">
      <c r="A1374" s="6" t="s">
        <v>7701</v>
      </c>
      <c r="B1374" s="6" t="s">
        <v>35</v>
      </c>
      <c r="C1374" s="8">
        <v>45873.0</v>
      </c>
      <c r="D1374" s="10"/>
      <c r="E1374" s="10"/>
      <c r="F1374" s="10"/>
      <c r="G1374" s="10"/>
      <c r="H1374" s="6" t="s">
        <v>8658</v>
      </c>
      <c r="I1374" s="10"/>
      <c r="J1374" s="6" t="s">
        <v>539</v>
      </c>
      <c r="K1374" s="6" t="s">
        <v>6062</v>
      </c>
      <c r="L1374" s="10"/>
      <c r="M1374" s="10"/>
      <c r="N1374" s="10"/>
      <c r="O1374" s="18">
        <v>1431.94</v>
      </c>
      <c r="P1374" s="10"/>
      <c r="Q1374" s="6"/>
      <c r="R1374" s="10"/>
    </row>
    <row r="1375">
      <c r="A1375" s="6" t="s">
        <v>7703</v>
      </c>
      <c r="B1375" s="6" t="s">
        <v>35</v>
      </c>
      <c r="C1375" s="8">
        <v>45873.0</v>
      </c>
      <c r="D1375" s="10"/>
      <c r="E1375" s="10"/>
      <c r="F1375" s="10"/>
      <c r="G1375" s="10"/>
      <c r="H1375" s="6" t="s">
        <v>8658</v>
      </c>
      <c r="I1375" s="10"/>
      <c r="J1375" s="6" t="s">
        <v>539</v>
      </c>
      <c r="K1375" s="6" t="s">
        <v>624</v>
      </c>
      <c r="L1375" s="10"/>
      <c r="M1375" s="10"/>
      <c r="N1375" s="10"/>
      <c r="O1375" s="18">
        <v>2133.65</v>
      </c>
      <c r="P1375" s="10"/>
      <c r="Q1375" s="6"/>
      <c r="R1375" s="10"/>
    </row>
    <row r="1376">
      <c r="A1376" s="6" t="s">
        <v>7705</v>
      </c>
      <c r="B1376" s="6" t="s">
        <v>35</v>
      </c>
      <c r="C1376" s="8">
        <v>45873.0</v>
      </c>
      <c r="D1376" s="10"/>
      <c r="E1376" s="10"/>
      <c r="F1376" s="10"/>
      <c r="G1376" s="10"/>
      <c r="H1376" s="6" t="s">
        <v>8658</v>
      </c>
      <c r="I1376" s="10"/>
      <c r="J1376" s="6" t="s">
        <v>539</v>
      </c>
      <c r="K1376" s="6" t="s">
        <v>3795</v>
      </c>
      <c r="L1376" s="10"/>
      <c r="M1376" s="10"/>
      <c r="N1376" s="10"/>
      <c r="O1376" s="18">
        <v>1960.67</v>
      </c>
      <c r="P1376" s="10"/>
      <c r="Q1376" s="6"/>
      <c r="R1376" s="10"/>
    </row>
    <row r="1377">
      <c r="A1377" s="6" t="s">
        <v>7707</v>
      </c>
      <c r="B1377" s="6" t="s">
        <v>35</v>
      </c>
      <c r="C1377" s="8">
        <v>45873.0</v>
      </c>
      <c r="D1377" s="10"/>
      <c r="E1377" s="10"/>
      <c r="F1377" s="10"/>
      <c r="G1377" s="10"/>
      <c r="H1377" s="6" t="s">
        <v>3676</v>
      </c>
      <c r="I1377" s="10"/>
      <c r="J1377" s="6" t="s">
        <v>539</v>
      </c>
      <c r="K1377" s="6" t="s">
        <v>3795</v>
      </c>
      <c r="L1377" s="10"/>
      <c r="M1377" s="10"/>
      <c r="N1377" s="10"/>
      <c r="O1377" s="18">
        <v>500.0</v>
      </c>
      <c r="P1377" s="10"/>
      <c r="Q1377" s="6"/>
      <c r="R1377" s="10"/>
    </row>
    <row r="1378">
      <c r="A1378" s="6" t="s">
        <v>7709</v>
      </c>
      <c r="B1378" s="6" t="s">
        <v>35</v>
      </c>
      <c r="C1378" s="8">
        <v>45873.0</v>
      </c>
      <c r="D1378" s="6" t="s">
        <v>890</v>
      </c>
      <c r="E1378" s="10"/>
      <c r="F1378" s="10"/>
      <c r="G1378" s="10"/>
      <c r="H1378" s="6" t="s">
        <v>8677</v>
      </c>
      <c r="I1378" s="10"/>
      <c r="J1378" s="6" t="s">
        <v>539</v>
      </c>
      <c r="K1378" s="10"/>
      <c r="L1378" s="10"/>
      <c r="M1378" s="10"/>
      <c r="N1378" s="10"/>
      <c r="O1378" s="18">
        <v>4799.0</v>
      </c>
      <c r="P1378" s="10"/>
      <c r="Q1378" s="6"/>
      <c r="R1378" s="10"/>
    </row>
    <row r="1379">
      <c r="A1379" s="6" t="s">
        <v>7711</v>
      </c>
      <c r="B1379" s="6" t="s">
        <v>35</v>
      </c>
      <c r="C1379" s="8">
        <v>45868.0</v>
      </c>
      <c r="D1379" s="6" t="s">
        <v>1310</v>
      </c>
      <c r="E1379" s="6" t="s">
        <v>8682</v>
      </c>
      <c r="F1379" s="10"/>
      <c r="G1379" s="6" t="s">
        <v>8683</v>
      </c>
      <c r="H1379" s="6" t="s">
        <v>8684</v>
      </c>
      <c r="I1379" s="17" t="b">
        <v>1</v>
      </c>
      <c r="J1379" s="6" t="s">
        <v>546</v>
      </c>
      <c r="K1379" s="10"/>
      <c r="L1379" s="10"/>
      <c r="M1379" s="10"/>
      <c r="N1379" s="10"/>
      <c r="O1379" s="18">
        <v>55.0</v>
      </c>
      <c r="P1379" s="18">
        <v>1598679.0</v>
      </c>
      <c r="Q1379" s="17" t="b">
        <v>1</v>
      </c>
      <c r="R1379" s="10"/>
    </row>
    <row r="1380">
      <c r="A1380" s="6" t="s">
        <v>7713</v>
      </c>
      <c r="B1380" s="6" t="s">
        <v>35</v>
      </c>
      <c r="C1380" s="8">
        <v>45869.0</v>
      </c>
      <c r="D1380" s="6" t="s">
        <v>112</v>
      </c>
      <c r="E1380" s="6" t="s">
        <v>8689</v>
      </c>
      <c r="F1380" s="10"/>
      <c r="G1380" s="6" t="s">
        <v>8691</v>
      </c>
      <c r="H1380" s="6" t="s">
        <v>157</v>
      </c>
      <c r="I1380" s="17" t="b">
        <v>0</v>
      </c>
      <c r="J1380" s="6" t="s">
        <v>546</v>
      </c>
      <c r="K1380" s="10"/>
      <c r="L1380" s="10"/>
      <c r="M1380" s="10"/>
      <c r="N1380" s="10"/>
      <c r="O1380" s="18">
        <v>404.08</v>
      </c>
      <c r="P1380" s="10"/>
      <c r="Q1380" s="17" t="b">
        <v>1</v>
      </c>
      <c r="R1380" s="10"/>
    </row>
    <row r="1381">
      <c r="A1381" s="6" t="s">
        <v>7719</v>
      </c>
      <c r="B1381" s="6" t="s">
        <v>35</v>
      </c>
      <c r="C1381" s="8">
        <v>45870.0</v>
      </c>
      <c r="D1381" s="6" t="s">
        <v>233</v>
      </c>
      <c r="E1381" s="6" t="s">
        <v>8696</v>
      </c>
      <c r="F1381" s="10"/>
      <c r="G1381" s="6" t="s">
        <v>8698</v>
      </c>
      <c r="H1381" s="6" t="s">
        <v>8699</v>
      </c>
      <c r="I1381" s="17" t="b">
        <v>1</v>
      </c>
      <c r="J1381" s="6" t="s">
        <v>546</v>
      </c>
      <c r="K1381" s="10"/>
      <c r="L1381" s="10"/>
      <c r="M1381" s="10"/>
      <c r="N1381" s="10"/>
      <c r="O1381" s="18">
        <v>208.5</v>
      </c>
      <c r="P1381" s="18">
        <v>1601339.0</v>
      </c>
      <c r="Q1381" s="17" t="b">
        <v>1</v>
      </c>
      <c r="R1381" s="10"/>
    </row>
    <row r="1382">
      <c r="A1382" s="6" t="s">
        <v>7722</v>
      </c>
      <c r="B1382" s="6" t="s">
        <v>35</v>
      </c>
      <c r="C1382" s="8">
        <v>45870.0</v>
      </c>
      <c r="D1382" s="6" t="s">
        <v>1557</v>
      </c>
      <c r="E1382" s="6" t="s">
        <v>8704</v>
      </c>
      <c r="F1382" s="10"/>
      <c r="G1382" s="6" t="s">
        <v>8706</v>
      </c>
      <c r="H1382" s="6" t="s">
        <v>7603</v>
      </c>
      <c r="I1382" s="17" t="b">
        <v>0</v>
      </c>
      <c r="J1382" s="6" t="s">
        <v>546</v>
      </c>
      <c r="K1382" s="10"/>
      <c r="L1382" s="10"/>
      <c r="M1382" s="10"/>
      <c r="N1382" s="10"/>
      <c r="O1382" s="18">
        <v>110.0</v>
      </c>
      <c r="P1382" s="10"/>
      <c r="Q1382" s="17" t="b">
        <v>1</v>
      </c>
      <c r="R1382" s="10"/>
    </row>
    <row r="1383">
      <c r="A1383" s="6" t="s">
        <v>7724</v>
      </c>
      <c r="B1383" s="6" t="s">
        <v>35</v>
      </c>
      <c r="C1383" s="8">
        <v>45870.0</v>
      </c>
      <c r="D1383" s="6" t="s">
        <v>7740</v>
      </c>
      <c r="E1383" s="6" t="s">
        <v>8713</v>
      </c>
      <c r="F1383" s="10"/>
      <c r="G1383" s="6" t="s">
        <v>8714</v>
      </c>
      <c r="H1383" s="6" t="s">
        <v>5136</v>
      </c>
      <c r="I1383" s="17" t="b">
        <v>0</v>
      </c>
      <c r="J1383" s="6" t="s">
        <v>546</v>
      </c>
      <c r="K1383" s="10"/>
      <c r="L1383" s="10"/>
      <c r="M1383" s="10"/>
      <c r="N1383" s="10"/>
      <c r="O1383" s="18">
        <v>12.98</v>
      </c>
      <c r="P1383" s="10"/>
      <c r="Q1383" s="17" t="b">
        <v>1</v>
      </c>
      <c r="R1383" s="10"/>
    </row>
    <row r="1384">
      <c r="A1384" s="6" t="s">
        <v>7726</v>
      </c>
      <c r="B1384" s="6" t="s">
        <v>35</v>
      </c>
      <c r="C1384" s="8">
        <v>45876.0</v>
      </c>
      <c r="D1384" s="6" t="s">
        <v>8717</v>
      </c>
      <c r="E1384" s="6" t="s">
        <v>8718</v>
      </c>
      <c r="F1384" s="10"/>
      <c r="G1384" s="6" t="s">
        <v>8720</v>
      </c>
      <c r="H1384" s="6" t="s">
        <v>171</v>
      </c>
      <c r="I1384" s="17" t="b">
        <v>0</v>
      </c>
      <c r="J1384" s="6" t="s">
        <v>546</v>
      </c>
      <c r="K1384" s="10"/>
      <c r="L1384" s="10"/>
      <c r="M1384" s="10"/>
      <c r="N1384" s="10"/>
      <c r="O1384" s="18">
        <v>500.0</v>
      </c>
      <c r="P1384" s="10"/>
      <c r="Q1384" s="17" t="b">
        <v>1</v>
      </c>
      <c r="R1384" s="10"/>
    </row>
    <row r="1385">
      <c r="A1385" s="6" t="s">
        <v>7731</v>
      </c>
      <c r="B1385" s="6" t="s">
        <v>35</v>
      </c>
      <c r="C1385" s="8">
        <v>45874.0</v>
      </c>
      <c r="D1385" s="6" t="s">
        <v>890</v>
      </c>
      <c r="E1385" s="6" t="s">
        <v>8725</v>
      </c>
      <c r="F1385" s="10"/>
      <c r="G1385" s="6" t="s">
        <v>8727</v>
      </c>
      <c r="H1385" s="6" t="s">
        <v>8728</v>
      </c>
      <c r="I1385" s="17" t="b">
        <v>0</v>
      </c>
      <c r="J1385" s="6" t="s">
        <v>546</v>
      </c>
      <c r="K1385" s="10"/>
      <c r="L1385" s="6" t="s">
        <v>8729</v>
      </c>
      <c r="M1385" s="6" t="s">
        <v>8730</v>
      </c>
      <c r="N1385" s="10"/>
      <c r="O1385" s="18">
        <v>16753.67</v>
      </c>
      <c r="P1385" s="10"/>
      <c r="Q1385" s="17" t="b">
        <v>1</v>
      </c>
      <c r="R1385" s="10"/>
    </row>
    <row r="1386">
      <c r="A1386" s="6" t="s">
        <v>7733</v>
      </c>
      <c r="B1386" s="6" t="s">
        <v>35</v>
      </c>
      <c r="C1386" s="8">
        <v>45874.0</v>
      </c>
      <c r="D1386" s="6" t="s">
        <v>890</v>
      </c>
      <c r="E1386" s="6" t="s">
        <v>8732</v>
      </c>
      <c r="F1386" s="10"/>
      <c r="G1386" s="6" t="s">
        <v>8733</v>
      </c>
      <c r="H1386" s="6" t="s">
        <v>2894</v>
      </c>
      <c r="I1386" s="17" t="b">
        <v>0</v>
      </c>
      <c r="J1386" s="6" t="s">
        <v>546</v>
      </c>
      <c r="K1386" s="10"/>
      <c r="L1386" s="10"/>
      <c r="M1386" s="10"/>
      <c r="N1386" s="10"/>
      <c r="O1386" s="18">
        <v>392.88</v>
      </c>
      <c r="P1386" s="10"/>
      <c r="Q1386" s="17" t="b">
        <v>1</v>
      </c>
      <c r="R1386" s="10"/>
    </row>
    <row r="1387">
      <c r="A1387" s="6" t="s">
        <v>7735</v>
      </c>
      <c r="B1387" s="6" t="s">
        <v>35</v>
      </c>
      <c r="C1387" s="8">
        <v>45876.0</v>
      </c>
      <c r="D1387" s="6" t="s">
        <v>112</v>
      </c>
      <c r="E1387" s="6" t="s">
        <v>8737</v>
      </c>
      <c r="F1387" s="10"/>
      <c r="G1387" s="6" t="s">
        <v>8739</v>
      </c>
      <c r="H1387" s="6" t="s">
        <v>157</v>
      </c>
      <c r="I1387" s="17" t="b">
        <v>0</v>
      </c>
      <c r="J1387" s="6" t="s">
        <v>546</v>
      </c>
      <c r="K1387" s="10"/>
      <c r="L1387" s="10"/>
      <c r="M1387" s="10"/>
      <c r="N1387" s="10"/>
      <c r="O1387" s="18">
        <v>417.77</v>
      </c>
      <c r="P1387" s="10"/>
      <c r="Q1387" s="17" t="b">
        <v>1</v>
      </c>
      <c r="R1387" s="10"/>
    </row>
    <row r="1388">
      <c r="A1388" s="6" t="s">
        <v>7743</v>
      </c>
      <c r="B1388" s="6" t="s">
        <v>35</v>
      </c>
      <c r="C1388" s="8">
        <v>45876.0</v>
      </c>
      <c r="D1388" s="6" t="s">
        <v>890</v>
      </c>
      <c r="E1388" s="6" t="s">
        <v>8746</v>
      </c>
      <c r="F1388" s="10"/>
      <c r="G1388" s="6" t="s">
        <v>8747</v>
      </c>
      <c r="H1388" s="6" t="s">
        <v>3813</v>
      </c>
      <c r="I1388" s="17" t="b">
        <v>0</v>
      </c>
      <c r="J1388" s="6" t="s">
        <v>546</v>
      </c>
      <c r="K1388" s="10"/>
      <c r="L1388" s="6" t="s">
        <v>8748</v>
      </c>
      <c r="M1388" s="10"/>
      <c r="N1388" s="10"/>
      <c r="O1388" s="18">
        <v>4648.56</v>
      </c>
      <c r="P1388" s="10"/>
      <c r="Q1388" s="17" t="b">
        <v>1</v>
      </c>
      <c r="R1388" s="10"/>
    </row>
    <row r="1389">
      <c r="A1389" s="6" t="s">
        <v>7746</v>
      </c>
      <c r="B1389" s="6" t="s">
        <v>35</v>
      </c>
      <c r="C1389" s="8">
        <v>45877.0</v>
      </c>
      <c r="D1389" s="6" t="s">
        <v>233</v>
      </c>
      <c r="E1389" s="6" t="s">
        <v>8750</v>
      </c>
      <c r="F1389" s="10"/>
      <c r="G1389" s="6" t="s">
        <v>8753</v>
      </c>
      <c r="H1389" s="6" t="s">
        <v>4614</v>
      </c>
      <c r="I1389" s="17" t="b">
        <v>1</v>
      </c>
      <c r="J1389" s="6" t="s">
        <v>546</v>
      </c>
      <c r="K1389" s="10"/>
      <c r="L1389" s="10"/>
      <c r="M1389" s="10"/>
      <c r="N1389" s="10"/>
      <c r="O1389" s="18">
        <v>141.43</v>
      </c>
      <c r="P1389" s="18">
        <v>1613887.0</v>
      </c>
      <c r="Q1389" s="17" t="b">
        <v>1</v>
      </c>
      <c r="R1389" s="10"/>
    </row>
    <row r="1390">
      <c r="A1390" s="6" t="s">
        <v>7748</v>
      </c>
      <c r="B1390" s="6" t="s">
        <v>35</v>
      </c>
      <c r="C1390" s="8">
        <v>45880.0</v>
      </c>
      <c r="D1390" s="6" t="s">
        <v>2248</v>
      </c>
      <c r="E1390" s="10"/>
      <c r="F1390" s="10"/>
      <c r="G1390" s="10"/>
      <c r="H1390" s="6" t="s">
        <v>8055</v>
      </c>
      <c r="I1390" s="10"/>
      <c r="J1390" s="6" t="s">
        <v>539</v>
      </c>
      <c r="K1390" s="10"/>
      <c r="L1390" s="10"/>
      <c r="M1390" s="10"/>
      <c r="N1390" s="10"/>
      <c r="O1390" s="18">
        <v>185.0</v>
      </c>
      <c r="P1390" s="10"/>
      <c r="Q1390" s="6"/>
      <c r="R1390" s="10"/>
    </row>
    <row r="1391">
      <c r="A1391" s="6" t="s">
        <v>7750</v>
      </c>
      <c r="B1391" s="6" t="s">
        <v>35</v>
      </c>
      <c r="C1391" s="8">
        <v>45884.0</v>
      </c>
      <c r="D1391" s="6" t="s">
        <v>890</v>
      </c>
      <c r="E1391" s="10"/>
      <c r="F1391" s="10"/>
      <c r="G1391" s="10"/>
      <c r="H1391" s="6" t="s">
        <v>4010</v>
      </c>
      <c r="I1391" s="10"/>
      <c r="J1391" s="6" t="s">
        <v>539</v>
      </c>
      <c r="K1391" s="10"/>
      <c r="L1391" s="10"/>
      <c r="M1391" s="10"/>
      <c r="N1391" s="10"/>
      <c r="O1391" s="18">
        <v>375.0</v>
      </c>
      <c r="P1391" s="10"/>
      <c r="Q1391" s="6"/>
      <c r="R1391" s="10"/>
    </row>
    <row r="1392">
      <c r="A1392" s="6" t="s">
        <v>7752</v>
      </c>
      <c r="B1392" s="6" t="s">
        <v>35</v>
      </c>
      <c r="C1392" s="8">
        <v>45884.0</v>
      </c>
      <c r="D1392" s="6" t="s">
        <v>890</v>
      </c>
      <c r="E1392" s="10"/>
      <c r="F1392" s="10"/>
      <c r="G1392" s="10"/>
      <c r="H1392" s="6" t="s">
        <v>8764</v>
      </c>
      <c r="I1392" s="10"/>
      <c r="J1392" s="6" t="s">
        <v>539</v>
      </c>
      <c r="K1392" s="10"/>
      <c r="L1392" s="10"/>
      <c r="M1392" s="10"/>
      <c r="N1392" s="10"/>
      <c r="O1392" s="18">
        <v>3601.0</v>
      </c>
      <c r="P1392" s="10"/>
      <c r="Q1392" s="6"/>
      <c r="R1392" s="10"/>
    </row>
    <row r="1393">
      <c r="A1393" s="6" t="s">
        <v>7755</v>
      </c>
      <c r="B1393" s="6" t="s">
        <v>35</v>
      </c>
      <c r="C1393" s="8">
        <v>45884.0</v>
      </c>
      <c r="D1393" s="6" t="s">
        <v>890</v>
      </c>
      <c r="E1393" s="10"/>
      <c r="F1393" s="10"/>
      <c r="G1393" s="10"/>
      <c r="H1393" s="6" t="s">
        <v>8768</v>
      </c>
      <c r="I1393" s="10"/>
      <c r="J1393" s="6" t="s">
        <v>539</v>
      </c>
      <c r="K1393" s="10"/>
      <c r="L1393" s="10"/>
      <c r="M1393" s="10"/>
      <c r="N1393" s="10"/>
      <c r="O1393" s="18">
        <v>85.2</v>
      </c>
      <c r="P1393" s="10"/>
      <c r="Q1393" s="6"/>
      <c r="R1393" s="10"/>
    </row>
    <row r="1394">
      <c r="A1394" s="6" t="s">
        <v>7758</v>
      </c>
      <c r="B1394" s="6" t="s">
        <v>35</v>
      </c>
      <c r="C1394" s="8">
        <v>45886.0</v>
      </c>
      <c r="D1394" s="6" t="s">
        <v>8771</v>
      </c>
      <c r="E1394" s="10"/>
      <c r="F1394" s="10"/>
      <c r="G1394" s="10"/>
      <c r="H1394" s="6" t="s">
        <v>8773</v>
      </c>
      <c r="I1394" s="10"/>
      <c r="J1394" s="6" t="s">
        <v>539</v>
      </c>
      <c r="K1394" s="10"/>
      <c r="L1394" s="10"/>
      <c r="M1394" s="10"/>
      <c r="N1394" s="10"/>
      <c r="O1394" s="18">
        <v>500.0</v>
      </c>
      <c r="P1394" s="10"/>
      <c r="Q1394" s="6"/>
      <c r="R1394" s="10"/>
    </row>
    <row r="1395">
      <c r="A1395" s="6" t="s">
        <v>7762</v>
      </c>
      <c r="B1395" s="6" t="s">
        <v>35</v>
      </c>
      <c r="C1395" s="8">
        <v>45880.0</v>
      </c>
      <c r="D1395" s="6" t="s">
        <v>145</v>
      </c>
      <c r="E1395" s="6" t="s">
        <v>8777</v>
      </c>
      <c r="F1395" s="10"/>
      <c r="G1395" s="6" t="s">
        <v>8778</v>
      </c>
      <c r="H1395" s="6" t="s">
        <v>4200</v>
      </c>
      <c r="I1395" s="17" t="b">
        <v>0</v>
      </c>
      <c r="J1395" s="6" t="s">
        <v>546</v>
      </c>
      <c r="K1395" s="10"/>
      <c r="L1395" s="10"/>
      <c r="M1395" s="10"/>
      <c r="N1395" s="10"/>
      <c r="O1395" s="18">
        <v>249.5</v>
      </c>
      <c r="P1395" s="10"/>
      <c r="Q1395" s="17" t="b">
        <v>1</v>
      </c>
      <c r="R1395" s="10"/>
    </row>
    <row r="1396">
      <c r="A1396" s="6" t="s">
        <v>7770</v>
      </c>
      <c r="B1396" s="6" t="s">
        <v>35</v>
      </c>
      <c r="C1396" s="8">
        <v>45883.0</v>
      </c>
      <c r="D1396" s="6" t="s">
        <v>112</v>
      </c>
      <c r="E1396" s="6" t="s">
        <v>8783</v>
      </c>
      <c r="F1396" s="10"/>
      <c r="G1396" s="6" t="s">
        <v>8784</v>
      </c>
      <c r="H1396" s="6" t="s">
        <v>157</v>
      </c>
      <c r="I1396" s="17" t="b">
        <v>0</v>
      </c>
      <c r="J1396" s="6" t="s">
        <v>546</v>
      </c>
      <c r="K1396" s="10"/>
      <c r="L1396" s="10"/>
      <c r="M1396" s="10"/>
      <c r="N1396" s="10"/>
      <c r="O1396" s="18">
        <v>260.21</v>
      </c>
      <c r="P1396" s="10"/>
      <c r="Q1396" s="17" t="b">
        <v>1</v>
      </c>
      <c r="R1396" s="10"/>
    </row>
    <row r="1397">
      <c r="A1397" s="18">
        <v>8.4663663E7</v>
      </c>
      <c r="B1397" s="6" t="s">
        <v>35</v>
      </c>
      <c r="C1397" s="8">
        <v>45883.0</v>
      </c>
      <c r="D1397" s="6" t="s">
        <v>8787</v>
      </c>
      <c r="E1397" s="6" t="s">
        <v>8788</v>
      </c>
      <c r="F1397" s="10"/>
      <c r="G1397" s="6" t="s">
        <v>8789</v>
      </c>
      <c r="H1397" s="6" t="s">
        <v>8790</v>
      </c>
      <c r="I1397" s="17" t="b">
        <v>1</v>
      </c>
      <c r="J1397" s="6" t="s">
        <v>546</v>
      </c>
      <c r="K1397" s="10"/>
      <c r="L1397" s="10"/>
      <c r="M1397" s="10"/>
      <c r="N1397" s="10"/>
      <c r="O1397" s="18">
        <v>15.0</v>
      </c>
      <c r="P1397" s="18">
        <v>1622670.0</v>
      </c>
      <c r="Q1397" s="17" t="b">
        <v>1</v>
      </c>
      <c r="R1397" s="10"/>
    </row>
    <row r="1398">
      <c r="A1398" s="6" t="s">
        <v>7778</v>
      </c>
      <c r="B1398" s="6" t="s">
        <v>35</v>
      </c>
      <c r="C1398" s="8">
        <v>45883.0</v>
      </c>
      <c r="D1398" s="6" t="s">
        <v>8793</v>
      </c>
      <c r="E1398" s="6" t="s">
        <v>8794</v>
      </c>
      <c r="F1398" s="10"/>
      <c r="G1398" s="6" t="s">
        <v>8796</v>
      </c>
      <c r="H1398" s="6" t="s">
        <v>8798</v>
      </c>
      <c r="I1398" s="17" t="b">
        <v>1</v>
      </c>
      <c r="J1398" s="6" t="s">
        <v>546</v>
      </c>
      <c r="K1398" s="10"/>
      <c r="L1398" s="10"/>
      <c r="M1398" s="10"/>
      <c r="N1398" s="10"/>
      <c r="O1398" s="18">
        <v>15.0</v>
      </c>
      <c r="P1398" s="18">
        <v>1622675.0</v>
      </c>
      <c r="Q1398" s="17" t="b">
        <v>1</v>
      </c>
      <c r="R1398" s="10"/>
    </row>
    <row r="1399">
      <c r="A1399" s="6" t="s">
        <v>7782</v>
      </c>
      <c r="B1399" s="6" t="s">
        <v>35</v>
      </c>
      <c r="C1399" s="8">
        <v>45887.0</v>
      </c>
      <c r="D1399" s="6" t="s">
        <v>890</v>
      </c>
      <c r="E1399" s="10"/>
      <c r="F1399" s="10"/>
      <c r="G1399" s="10"/>
      <c r="H1399" s="6" t="s">
        <v>8803</v>
      </c>
      <c r="I1399" s="10"/>
      <c r="J1399" s="6" t="s">
        <v>539</v>
      </c>
      <c r="K1399" s="10"/>
      <c r="L1399" s="10"/>
      <c r="M1399" s="10"/>
      <c r="N1399" s="10"/>
      <c r="O1399" s="18">
        <v>1008.09</v>
      </c>
      <c r="P1399" s="10"/>
      <c r="Q1399" s="6"/>
      <c r="R1399" s="10"/>
    </row>
    <row r="1400">
      <c r="A1400" s="6" t="s">
        <v>7784</v>
      </c>
      <c r="B1400" s="6" t="s">
        <v>35</v>
      </c>
      <c r="C1400" s="8">
        <v>45884.0</v>
      </c>
      <c r="D1400" s="6" t="s">
        <v>890</v>
      </c>
      <c r="E1400" s="6" t="s">
        <v>8806</v>
      </c>
      <c r="F1400" s="10"/>
      <c r="G1400" s="6" t="s">
        <v>8808</v>
      </c>
      <c r="H1400" s="6" t="s">
        <v>8810</v>
      </c>
      <c r="I1400" s="17" t="b">
        <v>0</v>
      </c>
      <c r="J1400" s="6" t="s">
        <v>546</v>
      </c>
      <c r="K1400" s="10"/>
      <c r="L1400" s="10"/>
      <c r="M1400" s="10"/>
      <c r="N1400" s="10"/>
      <c r="O1400" s="18">
        <v>129.12</v>
      </c>
      <c r="P1400" s="10"/>
      <c r="Q1400" s="17" t="b">
        <v>1</v>
      </c>
      <c r="R1400" s="10"/>
    </row>
    <row r="1401">
      <c r="A1401" s="6" t="s">
        <v>7788</v>
      </c>
      <c r="B1401" s="6" t="s">
        <v>35</v>
      </c>
      <c r="C1401" s="8">
        <v>45884.0</v>
      </c>
      <c r="D1401" s="6" t="s">
        <v>890</v>
      </c>
      <c r="E1401" s="6" t="s">
        <v>8813</v>
      </c>
      <c r="F1401" s="10"/>
      <c r="G1401" s="6" t="s">
        <v>8814</v>
      </c>
      <c r="H1401" s="6" t="s">
        <v>8815</v>
      </c>
      <c r="I1401" s="17" t="b">
        <v>0</v>
      </c>
      <c r="J1401" s="6" t="s">
        <v>546</v>
      </c>
      <c r="K1401" s="10"/>
      <c r="L1401" s="10"/>
      <c r="M1401" s="10"/>
      <c r="N1401" s="10"/>
      <c r="O1401" s="18">
        <v>129.12</v>
      </c>
      <c r="P1401" s="10"/>
      <c r="Q1401" s="17" t="b">
        <v>1</v>
      </c>
      <c r="R1401" s="10"/>
    </row>
    <row r="1402">
      <c r="A1402" s="6" t="s">
        <v>7790</v>
      </c>
      <c r="B1402" s="6" t="s">
        <v>35</v>
      </c>
      <c r="C1402" s="8">
        <v>45884.0</v>
      </c>
      <c r="D1402" s="18">
        <v>8.627274E7</v>
      </c>
      <c r="E1402" s="6" t="s">
        <v>8820</v>
      </c>
      <c r="F1402" s="10"/>
      <c r="G1402" s="6" t="s">
        <v>8821</v>
      </c>
      <c r="H1402" s="6" t="s">
        <v>236</v>
      </c>
      <c r="I1402" s="17" t="b">
        <v>1</v>
      </c>
      <c r="J1402" s="6" t="s">
        <v>546</v>
      </c>
      <c r="K1402" s="10"/>
      <c r="L1402" s="10"/>
      <c r="M1402" s="10"/>
      <c r="N1402" s="10"/>
      <c r="O1402" s="18">
        <v>93.35</v>
      </c>
      <c r="P1402" s="18">
        <v>1624020.0</v>
      </c>
      <c r="Q1402" s="17" t="b">
        <v>1</v>
      </c>
      <c r="R1402" s="10"/>
    </row>
    <row r="1403">
      <c r="A1403" s="6" t="s">
        <v>7792</v>
      </c>
      <c r="B1403" s="6" t="s">
        <v>35</v>
      </c>
      <c r="C1403" s="8">
        <v>45887.0</v>
      </c>
      <c r="D1403" s="6" t="s">
        <v>112</v>
      </c>
      <c r="E1403" s="6" t="s">
        <v>8826</v>
      </c>
      <c r="F1403" s="10"/>
      <c r="G1403" s="6" t="s">
        <v>8827</v>
      </c>
      <c r="H1403" s="6" t="s">
        <v>157</v>
      </c>
      <c r="I1403" s="17" t="b">
        <v>0</v>
      </c>
      <c r="J1403" s="6" t="s">
        <v>546</v>
      </c>
      <c r="K1403" s="10"/>
      <c r="L1403" s="10"/>
      <c r="M1403" s="10"/>
      <c r="N1403" s="10"/>
      <c r="O1403" s="18">
        <v>123.2</v>
      </c>
      <c r="P1403" s="10"/>
      <c r="Q1403" s="17" t="b">
        <v>1</v>
      </c>
      <c r="R1403" s="10"/>
    </row>
    <row r="1404">
      <c r="A1404" s="6" t="s">
        <v>7798</v>
      </c>
      <c r="B1404" s="6" t="s">
        <v>35</v>
      </c>
      <c r="C1404" s="8">
        <v>45887.0</v>
      </c>
      <c r="D1404" s="6" t="s">
        <v>890</v>
      </c>
      <c r="E1404" s="6" t="s">
        <v>8831</v>
      </c>
      <c r="F1404" s="10"/>
      <c r="G1404" s="6" t="s">
        <v>8833</v>
      </c>
      <c r="H1404" s="6" t="s">
        <v>3813</v>
      </c>
      <c r="I1404" s="17" t="b">
        <v>0</v>
      </c>
      <c r="J1404" s="6" t="s">
        <v>546</v>
      </c>
      <c r="K1404" s="10"/>
      <c r="L1404" s="10"/>
      <c r="M1404" s="10"/>
      <c r="N1404" s="10"/>
      <c r="O1404" s="18">
        <v>570.24</v>
      </c>
      <c r="P1404" s="10"/>
      <c r="Q1404" s="17" t="b">
        <v>1</v>
      </c>
      <c r="R1404" s="10"/>
    </row>
    <row r="1405">
      <c r="A1405" s="6" t="s">
        <v>7801</v>
      </c>
      <c r="B1405" s="6" t="s">
        <v>35</v>
      </c>
      <c r="C1405" s="8">
        <v>45887.0</v>
      </c>
      <c r="D1405" s="26" t="s">
        <v>8582</v>
      </c>
      <c r="E1405" s="6" t="s">
        <v>8838</v>
      </c>
      <c r="F1405" s="10"/>
      <c r="G1405" s="6" t="s">
        <v>8839</v>
      </c>
      <c r="H1405" s="6" t="s">
        <v>605</v>
      </c>
      <c r="I1405" s="17" t="b">
        <v>0</v>
      </c>
      <c r="J1405" s="6" t="s">
        <v>546</v>
      </c>
      <c r="K1405" s="10"/>
      <c r="L1405" s="10"/>
      <c r="M1405" s="10"/>
      <c r="N1405" s="10"/>
      <c r="O1405" s="18">
        <v>3621.7</v>
      </c>
      <c r="P1405" s="10"/>
      <c r="Q1405" s="17" t="b">
        <v>1</v>
      </c>
      <c r="R1405" s="10"/>
    </row>
    <row r="1406">
      <c r="A1406" s="6" t="s">
        <v>7803</v>
      </c>
      <c r="B1406" s="6" t="s">
        <v>35</v>
      </c>
      <c r="C1406" s="8">
        <v>45887.0</v>
      </c>
      <c r="D1406" s="6" t="s">
        <v>890</v>
      </c>
      <c r="E1406" s="6" t="s">
        <v>8842</v>
      </c>
      <c r="F1406" s="10"/>
      <c r="G1406" s="6" t="s">
        <v>8843</v>
      </c>
      <c r="H1406" s="6" t="s">
        <v>4787</v>
      </c>
      <c r="I1406" s="17" t="b">
        <v>0</v>
      </c>
      <c r="J1406" s="6" t="s">
        <v>546</v>
      </c>
      <c r="K1406" s="10"/>
      <c r="L1406" s="6" t="s">
        <v>8846</v>
      </c>
      <c r="M1406" s="10"/>
      <c r="N1406" s="10"/>
      <c r="O1406" s="18">
        <v>8088.79</v>
      </c>
      <c r="P1406" s="10"/>
      <c r="Q1406" s="17" t="b">
        <v>1</v>
      </c>
      <c r="R1406" s="10"/>
    </row>
    <row r="1407">
      <c r="A1407" s="6" t="s">
        <v>7805</v>
      </c>
      <c r="B1407" s="6" t="s">
        <v>35</v>
      </c>
      <c r="C1407" s="8">
        <v>45889.0</v>
      </c>
      <c r="D1407" s="6" t="s">
        <v>112</v>
      </c>
      <c r="E1407" s="6" t="s">
        <v>8847</v>
      </c>
      <c r="F1407" s="10"/>
      <c r="G1407" s="6" t="s">
        <v>8848</v>
      </c>
      <c r="H1407" s="6" t="s">
        <v>5545</v>
      </c>
      <c r="I1407" s="17" t="b">
        <v>0</v>
      </c>
      <c r="J1407" s="6" t="s">
        <v>546</v>
      </c>
      <c r="K1407" s="10"/>
      <c r="L1407" s="10"/>
      <c r="M1407" s="10"/>
      <c r="N1407" s="10"/>
      <c r="O1407" s="18">
        <v>228.53</v>
      </c>
      <c r="P1407" s="10"/>
      <c r="Q1407" s="17" t="b">
        <v>1</v>
      </c>
      <c r="R1407" s="10"/>
    </row>
    <row r="1408">
      <c r="A1408" s="6" t="s">
        <v>7810</v>
      </c>
      <c r="B1408" s="6" t="s">
        <v>35</v>
      </c>
      <c r="C1408" s="8">
        <v>45889.0</v>
      </c>
      <c r="D1408" s="26" t="s">
        <v>8582</v>
      </c>
      <c r="E1408" s="6" t="s">
        <v>8851</v>
      </c>
      <c r="F1408" s="10"/>
      <c r="G1408" s="6" t="s">
        <v>8852</v>
      </c>
      <c r="H1408" s="6" t="s">
        <v>605</v>
      </c>
      <c r="I1408" s="17" t="b">
        <v>0</v>
      </c>
      <c r="J1408" s="6" t="s">
        <v>546</v>
      </c>
      <c r="K1408" s="10"/>
      <c r="L1408" s="10"/>
      <c r="M1408" s="10"/>
      <c r="N1408" s="10"/>
      <c r="O1408" s="18">
        <v>335.47</v>
      </c>
      <c r="P1408" s="10"/>
      <c r="Q1408" s="17" t="b">
        <v>1</v>
      </c>
      <c r="R1408" s="10"/>
    </row>
    <row r="1409">
      <c r="A1409" s="6" t="s">
        <v>7813</v>
      </c>
      <c r="B1409" s="6" t="s">
        <v>35</v>
      </c>
      <c r="C1409" s="8">
        <v>45884.0</v>
      </c>
      <c r="D1409" s="6" t="s">
        <v>3716</v>
      </c>
      <c r="E1409" s="6" t="s">
        <v>8857</v>
      </c>
      <c r="F1409" s="10"/>
      <c r="G1409" s="6" t="s">
        <v>8859</v>
      </c>
      <c r="H1409" s="6" t="s">
        <v>195</v>
      </c>
      <c r="I1409" s="17" t="b">
        <v>1</v>
      </c>
      <c r="J1409" s="6" t="s">
        <v>546</v>
      </c>
      <c r="K1409" s="10"/>
      <c r="L1409" s="10"/>
      <c r="M1409" s="10"/>
      <c r="N1409" s="10"/>
      <c r="O1409" s="18">
        <v>139.0</v>
      </c>
      <c r="P1409" s="18">
        <v>1624328.0</v>
      </c>
      <c r="Q1409" s="17" t="b">
        <v>1</v>
      </c>
      <c r="R1409" s="10"/>
    </row>
    <row r="1410">
      <c r="A1410" s="6" t="s">
        <v>7815</v>
      </c>
      <c r="B1410" s="6" t="s">
        <v>35</v>
      </c>
      <c r="C1410" s="8">
        <v>45890.0</v>
      </c>
      <c r="D1410" s="6" t="s">
        <v>8864</v>
      </c>
      <c r="E1410" s="6" t="s">
        <v>8866</v>
      </c>
      <c r="F1410" s="10"/>
      <c r="G1410" s="6" t="s">
        <v>8867</v>
      </c>
      <c r="H1410" s="6" t="s">
        <v>195</v>
      </c>
      <c r="I1410" s="17" t="b">
        <v>0</v>
      </c>
      <c r="J1410" s="6" t="s">
        <v>546</v>
      </c>
      <c r="K1410" s="10"/>
      <c r="L1410" s="10"/>
      <c r="M1410" s="10"/>
      <c r="N1410" s="10"/>
      <c r="O1410" s="18">
        <v>420.0</v>
      </c>
      <c r="P1410" s="10"/>
      <c r="Q1410" s="17" t="b">
        <v>1</v>
      </c>
      <c r="R1410" s="10"/>
    </row>
    <row r="1411">
      <c r="A1411" s="6" t="s">
        <v>7821</v>
      </c>
      <c r="B1411" s="6" t="s">
        <v>35</v>
      </c>
      <c r="C1411" s="8">
        <v>45883.0</v>
      </c>
      <c r="D1411" s="6" t="s">
        <v>764</v>
      </c>
      <c r="E1411" s="6" t="s">
        <v>8872</v>
      </c>
      <c r="F1411" s="10"/>
      <c r="G1411" s="6" t="s">
        <v>8873</v>
      </c>
      <c r="H1411" s="6" t="s">
        <v>195</v>
      </c>
      <c r="I1411" s="17" t="b">
        <v>0</v>
      </c>
      <c r="J1411" s="6" t="s">
        <v>546</v>
      </c>
      <c r="K1411" s="10"/>
      <c r="L1411" s="10"/>
      <c r="M1411" s="10"/>
      <c r="N1411" s="10"/>
      <c r="O1411" s="18">
        <v>653.4</v>
      </c>
      <c r="P1411" s="10"/>
      <c r="Q1411" s="17" t="b">
        <v>1</v>
      </c>
      <c r="R1411" s="10"/>
    </row>
    <row r="1412">
      <c r="A1412" s="6" t="s">
        <v>7832</v>
      </c>
      <c r="B1412" s="6" t="s">
        <v>35</v>
      </c>
      <c r="C1412" s="8">
        <v>45891.0</v>
      </c>
      <c r="D1412" s="10"/>
      <c r="E1412" s="10"/>
      <c r="F1412" s="10"/>
      <c r="G1412" s="10"/>
      <c r="H1412" s="6" t="s">
        <v>8877</v>
      </c>
      <c r="I1412" s="10"/>
      <c r="J1412" s="6" t="s">
        <v>539</v>
      </c>
      <c r="K1412" s="6" t="s">
        <v>624</v>
      </c>
      <c r="L1412" s="10"/>
      <c r="M1412" s="10"/>
      <c r="N1412" s="10"/>
      <c r="O1412" s="18">
        <v>2688.14</v>
      </c>
      <c r="P1412" s="10"/>
      <c r="Q1412" s="6"/>
      <c r="R1412" s="10"/>
    </row>
    <row r="1413">
      <c r="A1413" s="6" t="s">
        <v>7834</v>
      </c>
      <c r="B1413" s="6" t="s">
        <v>35</v>
      </c>
      <c r="C1413" s="8">
        <v>45893.0</v>
      </c>
      <c r="D1413" s="6" t="s">
        <v>890</v>
      </c>
      <c r="E1413" s="10"/>
      <c r="F1413" s="10"/>
      <c r="G1413" s="10"/>
      <c r="H1413" s="6" t="s">
        <v>8882</v>
      </c>
      <c r="I1413" s="10"/>
      <c r="J1413" s="6" t="s">
        <v>539</v>
      </c>
      <c r="K1413" s="10"/>
      <c r="L1413" s="10"/>
      <c r="M1413" s="10"/>
      <c r="N1413" s="10"/>
      <c r="O1413" s="18">
        <v>28.0</v>
      </c>
      <c r="P1413" s="10"/>
      <c r="Q1413" s="6"/>
      <c r="R1413" s="10"/>
    </row>
    <row r="1414">
      <c r="A1414" s="6" t="s">
        <v>7837</v>
      </c>
      <c r="B1414" s="6" t="s">
        <v>35</v>
      </c>
      <c r="C1414" s="8">
        <v>45893.0</v>
      </c>
      <c r="D1414" s="6" t="s">
        <v>890</v>
      </c>
      <c r="E1414" s="10"/>
      <c r="F1414" s="10"/>
      <c r="G1414" s="10"/>
      <c r="H1414" s="6" t="s">
        <v>8887</v>
      </c>
      <c r="I1414" s="10"/>
      <c r="J1414" s="6" t="s">
        <v>539</v>
      </c>
      <c r="K1414" s="10"/>
      <c r="L1414" s="10"/>
      <c r="M1414" s="10"/>
      <c r="N1414" s="10"/>
      <c r="O1414" s="18">
        <v>28.0</v>
      </c>
      <c r="P1414" s="10"/>
      <c r="Q1414" s="6"/>
      <c r="R1414" s="10"/>
    </row>
    <row r="1415">
      <c r="A1415" s="6" t="s">
        <v>7839</v>
      </c>
      <c r="B1415" s="6" t="s">
        <v>35</v>
      </c>
      <c r="C1415" s="8">
        <v>45893.0</v>
      </c>
      <c r="D1415" s="6" t="s">
        <v>890</v>
      </c>
      <c r="E1415" s="10"/>
      <c r="F1415" s="10"/>
      <c r="G1415" s="10"/>
      <c r="H1415" s="6" t="s">
        <v>8894</v>
      </c>
      <c r="I1415" s="10"/>
      <c r="J1415" s="6" t="s">
        <v>539</v>
      </c>
      <c r="K1415" s="10"/>
      <c r="L1415" s="10"/>
      <c r="M1415" s="10"/>
      <c r="N1415" s="10"/>
      <c r="O1415" s="18">
        <v>36.91</v>
      </c>
      <c r="P1415" s="10"/>
      <c r="Q1415" s="6"/>
      <c r="R1415" s="10"/>
    </row>
    <row r="1416">
      <c r="A1416" s="6" t="s">
        <v>7841</v>
      </c>
      <c r="B1416" s="6" t="s">
        <v>35</v>
      </c>
      <c r="C1416" s="8">
        <v>45893.0</v>
      </c>
      <c r="D1416" s="6" t="s">
        <v>890</v>
      </c>
      <c r="E1416" s="10"/>
      <c r="F1416" s="10"/>
      <c r="G1416" s="10"/>
      <c r="H1416" s="6" t="s">
        <v>8894</v>
      </c>
      <c r="I1416" s="10"/>
      <c r="J1416" s="6" t="s">
        <v>539</v>
      </c>
      <c r="K1416" s="10"/>
      <c r="L1416" s="10"/>
      <c r="M1416" s="10"/>
      <c r="N1416" s="10"/>
      <c r="O1416" s="18">
        <v>8.0</v>
      </c>
      <c r="P1416" s="10"/>
      <c r="Q1416" s="6"/>
      <c r="R1416" s="10"/>
    </row>
    <row r="1417">
      <c r="A1417" s="6" t="s">
        <v>7843</v>
      </c>
      <c r="B1417" s="6" t="s">
        <v>35</v>
      </c>
      <c r="C1417" s="8">
        <v>45893.0</v>
      </c>
      <c r="D1417" s="6" t="s">
        <v>890</v>
      </c>
      <c r="E1417" s="10"/>
      <c r="F1417" s="10"/>
      <c r="G1417" s="10"/>
      <c r="H1417" s="6" t="s">
        <v>8902</v>
      </c>
      <c r="I1417" s="10"/>
      <c r="J1417" s="6" t="s">
        <v>539</v>
      </c>
      <c r="K1417" s="10"/>
      <c r="L1417" s="10"/>
      <c r="M1417" s="10"/>
      <c r="N1417" s="10"/>
      <c r="O1417" s="18">
        <v>123.66</v>
      </c>
      <c r="P1417" s="10"/>
      <c r="Q1417" s="6"/>
      <c r="R1417" s="10"/>
    </row>
    <row r="1418">
      <c r="A1418" s="6" t="s">
        <v>7845</v>
      </c>
      <c r="B1418" s="6" t="s">
        <v>35</v>
      </c>
      <c r="C1418" s="8">
        <v>45893.0</v>
      </c>
      <c r="D1418" s="6" t="s">
        <v>890</v>
      </c>
      <c r="E1418" s="10"/>
      <c r="F1418" s="10"/>
      <c r="G1418" s="10"/>
      <c r="H1418" s="6" t="s">
        <v>8905</v>
      </c>
      <c r="I1418" s="10"/>
      <c r="J1418" s="6" t="s">
        <v>539</v>
      </c>
      <c r="K1418" s="10"/>
      <c r="L1418" s="10"/>
      <c r="M1418" s="10"/>
      <c r="N1418" s="10"/>
      <c r="O1418" s="18">
        <v>1742.8</v>
      </c>
      <c r="P1418" s="10"/>
      <c r="Q1418" s="6"/>
      <c r="R1418" s="10"/>
    </row>
    <row r="1419">
      <c r="A1419" s="6" t="s">
        <v>7847</v>
      </c>
      <c r="B1419" s="6" t="s">
        <v>35</v>
      </c>
      <c r="C1419" s="8">
        <v>45870.0</v>
      </c>
      <c r="D1419" s="6" t="s">
        <v>1557</v>
      </c>
      <c r="E1419" s="6" t="s">
        <v>8704</v>
      </c>
      <c r="F1419" s="10"/>
      <c r="G1419" s="6" t="s">
        <v>8910</v>
      </c>
      <c r="H1419" s="6" t="s">
        <v>7603</v>
      </c>
      <c r="I1419" s="17" t="b">
        <v>0</v>
      </c>
      <c r="J1419" s="6" t="s">
        <v>546</v>
      </c>
      <c r="K1419" s="10"/>
      <c r="L1419" s="10"/>
      <c r="M1419" s="10"/>
      <c r="N1419" s="10"/>
      <c r="O1419" s="18">
        <v>110.0</v>
      </c>
      <c r="P1419" s="10"/>
      <c r="Q1419" s="17" t="b">
        <v>1</v>
      </c>
      <c r="R1419" s="10"/>
    </row>
    <row r="1420">
      <c r="A1420" s="6" t="s">
        <v>7851</v>
      </c>
      <c r="B1420" s="6" t="s">
        <v>35</v>
      </c>
      <c r="C1420" s="8">
        <v>45887.0</v>
      </c>
      <c r="D1420" s="6" t="s">
        <v>543</v>
      </c>
      <c r="E1420" s="6" t="s">
        <v>8917</v>
      </c>
      <c r="F1420" s="10"/>
      <c r="G1420" s="6" t="s">
        <v>8918</v>
      </c>
      <c r="H1420" s="6" t="s">
        <v>171</v>
      </c>
      <c r="I1420" s="17" t="b">
        <v>0</v>
      </c>
      <c r="J1420" s="6" t="s">
        <v>546</v>
      </c>
      <c r="K1420" s="10"/>
      <c r="L1420" s="10"/>
      <c r="M1420" s="10"/>
      <c r="N1420" s="10"/>
      <c r="O1420" s="18">
        <v>200.0</v>
      </c>
      <c r="P1420" s="10"/>
      <c r="Q1420" s="17" t="b">
        <v>1</v>
      </c>
      <c r="R1420" s="10"/>
    </row>
    <row r="1421">
      <c r="A1421" s="6" t="s">
        <v>7855</v>
      </c>
      <c r="B1421" s="6" t="s">
        <v>35</v>
      </c>
      <c r="C1421" s="8">
        <v>45891.0</v>
      </c>
      <c r="D1421" s="6" t="s">
        <v>112</v>
      </c>
      <c r="E1421" s="6" t="s">
        <v>8922</v>
      </c>
      <c r="F1421" s="10"/>
      <c r="G1421" s="6" t="s">
        <v>8924</v>
      </c>
      <c r="H1421" s="6" t="s">
        <v>157</v>
      </c>
      <c r="I1421" s="17" t="b">
        <v>0</v>
      </c>
      <c r="J1421" s="6" t="s">
        <v>546</v>
      </c>
      <c r="K1421" s="10"/>
      <c r="L1421" s="10"/>
      <c r="M1421" s="10"/>
      <c r="N1421" s="10"/>
      <c r="O1421" s="18">
        <v>443.41</v>
      </c>
      <c r="P1421" s="10"/>
      <c r="Q1421" s="17" t="b">
        <v>1</v>
      </c>
      <c r="R1421" s="10"/>
    </row>
    <row r="1422">
      <c r="A1422" s="6" t="s">
        <v>7868</v>
      </c>
      <c r="B1422" s="6" t="s">
        <v>35</v>
      </c>
      <c r="C1422" s="8">
        <v>45891.0</v>
      </c>
      <c r="D1422" s="6" t="s">
        <v>233</v>
      </c>
      <c r="E1422" s="6" t="s">
        <v>8927</v>
      </c>
      <c r="F1422" s="10"/>
      <c r="G1422" s="6" t="s">
        <v>8928</v>
      </c>
      <c r="H1422" s="6" t="s">
        <v>236</v>
      </c>
      <c r="I1422" s="17" t="b">
        <v>1</v>
      </c>
      <c r="J1422" s="6" t="s">
        <v>546</v>
      </c>
      <c r="K1422" s="10"/>
      <c r="L1422" s="10"/>
      <c r="M1422" s="10"/>
      <c r="N1422" s="10"/>
      <c r="O1422" s="18">
        <v>135.83</v>
      </c>
      <c r="P1422" s="18">
        <v>1637002.0</v>
      </c>
      <c r="Q1422" s="17" t="b">
        <v>1</v>
      </c>
      <c r="R1422" s="10"/>
    </row>
    <row r="1423">
      <c r="A1423" s="6" t="s">
        <v>7872</v>
      </c>
      <c r="B1423" s="6" t="s">
        <v>35</v>
      </c>
      <c r="C1423" s="8">
        <v>45893.0</v>
      </c>
      <c r="D1423" s="6" t="s">
        <v>543</v>
      </c>
      <c r="E1423" s="6" t="s">
        <v>8933</v>
      </c>
      <c r="F1423" s="10"/>
      <c r="G1423" s="6" t="s">
        <v>8934</v>
      </c>
      <c r="H1423" s="6" t="s">
        <v>171</v>
      </c>
      <c r="I1423" s="17" t="b">
        <v>0</v>
      </c>
      <c r="J1423" s="6" t="s">
        <v>546</v>
      </c>
      <c r="K1423" s="10"/>
      <c r="L1423" s="10"/>
      <c r="M1423" s="10"/>
      <c r="N1423" s="10"/>
      <c r="O1423" s="18">
        <v>400.0</v>
      </c>
      <c r="P1423" s="10"/>
      <c r="Q1423" s="17" t="b">
        <v>1</v>
      </c>
      <c r="R1423" s="10"/>
    </row>
    <row r="1424">
      <c r="A1424" s="6" t="s">
        <v>7874</v>
      </c>
      <c r="B1424" s="6" t="s">
        <v>35</v>
      </c>
      <c r="C1424" s="8">
        <v>45894.0</v>
      </c>
      <c r="D1424" s="6" t="s">
        <v>460</v>
      </c>
      <c r="E1424" s="10"/>
      <c r="F1424" s="10"/>
      <c r="G1424" s="10"/>
      <c r="H1424" s="6" t="s">
        <v>4017</v>
      </c>
      <c r="I1424" s="10"/>
      <c r="J1424" s="6" t="s">
        <v>539</v>
      </c>
      <c r="K1424" s="10"/>
      <c r="L1424" s="10"/>
      <c r="M1424" s="10"/>
      <c r="N1424" s="10"/>
      <c r="O1424" s="18">
        <v>20.0</v>
      </c>
      <c r="P1424" s="10"/>
      <c r="Q1424" s="6"/>
      <c r="R1424" s="10"/>
    </row>
    <row r="1425">
      <c r="A1425" s="6" t="s">
        <v>7878</v>
      </c>
      <c r="B1425" s="6" t="s">
        <v>35</v>
      </c>
      <c r="C1425" s="8">
        <v>45894.0</v>
      </c>
      <c r="D1425" s="6" t="s">
        <v>460</v>
      </c>
      <c r="E1425" s="10"/>
      <c r="F1425" s="10"/>
      <c r="G1425" s="10"/>
      <c r="H1425" s="6" t="s">
        <v>8939</v>
      </c>
      <c r="I1425" s="10"/>
      <c r="J1425" s="6" t="s">
        <v>539</v>
      </c>
      <c r="K1425" s="10"/>
      <c r="L1425" s="10"/>
      <c r="M1425" s="10"/>
      <c r="N1425" s="10"/>
      <c r="O1425" s="18">
        <v>2728.6</v>
      </c>
      <c r="P1425" s="10"/>
      <c r="Q1425" s="6"/>
      <c r="R1425" s="10"/>
    </row>
    <row r="1426">
      <c r="A1426" s="6" t="s">
        <v>7881</v>
      </c>
      <c r="B1426" s="6" t="s">
        <v>35</v>
      </c>
      <c r="C1426" s="8">
        <v>45894.0</v>
      </c>
      <c r="D1426" s="6" t="s">
        <v>460</v>
      </c>
      <c r="E1426" s="10"/>
      <c r="F1426" s="10"/>
      <c r="G1426" s="10"/>
      <c r="H1426" s="6" t="s">
        <v>931</v>
      </c>
      <c r="I1426" s="10"/>
      <c r="J1426" s="6" t="s">
        <v>539</v>
      </c>
      <c r="K1426" s="10"/>
      <c r="L1426" s="10"/>
      <c r="M1426" s="10"/>
      <c r="N1426" s="10"/>
      <c r="O1426" s="18">
        <v>40.0</v>
      </c>
      <c r="P1426" s="10"/>
      <c r="Q1426" s="6"/>
      <c r="R1426" s="10"/>
    </row>
    <row r="1427">
      <c r="A1427" s="6" t="s">
        <v>7886</v>
      </c>
      <c r="B1427" s="6" t="s">
        <v>35</v>
      </c>
      <c r="C1427" s="8">
        <v>45894.0</v>
      </c>
      <c r="D1427" s="6" t="s">
        <v>460</v>
      </c>
      <c r="E1427" s="10"/>
      <c r="F1427" s="10"/>
      <c r="G1427" s="10"/>
      <c r="H1427" s="6" t="s">
        <v>8946</v>
      </c>
      <c r="I1427" s="10"/>
      <c r="J1427" s="6" t="s">
        <v>539</v>
      </c>
      <c r="K1427" s="10"/>
      <c r="L1427" s="10"/>
      <c r="M1427" s="10"/>
      <c r="N1427" s="10"/>
      <c r="O1427" s="18">
        <v>200.0</v>
      </c>
      <c r="P1427" s="10"/>
      <c r="Q1427" s="6"/>
      <c r="R1427" s="10"/>
    </row>
    <row r="1428">
      <c r="A1428" s="6" t="s">
        <v>7889</v>
      </c>
      <c r="B1428" s="6" t="s">
        <v>35</v>
      </c>
      <c r="C1428" s="8">
        <v>45894.0</v>
      </c>
      <c r="D1428" s="6" t="s">
        <v>460</v>
      </c>
      <c r="E1428" s="10"/>
      <c r="F1428" s="10"/>
      <c r="G1428" s="10"/>
      <c r="H1428" s="6" t="s">
        <v>4972</v>
      </c>
      <c r="I1428" s="10"/>
      <c r="J1428" s="6" t="s">
        <v>539</v>
      </c>
      <c r="K1428" s="10"/>
      <c r="L1428" s="10"/>
      <c r="M1428" s="10"/>
      <c r="N1428" s="10"/>
      <c r="O1428" s="18">
        <v>22.0</v>
      </c>
      <c r="P1428" s="10"/>
      <c r="Q1428" s="6"/>
      <c r="R1428" s="10"/>
    </row>
    <row r="1429">
      <c r="A1429" s="6" t="s">
        <v>7893</v>
      </c>
      <c r="B1429" s="6" t="s">
        <v>35</v>
      </c>
      <c r="C1429" s="8">
        <v>45894.0</v>
      </c>
      <c r="D1429" s="6" t="s">
        <v>460</v>
      </c>
      <c r="E1429" s="10"/>
      <c r="F1429" s="10"/>
      <c r="G1429" s="10"/>
      <c r="H1429" s="6" t="s">
        <v>4979</v>
      </c>
      <c r="I1429" s="10"/>
      <c r="J1429" s="6" t="s">
        <v>539</v>
      </c>
      <c r="K1429" s="10"/>
      <c r="L1429" s="10"/>
      <c r="M1429" s="10"/>
      <c r="N1429" s="10"/>
      <c r="O1429" s="18">
        <v>10.0</v>
      </c>
      <c r="P1429" s="10"/>
      <c r="Q1429" s="6"/>
      <c r="R1429" s="10"/>
    </row>
    <row r="1430">
      <c r="A1430" s="6" t="s">
        <v>7897</v>
      </c>
      <c r="B1430" s="6" t="s">
        <v>35</v>
      </c>
      <c r="C1430" s="8">
        <v>45870.0</v>
      </c>
      <c r="D1430" s="6" t="s">
        <v>1036</v>
      </c>
      <c r="E1430" s="6" t="s">
        <v>8957</v>
      </c>
      <c r="F1430" s="10"/>
      <c r="G1430" s="6" t="s">
        <v>8959</v>
      </c>
      <c r="H1430" s="6" t="s">
        <v>5755</v>
      </c>
      <c r="I1430" s="17" t="b">
        <v>0</v>
      </c>
      <c r="J1430" s="6" t="s">
        <v>546</v>
      </c>
      <c r="K1430" s="10"/>
      <c r="L1430" s="10"/>
      <c r="M1430" s="10"/>
      <c r="N1430" s="10"/>
      <c r="O1430" s="18">
        <v>124.16</v>
      </c>
      <c r="P1430" s="10"/>
      <c r="Q1430" s="17" t="b">
        <v>1</v>
      </c>
      <c r="R1430" s="10"/>
    </row>
    <row r="1431">
      <c r="A1431" s="6" t="s">
        <v>7899</v>
      </c>
      <c r="B1431" s="6" t="s">
        <v>35</v>
      </c>
      <c r="C1431" s="8">
        <v>45894.0</v>
      </c>
      <c r="D1431" s="6" t="s">
        <v>2096</v>
      </c>
      <c r="E1431" s="6" t="s">
        <v>8962</v>
      </c>
      <c r="F1431" s="10"/>
      <c r="G1431" s="6" t="s">
        <v>8963</v>
      </c>
      <c r="H1431" s="6" t="s">
        <v>925</v>
      </c>
      <c r="I1431" s="17" t="b">
        <v>1</v>
      </c>
      <c r="J1431" s="6" t="s">
        <v>546</v>
      </c>
      <c r="K1431" s="10"/>
      <c r="L1431" s="10"/>
      <c r="M1431" s="10"/>
      <c r="N1431" s="10"/>
      <c r="O1431" s="18">
        <v>70.0</v>
      </c>
      <c r="P1431" s="18">
        <v>1643810.0</v>
      </c>
      <c r="Q1431" s="17" t="b">
        <v>1</v>
      </c>
      <c r="R1431" s="10"/>
    </row>
    <row r="1432">
      <c r="A1432" s="6" t="s">
        <v>7903</v>
      </c>
      <c r="B1432" s="6" t="s">
        <v>35</v>
      </c>
      <c r="C1432" s="8">
        <v>45895.0</v>
      </c>
      <c r="D1432" s="10"/>
      <c r="E1432" s="10"/>
      <c r="F1432" s="10"/>
      <c r="G1432" s="10"/>
      <c r="H1432" s="6" t="s">
        <v>1329</v>
      </c>
      <c r="I1432" s="10"/>
      <c r="J1432" s="6" t="s">
        <v>539</v>
      </c>
      <c r="K1432" s="6" t="s">
        <v>6062</v>
      </c>
      <c r="L1432" s="10"/>
      <c r="M1432" s="10"/>
      <c r="N1432" s="10"/>
      <c r="O1432" s="18">
        <v>500.0</v>
      </c>
      <c r="P1432" s="10"/>
      <c r="Q1432" s="6"/>
      <c r="R1432" s="10"/>
    </row>
    <row r="1433">
      <c r="A1433" s="6" t="s">
        <v>7905</v>
      </c>
      <c r="B1433" s="6" t="s">
        <v>35</v>
      </c>
      <c r="C1433" s="8">
        <v>45895.0</v>
      </c>
      <c r="D1433" s="10"/>
      <c r="E1433" s="10"/>
      <c r="F1433" s="10"/>
      <c r="G1433" s="10"/>
      <c r="H1433" s="6" t="s">
        <v>1329</v>
      </c>
      <c r="I1433" s="10"/>
      <c r="J1433" s="6" t="s">
        <v>539</v>
      </c>
      <c r="K1433" s="6" t="s">
        <v>2052</v>
      </c>
      <c r="L1433" s="10"/>
      <c r="M1433" s="10"/>
      <c r="N1433" s="10"/>
      <c r="O1433" s="18">
        <v>500.0</v>
      </c>
      <c r="P1433" s="10"/>
      <c r="Q1433" s="6"/>
      <c r="R1433" s="10"/>
    </row>
    <row r="1434">
      <c r="A1434" s="6" t="s">
        <v>7907</v>
      </c>
      <c r="B1434" s="6" t="s">
        <v>35</v>
      </c>
      <c r="C1434" s="8">
        <v>45896.0</v>
      </c>
      <c r="D1434" s="6" t="s">
        <v>7095</v>
      </c>
      <c r="E1434" s="6" t="s">
        <v>8970</v>
      </c>
      <c r="F1434" s="10"/>
      <c r="G1434" s="6" t="s">
        <v>8971</v>
      </c>
      <c r="H1434" s="6" t="s">
        <v>195</v>
      </c>
      <c r="I1434" s="17" t="b">
        <v>0</v>
      </c>
      <c r="J1434" s="6" t="s">
        <v>546</v>
      </c>
      <c r="K1434" s="10"/>
      <c r="L1434" s="10"/>
      <c r="M1434" s="10"/>
      <c r="N1434" s="10"/>
      <c r="O1434" s="18">
        <v>123.6</v>
      </c>
      <c r="P1434" s="10"/>
      <c r="Q1434" s="17" t="b">
        <v>1</v>
      </c>
      <c r="R1434" s="10"/>
    </row>
    <row r="1435">
      <c r="A1435" s="6" t="s">
        <v>7910</v>
      </c>
      <c r="B1435" s="6" t="s">
        <v>35</v>
      </c>
      <c r="C1435" s="8">
        <v>45897.0</v>
      </c>
      <c r="D1435" s="6" t="s">
        <v>764</v>
      </c>
      <c r="E1435" s="6" t="s">
        <v>8974</v>
      </c>
      <c r="F1435" s="10"/>
      <c r="G1435" s="6" t="s">
        <v>8975</v>
      </c>
      <c r="H1435" s="6" t="s">
        <v>195</v>
      </c>
      <c r="I1435" s="17" t="b">
        <v>0</v>
      </c>
      <c r="J1435" s="6" t="s">
        <v>546</v>
      </c>
      <c r="K1435" s="10"/>
      <c r="L1435" s="10"/>
      <c r="M1435" s="10"/>
      <c r="N1435" s="10"/>
      <c r="O1435" s="18">
        <v>698.0</v>
      </c>
      <c r="P1435" s="10"/>
      <c r="Q1435" s="17" t="b">
        <v>1</v>
      </c>
      <c r="R1435" s="10"/>
    </row>
    <row r="1436">
      <c r="A1436" s="6" t="s">
        <v>7917</v>
      </c>
      <c r="B1436" s="6" t="s">
        <v>35</v>
      </c>
      <c r="C1436" s="8">
        <v>45898.0</v>
      </c>
      <c r="D1436" s="6" t="s">
        <v>8980</v>
      </c>
      <c r="E1436" s="10"/>
      <c r="F1436" s="10"/>
      <c r="G1436" s="10"/>
      <c r="H1436" s="8">
        <v>45689.0</v>
      </c>
      <c r="I1436" s="10"/>
      <c r="J1436" s="6" t="s">
        <v>539</v>
      </c>
      <c r="K1436" s="10"/>
      <c r="L1436" s="10"/>
      <c r="M1436" s="10"/>
      <c r="N1436" s="10"/>
      <c r="O1436" s="18">
        <v>350.0</v>
      </c>
      <c r="P1436" s="10"/>
      <c r="Q1436" s="6"/>
      <c r="R1436" s="10"/>
    </row>
    <row r="1437">
      <c r="A1437" s="6" t="s">
        <v>7921</v>
      </c>
      <c r="B1437" s="6" t="s">
        <v>35</v>
      </c>
      <c r="C1437" s="8">
        <v>45898.0</v>
      </c>
      <c r="D1437" s="10"/>
      <c r="E1437" s="10"/>
      <c r="F1437" s="10"/>
      <c r="G1437" s="10"/>
      <c r="H1437" s="6" t="s">
        <v>1329</v>
      </c>
      <c r="I1437" s="10"/>
      <c r="J1437" s="6" t="s">
        <v>539</v>
      </c>
      <c r="K1437" s="6" t="s">
        <v>227</v>
      </c>
      <c r="L1437" s="10"/>
      <c r="M1437" s="10"/>
      <c r="N1437" s="10"/>
      <c r="O1437" s="18">
        <v>300.0</v>
      </c>
      <c r="P1437" s="10"/>
      <c r="Q1437" s="6"/>
      <c r="R1437" s="10"/>
    </row>
    <row r="1438">
      <c r="A1438" s="6" t="s">
        <v>7923</v>
      </c>
      <c r="B1438" s="6" t="s">
        <v>35</v>
      </c>
      <c r="C1438" s="8">
        <v>45899.0</v>
      </c>
      <c r="D1438" s="10"/>
      <c r="E1438" s="10"/>
      <c r="F1438" s="10"/>
      <c r="G1438" s="10"/>
      <c r="H1438" s="6" t="s">
        <v>1329</v>
      </c>
      <c r="I1438" s="10"/>
      <c r="J1438" s="6" t="s">
        <v>539</v>
      </c>
      <c r="K1438" s="6" t="s">
        <v>624</v>
      </c>
      <c r="L1438" s="10"/>
      <c r="M1438" s="10"/>
      <c r="N1438" s="10"/>
      <c r="O1438" s="18">
        <v>500.0</v>
      </c>
      <c r="P1438" s="10"/>
      <c r="Q1438" s="6"/>
      <c r="R1438" s="10"/>
    </row>
    <row r="1439">
      <c r="A1439" s="6" t="s">
        <v>7925</v>
      </c>
      <c r="B1439" s="6" t="s">
        <v>35</v>
      </c>
      <c r="C1439" s="8">
        <v>45898.0</v>
      </c>
      <c r="D1439" s="6" t="s">
        <v>543</v>
      </c>
      <c r="E1439" s="6" t="s">
        <v>8989</v>
      </c>
      <c r="F1439" s="10"/>
      <c r="G1439" s="6" t="s">
        <v>8991</v>
      </c>
      <c r="H1439" s="6" t="s">
        <v>171</v>
      </c>
      <c r="I1439" s="17" t="b">
        <v>0</v>
      </c>
      <c r="J1439" s="6" t="s">
        <v>546</v>
      </c>
      <c r="K1439" s="10"/>
      <c r="L1439" s="10"/>
      <c r="M1439" s="10"/>
      <c r="N1439" s="10"/>
      <c r="O1439" s="18">
        <v>175.0</v>
      </c>
      <c r="P1439" s="10"/>
      <c r="Q1439" s="17" t="b">
        <v>1</v>
      </c>
      <c r="R1439" s="10"/>
    </row>
    <row r="1440">
      <c r="A1440" s="6" t="s">
        <v>7929</v>
      </c>
      <c r="B1440" s="6" t="s">
        <v>35</v>
      </c>
      <c r="C1440" s="8">
        <v>45899.0</v>
      </c>
      <c r="D1440" s="6" t="s">
        <v>112</v>
      </c>
      <c r="E1440" s="6" t="s">
        <v>8996</v>
      </c>
      <c r="F1440" s="10"/>
      <c r="G1440" s="6" t="s">
        <v>8997</v>
      </c>
      <c r="H1440" s="6" t="s">
        <v>157</v>
      </c>
      <c r="I1440" s="17" t="b">
        <v>0</v>
      </c>
      <c r="J1440" s="6" t="s">
        <v>546</v>
      </c>
      <c r="K1440" s="10"/>
      <c r="L1440" s="10"/>
      <c r="M1440" s="10"/>
      <c r="N1440" s="10"/>
      <c r="O1440" s="18">
        <v>138.94</v>
      </c>
      <c r="P1440" s="10"/>
      <c r="Q1440" s="17" t="b">
        <v>1</v>
      </c>
      <c r="R1440" s="10"/>
    </row>
    <row r="1441">
      <c r="A1441" s="6" t="s">
        <v>7933</v>
      </c>
      <c r="B1441" s="6" t="s">
        <v>35</v>
      </c>
      <c r="C1441" s="8">
        <v>45900.0</v>
      </c>
      <c r="D1441" s="6" t="s">
        <v>543</v>
      </c>
      <c r="E1441" s="6" t="s">
        <v>9000</v>
      </c>
      <c r="F1441" s="10"/>
      <c r="G1441" s="6" t="s">
        <v>9002</v>
      </c>
      <c r="H1441" s="6" t="s">
        <v>171</v>
      </c>
      <c r="I1441" s="17" t="b">
        <v>0</v>
      </c>
      <c r="J1441" s="6" t="s">
        <v>546</v>
      </c>
      <c r="K1441" s="10"/>
      <c r="L1441" s="10"/>
      <c r="M1441" s="10"/>
      <c r="N1441" s="10"/>
      <c r="O1441" s="18">
        <v>490.0</v>
      </c>
      <c r="P1441" s="10"/>
      <c r="Q1441" s="17" t="b">
        <v>1</v>
      </c>
      <c r="R1441" s="10"/>
    </row>
    <row r="1442">
      <c r="A1442" s="6" t="s">
        <v>7935</v>
      </c>
      <c r="B1442" s="6" t="s">
        <v>35</v>
      </c>
      <c r="C1442" s="8">
        <v>45903.0</v>
      </c>
      <c r="D1442" s="10"/>
      <c r="E1442" s="10"/>
      <c r="F1442" s="10"/>
      <c r="G1442" s="10"/>
      <c r="H1442" s="6" t="s">
        <v>9006</v>
      </c>
      <c r="I1442" s="10"/>
      <c r="J1442" s="6" t="s">
        <v>539</v>
      </c>
      <c r="K1442" s="6" t="s">
        <v>624</v>
      </c>
      <c r="L1442" s="10"/>
      <c r="M1442" s="10"/>
      <c r="N1442" s="10"/>
      <c r="O1442" s="18">
        <v>2081.77</v>
      </c>
      <c r="P1442" s="10"/>
      <c r="Q1442" s="6"/>
      <c r="R1442" s="10"/>
    </row>
    <row r="1443">
      <c r="A1443" s="6" t="s">
        <v>7938</v>
      </c>
      <c r="B1443" s="6" t="s">
        <v>35</v>
      </c>
      <c r="C1443" s="8">
        <v>45903.0</v>
      </c>
      <c r="D1443" s="10"/>
      <c r="E1443" s="10"/>
      <c r="F1443" s="10"/>
      <c r="G1443" s="10"/>
      <c r="H1443" s="6" t="s">
        <v>9006</v>
      </c>
      <c r="I1443" s="10"/>
      <c r="J1443" s="6" t="s">
        <v>539</v>
      </c>
      <c r="K1443" s="6" t="s">
        <v>2052</v>
      </c>
      <c r="L1443" s="10"/>
      <c r="M1443" s="10"/>
      <c r="N1443" s="10"/>
      <c r="O1443" s="18">
        <v>1804.88</v>
      </c>
      <c r="P1443" s="10"/>
      <c r="Q1443" s="6"/>
      <c r="R1443" s="10"/>
    </row>
    <row r="1444">
      <c r="A1444" s="6" t="s">
        <v>7940</v>
      </c>
      <c r="B1444" s="6" t="s">
        <v>35</v>
      </c>
      <c r="C1444" s="8">
        <v>45903.0</v>
      </c>
      <c r="D1444" s="10"/>
      <c r="E1444" s="10"/>
      <c r="F1444" s="10"/>
      <c r="G1444" s="10"/>
      <c r="H1444" s="6" t="s">
        <v>9006</v>
      </c>
      <c r="I1444" s="10"/>
      <c r="J1444" s="6" t="s">
        <v>539</v>
      </c>
      <c r="K1444" s="6" t="s">
        <v>227</v>
      </c>
      <c r="L1444" s="10"/>
      <c r="M1444" s="10"/>
      <c r="N1444" s="10"/>
      <c r="O1444" s="18">
        <v>2285.14</v>
      </c>
      <c r="P1444" s="10"/>
      <c r="Q1444" s="6"/>
      <c r="R1444" s="10"/>
    </row>
    <row r="1445">
      <c r="A1445" s="6" t="s">
        <v>7942</v>
      </c>
      <c r="B1445" s="6" t="s">
        <v>35</v>
      </c>
      <c r="C1445" s="8">
        <v>45903.0</v>
      </c>
      <c r="D1445" s="10"/>
      <c r="E1445" s="10"/>
      <c r="F1445" s="10"/>
      <c r="G1445" s="10"/>
      <c r="H1445" s="6" t="s">
        <v>9006</v>
      </c>
      <c r="I1445" s="10"/>
      <c r="J1445" s="6" t="s">
        <v>539</v>
      </c>
      <c r="K1445" s="6" t="s">
        <v>6062</v>
      </c>
      <c r="L1445" s="10"/>
      <c r="M1445" s="10"/>
      <c r="N1445" s="10"/>
      <c r="O1445" s="18">
        <v>1625.25</v>
      </c>
      <c r="P1445" s="10"/>
      <c r="Q1445" s="6"/>
      <c r="R1445" s="10"/>
    </row>
    <row r="1446">
      <c r="A1446" s="6" t="s">
        <v>7944</v>
      </c>
      <c r="B1446" s="6" t="s">
        <v>35</v>
      </c>
      <c r="C1446" s="8">
        <v>45903.0</v>
      </c>
      <c r="D1446" s="10"/>
      <c r="E1446" s="10"/>
      <c r="F1446" s="10"/>
      <c r="G1446" s="10"/>
      <c r="H1446" s="6" t="s">
        <v>9006</v>
      </c>
      <c r="I1446" s="10"/>
      <c r="J1446" s="6" t="s">
        <v>539</v>
      </c>
      <c r="K1446" s="6" t="s">
        <v>3795</v>
      </c>
      <c r="L1446" s="10"/>
      <c r="M1446" s="10"/>
      <c r="N1446" s="10"/>
      <c r="O1446" s="18">
        <v>1460.67</v>
      </c>
      <c r="P1446" s="10"/>
      <c r="Q1446" s="6"/>
      <c r="R1446" s="10"/>
    </row>
    <row r="1447">
      <c r="A1447" s="6" t="s">
        <v>7946</v>
      </c>
      <c r="B1447" s="6" t="s">
        <v>35</v>
      </c>
      <c r="C1447" s="8">
        <v>45902.0</v>
      </c>
      <c r="D1447" s="6" t="s">
        <v>890</v>
      </c>
      <c r="E1447" s="6" t="s">
        <v>9023</v>
      </c>
      <c r="F1447" s="10"/>
      <c r="G1447" s="6" t="s">
        <v>9024</v>
      </c>
      <c r="H1447" s="6" t="s">
        <v>2894</v>
      </c>
      <c r="I1447" s="17" t="b">
        <v>0</v>
      </c>
      <c r="J1447" s="6" t="s">
        <v>546</v>
      </c>
      <c r="K1447" s="10"/>
      <c r="L1447" s="10"/>
      <c r="M1447" s="10"/>
      <c r="N1447" s="10"/>
      <c r="O1447" s="18">
        <v>387.35</v>
      </c>
      <c r="P1447" s="10"/>
      <c r="Q1447" s="17" t="b">
        <v>1</v>
      </c>
      <c r="R1447" s="10"/>
    </row>
    <row r="1448">
      <c r="A1448" s="6" t="s">
        <v>7948</v>
      </c>
      <c r="B1448" s="6" t="s">
        <v>35</v>
      </c>
      <c r="C1448" s="8">
        <v>45902.0</v>
      </c>
      <c r="D1448" s="6" t="s">
        <v>890</v>
      </c>
      <c r="E1448" s="6" t="s">
        <v>9023</v>
      </c>
      <c r="F1448" s="10"/>
      <c r="G1448" s="6" t="s">
        <v>9029</v>
      </c>
      <c r="H1448" s="6" t="s">
        <v>2894</v>
      </c>
      <c r="I1448" s="17" t="b">
        <v>0</v>
      </c>
      <c r="J1448" s="6" t="s">
        <v>546</v>
      </c>
      <c r="K1448" s="10"/>
      <c r="L1448" s="6" t="s">
        <v>9030</v>
      </c>
      <c r="M1448" s="6" t="s">
        <v>9032</v>
      </c>
      <c r="N1448" s="10"/>
      <c r="O1448" s="18">
        <v>19950.5</v>
      </c>
      <c r="P1448" s="10"/>
      <c r="Q1448" s="17" t="b">
        <v>1</v>
      </c>
      <c r="R1448" s="10"/>
    </row>
    <row r="1449">
      <c r="A1449" s="6" t="s">
        <v>7950</v>
      </c>
      <c r="B1449" s="6" t="s">
        <v>35</v>
      </c>
      <c r="C1449" s="8">
        <v>45903.0</v>
      </c>
      <c r="D1449" s="6" t="s">
        <v>112</v>
      </c>
      <c r="E1449" s="6" t="s">
        <v>9035</v>
      </c>
      <c r="F1449" s="10"/>
      <c r="G1449" s="6" t="s">
        <v>9037</v>
      </c>
      <c r="H1449" s="6" t="s">
        <v>157</v>
      </c>
      <c r="I1449" s="17" t="b">
        <v>0</v>
      </c>
      <c r="J1449" s="6" t="s">
        <v>546</v>
      </c>
      <c r="K1449" s="10"/>
      <c r="L1449" s="10"/>
      <c r="M1449" s="10"/>
      <c r="N1449" s="10"/>
      <c r="O1449" s="18">
        <v>328.2</v>
      </c>
      <c r="P1449" s="10"/>
      <c r="Q1449" s="17" t="b">
        <v>1</v>
      </c>
      <c r="R1449" s="10"/>
    </row>
    <row r="1450">
      <c r="A1450" s="6" t="s">
        <v>7961</v>
      </c>
      <c r="B1450" s="6" t="s">
        <v>35</v>
      </c>
      <c r="C1450" s="8">
        <v>45904.0</v>
      </c>
      <c r="D1450" s="6" t="s">
        <v>8864</v>
      </c>
      <c r="E1450" s="6" t="s">
        <v>9040</v>
      </c>
      <c r="F1450" s="10"/>
      <c r="G1450" s="6" t="s">
        <v>9041</v>
      </c>
      <c r="H1450" s="6" t="s">
        <v>195</v>
      </c>
      <c r="I1450" s="17" t="b">
        <v>0</v>
      </c>
      <c r="J1450" s="6" t="s">
        <v>546</v>
      </c>
      <c r="K1450" s="10"/>
      <c r="L1450" s="10"/>
      <c r="M1450" s="10"/>
      <c r="N1450" s="10"/>
      <c r="O1450" s="18">
        <v>768.8</v>
      </c>
      <c r="P1450" s="10"/>
      <c r="Q1450" s="17" t="b">
        <v>1</v>
      </c>
      <c r="R1450" s="10"/>
    </row>
    <row r="1451">
      <c r="A1451" s="6" t="s">
        <v>7973</v>
      </c>
      <c r="B1451" s="6" t="s">
        <v>35</v>
      </c>
      <c r="C1451" s="8">
        <v>45904.0</v>
      </c>
      <c r="D1451" s="6" t="s">
        <v>890</v>
      </c>
      <c r="E1451" s="6" t="s">
        <v>9045</v>
      </c>
      <c r="F1451" s="10"/>
      <c r="G1451" s="6" t="s">
        <v>9046</v>
      </c>
      <c r="H1451" s="6" t="s">
        <v>9048</v>
      </c>
      <c r="I1451" s="17" t="b">
        <v>0</v>
      </c>
      <c r="J1451" s="6" t="s">
        <v>546</v>
      </c>
      <c r="K1451" s="10"/>
      <c r="L1451" s="6" t="s">
        <v>9049</v>
      </c>
      <c r="M1451" s="10"/>
      <c r="N1451" s="10"/>
      <c r="O1451" s="18">
        <v>7319.06</v>
      </c>
      <c r="P1451" s="10"/>
      <c r="Q1451" s="17" t="b">
        <v>1</v>
      </c>
      <c r="R1451" s="10"/>
    </row>
    <row r="1452">
      <c r="A1452" s="6" t="s">
        <v>7976</v>
      </c>
      <c r="B1452" s="6" t="s">
        <v>35</v>
      </c>
      <c r="C1452" s="8">
        <v>45905.0</v>
      </c>
      <c r="D1452" s="6" t="s">
        <v>112</v>
      </c>
      <c r="E1452" s="6" t="s">
        <v>9051</v>
      </c>
      <c r="F1452" s="10"/>
      <c r="G1452" s="6" t="s">
        <v>9052</v>
      </c>
      <c r="H1452" s="6" t="s">
        <v>157</v>
      </c>
      <c r="I1452" s="17" t="b">
        <v>0</v>
      </c>
      <c r="J1452" s="6" t="s">
        <v>546</v>
      </c>
      <c r="K1452" s="10"/>
      <c r="L1452" s="10"/>
      <c r="M1452" s="10"/>
      <c r="N1452" s="10"/>
      <c r="O1452" s="18">
        <v>247.42</v>
      </c>
      <c r="P1452" s="10"/>
      <c r="Q1452" s="17" t="b">
        <v>1</v>
      </c>
      <c r="R1452" s="10"/>
    </row>
    <row r="1453">
      <c r="A1453" s="6" t="s">
        <v>7985</v>
      </c>
      <c r="B1453" s="6" t="s">
        <v>35</v>
      </c>
      <c r="C1453" s="8">
        <v>45905.0</v>
      </c>
      <c r="D1453" s="6" t="s">
        <v>543</v>
      </c>
      <c r="E1453" s="6" t="s">
        <v>9054</v>
      </c>
      <c r="F1453" s="10"/>
      <c r="G1453" s="6" t="s">
        <v>9056</v>
      </c>
      <c r="H1453" s="6" t="s">
        <v>171</v>
      </c>
      <c r="I1453" s="17" t="b">
        <v>0</v>
      </c>
      <c r="J1453" s="6" t="s">
        <v>546</v>
      </c>
      <c r="K1453" s="10"/>
      <c r="L1453" s="10"/>
      <c r="M1453" s="10"/>
      <c r="N1453" s="10"/>
      <c r="O1453" s="18">
        <v>490.0</v>
      </c>
      <c r="P1453" s="10"/>
      <c r="Q1453" s="17" t="b">
        <v>1</v>
      </c>
      <c r="R1453" s="10"/>
    </row>
    <row r="1454">
      <c r="A1454" s="6" t="s">
        <v>7988</v>
      </c>
      <c r="B1454" s="6" t="s">
        <v>35</v>
      </c>
      <c r="C1454" s="8">
        <v>45910.0</v>
      </c>
      <c r="D1454" s="6" t="s">
        <v>890</v>
      </c>
      <c r="E1454" s="10"/>
      <c r="F1454" s="10"/>
      <c r="G1454" s="10"/>
      <c r="H1454" s="6" t="s">
        <v>4010</v>
      </c>
      <c r="I1454" s="10"/>
      <c r="J1454" s="6" t="s">
        <v>539</v>
      </c>
      <c r="K1454" s="10"/>
      <c r="L1454" s="10"/>
      <c r="M1454" s="10"/>
      <c r="N1454" s="10"/>
      <c r="O1454" s="18">
        <v>375.0</v>
      </c>
      <c r="P1454" s="10"/>
      <c r="Q1454" s="6"/>
      <c r="R1454" s="10"/>
    </row>
    <row r="1455">
      <c r="A1455" s="6" t="s">
        <v>7991</v>
      </c>
      <c r="B1455" s="6" t="s">
        <v>35</v>
      </c>
      <c r="C1455" s="8">
        <v>45910.0</v>
      </c>
      <c r="D1455" s="6" t="s">
        <v>2248</v>
      </c>
      <c r="E1455" s="10"/>
      <c r="F1455" s="10"/>
      <c r="G1455" s="10"/>
      <c r="H1455" s="6" t="s">
        <v>8055</v>
      </c>
      <c r="I1455" s="10"/>
      <c r="J1455" s="6" t="s">
        <v>539</v>
      </c>
      <c r="K1455" s="10"/>
      <c r="L1455" s="10"/>
      <c r="M1455" s="10"/>
      <c r="N1455" s="10"/>
      <c r="O1455" s="18">
        <v>185.0</v>
      </c>
      <c r="P1455" s="10"/>
      <c r="Q1455" s="6"/>
      <c r="R1455" s="10"/>
    </row>
    <row r="1456">
      <c r="A1456" s="18">
        <v>1.8355004E7</v>
      </c>
      <c r="B1456" s="6" t="s">
        <v>35</v>
      </c>
      <c r="C1456" s="8">
        <v>45901.0</v>
      </c>
      <c r="D1456" s="6" t="s">
        <v>7740</v>
      </c>
      <c r="E1456" s="6" t="s">
        <v>9059</v>
      </c>
      <c r="F1456" s="10"/>
      <c r="G1456" s="6" t="s">
        <v>9060</v>
      </c>
      <c r="H1456" s="6" t="s">
        <v>5136</v>
      </c>
      <c r="I1456" s="17" t="b">
        <v>0</v>
      </c>
      <c r="J1456" s="6" t="s">
        <v>546</v>
      </c>
      <c r="K1456" s="10"/>
      <c r="L1456" s="10"/>
      <c r="M1456" s="10"/>
      <c r="N1456" s="10"/>
      <c r="O1456" s="18">
        <v>12.38</v>
      </c>
      <c r="P1456" s="10"/>
      <c r="Q1456" s="17" t="b">
        <v>1</v>
      </c>
      <c r="R1456" s="10"/>
    </row>
    <row r="1457">
      <c r="A1457" s="6" t="s">
        <v>7996</v>
      </c>
      <c r="B1457" s="6" t="s">
        <v>35</v>
      </c>
      <c r="C1457" s="8">
        <v>45909.0</v>
      </c>
      <c r="D1457" s="6" t="s">
        <v>286</v>
      </c>
      <c r="E1457" s="6" t="s">
        <v>9063</v>
      </c>
      <c r="F1457" s="10"/>
      <c r="G1457" s="6" t="s">
        <v>9065</v>
      </c>
      <c r="H1457" s="6" t="s">
        <v>9067</v>
      </c>
      <c r="I1457" s="17" t="b">
        <v>1</v>
      </c>
      <c r="J1457" s="6" t="s">
        <v>546</v>
      </c>
      <c r="K1457" s="10"/>
      <c r="L1457" s="10"/>
      <c r="M1457" s="10"/>
      <c r="N1457" s="10"/>
      <c r="O1457" s="18">
        <v>17.99</v>
      </c>
      <c r="P1457" s="18">
        <v>1670757.0</v>
      </c>
      <c r="Q1457" s="17" t="b">
        <v>1</v>
      </c>
      <c r="R1457" s="10"/>
    </row>
    <row r="1458">
      <c r="A1458" s="6" t="s">
        <v>8000</v>
      </c>
      <c r="B1458" s="6" t="s">
        <v>35</v>
      </c>
      <c r="C1458" s="8">
        <v>45909.0</v>
      </c>
      <c r="D1458" s="18">
        <v>2.6065919E7</v>
      </c>
      <c r="E1458" s="6" t="s">
        <v>9072</v>
      </c>
      <c r="F1458" s="10"/>
      <c r="G1458" s="6" t="s">
        <v>9073</v>
      </c>
      <c r="H1458" s="6" t="s">
        <v>5885</v>
      </c>
      <c r="I1458" s="17" t="b">
        <v>1</v>
      </c>
      <c r="J1458" s="6" t="s">
        <v>546</v>
      </c>
      <c r="K1458" s="10"/>
      <c r="L1458" s="10"/>
      <c r="M1458" s="10"/>
      <c r="N1458" s="10"/>
      <c r="O1458" s="18">
        <v>160.0</v>
      </c>
      <c r="P1458" s="18">
        <v>1670931.0</v>
      </c>
      <c r="Q1458" s="17" t="b">
        <v>1</v>
      </c>
      <c r="R1458" s="10"/>
    </row>
    <row r="1459">
      <c r="A1459" s="18">
        <v>4.417835E7</v>
      </c>
      <c r="B1459" s="6" t="s">
        <v>35</v>
      </c>
      <c r="C1459" s="8">
        <v>45910.0</v>
      </c>
      <c r="D1459" s="6" t="s">
        <v>112</v>
      </c>
      <c r="E1459" s="6" t="s">
        <v>9077</v>
      </c>
      <c r="F1459" s="10"/>
      <c r="G1459" s="6" t="s">
        <v>9078</v>
      </c>
      <c r="H1459" s="6" t="s">
        <v>157</v>
      </c>
      <c r="I1459" s="17" t="b">
        <v>0</v>
      </c>
      <c r="J1459" s="6" t="s">
        <v>546</v>
      </c>
      <c r="K1459" s="10"/>
      <c r="L1459" s="10"/>
      <c r="M1459" s="10"/>
      <c r="N1459" s="10"/>
      <c r="O1459" s="18">
        <v>13.28</v>
      </c>
      <c r="P1459" s="10"/>
      <c r="Q1459" s="17" t="b">
        <v>1</v>
      </c>
      <c r="R1459" s="10"/>
    </row>
    <row r="1460">
      <c r="A1460" s="6" t="s">
        <v>8004</v>
      </c>
      <c r="B1460" s="6" t="s">
        <v>35</v>
      </c>
      <c r="C1460" s="8">
        <v>45910.0</v>
      </c>
      <c r="D1460" s="6" t="s">
        <v>145</v>
      </c>
      <c r="E1460" s="6" t="s">
        <v>9081</v>
      </c>
      <c r="F1460" s="10"/>
      <c r="G1460" s="6" t="s">
        <v>9083</v>
      </c>
      <c r="H1460" s="6" t="s">
        <v>9084</v>
      </c>
      <c r="I1460" s="17" t="b">
        <v>0</v>
      </c>
      <c r="J1460" s="6" t="s">
        <v>546</v>
      </c>
      <c r="K1460" s="10"/>
      <c r="L1460" s="10"/>
      <c r="M1460" s="10"/>
      <c r="N1460" s="10"/>
      <c r="O1460" s="18">
        <v>228.0</v>
      </c>
      <c r="P1460" s="10"/>
      <c r="Q1460" s="17" t="b">
        <v>1</v>
      </c>
      <c r="R1460" s="10"/>
    </row>
    <row r="1461">
      <c r="A1461" s="6" t="s">
        <v>8009</v>
      </c>
      <c r="B1461" s="6" t="s">
        <v>35</v>
      </c>
      <c r="C1461" s="8">
        <v>45911.0</v>
      </c>
      <c r="D1461" s="6" t="s">
        <v>353</v>
      </c>
      <c r="E1461" s="6" t="s">
        <v>9089</v>
      </c>
      <c r="F1461" s="10"/>
      <c r="G1461" s="6" t="s">
        <v>9090</v>
      </c>
      <c r="H1461" s="6" t="s">
        <v>9092</v>
      </c>
      <c r="I1461" s="17" t="b">
        <v>1</v>
      </c>
      <c r="J1461" s="6" t="s">
        <v>546</v>
      </c>
      <c r="K1461" s="10"/>
      <c r="L1461" s="10"/>
      <c r="M1461" s="10"/>
      <c r="N1461" s="10"/>
      <c r="O1461" s="18">
        <v>589.32</v>
      </c>
      <c r="P1461" s="18">
        <v>1674296.0</v>
      </c>
      <c r="Q1461" s="17" t="b">
        <v>1</v>
      </c>
      <c r="R1461" s="10"/>
    </row>
    <row r="1462">
      <c r="A1462" s="6" t="s">
        <v>8015</v>
      </c>
      <c r="B1462" s="6" t="s">
        <v>35</v>
      </c>
      <c r="C1462" s="8">
        <v>45911.0</v>
      </c>
      <c r="D1462" s="6" t="s">
        <v>764</v>
      </c>
      <c r="E1462" s="6" t="s">
        <v>9097</v>
      </c>
      <c r="F1462" s="10"/>
      <c r="G1462" s="6" t="s">
        <v>9098</v>
      </c>
      <c r="H1462" s="6" t="s">
        <v>195</v>
      </c>
      <c r="I1462" s="17" t="b">
        <v>0</v>
      </c>
      <c r="J1462" s="6" t="s">
        <v>546</v>
      </c>
      <c r="K1462" s="10"/>
      <c r="L1462" s="10"/>
      <c r="M1462" s="10"/>
      <c r="N1462" s="10"/>
      <c r="O1462" s="18">
        <v>355.2</v>
      </c>
      <c r="P1462" s="10"/>
      <c r="Q1462" s="17" t="b">
        <v>1</v>
      </c>
      <c r="R1462" s="10"/>
    </row>
    <row r="1463">
      <c r="A1463" s="6" t="s">
        <v>8022</v>
      </c>
      <c r="B1463" s="6" t="s">
        <v>35</v>
      </c>
      <c r="C1463" s="8">
        <v>45912.0</v>
      </c>
      <c r="D1463" s="6" t="s">
        <v>2613</v>
      </c>
      <c r="E1463" s="6" t="s">
        <v>9103</v>
      </c>
      <c r="F1463" s="10"/>
      <c r="G1463" s="6" t="s">
        <v>9106</v>
      </c>
      <c r="H1463" s="6" t="s">
        <v>482</v>
      </c>
      <c r="I1463" s="17" t="b">
        <v>1</v>
      </c>
      <c r="J1463" s="6" t="s">
        <v>546</v>
      </c>
      <c r="K1463" s="10"/>
      <c r="L1463" s="10"/>
      <c r="M1463" s="10"/>
      <c r="N1463" s="10"/>
      <c r="O1463" s="18">
        <v>182.2</v>
      </c>
      <c r="P1463" s="18">
        <v>1676161.0</v>
      </c>
      <c r="Q1463" s="17" t="b">
        <v>1</v>
      </c>
      <c r="R1463" s="10"/>
    </row>
    <row r="1464">
      <c r="A1464" s="6" t="s">
        <v>8037</v>
      </c>
      <c r="B1464" s="6" t="s">
        <v>35</v>
      </c>
      <c r="C1464" s="8">
        <v>45912.0</v>
      </c>
      <c r="D1464" s="6" t="s">
        <v>3493</v>
      </c>
      <c r="E1464" s="6" t="s">
        <v>9111</v>
      </c>
      <c r="F1464" s="10"/>
      <c r="G1464" s="6" t="s">
        <v>9113</v>
      </c>
      <c r="H1464" s="6" t="s">
        <v>9114</v>
      </c>
      <c r="I1464" s="17" t="b">
        <v>1</v>
      </c>
      <c r="J1464" s="6" t="s">
        <v>546</v>
      </c>
      <c r="K1464" s="10"/>
      <c r="L1464" s="10"/>
      <c r="M1464" s="10"/>
      <c r="N1464" s="10"/>
      <c r="O1464" s="18">
        <v>127.55</v>
      </c>
      <c r="P1464" s="18">
        <v>1675945.0</v>
      </c>
      <c r="Q1464" s="17" t="b">
        <v>1</v>
      </c>
      <c r="R1464" s="10"/>
    </row>
    <row r="1465">
      <c r="A1465" s="6" t="s">
        <v>8039</v>
      </c>
      <c r="B1465" s="6" t="s">
        <v>35</v>
      </c>
      <c r="C1465" s="8">
        <v>45912.0</v>
      </c>
      <c r="D1465" s="6" t="s">
        <v>112</v>
      </c>
      <c r="E1465" s="6" t="s">
        <v>9117</v>
      </c>
      <c r="F1465" s="10"/>
      <c r="G1465" s="6" t="s">
        <v>9119</v>
      </c>
      <c r="H1465" s="6" t="s">
        <v>157</v>
      </c>
      <c r="I1465" s="17" t="b">
        <v>0</v>
      </c>
      <c r="J1465" s="6" t="s">
        <v>546</v>
      </c>
      <c r="K1465" s="10"/>
      <c r="L1465" s="10"/>
      <c r="M1465" s="10"/>
      <c r="N1465" s="10"/>
      <c r="O1465" s="18">
        <v>297.0</v>
      </c>
      <c r="P1465" s="10"/>
      <c r="Q1465" s="17" t="b">
        <v>1</v>
      </c>
      <c r="R1465" s="10"/>
    </row>
    <row r="1466">
      <c r="A1466" s="6" t="s">
        <v>8045</v>
      </c>
      <c r="B1466" s="6" t="s">
        <v>35</v>
      </c>
      <c r="C1466" s="8">
        <v>45912.0</v>
      </c>
      <c r="D1466" s="6" t="s">
        <v>543</v>
      </c>
      <c r="E1466" s="6" t="s">
        <v>9122</v>
      </c>
      <c r="F1466" s="10"/>
      <c r="G1466" s="6" t="s">
        <v>9123</v>
      </c>
      <c r="H1466" s="6" t="s">
        <v>171</v>
      </c>
      <c r="I1466" s="17" t="b">
        <v>0</v>
      </c>
      <c r="J1466" s="6" t="s">
        <v>546</v>
      </c>
      <c r="K1466" s="10"/>
      <c r="L1466" s="10"/>
      <c r="M1466" s="10"/>
      <c r="N1466" s="10"/>
      <c r="O1466" s="18">
        <v>490.0</v>
      </c>
      <c r="P1466" s="10"/>
      <c r="Q1466" s="17" t="b">
        <v>1</v>
      </c>
      <c r="R1466" s="10"/>
    </row>
    <row r="1467">
      <c r="A1467" s="6" t="s">
        <v>8048</v>
      </c>
      <c r="B1467" s="6" t="s">
        <v>35</v>
      </c>
      <c r="C1467" s="8">
        <v>45913.0</v>
      </c>
      <c r="D1467" s="6" t="s">
        <v>3493</v>
      </c>
      <c r="E1467" s="6" t="s">
        <v>9126</v>
      </c>
      <c r="F1467" s="10"/>
      <c r="G1467" s="6" t="s">
        <v>9127</v>
      </c>
      <c r="H1467" s="6" t="s">
        <v>9129</v>
      </c>
      <c r="I1467" s="17" t="b">
        <v>1</v>
      </c>
      <c r="J1467" s="6" t="s">
        <v>546</v>
      </c>
      <c r="K1467" s="10"/>
      <c r="L1467" s="10"/>
      <c r="M1467" s="10"/>
      <c r="N1467" s="10"/>
      <c r="O1467" s="18">
        <v>118.93</v>
      </c>
      <c r="P1467" s="18">
        <v>1677905.0</v>
      </c>
      <c r="Q1467" s="17" t="b">
        <v>1</v>
      </c>
      <c r="R1467" s="10"/>
    </row>
    <row r="1468">
      <c r="A1468" s="18">
        <v>1.81119315E8</v>
      </c>
      <c r="B1468" s="6" t="s">
        <v>35</v>
      </c>
      <c r="C1468" s="8">
        <v>45915.0</v>
      </c>
      <c r="D1468" s="6" t="s">
        <v>890</v>
      </c>
      <c r="E1468" s="10"/>
      <c r="F1468" s="10"/>
      <c r="G1468" s="10"/>
      <c r="H1468" s="6" t="s">
        <v>9132</v>
      </c>
      <c r="I1468" s="10"/>
      <c r="J1468" s="6" t="s">
        <v>539</v>
      </c>
      <c r="K1468" s="10"/>
      <c r="L1468" s="10"/>
      <c r="M1468" s="10"/>
      <c r="N1468" s="10"/>
      <c r="O1468" s="18">
        <v>4257.0</v>
      </c>
      <c r="P1468" s="10"/>
      <c r="Q1468" s="6"/>
      <c r="R1468" s="10"/>
    </row>
    <row r="1469">
      <c r="A1469" s="6" t="s">
        <v>8052</v>
      </c>
      <c r="B1469" s="6" t="s">
        <v>35</v>
      </c>
      <c r="C1469" s="8">
        <v>45915.0</v>
      </c>
      <c r="D1469" s="6" t="s">
        <v>890</v>
      </c>
      <c r="E1469" s="10"/>
      <c r="F1469" s="10"/>
      <c r="G1469" s="10"/>
      <c r="H1469" s="6" t="s">
        <v>9137</v>
      </c>
      <c r="I1469" s="10"/>
      <c r="J1469" s="6" t="s">
        <v>539</v>
      </c>
      <c r="K1469" s="10"/>
      <c r="L1469" s="10"/>
      <c r="M1469" s="10"/>
      <c r="N1469" s="10"/>
      <c r="O1469" s="18">
        <v>84.0</v>
      </c>
      <c r="P1469" s="10"/>
      <c r="Q1469" s="6"/>
      <c r="R1469" s="10"/>
    </row>
    <row r="1470">
      <c r="A1470" s="6" t="s">
        <v>8054</v>
      </c>
      <c r="B1470" s="6" t="s">
        <v>35</v>
      </c>
      <c r="C1470" s="8">
        <v>45915.0</v>
      </c>
      <c r="D1470" s="6" t="s">
        <v>890</v>
      </c>
      <c r="E1470" s="10"/>
      <c r="F1470" s="10"/>
      <c r="G1470" s="10"/>
      <c r="H1470" s="6" t="s">
        <v>9142</v>
      </c>
      <c r="I1470" s="10"/>
      <c r="J1470" s="6" t="s">
        <v>539</v>
      </c>
      <c r="K1470" s="10"/>
      <c r="L1470" s="10"/>
      <c r="M1470" s="10"/>
      <c r="N1470" s="10"/>
      <c r="O1470" s="18">
        <v>1587.22</v>
      </c>
      <c r="P1470" s="10"/>
      <c r="Q1470" s="6"/>
      <c r="R1470" s="10"/>
    </row>
    <row r="1471">
      <c r="A1471" s="18">
        <v>6.8031711E7</v>
      </c>
      <c r="B1471" s="6" t="s">
        <v>35</v>
      </c>
      <c r="C1471" s="8">
        <v>45915.0</v>
      </c>
      <c r="D1471" s="6" t="s">
        <v>112</v>
      </c>
      <c r="E1471" s="6" t="s">
        <v>9145</v>
      </c>
      <c r="F1471" s="10"/>
      <c r="G1471" s="6" t="s">
        <v>9146</v>
      </c>
      <c r="H1471" s="6" t="s">
        <v>157</v>
      </c>
      <c r="I1471" s="17" t="b">
        <v>0</v>
      </c>
      <c r="J1471" s="6" t="s">
        <v>546</v>
      </c>
      <c r="K1471" s="10"/>
      <c r="L1471" s="10"/>
      <c r="M1471" s="10"/>
      <c r="N1471" s="10"/>
      <c r="O1471" s="18">
        <v>222.12</v>
      </c>
      <c r="P1471" s="10"/>
      <c r="Q1471" s="17" t="b">
        <v>1</v>
      </c>
      <c r="R1471" s="10"/>
    </row>
    <row r="1472">
      <c r="A1472" s="6" t="s">
        <v>8061</v>
      </c>
      <c r="B1472" s="6" t="s">
        <v>35</v>
      </c>
      <c r="C1472" s="8">
        <v>45917.0</v>
      </c>
      <c r="D1472" s="6" t="s">
        <v>2096</v>
      </c>
      <c r="E1472" s="6" t="s">
        <v>9151</v>
      </c>
      <c r="F1472" s="10"/>
      <c r="G1472" s="6" t="s">
        <v>9152</v>
      </c>
      <c r="H1472" s="6" t="s">
        <v>925</v>
      </c>
      <c r="I1472" s="17" t="b">
        <v>1</v>
      </c>
      <c r="J1472" s="6" t="s">
        <v>546</v>
      </c>
      <c r="K1472" s="10"/>
      <c r="L1472" s="10"/>
      <c r="M1472" s="10"/>
      <c r="N1472" s="10"/>
      <c r="O1472" s="18">
        <v>90.0</v>
      </c>
      <c r="P1472" s="18">
        <v>1686530.0</v>
      </c>
      <c r="Q1472" s="17" t="b">
        <v>1</v>
      </c>
      <c r="R1472" s="10"/>
    </row>
    <row r="1473">
      <c r="A1473" s="6" t="s">
        <v>8063</v>
      </c>
      <c r="B1473" s="6" t="s">
        <v>35</v>
      </c>
      <c r="C1473" s="8">
        <v>45917.0</v>
      </c>
      <c r="D1473" s="6" t="s">
        <v>112</v>
      </c>
      <c r="E1473" s="6" t="s">
        <v>9159</v>
      </c>
      <c r="F1473" s="10"/>
      <c r="G1473" s="6" t="s">
        <v>9160</v>
      </c>
      <c r="H1473" s="6" t="s">
        <v>157</v>
      </c>
      <c r="I1473" s="17" t="b">
        <v>0</v>
      </c>
      <c r="J1473" s="6" t="s">
        <v>546</v>
      </c>
      <c r="K1473" s="10"/>
      <c r="L1473" s="10"/>
      <c r="M1473" s="10"/>
      <c r="N1473" s="10"/>
      <c r="O1473" s="18">
        <v>138.69</v>
      </c>
      <c r="P1473" s="10"/>
      <c r="Q1473" s="17" t="b">
        <v>1</v>
      </c>
      <c r="R1473" s="10"/>
    </row>
    <row r="1474">
      <c r="A1474" s="6" t="s">
        <v>8066</v>
      </c>
      <c r="B1474" s="6" t="s">
        <v>35</v>
      </c>
      <c r="C1474" s="8">
        <v>45916.0</v>
      </c>
      <c r="D1474" s="6" t="s">
        <v>890</v>
      </c>
      <c r="E1474" s="6" t="s">
        <v>9167</v>
      </c>
      <c r="F1474" s="10"/>
      <c r="G1474" s="6" t="s">
        <v>9169</v>
      </c>
      <c r="H1474" s="6" t="s">
        <v>9170</v>
      </c>
      <c r="I1474" s="17" t="b">
        <v>0</v>
      </c>
      <c r="J1474" s="6" t="s">
        <v>546</v>
      </c>
      <c r="K1474" s="10"/>
      <c r="L1474" s="10"/>
      <c r="M1474" s="10"/>
      <c r="N1474" s="10"/>
      <c r="O1474" s="18">
        <v>36.91</v>
      </c>
      <c r="P1474" s="10"/>
      <c r="Q1474" s="17" t="b">
        <v>1</v>
      </c>
      <c r="R1474" s="10"/>
    </row>
    <row r="1475">
      <c r="A1475" s="6" t="s">
        <v>8069</v>
      </c>
      <c r="B1475" s="6" t="s">
        <v>35</v>
      </c>
      <c r="C1475" s="8">
        <v>45916.0</v>
      </c>
      <c r="D1475" s="6" t="s">
        <v>890</v>
      </c>
      <c r="E1475" s="6" t="s">
        <v>9179</v>
      </c>
      <c r="F1475" s="10"/>
      <c r="G1475" s="6" t="s">
        <v>9182</v>
      </c>
      <c r="H1475" s="6" t="s">
        <v>2894</v>
      </c>
      <c r="I1475" s="17" t="b">
        <v>0</v>
      </c>
      <c r="J1475" s="6" t="s">
        <v>546</v>
      </c>
      <c r="K1475" s="10"/>
      <c r="L1475" s="6" t="s">
        <v>9184</v>
      </c>
      <c r="M1475" s="6" t="s">
        <v>9186</v>
      </c>
      <c r="N1475" s="10"/>
      <c r="O1475" s="18">
        <v>21429.78</v>
      </c>
      <c r="P1475" s="10"/>
      <c r="Q1475" s="17" t="b">
        <v>1</v>
      </c>
      <c r="R1475" s="10"/>
    </row>
    <row r="1476">
      <c r="A1476" s="6" t="s">
        <v>8071</v>
      </c>
      <c r="B1476" s="6" t="s">
        <v>35</v>
      </c>
      <c r="C1476" s="8">
        <v>45917.0</v>
      </c>
      <c r="D1476" s="6" t="s">
        <v>9189</v>
      </c>
      <c r="E1476" s="6" t="s">
        <v>9190</v>
      </c>
      <c r="F1476" s="10"/>
      <c r="G1476" s="6" t="s">
        <v>9192</v>
      </c>
      <c r="H1476" s="6" t="s">
        <v>5815</v>
      </c>
      <c r="I1476" s="17" t="b">
        <v>1</v>
      </c>
      <c r="J1476" s="6" t="s">
        <v>546</v>
      </c>
      <c r="K1476" s="10"/>
      <c r="L1476" s="10"/>
      <c r="M1476" s="10"/>
      <c r="N1476" s="10"/>
      <c r="O1476" s="18">
        <v>94.95</v>
      </c>
      <c r="P1476" s="18">
        <v>1686865.0</v>
      </c>
      <c r="Q1476" s="17" t="b">
        <v>1</v>
      </c>
      <c r="R1476" s="10"/>
    </row>
    <row r="1477">
      <c r="A1477" s="6" t="s">
        <v>8073</v>
      </c>
      <c r="B1477" s="6" t="s">
        <v>35</v>
      </c>
      <c r="C1477" s="8">
        <v>45918.0</v>
      </c>
      <c r="D1477" s="6" t="s">
        <v>764</v>
      </c>
      <c r="E1477" s="6" t="s">
        <v>9200</v>
      </c>
      <c r="F1477" s="10"/>
      <c r="G1477" s="6" t="s">
        <v>9203</v>
      </c>
      <c r="H1477" s="6" t="s">
        <v>195</v>
      </c>
      <c r="I1477" s="17" t="b">
        <v>0</v>
      </c>
      <c r="J1477" s="6" t="s">
        <v>546</v>
      </c>
      <c r="K1477" s="10"/>
      <c r="L1477" s="6" t="s">
        <v>9206</v>
      </c>
      <c r="M1477" s="10"/>
      <c r="N1477" s="10"/>
      <c r="O1477" s="18">
        <v>975.62</v>
      </c>
      <c r="P1477" s="10"/>
      <c r="Q1477" s="17" t="b">
        <v>1</v>
      </c>
      <c r="R1477" s="10"/>
    </row>
    <row r="1478">
      <c r="A1478" s="6" t="s">
        <v>8092</v>
      </c>
      <c r="B1478" s="6" t="s">
        <v>35</v>
      </c>
      <c r="C1478" s="8">
        <v>45919.0</v>
      </c>
      <c r="D1478" s="6" t="s">
        <v>112</v>
      </c>
      <c r="E1478" s="6" t="s">
        <v>9209</v>
      </c>
      <c r="F1478" s="10"/>
      <c r="G1478" s="6" t="s">
        <v>9212</v>
      </c>
      <c r="H1478" s="6" t="s">
        <v>157</v>
      </c>
      <c r="I1478" s="17" t="b">
        <v>0</v>
      </c>
      <c r="J1478" s="6" t="s">
        <v>546</v>
      </c>
      <c r="K1478" s="10"/>
      <c r="L1478" s="10"/>
      <c r="M1478" s="10"/>
      <c r="N1478" s="10"/>
      <c r="O1478" s="18">
        <v>83.5</v>
      </c>
      <c r="P1478" s="10"/>
      <c r="Q1478" s="17" t="b">
        <v>1</v>
      </c>
      <c r="R1478" s="10"/>
    </row>
    <row r="1479">
      <c r="A1479" s="6" t="s">
        <v>8098</v>
      </c>
      <c r="B1479" s="6" t="s">
        <v>35</v>
      </c>
      <c r="C1479" s="8">
        <v>45919.0</v>
      </c>
      <c r="D1479" s="6" t="s">
        <v>543</v>
      </c>
      <c r="E1479" s="6" t="s">
        <v>9219</v>
      </c>
      <c r="F1479" s="10"/>
      <c r="G1479" s="6" t="s">
        <v>9222</v>
      </c>
      <c r="H1479" s="6" t="s">
        <v>171</v>
      </c>
      <c r="I1479" s="17" t="b">
        <v>0</v>
      </c>
      <c r="J1479" s="6" t="s">
        <v>546</v>
      </c>
      <c r="K1479" s="10"/>
      <c r="L1479" s="10"/>
      <c r="M1479" s="10"/>
      <c r="N1479" s="10"/>
      <c r="O1479" s="18">
        <v>630.0</v>
      </c>
      <c r="P1479" s="10"/>
      <c r="Q1479" s="17" t="b">
        <v>1</v>
      </c>
      <c r="R1479" s="10"/>
    </row>
    <row r="1480">
      <c r="A1480" s="6" t="s">
        <v>8100</v>
      </c>
      <c r="B1480" s="6" t="s">
        <v>35</v>
      </c>
      <c r="C1480" s="8">
        <v>45919.0</v>
      </c>
      <c r="D1480" s="6" t="s">
        <v>112</v>
      </c>
      <c r="E1480" s="6" t="s">
        <v>9209</v>
      </c>
      <c r="F1480" s="10"/>
      <c r="G1480" s="6" t="s">
        <v>9228</v>
      </c>
      <c r="H1480" s="6" t="s">
        <v>157</v>
      </c>
      <c r="I1480" s="17" t="b">
        <v>0</v>
      </c>
      <c r="J1480" s="6" t="s">
        <v>546</v>
      </c>
      <c r="K1480" s="10"/>
      <c r="L1480" s="10"/>
      <c r="M1480" s="10"/>
      <c r="N1480" s="10"/>
      <c r="O1480" s="18">
        <v>384.95</v>
      </c>
      <c r="P1480" s="10"/>
      <c r="Q1480" s="17" t="b">
        <v>1</v>
      </c>
      <c r="R1480" s="10"/>
    </row>
    <row r="1481">
      <c r="A1481" s="6" t="s">
        <v>8107</v>
      </c>
      <c r="B1481" s="6" t="s">
        <v>35</v>
      </c>
      <c r="C1481" s="8">
        <v>45922.0</v>
      </c>
      <c r="D1481" s="6" t="s">
        <v>3516</v>
      </c>
      <c r="E1481" s="10"/>
      <c r="F1481" s="10"/>
      <c r="G1481" s="10"/>
      <c r="H1481" s="6" t="s">
        <v>9234</v>
      </c>
      <c r="I1481" s="10"/>
      <c r="J1481" s="6" t="s">
        <v>539</v>
      </c>
      <c r="K1481" s="10"/>
      <c r="L1481" s="10"/>
      <c r="M1481" s="10"/>
      <c r="N1481" s="10"/>
      <c r="O1481" s="18">
        <v>179.0</v>
      </c>
      <c r="P1481" s="10"/>
      <c r="Q1481" s="6"/>
      <c r="R1481" s="10"/>
    </row>
    <row r="1482">
      <c r="A1482" s="6" t="s">
        <v>8111</v>
      </c>
      <c r="B1482" s="6" t="s">
        <v>35</v>
      </c>
      <c r="C1482" s="8">
        <v>45922.0</v>
      </c>
      <c r="D1482" s="6" t="s">
        <v>8980</v>
      </c>
      <c r="E1482" s="10"/>
      <c r="F1482" s="10"/>
      <c r="G1482" s="10"/>
      <c r="H1482" s="8">
        <v>45690.0</v>
      </c>
      <c r="I1482" s="10"/>
      <c r="J1482" s="6" t="s">
        <v>539</v>
      </c>
      <c r="K1482" s="10"/>
      <c r="L1482" s="10"/>
      <c r="M1482" s="10"/>
      <c r="N1482" s="10"/>
      <c r="O1482" s="18">
        <v>350.0</v>
      </c>
      <c r="P1482" s="10"/>
      <c r="Q1482" s="6"/>
      <c r="R1482" s="10"/>
    </row>
    <row r="1483">
      <c r="A1483" s="6" t="s">
        <v>8113</v>
      </c>
      <c r="B1483" s="6" t="s">
        <v>35</v>
      </c>
      <c r="C1483" s="8">
        <v>45924.0</v>
      </c>
      <c r="D1483" s="6" t="s">
        <v>9244</v>
      </c>
      <c r="E1483" s="6" t="s">
        <v>9245</v>
      </c>
      <c r="F1483" s="10"/>
      <c r="G1483" s="6" t="s">
        <v>9247</v>
      </c>
      <c r="H1483" s="6" t="s">
        <v>9248</v>
      </c>
      <c r="I1483" s="17" t="b">
        <v>0</v>
      </c>
      <c r="J1483" s="6" t="s">
        <v>546</v>
      </c>
      <c r="K1483" s="10"/>
      <c r="L1483" s="10"/>
      <c r="M1483" s="10"/>
      <c r="N1483" s="10"/>
      <c r="O1483" s="18">
        <v>283.6</v>
      </c>
      <c r="P1483" s="10"/>
      <c r="Q1483" s="17" t="b">
        <v>1</v>
      </c>
      <c r="R1483" s="10"/>
    </row>
    <row r="1484">
      <c r="A1484" s="6" t="s">
        <v>8116</v>
      </c>
      <c r="B1484" s="6" t="s">
        <v>35</v>
      </c>
      <c r="C1484" s="8">
        <v>45926.0</v>
      </c>
      <c r="D1484" s="10"/>
      <c r="E1484" s="10"/>
      <c r="F1484" s="10"/>
      <c r="G1484" s="10"/>
      <c r="H1484" s="6" t="s">
        <v>1329</v>
      </c>
      <c r="I1484" s="10"/>
      <c r="J1484" s="6" t="s">
        <v>539</v>
      </c>
      <c r="K1484" s="6" t="s">
        <v>6062</v>
      </c>
      <c r="L1484" s="10"/>
      <c r="M1484" s="10"/>
      <c r="N1484" s="10"/>
      <c r="O1484" s="18">
        <v>500.0</v>
      </c>
      <c r="P1484" s="10"/>
      <c r="Q1484" s="6"/>
      <c r="R1484" s="10"/>
    </row>
    <row r="1485">
      <c r="A1485" s="6" t="s">
        <v>8119</v>
      </c>
      <c r="B1485" s="6" t="s">
        <v>35</v>
      </c>
      <c r="C1485" s="8">
        <v>45929.0</v>
      </c>
      <c r="D1485" s="6" t="s">
        <v>9260</v>
      </c>
      <c r="E1485" s="10"/>
      <c r="F1485" s="10"/>
      <c r="G1485" s="10"/>
      <c r="H1485" s="6" t="s">
        <v>9265</v>
      </c>
      <c r="I1485" s="10"/>
      <c r="J1485" s="6" t="s">
        <v>539</v>
      </c>
      <c r="K1485" s="10"/>
      <c r="L1485" s="10"/>
      <c r="M1485" s="10"/>
      <c r="N1485" s="10"/>
      <c r="O1485" s="18">
        <v>4067.85</v>
      </c>
      <c r="P1485" s="10"/>
      <c r="Q1485" s="6"/>
      <c r="R1485" s="10"/>
    </row>
    <row r="1486">
      <c r="A1486" s="6" t="s">
        <v>8123</v>
      </c>
      <c r="B1486" s="6" t="s">
        <v>35</v>
      </c>
      <c r="C1486" s="8">
        <v>45929.0</v>
      </c>
      <c r="D1486" s="6" t="s">
        <v>890</v>
      </c>
      <c r="E1486" s="10"/>
      <c r="F1486" s="10"/>
      <c r="G1486" s="10"/>
      <c r="H1486" s="6" t="s">
        <v>9272</v>
      </c>
      <c r="I1486" s="10"/>
      <c r="J1486" s="6" t="s">
        <v>539</v>
      </c>
      <c r="K1486" s="10"/>
      <c r="L1486" s="10"/>
      <c r="M1486" s="10"/>
      <c r="N1486" s="10"/>
      <c r="O1486" s="18">
        <v>8.0</v>
      </c>
      <c r="P1486" s="10"/>
      <c r="Q1486" s="6"/>
      <c r="R1486" s="10"/>
    </row>
    <row r="1487">
      <c r="A1487" s="6" t="s">
        <v>8126</v>
      </c>
      <c r="B1487" s="6" t="s">
        <v>35</v>
      </c>
      <c r="C1487" s="8">
        <v>45929.0</v>
      </c>
      <c r="D1487" s="6" t="s">
        <v>890</v>
      </c>
      <c r="E1487" s="10"/>
      <c r="F1487" s="10"/>
      <c r="G1487" s="10"/>
      <c r="H1487" s="6" t="s">
        <v>9278</v>
      </c>
      <c r="I1487" s="10"/>
      <c r="J1487" s="6" t="s">
        <v>539</v>
      </c>
      <c r="K1487" s="10"/>
      <c r="L1487" s="10"/>
      <c r="M1487" s="10"/>
      <c r="N1487" s="10"/>
      <c r="O1487" s="18">
        <v>2221.95</v>
      </c>
      <c r="P1487" s="10"/>
      <c r="Q1487" s="6"/>
      <c r="R1487" s="10"/>
    </row>
    <row r="1488">
      <c r="A1488" s="6" t="s">
        <v>8129</v>
      </c>
      <c r="B1488" s="6" t="s">
        <v>35</v>
      </c>
      <c r="C1488" s="8">
        <v>45929.0</v>
      </c>
      <c r="D1488" s="6" t="s">
        <v>460</v>
      </c>
      <c r="E1488" s="10"/>
      <c r="F1488" s="10"/>
      <c r="G1488" s="10"/>
      <c r="H1488" s="6" t="s">
        <v>931</v>
      </c>
      <c r="I1488" s="10"/>
      <c r="J1488" s="6" t="s">
        <v>539</v>
      </c>
      <c r="K1488" s="10"/>
      <c r="L1488" s="10"/>
      <c r="M1488" s="10"/>
      <c r="N1488" s="10"/>
      <c r="O1488" s="18">
        <v>40.0</v>
      </c>
      <c r="P1488" s="10"/>
      <c r="Q1488" s="6"/>
      <c r="R1488" s="10"/>
    </row>
    <row r="1489">
      <c r="A1489" s="6" t="s">
        <v>8133</v>
      </c>
      <c r="B1489" s="6" t="s">
        <v>35</v>
      </c>
      <c r="C1489" s="8">
        <v>45929.0</v>
      </c>
      <c r="D1489" s="6" t="s">
        <v>460</v>
      </c>
      <c r="E1489" s="10"/>
      <c r="F1489" s="10"/>
      <c r="G1489" s="10"/>
      <c r="H1489" s="6" t="s">
        <v>9293</v>
      </c>
      <c r="I1489" s="10"/>
      <c r="J1489" s="6" t="s">
        <v>539</v>
      </c>
      <c r="K1489" s="10"/>
      <c r="L1489" s="10"/>
      <c r="M1489" s="10"/>
      <c r="N1489" s="10"/>
      <c r="O1489" s="18">
        <v>200.0</v>
      </c>
      <c r="P1489" s="10"/>
      <c r="Q1489" s="6"/>
      <c r="R1489" s="10"/>
    </row>
    <row r="1490">
      <c r="A1490" s="6" t="s">
        <v>8135</v>
      </c>
      <c r="B1490" s="6" t="s">
        <v>35</v>
      </c>
      <c r="C1490" s="8">
        <v>45929.0</v>
      </c>
      <c r="D1490" s="6" t="s">
        <v>460</v>
      </c>
      <c r="E1490" s="10"/>
      <c r="F1490" s="10"/>
      <c r="G1490" s="10"/>
      <c r="H1490" s="6" t="s">
        <v>4972</v>
      </c>
      <c r="I1490" s="10"/>
      <c r="J1490" s="6" t="s">
        <v>539</v>
      </c>
      <c r="K1490" s="10"/>
      <c r="L1490" s="10"/>
      <c r="M1490" s="10"/>
      <c r="N1490" s="10"/>
      <c r="O1490" s="18">
        <v>22.0</v>
      </c>
      <c r="P1490" s="10"/>
      <c r="Q1490" s="6"/>
      <c r="R1490" s="10"/>
    </row>
    <row r="1491">
      <c r="A1491" s="6" t="s">
        <v>8137</v>
      </c>
      <c r="B1491" s="6" t="s">
        <v>35</v>
      </c>
      <c r="C1491" s="8">
        <v>45929.0</v>
      </c>
      <c r="D1491" s="6" t="s">
        <v>460</v>
      </c>
      <c r="E1491" s="10"/>
      <c r="F1491" s="10"/>
      <c r="G1491" s="10"/>
      <c r="H1491" s="6" t="s">
        <v>4979</v>
      </c>
      <c r="I1491" s="10"/>
      <c r="J1491" s="6" t="s">
        <v>539</v>
      </c>
      <c r="K1491" s="10"/>
      <c r="L1491" s="10"/>
      <c r="M1491" s="10"/>
      <c r="N1491" s="10"/>
      <c r="O1491" s="18">
        <v>10.0</v>
      </c>
      <c r="P1491" s="10"/>
      <c r="Q1491" s="6"/>
      <c r="R1491" s="10"/>
    </row>
    <row r="1492">
      <c r="A1492" s="6" t="s">
        <v>8142</v>
      </c>
      <c r="B1492" s="6" t="s">
        <v>35</v>
      </c>
      <c r="C1492" s="8">
        <v>45901.0</v>
      </c>
      <c r="D1492" s="6" t="s">
        <v>1036</v>
      </c>
      <c r="E1492" s="6" t="s">
        <v>9306</v>
      </c>
      <c r="F1492" s="10"/>
      <c r="G1492" s="6" t="s">
        <v>9307</v>
      </c>
      <c r="H1492" s="6" t="s">
        <v>7568</v>
      </c>
      <c r="I1492" s="17" t="b">
        <v>0</v>
      </c>
      <c r="J1492" s="6" t="s">
        <v>546</v>
      </c>
      <c r="K1492" s="10"/>
      <c r="L1492" s="10"/>
      <c r="M1492" s="10"/>
      <c r="N1492" s="10"/>
      <c r="O1492" s="18">
        <v>124.16</v>
      </c>
      <c r="P1492" s="10"/>
      <c r="Q1492" s="17" t="b">
        <v>1</v>
      </c>
      <c r="R1492" s="10"/>
    </row>
    <row r="1493">
      <c r="A1493" s="6" t="s">
        <v>8144</v>
      </c>
      <c r="B1493" s="6" t="s">
        <v>35</v>
      </c>
      <c r="C1493" s="8">
        <v>45901.0</v>
      </c>
      <c r="D1493" s="6" t="s">
        <v>1557</v>
      </c>
      <c r="E1493" s="6" t="s">
        <v>9314</v>
      </c>
      <c r="F1493" s="10"/>
      <c r="G1493" s="6" t="s">
        <v>9315</v>
      </c>
      <c r="H1493" s="6" t="s">
        <v>9316</v>
      </c>
      <c r="I1493" s="17" t="b">
        <v>0</v>
      </c>
      <c r="J1493" s="6" t="s">
        <v>546</v>
      </c>
      <c r="K1493" s="10"/>
      <c r="L1493" s="10"/>
      <c r="M1493" s="10"/>
      <c r="N1493" s="10"/>
      <c r="O1493" s="18">
        <v>110.0</v>
      </c>
      <c r="P1493" s="10"/>
      <c r="Q1493" s="17" t="b">
        <v>1</v>
      </c>
      <c r="R1493" s="10"/>
    </row>
    <row r="1494">
      <c r="A1494" s="6" t="s">
        <v>8147</v>
      </c>
      <c r="B1494" s="6" t="s">
        <v>35</v>
      </c>
      <c r="C1494" s="8">
        <v>45917.0</v>
      </c>
      <c r="D1494" s="6" t="s">
        <v>890</v>
      </c>
      <c r="E1494" s="6" t="s">
        <v>9322</v>
      </c>
      <c r="F1494" s="10"/>
      <c r="G1494" s="6" t="s">
        <v>9323</v>
      </c>
      <c r="H1494" s="6" t="s">
        <v>1511</v>
      </c>
      <c r="I1494" s="17" t="b">
        <v>0</v>
      </c>
      <c r="J1494" s="6" t="s">
        <v>546</v>
      </c>
      <c r="K1494" s="10"/>
      <c r="L1494" s="6" t="s">
        <v>9326</v>
      </c>
      <c r="M1494" s="10"/>
      <c r="N1494" s="10"/>
      <c r="O1494" s="18">
        <v>10245.98</v>
      </c>
      <c r="P1494" s="10"/>
      <c r="Q1494" s="17" t="b">
        <v>1</v>
      </c>
      <c r="R1494" s="10"/>
    </row>
    <row r="1495">
      <c r="A1495" s="6" t="s">
        <v>8150</v>
      </c>
      <c r="B1495" s="6" t="s">
        <v>35</v>
      </c>
      <c r="C1495" s="8">
        <v>45925.0</v>
      </c>
      <c r="D1495" s="6" t="s">
        <v>3716</v>
      </c>
      <c r="E1495" s="6" t="s">
        <v>9330</v>
      </c>
      <c r="F1495" s="10"/>
      <c r="G1495" s="6" t="s">
        <v>9332</v>
      </c>
      <c r="H1495" s="6" t="s">
        <v>6025</v>
      </c>
      <c r="I1495" s="17" t="b">
        <v>1</v>
      </c>
      <c r="J1495" s="6" t="s">
        <v>546</v>
      </c>
      <c r="K1495" s="10"/>
      <c r="L1495" s="10"/>
      <c r="M1495" s="10"/>
      <c r="N1495" s="10"/>
      <c r="O1495" s="18">
        <v>278.0</v>
      </c>
      <c r="P1495" s="18">
        <v>1703290.0</v>
      </c>
      <c r="Q1495" s="17" t="b">
        <v>1</v>
      </c>
      <c r="R1495" s="10"/>
    </row>
    <row r="1496">
      <c r="A1496" s="6" t="s">
        <v>8152</v>
      </c>
      <c r="B1496" s="6" t="s">
        <v>35</v>
      </c>
      <c r="C1496" s="8">
        <v>45926.0</v>
      </c>
      <c r="D1496" s="6" t="s">
        <v>543</v>
      </c>
      <c r="E1496" s="6" t="s">
        <v>9338</v>
      </c>
      <c r="F1496" s="10"/>
      <c r="G1496" s="6" t="s">
        <v>9340</v>
      </c>
      <c r="H1496" s="6" t="s">
        <v>171</v>
      </c>
      <c r="I1496" s="17" t="b">
        <v>0</v>
      </c>
      <c r="J1496" s="6" t="s">
        <v>546</v>
      </c>
      <c r="K1496" s="10"/>
      <c r="L1496" s="10"/>
      <c r="M1496" s="10"/>
      <c r="N1496" s="10"/>
      <c r="O1496" s="18">
        <v>500.0</v>
      </c>
      <c r="P1496" s="10"/>
      <c r="Q1496" s="17" t="b">
        <v>1</v>
      </c>
      <c r="R1496" s="10"/>
    </row>
    <row r="1497">
      <c r="A1497" s="6" t="s">
        <v>8155</v>
      </c>
      <c r="B1497" s="6" t="s">
        <v>35</v>
      </c>
      <c r="C1497" s="8">
        <v>45926.0</v>
      </c>
      <c r="D1497" s="6" t="s">
        <v>112</v>
      </c>
      <c r="E1497" s="6" t="s">
        <v>9347</v>
      </c>
      <c r="F1497" s="10"/>
      <c r="G1497" s="6" t="s">
        <v>9349</v>
      </c>
      <c r="H1497" s="6" t="s">
        <v>157</v>
      </c>
      <c r="I1497" s="17" t="b">
        <v>0</v>
      </c>
      <c r="J1497" s="6" t="s">
        <v>546</v>
      </c>
      <c r="K1497" s="10"/>
      <c r="L1497" s="10"/>
      <c r="M1497" s="10"/>
      <c r="N1497" s="10"/>
      <c r="O1497" s="18">
        <v>385.4</v>
      </c>
      <c r="P1497" s="10"/>
      <c r="Q1497" s="17" t="b">
        <v>1</v>
      </c>
      <c r="R1497" s="10"/>
    </row>
    <row r="1498">
      <c r="A1498" s="6" t="s">
        <v>8161</v>
      </c>
      <c r="B1498" s="6" t="s">
        <v>35</v>
      </c>
      <c r="C1498" s="8">
        <v>45926.0</v>
      </c>
      <c r="D1498" s="6" t="s">
        <v>9359</v>
      </c>
      <c r="E1498" s="6" t="s">
        <v>9361</v>
      </c>
      <c r="F1498" s="10"/>
      <c r="G1498" s="6" t="s">
        <v>9363</v>
      </c>
      <c r="H1498" s="6" t="s">
        <v>482</v>
      </c>
      <c r="I1498" s="17" t="b">
        <v>1</v>
      </c>
      <c r="J1498" s="6" t="s">
        <v>546</v>
      </c>
      <c r="K1498" s="10"/>
      <c r="L1498" s="10"/>
      <c r="M1498" s="10"/>
      <c r="N1498" s="10"/>
      <c r="O1498" s="18">
        <v>19.8</v>
      </c>
      <c r="P1498" s="18">
        <v>1703083.0</v>
      </c>
      <c r="Q1498" s="17" t="b">
        <v>1</v>
      </c>
      <c r="R1498" s="10"/>
    </row>
    <row r="1499">
      <c r="A1499" s="6" t="s">
        <v>8164</v>
      </c>
      <c r="B1499" s="6" t="s">
        <v>35</v>
      </c>
      <c r="C1499" s="8">
        <v>45926.0</v>
      </c>
      <c r="D1499" s="6" t="s">
        <v>3493</v>
      </c>
      <c r="E1499" s="6" t="s">
        <v>9369</v>
      </c>
      <c r="F1499" s="10"/>
      <c r="G1499" s="6" t="s">
        <v>9370</v>
      </c>
      <c r="H1499" s="6" t="s">
        <v>236</v>
      </c>
      <c r="I1499" s="17" t="b">
        <v>1</v>
      </c>
      <c r="J1499" s="6" t="s">
        <v>546</v>
      </c>
      <c r="K1499" s="10"/>
      <c r="L1499" s="10"/>
      <c r="M1499" s="10"/>
      <c r="N1499" s="10"/>
      <c r="O1499" s="18">
        <v>233.17</v>
      </c>
      <c r="P1499" s="18">
        <v>1703064.0</v>
      </c>
      <c r="Q1499" s="17" t="b">
        <v>1</v>
      </c>
      <c r="R1499" s="10"/>
    </row>
    <row r="1500">
      <c r="A1500" s="6" t="s">
        <v>8167</v>
      </c>
      <c r="B1500" s="6" t="s">
        <v>35</v>
      </c>
      <c r="C1500" s="8">
        <v>45925.0</v>
      </c>
      <c r="D1500" s="6" t="s">
        <v>764</v>
      </c>
      <c r="E1500" s="6" t="s">
        <v>9375</v>
      </c>
      <c r="F1500" s="10"/>
      <c r="G1500" s="6" t="s">
        <v>9378</v>
      </c>
      <c r="H1500" s="6" t="s">
        <v>195</v>
      </c>
      <c r="I1500" s="17" t="b">
        <v>0</v>
      </c>
      <c r="J1500" s="6" t="s">
        <v>546</v>
      </c>
      <c r="K1500" s="10"/>
      <c r="L1500" s="6" t="s">
        <v>9380</v>
      </c>
      <c r="M1500" s="10"/>
      <c r="N1500" s="10"/>
      <c r="O1500" s="18">
        <v>657.57</v>
      </c>
      <c r="P1500" s="10"/>
      <c r="Q1500" s="17" t="b">
        <v>1</v>
      </c>
      <c r="R1500" s="10"/>
    </row>
    <row r="1501">
      <c r="A1501" s="6" t="s">
        <v>8180</v>
      </c>
      <c r="B1501" s="6" t="s">
        <v>35</v>
      </c>
      <c r="C1501" s="8">
        <v>45929.0</v>
      </c>
      <c r="D1501" s="6" t="s">
        <v>890</v>
      </c>
      <c r="E1501" s="6" t="s">
        <v>9383</v>
      </c>
      <c r="F1501" s="10"/>
      <c r="G1501" s="6" t="s">
        <v>9384</v>
      </c>
      <c r="H1501" s="6" t="s">
        <v>8728</v>
      </c>
      <c r="I1501" s="17" t="b">
        <v>0</v>
      </c>
      <c r="J1501" s="6" t="s">
        <v>546</v>
      </c>
      <c r="K1501" s="10"/>
      <c r="L1501" s="6" t="s">
        <v>9386</v>
      </c>
      <c r="M1501" s="6" t="s">
        <v>9387</v>
      </c>
      <c r="N1501" s="10"/>
      <c r="O1501" s="18">
        <v>25874.96</v>
      </c>
      <c r="P1501" s="10"/>
      <c r="Q1501" s="17" t="b">
        <v>1</v>
      </c>
      <c r="R1501" s="10"/>
    </row>
    <row r="1502">
      <c r="A1502" s="6" t="s">
        <v>8182</v>
      </c>
      <c r="B1502" s="6" t="s">
        <v>35</v>
      </c>
      <c r="C1502" s="8">
        <v>45931.0</v>
      </c>
      <c r="D1502" s="6" t="s">
        <v>890</v>
      </c>
      <c r="E1502" s="6" t="s">
        <v>9392</v>
      </c>
      <c r="F1502" s="10"/>
      <c r="G1502" s="6" t="s">
        <v>9393</v>
      </c>
      <c r="H1502" s="6" t="s">
        <v>1511</v>
      </c>
      <c r="I1502" s="17" t="b">
        <v>0</v>
      </c>
      <c r="J1502" s="6" t="s">
        <v>546</v>
      </c>
      <c r="K1502" s="10"/>
      <c r="L1502" s="10"/>
      <c r="M1502" s="10"/>
      <c r="N1502" s="10"/>
      <c r="O1502" s="18">
        <v>598.94</v>
      </c>
      <c r="P1502" s="10"/>
      <c r="Q1502" s="17" t="b">
        <v>1</v>
      </c>
      <c r="R1502" s="10"/>
    </row>
    <row r="1503">
      <c r="A1503" s="6" t="s">
        <v>8184</v>
      </c>
      <c r="B1503" s="6" t="s">
        <v>35</v>
      </c>
      <c r="C1503" s="8">
        <v>45931.0</v>
      </c>
      <c r="D1503" s="6" t="s">
        <v>890</v>
      </c>
      <c r="E1503" s="6" t="s">
        <v>9399</v>
      </c>
      <c r="F1503" s="10"/>
      <c r="G1503" s="6" t="s">
        <v>9401</v>
      </c>
      <c r="H1503" s="6" t="s">
        <v>3813</v>
      </c>
      <c r="I1503" s="17" t="b">
        <v>0</v>
      </c>
      <c r="J1503" s="6" t="s">
        <v>546</v>
      </c>
      <c r="K1503" s="10"/>
      <c r="L1503" s="6" t="s">
        <v>9404</v>
      </c>
      <c r="M1503" s="10"/>
      <c r="N1503" s="10"/>
      <c r="O1503" s="18">
        <v>5535.47</v>
      </c>
      <c r="P1503" s="10"/>
      <c r="Q1503" s="17" t="b">
        <v>1</v>
      </c>
      <c r="R1503" s="10"/>
    </row>
    <row r="1504">
      <c r="A1504" s="6" t="s">
        <v>8188</v>
      </c>
      <c r="B1504" s="6" t="s">
        <v>35</v>
      </c>
      <c r="C1504" s="8">
        <v>45933.0</v>
      </c>
      <c r="D1504" s="6" t="s">
        <v>112</v>
      </c>
      <c r="E1504" s="6" t="s">
        <v>9410</v>
      </c>
      <c r="F1504" s="10"/>
      <c r="G1504" s="6" t="s">
        <v>9411</v>
      </c>
      <c r="H1504" s="6" t="s">
        <v>157</v>
      </c>
      <c r="I1504" s="17" t="b">
        <v>0</v>
      </c>
      <c r="J1504" s="6" t="s">
        <v>546</v>
      </c>
      <c r="K1504" s="10"/>
      <c r="L1504" s="10"/>
      <c r="M1504" s="10"/>
      <c r="N1504" s="10"/>
      <c r="O1504" s="18">
        <v>376.24</v>
      </c>
      <c r="P1504" s="10"/>
      <c r="Q1504" s="17" t="b">
        <v>1</v>
      </c>
      <c r="R1504" s="10"/>
    </row>
    <row r="1505">
      <c r="A1505" s="6" t="s">
        <v>8194</v>
      </c>
      <c r="B1505" s="6" t="s">
        <v>35</v>
      </c>
      <c r="C1505" s="8">
        <v>45933.0</v>
      </c>
      <c r="D1505" s="6" t="s">
        <v>9416</v>
      </c>
      <c r="E1505" s="6" t="s">
        <v>9418</v>
      </c>
      <c r="F1505" s="10"/>
      <c r="G1505" s="6" t="s">
        <v>9419</v>
      </c>
      <c r="H1505" s="6" t="s">
        <v>236</v>
      </c>
      <c r="I1505" s="17" t="b">
        <v>1</v>
      </c>
      <c r="J1505" s="6" t="s">
        <v>546</v>
      </c>
      <c r="K1505" s="10"/>
      <c r="L1505" s="10"/>
      <c r="M1505" s="10"/>
      <c r="N1505" s="10"/>
      <c r="O1505" s="18">
        <v>73.99</v>
      </c>
      <c r="P1505" s="18">
        <v>1716271.0</v>
      </c>
      <c r="Q1505" s="17" t="b">
        <v>1</v>
      </c>
      <c r="R1505" s="10"/>
    </row>
    <row r="1506">
      <c r="A1506" s="6" t="s">
        <v>8196</v>
      </c>
      <c r="B1506" s="6" t="s">
        <v>35</v>
      </c>
      <c r="C1506" s="8">
        <v>45933.0</v>
      </c>
      <c r="D1506" s="6" t="s">
        <v>8582</v>
      </c>
      <c r="E1506" s="6" t="s">
        <v>9426</v>
      </c>
      <c r="F1506" s="10"/>
      <c r="G1506" s="6" t="s">
        <v>9429</v>
      </c>
      <c r="H1506" s="6" t="s">
        <v>605</v>
      </c>
      <c r="I1506" s="17" t="b">
        <v>0</v>
      </c>
      <c r="J1506" s="6" t="s">
        <v>546</v>
      </c>
      <c r="K1506" s="10"/>
      <c r="L1506" s="10"/>
      <c r="M1506" s="10"/>
      <c r="N1506" s="10"/>
      <c r="O1506" s="18">
        <v>2535.23</v>
      </c>
      <c r="P1506" s="10"/>
      <c r="Q1506" s="17" t="b">
        <v>1</v>
      </c>
      <c r="R1506" s="10"/>
    </row>
    <row r="1507">
      <c r="A1507" s="6" t="s">
        <v>8198</v>
      </c>
      <c r="B1507" s="6" t="s">
        <v>35</v>
      </c>
      <c r="C1507" s="8">
        <v>45933.0</v>
      </c>
      <c r="D1507" s="6" t="s">
        <v>9435</v>
      </c>
      <c r="E1507" s="6" t="s">
        <v>9436</v>
      </c>
      <c r="F1507" s="10"/>
      <c r="G1507" s="6" t="s">
        <v>9437</v>
      </c>
      <c r="H1507" s="6" t="s">
        <v>9438</v>
      </c>
      <c r="I1507" s="17" t="b">
        <v>1</v>
      </c>
      <c r="J1507" s="6" t="s">
        <v>546</v>
      </c>
      <c r="K1507" s="10"/>
      <c r="L1507" s="10"/>
      <c r="M1507" s="10"/>
      <c r="N1507" s="10"/>
      <c r="O1507" s="18">
        <v>50.0</v>
      </c>
      <c r="P1507" s="18">
        <v>1716576.0</v>
      </c>
      <c r="Q1507" s="17" t="b">
        <v>1</v>
      </c>
      <c r="R1507" s="10"/>
    </row>
    <row r="1508">
      <c r="A1508" s="6" t="s">
        <v>8201</v>
      </c>
      <c r="B1508" s="6" t="s">
        <v>35</v>
      </c>
      <c r="C1508" s="8">
        <v>45935.0</v>
      </c>
      <c r="D1508" s="18">
        <v>8.627274E7</v>
      </c>
      <c r="E1508" s="6" t="s">
        <v>9444</v>
      </c>
      <c r="F1508" s="10"/>
      <c r="G1508" s="6" t="s">
        <v>9445</v>
      </c>
      <c r="H1508" s="6" t="s">
        <v>236</v>
      </c>
      <c r="I1508" s="17" t="b">
        <v>1</v>
      </c>
      <c r="J1508" s="6" t="s">
        <v>546</v>
      </c>
      <c r="K1508" s="10"/>
      <c r="L1508" s="10"/>
      <c r="M1508" s="10"/>
      <c r="N1508" s="10"/>
      <c r="O1508" s="18">
        <v>26.97</v>
      </c>
      <c r="P1508" s="18">
        <v>1722164.0</v>
      </c>
      <c r="Q1508" s="17" t="b">
        <v>1</v>
      </c>
      <c r="R1508" s="10"/>
    </row>
    <row r="1509">
      <c r="A1509" s="6" t="s">
        <v>8203</v>
      </c>
      <c r="B1509" s="6" t="s">
        <v>35</v>
      </c>
      <c r="C1509" s="8">
        <v>45935.0</v>
      </c>
      <c r="D1509" s="18">
        <v>8.627274E7</v>
      </c>
      <c r="E1509" s="6" t="s">
        <v>9451</v>
      </c>
      <c r="F1509" s="10"/>
      <c r="G1509" s="6" t="s">
        <v>9453</v>
      </c>
      <c r="H1509" s="6" t="s">
        <v>157</v>
      </c>
      <c r="I1509" s="17" t="b">
        <v>1</v>
      </c>
      <c r="J1509" s="6" t="s">
        <v>546</v>
      </c>
      <c r="K1509" s="10"/>
      <c r="L1509" s="10"/>
      <c r="M1509" s="10"/>
      <c r="N1509" s="10"/>
      <c r="O1509" s="18">
        <v>122.88</v>
      </c>
      <c r="P1509" s="18">
        <v>1722168.0</v>
      </c>
      <c r="Q1509" s="17" t="b">
        <v>1</v>
      </c>
      <c r="R1509" s="10"/>
    </row>
    <row r="1510">
      <c r="A1510" s="6" t="s">
        <v>8208</v>
      </c>
      <c r="B1510" s="6" t="s">
        <v>35</v>
      </c>
      <c r="C1510" s="8">
        <v>45937.0</v>
      </c>
      <c r="D1510" s="6" t="s">
        <v>112</v>
      </c>
      <c r="E1510" s="6" t="s">
        <v>9462</v>
      </c>
      <c r="F1510" s="10"/>
      <c r="G1510" s="6" t="s">
        <v>9464</v>
      </c>
      <c r="H1510" s="6" t="s">
        <v>157</v>
      </c>
      <c r="I1510" s="17" t="b">
        <v>0</v>
      </c>
      <c r="J1510" s="6" t="s">
        <v>546</v>
      </c>
      <c r="K1510" s="10"/>
      <c r="L1510" s="10"/>
      <c r="M1510" s="10"/>
      <c r="N1510" s="10"/>
      <c r="O1510" s="18">
        <v>165.62</v>
      </c>
      <c r="P1510" s="10"/>
      <c r="Q1510" s="17" t="b">
        <v>1</v>
      </c>
      <c r="R1510" s="10"/>
    </row>
    <row r="1511">
      <c r="A1511" s="6" t="s">
        <v>8217</v>
      </c>
      <c r="B1511" s="6" t="s">
        <v>35</v>
      </c>
      <c r="C1511" s="8">
        <v>45937.0</v>
      </c>
      <c r="D1511" s="6" t="s">
        <v>2613</v>
      </c>
      <c r="E1511" s="6" t="s">
        <v>9471</v>
      </c>
      <c r="F1511" s="10"/>
      <c r="G1511" s="6" t="s">
        <v>9473</v>
      </c>
      <c r="H1511" s="6" t="s">
        <v>482</v>
      </c>
      <c r="I1511" s="17" t="b">
        <v>1</v>
      </c>
      <c r="J1511" s="6" t="s">
        <v>546</v>
      </c>
      <c r="K1511" s="10"/>
      <c r="L1511" s="10"/>
      <c r="M1511" s="10"/>
      <c r="N1511" s="10"/>
      <c r="O1511" s="18">
        <v>129.0</v>
      </c>
      <c r="P1511" s="18">
        <v>1726269.0</v>
      </c>
      <c r="Q1511" s="17" t="b">
        <v>1</v>
      </c>
      <c r="R1511" s="10"/>
    </row>
    <row r="1512">
      <c r="A1512" s="6" t="s">
        <v>8224</v>
      </c>
      <c r="B1512" s="6" t="s">
        <v>35</v>
      </c>
      <c r="C1512" s="8">
        <v>45938.0</v>
      </c>
      <c r="D1512" s="6" t="s">
        <v>145</v>
      </c>
      <c r="E1512" s="6" t="s">
        <v>9480</v>
      </c>
      <c r="F1512" s="10"/>
      <c r="G1512" s="6" t="s">
        <v>9497</v>
      </c>
      <c r="H1512" s="6" t="s">
        <v>4200</v>
      </c>
      <c r="I1512" s="17" t="b">
        <v>0</v>
      </c>
      <c r="J1512" s="6" t="s">
        <v>546</v>
      </c>
      <c r="K1512" s="10"/>
      <c r="L1512" s="10"/>
      <c r="M1512" s="10"/>
      <c r="N1512" s="10"/>
      <c r="O1512" s="18">
        <v>316.0</v>
      </c>
      <c r="P1512" s="10"/>
      <c r="Q1512" s="17" t="b">
        <v>1</v>
      </c>
      <c r="R1512" s="10"/>
    </row>
    <row r="1513">
      <c r="A1513" s="18">
        <v>7.1382169E7</v>
      </c>
      <c r="B1513" s="6" t="s">
        <v>35</v>
      </c>
      <c r="C1513" s="8">
        <v>45939.0</v>
      </c>
      <c r="D1513" s="6" t="s">
        <v>112</v>
      </c>
      <c r="E1513" s="6" t="s">
        <v>9505</v>
      </c>
      <c r="F1513" s="10"/>
      <c r="G1513" s="6" t="s">
        <v>9507</v>
      </c>
      <c r="H1513" s="6" t="s">
        <v>157</v>
      </c>
      <c r="I1513" s="17" t="b">
        <v>0</v>
      </c>
      <c r="J1513" s="6" t="s">
        <v>546</v>
      </c>
      <c r="K1513" s="10"/>
      <c r="L1513" s="10"/>
      <c r="M1513" s="10"/>
      <c r="N1513" s="10"/>
      <c r="O1513" s="18">
        <v>403.6</v>
      </c>
      <c r="P1513" s="10"/>
      <c r="Q1513" s="17" t="b">
        <v>1</v>
      </c>
      <c r="R1513" s="10"/>
    </row>
    <row r="1514">
      <c r="A1514" s="6" t="s">
        <v>8237</v>
      </c>
      <c r="B1514" s="6" t="s">
        <v>35</v>
      </c>
      <c r="C1514" s="8">
        <v>45939.0</v>
      </c>
      <c r="D1514" s="6" t="s">
        <v>3716</v>
      </c>
      <c r="E1514" s="6" t="s">
        <v>9514</v>
      </c>
      <c r="F1514" s="10"/>
      <c r="G1514" s="6" t="s">
        <v>9516</v>
      </c>
      <c r="H1514" s="6" t="s">
        <v>9517</v>
      </c>
      <c r="I1514" s="17" t="b">
        <v>1</v>
      </c>
      <c r="J1514" s="6" t="s">
        <v>546</v>
      </c>
      <c r="K1514" s="10"/>
      <c r="L1514" s="10"/>
      <c r="M1514" s="10"/>
      <c r="N1514" s="10"/>
      <c r="O1514" s="18">
        <v>242.5</v>
      </c>
      <c r="P1514" s="18">
        <v>1728951.0</v>
      </c>
      <c r="Q1514" s="17" t="b">
        <v>1</v>
      </c>
      <c r="R1514" s="10"/>
    </row>
    <row r="1515">
      <c r="A1515" s="6" t="s">
        <v>8240</v>
      </c>
      <c r="B1515" s="6" t="s">
        <v>35</v>
      </c>
      <c r="C1515" s="8">
        <v>45940.0</v>
      </c>
      <c r="D1515" s="6" t="s">
        <v>543</v>
      </c>
      <c r="E1515" s="6" t="s">
        <v>9523</v>
      </c>
      <c r="F1515" s="10"/>
      <c r="G1515" s="6" t="s">
        <v>9524</v>
      </c>
      <c r="H1515" s="6" t="s">
        <v>171</v>
      </c>
      <c r="I1515" s="17" t="b">
        <v>0</v>
      </c>
      <c r="J1515" s="6" t="s">
        <v>546</v>
      </c>
      <c r="K1515" s="10"/>
      <c r="L1515" s="10"/>
      <c r="M1515" s="10"/>
      <c r="N1515" s="10"/>
      <c r="O1515" s="18">
        <v>500.0</v>
      </c>
      <c r="P1515" s="10"/>
      <c r="Q1515" s="17" t="b">
        <v>1</v>
      </c>
      <c r="R1515" s="10"/>
    </row>
    <row r="1516">
      <c r="A1516" s="6" t="s">
        <v>8242</v>
      </c>
      <c r="B1516" s="6" t="s">
        <v>35</v>
      </c>
      <c r="C1516" s="8">
        <v>45940.0</v>
      </c>
      <c r="D1516" s="6" t="s">
        <v>353</v>
      </c>
      <c r="E1516" s="6" t="s">
        <v>9531</v>
      </c>
      <c r="F1516" s="10"/>
      <c r="G1516" s="6" t="s">
        <v>9532</v>
      </c>
      <c r="H1516" s="6" t="s">
        <v>9533</v>
      </c>
      <c r="I1516" s="17" t="b">
        <v>1</v>
      </c>
      <c r="J1516" s="6" t="s">
        <v>546</v>
      </c>
      <c r="K1516" s="10"/>
      <c r="L1516" s="10"/>
      <c r="M1516" s="10"/>
      <c r="N1516" s="10"/>
      <c r="O1516" s="18">
        <v>117.09</v>
      </c>
      <c r="P1516" s="18">
        <v>1730303.0</v>
      </c>
      <c r="Q1516" s="17" t="b">
        <v>1</v>
      </c>
      <c r="R1516" s="10"/>
    </row>
    <row r="1517">
      <c r="A1517" s="6" t="s">
        <v>8245</v>
      </c>
      <c r="B1517" s="6" t="s">
        <v>35</v>
      </c>
      <c r="C1517" s="8">
        <v>45939.0</v>
      </c>
      <c r="D1517" s="6" t="s">
        <v>764</v>
      </c>
      <c r="E1517" s="6" t="s">
        <v>9539</v>
      </c>
      <c r="F1517" s="10"/>
      <c r="G1517" s="6" t="s">
        <v>9540</v>
      </c>
      <c r="H1517" s="6" t="s">
        <v>195</v>
      </c>
      <c r="I1517" s="17" t="b">
        <v>0</v>
      </c>
      <c r="J1517" s="6" t="s">
        <v>546</v>
      </c>
      <c r="K1517" s="10"/>
      <c r="L1517" s="6" t="s">
        <v>9543</v>
      </c>
      <c r="M1517" s="10"/>
      <c r="N1517" s="10"/>
      <c r="O1517" s="18">
        <v>1705.67</v>
      </c>
      <c r="P1517" s="10"/>
      <c r="Q1517" s="17" t="b">
        <v>1</v>
      </c>
      <c r="R1517" s="10"/>
    </row>
    <row r="1518">
      <c r="A1518" s="6" t="s">
        <v>8263</v>
      </c>
      <c r="B1518" s="6" t="s">
        <v>35</v>
      </c>
      <c r="C1518" s="8">
        <v>45941.0</v>
      </c>
      <c r="D1518" s="6" t="s">
        <v>4142</v>
      </c>
      <c r="E1518" s="6" t="s">
        <v>9546</v>
      </c>
      <c r="F1518" s="10"/>
      <c r="G1518" s="6" t="s">
        <v>9549</v>
      </c>
      <c r="H1518" s="6" t="s">
        <v>4614</v>
      </c>
      <c r="I1518" s="17" t="b">
        <v>1</v>
      </c>
      <c r="J1518" s="6" t="s">
        <v>546</v>
      </c>
      <c r="K1518" s="10"/>
      <c r="L1518" s="10"/>
      <c r="M1518" s="10"/>
      <c r="N1518" s="10"/>
      <c r="O1518" s="18">
        <v>125.74</v>
      </c>
      <c r="P1518" s="18">
        <v>1732201.0</v>
      </c>
      <c r="Q1518" s="17" t="b">
        <v>1</v>
      </c>
      <c r="R1518" s="10"/>
    </row>
    <row r="1519">
      <c r="A1519" s="6" t="s">
        <v>8267</v>
      </c>
      <c r="B1519" s="6" t="s">
        <v>35</v>
      </c>
      <c r="C1519" s="8">
        <v>45944.0</v>
      </c>
      <c r="D1519" s="6" t="s">
        <v>890</v>
      </c>
      <c r="E1519" s="6" t="s">
        <v>9551</v>
      </c>
      <c r="F1519" s="10"/>
      <c r="G1519" s="6" t="s">
        <v>9553</v>
      </c>
      <c r="H1519" s="6" t="s">
        <v>2894</v>
      </c>
      <c r="I1519" s="17" t="b">
        <v>0</v>
      </c>
      <c r="J1519" s="6" t="s">
        <v>546</v>
      </c>
      <c r="K1519" s="10"/>
      <c r="L1519" s="6" t="s">
        <v>9554</v>
      </c>
      <c r="M1519" s="6" t="s">
        <v>9555</v>
      </c>
      <c r="N1519" s="10"/>
      <c r="O1519" s="18">
        <v>11783.34</v>
      </c>
      <c r="P1519" s="10"/>
      <c r="Q1519" s="17" t="b">
        <v>1</v>
      </c>
      <c r="R1519" s="10"/>
    </row>
    <row r="1520">
      <c r="A1520" s="6" t="s">
        <v>8269</v>
      </c>
      <c r="B1520" s="6" t="s">
        <v>35</v>
      </c>
      <c r="C1520" s="8">
        <v>45945.0</v>
      </c>
      <c r="D1520" s="6" t="s">
        <v>112</v>
      </c>
      <c r="E1520" s="6" t="s">
        <v>9560</v>
      </c>
      <c r="F1520" s="10"/>
      <c r="G1520" s="6" t="s">
        <v>9561</v>
      </c>
      <c r="H1520" s="6" t="s">
        <v>157</v>
      </c>
      <c r="I1520" s="17" t="b">
        <v>0</v>
      </c>
      <c r="J1520" s="6" t="s">
        <v>546</v>
      </c>
      <c r="K1520" s="10"/>
      <c r="L1520" s="10"/>
      <c r="M1520" s="10"/>
      <c r="N1520" s="10"/>
      <c r="O1520" s="18">
        <v>60.63</v>
      </c>
      <c r="P1520" s="10"/>
      <c r="Q1520" s="17" t="b">
        <v>1</v>
      </c>
      <c r="R1520" s="10"/>
    </row>
    <row r="1521">
      <c r="A1521" s="6" t="s">
        <v>8273</v>
      </c>
      <c r="B1521" s="6" t="s">
        <v>35</v>
      </c>
      <c r="C1521" s="8">
        <v>45945.0</v>
      </c>
      <c r="D1521" s="6" t="s">
        <v>890</v>
      </c>
      <c r="E1521" s="6" t="s">
        <v>9566</v>
      </c>
      <c r="F1521" s="10"/>
      <c r="G1521" s="6" t="s">
        <v>9567</v>
      </c>
      <c r="H1521" s="6" t="s">
        <v>3813</v>
      </c>
      <c r="I1521" s="17" t="b">
        <v>0</v>
      </c>
      <c r="J1521" s="6" t="s">
        <v>546</v>
      </c>
      <c r="K1521" s="10"/>
      <c r="L1521" s="6" t="s">
        <v>9571</v>
      </c>
      <c r="M1521" s="10"/>
      <c r="N1521" s="10"/>
      <c r="O1521" s="18">
        <v>5708.16</v>
      </c>
      <c r="P1521" s="10"/>
      <c r="Q1521" s="17" t="b">
        <v>1</v>
      </c>
      <c r="R1521" s="10"/>
    </row>
    <row r="1522">
      <c r="A1522" s="6" t="s">
        <v>8277</v>
      </c>
      <c r="B1522" s="6" t="s">
        <v>35</v>
      </c>
      <c r="C1522" s="8">
        <v>45945.0</v>
      </c>
      <c r="D1522" s="6" t="s">
        <v>890</v>
      </c>
      <c r="E1522" s="6" t="s">
        <v>9577</v>
      </c>
      <c r="F1522" s="10"/>
      <c r="G1522" s="6" t="s">
        <v>9578</v>
      </c>
      <c r="H1522" s="6" t="s">
        <v>9579</v>
      </c>
      <c r="I1522" s="17" t="b">
        <v>0</v>
      </c>
      <c r="J1522" s="6" t="s">
        <v>546</v>
      </c>
      <c r="K1522" s="10"/>
      <c r="L1522" s="10"/>
      <c r="M1522" s="10"/>
      <c r="N1522" s="10"/>
      <c r="O1522" s="18">
        <v>1045.83</v>
      </c>
      <c r="P1522" s="10"/>
      <c r="Q1522" s="17" t="b">
        <v>1</v>
      </c>
      <c r="R1522" s="10"/>
    </row>
    <row r="1523">
      <c r="A1523" s="6" t="s">
        <v>8279</v>
      </c>
      <c r="B1523" s="6" t="s">
        <v>35</v>
      </c>
      <c r="C1523" s="8">
        <v>45946.0</v>
      </c>
      <c r="D1523" s="6" t="s">
        <v>764</v>
      </c>
      <c r="E1523" s="6" t="s">
        <v>9588</v>
      </c>
      <c r="F1523" s="10"/>
      <c r="G1523" s="6" t="s">
        <v>9592</v>
      </c>
      <c r="H1523" s="6" t="s">
        <v>195</v>
      </c>
      <c r="I1523" s="17" t="b">
        <v>0</v>
      </c>
      <c r="J1523" s="6" t="s">
        <v>546</v>
      </c>
      <c r="K1523" s="10"/>
      <c r="L1523" s="6" t="s">
        <v>9596</v>
      </c>
      <c r="M1523" s="10"/>
      <c r="N1523" s="10"/>
      <c r="O1523" s="18">
        <v>929.4</v>
      </c>
      <c r="P1523" s="10"/>
      <c r="Q1523" s="17" t="b">
        <v>1</v>
      </c>
      <c r="R1523" s="10"/>
    </row>
    <row r="1524">
      <c r="A1524" s="6" t="s">
        <v>8292</v>
      </c>
      <c r="B1524" s="6" t="s">
        <v>35</v>
      </c>
      <c r="C1524" s="8">
        <v>45947.0</v>
      </c>
      <c r="D1524" s="6" t="s">
        <v>112</v>
      </c>
      <c r="E1524" s="6" t="s">
        <v>9600</v>
      </c>
      <c r="F1524" s="10"/>
      <c r="G1524" s="6" t="s">
        <v>9601</v>
      </c>
      <c r="H1524" s="6" t="s">
        <v>5545</v>
      </c>
      <c r="I1524" s="17" t="b">
        <v>0</v>
      </c>
      <c r="J1524" s="6" t="s">
        <v>546</v>
      </c>
      <c r="K1524" s="10"/>
      <c r="L1524" s="10"/>
      <c r="M1524" s="10"/>
      <c r="N1524" s="10"/>
      <c r="O1524" s="18">
        <v>323.58</v>
      </c>
      <c r="P1524" s="10"/>
      <c r="Q1524" s="17" t="b">
        <v>1</v>
      </c>
      <c r="R1524" s="10"/>
    </row>
    <row r="1525">
      <c r="A1525" s="6" t="s">
        <v>8299</v>
      </c>
      <c r="B1525" s="6" t="s">
        <v>35</v>
      </c>
      <c r="C1525" s="8">
        <v>45947.0</v>
      </c>
      <c r="D1525" s="6" t="s">
        <v>543</v>
      </c>
      <c r="E1525" s="6" t="s">
        <v>9608</v>
      </c>
      <c r="F1525" s="10"/>
      <c r="G1525" s="6" t="s">
        <v>9610</v>
      </c>
      <c r="H1525" s="6" t="s">
        <v>171</v>
      </c>
      <c r="I1525" s="17" t="b">
        <v>0</v>
      </c>
      <c r="J1525" s="6" t="s">
        <v>546</v>
      </c>
      <c r="K1525" s="10"/>
      <c r="L1525" s="10"/>
      <c r="M1525" s="10"/>
      <c r="N1525" s="10"/>
      <c r="O1525" s="18">
        <v>225.0</v>
      </c>
      <c r="P1525" s="10"/>
      <c r="Q1525" s="17" t="b">
        <v>1</v>
      </c>
      <c r="R1525" s="10"/>
    </row>
    <row r="1526">
      <c r="A1526" s="6" t="s">
        <v>8301</v>
      </c>
      <c r="B1526" s="6" t="s">
        <v>35</v>
      </c>
      <c r="C1526" s="8">
        <v>45944.0</v>
      </c>
      <c r="D1526" s="6" t="s">
        <v>193</v>
      </c>
      <c r="E1526" s="6" t="s">
        <v>9617</v>
      </c>
      <c r="F1526" s="10"/>
      <c r="G1526" s="6" t="s">
        <v>9618</v>
      </c>
      <c r="H1526" s="6" t="s">
        <v>195</v>
      </c>
      <c r="I1526" s="17" t="b">
        <v>0</v>
      </c>
      <c r="J1526" s="6" t="s">
        <v>546</v>
      </c>
      <c r="K1526" s="10"/>
      <c r="L1526" s="6" t="s">
        <v>9621</v>
      </c>
      <c r="M1526" s="6" t="s">
        <v>9622</v>
      </c>
      <c r="N1526" s="10"/>
      <c r="O1526" s="18">
        <v>599.21</v>
      </c>
      <c r="P1526" s="10"/>
      <c r="Q1526" s="17" t="b">
        <v>1</v>
      </c>
      <c r="R1526" s="10"/>
    </row>
    <row r="1527">
      <c r="A1527" s="6" t="s">
        <v>9625</v>
      </c>
      <c r="B1527" s="6" t="s">
        <v>35</v>
      </c>
      <c r="C1527" s="8">
        <v>45920.0</v>
      </c>
      <c r="D1527" s="6" t="s">
        <v>7095</v>
      </c>
      <c r="E1527" s="6" t="s">
        <v>9628</v>
      </c>
      <c r="F1527" s="10"/>
      <c r="G1527" s="26" t="s">
        <v>9629</v>
      </c>
      <c r="H1527" s="6" t="s">
        <v>195</v>
      </c>
      <c r="I1527" s="17" t="b">
        <v>0</v>
      </c>
      <c r="J1527" s="26" t="s">
        <v>8596</v>
      </c>
      <c r="K1527" s="10"/>
      <c r="L1527" s="10"/>
      <c r="M1527" s="10"/>
      <c r="N1527" s="10"/>
      <c r="O1527" s="26">
        <v>0.01</v>
      </c>
      <c r="P1527" s="10"/>
      <c r="Q1527" s="27" t="b">
        <v>1</v>
      </c>
      <c r="R1527" s="10"/>
    </row>
    <row r="1528">
      <c r="A1528" s="6" t="s">
        <v>8316</v>
      </c>
      <c r="B1528" s="6" t="s">
        <v>35</v>
      </c>
      <c r="C1528" s="8">
        <v>45946.0</v>
      </c>
      <c r="D1528" s="6" t="s">
        <v>3427</v>
      </c>
      <c r="E1528" s="6" t="s">
        <v>9638</v>
      </c>
      <c r="F1528" s="10"/>
      <c r="G1528" s="6" t="s">
        <v>9639</v>
      </c>
      <c r="H1528" s="6" t="s">
        <v>7340</v>
      </c>
      <c r="I1528" s="17" t="b">
        <v>0</v>
      </c>
      <c r="J1528" s="6" t="s">
        <v>546</v>
      </c>
      <c r="K1528" s="10"/>
      <c r="L1528" s="10"/>
      <c r="M1528" s="10"/>
      <c r="N1528" s="10"/>
      <c r="O1528" s="18">
        <v>2045.47</v>
      </c>
      <c r="P1528" s="10"/>
      <c r="Q1528" s="17" t="b">
        <v>1</v>
      </c>
      <c r="R1528" s="10"/>
    </row>
    <row r="1529">
      <c r="A1529" s="6" t="s">
        <v>8323</v>
      </c>
      <c r="B1529" s="6" t="s">
        <v>35</v>
      </c>
      <c r="C1529" s="8">
        <v>45953.0</v>
      </c>
      <c r="D1529" s="6" t="s">
        <v>764</v>
      </c>
      <c r="E1529" s="6" t="s">
        <v>9647</v>
      </c>
      <c r="F1529" s="10"/>
      <c r="G1529" s="6" t="s">
        <v>9649</v>
      </c>
      <c r="H1529" s="6" t="s">
        <v>195</v>
      </c>
      <c r="I1529" s="17" t="b">
        <v>0</v>
      </c>
      <c r="J1529" s="6" t="s">
        <v>546</v>
      </c>
      <c r="K1529" s="10"/>
      <c r="L1529" s="10"/>
      <c r="M1529" s="10"/>
      <c r="N1529" s="10"/>
      <c r="O1529" s="18">
        <v>410.8</v>
      </c>
      <c r="P1529" s="10"/>
      <c r="Q1529" s="17" t="b">
        <v>1</v>
      </c>
      <c r="R1529" s="10"/>
    </row>
    <row r="1530">
      <c r="A1530" s="6" t="s">
        <v>8332</v>
      </c>
      <c r="B1530" s="6" t="s">
        <v>35</v>
      </c>
      <c r="C1530" s="8">
        <v>45953.0</v>
      </c>
      <c r="D1530" s="6" t="s">
        <v>420</v>
      </c>
      <c r="E1530" s="6" t="s">
        <v>9655</v>
      </c>
      <c r="F1530" s="10"/>
      <c r="G1530" s="6" t="s">
        <v>9657</v>
      </c>
      <c r="H1530" s="6" t="s">
        <v>6054</v>
      </c>
      <c r="I1530" s="17" t="b">
        <v>0</v>
      </c>
      <c r="J1530" s="6" t="s">
        <v>546</v>
      </c>
      <c r="K1530" s="10"/>
      <c r="L1530" s="10"/>
      <c r="M1530" s="10"/>
      <c r="N1530" s="10"/>
      <c r="O1530" s="18">
        <v>2121.22</v>
      </c>
      <c r="P1530" s="10"/>
      <c r="Q1530" s="17" t="b">
        <v>1</v>
      </c>
      <c r="R1530" s="10"/>
    </row>
    <row r="1531">
      <c r="A1531" s="6" t="s">
        <v>8335</v>
      </c>
      <c r="B1531" s="6" t="s">
        <v>35</v>
      </c>
      <c r="C1531" s="8">
        <v>45954.0</v>
      </c>
      <c r="D1531" s="6" t="s">
        <v>112</v>
      </c>
      <c r="E1531" s="6" t="s">
        <v>9661</v>
      </c>
      <c r="F1531" s="10"/>
      <c r="G1531" s="6" t="s">
        <v>9662</v>
      </c>
      <c r="H1531" s="6" t="s">
        <v>157</v>
      </c>
      <c r="I1531" s="17" t="b">
        <v>0</v>
      </c>
      <c r="J1531" s="6" t="s">
        <v>546</v>
      </c>
      <c r="K1531" s="10"/>
      <c r="L1531" s="10"/>
      <c r="M1531" s="10"/>
      <c r="N1531" s="10"/>
      <c r="O1531" s="18">
        <v>366.62</v>
      </c>
      <c r="P1531" s="10"/>
      <c r="Q1531" s="17" t="b">
        <v>1</v>
      </c>
      <c r="R1531" s="10"/>
    </row>
    <row r="1532">
      <c r="A1532" s="6" t="s">
        <v>8340</v>
      </c>
      <c r="B1532" s="6" t="s">
        <v>35</v>
      </c>
      <c r="C1532" s="8">
        <v>45955.0</v>
      </c>
      <c r="D1532" s="6" t="s">
        <v>543</v>
      </c>
      <c r="E1532" s="6" t="s">
        <v>9666</v>
      </c>
      <c r="F1532" s="10"/>
      <c r="G1532" s="6" t="s">
        <v>9667</v>
      </c>
      <c r="H1532" s="6" t="s">
        <v>171</v>
      </c>
      <c r="I1532" s="17" t="b">
        <v>0</v>
      </c>
      <c r="J1532" s="6" t="s">
        <v>546</v>
      </c>
      <c r="K1532" s="10"/>
      <c r="L1532" s="10"/>
      <c r="M1532" s="10"/>
      <c r="N1532" s="10"/>
      <c r="O1532" s="18">
        <v>525.0</v>
      </c>
      <c r="P1532" s="10"/>
      <c r="Q1532" s="17" t="b">
        <v>1</v>
      </c>
      <c r="R1532" s="10"/>
    </row>
    <row r="1533">
      <c r="A1533" s="6" t="s">
        <v>8342</v>
      </c>
      <c r="B1533" s="6" t="s">
        <v>35</v>
      </c>
      <c r="C1533" s="8">
        <v>45957.0</v>
      </c>
      <c r="D1533" s="18">
        <v>2.6065919E7</v>
      </c>
      <c r="E1533" s="6" t="s">
        <v>9671</v>
      </c>
      <c r="F1533" s="10"/>
      <c r="G1533" s="6" t="s">
        <v>9673</v>
      </c>
      <c r="H1533" s="6" t="s">
        <v>9674</v>
      </c>
      <c r="I1533" s="17" t="b">
        <v>1</v>
      </c>
      <c r="J1533" s="6" t="s">
        <v>8596</v>
      </c>
      <c r="K1533" s="10"/>
      <c r="L1533" s="10"/>
      <c r="M1533" s="10"/>
      <c r="N1533" s="10"/>
      <c r="O1533" s="18">
        <v>40.0</v>
      </c>
      <c r="P1533" s="18">
        <v>1763275.0</v>
      </c>
      <c r="Q1533" s="17" t="b">
        <v>1</v>
      </c>
      <c r="R1533" s="10"/>
    </row>
    <row r="1534">
      <c r="A1534" s="6" t="s">
        <v>8345</v>
      </c>
      <c r="B1534" s="6" t="s">
        <v>35</v>
      </c>
      <c r="C1534" s="8">
        <v>45955.0</v>
      </c>
      <c r="D1534" s="18">
        <v>8.627274E7</v>
      </c>
      <c r="E1534" s="6" t="s">
        <v>9678</v>
      </c>
      <c r="F1534" s="10"/>
      <c r="G1534" s="6" t="s">
        <v>9679</v>
      </c>
      <c r="H1534" s="6" t="s">
        <v>236</v>
      </c>
      <c r="I1534" s="17" t="b">
        <v>1</v>
      </c>
      <c r="J1534" s="6" t="s">
        <v>546</v>
      </c>
      <c r="K1534" s="10"/>
      <c r="L1534" s="10"/>
      <c r="M1534" s="10"/>
      <c r="N1534" s="10"/>
      <c r="O1534" s="18">
        <v>96.9</v>
      </c>
      <c r="P1534" s="18">
        <v>1759029.0</v>
      </c>
      <c r="Q1534" s="17" t="b">
        <v>1</v>
      </c>
      <c r="R1534" s="10"/>
    </row>
    <row r="1535">
      <c r="A1535" s="6" t="s">
        <v>8347</v>
      </c>
      <c r="B1535" s="6" t="s">
        <v>35</v>
      </c>
      <c r="C1535" s="8">
        <v>45954.0</v>
      </c>
      <c r="D1535" s="18">
        <v>8.627274E7</v>
      </c>
      <c r="E1535" s="6" t="s">
        <v>9683</v>
      </c>
      <c r="F1535" s="10"/>
      <c r="G1535" s="6" t="s">
        <v>9684</v>
      </c>
      <c r="H1535" s="6" t="s">
        <v>4248</v>
      </c>
      <c r="I1535" s="17" t="b">
        <v>1</v>
      </c>
      <c r="J1535" s="6" t="s">
        <v>546</v>
      </c>
      <c r="K1535" s="10"/>
      <c r="L1535" s="10"/>
      <c r="M1535" s="10"/>
      <c r="N1535" s="10"/>
      <c r="O1535" s="18">
        <v>92.87</v>
      </c>
      <c r="P1535" s="18">
        <v>1756224.0</v>
      </c>
      <c r="Q1535" s="17" t="b">
        <v>1</v>
      </c>
      <c r="R1535" s="10"/>
    </row>
    <row r="1536">
      <c r="A1536" s="6" t="s">
        <v>8350</v>
      </c>
      <c r="B1536" s="6" t="s">
        <v>35</v>
      </c>
      <c r="C1536" s="8">
        <v>45957.0</v>
      </c>
      <c r="D1536" s="6" t="s">
        <v>112</v>
      </c>
      <c r="E1536" s="6" t="s">
        <v>9691</v>
      </c>
      <c r="F1536" s="10"/>
      <c r="G1536" s="6" t="s">
        <v>9693</v>
      </c>
      <c r="H1536" s="6" t="s">
        <v>157</v>
      </c>
      <c r="I1536" s="17" t="b">
        <v>0</v>
      </c>
      <c r="J1536" s="6" t="s">
        <v>546</v>
      </c>
      <c r="K1536" s="10"/>
      <c r="L1536" s="10"/>
      <c r="M1536" s="10"/>
      <c r="N1536" s="10"/>
      <c r="O1536" s="18">
        <v>25.09</v>
      </c>
      <c r="P1536" s="10"/>
      <c r="Q1536" s="17" t="b">
        <v>1</v>
      </c>
      <c r="R1536" s="10"/>
    </row>
    <row r="1537">
      <c r="A1537" s="6" t="s">
        <v>8356</v>
      </c>
      <c r="B1537" s="6" t="s">
        <v>35</v>
      </c>
      <c r="C1537" s="8">
        <v>45931.0</v>
      </c>
      <c r="D1537" s="6" t="s">
        <v>1036</v>
      </c>
      <c r="E1537" s="6" t="s">
        <v>9697</v>
      </c>
      <c r="F1537" s="10"/>
      <c r="G1537" s="6" t="s">
        <v>9698</v>
      </c>
      <c r="H1537" s="6" t="s">
        <v>5755</v>
      </c>
      <c r="I1537" s="17" t="b">
        <v>0</v>
      </c>
      <c r="J1537" s="6" t="s">
        <v>546</v>
      </c>
      <c r="K1537" s="10"/>
      <c r="L1537" s="10"/>
      <c r="M1537" s="10"/>
      <c r="N1537" s="10"/>
      <c r="O1537" s="18">
        <v>124.16</v>
      </c>
      <c r="P1537" s="10"/>
      <c r="Q1537" s="17" t="b">
        <v>1</v>
      </c>
      <c r="R1537" s="10"/>
    </row>
    <row r="1538">
      <c r="A1538" s="6" t="s">
        <v>8359</v>
      </c>
      <c r="B1538" s="6" t="s">
        <v>35</v>
      </c>
      <c r="C1538" s="8">
        <v>45957.0</v>
      </c>
      <c r="D1538" s="6" t="s">
        <v>8582</v>
      </c>
      <c r="E1538" s="6" t="s">
        <v>9701</v>
      </c>
      <c r="F1538" s="10"/>
      <c r="G1538" s="6" t="s">
        <v>9702</v>
      </c>
      <c r="H1538" s="6" t="s">
        <v>9703</v>
      </c>
      <c r="I1538" s="17" t="b">
        <v>0</v>
      </c>
      <c r="J1538" s="6" t="s">
        <v>546</v>
      </c>
      <c r="K1538" s="10"/>
      <c r="L1538" s="10"/>
      <c r="M1538" s="10"/>
      <c r="N1538" s="10"/>
      <c r="O1538" s="18">
        <v>1810.88</v>
      </c>
      <c r="P1538" s="10"/>
      <c r="Q1538" s="17" t="b">
        <v>1</v>
      </c>
      <c r="R1538" s="10"/>
    </row>
    <row r="1539">
      <c r="A1539" s="6" t="s">
        <v>8362</v>
      </c>
      <c r="B1539" s="6" t="s">
        <v>35</v>
      </c>
      <c r="C1539" s="8">
        <v>45932.0</v>
      </c>
      <c r="D1539" s="10"/>
      <c r="E1539" s="10"/>
      <c r="F1539" s="10"/>
      <c r="G1539" s="10"/>
      <c r="H1539" s="6" t="s">
        <v>8658</v>
      </c>
      <c r="I1539" s="10"/>
      <c r="J1539" s="6" t="s">
        <v>539</v>
      </c>
      <c r="K1539" s="6" t="s">
        <v>624</v>
      </c>
      <c r="L1539" s="10"/>
      <c r="M1539" s="10"/>
      <c r="N1539" s="10"/>
      <c r="O1539" s="18">
        <v>2508.85</v>
      </c>
      <c r="P1539" s="10"/>
      <c r="Q1539" s="17" t="b">
        <v>1</v>
      </c>
      <c r="R1539" s="10"/>
    </row>
    <row r="1540">
      <c r="A1540" s="6" t="s">
        <v>8365</v>
      </c>
      <c r="B1540" s="6" t="s">
        <v>35</v>
      </c>
      <c r="C1540" s="8">
        <v>45932.0</v>
      </c>
      <c r="D1540" s="10"/>
      <c r="E1540" s="10"/>
      <c r="F1540" s="10"/>
      <c r="G1540" s="10"/>
      <c r="H1540" s="6" t="s">
        <v>8658</v>
      </c>
      <c r="I1540" s="10"/>
      <c r="J1540" s="6" t="s">
        <v>539</v>
      </c>
      <c r="K1540" s="6" t="s">
        <v>2052</v>
      </c>
      <c r="L1540" s="10"/>
      <c r="M1540" s="10"/>
      <c r="N1540" s="10"/>
      <c r="O1540" s="18">
        <v>1893.64</v>
      </c>
      <c r="P1540" s="10"/>
      <c r="Q1540" s="17" t="b">
        <v>1</v>
      </c>
      <c r="R1540" s="10"/>
    </row>
    <row r="1541">
      <c r="A1541" s="6" t="s">
        <v>8368</v>
      </c>
      <c r="B1541" s="6" t="s">
        <v>35</v>
      </c>
      <c r="C1541" s="8">
        <v>45932.0</v>
      </c>
      <c r="D1541" s="10"/>
      <c r="E1541" s="10"/>
      <c r="F1541" s="10"/>
      <c r="G1541" s="10"/>
      <c r="H1541" s="6" t="s">
        <v>8658</v>
      </c>
      <c r="I1541" s="10"/>
      <c r="J1541" s="6" t="s">
        <v>539</v>
      </c>
      <c r="K1541" s="6" t="s">
        <v>227</v>
      </c>
      <c r="L1541" s="10"/>
      <c r="M1541" s="10"/>
      <c r="N1541" s="10"/>
      <c r="O1541" s="18">
        <v>2220.73</v>
      </c>
      <c r="P1541" s="10"/>
      <c r="Q1541" s="17" t="b">
        <v>1</v>
      </c>
      <c r="R1541" s="10"/>
    </row>
    <row r="1542">
      <c r="A1542" s="6" t="s">
        <v>8371</v>
      </c>
      <c r="B1542" s="6" t="s">
        <v>35</v>
      </c>
      <c r="C1542" s="8">
        <v>45932.0</v>
      </c>
      <c r="D1542" s="10"/>
      <c r="E1542" s="10"/>
      <c r="F1542" s="10"/>
      <c r="G1542" s="10"/>
      <c r="H1542" s="6" t="s">
        <v>8658</v>
      </c>
      <c r="I1542" s="10"/>
      <c r="J1542" s="6" t="s">
        <v>539</v>
      </c>
      <c r="K1542" s="6" t="s">
        <v>6062</v>
      </c>
      <c r="L1542" s="10"/>
      <c r="M1542" s="10"/>
      <c r="N1542" s="10"/>
      <c r="O1542" s="18">
        <v>1400.01</v>
      </c>
      <c r="P1542" s="10"/>
      <c r="Q1542" s="17" t="b">
        <v>1</v>
      </c>
      <c r="R1542" s="10"/>
    </row>
    <row r="1543">
      <c r="A1543" s="6" t="s">
        <v>8373</v>
      </c>
      <c r="B1543" s="6" t="s">
        <v>35</v>
      </c>
      <c r="C1543" s="8">
        <v>45932.0</v>
      </c>
      <c r="D1543" s="10"/>
      <c r="E1543" s="10"/>
      <c r="F1543" s="10"/>
      <c r="G1543" s="10"/>
      <c r="H1543" s="6" t="s">
        <v>8658</v>
      </c>
      <c r="I1543" s="10"/>
      <c r="J1543" s="6" t="s">
        <v>539</v>
      </c>
      <c r="K1543" s="6" t="s">
        <v>3795</v>
      </c>
      <c r="L1543" s="10"/>
      <c r="M1543" s="10"/>
      <c r="N1543" s="10"/>
      <c r="O1543" s="18">
        <v>1421.63</v>
      </c>
      <c r="P1543" s="10"/>
      <c r="Q1543" s="17" t="b">
        <v>1</v>
      </c>
      <c r="R1543" s="10"/>
    </row>
    <row r="1544">
      <c r="A1544" s="6" t="s">
        <v>8375</v>
      </c>
      <c r="B1544" s="6" t="s">
        <v>35</v>
      </c>
      <c r="C1544" s="8">
        <v>45934.0</v>
      </c>
      <c r="D1544" s="6" t="s">
        <v>8771</v>
      </c>
      <c r="E1544" s="10"/>
      <c r="F1544" s="10"/>
      <c r="G1544" s="10"/>
      <c r="H1544" s="6" t="s">
        <v>788</v>
      </c>
      <c r="I1544" s="10"/>
      <c r="J1544" s="6" t="s">
        <v>539</v>
      </c>
      <c r="K1544" s="10"/>
      <c r="L1544" s="10"/>
      <c r="M1544" s="10"/>
      <c r="N1544" s="10"/>
      <c r="O1544" s="18">
        <v>1000.0</v>
      </c>
      <c r="P1544" s="10"/>
      <c r="Q1544" s="17" t="b">
        <v>1</v>
      </c>
      <c r="R1544" s="10"/>
    </row>
    <row r="1545">
      <c r="A1545" s="6" t="s">
        <v>8380</v>
      </c>
      <c r="B1545" s="6" t="s">
        <v>35</v>
      </c>
      <c r="C1545" s="8">
        <v>45936.0</v>
      </c>
      <c r="D1545" s="6" t="s">
        <v>1160</v>
      </c>
      <c r="E1545" s="10"/>
      <c r="F1545" s="10"/>
      <c r="G1545" s="10"/>
      <c r="H1545" s="6" t="s">
        <v>9734</v>
      </c>
      <c r="I1545" s="10"/>
      <c r="J1545" s="6" t="s">
        <v>539</v>
      </c>
      <c r="K1545" s="10"/>
      <c r="L1545" s="10"/>
      <c r="M1545" s="10"/>
      <c r="N1545" s="10"/>
      <c r="O1545" s="18">
        <v>1304.3</v>
      </c>
      <c r="P1545" s="10"/>
      <c r="Q1545" s="17" t="b">
        <v>1</v>
      </c>
      <c r="R1545" s="10"/>
    </row>
    <row r="1546">
      <c r="A1546" s="6" t="s">
        <v>8383</v>
      </c>
      <c r="B1546" s="6" t="s">
        <v>35</v>
      </c>
      <c r="C1546" s="8">
        <v>45941.0</v>
      </c>
      <c r="D1546" s="10"/>
      <c r="E1546" s="10"/>
      <c r="F1546" s="10"/>
      <c r="G1546" s="10"/>
      <c r="H1546" s="6" t="s">
        <v>1329</v>
      </c>
      <c r="I1546" s="10"/>
      <c r="J1546" s="6" t="s">
        <v>539</v>
      </c>
      <c r="K1546" s="6" t="s">
        <v>227</v>
      </c>
      <c r="L1546" s="10"/>
      <c r="M1546" s="10"/>
      <c r="N1546" s="10"/>
      <c r="O1546" s="18">
        <v>500.0</v>
      </c>
      <c r="P1546" s="10"/>
      <c r="Q1546" s="17" t="b">
        <v>1</v>
      </c>
      <c r="R1546" s="10"/>
    </row>
    <row r="1547">
      <c r="A1547" s="18">
        <v>1.305661391E9</v>
      </c>
      <c r="B1547" s="6" t="s">
        <v>35</v>
      </c>
      <c r="C1547" s="8">
        <v>45936.0</v>
      </c>
      <c r="D1547" s="6" t="s">
        <v>9260</v>
      </c>
      <c r="E1547" s="10"/>
      <c r="F1547" s="10"/>
      <c r="G1547" s="10"/>
      <c r="H1547" s="6" t="s">
        <v>9740</v>
      </c>
      <c r="I1547" s="10"/>
      <c r="J1547" s="6" t="s">
        <v>539</v>
      </c>
      <c r="K1547" s="10"/>
      <c r="L1547" s="10"/>
      <c r="M1547" s="10"/>
      <c r="N1547" s="10"/>
      <c r="O1547" s="18">
        <v>5469.42</v>
      </c>
      <c r="P1547" s="10"/>
      <c r="Q1547" s="17" t="b">
        <v>1</v>
      </c>
      <c r="R1547" s="10"/>
    </row>
    <row r="1548">
      <c r="A1548" s="6" t="s">
        <v>8388</v>
      </c>
      <c r="B1548" s="6" t="s">
        <v>35</v>
      </c>
      <c r="C1548" s="8">
        <v>45943.0</v>
      </c>
      <c r="D1548" s="6" t="s">
        <v>2248</v>
      </c>
      <c r="E1548" s="10"/>
      <c r="F1548" s="10"/>
      <c r="G1548" s="10"/>
      <c r="H1548" s="6" t="s">
        <v>8055</v>
      </c>
      <c r="I1548" s="10"/>
      <c r="J1548" s="6" t="s">
        <v>539</v>
      </c>
      <c r="K1548" s="10"/>
      <c r="L1548" s="10"/>
      <c r="M1548" s="10"/>
      <c r="N1548" s="10"/>
      <c r="O1548" s="18">
        <v>185.0</v>
      </c>
      <c r="P1548" s="10"/>
      <c r="Q1548" s="17" t="b">
        <v>1</v>
      </c>
      <c r="R1548" s="10"/>
    </row>
    <row r="1549">
      <c r="A1549" s="6" t="s">
        <v>8390</v>
      </c>
      <c r="B1549" s="6" t="s">
        <v>35</v>
      </c>
      <c r="C1549" s="8">
        <v>45943.0</v>
      </c>
      <c r="D1549" s="6" t="s">
        <v>890</v>
      </c>
      <c r="E1549" s="10"/>
      <c r="F1549" s="10"/>
      <c r="G1549" s="10"/>
      <c r="H1549" s="6" t="s">
        <v>4010</v>
      </c>
      <c r="I1549" s="10"/>
      <c r="J1549" s="6" t="s">
        <v>539</v>
      </c>
      <c r="K1549" s="10"/>
      <c r="L1549" s="10"/>
      <c r="M1549" s="10"/>
      <c r="N1549" s="10"/>
      <c r="O1549" s="18">
        <v>375.0</v>
      </c>
      <c r="P1549" s="10"/>
      <c r="Q1549" s="17" t="b">
        <v>1</v>
      </c>
      <c r="R1549" s="10"/>
    </row>
    <row r="1550">
      <c r="A1550" s="6" t="s">
        <v>8392</v>
      </c>
      <c r="B1550" s="6" t="s">
        <v>35</v>
      </c>
      <c r="C1550" s="8">
        <v>45943.0</v>
      </c>
      <c r="D1550" s="6" t="s">
        <v>890</v>
      </c>
      <c r="E1550" s="10"/>
      <c r="F1550" s="10"/>
      <c r="G1550" s="10"/>
      <c r="H1550" s="6" t="s">
        <v>9752</v>
      </c>
      <c r="I1550" s="10"/>
      <c r="J1550" s="6" t="s">
        <v>539</v>
      </c>
      <c r="K1550" s="10"/>
      <c r="L1550" s="10"/>
      <c r="M1550" s="10"/>
      <c r="N1550" s="10"/>
      <c r="O1550" s="18">
        <v>129.89</v>
      </c>
      <c r="P1550" s="10"/>
      <c r="Q1550" s="17" t="b">
        <v>1</v>
      </c>
      <c r="R1550" s="10"/>
    </row>
    <row r="1551">
      <c r="A1551" s="6" t="s">
        <v>8396</v>
      </c>
      <c r="B1551" s="6" t="s">
        <v>35</v>
      </c>
      <c r="C1551" s="8">
        <v>45943.0</v>
      </c>
      <c r="D1551" s="6" t="s">
        <v>890</v>
      </c>
      <c r="E1551" s="10"/>
      <c r="F1551" s="10"/>
      <c r="G1551" s="10"/>
      <c r="H1551" s="6" t="s">
        <v>9755</v>
      </c>
      <c r="I1551" s="10"/>
      <c r="J1551" s="6" t="s">
        <v>539</v>
      </c>
      <c r="K1551" s="10"/>
      <c r="L1551" s="10"/>
      <c r="M1551" s="10"/>
      <c r="N1551" s="10"/>
      <c r="O1551" s="18">
        <v>1200.43</v>
      </c>
      <c r="P1551" s="10"/>
      <c r="Q1551" s="17" t="b">
        <v>1</v>
      </c>
      <c r="R1551" s="10"/>
    </row>
    <row r="1552">
      <c r="A1552" s="18">
        <v>11501.0</v>
      </c>
      <c r="B1552" s="6" t="s">
        <v>35</v>
      </c>
      <c r="C1552" s="8">
        <v>45943.0</v>
      </c>
      <c r="D1552" s="6" t="s">
        <v>3516</v>
      </c>
      <c r="E1552" s="10"/>
      <c r="F1552" s="10"/>
      <c r="G1552" s="10"/>
      <c r="H1552" s="6" t="s">
        <v>9759</v>
      </c>
      <c r="I1552" s="10"/>
      <c r="J1552" s="6" t="s">
        <v>539</v>
      </c>
      <c r="K1552" s="10"/>
      <c r="L1552" s="10"/>
      <c r="M1552" s="10"/>
      <c r="N1552" s="10"/>
      <c r="O1552" s="18">
        <v>1601.97</v>
      </c>
      <c r="P1552" s="10"/>
      <c r="Q1552" s="17" t="b">
        <v>1</v>
      </c>
      <c r="R1552" s="10"/>
    </row>
    <row r="1553">
      <c r="A1553" s="18">
        <v>11502.0</v>
      </c>
      <c r="B1553" s="6" t="s">
        <v>35</v>
      </c>
      <c r="C1553" s="8">
        <v>45947.0</v>
      </c>
      <c r="D1553" s="6" t="s">
        <v>3516</v>
      </c>
      <c r="E1553" s="10"/>
      <c r="F1553" s="10"/>
      <c r="G1553" s="10"/>
      <c r="H1553" s="6" t="s">
        <v>9762</v>
      </c>
      <c r="I1553" s="10"/>
      <c r="J1553" s="6" t="s">
        <v>539</v>
      </c>
      <c r="K1553" s="10"/>
      <c r="L1553" s="10"/>
      <c r="M1553" s="10"/>
      <c r="N1553" s="10"/>
      <c r="O1553" s="18">
        <v>14378.5</v>
      </c>
      <c r="P1553" s="10"/>
      <c r="Q1553" s="17" t="b">
        <v>1</v>
      </c>
      <c r="R1553" s="10"/>
    </row>
    <row r="1554">
      <c r="A1554" s="6" t="s">
        <v>8401</v>
      </c>
      <c r="B1554" s="6" t="s">
        <v>35</v>
      </c>
      <c r="C1554" s="8">
        <v>45943.0</v>
      </c>
      <c r="D1554" s="6" t="s">
        <v>1864</v>
      </c>
      <c r="E1554" s="10"/>
      <c r="F1554" s="10"/>
      <c r="G1554" s="10"/>
      <c r="H1554" s="6" t="s">
        <v>8399</v>
      </c>
      <c r="I1554" s="10"/>
      <c r="J1554" s="6" t="s">
        <v>539</v>
      </c>
      <c r="K1554" s="10"/>
      <c r="L1554" s="10"/>
      <c r="M1554" s="10"/>
      <c r="N1554" s="10"/>
      <c r="O1554" s="18">
        <v>31.65</v>
      </c>
      <c r="P1554" s="10"/>
      <c r="Q1554" s="17" t="b">
        <v>1</v>
      </c>
      <c r="R1554" s="10"/>
    </row>
    <row r="1555">
      <c r="A1555" s="6" t="s">
        <v>8403</v>
      </c>
      <c r="B1555" s="6" t="s">
        <v>35</v>
      </c>
      <c r="C1555" s="8">
        <v>45950.0</v>
      </c>
      <c r="D1555" s="6" t="s">
        <v>460</v>
      </c>
      <c r="E1555" s="10"/>
      <c r="F1555" s="10"/>
      <c r="G1555" s="10"/>
      <c r="H1555" s="6" t="s">
        <v>9771</v>
      </c>
      <c r="I1555" s="10"/>
      <c r="J1555" s="6" t="s">
        <v>539</v>
      </c>
      <c r="K1555" s="10"/>
      <c r="L1555" s="10"/>
      <c r="M1555" s="10"/>
      <c r="N1555" s="10"/>
      <c r="O1555" s="18">
        <v>415.52</v>
      </c>
      <c r="P1555" s="10"/>
      <c r="Q1555" s="17" t="b">
        <v>1</v>
      </c>
      <c r="R1555" s="10"/>
    </row>
    <row r="1556">
      <c r="A1556" s="6" t="s">
        <v>8407</v>
      </c>
      <c r="B1556" s="6" t="s">
        <v>35</v>
      </c>
      <c r="C1556" s="8">
        <v>45950.0</v>
      </c>
      <c r="D1556" s="6" t="s">
        <v>1160</v>
      </c>
      <c r="E1556" s="10"/>
      <c r="F1556" s="10"/>
      <c r="G1556" s="10"/>
      <c r="H1556" s="6" t="s">
        <v>9771</v>
      </c>
      <c r="I1556" s="10"/>
      <c r="J1556" s="6" t="s">
        <v>539</v>
      </c>
      <c r="K1556" s="10"/>
      <c r="L1556" s="10"/>
      <c r="M1556" s="10"/>
      <c r="N1556" s="10"/>
      <c r="O1556" s="18">
        <v>486.48</v>
      </c>
      <c r="P1556" s="10"/>
      <c r="Q1556" s="17" t="b">
        <v>1</v>
      </c>
      <c r="R1556" s="10"/>
    </row>
    <row r="1557">
      <c r="A1557" s="6" t="s">
        <v>8410</v>
      </c>
      <c r="B1557" s="6" t="s">
        <v>35</v>
      </c>
      <c r="C1557" s="8">
        <v>45954.0</v>
      </c>
      <c r="D1557" s="6" t="s">
        <v>1864</v>
      </c>
      <c r="E1557" s="10"/>
      <c r="F1557" s="10"/>
      <c r="G1557" s="10"/>
      <c r="H1557" s="6" t="s">
        <v>9780</v>
      </c>
      <c r="I1557" s="10"/>
      <c r="J1557" s="6" t="s">
        <v>539</v>
      </c>
      <c r="K1557" s="10"/>
      <c r="L1557" s="10"/>
      <c r="M1557" s="10"/>
      <c r="N1557" s="10"/>
      <c r="O1557" s="18">
        <v>209.66</v>
      </c>
      <c r="P1557" s="10"/>
      <c r="Q1557" s="17" t="b">
        <v>1</v>
      </c>
      <c r="R1557" s="10"/>
    </row>
    <row r="1558">
      <c r="A1558" s="18">
        <v>11515.0</v>
      </c>
      <c r="B1558" s="6" t="s">
        <v>35</v>
      </c>
      <c r="C1558" s="8">
        <v>45950.0</v>
      </c>
      <c r="D1558" s="6" t="s">
        <v>460</v>
      </c>
      <c r="E1558" s="10"/>
      <c r="F1558" s="10"/>
      <c r="G1558" s="10"/>
      <c r="H1558" s="8">
        <v>45931.0</v>
      </c>
      <c r="I1558" s="10"/>
      <c r="J1558" s="6" t="s">
        <v>539</v>
      </c>
      <c r="K1558" s="10"/>
      <c r="L1558" s="10"/>
      <c r="M1558" s="10"/>
      <c r="N1558" s="10"/>
      <c r="O1558" s="18">
        <v>249.23</v>
      </c>
      <c r="P1558" s="10"/>
      <c r="Q1558" s="17" t="b">
        <v>1</v>
      </c>
      <c r="R1558" s="10"/>
    </row>
    <row r="1559">
      <c r="A1559" s="18">
        <v>11516.0</v>
      </c>
      <c r="B1559" s="6" t="s">
        <v>35</v>
      </c>
      <c r="C1559" s="8">
        <v>45950.0</v>
      </c>
      <c r="D1559" s="6" t="s">
        <v>1160</v>
      </c>
      <c r="E1559" s="10"/>
      <c r="F1559" s="10"/>
      <c r="G1559" s="10"/>
      <c r="H1559" s="8">
        <v>45717.0</v>
      </c>
      <c r="I1559" s="10"/>
      <c r="J1559" s="6" t="s">
        <v>539</v>
      </c>
      <c r="K1559" s="10"/>
      <c r="L1559" s="10"/>
      <c r="M1559" s="10"/>
      <c r="N1559" s="10"/>
      <c r="O1559" s="18">
        <v>68.56</v>
      </c>
      <c r="P1559" s="10"/>
      <c r="Q1559" s="17" t="b">
        <v>1</v>
      </c>
      <c r="R1559" s="10"/>
    </row>
    <row r="1560">
      <c r="A1560" s="6" t="s">
        <v>8416</v>
      </c>
      <c r="B1560" s="6" t="s">
        <v>35</v>
      </c>
      <c r="C1560" s="8">
        <v>45956.0</v>
      </c>
      <c r="D1560" s="10"/>
      <c r="E1560" s="10"/>
      <c r="F1560" s="10"/>
      <c r="G1560" s="10"/>
      <c r="H1560" s="6" t="s">
        <v>1329</v>
      </c>
      <c r="I1560" s="10"/>
      <c r="J1560" s="6" t="s">
        <v>539</v>
      </c>
      <c r="K1560" s="6" t="s">
        <v>624</v>
      </c>
      <c r="L1560" s="10"/>
      <c r="M1560" s="10"/>
      <c r="N1560" s="10"/>
      <c r="O1560" s="18">
        <v>500.0</v>
      </c>
      <c r="P1560" s="10"/>
      <c r="Q1560" s="17" t="b">
        <v>1</v>
      </c>
      <c r="R1560" s="10"/>
    </row>
    <row r="1561">
      <c r="A1561" s="6" t="s">
        <v>8420</v>
      </c>
      <c r="B1561" s="6" t="s">
        <v>35</v>
      </c>
      <c r="C1561" s="8">
        <v>45956.0</v>
      </c>
      <c r="D1561" s="10"/>
      <c r="E1561" s="10"/>
      <c r="F1561" s="10"/>
      <c r="G1561" s="10"/>
      <c r="H1561" s="6" t="s">
        <v>1329</v>
      </c>
      <c r="I1561" s="10"/>
      <c r="J1561" s="6" t="s">
        <v>539</v>
      </c>
      <c r="K1561" s="6" t="s">
        <v>2052</v>
      </c>
      <c r="L1561" s="10"/>
      <c r="M1561" s="10"/>
      <c r="N1561" s="10"/>
      <c r="O1561" s="18">
        <v>600.0</v>
      </c>
      <c r="P1561" s="10"/>
      <c r="Q1561" s="17" t="b">
        <v>1</v>
      </c>
      <c r="R1561" s="10"/>
    </row>
    <row r="1562">
      <c r="A1562" s="6" t="s">
        <v>8422</v>
      </c>
      <c r="B1562" s="6" t="s">
        <v>35</v>
      </c>
      <c r="C1562" s="8">
        <v>45956.0</v>
      </c>
      <c r="D1562" s="10"/>
      <c r="E1562" s="10"/>
      <c r="F1562" s="10"/>
      <c r="G1562" s="10"/>
      <c r="H1562" s="6" t="s">
        <v>1329</v>
      </c>
      <c r="I1562" s="10"/>
      <c r="J1562" s="6" t="s">
        <v>539</v>
      </c>
      <c r="K1562" s="6" t="s">
        <v>3795</v>
      </c>
      <c r="L1562" s="10"/>
      <c r="M1562" s="10"/>
      <c r="N1562" s="10"/>
      <c r="O1562" s="18">
        <v>500.0</v>
      </c>
      <c r="P1562" s="10"/>
      <c r="Q1562" s="17" t="b">
        <v>1</v>
      </c>
      <c r="R1562" s="10"/>
    </row>
    <row r="1563">
      <c r="A1563" s="6" t="s">
        <v>8426</v>
      </c>
      <c r="B1563" s="6" t="s">
        <v>35</v>
      </c>
      <c r="C1563" s="8">
        <v>45956.0</v>
      </c>
      <c r="D1563" s="10"/>
      <c r="E1563" s="10"/>
      <c r="F1563" s="10"/>
      <c r="G1563" s="10"/>
      <c r="H1563" s="6" t="s">
        <v>1329</v>
      </c>
      <c r="I1563" s="10"/>
      <c r="J1563" s="6" t="s">
        <v>539</v>
      </c>
      <c r="K1563" s="6" t="s">
        <v>6062</v>
      </c>
      <c r="L1563" s="10"/>
      <c r="M1563" s="10"/>
      <c r="N1563" s="10"/>
      <c r="O1563" s="18">
        <v>500.0</v>
      </c>
      <c r="P1563" s="10"/>
      <c r="Q1563" s="17" t="b">
        <v>1</v>
      </c>
      <c r="R1563" s="10"/>
    </row>
    <row r="1564">
      <c r="A1564" s="6" t="s">
        <v>8429</v>
      </c>
      <c r="B1564" s="6" t="s">
        <v>35</v>
      </c>
      <c r="C1564" s="8">
        <v>45958.0</v>
      </c>
      <c r="D1564" s="6" t="s">
        <v>890</v>
      </c>
      <c r="E1564" s="10"/>
      <c r="F1564" s="10"/>
      <c r="G1564" s="10"/>
      <c r="H1564" s="6" t="s">
        <v>9811</v>
      </c>
      <c r="I1564" s="10"/>
      <c r="J1564" s="6" t="s">
        <v>539</v>
      </c>
      <c r="K1564" s="10"/>
      <c r="L1564" s="10"/>
      <c r="M1564" s="10"/>
      <c r="N1564" s="10"/>
      <c r="O1564" s="18">
        <v>2509.94</v>
      </c>
      <c r="P1564" s="10"/>
      <c r="Q1564" s="17" t="b">
        <v>1</v>
      </c>
      <c r="R1564" s="10"/>
    </row>
    <row r="1565">
      <c r="A1565" s="6" t="s">
        <v>8431</v>
      </c>
      <c r="B1565" s="6" t="s">
        <v>35</v>
      </c>
      <c r="C1565" s="8">
        <v>45958.0</v>
      </c>
      <c r="D1565" s="6" t="s">
        <v>890</v>
      </c>
      <c r="E1565" s="10"/>
      <c r="F1565" s="10"/>
      <c r="G1565" s="10"/>
      <c r="H1565" s="6" t="s">
        <v>9816</v>
      </c>
      <c r="I1565" s="10"/>
      <c r="J1565" s="6" t="s">
        <v>539</v>
      </c>
      <c r="K1565" s="10"/>
      <c r="L1565" s="10"/>
      <c r="M1565" s="10"/>
      <c r="N1565" s="10"/>
      <c r="O1565" s="18">
        <v>1237.88</v>
      </c>
      <c r="P1565" s="10"/>
      <c r="Q1565" s="17" t="b">
        <v>1</v>
      </c>
      <c r="R1565" s="10"/>
    </row>
    <row r="1566">
      <c r="A1566" s="6" t="s">
        <v>8435</v>
      </c>
      <c r="B1566" s="6" t="s">
        <v>35</v>
      </c>
      <c r="C1566" s="8">
        <v>45958.0</v>
      </c>
      <c r="D1566" s="6" t="s">
        <v>890</v>
      </c>
      <c r="E1566" s="10"/>
      <c r="F1566" s="10"/>
      <c r="G1566" s="10"/>
      <c r="H1566" s="6" t="s">
        <v>9823</v>
      </c>
      <c r="I1566" s="10"/>
      <c r="J1566" s="6" t="s">
        <v>539</v>
      </c>
      <c r="K1566" s="10"/>
      <c r="L1566" s="10"/>
      <c r="M1566" s="10"/>
      <c r="N1566" s="10"/>
      <c r="O1566" s="18">
        <v>226.8</v>
      </c>
      <c r="P1566" s="10"/>
      <c r="Q1566" s="17" t="b">
        <v>1</v>
      </c>
      <c r="R1566" s="10"/>
    </row>
    <row r="1567">
      <c r="A1567" s="18">
        <v>11526.0</v>
      </c>
      <c r="B1567" s="6" t="s">
        <v>35</v>
      </c>
      <c r="C1567" s="8">
        <v>45958.0</v>
      </c>
      <c r="D1567" s="6" t="s">
        <v>9825</v>
      </c>
      <c r="E1567" s="10"/>
      <c r="F1567" s="10"/>
      <c r="G1567" s="10"/>
      <c r="H1567" s="6" t="s">
        <v>9826</v>
      </c>
      <c r="I1567" s="10"/>
      <c r="J1567" s="6" t="s">
        <v>539</v>
      </c>
      <c r="K1567" s="10"/>
      <c r="L1567" s="10"/>
      <c r="M1567" s="10"/>
      <c r="N1567" s="10"/>
      <c r="O1567" s="18">
        <v>343.11</v>
      </c>
      <c r="P1567" s="10"/>
      <c r="Q1567" s="17" t="b">
        <v>1</v>
      </c>
      <c r="R1567" s="10"/>
    </row>
    <row r="1568">
      <c r="A1568" s="18">
        <v>11527.0</v>
      </c>
      <c r="B1568" s="6" t="s">
        <v>35</v>
      </c>
      <c r="C1568" s="8">
        <v>45958.0</v>
      </c>
      <c r="D1568" s="6" t="s">
        <v>9825</v>
      </c>
      <c r="E1568" s="10"/>
      <c r="F1568" s="10"/>
      <c r="G1568" s="10"/>
      <c r="H1568" s="6" t="s">
        <v>9835</v>
      </c>
      <c r="I1568" s="10"/>
      <c r="J1568" s="6" t="s">
        <v>539</v>
      </c>
      <c r="K1568" s="10"/>
      <c r="L1568" s="10"/>
      <c r="M1568" s="10"/>
      <c r="N1568" s="10"/>
      <c r="O1568" s="18">
        <v>82.62</v>
      </c>
      <c r="P1568" s="10"/>
      <c r="Q1568" s="17" t="b">
        <v>1</v>
      </c>
      <c r="R1568" s="10"/>
    </row>
    <row r="1569">
      <c r="A1569" s="18">
        <v>11528.0</v>
      </c>
      <c r="B1569" s="6" t="s">
        <v>35</v>
      </c>
      <c r="C1569" s="25"/>
      <c r="D1569" s="6" t="s">
        <v>460</v>
      </c>
      <c r="E1569" s="10"/>
      <c r="F1569" s="10"/>
      <c r="G1569" s="10"/>
      <c r="H1569" s="6" t="s">
        <v>9839</v>
      </c>
      <c r="I1569" s="10"/>
      <c r="J1569" s="6" t="s">
        <v>539</v>
      </c>
      <c r="K1569" s="10"/>
      <c r="L1569" s="10"/>
      <c r="M1569" s="10"/>
      <c r="N1569" s="10"/>
      <c r="O1569" s="18">
        <v>4082.0</v>
      </c>
      <c r="P1569" s="10"/>
      <c r="Q1569" s="17" t="b">
        <v>1</v>
      </c>
      <c r="R1569" s="10"/>
    </row>
    <row r="1570">
      <c r="A1570" s="18">
        <v>11529.0</v>
      </c>
      <c r="B1570" s="6" t="s">
        <v>35</v>
      </c>
      <c r="C1570" s="8">
        <v>45958.0</v>
      </c>
      <c r="D1570" s="6" t="s">
        <v>460</v>
      </c>
      <c r="E1570" s="10"/>
      <c r="F1570" s="10"/>
      <c r="G1570" s="10"/>
      <c r="H1570" s="6" t="s">
        <v>931</v>
      </c>
      <c r="I1570" s="10"/>
      <c r="J1570" s="6" t="s">
        <v>539</v>
      </c>
      <c r="K1570" s="10"/>
      <c r="L1570" s="10"/>
      <c r="M1570" s="10"/>
      <c r="N1570" s="10"/>
      <c r="O1570" s="18">
        <v>40.0</v>
      </c>
      <c r="P1570" s="10"/>
      <c r="Q1570" s="17" t="b">
        <v>1</v>
      </c>
      <c r="R1570" s="10"/>
    </row>
    <row r="1571">
      <c r="A1571" s="18">
        <v>11530.0</v>
      </c>
      <c r="B1571" s="6" t="s">
        <v>35</v>
      </c>
      <c r="C1571" s="8">
        <v>45958.0</v>
      </c>
      <c r="D1571" s="6" t="s">
        <v>460</v>
      </c>
      <c r="E1571" s="10"/>
      <c r="F1571" s="10"/>
      <c r="G1571" s="10"/>
      <c r="H1571" s="6" t="s">
        <v>9853</v>
      </c>
      <c r="I1571" s="10"/>
      <c r="J1571" s="6" t="s">
        <v>539</v>
      </c>
      <c r="K1571" s="10"/>
      <c r="L1571" s="10"/>
      <c r="M1571" s="10"/>
      <c r="N1571" s="10"/>
      <c r="O1571" s="18">
        <v>200.0</v>
      </c>
      <c r="P1571" s="10"/>
      <c r="Q1571" s="17" t="b">
        <v>1</v>
      </c>
      <c r="R1571" s="10"/>
    </row>
    <row r="1572">
      <c r="A1572" s="18">
        <v>11531.0</v>
      </c>
      <c r="B1572" s="6" t="s">
        <v>35</v>
      </c>
      <c r="C1572" s="8">
        <v>45958.0</v>
      </c>
      <c r="D1572" s="6" t="s">
        <v>460</v>
      </c>
      <c r="E1572" s="10"/>
      <c r="F1572" s="10"/>
      <c r="G1572" s="10"/>
      <c r="H1572" s="6" t="s">
        <v>4972</v>
      </c>
      <c r="I1572" s="10"/>
      <c r="J1572" s="6" t="s">
        <v>539</v>
      </c>
      <c r="K1572" s="10"/>
      <c r="L1572" s="10"/>
      <c r="M1572" s="10"/>
      <c r="N1572" s="10"/>
      <c r="O1572" s="18">
        <v>22.0</v>
      </c>
      <c r="P1572" s="10"/>
      <c r="Q1572" s="17" t="b">
        <v>1</v>
      </c>
      <c r="R1572" s="10"/>
    </row>
    <row r="1573">
      <c r="A1573" s="18">
        <v>11532.0</v>
      </c>
      <c r="B1573" s="6" t="s">
        <v>35</v>
      </c>
      <c r="C1573" s="8">
        <v>45958.0</v>
      </c>
      <c r="D1573" s="6" t="s">
        <v>460</v>
      </c>
      <c r="E1573" s="10"/>
      <c r="F1573" s="10"/>
      <c r="G1573" s="10"/>
      <c r="H1573" s="6" t="s">
        <v>4979</v>
      </c>
      <c r="I1573" s="10"/>
      <c r="J1573" s="6" t="s">
        <v>539</v>
      </c>
      <c r="K1573" s="10"/>
      <c r="L1573" s="10"/>
      <c r="M1573" s="10"/>
      <c r="N1573" s="10"/>
      <c r="O1573" s="18">
        <v>10.0</v>
      </c>
      <c r="P1573" s="10"/>
      <c r="Q1573" s="17" t="b">
        <v>1</v>
      </c>
      <c r="R1573" s="10"/>
    </row>
    <row r="1574">
      <c r="A1574" s="18">
        <v>11533.0</v>
      </c>
      <c r="B1574" s="6" t="s">
        <v>35</v>
      </c>
      <c r="C1574" s="25"/>
      <c r="D1574" s="10"/>
      <c r="E1574" s="10"/>
      <c r="F1574" s="10"/>
      <c r="G1574" s="10"/>
      <c r="H1574" s="6" t="s">
        <v>8658</v>
      </c>
      <c r="I1574" s="10"/>
      <c r="J1574" s="6" t="s">
        <v>539</v>
      </c>
      <c r="K1574" s="6" t="s">
        <v>624</v>
      </c>
      <c r="L1574" s="10"/>
      <c r="M1574" s="10"/>
      <c r="N1574" s="10"/>
      <c r="O1574" s="18">
        <v>1.0</v>
      </c>
      <c r="P1574" s="10"/>
      <c r="Q1574" s="17" t="b">
        <v>1</v>
      </c>
      <c r="R1574" s="10"/>
    </row>
    <row r="1575">
      <c r="A1575" s="18">
        <v>11534.0</v>
      </c>
      <c r="B1575" s="6" t="s">
        <v>35</v>
      </c>
      <c r="C1575" s="25"/>
      <c r="D1575" s="10"/>
      <c r="E1575" s="10"/>
      <c r="F1575" s="10"/>
      <c r="G1575" s="10"/>
      <c r="H1575" s="6" t="s">
        <v>8658</v>
      </c>
      <c r="I1575" s="10"/>
      <c r="J1575" s="6" t="s">
        <v>539</v>
      </c>
      <c r="K1575" s="6" t="s">
        <v>2052</v>
      </c>
      <c r="L1575" s="10"/>
      <c r="M1575" s="10"/>
      <c r="N1575" s="10"/>
      <c r="O1575" s="18">
        <v>1.0</v>
      </c>
      <c r="P1575" s="10"/>
      <c r="Q1575" s="17" t="b">
        <v>1</v>
      </c>
      <c r="R1575" s="10"/>
    </row>
    <row r="1576">
      <c r="A1576" s="18">
        <v>11535.0</v>
      </c>
      <c r="B1576" s="6" t="s">
        <v>35</v>
      </c>
      <c r="C1576" s="25"/>
      <c r="D1576" s="10"/>
      <c r="E1576" s="10"/>
      <c r="F1576" s="10"/>
      <c r="G1576" s="10"/>
      <c r="H1576" s="6" t="s">
        <v>8658</v>
      </c>
      <c r="I1576" s="10"/>
      <c r="J1576" s="6" t="s">
        <v>539</v>
      </c>
      <c r="K1576" s="6" t="s">
        <v>227</v>
      </c>
      <c r="L1576" s="10"/>
      <c r="M1576" s="10"/>
      <c r="N1576" s="10"/>
      <c r="O1576" s="18">
        <v>1.0</v>
      </c>
      <c r="P1576" s="10"/>
      <c r="Q1576" s="17" t="b">
        <v>1</v>
      </c>
      <c r="R1576" s="10"/>
    </row>
    <row r="1577">
      <c r="A1577" s="18">
        <v>11536.0</v>
      </c>
      <c r="B1577" s="6" t="s">
        <v>35</v>
      </c>
      <c r="C1577" s="25"/>
      <c r="D1577" s="10"/>
      <c r="E1577" s="10"/>
      <c r="F1577" s="10"/>
      <c r="G1577" s="10"/>
      <c r="H1577" s="6" t="s">
        <v>8658</v>
      </c>
      <c r="I1577" s="10"/>
      <c r="J1577" s="6" t="s">
        <v>539</v>
      </c>
      <c r="K1577" s="6" t="s">
        <v>6062</v>
      </c>
      <c r="L1577" s="10"/>
      <c r="M1577" s="10"/>
      <c r="N1577" s="10"/>
      <c r="O1577" s="18">
        <v>1.0</v>
      </c>
      <c r="P1577" s="10"/>
      <c r="Q1577" s="17" t="b">
        <v>1</v>
      </c>
      <c r="R1577" s="10"/>
    </row>
    <row r="1578">
      <c r="A1578" s="18">
        <v>11537.0</v>
      </c>
      <c r="B1578" s="6" t="s">
        <v>35</v>
      </c>
      <c r="C1578" s="25"/>
      <c r="D1578" s="10"/>
      <c r="E1578" s="10"/>
      <c r="F1578" s="10"/>
      <c r="G1578" s="10"/>
      <c r="H1578" s="6" t="s">
        <v>8658</v>
      </c>
      <c r="I1578" s="10"/>
      <c r="J1578" s="6" t="s">
        <v>539</v>
      </c>
      <c r="K1578" s="6" t="s">
        <v>3795</v>
      </c>
      <c r="L1578" s="10"/>
      <c r="M1578" s="10"/>
      <c r="N1578" s="10"/>
      <c r="O1578" s="18">
        <v>1.0</v>
      </c>
      <c r="P1578" s="10"/>
      <c r="Q1578" s="17" t="b">
        <v>1</v>
      </c>
      <c r="R1578" s="10"/>
    </row>
    <row r="1579">
      <c r="A1579" s="6" t="s">
        <v>8454</v>
      </c>
      <c r="B1579" s="6" t="s">
        <v>35</v>
      </c>
      <c r="C1579" s="8">
        <v>45959.0</v>
      </c>
      <c r="D1579" s="10"/>
      <c r="E1579" s="10"/>
      <c r="F1579" s="10"/>
      <c r="G1579" s="10"/>
      <c r="H1579" s="6" t="s">
        <v>3676</v>
      </c>
      <c r="I1579" s="10"/>
      <c r="J1579" s="6" t="s">
        <v>539</v>
      </c>
      <c r="K1579" s="6" t="s">
        <v>227</v>
      </c>
      <c r="L1579" s="10"/>
      <c r="M1579" s="10"/>
      <c r="N1579" s="10"/>
      <c r="O1579" s="18">
        <v>500.0</v>
      </c>
      <c r="P1579" s="10"/>
      <c r="Q1579" s="17" t="b">
        <v>1</v>
      </c>
      <c r="R1579" s="10"/>
    </row>
    <row r="1580">
      <c r="A1580" s="6" t="s">
        <v>8457</v>
      </c>
      <c r="B1580" s="6" t="s">
        <v>35</v>
      </c>
      <c r="C1580" s="25"/>
      <c r="D1580" s="6" t="s">
        <v>890</v>
      </c>
      <c r="E1580" s="10"/>
      <c r="F1580" s="10"/>
      <c r="G1580" s="10"/>
      <c r="H1580" s="6" t="s">
        <v>9883</v>
      </c>
      <c r="I1580" s="10"/>
      <c r="J1580" s="6" t="s">
        <v>8596</v>
      </c>
      <c r="K1580" s="10"/>
      <c r="L1580" s="10"/>
      <c r="M1580" s="10"/>
      <c r="N1580" s="10"/>
      <c r="O1580" s="18">
        <v>3474.96</v>
      </c>
      <c r="P1580" s="10"/>
      <c r="Q1580" s="17" t="b">
        <v>1</v>
      </c>
      <c r="R1580" s="10"/>
    </row>
    <row r="1581">
      <c r="A1581" s="6" t="s">
        <v>8460</v>
      </c>
      <c r="B1581" s="6" t="s">
        <v>35</v>
      </c>
      <c r="C1581" s="25"/>
      <c r="D1581" s="6" t="s">
        <v>890</v>
      </c>
      <c r="E1581" s="10"/>
      <c r="F1581" s="10"/>
      <c r="G1581" s="10"/>
      <c r="H1581" s="6" t="s">
        <v>9888</v>
      </c>
      <c r="I1581" s="10"/>
      <c r="J1581" s="6" t="s">
        <v>8596</v>
      </c>
      <c r="K1581" s="10"/>
      <c r="L1581" s="10"/>
      <c r="M1581" s="10"/>
      <c r="N1581" s="10"/>
      <c r="O1581" s="18">
        <v>16284.86</v>
      </c>
      <c r="P1581" s="10"/>
      <c r="Q1581" s="17" t="b">
        <v>1</v>
      </c>
      <c r="R1581" s="10"/>
    </row>
    <row r="1582">
      <c r="A1582" s="6" t="s">
        <v>8462</v>
      </c>
      <c r="B1582" s="6" t="s">
        <v>35</v>
      </c>
      <c r="C1582" s="8">
        <v>45958.0</v>
      </c>
      <c r="D1582" s="6" t="s">
        <v>890</v>
      </c>
      <c r="E1582" s="6" t="s">
        <v>9891</v>
      </c>
      <c r="F1582" s="10"/>
      <c r="G1582" s="6" t="s">
        <v>9893</v>
      </c>
      <c r="H1582" s="6" t="s">
        <v>9894</v>
      </c>
      <c r="I1582" s="17" t="b">
        <v>0</v>
      </c>
      <c r="J1582" s="6" t="s">
        <v>546</v>
      </c>
      <c r="K1582" s="10"/>
      <c r="L1582" s="10"/>
      <c r="M1582" s="10"/>
      <c r="N1582" s="10"/>
      <c r="O1582" s="18">
        <v>46.13</v>
      </c>
      <c r="P1582" s="10"/>
      <c r="Q1582" s="17" t="b">
        <v>1</v>
      </c>
      <c r="R1582" s="10"/>
    </row>
    <row r="1583">
      <c r="A1583" s="6" t="s">
        <v>8465</v>
      </c>
      <c r="B1583" s="6" t="s">
        <v>35</v>
      </c>
      <c r="C1583" s="8">
        <v>45958.0</v>
      </c>
      <c r="D1583" s="6" t="s">
        <v>890</v>
      </c>
      <c r="E1583" s="6" t="s">
        <v>9898</v>
      </c>
      <c r="F1583" s="10"/>
      <c r="G1583" s="6" t="s">
        <v>9900</v>
      </c>
      <c r="H1583" s="6" t="s">
        <v>2894</v>
      </c>
      <c r="I1583" s="17" t="b">
        <v>0</v>
      </c>
      <c r="J1583" s="6" t="s">
        <v>546</v>
      </c>
      <c r="K1583" s="10"/>
      <c r="L1583" s="6" t="s">
        <v>9901</v>
      </c>
      <c r="M1583" s="10"/>
      <c r="N1583" s="10"/>
      <c r="O1583" s="18">
        <v>16284.86</v>
      </c>
      <c r="P1583" s="10"/>
      <c r="Q1583" s="17" t="b">
        <v>1</v>
      </c>
      <c r="R1583" s="10"/>
    </row>
    <row r="1584">
      <c r="A1584" s="6" t="s">
        <v>8471</v>
      </c>
      <c r="B1584" s="6" t="s">
        <v>35</v>
      </c>
      <c r="C1584" s="8">
        <v>45960.0</v>
      </c>
      <c r="D1584" s="6" t="s">
        <v>764</v>
      </c>
      <c r="E1584" s="6" t="s">
        <v>9903</v>
      </c>
      <c r="F1584" s="10"/>
      <c r="G1584" s="6" t="s">
        <v>9904</v>
      </c>
      <c r="H1584" s="6" t="s">
        <v>195</v>
      </c>
      <c r="I1584" s="17" t="b">
        <v>0</v>
      </c>
      <c r="J1584" s="6" t="s">
        <v>546</v>
      </c>
      <c r="K1584" s="10"/>
      <c r="L1584" s="10"/>
      <c r="M1584" s="10"/>
      <c r="N1584" s="10"/>
      <c r="O1584" s="18">
        <v>271.6</v>
      </c>
      <c r="P1584" s="10"/>
      <c r="Q1584" s="17" t="b">
        <v>1</v>
      </c>
      <c r="R1584" s="10"/>
    </row>
    <row r="1585">
      <c r="A1585" s="6" t="s">
        <v>8480</v>
      </c>
      <c r="B1585" s="6" t="s">
        <v>35</v>
      </c>
      <c r="C1585" s="8">
        <v>45960.0</v>
      </c>
      <c r="D1585" s="6" t="s">
        <v>3716</v>
      </c>
      <c r="E1585" s="6" t="s">
        <v>9907</v>
      </c>
      <c r="F1585" s="10"/>
      <c r="G1585" s="6" t="s">
        <v>9908</v>
      </c>
      <c r="H1585" s="6" t="s">
        <v>9909</v>
      </c>
      <c r="I1585" s="17" t="b">
        <v>1</v>
      </c>
      <c r="J1585" s="6" t="s">
        <v>546</v>
      </c>
      <c r="K1585" s="10"/>
      <c r="L1585" s="10"/>
      <c r="M1585" s="10"/>
      <c r="N1585" s="10"/>
      <c r="O1585" s="18">
        <v>241.4</v>
      </c>
      <c r="P1585" s="18">
        <v>1767540.0</v>
      </c>
      <c r="Q1585" s="17" t="b">
        <v>1</v>
      </c>
      <c r="R1585" s="10"/>
    </row>
    <row r="1586">
      <c r="A1586" s="6" t="s">
        <v>8485</v>
      </c>
      <c r="B1586" s="6" t="s">
        <v>35</v>
      </c>
      <c r="C1586" s="8">
        <v>45960.0</v>
      </c>
      <c r="D1586" s="6" t="s">
        <v>3716</v>
      </c>
      <c r="E1586" s="6" t="s">
        <v>9912</v>
      </c>
      <c r="F1586" s="10"/>
      <c r="G1586" s="6" t="s">
        <v>9913</v>
      </c>
      <c r="H1586" s="6" t="s">
        <v>9915</v>
      </c>
      <c r="I1586" s="17" t="b">
        <v>1</v>
      </c>
      <c r="J1586" s="6" t="s">
        <v>546</v>
      </c>
      <c r="K1586" s="10"/>
      <c r="L1586" s="10"/>
      <c r="M1586" s="10"/>
      <c r="N1586" s="10"/>
      <c r="O1586" s="18">
        <v>59.8</v>
      </c>
      <c r="P1586" s="18">
        <v>1767542.0</v>
      </c>
      <c r="Q1586" s="17" t="b">
        <v>1</v>
      </c>
      <c r="R1586" s="10"/>
    </row>
    <row r="1587">
      <c r="A1587" s="6" t="s">
        <v>8488</v>
      </c>
      <c r="B1587" s="6" t="s">
        <v>35</v>
      </c>
      <c r="C1587" s="8">
        <v>45926.0</v>
      </c>
      <c r="D1587" s="10"/>
      <c r="E1587" s="10"/>
      <c r="F1587" s="10"/>
      <c r="G1587" s="10"/>
      <c r="H1587" s="6" t="s">
        <v>3676</v>
      </c>
      <c r="I1587" s="10"/>
      <c r="J1587" s="6" t="s">
        <v>539</v>
      </c>
      <c r="K1587" s="6" t="s">
        <v>624</v>
      </c>
      <c r="L1587" s="10"/>
      <c r="M1587" s="10"/>
      <c r="N1587" s="10"/>
      <c r="O1587" s="18">
        <v>500.0</v>
      </c>
      <c r="P1587" s="10"/>
      <c r="Q1587" s="17" t="b">
        <v>1</v>
      </c>
      <c r="R1587" s="10"/>
    </row>
    <row r="1588">
      <c r="A1588" s="6" t="s">
        <v>8490</v>
      </c>
      <c r="B1588" s="6" t="s">
        <v>35</v>
      </c>
      <c r="C1588" s="8">
        <v>45926.0</v>
      </c>
      <c r="D1588" s="10"/>
      <c r="E1588" s="10"/>
      <c r="F1588" s="10"/>
      <c r="G1588" s="10"/>
      <c r="H1588" s="6" t="s">
        <v>3676</v>
      </c>
      <c r="I1588" s="10"/>
      <c r="J1588" s="6" t="s">
        <v>539</v>
      </c>
      <c r="K1588" s="6" t="s">
        <v>2052</v>
      </c>
      <c r="L1588" s="10"/>
      <c r="M1588" s="10"/>
      <c r="N1588" s="10"/>
      <c r="O1588" s="18">
        <v>500.0</v>
      </c>
      <c r="P1588" s="10"/>
      <c r="Q1588" s="17" t="b">
        <v>1</v>
      </c>
      <c r="R1588" s="10"/>
    </row>
    <row r="1589">
      <c r="A1589" s="6" t="s">
        <v>8494</v>
      </c>
      <c r="B1589" s="6" t="s">
        <v>35</v>
      </c>
      <c r="C1589" s="8">
        <v>45929.0</v>
      </c>
      <c r="D1589" s="10"/>
      <c r="E1589" s="10"/>
      <c r="F1589" s="10"/>
      <c r="G1589" s="10"/>
      <c r="H1589" s="6" t="s">
        <v>3676</v>
      </c>
      <c r="I1589" s="10"/>
      <c r="J1589" s="6" t="s">
        <v>539</v>
      </c>
      <c r="K1589" s="6" t="s">
        <v>3795</v>
      </c>
      <c r="L1589" s="10"/>
      <c r="M1589" s="10"/>
      <c r="N1589" s="10"/>
      <c r="O1589" s="18">
        <v>500.0</v>
      </c>
      <c r="P1589" s="10"/>
      <c r="Q1589" s="17" t="b">
        <v>1</v>
      </c>
      <c r="R1589" s="10"/>
    </row>
    <row r="1590">
      <c r="A1590" s="18">
        <v>11563.0</v>
      </c>
      <c r="B1590" s="6" t="s">
        <v>35</v>
      </c>
      <c r="C1590" s="25"/>
      <c r="D1590" s="6" t="s">
        <v>1036</v>
      </c>
      <c r="E1590" s="10"/>
      <c r="F1590" s="10"/>
      <c r="G1590" s="10"/>
      <c r="H1590" s="6" t="s">
        <v>9926</v>
      </c>
      <c r="I1590" s="10"/>
      <c r="J1590" s="6" t="s">
        <v>539</v>
      </c>
      <c r="K1590" s="10"/>
      <c r="L1590" s="10"/>
      <c r="M1590" s="10"/>
      <c r="N1590" s="10"/>
      <c r="O1590" s="18">
        <v>124.16</v>
      </c>
      <c r="P1590" s="10"/>
      <c r="Q1590" s="17" t="b">
        <v>1</v>
      </c>
      <c r="R1590" s="10"/>
    </row>
    <row r="1591">
      <c r="A1591" s="18">
        <v>11564.0</v>
      </c>
      <c r="B1591" s="6" t="s">
        <v>35</v>
      </c>
      <c r="C1591" s="25"/>
      <c r="D1591" s="6" t="s">
        <v>9929</v>
      </c>
      <c r="E1591" s="10"/>
      <c r="F1591" s="10"/>
      <c r="G1591" s="10"/>
      <c r="H1591" s="6" t="s">
        <v>9930</v>
      </c>
      <c r="I1591" s="10"/>
      <c r="J1591" s="6" t="s">
        <v>539</v>
      </c>
      <c r="K1591" s="10"/>
      <c r="L1591" s="10"/>
      <c r="M1591" s="10"/>
      <c r="N1591" s="10"/>
      <c r="O1591" s="18">
        <v>8930.0</v>
      </c>
      <c r="P1591" s="10"/>
      <c r="Q1591" s="17" t="b">
        <v>1</v>
      </c>
      <c r="R1591" s="10"/>
    </row>
    <row r="1592">
      <c r="A1592" s="18">
        <v>11565.0</v>
      </c>
      <c r="B1592" s="6" t="s">
        <v>35</v>
      </c>
      <c r="C1592" s="25"/>
      <c r="D1592" s="6" t="s">
        <v>3516</v>
      </c>
      <c r="E1592" s="10"/>
      <c r="F1592" s="10"/>
      <c r="G1592" s="10"/>
      <c r="H1592" s="6" t="s">
        <v>9933</v>
      </c>
      <c r="I1592" s="10"/>
      <c r="J1592" s="6" t="s">
        <v>539</v>
      </c>
      <c r="K1592" s="10"/>
      <c r="L1592" s="10"/>
      <c r="M1592" s="10"/>
      <c r="N1592" s="10"/>
      <c r="O1592" s="18">
        <v>550.0</v>
      </c>
      <c r="P1592" s="10"/>
      <c r="Q1592" s="17" t="b">
        <v>1</v>
      </c>
      <c r="R1592" s="10"/>
    </row>
    <row r="1593">
      <c r="A1593" s="18">
        <v>11566.0</v>
      </c>
      <c r="B1593" s="6" t="s">
        <v>35</v>
      </c>
      <c r="C1593" s="25"/>
      <c r="D1593" s="6" t="s">
        <v>2439</v>
      </c>
      <c r="E1593" s="10"/>
      <c r="F1593" s="10"/>
      <c r="G1593" s="10"/>
      <c r="H1593" s="6" t="s">
        <v>5136</v>
      </c>
      <c r="I1593" s="10"/>
      <c r="J1593" s="6" t="s">
        <v>539</v>
      </c>
      <c r="K1593" s="10"/>
      <c r="L1593" s="10"/>
      <c r="M1593" s="10"/>
      <c r="N1593" s="10"/>
      <c r="O1593" s="18">
        <v>0.0</v>
      </c>
      <c r="P1593" s="10"/>
      <c r="Q1593" s="17" t="b">
        <v>1</v>
      </c>
      <c r="R1593" s="10"/>
    </row>
    <row r="1594">
      <c r="A1594" s="18">
        <v>11567.0</v>
      </c>
      <c r="B1594" s="6" t="s">
        <v>35</v>
      </c>
      <c r="C1594" s="25"/>
      <c r="D1594" s="6" t="s">
        <v>1557</v>
      </c>
      <c r="E1594" s="10"/>
      <c r="F1594" s="10"/>
      <c r="G1594" s="10"/>
      <c r="H1594" s="6" t="s">
        <v>8658</v>
      </c>
      <c r="I1594" s="10"/>
      <c r="J1594" s="6" t="s">
        <v>539</v>
      </c>
      <c r="K1594" s="10"/>
      <c r="L1594" s="10"/>
      <c r="M1594" s="10"/>
      <c r="N1594" s="10"/>
      <c r="O1594" s="18">
        <v>110.0</v>
      </c>
      <c r="P1594" s="10"/>
      <c r="Q1594" s="17" t="b">
        <v>1</v>
      </c>
      <c r="R1594" s="10"/>
    </row>
    <row r="1595">
      <c r="A1595" s="6" t="s">
        <v>8508</v>
      </c>
      <c r="B1595" s="6" t="s">
        <v>35</v>
      </c>
      <c r="C1595" s="25"/>
      <c r="D1595" s="6" t="s">
        <v>9260</v>
      </c>
      <c r="E1595" s="10"/>
      <c r="F1595" s="10"/>
      <c r="G1595" s="10"/>
      <c r="H1595" s="6" t="s">
        <v>9941</v>
      </c>
      <c r="I1595" s="10"/>
      <c r="J1595" s="6" t="s">
        <v>8596</v>
      </c>
      <c r="K1595" s="10"/>
      <c r="L1595" s="10"/>
      <c r="M1595" s="10"/>
      <c r="N1595" s="10"/>
      <c r="O1595" s="18">
        <v>10.0</v>
      </c>
      <c r="P1595" s="10"/>
      <c r="Q1595" s="17" t="b">
        <v>1</v>
      </c>
      <c r="R1595" s="10"/>
    </row>
    <row r="1596">
      <c r="A1596" s="6" t="s">
        <v>8512</v>
      </c>
      <c r="B1596" s="6" t="s">
        <v>35</v>
      </c>
      <c r="C1596" s="25"/>
      <c r="D1596" s="6" t="s">
        <v>890</v>
      </c>
      <c r="E1596" s="10"/>
      <c r="F1596" s="10"/>
      <c r="G1596" s="10"/>
      <c r="H1596" s="6" t="s">
        <v>9946</v>
      </c>
      <c r="I1596" s="10"/>
      <c r="J1596" s="6" t="s">
        <v>8596</v>
      </c>
      <c r="K1596" s="10"/>
      <c r="L1596" s="10"/>
      <c r="M1596" s="10"/>
      <c r="N1596" s="10"/>
      <c r="O1596" s="18">
        <v>1202.77</v>
      </c>
      <c r="P1596" s="10"/>
      <c r="Q1596" s="17" t="b">
        <v>1</v>
      </c>
      <c r="R1596" s="10"/>
    </row>
    <row r="1597">
      <c r="A1597" s="6" t="s">
        <v>8514</v>
      </c>
      <c r="B1597" s="6" t="s">
        <v>35</v>
      </c>
      <c r="C1597" s="25"/>
      <c r="D1597" s="6" t="s">
        <v>9260</v>
      </c>
      <c r="E1597" s="10"/>
      <c r="F1597" s="10"/>
      <c r="G1597" s="10"/>
      <c r="H1597" s="6" t="s">
        <v>9949</v>
      </c>
      <c r="I1597" s="10"/>
      <c r="J1597" s="6" t="s">
        <v>8596</v>
      </c>
      <c r="K1597" s="10"/>
      <c r="L1597" s="10"/>
      <c r="M1597" s="10"/>
      <c r="N1597" s="10"/>
      <c r="O1597" s="18">
        <v>120.62</v>
      </c>
      <c r="P1597" s="10"/>
      <c r="Q1597" s="17" t="b">
        <v>1</v>
      </c>
      <c r="R1597" s="10"/>
    </row>
    <row r="1598">
      <c r="A1598" s="6" t="s">
        <v>8518</v>
      </c>
      <c r="B1598" s="6" t="s">
        <v>35</v>
      </c>
      <c r="C1598" s="8">
        <v>45959.0</v>
      </c>
      <c r="D1598" s="6" t="s">
        <v>890</v>
      </c>
      <c r="E1598" s="6" t="s">
        <v>9953</v>
      </c>
      <c r="F1598" s="10"/>
      <c r="G1598" s="6" t="s">
        <v>9954</v>
      </c>
      <c r="H1598" s="6" t="s">
        <v>9956</v>
      </c>
      <c r="I1598" s="17" t="b">
        <v>0</v>
      </c>
      <c r="J1598" s="6" t="s">
        <v>546</v>
      </c>
      <c r="K1598" s="10"/>
      <c r="L1598" s="10"/>
      <c r="M1598" s="10"/>
      <c r="N1598" s="10"/>
      <c r="O1598" s="18">
        <v>556.21</v>
      </c>
      <c r="P1598" s="10"/>
      <c r="Q1598" s="17" t="b">
        <v>1</v>
      </c>
      <c r="R1598" s="10"/>
    </row>
    <row r="1599">
      <c r="A1599" s="6" t="s">
        <v>8520</v>
      </c>
      <c r="B1599" s="6" t="s">
        <v>35</v>
      </c>
      <c r="C1599" s="8">
        <v>45959.0</v>
      </c>
      <c r="D1599" s="6" t="s">
        <v>890</v>
      </c>
      <c r="E1599" s="6" t="s">
        <v>9959</v>
      </c>
      <c r="F1599" s="10"/>
      <c r="G1599" s="6" t="s">
        <v>9960</v>
      </c>
      <c r="H1599" s="6" t="s">
        <v>1511</v>
      </c>
      <c r="I1599" s="17" t="b">
        <v>0</v>
      </c>
      <c r="J1599" s="6" t="s">
        <v>546</v>
      </c>
      <c r="K1599" s="10"/>
      <c r="L1599" s="6" t="s">
        <v>9963</v>
      </c>
      <c r="M1599" s="10"/>
      <c r="N1599" s="10"/>
      <c r="O1599" s="18">
        <v>5546.29</v>
      </c>
      <c r="P1599" s="10"/>
      <c r="Q1599" s="17" t="b">
        <v>1</v>
      </c>
      <c r="R1599" s="10"/>
    </row>
    <row r="1600">
      <c r="A1600" s="6" t="s">
        <v>8522</v>
      </c>
      <c r="B1600" s="6" t="s">
        <v>35</v>
      </c>
      <c r="C1600" s="8">
        <v>45961.0</v>
      </c>
      <c r="D1600" s="6" t="s">
        <v>112</v>
      </c>
      <c r="E1600" s="6" t="s">
        <v>9965</v>
      </c>
      <c r="F1600" s="10"/>
      <c r="G1600" s="6" t="s">
        <v>9967</v>
      </c>
      <c r="H1600" s="6" t="s">
        <v>157</v>
      </c>
      <c r="I1600" s="17" t="b">
        <v>0</v>
      </c>
      <c r="J1600" s="6" t="s">
        <v>546</v>
      </c>
      <c r="K1600" s="10"/>
      <c r="L1600" s="10"/>
      <c r="M1600" s="10"/>
      <c r="N1600" s="10"/>
      <c r="O1600" s="18">
        <v>426.63</v>
      </c>
      <c r="P1600" s="10"/>
      <c r="Q1600" s="17" t="b">
        <v>1</v>
      </c>
      <c r="R1600" s="10"/>
    </row>
    <row r="1601">
      <c r="A1601" s="6" t="s">
        <v>8530</v>
      </c>
      <c r="B1601" s="6" t="s">
        <v>35</v>
      </c>
      <c r="C1601" s="8">
        <v>45961.0</v>
      </c>
      <c r="D1601" s="18">
        <v>8.627274E7</v>
      </c>
      <c r="E1601" s="6" t="s">
        <v>9970</v>
      </c>
      <c r="F1601" s="10"/>
      <c r="G1601" s="6" t="s">
        <v>9972</v>
      </c>
      <c r="H1601" s="6" t="s">
        <v>236</v>
      </c>
      <c r="I1601" s="17" t="b">
        <v>1</v>
      </c>
      <c r="J1601" s="6" t="s">
        <v>546</v>
      </c>
      <c r="K1601" s="10"/>
      <c r="L1601" s="10"/>
      <c r="M1601" s="10"/>
      <c r="N1601" s="10"/>
      <c r="O1601" s="18">
        <v>153.31</v>
      </c>
      <c r="P1601" s="18">
        <v>1768857.0</v>
      </c>
      <c r="Q1601" s="17" t="b">
        <v>1</v>
      </c>
      <c r="R1601" s="10"/>
    </row>
    <row r="1602">
      <c r="A1602" s="6" t="s">
        <v>8533</v>
      </c>
      <c r="B1602" s="6" t="s">
        <v>35</v>
      </c>
      <c r="C1602" s="8">
        <v>45961.0</v>
      </c>
      <c r="D1602" s="6" t="s">
        <v>286</v>
      </c>
      <c r="E1602" s="6" t="s">
        <v>9977</v>
      </c>
      <c r="F1602" s="10"/>
      <c r="G1602" s="6" t="s">
        <v>9978</v>
      </c>
      <c r="H1602" s="6" t="s">
        <v>9979</v>
      </c>
      <c r="I1602" s="17" t="b">
        <v>1</v>
      </c>
      <c r="J1602" s="6" t="s">
        <v>546</v>
      </c>
      <c r="K1602" s="10"/>
      <c r="L1602" s="10"/>
      <c r="M1602" s="10"/>
      <c r="N1602" s="10"/>
      <c r="O1602" s="18">
        <v>8.0</v>
      </c>
      <c r="P1602" s="18">
        <v>1768855.0</v>
      </c>
      <c r="Q1602" s="17" t="b">
        <v>1</v>
      </c>
      <c r="R1602" s="10"/>
    </row>
    <row r="1603">
      <c r="A1603" s="6" t="s">
        <v>8537</v>
      </c>
      <c r="B1603" s="6" t="s">
        <v>35</v>
      </c>
      <c r="C1603" s="8">
        <v>45961.0</v>
      </c>
      <c r="D1603" s="18">
        <v>2.6065919E7</v>
      </c>
      <c r="E1603" s="6" t="s">
        <v>9984</v>
      </c>
      <c r="F1603" s="10"/>
      <c r="G1603" s="6" t="s">
        <v>9986</v>
      </c>
      <c r="H1603" s="6" t="s">
        <v>5885</v>
      </c>
      <c r="I1603" s="17" t="b">
        <v>1</v>
      </c>
      <c r="J1603" s="6" t="s">
        <v>546</v>
      </c>
      <c r="K1603" s="10"/>
      <c r="L1603" s="10"/>
      <c r="M1603" s="10"/>
      <c r="N1603" s="10"/>
      <c r="O1603" s="18">
        <v>140.0</v>
      </c>
      <c r="P1603" s="18">
        <v>1768903.0</v>
      </c>
      <c r="Q1603" s="17" t="b">
        <v>1</v>
      </c>
      <c r="R1603" s="10"/>
    </row>
    <row r="1604">
      <c r="A1604" s="6" t="s">
        <v>8540</v>
      </c>
      <c r="B1604" s="6" t="s">
        <v>35</v>
      </c>
      <c r="C1604" s="8">
        <v>45960.0</v>
      </c>
      <c r="D1604" s="6" t="s">
        <v>9989</v>
      </c>
      <c r="E1604" s="6" t="s">
        <v>9990</v>
      </c>
      <c r="F1604" s="10"/>
      <c r="G1604" s="6" t="s">
        <v>9991</v>
      </c>
      <c r="H1604" s="6" t="s">
        <v>9993</v>
      </c>
      <c r="I1604" s="17" t="b">
        <v>1</v>
      </c>
      <c r="J1604" s="6" t="s">
        <v>546</v>
      </c>
      <c r="K1604" s="10"/>
      <c r="L1604" s="10"/>
      <c r="M1604" s="10"/>
      <c r="N1604" s="10"/>
      <c r="O1604" s="18">
        <v>30.0</v>
      </c>
      <c r="P1604" s="18">
        <v>1768073.0</v>
      </c>
      <c r="Q1604" s="17" t="b">
        <v>1</v>
      </c>
      <c r="R1604" s="10"/>
    </row>
    <row r="1605">
      <c r="A1605" s="6" t="s">
        <v>8542</v>
      </c>
      <c r="B1605" s="6" t="s">
        <v>35</v>
      </c>
      <c r="C1605" s="8">
        <v>45962.0</v>
      </c>
      <c r="D1605" s="6" t="s">
        <v>112</v>
      </c>
      <c r="E1605" s="6" t="s">
        <v>9996</v>
      </c>
      <c r="F1605" s="10"/>
      <c r="G1605" s="6" t="s">
        <v>9997</v>
      </c>
      <c r="H1605" s="6" t="s">
        <v>157</v>
      </c>
      <c r="I1605" s="17" t="b">
        <v>0</v>
      </c>
      <c r="J1605" s="6" t="s">
        <v>546</v>
      </c>
      <c r="K1605" s="10"/>
      <c r="L1605" s="10"/>
      <c r="M1605" s="10"/>
      <c r="N1605" s="10"/>
      <c r="O1605" s="18">
        <v>78.9</v>
      </c>
      <c r="P1605" s="10"/>
      <c r="Q1605" s="17" t="b">
        <v>1</v>
      </c>
      <c r="R1605" s="10"/>
    </row>
    <row r="1606">
      <c r="A1606" s="6" t="s">
        <v>8549</v>
      </c>
      <c r="B1606" s="6" t="s">
        <v>35</v>
      </c>
      <c r="C1606" s="8">
        <v>45960.0</v>
      </c>
      <c r="D1606" s="6" t="s">
        <v>543</v>
      </c>
      <c r="E1606" s="6" t="s">
        <v>9999</v>
      </c>
      <c r="F1606" s="10"/>
      <c r="G1606" s="6" t="s">
        <v>10001</v>
      </c>
      <c r="H1606" s="6" t="s">
        <v>171</v>
      </c>
      <c r="I1606" s="17" t="b">
        <v>0</v>
      </c>
      <c r="J1606" s="6" t="s">
        <v>546</v>
      </c>
      <c r="K1606" s="10"/>
      <c r="L1606" s="10"/>
      <c r="M1606" s="10"/>
      <c r="N1606" s="10"/>
      <c r="O1606" s="18">
        <v>275.0</v>
      </c>
      <c r="P1606" s="10"/>
      <c r="Q1606" s="17" t="b">
        <v>1</v>
      </c>
      <c r="R1606" s="10"/>
    </row>
    <row r="1607">
      <c r="A1607" s="18">
        <v>11573.0</v>
      </c>
      <c r="B1607" s="10"/>
      <c r="C1607" s="25"/>
      <c r="D1607" s="6" t="s">
        <v>7740</v>
      </c>
      <c r="E1607" s="10"/>
      <c r="F1607" s="10"/>
      <c r="G1607" s="10"/>
      <c r="H1607" s="6" t="s">
        <v>5136</v>
      </c>
      <c r="I1607" s="10"/>
      <c r="J1607" s="10"/>
      <c r="K1607" s="10"/>
      <c r="L1607" s="10"/>
      <c r="M1607" s="10"/>
      <c r="N1607" s="10"/>
      <c r="O1607" s="18">
        <v>1.0</v>
      </c>
      <c r="P1607" s="10"/>
      <c r="Q1607" s="17" t="b">
        <v>1</v>
      </c>
      <c r="R1607" s="10"/>
    </row>
    <row r="1608">
      <c r="A1608" s="6" t="s">
        <v>8553</v>
      </c>
      <c r="B1608" s="6" t="s">
        <v>35</v>
      </c>
      <c r="C1608" s="8">
        <v>45962.0</v>
      </c>
      <c r="D1608" s="6" t="s">
        <v>543</v>
      </c>
      <c r="E1608" s="6" t="s">
        <v>10006</v>
      </c>
      <c r="F1608" s="10"/>
      <c r="G1608" s="6" t="s">
        <v>10007</v>
      </c>
      <c r="H1608" s="6" t="s">
        <v>171</v>
      </c>
      <c r="I1608" s="17" t="b">
        <v>0</v>
      </c>
      <c r="J1608" s="6" t="s">
        <v>546</v>
      </c>
      <c r="K1608" s="10"/>
      <c r="L1608" s="10"/>
      <c r="M1608" s="10"/>
      <c r="N1608" s="10"/>
      <c r="O1608" s="18">
        <v>250.0</v>
      </c>
      <c r="P1608" s="10"/>
      <c r="Q1608" s="17" t="b">
        <v>1</v>
      </c>
      <c r="R1608" s="10"/>
    </row>
    <row r="1609">
      <c r="A1609" s="6" t="s">
        <v>8555</v>
      </c>
      <c r="B1609" s="6" t="s">
        <v>35</v>
      </c>
      <c r="C1609" s="8">
        <v>45960.0</v>
      </c>
      <c r="D1609" s="6" t="s">
        <v>10009</v>
      </c>
      <c r="E1609" s="6" t="s">
        <v>10011</v>
      </c>
      <c r="F1609" s="10"/>
      <c r="G1609" s="6" t="s">
        <v>10012</v>
      </c>
      <c r="H1609" s="6" t="s">
        <v>6914</v>
      </c>
      <c r="I1609" s="17" t="b">
        <v>1</v>
      </c>
      <c r="J1609" s="6" t="s">
        <v>546</v>
      </c>
      <c r="K1609" s="10"/>
      <c r="L1609" s="10"/>
      <c r="M1609" s="10"/>
      <c r="N1609" s="10"/>
      <c r="O1609" s="18">
        <v>20.0</v>
      </c>
      <c r="P1609" s="18">
        <v>1768066.0</v>
      </c>
      <c r="Q1609" s="17" t="b">
        <v>1</v>
      </c>
      <c r="R1609" s="10"/>
    </row>
    <row r="1610">
      <c r="A1610" s="6" t="s">
        <v>8557</v>
      </c>
      <c r="B1610" s="6" t="s">
        <v>35</v>
      </c>
      <c r="C1610" s="8">
        <v>45961.0</v>
      </c>
      <c r="D1610" s="6" t="s">
        <v>9989</v>
      </c>
      <c r="E1610" s="6" t="s">
        <v>10015</v>
      </c>
      <c r="F1610" s="10"/>
      <c r="G1610" s="6" t="s">
        <v>10016</v>
      </c>
      <c r="H1610" s="6" t="s">
        <v>6914</v>
      </c>
      <c r="I1610" s="17" t="b">
        <v>1</v>
      </c>
      <c r="J1610" s="6" t="s">
        <v>546</v>
      </c>
      <c r="K1610" s="10"/>
      <c r="L1610" s="10"/>
      <c r="M1610" s="10"/>
      <c r="N1610" s="10"/>
      <c r="O1610" s="18">
        <v>100.0</v>
      </c>
      <c r="P1610" s="18">
        <v>1769559.0</v>
      </c>
      <c r="Q1610" s="17" t="b">
        <v>1</v>
      </c>
      <c r="R1610" s="10"/>
    </row>
    <row r="1611">
      <c r="A1611" s="6" t="s">
        <v>8559</v>
      </c>
      <c r="B1611" s="6" t="s">
        <v>35</v>
      </c>
      <c r="C1611" s="8">
        <v>45961.0</v>
      </c>
      <c r="D1611" s="6" t="s">
        <v>10009</v>
      </c>
      <c r="E1611" s="6" t="s">
        <v>10019</v>
      </c>
      <c r="F1611" s="10"/>
      <c r="G1611" s="6" t="s">
        <v>10020</v>
      </c>
      <c r="H1611" s="6" t="s">
        <v>6914</v>
      </c>
      <c r="I1611" s="17" t="b">
        <v>1</v>
      </c>
      <c r="J1611" s="6" t="s">
        <v>546</v>
      </c>
      <c r="K1611" s="10"/>
      <c r="L1611" s="10"/>
      <c r="M1611" s="10"/>
      <c r="N1611" s="10"/>
      <c r="O1611" s="18">
        <v>12.0</v>
      </c>
      <c r="P1611" s="18">
        <v>1769629.0</v>
      </c>
      <c r="Q1611" s="17" t="b">
        <v>1</v>
      </c>
      <c r="R1611" s="10"/>
    </row>
    <row r="1612">
      <c r="A1612" s="6" t="s">
        <v>8561</v>
      </c>
      <c r="B1612" s="6" t="s">
        <v>35</v>
      </c>
      <c r="C1612" s="8">
        <v>45962.0</v>
      </c>
      <c r="D1612" s="6" t="s">
        <v>9989</v>
      </c>
      <c r="E1612" s="6" t="s">
        <v>10023</v>
      </c>
      <c r="F1612" s="10"/>
      <c r="G1612" s="6" t="s">
        <v>10024</v>
      </c>
      <c r="H1612" s="6" t="s">
        <v>6914</v>
      </c>
      <c r="I1612" s="17" t="b">
        <v>1</v>
      </c>
      <c r="J1612" s="6" t="s">
        <v>546</v>
      </c>
      <c r="K1612" s="10"/>
      <c r="L1612" s="10"/>
      <c r="M1612" s="10"/>
      <c r="N1612" s="10"/>
      <c r="O1612" s="18">
        <v>75.0</v>
      </c>
      <c r="P1612" s="18">
        <v>1771253.0</v>
      </c>
      <c r="Q1612" s="17" t="b">
        <v>1</v>
      </c>
      <c r="R1612" s="10"/>
    </row>
    <row r="1613">
      <c r="A1613" s="6" t="s">
        <v>8563</v>
      </c>
      <c r="B1613" s="6" t="s">
        <v>35</v>
      </c>
      <c r="C1613" s="8">
        <v>45962.0</v>
      </c>
      <c r="D1613" s="6" t="s">
        <v>10009</v>
      </c>
      <c r="E1613" s="6" t="s">
        <v>10026</v>
      </c>
      <c r="F1613" s="10"/>
      <c r="G1613" s="6" t="s">
        <v>10027</v>
      </c>
      <c r="H1613" s="6" t="s">
        <v>6914</v>
      </c>
      <c r="I1613" s="17" t="b">
        <v>1</v>
      </c>
      <c r="J1613" s="6" t="s">
        <v>546</v>
      </c>
      <c r="K1613" s="10"/>
      <c r="L1613" s="10"/>
      <c r="M1613" s="10"/>
      <c r="N1613" s="10"/>
      <c r="O1613" s="18">
        <v>54.0</v>
      </c>
      <c r="P1613" s="18">
        <v>1771849.0</v>
      </c>
      <c r="Q1613" s="17" t="b">
        <v>1</v>
      </c>
      <c r="R1613" s="10"/>
    </row>
    <row r="1614">
      <c r="A1614" s="6" t="s">
        <v>8565</v>
      </c>
      <c r="B1614" s="6" t="s">
        <v>35</v>
      </c>
      <c r="C1614" s="8">
        <v>45963.0</v>
      </c>
      <c r="D1614" s="6" t="s">
        <v>9989</v>
      </c>
      <c r="E1614" s="6" t="s">
        <v>10029</v>
      </c>
      <c r="F1614" s="10"/>
      <c r="G1614" s="6" t="s">
        <v>10031</v>
      </c>
      <c r="H1614" s="6" t="s">
        <v>6914</v>
      </c>
      <c r="I1614" s="17" t="b">
        <v>1</v>
      </c>
      <c r="J1614" s="6" t="s">
        <v>546</v>
      </c>
      <c r="K1614" s="10"/>
      <c r="L1614" s="10"/>
      <c r="M1614" s="10"/>
      <c r="N1614" s="10"/>
      <c r="O1614" s="18">
        <v>353.0</v>
      </c>
      <c r="P1614" s="18">
        <v>1774139.0</v>
      </c>
      <c r="Q1614" s="17" t="b">
        <v>1</v>
      </c>
      <c r="R1614" s="10"/>
    </row>
    <row r="1615">
      <c r="A1615" s="6" t="s">
        <v>8567</v>
      </c>
      <c r="B1615" s="6" t="s">
        <v>35</v>
      </c>
      <c r="C1615" s="8">
        <v>45962.0</v>
      </c>
      <c r="D1615" s="6" t="s">
        <v>10033</v>
      </c>
      <c r="E1615" s="6" t="s">
        <v>10034</v>
      </c>
      <c r="F1615" s="10"/>
      <c r="G1615" s="6" t="s">
        <v>10035</v>
      </c>
      <c r="H1615" s="6" t="s">
        <v>10036</v>
      </c>
      <c r="I1615" s="17" t="b">
        <v>1</v>
      </c>
      <c r="J1615" s="6" t="s">
        <v>546</v>
      </c>
      <c r="K1615" s="10"/>
      <c r="L1615" s="10"/>
      <c r="M1615" s="10"/>
      <c r="N1615" s="10"/>
      <c r="O1615" s="18">
        <v>130.0</v>
      </c>
      <c r="P1615" s="18">
        <v>1771564.0</v>
      </c>
      <c r="Q1615" s="17" t="b">
        <v>1</v>
      </c>
      <c r="R1615" s="10"/>
    </row>
    <row r="1616">
      <c r="A1616" s="6" t="s">
        <v>8569</v>
      </c>
      <c r="B1616" s="6" t="s">
        <v>35</v>
      </c>
      <c r="C1616" s="8">
        <v>45962.0</v>
      </c>
      <c r="D1616" s="6" t="s">
        <v>10038</v>
      </c>
      <c r="E1616" s="6" t="s">
        <v>10039</v>
      </c>
      <c r="F1616" s="10"/>
      <c r="G1616" s="6" t="s">
        <v>10040</v>
      </c>
      <c r="H1616" s="6" t="s">
        <v>10036</v>
      </c>
      <c r="I1616" s="17" t="b">
        <v>1</v>
      </c>
      <c r="J1616" s="6" t="s">
        <v>546</v>
      </c>
      <c r="K1616" s="10"/>
      <c r="L1616" s="10"/>
      <c r="M1616" s="10"/>
      <c r="N1616" s="10"/>
      <c r="O1616" s="18">
        <v>130.0</v>
      </c>
      <c r="P1616" s="18">
        <v>1771563.0</v>
      </c>
      <c r="Q1616" s="17" t="b">
        <v>1</v>
      </c>
      <c r="R1616" s="10"/>
    </row>
    <row r="1617">
      <c r="A1617" s="6" t="s">
        <v>8571</v>
      </c>
      <c r="B1617" s="6" t="s">
        <v>35</v>
      </c>
      <c r="C1617" s="8">
        <v>45962.0</v>
      </c>
      <c r="D1617" s="6" t="s">
        <v>10042</v>
      </c>
      <c r="E1617" s="6" t="s">
        <v>10043</v>
      </c>
      <c r="F1617" s="10"/>
      <c r="G1617" s="6" t="s">
        <v>10045</v>
      </c>
      <c r="H1617" s="6" t="s">
        <v>10036</v>
      </c>
      <c r="I1617" s="17" t="b">
        <v>1</v>
      </c>
      <c r="J1617" s="6" t="s">
        <v>546</v>
      </c>
      <c r="K1617" s="10"/>
      <c r="L1617" s="10"/>
      <c r="M1617" s="10"/>
      <c r="N1617" s="10"/>
      <c r="O1617" s="18">
        <v>130.0</v>
      </c>
      <c r="P1617" s="18">
        <v>1771505.0</v>
      </c>
      <c r="Q1617" s="17" t="b">
        <v>1</v>
      </c>
      <c r="R1617" s="10"/>
    </row>
    <row r="1618">
      <c r="A1618" s="6" t="s">
        <v>8574</v>
      </c>
      <c r="B1618" s="6" t="s">
        <v>35</v>
      </c>
      <c r="C1618" s="8">
        <v>45962.0</v>
      </c>
      <c r="D1618" s="6" t="s">
        <v>10047</v>
      </c>
      <c r="E1618" s="6" t="s">
        <v>10048</v>
      </c>
      <c r="F1618" s="10"/>
      <c r="G1618" s="6" t="s">
        <v>10049</v>
      </c>
      <c r="H1618" s="6" t="s">
        <v>10036</v>
      </c>
      <c r="I1618" s="17" t="b">
        <v>1</v>
      </c>
      <c r="J1618" s="6" t="s">
        <v>546</v>
      </c>
      <c r="K1618" s="10"/>
      <c r="L1618" s="10"/>
      <c r="M1618" s="10"/>
      <c r="N1618" s="10"/>
      <c r="O1618" s="18">
        <v>100.0</v>
      </c>
      <c r="P1618" s="18">
        <v>1771560.0</v>
      </c>
      <c r="Q1618" s="17" t="b">
        <v>1</v>
      </c>
      <c r="R1618" s="10"/>
    </row>
    <row r="1619">
      <c r="A1619" s="6" t="s">
        <v>8577</v>
      </c>
      <c r="B1619" s="6" t="s">
        <v>35</v>
      </c>
      <c r="C1619" s="8">
        <v>45963.0</v>
      </c>
      <c r="D1619" s="6" t="s">
        <v>10042</v>
      </c>
      <c r="E1619" s="6" t="s">
        <v>10051</v>
      </c>
      <c r="F1619" s="10"/>
      <c r="G1619" s="6" t="s">
        <v>10052</v>
      </c>
      <c r="H1619" s="6" t="s">
        <v>10036</v>
      </c>
      <c r="I1619" s="17" t="b">
        <v>1</v>
      </c>
      <c r="J1619" s="6" t="s">
        <v>546</v>
      </c>
      <c r="K1619" s="10"/>
      <c r="L1619" s="10"/>
      <c r="M1619" s="10"/>
      <c r="N1619" s="10"/>
      <c r="O1619" s="18">
        <v>130.0</v>
      </c>
      <c r="P1619" s="18">
        <v>1773976.0</v>
      </c>
      <c r="Q1619" s="17" t="b">
        <v>1</v>
      </c>
      <c r="R1619" s="10"/>
    </row>
    <row r="1620">
      <c r="A1620" s="6" t="s">
        <v>8579</v>
      </c>
      <c r="B1620" s="6" t="s">
        <v>35</v>
      </c>
      <c r="C1620" s="8">
        <v>45963.0</v>
      </c>
      <c r="D1620" s="6" t="s">
        <v>10033</v>
      </c>
      <c r="E1620" s="6" t="s">
        <v>10055</v>
      </c>
      <c r="F1620" s="10"/>
      <c r="G1620" s="6" t="s">
        <v>10056</v>
      </c>
      <c r="H1620" s="6" t="s">
        <v>10036</v>
      </c>
      <c r="I1620" s="17" t="b">
        <v>1</v>
      </c>
      <c r="J1620" s="6" t="s">
        <v>546</v>
      </c>
      <c r="K1620" s="10"/>
      <c r="L1620" s="10"/>
      <c r="M1620" s="10"/>
      <c r="N1620" s="10"/>
      <c r="O1620" s="18">
        <v>130.0</v>
      </c>
      <c r="P1620" s="18">
        <v>1773973.0</v>
      </c>
      <c r="Q1620" s="17" t="b">
        <v>1</v>
      </c>
      <c r="R1620" s="10"/>
    </row>
    <row r="1621">
      <c r="A1621" s="6" t="s">
        <v>8581</v>
      </c>
      <c r="B1621" s="6" t="s">
        <v>35</v>
      </c>
      <c r="C1621" s="8">
        <v>45931.0</v>
      </c>
      <c r="D1621" s="6" t="s">
        <v>7740</v>
      </c>
      <c r="E1621" s="6" t="s">
        <v>10058</v>
      </c>
      <c r="F1621" s="10"/>
      <c r="G1621" s="6" t="s">
        <v>10059</v>
      </c>
      <c r="H1621" s="6" t="s">
        <v>5136</v>
      </c>
      <c r="I1621" s="17" t="b">
        <v>0</v>
      </c>
      <c r="J1621" s="6" t="s">
        <v>546</v>
      </c>
      <c r="K1621" s="10"/>
      <c r="L1621" s="10"/>
      <c r="M1621" s="10"/>
      <c r="N1621" s="10"/>
      <c r="O1621" s="18">
        <v>17.18</v>
      </c>
      <c r="P1621" s="10"/>
      <c r="Q1621" s="17" t="b">
        <v>1</v>
      </c>
      <c r="R1621" s="10"/>
    </row>
    <row r="1622">
      <c r="A1622" s="6" t="s">
        <v>8585</v>
      </c>
      <c r="B1622" s="6" t="s">
        <v>35</v>
      </c>
      <c r="C1622" s="8">
        <v>45965.0</v>
      </c>
      <c r="D1622" s="6" t="s">
        <v>10063</v>
      </c>
      <c r="E1622" s="6" t="s">
        <v>10064</v>
      </c>
      <c r="F1622" s="10"/>
      <c r="G1622" s="6" t="s">
        <v>10066</v>
      </c>
      <c r="H1622" s="6" t="s">
        <v>10067</v>
      </c>
      <c r="I1622" s="17" t="b">
        <v>1</v>
      </c>
      <c r="J1622" s="6" t="s">
        <v>546</v>
      </c>
      <c r="K1622" s="10"/>
      <c r="L1622" s="10"/>
      <c r="M1622" s="10"/>
      <c r="N1622" s="10"/>
      <c r="O1622" s="18">
        <v>40.0</v>
      </c>
      <c r="P1622" s="18">
        <v>1776834.0</v>
      </c>
      <c r="Q1622" s="17" t="b">
        <v>1</v>
      </c>
      <c r="R1622" s="10"/>
    </row>
    <row r="1623">
      <c r="A1623" s="6" t="s">
        <v>8589</v>
      </c>
      <c r="B1623" s="6" t="s">
        <v>35</v>
      </c>
      <c r="C1623" s="8">
        <v>45964.0</v>
      </c>
      <c r="D1623" s="6" t="s">
        <v>10070</v>
      </c>
      <c r="E1623" s="6" t="s">
        <v>10071</v>
      </c>
      <c r="F1623" s="10"/>
      <c r="G1623" s="6" t="s">
        <v>10072</v>
      </c>
      <c r="H1623" s="6" t="s">
        <v>6914</v>
      </c>
      <c r="I1623" s="17" t="b">
        <v>1</v>
      </c>
      <c r="J1623" s="6" t="s">
        <v>546</v>
      </c>
      <c r="K1623" s="10"/>
      <c r="L1623" s="10"/>
      <c r="M1623" s="10"/>
      <c r="N1623" s="10"/>
      <c r="O1623" s="18">
        <v>32.0</v>
      </c>
      <c r="P1623" s="18">
        <v>1776163.0</v>
      </c>
      <c r="Q1623" s="17" t="b">
        <v>1</v>
      </c>
      <c r="R1623" s="10"/>
    </row>
    <row r="1624">
      <c r="A1624" s="6" t="s">
        <v>8591</v>
      </c>
      <c r="B1624" s="6" t="s">
        <v>35</v>
      </c>
      <c r="C1624" s="8">
        <v>45964.0</v>
      </c>
      <c r="D1624" s="6" t="s">
        <v>9989</v>
      </c>
      <c r="E1624" s="6" t="s">
        <v>10074</v>
      </c>
      <c r="F1624" s="10"/>
      <c r="G1624" s="6" t="s">
        <v>10076</v>
      </c>
      <c r="H1624" s="6" t="s">
        <v>6914</v>
      </c>
      <c r="I1624" s="17" t="b">
        <v>1</v>
      </c>
      <c r="J1624" s="6" t="s">
        <v>546</v>
      </c>
      <c r="K1624" s="10"/>
      <c r="L1624" s="10"/>
      <c r="M1624" s="10"/>
      <c r="N1624" s="10"/>
      <c r="O1624" s="18">
        <v>34.0</v>
      </c>
      <c r="P1624" s="18">
        <v>1776164.0</v>
      </c>
      <c r="Q1624" s="17" t="b">
        <v>1</v>
      </c>
      <c r="R1624" s="10"/>
    </row>
    <row r="1625">
      <c r="A1625" s="6" t="s">
        <v>8595</v>
      </c>
      <c r="B1625" s="6" t="s">
        <v>35</v>
      </c>
      <c r="C1625" s="25"/>
      <c r="D1625" s="6" t="s">
        <v>890</v>
      </c>
      <c r="E1625" s="10"/>
      <c r="F1625" s="10"/>
      <c r="G1625" s="10"/>
      <c r="H1625" s="6" t="s">
        <v>10081</v>
      </c>
      <c r="I1625" s="10"/>
      <c r="J1625" s="6" t="s">
        <v>8596</v>
      </c>
      <c r="K1625" s="10"/>
      <c r="L1625" s="10"/>
      <c r="M1625" s="10"/>
      <c r="N1625" s="10"/>
      <c r="O1625" s="18">
        <v>10.0</v>
      </c>
      <c r="P1625" s="10"/>
      <c r="Q1625" s="17" t="b">
        <v>1</v>
      </c>
      <c r="R1625" s="10"/>
    </row>
    <row r="1626">
      <c r="A1626" s="18">
        <v>11575.0</v>
      </c>
      <c r="B1626" s="6" t="s">
        <v>35</v>
      </c>
      <c r="C1626" s="25"/>
      <c r="D1626" s="6" t="s">
        <v>890</v>
      </c>
      <c r="E1626" s="10"/>
      <c r="F1626" s="10"/>
      <c r="G1626" s="10"/>
      <c r="H1626" s="6" t="s">
        <v>10085</v>
      </c>
      <c r="I1626" s="10"/>
      <c r="J1626" s="6" t="s">
        <v>539</v>
      </c>
      <c r="K1626" s="10"/>
      <c r="L1626" s="10"/>
      <c r="M1626" s="10"/>
      <c r="N1626" s="10"/>
      <c r="O1626" s="18">
        <v>1098.0</v>
      </c>
      <c r="P1626" s="10"/>
      <c r="Q1626" s="17" t="b">
        <v>1</v>
      </c>
      <c r="R1626" s="10"/>
    </row>
    <row r="1627">
      <c r="A1627" s="18">
        <v>11576.0</v>
      </c>
      <c r="B1627" s="6" t="s">
        <v>35</v>
      </c>
      <c r="C1627" s="25"/>
      <c r="D1627" s="6" t="s">
        <v>890</v>
      </c>
      <c r="E1627" s="10"/>
      <c r="F1627" s="10"/>
      <c r="G1627" s="10"/>
      <c r="H1627" s="6" t="s">
        <v>10089</v>
      </c>
      <c r="I1627" s="10"/>
      <c r="J1627" s="6" t="s">
        <v>539</v>
      </c>
      <c r="K1627" s="10"/>
      <c r="L1627" s="10"/>
      <c r="M1627" s="10"/>
      <c r="N1627" s="10"/>
      <c r="O1627" s="18">
        <v>625.0</v>
      </c>
      <c r="P1627" s="10"/>
      <c r="Q1627" s="17" t="b">
        <v>1</v>
      </c>
      <c r="R1627" s="10"/>
    </row>
    <row r="1628">
      <c r="A1628" s="18">
        <v>11577.0</v>
      </c>
      <c r="B1628" s="6" t="s">
        <v>35</v>
      </c>
      <c r="C1628" s="25"/>
      <c r="D1628" s="6" t="s">
        <v>10092</v>
      </c>
      <c r="E1628" s="10"/>
      <c r="F1628" s="10"/>
      <c r="G1628" s="10"/>
      <c r="H1628" s="6" t="s">
        <v>10093</v>
      </c>
      <c r="I1628" s="10"/>
      <c r="J1628" s="6" t="s">
        <v>539</v>
      </c>
      <c r="K1628" s="10"/>
      <c r="L1628" s="10"/>
      <c r="M1628" s="10"/>
      <c r="N1628" s="10"/>
      <c r="O1628" s="18">
        <v>181.37</v>
      </c>
      <c r="P1628" s="10"/>
      <c r="Q1628" s="17" t="b">
        <v>1</v>
      </c>
      <c r="R1628" s="10"/>
    </row>
    <row r="1629">
      <c r="A1629" s="18">
        <v>11578.0</v>
      </c>
      <c r="B1629" s="10"/>
      <c r="C1629" s="25"/>
      <c r="D1629" s="6" t="s">
        <v>2280</v>
      </c>
      <c r="E1629" s="10"/>
      <c r="F1629" s="10"/>
      <c r="G1629" s="10"/>
      <c r="H1629" s="6" t="s">
        <v>10095</v>
      </c>
      <c r="I1629" s="10"/>
      <c r="J1629" s="10"/>
      <c r="K1629" s="10"/>
      <c r="L1629" s="10"/>
      <c r="M1629" s="10"/>
      <c r="N1629" s="10"/>
      <c r="O1629" s="18">
        <v>1.0</v>
      </c>
      <c r="P1629" s="10"/>
      <c r="Q1629" s="17" t="b">
        <v>1</v>
      </c>
      <c r="R1629" s="10"/>
    </row>
    <row r="1630">
      <c r="A1630" s="18">
        <v>11579.0</v>
      </c>
      <c r="B1630" s="6" t="s">
        <v>35</v>
      </c>
      <c r="C1630" s="25"/>
      <c r="D1630" s="6" t="s">
        <v>2248</v>
      </c>
      <c r="E1630" s="10"/>
      <c r="F1630" s="10"/>
      <c r="G1630" s="10"/>
      <c r="H1630" s="6" t="s">
        <v>8055</v>
      </c>
      <c r="I1630" s="10"/>
      <c r="J1630" s="6" t="s">
        <v>539</v>
      </c>
      <c r="K1630" s="10"/>
      <c r="L1630" s="10"/>
      <c r="M1630" s="10"/>
      <c r="N1630" s="10"/>
      <c r="O1630" s="18">
        <v>185.0</v>
      </c>
      <c r="P1630" s="10"/>
      <c r="Q1630" s="17" t="b">
        <v>1</v>
      </c>
      <c r="R1630" s="10"/>
    </row>
    <row r="1631">
      <c r="A1631" s="18">
        <v>11580.0</v>
      </c>
      <c r="B1631" s="6" t="s">
        <v>35</v>
      </c>
      <c r="C1631" s="25"/>
      <c r="D1631" s="6" t="s">
        <v>890</v>
      </c>
      <c r="E1631" s="10"/>
      <c r="F1631" s="10"/>
      <c r="G1631" s="10"/>
      <c r="H1631" s="6" t="s">
        <v>4010</v>
      </c>
      <c r="I1631" s="10"/>
      <c r="J1631" s="6" t="s">
        <v>539</v>
      </c>
      <c r="K1631" s="10"/>
      <c r="L1631" s="10"/>
      <c r="M1631" s="10"/>
      <c r="N1631" s="10"/>
      <c r="O1631" s="18">
        <v>375.0</v>
      </c>
      <c r="P1631" s="10"/>
      <c r="Q1631" s="17" t="b">
        <v>1</v>
      </c>
      <c r="R1631" s="10"/>
    </row>
    <row r="1632">
      <c r="A1632" s="6" t="s">
        <v>8614</v>
      </c>
      <c r="B1632" s="6" t="s">
        <v>35</v>
      </c>
      <c r="C1632" s="8">
        <v>45965.0</v>
      </c>
      <c r="D1632" s="6" t="s">
        <v>9989</v>
      </c>
      <c r="E1632" s="6" t="s">
        <v>10101</v>
      </c>
      <c r="F1632" s="10"/>
      <c r="G1632" s="6" t="s">
        <v>10102</v>
      </c>
      <c r="H1632" s="6" t="s">
        <v>6914</v>
      </c>
      <c r="I1632" s="17" t="b">
        <v>1</v>
      </c>
      <c r="J1632" s="6" t="s">
        <v>546</v>
      </c>
      <c r="K1632" s="10"/>
      <c r="L1632" s="10"/>
      <c r="M1632" s="10"/>
      <c r="N1632" s="10"/>
      <c r="O1632" s="18">
        <v>140.0</v>
      </c>
      <c r="P1632" s="18">
        <v>1777953.0</v>
      </c>
      <c r="Q1632" s="17" t="b">
        <v>1</v>
      </c>
      <c r="R1632" s="10"/>
    </row>
    <row r="1633">
      <c r="A1633" s="6" t="s">
        <v>8616</v>
      </c>
      <c r="B1633" s="6" t="s">
        <v>35</v>
      </c>
      <c r="C1633" s="8">
        <v>45966.0</v>
      </c>
      <c r="D1633" s="6" t="s">
        <v>145</v>
      </c>
      <c r="E1633" s="6" t="s">
        <v>10105</v>
      </c>
      <c r="F1633" s="10"/>
      <c r="G1633" s="6" t="s">
        <v>10106</v>
      </c>
      <c r="H1633" s="6" t="s">
        <v>3627</v>
      </c>
      <c r="I1633" s="17" t="b">
        <v>0</v>
      </c>
      <c r="J1633" s="6" t="s">
        <v>546</v>
      </c>
      <c r="K1633" s="10"/>
      <c r="L1633" s="10"/>
      <c r="M1633" s="10"/>
      <c r="N1633" s="10"/>
      <c r="O1633" s="18">
        <v>294.0</v>
      </c>
      <c r="P1633" s="10"/>
      <c r="Q1633" s="17" t="b">
        <v>1</v>
      </c>
      <c r="R1633" s="10"/>
    </row>
    <row r="1634">
      <c r="A1634" s="6" t="s">
        <v>8622</v>
      </c>
      <c r="B1634" s="6" t="s">
        <v>35</v>
      </c>
      <c r="C1634" s="8">
        <v>45966.0</v>
      </c>
      <c r="D1634" s="6" t="s">
        <v>112</v>
      </c>
      <c r="E1634" s="6" t="s">
        <v>10109</v>
      </c>
      <c r="F1634" s="10"/>
      <c r="G1634" s="6" t="s">
        <v>10111</v>
      </c>
      <c r="H1634" s="6" t="s">
        <v>157</v>
      </c>
      <c r="I1634" s="17" t="b">
        <v>0</v>
      </c>
      <c r="J1634" s="6" t="s">
        <v>546</v>
      </c>
      <c r="K1634" s="10"/>
      <c r="L1634" s="10"/>
      <c r="M1634" s="10"/>
      <c r="N1634" s="10"/>
      <c r="O1634" s="18">
        <v>263.95</v>
      </c>
      <c r="P1634" s="10"/>
      <c r="Q1634" s="17" t="b">
        <v>1</v>
      </c>
      <c r="R1634" s="10"/>
    </row>
    <row r="1635">
      <c r="A1635" s="6" t="s">
        <v>8627</v>
      </c>
      <c r="B1635" s="6" t="s">
        <v>35</v>
      </c>
      <c r="C1635" s="8">
        <v>45966.0</v>
      </c>
      <c r="D1635" s="6" t="s">
        <v>9989</v>
      </c>
      <c r="E1635" s="6" t="s">
        <v>10115</v>
      </c>
      <c r="F1635" s="10"/>
      <c r="G1635" s="6" t="s">
        <v>10116</v>
      </c>
      <c r="H1635" s="6" t="s">
        <v>6914</v>
      </c>
      <c r="I1635" s="17" t="b">
        <v>1</v>
      </c>
      <c r="J1635" s="6" t="s">
        <v>546</v>
      </c>
      <c r="K1635" s="10"/>
      <c r="L1635" s="10"/>
      <c r="M1635" s="10"/>
      <c r="N1635" s="10"/>
      <c r="O1635" s="18">
        <v>182.0</v>
      </c>
      <c r="P1635" s="18">
        <v>1779669.0</v>
      </c>
      <c r="Q1635" s="17" t="b">
        <v>1</v>
      </c>
      <c r="R1635" s="10"/>
    </row>
    <row r="1636">
      <c r="A1636" s="6" t="s">
        <v>8629</v>
      </c>
      <c r="B1636" s="6" t="s">
        <v>35</v>
      </c>
      <c r="C1636" s="8">
        <v>45966.0</v>
      </c>
      <c r="D1636" s="6" t="s">
        <v>10009</v>
      </c>
      <c r="E1636" s="6" t="s">
        <v>10120</v>
      </c>
      <c r="F1636" s="10"/>
      <c r="G1636" s="6" t="s">
        <v>10121</v>
      </c>
      <c r="H1636" s="6" t="s">
        <v>6914</v>
      </c>
      <c r="I1636" s="17" t="b">
        <v>1</v>
      </c>
      <c r="J1636" s="6" t="s">
        <v>546</v>
      </c>
      <c r="K1636" s="10"/>
      <c r="L1636" s="10"/>
      <c r="M1636" s="10"/>
      <c r="N1636" s="10"/>
      <c r="O1636" s="18">
        <v>22.0</v>
      </c>
      <c r="P1636" s="18">
        <v>1779692.0</v>
      </c>
      <c r="Q1636" s="17" t="b">
        <v>1</v>
      </c>
      <c r="R1636" s="10"/>
    </row>
    <row r="1637">
      <c r="A1637" s="6" t="s">
        <v>8631</v>
      </c>
      <c r="B1637" s="6" t="s">
        <v>35</v>
      </c>
      <c r="C1637" s="8">
        <v>45967.0</v>
      </c>
      <c r="D1637" s="6" t="s">
        <v>764</v>
      </c>
      <c r="E1637" s="6" t="s">
        <v>10125</v>
      </c>
      <c r="F1637" s="10"/>
      <c r="G1637" s="6" t="s">
        <v>10126</v>
      </c>
      <c r="H1637" s="6" t="s">
        <v>195</v>
      </c>
      <c r="I1637" s="17" t="b">
        <v>0</v>
      </c>
      <c r="J1637" s="6" t="s">
        <v>546</v>
      </c>
      <c r="K1637" s="10"/>
      <c r="L1637" s="6" t="s">
        <v>10127</v>
      </c>
      <c r="M1637" s="10"/>
      <c r="N1637" s="10"/>
      <c r="O1637" s="18">
        <v>792.07</v>
      </c>
      <c r="P1637" s="10"/>
      <c r="Q1637" s="17" t="b">
        <v>1</v>
      </c>
      <c r="R1637" s="10"/>
    </row>
    <row r="1638">
      <c r="A1638" s="6" t="s">
        <v>8650</v>
      </c>
      <c r="B1638" s="6" t="s">
        <v>35</v>
      </c>
      <c r="C1638" s="25"/>
      <c r="D1638" s="6" t="s">
        <v>1160</v>
      </c>
      <c r="E1638" s="10"/>
      <c r="F1638" s="10"/>
      <c r="G1638" s="10"/>
      <c r="H1638" s="6" t="s">
        <v>23</v>
      </c>
      <c r="I1638" s="10"/>
      <c r="J1638" s="6" t="s">
        <v>8596</v>
      </c>
      <c r="K1638" s="10"/>
      <c r="L1638" s="10"/>
      <c r="M1638" s="10"/>
      <c r="N1638" s="10"/>
      <c r="O1638" s="18">
        <v>818.97</v>
      </c>
      <c r="P1638" s="10"/>
      <c r="Q1638" s="17" t="b">
        <v>1</v>
      </c>
      <c r="R1638" s="10"/>
    </row>
    <row r="1639">
      <c r="A1639" s="18">
        <v>11584.0</v>
      </c>
      <c r="B1639" s="10"/>
      <c r="C1639" s="25"/>
      <c r="D1639" s="6" t="s">
        <v>3516</v>
      </c>
      <c r="E1639" s="10"/>
      <c r="F1639" s="10"/>
      <c r="G1639" s="10"/>
      <c r="H1639" s="6" t="s">
        <v>10131</v>
      </c>
      <c r="I1639" s="10"/>
      <c r="J1639" s="10"/>
      <c r="K1639" s="10"/>
      <c r="L1639" s="10"/>
      <c r="M1639" s="10"/>
      <c r="N1639" s="10"/>
      <c r="O1639" s="18">
        <v>1.0</v>
      </c>
      <c r="P1639" s="10"/>
      <c r="Q1639" s="17" t="b">
        <v>1</v>
      </c>
      <c r="R1639" s="10"/>
    </row>
    <row r="1640">
      <c r="A1640" s="6" t="s">
        <v>8655</v>
      </c>
      <c r="B1640" s="6" t="s">
        <v>35</v>
      </c>
      <c r="C1640" s="8">
        <v>45968.0</v>
      </c>
      <c r="D1640" s="6" t="s">
        <v>543</v>
      </c>
      <c r="E1640" s="6" t="s">
        <v>10133</v>
      </c>
      <c r="F1640" s="10"/>
      <c r="G1640" s="6" t="s">
        <v>10135</v>
      </c>
      <c r="H1640" s="6" t="s">
        <v>171</v>
      </c>
      <c r="I1640" s="17" t="b">
        <v>0</v>
      </c>
      <c r="J1640" s="6" t="s">
        <v>546</v>
      </c>
      <c r="K1640" s="10"/>
      <c r="L1640" s="10"/>
      <c r="M1640" s="10"/>
      <c r="N1640" s="10"/>
      <c r="O1640" s="18">
        <v>325.0</v>
      </c>
      <c r="P1640" s="10"/>
      <c r="Q1640" s="17" t="b">
        <v>1</v>
      </c>
      <c r="R1640" s="10"/>
    </row>
    <row r="1641">
      <c r="A1641" s="6" t="s">
        <v>8657</v>
      </c>
      <c r="B1641" s="6" t="s">
        <v>35</v>
      </c>
      <c r="C1641" s="8">
        <v>45968.0</v>
      </c>
      <c r="D1641" s="18">
        <v>8.627274E7</v>
      </c>
      <c r="E1641" s="6" t="s">
        <v>10138</v>
      </c>
      <c r="F1641" s="10"/>
      <c r="G1641" s="6" t="s">
        <v>10140</v>
      </c>
      <c r="H1641" s="6" t="s">
        <v>4248</v>
      </c>
      <c r="I1641" s="17" t="b">
        <v>1</v>
      </c>
      <c r="J1641" s="6" t="s">
        <v>546</v>
      </c>
      <c r="K1641" s="10"/>
      <c r="L1641" s="10"/>
      <c r="M1641" s="10"/>
      <c r="N1641" s="10"/>
      <c r="O1641" s="18">
        <v>107.01</v>
      </c>
      <c r="P1641" s="18">
        <v>1782438.0</v>
      </c>
      <c r="Q1641" s="17" t="b">
        <v>1</v>
      </c>
      <c r="R1641" s="10"/>
    </row>
    <row r="1642">
      <c r="A1642" s="18">
        <v>11586.0</v>
      </c>
      <c r="B1642" s="6" t="s">
        <v>35</v>
      </c>
      <c r="C1642" s="25"/>
      <c r="D1642" s="6" t="s">
        <v>3516</v>
      </c>
      <c r="E1642" s="10"/>
      <c r="F1642" s="10"/>
      <c r="G1642" s="10"/>
      <c r="H1642" s="6" t="s">
        <v>9759</v>
      </c>
      <c r="I1642" s="10"/>
      <c r="J1642" s="6" t="s">
        <v>539</v>
      </c>
      <c r="K1642" s="10"/>
      <c r="L1642" s="10"/>
      <c r="M1642" s="10"/>
      <c r="N1642" s="10"/>
      <c r="O1642" s="18">
        <v>1.0</v>
      </c>
      <c r="P1642" s="10"/>
      <c r="Q1642" s="17" t="b">
        <v>1</v>
      </c>
      <c r="R1642" s="10"/>
    </row>
    <row r="1643">
      <c r="A1643" s="18">
        <v>11587.0</v>
      </c>
      <c r="B1643" s="10"/>
      <c r="C1643" s="25"/>
      <c r="D1643" s="6" t="s">
        <v>3516</v>
      </c>
      <c r="E1643" s="10"/>
      <c r="F1643" s="10"/>
      <c r="G1643" s="10"/>
      <c r="H1643" s="6" t="s">
        <v>9762</v>
      </c>
      <c r="I1643" s="10"/>
      <c r="J1643" s="10"/>
      <c r="K1643" s="10"/>
      <c r="L1643" s="10"/>
      <c r="M1643" s="10"/>
      <c r="N1643" s="10"/>
      <c r="O1643" s="18">
        <v>1.0</v>
      </c>
      <c r="P1643" s="10"/>
      <c r="Q1643" s="17" t="b">
        <v>1</v>
      </c>
      <c r="R1643" s="10"/>
    </row>
    <row r="1644">
      <c r="A1644" s="6" t="s">
        <v>8663</v>
      </c>
      <c r="B1644" s="6" t="s">
        <v>35</v>
      </c>
      <c r="C1644" s="8">
        <v>45969.0</v>
      </c>
      <c r="D1644" s="6" t="s">
        <v>543</v>
      </c>
      <c r="E1644" s="6" t="s">
        <v>10148</v>
      </c>
      <c r="F1644" s="10"/>
      <c r="G1644" s="6" t="s">
        <v>10149</v>
      </c>
      <c r="H1644" s="6" t="s">
        <v>171</v>
      </c>
      <c r="I1644" s="17" t="b">
        <v>0</v>
      </c>
      <c r="J1644" s="6" t="s">
        <v>546</v>
      </c>
      <c r="K1644" s="10"/>
      <c r="L1644" s="10"/>
      <c r="M1644" s="10"/>
      <c r="N1644" s="10"/>
      <c r="O1644" s="18">
        <v>250.0</v>
      </c>
      <c r="P1644" s="10"/>
      <c r="Q1644" s="17" t="b">
        <v>1</v>
      </c>
      <c r="R1644" s="10"/>
    </row>
    <row r="1645">
      <c r="A1645" s="6" t="s">
        <v>8665</v>
      </c>
      <c r="B1645" s="6" t="s">
        <v>35</v>
      </c>
      <c r="C1645" s="8">
        <v>45968.0</v>
      </c>
      <c r="D1645" s="6" t="s">
        <v>112</v>
      </c>
      <c r="E1645" s="6" t="s">
        <v>10152</v>
      </c>
      <c r="F1645" s="10"/>
      <c r="G1645" s="6" t="s">
        <v>10154</v>
      </c>
      <c r="H1645" s="6" t="s">
        <v>157</v>
      </c>
      <c r="I1645" s="17" t="b">
        <v>0</v>
      </c>
      <c r="J1645" s="6" t="s">
        <v>546</v>
      </c>
      <c r="K1645" s="10"/>
      <c r="L1645" s="10"/>
      <c r="M1645" s="10"/>
      <c r="N1645" s="10"/>
      <c r="O1645" s="18">
        <v>298.66</v>
      </c>
      <c r="P1645" s="10"/>
      <c r="Q1645" s="17" t="b">
        <v>1</v>
      </c>
      <c r="R1645" s="10"/>
    </row>
    <row r="1646">
      <c r="A1646" s="6" t="s">
        <v>8670</v>
      </c>
      <c r="B1646" s="6" t="s">
        <v>35</v>
      </c>
      <c r="C1646" s="8">
        <v>45968.0</v>
      </c>
      <c r="D1646" s="6" t="s">
        <v>2613</v>
      </c>
      <c r="E1646" s="6" t="s">
        <v>10157</v>
      </c>
      <c r="F1646" s="10"/>
      <c r="G1646" s="6" t="s">
        <v>10159</v>
      </c>
      <c r="H1646" s="6" t="s">
        <v>319</v>
      </c>
      <c r="I1646" s="17" t="b">
        <v>1</v>
      </c>
      <c r="J1646" s="6" t="s">
        <v>546</v>
      </c>
      <c r="K1646" s="10"/>
      <c r="L1646" s="10"/>
      <c r="M1646" s="10"/>
      <c r="N1646" s="10"/>
      <c r="O1646" s="18">
        <v>172.2</v>
      </c>
      <c r="P1646" s="18">
        <v>1782731.0</v>
      </c>
      <c r="Q1646" s="17" t="b">
        <v>1</v>
      </c>
      <c r="R1646" s="10"/>
    </row>
    <row r="1647">
      <c r="A1647" s="6" t="s">
        <v>8675</v>
      </c>
      <c r="B1647" s="6" t="s">
        <v>35</v>
      </c>
      <c r="C1647" s="8">
        <v>45968.0</v>
      </c>
      <c r="D1647" s="6" t="s">
        <v>3716</v>
      </c>
      <c r="E1647" s="6" t="s">
        <v>10162</v>
      </c>
      <c r="F1647" s="10"/>
      <c r="G1647" s="6" t="s">
        <v>10163</v>
      </c>
      <c r="H1647" s="6" t="s">
        <v>3691</v>
      </c>
      <c r="I1647" s="17" t="b">
        <v>1</v>
      </c>
      <c r="J1647" s="6" t="s">
        <v>546</v>
      </c>
      <c r="K1647" s="10"/>
      <c r="L1647" s="10"/>
      <c r="M1647" s="10"/>
      <c r="N1647" s="10"/>
      <c r="O1647" s="18">
        <v>403.3</v>
      </c>
      <c r="P1647" s="18">
        <v>1782732.0</v>
      </c>
      <c r="Q1647" s="17" t="b">
        <v>1</v>
      </c>
      <c r="R1647" s="10"/>
    </row>
    <row r="1648">
      <c r="A1648" s="6" t="s">
        <v>8681</v>
      </c>
      <c r="B1648" s="6" t="s">
        <v>35</v>
      </c>
      <c r="C1648" s="8">
        <v>45970.0</v>
      </c>
      <c r="D1648" s="6" t="s">
        <v>10033</v>
      </c>
      <c r="E1648" s="6" t="s">
        <v>10165</v>
      </c>
      <c r="F1648" s="10"/>
      <c r="G1648" s="6" t="s">
        <v>10166</v>
      </c>
      <c r="H1648" s="6" t="s">
        <v>10167</v>
      </c>
      <c r="I1648" s="17" t="b">
        <v>1</v>
      </c>
      <c r="J1648" s="6" t="s">
        <v>546</v>
      </c>
      <c r="K1648" s="10"/>
      <c r="L1648" s="10"/>
      <c r="M1648" s="10"/>
      <c r="N1648" s="10"/>
      <c r="O1648" s="18">
        <v>130.0</v>
      </c>
      <c r="P1648" s="18">
        <v>1787684.0</v>
      </c>
      <c r="Q1648" s="17" t="b">
        <v>1</v>
      </c>
      <c r="R1648" s="10"/>
    </row>
    <row r="1649">
      <c r="A1649" s="6" t="s">
        <v>8686</v>
      </c>
      <c r="B1649" s="6" t="s">
        <v>35</v>
      </c>
      <c r="C1649" s="8">
        <v>45970.0</v>
      </c>
      <c r="D1649" s="6" t="s">
        <v>10047</v>
      </c>
      <c r="E1649" s="6" t="s">
        <v>10170</v>
      </c>
      <c r="F1649" s="10"/>
      <c r="G1649" s="6" t="s">
        <v>10172</v>
      </c>
      <c r="H1649" s="6" t="s">
        <v>10167</v>
      </c>
      <c r="I1649" s="17" t="b">
        <v>1</v>
      </c>
      <c r="J1649" s="6" t="s">
        <v>546</v>
      </c>
      <c r="K1649" s="10"/>
      <c r="L1649" s="10"/>
      <c r="M1649" s="10"/>
      <c r="N1649" s="10"/>
      <c r="O1649" s="18">
        <v>130.0</v>
      </c>
      <c r="P1649" s="18">
        <v>1787688.0</v>
      </c>
      <c r="Q1649" s="17" t="b">
        <v>1</v>
      </c>
      <c r="R1649" s="10"/>
    </row>
    <row r="1650">
      <c r="A1650" s="6" t="s">
        <v>8688</v>
      </c>
      <c r="B1650" s="6" t="s">
        <v>35</v>
      </c>
      <c r="C1650" s="8">
        <v>45970.0</v>
      </c>
      <c r="D1650" s="6" t="s">
        <v>10042</v>
      </c>
      <c r="E1650" s="6" t="s">
        <v>10174</v>
      </c>
      <c r="F1650" s="10"/>
      <c r="G1650" s="6" t="s">
        <v>10175</v>
      </c>
      <c r="H1650" s="6" t="s">
        <v>10177</v>
      </c>
      <c r="I1650" s="17" t="b">
        <v>1</v>
      </c>
      <c r="J1650" s="6" t="s">
        <v>546</v>
      </c>
      <c r="K1650" s="10"/>
      <c r="L1650" s="10"/>
      <c r="M1650" s="10"/>
      <c r="N1650" s="10"/>
      <c r="O1650" s="18">
        <v>130.0</v>
      </c>
      <c r="P1650" s="18">
        <v>1787687.0</v>
      </c>
      <c r="Q1650" s="17" t="b">
        <v>1</v>
      </c>
      <c r="R1650" s="10"/>
    </row>
    <row r="1651">
      <c r="A1651" s="6" t="s">
        <v>8692</v>
      </c>
      <c r="B1651" s="6" t="s">
        <v>35</v>
      </c>
      <c r="C1651" s="8">
        <v>45967.0</v>
      </c>
      <c r="D1651" s="6" t="s">
        <v>9989</v>
      </c>
      <c r="E1651" s="6" t="s">
        <v>10179</v>
      </c>
      <c r="F1651" s="10"/>
      <c r="G1651" s="6" t="s">
        <v>10180</v>
      </c>
      <c r="H1651" s="6" t="s">
        <v>6914</v>
      </c>
      <c r="I1651" s="17" t="b">
        <v>1</v>
      </c>
      <c r="J1651" s="6" t="s">
        <v>546</v>
      </c>
      <c r="K1651" s="10"/>
      <c r="L1651" s="10"/>
      <c r="M1651" s="10"/>
      <c r="N1651" s="10"/>
      <c r="O1651" s="18">
        <v>104.0</v>
      </c>
      <c r="P1651" s="18">
        <v>1781410.0</v>
      </c>
      <c r="Q1651" s="17" t="b">
        <v>1</v>
      </c>
      <c r="R1651" s="10"/>
    </row>
    <row r="1652">
      <c r="A1652" s="6" t="s">
        <v>8694</v>
      </c>
      <c r="B1652" s="6" t="s">
        <v>35</v>
      </c>
      <c r="C1652" s="8">
        <v>45967.0</v>
      </c>
      <c r="D1652" s="6" t="s">
        <v>10070</v>
      </c>
      <c r="E1652" s="6" t="s">
        <v>10183</v>
      </c>
      <c r="F1652" s="10"/>
      <c r="G1652" s="6" t="s">
        <v>10184</v>
      </c>
      <c r="H1652" s="6" t="s">
        <v>6914</v>
      </c>
      <c r="I1652" s="17" t="b">
        <v>1</v>
      </c>
      <c r="J1652" s="6" t="s">
        <v>546</v>
      </c>
      <c r="K1652" s="10"/>
      <c r="L1652" s="10"/>
      <c r="M1652" s="10"/>
      <c r="N1652" s="10"/>
      <c r="O1652" s="18">
        <v>31.0</v>
      </c>
      <c r="P1652" s="18">
        <v>1781483.0</v>
      </c>
      <c r="Q1652" s="17" t="b">
        <v>1</v>
      </c>
      <c r="R1652" s="10"/>
    </row>
    <row r="1653">
      <c r="A1653" s="6" t="s">
        <v>8697</v>
      </c>
      <c r="B1653" s="6" t="s">
        <v>35</v>
      </c>
      <c r="C1653" s="8">
        <v>45968.0</v>
      </c>
      <c r="D1653" s="6" t="s">
        <v>10009</v>
      </c>
      <c r="E1653" s="6" t="s">
        <v>10187</v>
      </c>
      <c r="F1653" s="10"/>
      <c r="G1653" s="6" t="s">
        <v>10188</v>
      </c>
      <c r="H1653" s="6" t="s">
        <v>6914</v>
      </c>
      <c r="I1653" s="17" t="b">
        <v>1</v>
      </c>
      <c r="J1653" s="6" t="s">
        <v>546</v>
      </c>
      <c r="K1653" s="10"/>
      <c r="L1653" s="10"/>
      <c r="M1653" s="10"/>
      <c r="N1653" s="10"/>
      <c r="O1653" s="18">
        <v>50.0</v>
      </c>
      <c r="P1653" s="18">
        <v>1783288.0</v>
      </c>
      <c r="Q1653" s="17" t="b">
        <v>1</v>
      </c>
      <c r="R1653" s="10"/>
    </row>
    <row r="1654">
      <c r="A1654" s="6" t="s">
        <v>8701</v>
      </c>
      <c r="B1654" s="6" t="s">
        <v>35</v>
      </c>
      <c r="C1654" s="8">
        <v>45968.0</v>
      </c>
      <c r="D1654" s="6" t="s">
        <v>9989</v>
      </c>
      <c r="E1654" s="6" t="s">
        <v>10191</v>
      </c>
      <c r="F1654" s="10"/>
      <c r="G1654" s="6" t="s">
        <v>10192</v>
      </c>
      <c r="H1654" s="6" t="s">
        <v>6914</v>
      </c>
      <c r="I1654" s="17" t="b">
        <v>1</v>
      </c>
      <c r="J1654" s="6" t="s">
        <v>546</v>
      </c>
      <c r="K1654" s="10"/>
      <c r="L1654" s="10"/>
      <c r="M1654" s="10"/>
      <c r="N1654" s="10"/>
      <c r="O1654" s="18">
        <v>83.0</v>
      </c>
      <c r="P1654" s="18">
        <v>1783286.0</v>
      </c>
      <c r="Q1654" s="17" t="b">
        <v>1</v>
      </c>
      <c r="R1654" s="10"/>
    </row>
    <row r="1655">
      <c r="A1655" s="6" t="s">
        <v>8703</v>
      </c>
      <c r="B1655" s="6" t="s">
        <v>35</v>
      </c>
      <c r="C1655" s="8">
        <v>45969.0</v>
      </c>
      <c r="D1655" s="6" t="s">
        <v>9989</v>
      </c>
      <c r="E1655" s="6" t="s">
        <v>10195</v>
      </c>
      <c r="F1655" s="10"/>
      <c r="G1655" s="6" t="s">
        <v>10196</v>
      </c>
      <c r="H1655" s="6" t="s">
        <v>6914</v>
      </c>
      <c r="I1655" s="17" t="b">
        <v>1</v>
      </c>
      <c r="J1655" s="6" t="s">
        <v>546</v>
      </c>
      <c r="K1655" s="10"/>
      <c r="L1655" s="10"/>
      <c r="M1655" s="10"/>
      <c r="N1655" s="10"/>
      <c r="O1655" s="18">
        <v>140.0</v>
      </c>
      <c r="P1655" s="18">
        <v>1784689.0</v>
      </c>
      <c r="Q1655" s="17" t="b">
        <v>1</v>
      </c>
      <c r="R1655" s="10"/>
    </row>
    <row r="1656">
      <c r="A1656" s="6" t="s">
        <v>8707</v>
      </c>
      <c r="B1656" s="6" t="s">
        <v>35</v>
      </c>
      <c r="C1656" s="8">
        <v>45969.0</v>
      </c>
      <c r="D1656" s="6" t="s">
        <v>10009</v>
      </c>
      <c r="E1656" s="6" t="s">
        <v>10200</v>
      </c>
      <c r="F1656" s="10"/>
      <c r="G1656" s="6" t="s">
        <v>10202</v>
      </c>
      <c r="H1656" s="6" t="s">
        <v>6914</v>
      </c>
      <c r="I1656" s="17" t="b">
        <v>1</v>
      </c>
      <c r="J1656" s="6" t="s">
        <v>546</v>
      </c>
      <c r="K1656" s="10"/>
      <c r="L1656" s="10"/>
      <c r="M1656" s="10"/>
      <c r="N1656" s="10"/>
      <c r="O1656" s="18">
        <v>10.0</v>
      </c>
      <c r="P1656" s="18">
        <v>1785310.0</v>
      </c>
      <c r="Q1656" s="17" t="b">
        <v>1</v>
      </c>
      <c r="R1656" s="10"/>
    </row>
    <row r="1657">
      <c r="A1657" s="6" t="s">
        <v>8709</v>
      </c>
      <c r="B1657" s="6" t="s">
        <v>35</v>
      </c>
      <c r="C1657" s="8">
        <v>45971.0</v>
      </c>
      <c r="D1657" s="6" t="s">
        <v>8582</v>
      </c>
      <c r="E1657" s="6" t="s">
        <v>10206</v>
      </c>
      <c r="F1657" s="10"/>
      <c r="G1657" s="6" t="s">
        <v>10208</v>
      </c>
      <c r="H1657" s="6" t="s">
        <v>605</v>
      </c>
      <c r="I1657" s="17" t="b">
        <v>0</v>
      </c>
      <c r="J1657" s="6" t="s">
        <v>546</v>
      </c>
      <c r="K1657" s="10"/>
      <c r="L1657" s="10"/>
      <c r="M1657" s="10"/>
      <c r="N1657" s="10"/>
      <c r="O1657" s="18">
        <v>1810.88</v>
      </c>
      <c r="P1657" s="10"/>
      <c r="Q1657" s="17" t="b">
        <v>1</v>
      </c>
      <c r="R1657" s="10"/>
    </row>
    <row r="1658">
      <c r="A1658" s="6" t="s">
        <v>8712</v>
      </c>
      <c r="B1658" s="6" t="s">
        <v>35</v>
      </c>
      <c r="C1658" s="8">
        <v>45973.0</v>
      </c>
      <c r="D1658" s="6" t="s">
        <v>112</v>
      </c>
      <c r="E1658" s="6" t="s">
        <v>10215</v>
      </c>
      <c r="F1658" s="10"/>
      <c r="G1658" s="6" t="s">
        <v>10217</v>
      </c>
      <c r="H1658" s="6" t="s">
        <v>157</v>
      </c>
      <c r="I1658" s="17" t="b">
        <v>0</v>
      </c>
      <c r="J1658" s="6" t="s">
        <v>546</v>
      </c>
      <c r="K1658" s="10"/>
      <c r="L1658" s="10"/>
      <c r="M1658" s="10"/>
      <c r="N1658" s="10"/>
      <c r="O1658" s="18">
        <v>379.85</v>
      </c>
      <c r="P1658" s="10"/>
      <c r="Q1658" s="17" t="b">
        <v>1</v>
      </c>
      <c r="R1658" s="10"/>
    </row>
    <row r="1659">
      <c r="A1659" s="6" t="s">
        <v>8722</v>
      </c>
      <c r="B1659" s="6" t="s">
        <v>35</v>
      </c>
      <c r="C1659" s="8">
        <v>45972.0</v>
      </c>
      <c r="D1659" s="6" t="s">
        <v>193</v>
      </c>
      <c r="E1659" s="6" t="s">
        <v>10222</v>
      </c>
      <c r="F1659" s="10"/>
      <c r="G1659" s="6" t="s">
        <v>10224</v>
      </c>
      <c r="H1659" s="6" t="s">
        <v>6352</v>
      </c>
      <c r="I1659" s="17" t="b">
        <v>0</v>
      </c>
      <c r="J1659" s="6" t="s">
        <v>546</v>
      </c>
      <c r="K1659" s="10"/>
      <c r="L1659" s="10"/>
      <c r="M1659" s="10"/>
      <c r="N1659" s="10"/>
      <c r="O1659" s="18">
        <v>87.88</v>
      </c>
      <c r="P1659" s="10"/>
      <c r="Q1659" s="17" t="b">
        <v>1</v>
      </c>
      <c r="R1659" s="10"/>
    </row>
    <row r="1660">
      <c r="A1660" s="6" t="s">
        <v>8724</v>
      </c>
      <c r="B1660" s="6" t="s">
        <v>35</v>
      </c>
      <c r="C1660" s="8">
        <v>45972.0</v>
      </c>
      <c r="D1660" s="6" t="s">
        <v>193</v>
      </c>
      <c r="E1660" s="6" t="s">
        <v>10228</v>
      </c>
      <c r="F1660" s="10"/>
      <c r="G1660" s="6" t="s">
        <v>10229</v>
      </c>
      <c r="H1660" s="6" t="s">
        <v>10230</v>
      </c>
      <c r="I1660" s="17" t="b">
        <v>0</v>
      </c>
      <c r="J1660" s="6" t="s">
        <v>546</v>
      </c>
      <c r="K1660" s="10"/>
      <c r="L1660" s="10"/>
      <c r="M1660" s="10"/>
      <c r="N1660" s="10"/>
      <c r="O1660" s="18">
        <v>498.94</v>
      </c>
      <c r="P1660" s="10"/>
      <c r="Q1660" s="17" t="b">
        <v>1</v>
      </c>
      <c r="R1660" s="10"/>
    </row>
    <row r="1661">
      <c r="A1661" s="6" t="s">
        <v>8736</v>
      </c>
      <c r="B1661" s="6" t="s">
        <v>35</v>
      </c>
      <c r="C1661" s="25"/>
      <c r="D1661" s="6" t="s">
        <v>9260</v>
      </c>
      <c r="E1661" s="10"/>
      <c r="F1661" s="10"/>
      <c r="G1661" s="10"/>
      <c r="H1661" s="6" t="s">
        <v>10235</v>
      </c>
      <c r="I1661" s="10"/>
      <c r="J1661" s="6" t="s">
        <v>8596</v>
      </c>
      <c r="K1661" s="10"/>
      <c r="L1661" s="10"/>
      <c r="M1661" s="10"/>
      <c r="N1661" s="10"/>
      <c r="O1661" s="18">
        <v>6141.92</v>
      </c>
      <c r="P1661" s="10"/>
      <c r="Q1661" s="17" t="b">
        <v>1</v>
      </c>
      <c r="R1661" s="10"/>
    </row>
    <row r="1662">
      <c r="A1662" s="6" t="s">
        <v>8740</v>
      </c>
      <c r="B1662" s="6" t="s">
        <v>35</v>
      </c>
      <c r="C1662" s="8">
        <v>45972.0</v>
      </c>
      <c r="D1662" s="6" t="s">
        <v>8582</v>
      </c>
      <c r="E1662" s="6" t="s">
        <v>10241</v>
      </c>
      <c r="F1662" s="10"/>
      <c r="G1662" s="6" t="s">
        <v>10242</v>
      </c>
      <c r="H1662" s="6" t="s">
        <v>4300</v>
      </c>
      <c r="I1662" s="17" t="b">
        <v>0</v>
      </c>
      <c r="J1662" s="6" t="s">
        <v>546</v>
      </c>
      <c r="K1662" s="10"/>
      <c r="L1662" s="10"/>
      <c r="M1662" s="10"/>
      <c r="N1662" s="10"/>
      <c r="O1662" s="18">
        <v>116.34</v>
      </c>
      <c r="P1662" s="10"/>
      <c r="Q1662" s="17" t="b">
        <v>1</v>
      </c>
      <c r="R1662" s="10"/>
    </row>
    <row r="1663">
      <c r="A1663" s="6" t="s">
        <v>8743</v>
      </c>
      <c r="B1663" s="6" t="s">
        <v>35</v>
      </c>
      <c r="C1663" s="8">
        <v>45974.0</v>
      </c>
      <c r="D1663" s="6" t="s">
        <v>286</v>
      </c>
      <c r="E1663" s="6" t="s">
        <v>10247</v>
      </c>
      <c r="F1663" s="10"/>
      <c r="G1663" s="6" t="s">
        <v>10249</v>
      </c>
      <c r="H1663" s="6" t="s">
        <v>10250</v>
      </c>
      <c r="I1663" s="17" t="b">
        <v>1</v>
      </c>
      <c r="J1663" s="6" t="s">
        <v>546</v>
      </c>
      <c r="K1663" s="10"/>
      <c r="L1663" s="10"/>
      <c r="M1663" s="10"/>
      <c r="N1663" s="10"/>
      <c r="O1663" s="18">
        <v>5.0</v>
      </c>
      <c r="P1663" s="18">
        <v>1794514.0</v>
      </c>
      <c r="Q1663" s="17" t="b">
        <v>1</v>
      </c>
      <c r="R1663" s="10"/>
    </row>
    <row r="1664">
      <c r="A1664" s="6" t="s">
        <v>8745</v>
      </c>
      <c r="B1664" s="6" t="s">
        <v>35</v>
      </c>
      <c r="C1664" s="8">
        <v>45974.0</v>
      </c>
      <c r="D1664" s="6" t="s">
        <v>780</v>
      </c>
      <c r="E1664" s="6" t="s">
        <v>10255</v>
      </c>
      <c r="F1664" s="10"/>
      <c r="G1664" s="6" t="s">
        <v>10256</v>
      </c>
      <c r="H1664" s="6" t="s">
        <v>195</v>
      </c>
      <c r="I1664" s="17" t="b">
        <v>0</v>
      </c>
      <c r="J1664" s="6" t="s">
        <v>546</v>
      </c>
      <c r="K1664" s="10"/>
      <c r="L1664" s="6" t="s">
        <v>10259</v>
      </c>
      <c r="M1664" s="10"/>
      <c r="N1664" s="10"/>
      <c r="O1664" s="18">
        <v>445.77</v>
      </c>
      <c r="P1664" s="10"/>
      <c r="Q1664" s="17" t="b">
        <v>1</v>
      </c>
      <c r="R1664" s="10"/>
    </row>
    <row r="1665">
      <c r="A1665" s="6" t="s">
        <v>8757</v>
      </c>
      <c r="B1665" s="6" t="s">
        <v>35</v>
      </c>
      <c r="C1665" s="8">
        <v>45974.0</v>
      </c>
      <c r="D1665" s="6" t="s">
        <v>112</v>
      </c>
      <c r="E1665" s="6" t="s">
        <v>10263</v>
      </c>
      <c r="F1665" s="10"/>
      <c r="G1665" s="6" t="s">
        <v>10265</v>
      </c>
      <c r="H1665" s="6" t="s">
        <v>157</v>
      </c>
      <c r="I1665" s="17" t="b">
        <v>0</v>
      </c>
      <c r="J1665" s="6" t="s">
        <v>546</v>
      </c>
      <c r="K1665" s="10"/>
      <c r="L1665" s="10"/>
      <c r="M1665" s="10"/>
      <c r="N1665" s="10"/>
      <c r="O1665" s="18">
        <v>253.66</v>
      </c>
      <c r="P1665" s="10"/>
      <c r="Q1665" s="17" t="b">
        <v>1</v>
      </c>
      <c r="R1665" s="10"/>
    </row>
    <row r="1666">
      <c r="A1666" s="6" t="s">
        <v>8761</v>
      </c>
      <c r="B1666" s="6" t="s">
        <v>35</v>
      </c>
      <c r="C1666" s="25"/>
      <c r="D1666" s="6" t="s">
        <v>8353</v>
      </c>
      <c r="E1666" s="10"/>
      <c r="F1666" s="10"/>
      <c r="G1666" s="10"/>
      <c r="H1666" s="6" t="s">
        <v>4497</v>
      </c>
      <c r="I1666" s="10"/>
      <c r="J1666" s="6" t="s">
        <v>8596</v>
      </c>
      <c r="K1666" s="10"/>
      <c r="L1666" s="10"/>
      <c r="M1666" s="10"/>
      <c r="N1666" s="10"/>
      <c r="O1666" s="18">
        <v>817.67</v>
      </c>
      <c r="P1666" s="10"/>
      <c r="Q1666" s="17" t="b">
        <v>1</v>
      </c>
      <c r="R1666" s="10"/>
    </row>
    <row r="1667">
      <c r="A1667" s="6" t="s">
        <v>8763</v>
      </c>
      <c r="B1667" s="6" t="s">
        <v>35</v>
      </c>
      <c r="C1667" s="8">
        <v>45972.0</v>
      </c>
      <c r="D1667" s="6" t="s">
        <v>890</v>
      </c>
      <c r="E1667" s="6" t="s">
        <v>10273</v>
      </c>
      <c r="F1667" s="10"/>
      <c r="G1667" s="6" t="s">
        <v>10275</v>
      </c>
      <c r="H1667" s="6" t="s">
        <v>4787</v>
      </c>
      <c r="I1667" s="17" t="b">
        <v>0</v>
      </c>
      <c r="J1667" s="6" t="s">
        <v>546</v>
      </c>
      <c r="K1667" s="10"/>
      <c r="L1667" s="6" t="s">
        <v>10277</v>
      </c>
      <c r="M1667" s="6" t="s">
        <v>10278</v>
      </c>
      <c r="N1667" s="10"/>
      <c r="O1667" s="18">
        <v>28767.8</v>
      </c>
      <c r="P1667" s="10"/>
      <c r="Q1667" s="17" t="b">
        <v>1</v>
      </c>
      <c r="R1667" s="10"/>
    </row>
    <row r="1668">
      <c r="A1668" s="6" t="s">
        <v>8766</v>
      </c>
      <c r="B1668" s="6" t="s">
        <v>35</v>
      </c>
      <c r="C1668" s="8">
        <v>45973.0</v>
      </c>
      <c r="D1668" s="6" t="s">
        <v>890</v>
      </c>
      <c r="E1668" s="6" t="s">
        <v>10280</v>
      </c>
      <c r="F1668" s="10"/>
      <c r="G1668" s="6" t="s">
        <v>10281</v>
      </c>
      <c r="H1668" s="6" t="s">
        <v>1511</v>
      </c>
      <c r="I1668" s="17" t="b">
        <v>0</v>
      </c>
      <c r="J1668" s="6" t="s">
        <v>546</v>
      </c>
      <c r="K1668" s="10"/>
      <c r="L1668" s="6" t="s">
        <v>10283</v>
      </c>
      <c r="M1668" s="10"/>
      <c r="N1668" s="10"/>
      <c r="O1668" s="18">
        <v>14108.55</v>
      </c>
      <c r="P1668" s="10"/>
      <c r="Q1668" s="17" t="b">
        <v>1</v>
      </c>
      <c r="R1668" s="10"/>
    </row>
    <row r="1669">
      <c r="A1669" s="18">
        <v>1.3040625E7</v>
      </c>
      <c r="B1669" s="6" t="s">
        <v>35</v>
      </c>
      <c r="C1669" s="8">
        <v>45975.0</v>
      </c>
      <c r="D1669" s="6" t="s">
        <v>112</v>
      </c>
      <c r="E1669" s="6" t="s">
        <v>10287</v>
      </c>
      <c r="F1669" s="10"/>
      <c r="G1669" s="6" t="s">
        <v>10288</v>
      </c>
      <c r="H1669" s="6" t="s">
        <v>157</v>
      </c>
      <c r="I1669" s="17" t="b">
        <v>0</v>
      </c>
      <c r="J1669" s="6" t="s">
        <v>546</v>
      </c>
      <c r="K1669" s="10"/>
      <c r="L1669" s="10"/>
      <c r="M1669" s="10"/>
      <c r="N1669" s="10"/>
      <c r="O1669" s="18">
        <v>463.24</v>
      </c>
      <c r="P1669" s="10"/>
      <c r="Q1669" s="17" t="b">
        <v>1</v>
      </c>
      <c r="R1669" s="10"/>
    </row>
    <row r="1670">
      <c r="A1670" s="6" t="s">
        <v>8776</v>
      </c>
      <c r="B1670" s="6" t="s">
        <v>35</v>
      </c>
      <c r="C1670" s="8">
        <v>45970.0</v>
      </c>
      <c r="D1670" s="6" t="s">
        <v>10009</v>
      </c>
      <c r="E1670" s="6" t="s">
        <v>10294</v>
      </c>
      <c r="F1670" s="10"/>
      <c r="G1670" s="6" t="s">
        <v>10296</v>
      </c>
      <c r="H1670" s="6" t="s">
        <v>6914</v>
      </c>
      <c r="I1670" s="17" t="b">
        <v>1</v>
      </c>
      <c r="J1670" s="6" t="s">
        <v>546</v>
      </c>
      <c r="K1670" s="10"/>
      <c r="L1670" s="10"/>
      <c r="M1670" s="10"/>
      <c r="N1670" s="10"/>
      <c r="O1670" s="18">
        <v>414.0</v>
      </c>
      <c r="P1670" s="18">
        <v>1787656.0</v>
      </c>
      <c r="Q1670" s="17" t="b">
        <v>1</v>
      </c>
      <c r="R1670" s="10"/>
    </row>
    <row r="1671">
      <c r="A1671" s="6" t="s">
        <v>8780</v>
      </c>
      <c r="B1671" s="6" t="s">
        <v>35</v>
      </c>
      <c r="C1671" s="8">
        <v>45977.0</v>
      </c>
      <c r="D1671" s="6" t="s">
        <v>543</v>
      </c>
      <c r="E1671" s="6" t="s">
        <v>10300</v>
      </c>
      <c r="F1671" s="10"/>
      <c r="G1671" s="6" t="s">
        <v>10301</v>
      </c>
      <c r="H1671" s="6" t="s">
        <v>140</v>
      </c>
      <c r="I1671" s="17" t="b">
        <v>0</v>
      </c>
      <c r="J1671" s="6" t="s">
        <v>546</v>
      </c>
      <c r="K1671" s="10"/>
      <c r="L1671" s="10"/>
      <c r="M1671" s="10"/>
      <c r="N1671" s="10"/>
      <c r="O1671" s="18">
        <v>475.0</v>
      </c>
      <c r="P1671" s="10"/>
      <c r="Q1671" s="17" t="b">
        <v>1</v>
      </c>
      <c r="R1671" s="10"/>
    </row>
    <row r="1672">
      <c r="A1672" s="6" t="s">
        <v>8782</v>
      </c>
      <c r="B1672" s="6" t="s">
        <v>35</v>
      </c>
      <c r="C1672" s="25"/>
      <c r="D1672" s="6" t="s">
        <v>1864</v>
      </c>
      <c r="E1672" s="10"/>
      <c r="F1672" s="10"/>
      <c r="G1672" s="10"/>
      <c r="H1672" s="6" t="s">
        <v>8399</v>
      </c>
      <c r="I1672" s="10"/>
      <c r="J1672" s="6" t="s">
        <v>539</v>
      </c>
      <c r="K1672" s="10"/>
      <c r="L1672" s="10"/>
      <c r="M1672" s="10"/>
      <c r="N1672" s="10"/>
      <c r="O1672" s="18">
        <v>22.87</v>
      </c>
      <c r="P1672" s="10"/>
      <c r="Q1672" s="17" t="b">
        <v>1</v>
      </c>
      <c r="R1672" s="10"/>
    </row>
    <row r="1673">
      <c r="A1673" s="18">
        <v>11603.0</v>
      </c>
      <c r="B1673" s="6" t="s">
        <v>35</v>
      </c>
      <c r="C1673" s="25"/>
      <c r="D1673" s="6" t="s">
        <v>460</v>
      </c>
      <c r="E1673" s="10"/>
      <c r="F1673" s="10"/>
      <c r="G1673" s="10"/>
      <c r="H1673" s="8">
        <v>45931.0</v>
      </c>
      <c r="I1673" s="10"/>
      <c r="J1673" s="6" t="s">
        <v>8596</v>
      </c>
      <c r="K1673" s="10"/>
      <c r="L1673" s="10"/>
      <c r="M1673" s="10"/>
      <c r="N1673" s="10"/>
      <c r="O1673" s="18">
        <v>249.23</v>
      </c>
      <c r="P1673" s="10"/>
      <c r="Q1673" s="17" t="b">
        <v>1</v>
      </c>
      <c r="R1673" s="10"/>
    </row>
    <row r="1674">
      <c r="A1674" s="18">
        <v>11604.0</v>
      </c>
      <c r="B1674" s="6" t="s">
        <v>35</v>
      </c>
      <c r="C1674" s="25"/>
      <c r="D1674" s="6" t="s">
        <v>1160</v>
      </c>
      <c r="E1674" s="10"/>
      <c r="F1674" s="10"/>
      <c r="G1674" s="10"/>
      <c r="H1674" s="8">
        <v>45717.0</v>
      </c>
      <c r="I1674" s="10"/>
      <c r="J1674" s="6" t="s">
        <v>8596</v>
      </c>
      <c r="K1674" s="10"/>
      <c r="L1674" s="10"/>
      <c r="M1674" s="10"/>
      <c r="N1674" s="10"/>
      <c r="O1674" s="18">
        <v>68.56</v>
      </c>
      <c r="P1674" s="10"/>
      <c r="Q1674" s="17" t="b">
        <v>1</v>
      </c>
      <c r="R1674" s="10"/>
    </row>
    <row r="1675">
      <c r="A1675" s="18">
        <v>11605.0</v>
      </c>
      <c r="B1675" s="6" t="s">
        <v>35</v>
      </c>
      <c r="C1675" s="25"/>
      <c r="D1675" s="6" t="s">
        <v>10315</v>
      </c>
      <c r="E1675" s="10"/>
      <c r="F1675" s="10"/>
      <c r="G1675" s="10"/>
      <c r="H1675" s="6" t="s">
        <v>10316</v>
      </c>
      <c r="I1675" s="10"/>
      <c r="J1675" s="6" t="s">
        <v>539</v>
      </c>
      <c r="K1675" s="10"/>
      <c r="L1675" s="10"/>
      <c r="M1675" s="10"/>
      <c r="N1675" s="10"/>
      <c r="O1675" s="18">
        <v>0.01</v>
      </c>
      <c r="P1675" s="10"/>
      <c r="Q1675" s="17" t="b">
        <v>1</v>
      </c>
      <c r="R1675" s="10"/>
    </row>
    <row r="1676">
      <c r="A1676" s="6" t="s">
        <v>8797</v>
      </c>
      <c r="B1676" s="6" t="s">
        <v>35</v>
      </c>
      <c r="C1676" s="8">
        <v>45970.0</v>
      </c>
      <c r="D1676" s="6" t="s">
        <v>10070</v>
      </c>
      <c r="E1676" s="6" t="s">
        <v>10320</v>
      </c>
      <c r="F1676" s="10"/>
      <c r="G1676" s="6" t="s">
        <v>10322</v>
      </c>
      <c r="H1676" s="6" t="s">
        <v>6914</v>
      </c>
      <c r="I1676" s="17" t="b">
        <v>1</v>
      </c>
      <c r="J1676" s="6" t="s">
        <v>546</v>
      </c>
      <c r="K1676" s="10"/>
      <c r="L1676" s="10"/>
      <c r="M1676" s="10"/>
      <c r="N1676" s="10"/>
      <c r="O1676" s="18">
        <v>72.0</v>
      </c>
      <c r="P1676" s="18">
        <v>1787681.0</v>
      </c>
      <c r="Q1676" s="17" t="b">
        <v>1</v>
      </c>
      <c r="R1676" s="10"/>
    </row>
    <row r="1677">
      <c r="A1677" s="6" t="s">
        <v>8800</v>
      </c>
      <c r="B1677" s="6" t="s">
        <v>35</v>
      </c>
      <c r="C1677" s="8">
        <v>45971.0</v>
      </c>
      <c r="D1677" s="6" t="s">
        <v>9989</v>
      </c>
      <c r="E1677" s="6" t="s">
        <v>10326</v>
      </c>
      <c r="F1677" s="10"/>
      <c r="G1677" s="6" t="s">
        <v>10327</v>
      </c>
      <c r="H1677" s="6" t="s">
        <v>6914</v>
      </c>
      <c r="I1677" s="17" t="b">
        <v>1</v>
      </c>
      <c r="J1677" s="6" t="s">
        <v>546</v>
      </c>
      <c r="K1677" s="10"/>
      <c r="L1677" s="10"/>
      <c r="M1677" s="10"/>
      <c r="N1677" s="10"/>
      <c r="O1677" s="18">
        <v>30.0</v>
      </c>
      <c r="P1677" s="18">
        <v>1789909.0</v>
      </c>
      <c r="Q1677" s="17" t="b">
        <v>1</v>
      </c>
      <c r="R1677" s="10"/>
    </row>
    <row r="1678">
      <c r="A1678" s="6" t="s">
        <v>8802</v>
      </c>
      <c r="B1678" s="6" t="s">
        <v>35</v>
      </c>
      <c r="C1678" s="8">
        <v>45972.0</v>
      </c>
      <c r="D1678" s="6" t="s">
        <v>9989</v>
      </c>
      <c r="E1678" s="6" t="s">
        <v>10334</v>
      </c>
      <c r="F1678" s="10"/>
      <c r="G1678" s="6" t="s">
        <v>10336</v>
      </c>
      <c r="H1678" s="6" t="s">
        <v>6914</v>
      </c>
      <c r="I1678" s="17" t="b">
        <v>1</v>
      </c>
      <c r="J1678" s="6" t="s">
        <v>546</v>
      </c>
      <c r="K1678" s="10"/>
      <c r="L1678" s="10"/>
      <c r="M1678" s="10"/>
      <c r="N1678" s="10"/>
      <c r="O1678" s="18">
        <v>200.0</v>
      </c>
      <c r="P1678" s="18">
        <v>1791838.0</v>
      </c>
      <c r="Q1678" s="17" t="b">
        <v>1</v>
      </c>
      <c r="R1678" s="10"/>
    </row>
    <row r="1679">
      <c r="A1679" s="6" t="s">
        <v>8805</v>
      </c>
      <c r="B1679" s="6" t="s">
        <v>35</v>
      </c>
      <c r="C1679" s="8">
        <v>45972.0</v>
      </c>
      <c r="D1679" s="6" t="s">
        <v>9989</v>
      </c>
      <c r="E1679" s="6" t="s">
        <v>10334</v>
      </c>
      <c r="F1679" s="10"/>
      <c r="G1679" s="6" t="s">
        <v>10341</v>
      </c>
      <c r="H1679" s="6" t="s">
        <v>6914</v>
      </c>
      <c r="I1679" s="17" t="b">
        <v>1</v>
      </c>
      <c r="J1679" s="6" t="s">
        <v>546</v>
      </c>
      <c r="K1679" s="10"/>
      <c r="L1679" s="10"/>
      <c r="M1679" s="10"/>
      <c r="N1679" s="10"/>
      <c r="O1679" s="18">
        <v>20.0</v>
      </c>
      <c r="P1679" s="18">
        <v>1792006.0</v>
      </c>
      <c r="Q1679" s="17" t="b">
        <v>1</v>
      </c>
      <c r="R1679" s="10"/>
    </row>
    <row r="1680">
      <c r="A1680" s="6" t="s">
        <v>8809</v>
      </c>
      <c r="B1680" s="6" t="s">
        <v>35</v>
      </c>
      <c r="C1680" s="8">
        <v>45973.0</v>
      </c>
      <c r="D1680" s="6" t="s">
        <v>9989</v>
      </c>
      <c r="E1680" s="6" t="s">
        <v>10345</v>
      </c>
      <c r="F1680" s="10"/>
      <c r="G1680" s="6" t="s">
        <v>10347</v>
      </c>
      <c r="H1680" s="6" t="s">
        <v>6914</v>
      </c>
      <c r="I1680" s="17" t="b">
        <v>1</v>
      </c>
      <c r="J1680" s="6" t="s">
        <v>546</v>
      </c>
      <c r="K1680" s="10"/>
      <c r="L1680" s="10"/>
      <c r="M1680" s="10"/>
      <c r="N1680" s="10"/>
      <c r="O1680" s="18">
        <v>10.0</v>
      </c>
      <c r="P1680" s="18">
        <v>1793548.0</v>
      </c>
      <c r="Q1680" s="17" t="b">
        <v>1</v>
      </c>
      <c r="R1680" s="10"/>
    </row>
    <row r="1681">
      <c r="A1681" s="6" t="s">
        <v>8812</v>
      </c>
      <c r="B1681" s="6" t="s">
        <v>35</v>
      </c>
      <c r="C1681" s="8">
        <v>45973.0</v>
      </c>
      <c r="D1681" s="6" t="s">
        <v>10009</v>
      </c>
      <c r="E1681" s="6" t="s">
        <v>10353</v>
      </c>
      <c r="F1681" s="10"/>
      <c r="G1681" s="6" t="s">
        <v>10354</v>
      </c>
      <c r="H1681" s="6" t="s">
        <v>6914</v>
      </c>
      <c r="I1681" s="17" t="b">
        <v>1</v>
      </c>
      <c r="J1681" s="6" t="s">
        <v>546</v>
      </c>
      <c r="K1681" s="10"/>
      <c r="L1681" s="10"/>
      <c r="M1681" s="10"/>
      <c r="N1681" s="10"/>
      <c r="O1681" s="18">
        <v>30.0</v>
      </c>
      <c r="P1681" s="18">
        <v>1793545.0</v>
      </c>
      <c r="Q1681" s="17" t="b">
        <v>1</v>
      </c>
      <c r="R1681" s="10"/>
    </row>
    <row r="1682">
      <c r="A1682" s="6" t="s">
        <v>8817</v>
      </c>
      <c r="B1682" s="6" t="s">
        <v>35</v>
      </c>
      <c r="C1682" s="25"/>
      <c r="D1682" s="6" t="s">
        <v>890</v>
      </c>
      <c r="E1682" s="10"/>
      <c r="F1682" s="10"/>
      <c r="G1682" s="10"/>
      <c r="H1682" s="6" t="s">
        <v>10357</v>
      </c>
      <c r="I1682" s="10"/>
      <c r="J1682" s="6" t="s">
        <v>8596</v>
      </c>
      <c r="K1682" s="10"/>
      <c r="L1682" s="10"/>
      <c r="M1682" s="10"/>
      <c r="N1682" s="10"/>
      <c r="O1682" s="18">
        <v>3059.59</v>
      </c>
      <c r="P1682" s="10"/>
      <c r="Q1682" s="17" t="b">
        <v>1</v>
      </c>
      <c r="R1682" s="10"/>
    </row>
    <row r="1683">
      <c r="A1683" s="6" t="s">
        <v>8819</v>
      </c>
      <c r="B1683" s="6" t="s">
        <v>35</v>
      </c>
      <c r="C1683" s="8">
        <v>45974.0</v>
      </c>
      <c r="D1683" s="6" t="s">
        <v>9989</v>
      </c>
      <c r="E1683" s="6" t="s">
        <v>10361</v>
      </c>
      <c r="F1683" s="10"/>
      <c r="G1683" s="6" t="s">
        <v>10362</v>
      </c>
      <c r="H1683" s="6" t="s">
        <v>6914</v>
      </c>
      <c r="I1683" s="17" t="b">
        <v>1</v>
      </c>
      <c r="J1683" s="6" t="s">
        <v>546</v>
      </c>
      <c r="K1683" s="10"/>
      <c r="L1683" s="10"/>
      <c r="M1683" s="10"/>
      <c r="N1683" s="10"/>
      <c r="O1683" s="18">
        <v>52.0</v>
      </c>
      <c r="P1683" s="18">
        <v>1795185.0</v>
      </c>
      <c r="Q1683" s="17" t="b">
        <v>1</v>
      </c>
      <c r="R1683" s="10"/>
    </row>
    <row r="1684">
      <c r="A1684" s="6" t="s">
        <v>8823</v>
      </c>
      <c r="B1684" s="6" t="s">
        <v>35</v>
      </c>
      <c r="C1684" s="8">
        <v>45974.0</v>
      </c>
      <c r="D1684" s="6" t="s">
        <v>10009</v>
      </c>
      <c r="E1684" s="6" t="s">
        <v>10365</v>
      </c>
      <c r="F1684" s="10"/>
      <c r="G1684" s="6" t="s">
        <v>10366</v>
      </c>
      <c r="H1684" s="6" t="s">
        <v>6914</v>
      </c>
      <c r="I1684" s="17" t="b">
        <v>1</v>
      </c>
      <c r="J1684" s="6" t="s">
        <v>546</v>
      </c>
      <c r="K1684" s="10"/>
      <c r="L1684" s="10"/>
      <c r="M1684" s="10"/>
      <c r="N1684" s="10"/>
      <c r="O1684" s="18">
        <v>41.0</v>
      </c>
      <c r="P1684" s="18">
        <v>1795187.0</v>
      </c>
      <c r="Q1684" s="17" t="b">
        <v>1</v>
      </c>
      <c r="R1684" s="10"/>
    </row>
    <row r="1685">
      <c r="A1685" s="6" t="s">
        <v>8825</v>
      </c>
      <c r="B1685" s="6" t="s">
        <v>35</v>
      </c>
      <c r="C1685" s="8">
        <v>45974.0</v>
      </c>
      <c r="D1685" s="6" t="s">
        <v>10070</v>
      </c>
      <c r="E1685" s="6" t="s">
        <v>10371</v>
      </c>
      <c r="F1685" s="10"/>
      <c r="G1685" s="6" t="s">
        <v>10372</v>
      </c>
      <c r="H1685" s="6" t="s">
        <v>6914</v>
      </c>
      <c r="I1685" s="17" t="b">
        <v>1</v>
      </c>
      <c r="J1685" s="6" t="s">
        <v>546</v>
      </c>
      <c r="K1685" s="10"/>
      <c r="L1685" s="10"/>
      <c r="M1685" s="10"/>
      <c r="N1685" s="10"/>
      <c r="O1685" s="18">
        <v>21.0</v>
      </c>
      <c r="P1685" s="18">
        <v>1795188.0</v>
      </c>
      <c r="Q1685" s="17" t="b">
        <v>1</v>
      </c>
      <c r="R1685" s="10"/>
    </row>
    <row r="1686">
      <c r="A1686" s="6" t="s">
        <v>8829</v>
      </c>
      <c r="B1686" s="6" t="s">
        <v>35</v>
      </c>
      <c r="C1686" s="8">
        <v>45975.0</v>
      </c>
      <c r="D1686" s="6" t="s">
        <v>9989</v>
      </c>
      <c r="E1686" s="6" t="s">
        <v>10375</v>
      </c>
      <c r="F1686" s="10"/>
      <c r="G1686" s="6" t="s">
        <v>10376</v>
      </c>
      <c r="H1686" s="6" t="s">
        <v>6914</v>
      </c>
      <c r="I1686" s="17" t="b">
        <v>1</v>
      </c>
      <c r="J1686" s="6" t="s">
        <v>546</v>
      </c>
      <c r="K1686" s="10"/>
      <c r="L1686" s="10"/>
      <c r="M1686" s="10"/>
      <c r="N1686" s="10"/>
      <c r="O1686" s="18">
        <v>235.0</v>
      </c>
      <c r="P1686" s="18">
        <v>1797482.0</v>
      </c>
      <c r="Q1686" s="17" t="b">
        <v>1</v>
      </c>
      <c r="R1686" s="10"/>
    </row>
    <row r="1687">
      <c r="A1687" s="6" t="s">
        <v>8832</v>
      </c>
      <c r="B1687" s="6" t="s">
        <v>35</v>
      </c>
      <c r="C1687" s="8">
        <v>45976.0</v>
      </c>
      <c r="D1687" s="6" t="s">
        <v>9989</v>
      </c>
      <c r="E1687" s="6" t="s">
        <v>10380</v>
      </c>
      <c r="F1687" s="10"/>
      <c r="G1687" s="6" t="s">
        <v>10381</v>
      </c>
      <c r="H1687" s="6" t="s">
        <v>6914</v>
      </c>
      <c r="I1687" s="17" t="b">
        <v>1</v>
      </c>
      <c r="J1687" s="6" t="s">
        <v>546</v>
      </c>
      <c r="K1687" s="10"/>
      <c r="L1687" s="10"/>
      <c r="M1687" s="10"/>
      <c r="N1687" s="10"/>
      <c r="O1687" s="18">
        <v>275.0</v>
      </c>
      <c r="P1687" s="18">
        <v>1799339.0</v>
      </c>
      <c r="Q1687" s="17" t="b">
        <v>1</v>
      </c>
      <c r="R1687" s="10"/>
    </row>
    <row r="1688">
      <c r="A1688" s="6" t="s">
        <v>8835</v>
      </c>
      <c r="B1688" s="6" t="s">
        <v>35</v>
      </c>
      <c r="C1688" s="8">
        <v>45976.0</v>
      </c>
      <c r="D1688" s="6" t="s">
        <v>10009</v>
      </c>
      <c r="E1688" s="6" t="s">
        <v>10386</v>
      </c>
      <c r="F1688" s="10"/>
      <c r="G1688" s="6" t="s">
        <v>10387</v>
      </c>
      <c r="H1688" s="6" t="s">
        <v>6914</v>
      </c>
      <c r="I1688" s="17" t="b">
        <v>1</v>
      </c>
      <c r="J1688" s="6" t="s">
        <v>546</v>
      </c>
      <c r="K1688" s="10"/>
      <c r="L1688" s="10"/>
      <c r="M1688" s="10"/>
      <c r="N1688" s="10"/>
      <c r="O1688" s="18">
        <v>21.0</v>
      </c>
      <c r="P1688" s="18">
        <v>1799350.0</v>
      </c>
      <c r="Q1688" s="17" t="b">
        <v>1</v>
      </c>
      <c r="R1688" s="10"/>
    </row>
    <row r="1689">
      <c r="A1689" s="6" t="s">
        <v>8837</v>
      </c>
      <c r="B1689" s="6" t="s">
        <v>35</v>
      </c>
      <c r="C1689" s="8">
        <v>45977.0</v>
      </c>
      <c r="D1689" s="6" t="s">
        <v>9989</v>
      </c>
      <c r="E1689" s="6" t="s">
        <v>10392</v>
      </c>
      <c r="F1689" s="10"/>
      <c r="G1689" s="6" t="s">
        <v>10394</v>
      </c>
      <c r="H1689" s="6" t="s">
        <v>6914</v>
      </c>
      <c r="I1689" s="17" t="b">
        <v>1</v>
      </c>
      <c r="J1689" s="6" t="s">
        <v>546</v>
      </c>
      <c r="K1689" s="10"/>
      <c r="L1689" s="10"/>
      <c r="M1689" s="10"/>
      <c r="N1689" s="10"/>
      <c r="O1689" s="18">
        <v>326.0</v>
      </c>
      <c r="P1689" s="18">
        <v>1802101.0</v>
      </c>
      <c r="Q1689" s="17" t="b">
        <v>1</v>
      </c>
      <c r="R1689" s="10"/>
    </row>
    <row r="1690">
      <c r="A1690" s="6" t="s">
        <v>8841</v>
      </c>
      <c r="B1690" s="6" t="s">
        <v>35</v>
      </c>
      <c r="C1690" s="8">
        <v>45978.0</v>
      </c>
      <c r="D1690" s="6" t="s">
        <v>10398</v>
      </c>
      <c r="E1690" s="6" t="s">
        <v>10400</v>
      </c>
      <c r="F1690" s="10"/>
      <c r="G1690" s="6" t="s">
        <v>10401</v>
      </c>
      <c r="H1690" s="6" t="s">
        <v>6914</v>
      </c>
      <c r="I1690" s="17" t="b">
        <v>1</v>
      </c>
      <c r="J1690" s="6" t="s">
        <v>546</v>
      </c>
      <c r="K1690" s="10"/>
      <c r="L1690" s="10"/>
      <c r="M1690" s="10"/>
      <c r="N1690" s="10"/>
      <c r="O1690" s="18">
        <v>11.0</v>
      </c>
      <c r="P1690" s="18">
        <v>1804003.0</v>
      </c>
      <c r="Q1690" s="17" t="b">
        <v>1</v>
      </c>
      <c r="R1690" s="10"/>
    </row>
    <row r="1691">
      <c r="A1691" s="6" t="s">
        <v>8845</v>
      </c>
      <c r="B1691" s="6" t="s">
        <v>35</v>
      </c>
      <c r="C1691" s="8">
        <v>45978.0</v>
      </c>
      <c r="D1691" s="6" t="s">
        <v>10009</v>
      </c>
      <c r="E1691" s="6" t="s">
        <v>10404</v>
      </c>
      <c r="F1691" s="10"/>
      <c r="G1691" s="6" t="s">
        <v>10405</v>
      </c>
      <c r="H1691" s="6" t="s">
        <v>6914</v>
      </c>
      <c r="I1691" s="17" t="b">
        <v>1</v>
      </c>
      <c r="J1691" s="6" t="s">
        <v>546</v>
      </c>
      <c r="K1691" s="10"/>
      <c r="L1691" s="10"/>
      <c r="M1691" s="10"/>
      <c r="N1691" s="10"/>
      <c r="O1691" s="18">
        <v>41.0</v>
      </c>
      <c r="P1691" s="18">
        <v>1804006.0</v>
      </c>
      <c r="Q1691" s="17" t="b">
        <v>1</v>
      </c>
      <c r="R1691" s="10"/>
    </row>
    <row r="1692">
      <c r="A1692" s="6" t="s">
        <v>8850</v>
      </c>
      <c r="B1692" s="6" t="s">
        <v>35</v>
      </c>
      <c r="C1692" s="8">
        <v>45976.0</v>
      </c>
      <c r="D1692" s="6" t="s">
        <v>10033</v>
      </c>
      <c r="E1692" s="6" t="s">
        <v>10408</v>
      </c>
      <c r="F1692" s="10"/>
      <c r="G1692" s="6" t="s">
        <v>10409</v>
      </c>
      <c r="H1692" s="6" t="s">
        <v>10036</v>
      </c>
      <c r="I1692" s="17" t="b">
        <v>1</v>
      </c>
      <c r="J1692" s="6" t="s">
        <v>546</v>
      </c>
      <c r="K1692" s="10"/>
      <c r="L1692" s="10"/>
      <c r="M1692" s="10"/>
      <c r="N1692" s="10"/>
      <c r="O1692" s="18">
        <v>124.0</v>
      </c>
      <c r="P1692" s="18">
        <v>1799382.0</v>
      </c>
      <c r="Q1692" s="17" t="b">
        <v>1</v>
      </c>
      <c r="R1692" s="10"/>
    </row>
    <row r="1693">
      <c r="A1693" s="6" t="s">
        <v>8854</v>
      </c>
      <c r="B1693" s="6" t="s">
        <v>35</v>
      </c>
      <c r="C1693" s="8">
        <v>45976.0</v>
      </c>
      <c r="D1693" s="6" t="s">
        <v>10412</v>
      </c>
      <c r="E1693" s="6" t="s">
        <v>10414</v>
      </c>
      <c r="F1693" s="10"/>
      <c r="G1693" s="6" t="s">
        <v>10416</v>
      </c>
      <c r="H1693" s="6" t="s">
        <v>10036</v>
      </c>
      <c r="I1693" s="17" t="b">
        <v>1</v>
      </c>
      <c r="J1693" s="6" t="s">
        <v>546</v>
      </c>
      <c r="K1693" s="10"/>
      <c r="L1693" s="10"/>
      <c r="M1693" s="10"/>
      <c r="N1693" s="10"/>
      <c r="O1693" s="18">
        <v>130.0</v>
      </c>
      <c r="P1693" s="18">
        <v>1799387.0</v>
      </c>
      <c r="Q1693" s="17" t="b">
        <v>1</v>
      </c>
      <c r="R1693" s="10"/>
    </row>
    <row r="1694">
      <c r="A1694" s="6" t="s">
        <v>8856</v>
      </c>
      <c r="B1694" s="6" t="s">
        <v>35</v>
      </c>
      <c r="C1694" s="8">
        <v>45976.0</v>
      </c>
      <c r="D1694" s="6" t="s">
        <v>10421</v>
      </c>
      <c r="E1694" s="6" t="s">
        <v>10423</v>
      </c>
      <c r="F1694" s="10"/>
      <c r="G1694" s="6" t="s">
        <v>10425</v>
      </c>
      <c r="H1694" s="6" t="s">
        <v>10036</v>
      </c>
      <c r="I1694" s="17" t="b">
        <v>1</v>
      </c>
      <c r="J1694" s="6" t="s">
        <v>546</v>
      </c>
      <c r="K1694" s="10"/>
      <c r="L1694" s="10"/>
      <c r="M1694" s="10"/>
      <c r="N1694" s="10"/>
      <c r="O1694" s="18">
        <v>130.0</v>
      </c>
      <c r="P1694" s="18">
        <v>1799384.0</v>
      </c>
      <c r="Q1694" s="17" t="b">
        <v>1</v>
      </c>
      <c r="R1694" s="10"/>
    </row>
    <row r="1695">
      <c r="A1695" s="6" t="s">
        <v>8860</v>
      </c>
      <c r="B1695" s="6" t="s">
        <v>35</v>
      </c>
      <c r="C1695" s="8">
        <v>45976.0</v>
      </c>
      <c r="D1695" s="6" t="s">
        <v>10038</v>
      </c>
      <c r="E1695" s="6" t="s">
        <v>10429</v>
      </c>
      <c r="F1695" s="10"/>
      <c r="G1695" s="6" t="s">
        <v>10432</v>
      </c>
      <c r="H1695" s="6" t="s">
        <v>10036</v>
      </c>
      <c r="I1695" s="17" t="b">
        <v>1</v>
      </c>
      <c r="J1695" s="6" t="s">
        <v>546</v>
      </c>
      <c r="K1695" s="10"/>
      <c r="L1695" s="10"/>
      <c r="M1695" s="10"/>
      <c r="N1695" s="10"/>
      <c r="O1695" s="18">
        <v>130.0</v>
      </c>
      <c r="P1695" s="18">
        <v>1799381.0</v>
      </c>
      <c r="Q1695" s="17" t="b">
        <v>1</v>
      </c>
      <c r="R1695" s="10"/>
    </row>
    <row r="1696">
      <c r="A1696" s="6" t="s">
        <v>8862</v>
      </c>
      <c r="B1696" s="6" t="s">
        <v>35</v>
      </c>
      <c r="C1696" s="8">
        <v>45977.0</v>
      </c>
      <c r="D1696" s="6" t="s">
        <v>10038</v>
      </c>
      <c r="E1696" s="6" t="s">
        <v>10436</v>
      </c>
      <c r="F1696" s="10"/>
      <c r="G1696" s="6" t="s">
        <v>10437</v>
      </c>
      <c r="H1696" s="6" t="s">
        <v>10036</v>
      </c>
      <c r="I1696" s="17" t="b">
        <v>1</v>
      </c>
      <c r="J1696" s="6" t="s">
        <v>546</v>
      </c>
      <c r="K1696" s="10"/>
      <c r="L1696" s="10"/>
      <c r="M1696" s="10"/>
      <c r="N1696" s="10"/>
      <c r="O1696" s="18">
        <v>130.0</v>
      </c>
      <c r="P1696" s="18">
        <v>1802005.0</v>
      </c>
      <c r="Q1696" s="17" t="b">
        <v>1</v>
      </c>
      <c r="R1696" s="10"/>
    </row>
    <row r="1697">
      <c r="A1697" s="6" t="s">
        <v>8865</v>
      </c>
      <c r="B1697" s="6" t="s">
        <v>35</v>
      </c>
      <c r="C1697" s="8">
        <v>45977.0</v>
      </c>
      <c r="D1697" s="6" t="s">
        <v>10033</v>
      </c>
      <c r="E1697" s="6" t="s">
        <v>10441</v>
      </c>
      <c r="F1697" s="10"/>
      <c r="G1697" s="6" t="s">
        <v>10442</v>
      </c>
      <c r="H1697" s="6" t="s">
        <v>10036</v>
      </c>
      <c r="I1697" s="17" t="b">
        <v>1</v>
      </c>
      <c r="J1697" s="6" t="s">
        <v>546</v>
      </c>
      <c r="K1697" s="10"/>
      <c r="L1697" s="10"/>
      <c r="M1697" s="10"/>
      <c r="N1697" s="10"/>
      <c r="O1697" s="18">
        <v>130.0</v>
      </c>
      <c r="P1697" s="18">
        <v>1802006.0</v>
      </c>
      <c r="Q1697" s="17" t="b">
        <v>1</v>
      </c>
      <c r="R1697" s="10"/>
    </row>
    <row r="1698">
      <c r="A1698" s="6" t="s">
        <v>8869</v>
      </c>
      <c r="B1698" s="6" t="s">
        <v>35</v>
      </c>
      <c r="C1698" s="8">
        <v>45977.0</v>
      </c>
      <c r="D1698" s="6" t="s">
        <v>10446</v>
      </c>
      <c r="E1698" s="6" t="s">
        <v>10447</v>
      </c>
      <c r="F1698" s="10"/>
      <c r="G1698" s="6" t="s">
        <v>10449</v>
      </c>
      <c r="H1698" s="6" t="s">
        <v>10036</v>
      </c>
      <c r="I1698" s="17" t="b">
        <v>1</v>
      </c>
      <c r="J1698" s="6" t="s">
        <v>546</v>
      </c>
      <c r="K1698" s="10"/>
      <c r="L1698" s="10"/>
      <c r="M1698" s="10"/>
      <c r="N1698" s="10"/>
      <c r="O1698" s="18">
        <v>130.0</v>
      </c>
      <c r="P1698" s="18">
        <v>1802010.0</v>
      </c>
      <c r="Q1698" s="17" t="b">
        <v>1</v>
      </c>
      <c r="R1698" s="10"/>
    </row>
    <row r="1699">
      <c r="A1699" s="6" t="s">
        <v>8871</v>
      </c>
      <c r="B1699" s="6" t="s">
        <v>35</v>
      </c>
      <c r="C1699" s="8">
        <v>45977.0</v>
      </c>
      <c r="D1699" s="6" t="s">
        <v>10042</v>
      </c>
      <c r="E1699" s="6" t="s">
        <v>10453</v>
      </c>
      <c r="F1699" s="10"/>
      <c r="G1699" s="6" t="s">
        <v>10454</v>
      </c>
      <c r="H1699" s="6" t="s">
        <v>10036</v>
      </c>
      <c r="I1699" s="17" t="b">
        <v>1</v>
      </c>
      <c r="J1699" s="6" t="s">
        <v>546</v>
      </c>
      <c r="K1699" s="10"/>
      <c r="L1699" s="10"/>
      <c r="M1699" s="10"/>
      <c r="N1699" s="10"/>
      <c r="O1699" s="18">
        <v>117.0</v>
      </c>
      <c r="P1699" s="18">
        <v>1802014.0</v>
      </c>
      <c r="Q1699" s="17" t="b">
        <v>1</v>
      </c>
      <c r="R1699" s="10"/>
    </row>
    <row r="1700">
      <c r="A1700" s="18">
        <v>4.084694E7</v>
      </c>
      <c r="B1700" s="6" t="s">
        <v>35</v>
      </c>
      <c r="C1700" s="8">
        <v>45978.0</v>
      </c>
      <c r="D1700" s="6" t="s">
        <v>1918</v>
      </c>
      <c r="E1700" s="6" t="s">
        <v>10461</v>
      </c>
      <c r="F1700" s="10"/>
      <c r="G1700" s="6" t="s">
        <v>10462</v>
      </c>
      <c r="H1700" s="6" t="s">
        <v>10463</v>
      </c>
      <c r="I1700" s="17" t="b">
        <v>1</v>
      </c>
      <c r="J1700" s="6" t="s">
        <v>546</v>
      </c>
      <c r="K1700" s="10"/>
      <c r="L1700" s="10"/>
      <c r="M1700" s="10"/>
      <c r="N1700" s="10"/>
      <c r="O1700" s="18">
        <v>143.9</v>
      </c>
      <c r="P1700" s="18">
        <v>1803652.0</v>
      </c>
      <c r="Q1700" s="17" t="b">
        <v>1</v>
      </c>
      <c r="R1700" s="10"/>
    </row>
    <row r="1701">
      <c r="A1701" s="6" t="s">
        <v>8876</v>
      </c>
      <c r="B1701" s="6" t="s">
        <v>35</v>
      </c>
      <c r="C1701" s="8">
        <v>45978.0</v>
      </c>
      <c r="D1701" s="6" t="s">
        <v>353</v>
      </c>
      <c r="E1701" s="6" t="s">
        <v>10467</v>
      </c>
      <c r="F1701" s="10"/>
      <c r="G1701" s="6" t="s">
        <v>10468</v>
      </c>
      <c r="H1701" s="6" t="s">
        <v>10469</v>
      </c>
      <c r="I1701" s="17" t="b">
        <v>1</v>
      </c>
      <c r="J1701" s="6" t="s">
        <v>546</v>
      </c>
      <c r="K1701" s="10"/>
      <c r="L1701" s="10"/>
      <c r="M1701" s="10"/>
      <c r="N1701" s="10"/>
      <c r="O1701" s="18">
        <v>222.02</v>
      </c>
      <c r="P1701" s="18">
        <v>1803622.0</v>
      </c>
      <c r="Q1701" s="17" t="b">
        <v>1</v>
      </c>
      <c r="R1701" s="10"/>
    </row>
    <row r="1702">
      <c r="A1702" s="6" t="s">
        <v>8881</v>
      </c>
      <c r="B1702" s="6" t="s">
        <v>35</v>
      </c>
      <c r="C1702" s="8">
        <v>45978.0</v>
      </c>
      <c r="D1702" s="6" t="s">
        <v>1129</v>
      </c>
      <c r="E1702" s="6" t="s">
        <v>10472</v>
      </c>
      <c r="F1702" s="10"/>
      <c r="G1702" s="6" t="s">
        <v>10475</v>
      </c>
      <c r="H1702" s="6" t="s">
        <v>10476</v>
      </c>
      <c r="I1702" s="17" t="b">
        <v>1</v>
      </c>
      <c r="J1702" s="6" t="s">
        <v>546</v>
      </c>
      <c r="K1702" s="10"/>
      <c r="L1702" s="10"/>
      <c r="M1702" s="10"/>
      <c r="N1702" s="10"/>
      <c r="O1702" s="18">
        <v>40.0</v>
      </c>
      <c r="P1702" s="18">
        <v>1803590.0</v>
      </c>
      <c r="Q1702" s="17" t="b">
        <v>1</v>
      </c>
      <c r="R1702" s="10"/>
    </row>
    <row r="1703">
      <c r="A1703" s="6" t="s">
        <v>8884</v>
      </c>
      <c r="B1703" s="6" t="s">
        <v>35</v>
      </c>
      <c r="C1703" s="25"/>
      <c r="D1703" s="6" t="s">
        <v>460</v>
      </c>
      <c r="E1703" s="10"/>
      <c r="F1703" s="10"/>
      <c r="G1703" s="10"/>
      <c r="H1703" s="6" t="s">
        <v>10481</v>
      </c>
      <c r="I1703" s="10"/>
      <c r="J1703" s="6" t="s">
        <v>2051</v>
      </c>
      <c r="K1703" s="10"/>
      <c r="L1703" s="10"/>
      <c r="M1703" s="10"/>
      <c r="N1703" s="10"/>
      <c r="O1703" s="18">
        <v>149.0</v>
      </c>
      <c r="P1703" s="10"/>
      <c r="Q1703" s="17" t="b">
        <v>1</v>
      </c>
      <c r="R1703" s="10"/>
    </row>
    <row r="1704">
      <c r="A1704" s="6" t="s">
        <v>8888</v>
      </c>
      <c r="B1704" s="6" t="s">
        <v>35</v>
      </c>
      <c r="C1704" s="25"/>
      <c r="D1704" s="6" t="s">
        <v>460</v>
      </c>
      <c r="E1704" s="10"/>
      <c r="F1704" s="10"/>
      <c r="G1704" s="10"/>
      <c r="H1704" s="6" t="s">
        <v>10482</v>
      </c>
      <c r="I1704" s="10"/>
      <c r="J1704" s="6" t="s">
        <v>2051</v>
      </c>
      <c r="K1704" s="10"/>
      <c r="L1704" s="10"/>
      <c r="M1704" s="10"/>
      <c r="N1704" s="10"/>
      <c r="O1704" s="18">
        <v>134.0</v>
      </c>
      <c r="P1704" s="10"/>
      <c r="Q1704" s="17" t="b">
        <v>1</v>
      </c>
      <c r="R1704" s="10"/>
    </row>
    <row r="1705">
      <c r="A1705" s="6" t="s">
        <v>8891</v>
      </c>
      <c r="B1705" s="6" t="s">
        <v>35</v>
      </c>
      <c r="C1705" s="25"/>
      <c r="D1705" s="6" t="s">
        <v>460</v>
      </c>
      <c r="E1705" s="10"/>
      <c r="F1705" s="10"/>
      <c r="G1705" s="10"/>
      <c r="H1705" s="6" t="s">
        <v>10487</v>
      </c>
      <c r="I1705" s="10"/>
      <c r="J1705" s="6" t="s">
        <v>2051</v>
      </c>
      <c r="K1705" s="10"/>
      <c r="L1705" s="10"/>
      <c r="M1705" s="10"/>
      <c r="N1705" s="10"/>
      <c r="O1705" s="18">
        <v>75.0</v>
      </c>
      <c r="P1705" s="10"/>
      <c r="Q1705" s="17" t="b">
        <v>1</v>
      </c>
      <c r="R1705" s="10"/>
    </row>
    <row r="1706">
      <c r="A1706" s="6" t="s">
        <v>8895</v>
      </c>
      <c r="B1706" s="6" t="s">
        <v>35</v>
      </c>
      <c r="C1706" s="25"/>
      <c r="D1706" s="6" t="s">
        <v>460</v>
      </c>
      <c r="E1706" s="10"/>
      <c r="F1706" s="25"/>
      <c r="G1706" s="10"/>
      <c r="H1706" s="6" t="s">
        <v>10493</v>
      </c>
      <c r="I1706" s="10"/>
      <c r="J1706" s="6" t="s">
        <v>2051</v>
      </c>
      <c r="K1706" s="10"/>
      <c r="L1706" s="10"/>
      <c r="M1706" s="10"/>
      <c r="N1706" s="10"/>
      <c r="O1706" s="18">
        <v>180.0</v>
      </c>
      <c r="P1706" s="10"/>
      <c r="Q1706" s="17" t="b">
        <v>1</v>
      </c>
      <c r="R1706" s="10"/>
    </row>
    <row r="1707">
      <c r="A1707" s="6" t="s">
        <v>8898</v>
      </c>
      <c r="B1707" s="6" t="s">
        <v>35</v>
      </c>
      <c r="C1707" s="25"/>
      <c r="D1707" s="6" t="s">
        <v>460</v>
      </c>
      <c r="E1707" s="10"/>
      <c r="F1707" s="10"/>
      <c r="G1707" s="10"/>
      <c r="H1707" s="6" t="s">
        <v>10497</v>
      </c>
      <c r="I1707" s="10"/>
      <c r="J1707" s="6" t="s">
        <v>2051</v>
      </c>
      <c r="K1707" s="10"/>
      <c r="L1707" s="10"/>
      <c r="M1707" s="10"/>
      <c r="N1707" s="10"/>
      <c r="O1707" s="18">
        <v>89.0</v>
      </c>
      <c r="P1707" s="10"/>
      <c r="Q1707" s="17" t="b">
        <v>1</v>
      </c>
      <c r="R1707" s="10"/>
    </row>
    <row r="1708">
      <c r="A1708" s="6" t="s">
        <v>8901</v>
      </c>
      <c r="B1708" s="6" t="s">
        <v>35</v>
      </c>
      <c r="C1708" s="25"/>
      <c r="D1708" s="6" t="s">
        <v>460</v>
      </c>
      <c r="E1708" s="10"/>
      <c r="F1708" s="10"/>
      <c r="G1708" s="10"/>
      <c r="H1708" s="6" t="s">
        <v>2785</v>
      </c>
      <c r="I1708" s="10"/>
      <c r="J1708" s="6" t="s">
        <v>2051</v>
      </c>
      <c r="K1708" s="10"/>
      <c r="L1708" s="10"/>
      <c r="M1708" s="10"/>
      <c r="N1708" s="10"/>
      <c r="O1708" s="18">
        <v>20.0</v>
      </c>
      <c r="P1708" s="10"/>
      <c r="Q1708" s="17" t="b">
        <v>1</v>
      </c>
      <c r="R1708" s="10"/>
    </row>
    <row r="1709">
      <c r="A1709" s="6" t="s">
        <v>8904</v>
      </c>
      <c r="B1709" s="6" t="s">
        <v>35</v>
      </c>
      <c r="C1709" s="8">
        <v>45980.0</v>
      </c>
      <c r="D1709" s="10"/>
      <c r="E1709" s="10"/>
      <c r="F1709" s="10"/>
      <c r="G1709" s="10"/>
      <c r="H1709" s="6" t="s">
        <v>10508</v>
      </c>
      <c r="I1709" s="10"/>
      <c r="J1709" s="6" t="s">
        <v>539</v>
      </c>
      <c r="K1709" s="6" t="s">
        <v>624</v>
      </c>
      <c r="L1709" s="10"/>
      <c r="M1709" s="10"/>
      <c r="N1709" s="10"/>
      <c r="O1709" s="18">
        <v>0.01</v>
      </c>
      <c r="P1709" s="10"/>
      <c r="Q1709" s="17" t="b">
        <v>1</v>
      </c>
      <c r="R1709" s="10"/>
    </row>
    <row r="1710">
      <c r="A1710" s="6" t="s">
        <v>8907</v>
      </c>
      <c r="B1710" s="6" t="s">
        <v>35</v>
      </c>
      <c r="C1710" s="25"/>
      <c r="D1710" s="10"/>
      <c r="E1710" s="10"/>
      <c r="F1710" s="10"/>
      <c r="G1710" s="10"/>
      <c r="H1710" s="6" t="s">
        <v>10512</v>
      </c>
      <c r="I1710" s="10"/>
      <c r="J1710" s="6" t="s">
        <v>8596</v>
      </c>
      <c r="K1710" s="6" t="s">
        <v>624</v>
      </c>
      <c r="L1710" s="10"/>
      <c r="M1710" s="10"/>
      <c r="N1710" s="10"/>
      <c r="O1710" s="18">
        <v>0.01</v>
      </c>
      <c r="P1710" s="10"/>
      <c r="Q1710" s="17" t="b">
        <v>1</v>
      </c>
      <c r="R1710" s="10"/>
    </row>
    <row r="1711">
      <c r="A1711" s="6" t="s">
        <v>8909</v>
      </c>
      <c r="B1711" s="6" t="s">
        <v>35</v>
      </c>
      <c r="C1711" s="8">
        <v>45980.0</v>
      </c>
      <c r="D1711" s="10"/>
      <c r="E1711" s="10"/>
      <c r="F1711" s="10"/>
      <c r="G1711" s="10"/>
      <c r="H1711" s="6" t="s">
        <v>10508</v>
      </c>
      <c r="I1711" s="10"/>
      <c r="J1711" s="6" t="s">
        <v>539</v>
      </c>
      <c r="K1711" s="6" t="s">
        <v>2052</v>
      </c>
      <c r="L1711" s="10"/>
      <c r="M1711" s="10"/>
      <c r="N1711" s="10"/>
      <c r="O1711" s="18">
        <v>993.15</v>
      </c>
      <c r="P1711" s="10"/>
      <c r="Q1711" s="17" t="b">
        <v>1</v>
      </c>
      <c r="R1711" s="10"/>
    </row>
    <row r="1712">
      <c r="A1712" s="6" t="s">
        <v>8912</v>
      </c>
      <c r="B1712" s="6" t="s">
        <v>35</v>
      </c>
      <c r="C1712" s="25"/>
      <c r="D1712" s="10"/>
      <c r="E1712" s="10"/>
      <c r="F1712" s="10"/>
      <c r="G1712" s="10"/>
      <c r="H1712" s="6" t="s">
        <v>10512</v>
      </c>
      <c r="I1712" s="10"/>
      <c r="J1712" s="6" t="s">
        <v>8596</v>
      </c>
      <c r="K1712" s="6" t="s">
        <v>2052</v>
      </c>
      <c r="L1712" s="10"/>
      <c r="M1712" s="10"/>
      <c r="N1712" s="10"/>
      <c r="O1712" s="18">
        <v>0.01</v>
      </c>
      <c r="P1712" s="10"/>
      <c r="Q1712" s="17" t="b">
        <v>1</v>
      </c>
      <c r="R1712" s="10"/>
    </row>
    <row r="1713">
      <c r="A1713" s="6" t="s">
        <v>8914</v>
      </c>
      <c r="B1713" s="6" t="s">
        <v>35</v>
      </c>
      <c r="C1713" s="8">
        <v>45980.0</v>
      </c>
      <c r="D1713" s="10"/>
      <c r="E1713" s="10"/>
      <c r="F1713" s="10"/>
      <c r="G1713" s="10"/>
      <c r="H1713" s="6" t="s">
        <v>10508</v>
      </c>
      <c r="I1713" s="10"/>
      <c r="J1713" s="6" t="s">
        <v>539</v>
      </c>
      <c r="K1713" s="6" t="s">
        <v>227</v>
      </c>
      <c r="L1713" s="10"/>
      <c r="M1713" s="10"/>
      <c r="N1713" s="10"/>
      <c r="O1713" s="18">
        <v>1002.12</v>
      </c>
      <c r="P1713" s="10"/>
      <c r="Q1713" s="17" t="b">
        <v>1</v>
      </c>
      <c r="R1713" s="10"/>
    </row>
    <row r="1714">
      <c r="A1714" s="6" t="s">
        <v>8916</v>
      </c>
      <c r="B1714" s="6" t="s">
        <v>35</v>
      </c>
      <c r="C1714" s="25"/>
      <c r="D1714" s="10"/>
      <c r="E1714" s="10"/>
      <c r="F1714" s="10"/>
      <c r="G1714" s="10"/>
      <c r="H1714" s="6" t="s">
        <v>10512</v>
      </c>
      <c r="I1714" s="10"/>
      <c r="J1714" s="6" t="s">
        <v>8596</v>
      </c>
      <c r="K1714" s="6" t="s">
        <v>227</v>
      </c>
      <c r="L1714" s="10"/>
      <c r="M1714" s="10"/>
      <c r="N1714" s="10"/>
      <c r="O1714" s="18">
        <v>0.01</v>
      </c>
      <c r="P1714" s="10"/>
      <c r="Q1714" s="17" t="b">
        <v>1</v>
      </c>
      <c r="R1714" s="10"/>
    </row>
    <row r="1715">
      <c r="A1715" s="6" t="s">
        <v>8920</v>
      </c>
      <c r="B1715" s="6" t="s">
        <v>35</v>
      </c>
      <c r="C1715" s="8">
        <v>45980.0</v>
      </c>
      <c r="D1715" s="10"/>
      <c r="E1715" s="10"/>
      <c r="F1715" s="10"/>
      <c r="G1715" s="10"/>
      <c r="H1715" s="6" t="s">
        <v>10508</v>
      </c>
      <c r="I1715" s="10"/>
      <c r="J1715" s="6" t="s">
        <v>539</v>
      </c>
      <c r="K1715" s="6" t="s">
        <v>3795</v>
      </c>
      <c r="L1715" s="10"/>
      <c r="M1715" s="10"/>
      <c r="N1715" s="10"/>
      <c r="O1715" s="18">
        <v>975.65</v>
      </c>
      <c r="P1715" s="10"/>
      <c r="Q1715" s="17" t="b">
        <v>1</v>
      </c>
      <c r="R1715" s="10"/>
    </row>
    <row r="1716">
      <c r="A1716" s="6" t="s">
        <v>8923</v>
      </c>
      <c r="B1716" s="6" t="s">
        <v>35</v>
      </c>
      <c r="C1716" s="25"/>
      <c r="D1716" s="10"/>
      <c r="E1716" s="10"/>
      <c r="F1716" s="10"/>
      <c r="G1716" s="10"/>
      <c r="H1716" s="6" t="s">
        <v>10512</v>
      </c>
      <c r="I1716" s="10"/>
      <c r="J1716" s="6" t="s">
        <v>8596</v>
      </c>
      <c r="K1716" s="6" t="s">
        <v>3795</v>
      </c>
      <c r="L1716" s="10"/>
      <c r="M1716" s="10"/>
      <c r="N1716" s="10"/>
      <c r="O1716" s="18">
        <v>0.01</v>
      </c>
      <c r="P1716" s="10"/>
      <c r="Q1716" s="17" t="b">
        <v>1</v>
      </c>
      <c r="R1716" s="10"/>
    </row>
    <row r="1717">
      <c r="A1717" s="6" t="s">
        <v>8926</v>
      </c>
      <c r="B1717" s="6" t="s">
        <v>35</v>
      </c>
      <c r="C1717" s="8">
        <v>45980.0</v>
      </c>
      <c r="D1717" s="10"/>
      <c r="E1717" s="10"/>
      <c r="F1717" s="10"/>
      <c r="G1717" s="10"/>
      <c r="H1717" s="6" t="s">
        <v>10508</v>
      </c>
      <c r="I1717" s="10"/>
      <c r="J1717" s="6" t="s">
        <v>539</v>
      </c>
      <c r="K1717" s="6" t="s">
        <v>6062</v>
      </c>
      <c r="L1717" s="10"/>
      <c r="M1717" s="10"/>
      <c r="N1717" s="10"/>
      <c r="O1717" s="18">
        <v>899.18</v>
      </c>
      <c r="P1717" s="10"/>
      <c r="Q1717" s="17" t="b">
        <v>1</v>
      </c>
      <c r="R1717" s="10"/>
    </row>
    <row r="1718">
      <c r="A1718" s="6" t="s">
        <v>8930</v>
      </c>
      <c r="B1718" s="6" t="s">
        <v>35</v>
      </c>
      <c r="C1718" s="25"/>
      <c r="D1718" s="10"/>
      <c r="E1718" s="10"/>
      <c r="F1718" s="10"/>
      <c r="G1718" s="10"/>
      <c r="H1718" s="6" t="s">
        <v>10512</v>
      </c>
      <c r="I1718" s="10"/>
      <c r="J1718" s="6" t="s">
        <v>8596</v>
      </c>
      <c r="K1718" s="6" t="s">
        <v>6062</v>
      </c>
      <c r="L1718" s="10"/>
      <c r="M1718" s="10"/>
      <c r="N1718" s="10"/>
      <c r="O1718" s="18">
        <v>0.01</v>
      </c>
      <c r="P1718" s="10"/>
      <c r="Q1718" s="17" t="b">
        <v>1</v>
      </c>
      <c r="R1718" s="10"/>
    </row>
    <row r="1719">
      <c r="A1719" s="6" t="s">
        <v>8932</v>
      </c>
      <c r="B1719" s="6" t="s">
        <v>35</v>
      </c>
      <c r="C1719" s="8">
        <v>45980.0</v>
      </c>
      <c r="D1719" s="10"/>
      <c r="E1719" s="10"/>
      <c r="F1719" s="10"/>
      <c r="G1719" s="10"/>
      <c r="H1719" s="6" t="s">
        <v>10508</v>
      </c>
      <c r="I1719" s="10"/>
      <c r="J1719" s="6" t="s">
        <v>539</v>
      </c>
      <c r="K1719" s="6" t="s">
        <v>682</v>
      </c>
      <c r="L1719" s="10"/>
      <c r="M1719" s="10"/>
      <c r="N1719" s="10"/>
      <c r="O1719" s="18">
        <v>2041.5</v>
      </c>
      <c r="P1719" s="10"/>
      <c r="Q1719" s="17" t="b">
        <v>1</v>
      </c>
      <c r="R1719" s="10"/>
    </row>
    <row r="1720">
      <c r="A1720" s="6" t="s">
        <v>8936</v>
      </c>
      <c r="B1720" s="6" t="s">
        <v>35</v>
      </c>
      <c r="C1720" s="25"/>
      <c r="D1720" s="10"/>
      <c r="E1720" s="10"/>
      <c r="F1720" s="10"/>
      <c r="G1720" s="10"/>
      <c r="H1720" s="6" t="s">
        <v>10512</v>
      </c>
      <c r="I1720" s="10"/>
      <c r="J1720" s="6" t="s">
        <v>8596</v>
      </c>
      <c r="K1720" s="6" t="s">
        <v>682</v>
      </c>
      <c r="L1720" s="10"/>
      <c r="M1720" s="10"/>
      <c r="N1720" s="10"/>
      <c r="O1720" s="18">
        <v>2041.5</v>
      </c>
      <c r="P1720" s="10"/>
      <c r="Q1720" s="17" t="b">
        <v>1</v>
      </c>
      <c r="R1720" s="10"/>
    </row>
    <row r="1721">
      <c r="A1721" s="18">
        <v>11625.0</v>
      </c>
      <c r="B1721" s="6" t="s">
        <v>35</v>
      </c>
      <c r="C1721" s="25"/>
      <c r="D1721" s="6" t="s">
        <v>9825</v>
      </c>
      <c r="E1721" s="10"/>
      <c r="F1721" s="10"/>
      <c r="G1721" s="10"/>
      <c r="H1721" s="6" t="s">
        <v>9826</v>
      </c>
      <c r="I1721" s="10"/>
      <c r="J1721" s="6" t="s">
        <v>539</v>
      </c>
      <c r="K1721" s="10"/>
      <c r="L1721" s="10"/>
      <c r="M1721" s="10"/>
      <c r="N1721" s="10"/>
      <c r="O1721" s="18">
        <v>1.0</v>
      </c>
      <c r="P1721" s="10"/>
      <c r="Q1721" s="17" t="b">
        <v>1</v>
      </c>
      <c r="R1721" s="10"/>
    </row>
    <row r="1722">
      <c r="A1722" s="18">
        <v>11626.0</v>
      </c>
      <c r="B1722" s="6" t="s">
        <v>35</v>
      </c>
      <c r="C1722" s="25"/>
      <c r="D1722" s="6" t="s">
        <v>9825</v>
      </c>
      <c r="E1722" s="10"/>
      <c r="F1722" s="10"/>
      <c r="G1722" s="10"/>
      <c r="H1722" s="6" t="s">
        <v>9835</v>
      </c>
      <c r="I1722" s="10"/>
      <c r="J1722" s="6" t="s">
        <v>539</v>
      </c>
      <c r="K1722" s="10"/>
      <c r="L1722" s="10"/>
      <c r="M1722" s="10"/>
      <c r="N1722" s="10"/>
      <c r="O1722" s="18">
        <v>1.0</v>
      </c>
      <c r="P1722" s="10"/>
      <c r="Q1722" s="17" t="b">
        <v>1</v>
      </c>
      <c r="R1722" s="10"/>
    </row>
    <row r="1723">
      <c r="A1723" s="18">
        <v>11627.0</v>
      </c>
      <c r="B1723" s="6" t="s">
        <v>35</v>
      </c>
      <c r="C1723" s="25"/>
      <c r="D1723" s="6" t="s">
        <v>460</v>
      </c>
      <c r="E1723" s="10"/>
      <c r="F1723" s="10"/>
      <c r="G1723" s="10"/>
      <c r="H1723" s="6" t="s">
        <v>10550</v>
      </c>
      <c r="I1723" s="10"/>
      <c r="J1723" s="6" t="s">
        <v>539</v>
      </c>
      <c r="K1723" s="10"/>
      <c r="L1723" s="10"/>
      <c r="M1723" s="10"/>
      <c r="N1723" s="10"/>
      <c r="O1723" s="18">
        <v>4083.0</v>
      </c>
      <c r="P1723" s="10"/>
      <c r="Q1723" s="17" t="b">
        <v>1</v>
      </c>
      <c r="R1723" s="10"/>
    </row>
    <row r="1724">
      <c r="A1724" s="18">
        <v>11628.0</v>
      </c>
      <c r="B1724" s="6" t="s">
        <v>35</v>
      </c>
      <c r="C1724" s="25"/>
      <c r="D1724" s="6" t="s">
        <v>460</v>
      </c>
      <c r="E1724" s="10"/>
      <c r="F1724" s="10"/>
      <c r="G1724" s="10"/>
      <c r="H1724" s="6" t="s">
        <v>931</v>
      </c>
      <c r="I1724" s="10"/>
      <c r="J1724" s="6" t="s">
        <v>2051</v>
      </c>
      <c r="K1724" s="10"/>
      <c r="L1724" s="10"/>
      <c r="M1724" s="10"/>
      <c r="N1724" s="10"/>
      <c r="O1724" s="18">
        <v>40.0</v>
      </c>
      <c r="P1724" s="10"/>
      <c r="Q1724" s="17" t="b">
        <v>1</v>
      </c>
      <c r="R1724" s="10"/>
    </row>
    <row r="1725">
      <c r="A1725" s="18">
        <v>11629.0</v>
      </c>
      <c r="B1725" s="6" t="s">
        <v>35</v>
      </c>
      <c r="C1725" s="25"/>
      <c r="D1725" s="6" t="s">
        <v>460</v>
      </c>
      <c r="E1725" s="10"/>
      <c r="F1725" s="10"/>
      <c r="G1725" s="10"/>
      <c r="H1725" s="6" t="s">
        <v>10557</v>
      </c>
      <c r="I1725" s="10"/>
      <c r="J1725" s="6" t="s">
        <v>539</v>
      </c>
      <c r="K1725" s="10"/>
      <c r="L1725" s="10"/>
      <c r="M1725" s="10"/>
      <c r="N1725" s="10"/>
      <c r="O1725" s="18">
        <v>200.0</v>
      </c>
      <c r="P1725" s="10"/>
      <c r="Q1725" s="17" t="b">
        <v>1</v>
      </c>
      <c r="R1725" s="10"/>
    </row>
    <row r="1726">
      <c r="A1726" s="18">
        <v>11630.0</v>
      </c>
      <c r="B1726" s="6" t="s">
        <v>35</v>
      </c>
      <c r="C1726" s="25"/>
      <c r="D1726" s="6" t="s">
        <v>460</v>
      </c>
      <c r="E1726" s="10"/>
      <c r="F1726" s="10"/>
      <c r="G1726" s="10"/>
      <c r="H1726" s="6" t="s">
        <v>4972</v>
      </c>
      <c r="I1726" s="10"/>
      <c r="J1726" s="6" t="s">
        <v>2051</v>
      </c>
      <c r="K1726" s="10"/>
      <c r="L1726" s="10"/>
      <c r="M1726" s="10"/>
      <c r="N1726" s="10"/>
      <c r="O1726" s="18">
        <v>22.0</v>
      </c>
      <c r="P1726" s="10"/>
      <c r="Q1726" s="17" t="b">
        <v>1</v>
      </c>
      <c r="R1726" s="10"/>
    </row>
    <row r="1727">
      <c r="A1727" s="18">
        <v>11631.0</v>
      </c>
      <c r="B1727" s="6" t="s">
        <v>35</v>
      </c>
      <c r="C1727" s="25"/>
      <c r="D1727" s="6" t="s">
        <v>460</v>
      </c>
      <c r="E1727" s="10"/>
      <c r="F1727" s="10"/>
      <c r="G1727" s="10"/>
      <c r="H1727" s="6" t="s">
        <v>4979</v>
      </c>
      <c r="I1727" s="10"/>
      <c r="J1727" s="6" t="s">
        <v>2051</v>
      </c>
      <c r="K1727" s="10"/>
      <c r="L1727" s="10"/>
      <c r="M1727" s="10"/>
      <c r="N1727" s="10"/>
      <c r="O1727" s="18">
        <v>10.0</v>
      </c>
      <c r="P1727" s="10"/>
      <c r="Q1727" s="17" t="b">
        <v>1</v>
      </c>
      <c r="R1727" s="10"/>
    </row>
    <row r="1728">
      <c r="A1728" s="18">
        <v>11632.0</v>
      </c>
      <c r="B1728" s="6" t="s">
        <v>35</v>
      </c>
      <c r="C1728" s="25"/>
      <c r="D1728" s="10"/>
      <c r="E1728" s="10"/>
      <c r="F1728" s="10"/>
      <c r="G1728" s="10"/>
      <c r="H1728" s="6" t="s">
        <v>8658</v>
      </c>
      <c r="I1728" s="10"/>
      <c r="J1728" s="6" t="s">
        <v>539</v>
      </c>
      <c r="K1728" s="6" t="s">
        <v>624</v>
      </c>
      <c r="L1728" s="10"/>
      <c r="M1728" s="10"/>
      <c r="N1728" s="10"/>
      <c r="O1728" s="18">
        <v>1.0</v>
      </c>
      <c r="P1728" s="10"/>
      <c r="Q1728" s="17" t="b">
        <v>1</v>
      </c>
      <c r="R1728" s="10"/>
    </row>
    <row r="1729">
      <c r="A1729" s="18">
        <v>11633.0</v>
      </c>
      <c r="B1729" s="6" t="s">
        <v>35</v>
      </c>
      <c r="C1729" s="25"/>
      <c r="D1729" s="10"/>
      <c r="E1729" s="10"/>
      <c r="F1729" s="10"/>
      <c r="G1729" s="10"/>
      <c r="H1729" s="6" t="s">
        <v>8658</v>
      </c>
      <c r="I1729" s="10"/>
      <c r="J1729" s="6" t="s">
        <v>539</v>
      </c>
      <c r="K1729" s="6" t="s">
        <v>2052</v>
      </c>
      <c r="L1729" s="10"/>
      <c r="M1729" s="10"/>
      <c r="N1729" s="10"/>
      <c r="O1729" s="18">
        <v>1.0</v>
      </c>
      <c r="P1729" s="10"/>
      <c r="Q1729" s="17" t="b">
        <v>1</v>
      </c>
      <c r="R1729" s="10"/>
    </row>
    <row r="1730">
      <c r="A1730" s="18">
        <v>11634.0</v>
      </c>
      <c r="B1730" s="6" t="s">
        <v>35</v>
      </c>
      <c r="C1730" s="25"/>
      <c r="D1730" s="10"/>
      <c r="E1730" s="10"/>
      <c r="F1730" s="10"/>
      <c r="G1730" s="10"/>
      <c r="H1730" s="6" t="s">
        <v>8658</v>
      </c>
      <c r="I1730" s="10"/>
      <c r="J1730" s="6" t="s">
        <v>539</v>
      </c>
      <c r="K1730" s="6" t="s">
        <v>227</v>
      </c>
      <c r="L1730" s="10"/>
      <c r="M1730" s="10"/>
      <c r="N1730" s="10"/>
      <c r="O1730" s="18">
        <v>1.0</v>
      </c>
      <c r="P1730" s="10"/>
      <c r="Q1730" s="17" t="b">
        <v>1</v>
      </c>
      <c r="R1730" s="10"/>
    </row>
    <row r="1731">
      <c r="A1731" s="18">
        <v>11635.0</v>
      </c>
      <c r="B1731" s="6" t="s">
        <v>35</v>
      </c>
      <c r="C1731" s="25"/>
      <c r="D1731" s="10"/>
      <c r="E1731" s="10"/>
      <c r="F1731" s="10"/>
      <c r="G1731" s="10"/>
      <c r="H1731" s="6" t="s">
        <v>8658</v>
      </c>
      <c r="I1731" s="10"/>
      <c r="J1731" s="6" t="s">
        <v>539</v>
      </c>
      <c r="K1731" s="6" t="s">
        <v>6062</v>
      </c>
      <c r="L1731" s="10"/>
      <c r="M1731" s="10"/>
      <c r="N1731" s="10"/>
      <c r="O1731" s="18">
        <v>1.0</v>
      </c>
      <c r="P1731" s="10"/>
      <c r="Q1731" s="17" t="b">
        <v>1</v>
      </c>
      <c r="R1731" s="10"/>
    </row>
    <row r="1732">
      <c r="A1732" s="18">
        <v>11636.0</v>
      </c>
      <c r="B1732" s="6" t="s">
        <v>35</v>
      </c>
      <c r="C1732" s="25"/>
      <c r="D1732" s="10"/>
      <c r="E1732" s="10"/>
      <c r="F1732" s="10"/>
      <c r="G1732" s="10"/>
      <c r="H1732" s="6" t="s">
        <v>8658</v>
      </c>
      <c r="I1732" s="10"/>
      <c r="J1732" s="6" t="s">
        <v>539</v>
      </c>
      <c r="K1732" s="6" t="s">
        <v>3795</v>
      </c>
      <c r="L1732" s="10"/>
      <c r="M1732" s="10"/>
      <c r="N1732" s="10"/>
      <c r="O1732" s="18">
        <v>1.0</v>
      </c>
      <c r="P1732" s="10"/>
      <c r="Q1732" s="17" t="b">
        <v>1</v>
      </c>
      <c r="R1732" s="10"/>
    </row>
    <row r="1733">
      <c r="A1733" s="6" t="s">
        <v>8952</v>
      </c>
      <c r="B1733" s="6" t="s">
        <v>35</v>
      </c>
      <c r="C1733" s="8">
        <v>45978.0</v>
      </c>
      <c r="D1733" s="6" t="s">
        <v>543</v>
      </c>
      <c r="E1733" s="6" t="s">
        <v>10589</v>
      </c>
      <c r="F1733" s="10"/>
      <c r="G1733" s="6" t="s">
        <v>10590</v>
      </c>
      <c r="H1733" s="6" t="s">
        <v>171</v>
      </c>
      <c r="I1733" s="17" t="b">
        <v>0</v>
      </c>
      <c r="J1733" s="6" t="s">
        <v>546</v>
      </c>
      <c r="K1733" s="10"/>
      <c r="L1733" s="10"/>
      <c r="M1733" s="10"/>
      <c r="N1733" s="10"/>
      <c r="O1733" s="18">
        <v>225.0</v>
      </c>
      <c r="P1733" s="10"/>
      <c r="Q1733" s="17" t="b">
        <v>1</v>
      </c>
      <c r="R1733" s="10"/>
    </row>
    <row r="1734">
      <c r="A1734" s="6" t="s">
        <v>8954</v>
      </c>
      <c r="B1734" s="6" t="s">
        <v>35</v>
      </c>
      <c r="C1734" s="8">
        <v>45982.0</v>
      </c>
      <c r="D1734" s="6" t="s">
        <v>543</v>
      </c>
      <c r="E1734" s="6" t="s">
        <v>10594</v>
      </c>
      <c r="F1734" s="10"/>
      <c r="G1734" s="6" t="s">
        <v>10596</v>
      </c>
      <c r="H1734" s="6" t="s">
        <v>171</v>
      </c>
      <c r="I1734" s="17" t="b">
        <v>0</v>
      </c>
      <c r="J1734" s="6" t="s">
        <v>546</v>
      </c>
      <c r="K1734" s="10"/>
      <c r="L1734" s="10"/>
      <c r="M1734" s="10"/>
      <c r="N1734" s="10"/>
      <c r="O1734" s="18">
        <v>525.0</v>
      </c>
      <c r="P1734" s="10"/>
      <c r="Q1734" s="17" t="b">
        <v>1</v>
      </c>
      <c r="R1734" s="10"/>
    </row>
    <row r="1735">
      <c r="A1735" s="6" t="s">
        <v>8956</v>
      </c>
      <c r="B1735" s="6" t="s">
        <v>35</v>
      </c>
      <c r="C1735" s="8">
        <v>45980.0</v>
      </c>
      <c r="D1735" s="6" t="s">
        <v>112</v>
      </c>
      <c r="E1735" s="6" t="s">
        <v>10600</v>
      </c>
      <c r="F1735" s="10"/>
      <c r="G1735" s="6" t="s">
        <v>10601</v>
      </c>
      <c r="H1735" s="6" t="s">
        <v>157</v>
      </c>
      <c r="I1735" s="17" t="b">
        <v>0</v>
      </c>
      <c r="J1735" s="6" t="s">
        <v>546</v>
      </c>
      <c r="K1735" s="10"/>
      <c r="L1735" s="10"/>
      <c r="M1735" s="10"/>
      <c r="N1735" s="10"/>
      <c r="O1735" s="18">
        <v>490.61</v>
      </c>
      <c r="P1735" s="10"/>
      <c r="Q1735" s="17" t="b">
        <v>1</v>
      </c>
      <c r="R1735" s="10"/>
    </row>
    <row r="1736">
      <c r="A1736" s="6" t="s">
        <v>8965</v>
      </c>
      <c r="B1736" s="6" t="s">
        <v>35</v>
      </c>
      <c r="C1736" s="8">
        <v>45982.0</v>
      </c>
      <c r="D1736" s="6" t="s">
        <v>112</v>
      </c>
      <c r="E1736" s="6" t="s">
        <v>10605</v>
      </c>
      <c r="F1736" s="10"/>
      <c r="G1736" s="6" t="s">
        <v>10606</v>
      </c>
      <c r="H1736" s="6" t="s">
        <v>157</v>
      </c>
      <c r="I1736" s="17" t="b">
        <v>0</v>
      </c>
      <c r="J1736" s="6" t="s">
        <v>546</v>
      </c>
      <c r="K1736" s="10"/>
      <c r="L1736" s="10"/>
      <c r="M1736" s="10"/>
      <c r="N1736" s="10"/>
      <c r="O1736" s="18">
        <v>525.98</v>
      </c>
      <c r="P1736" s="10"/>
      <c r="Q1736" s="17" t="b">
        <v>1</v>
      </c>
      <c r="R1736" s="10"/>
    </row>
    <row r="1737">
      <c r="A1737" s="6" t="s">
        <v>8973</v>
      </c>
      <c r="B1737" s="6" t="s">
        <v>35</v>
      </c>
      <c r="C1737" s="8">
        <v>45982.0</v>
      </c>
      <c r="D1737" s="6" t="s">
        <v>7578</v>
      </c>
      <c r="E1737" s="6" t="s">
        <v>10611</v>
      </c>
      <c r="F1737" s="10"/>
      <c r="G1737" s="6" t="s">
        <v>10613</v>
      </c>
      <c r="H1737" s="6" t="s">
        <v>10615</v>
      </c>
      <c r="I1737" s="17" t="b">
        <v>1</v>
      </c>
      <c r="J1737" s="6" t="s">
        <v>546</v>
      </c>
      <c r="K1737" s="10"/>
      <c r="L1737" s="10"/>
      <c r="M1737" s="10"/>
      <c r="N1737" s="10"/>
      <c r="O1737" s="18">
        <v>110.0</v>
      </c>
      <c r="P1737" s="18">
        <v>1811737.0</v>
      </c>
      <c r="Q1737" s="17" t="b">
        <v>1</v>
      </c>
      <c r="R1737" s="10"/>
    </row>
    <row r="1738">
      <c r="A1738" s="6" t="s">
        <v>8977</v>
      </c>
      <c r="B1738" s="6" t="s">
        <v>35</v>
      </c>
      <c r="C1738" s="8">
        <v>45982.0</v>
      </c>
      <c r="D1738" s="6" t="s">
        <v>2096</v>
      </c>
      <c r="E1738" s="6" t="s">
        <v>10620</v>
      </c>
      <c r="F1738" s="10"/>
      <c r="G1738" s="6" t="s">
        <v>10622</v>
      </c>
      <c r="H1738" s="6" t="s">
        <v>10623</v>
      </c>
      <c r="I1738" s="17" t="b">
        <v>1</v>
      </c>
      <c r="J1738" s="6" t="s">
        <v>546</v>
      </c>
      <c r="K1738" s="10"/>
      <c r="L1738" s="10"/>
      <c r="M1738" s="10"/>
      <c r="N1738" s="10"/>
      <c r="O1738" s="18">
        <v>15.0</v>
      </c>
      <c r="P1738" s="18">
        <v>1811507.0</v>
      </c>
      <c r="Q1738" s="17" t="b">
        <v>1</v>
      </c>
      <c r="R1738" s="10"/>
    </row>
    <row r="1739">
      <c r="A1739" s="6" t="s">
        <v>8979</v>
      </c>
      <c r="B1739" s="6" t="s">
        <v>35</v>
      </c>
      <c r="C1739" s="8">
        <v>45982.0</v>
      </c>
      <c r="D1739" s="6" t="s">
        <v>3716</v>
      </c>
      <c r="E1739" s="6" t="s">
        <v>10626</v>
      </c>
      <c r="F1739" s="10"/>
      <c r="G1739" s="6" t="s">
        <v>10627</v>
      </c>
      <c r="H1739" s="6" t="s">
        <v>10628</v>
      </c>
      <c r="I1739" s="17" t="b">
        <v>1</v>
      </c>
      <c r="J1739" s="6" t="s">
        <v>546</v>
      </c>
      <c r="K1739" s="10"/>
      <c r="L1739" s="10"/>
      <c r="M1739" s="10"/>
      <c r="N1739" s="10"/>
      <c r="O1739" s="18">
        <v>527.3</v>
      </c>
      <c r="P1739" s="18">
        <v>1811309.0</v>
      </c>
      <c r="Q1739" s="17" t="b">
        <v>1</v>
      </c>
      <c r="R1739" s="10"/>
    </row>
    <row r="1740">
      <c r="A1740" s="6" t="s">
        <v>8984</v>
      </c>
      <c r="B1740" s="6" t="s">
        <v>35</v>
      </c>
      <c r="C1740" s="8">
        <v>45982.0</v>
      </c>
      <c r="D1740" s="6" t="s">
        <v>1918</v>
      </c>
      <c r="E1740" s="6" t="s">
        <v>10633</v>
      </c>
      <c r="F1740" s="10"/>
      <c r="G1740" s="6" t="s">
        <v>10634</v>
      </c>
      <c r="H1740" s="6" t="s">
        <v>10635</v>
      </c>
      <c r="I1740" s="17" t="b">
        <v>1</v>
      </c>
      <c r="J1740" s="6" t="s">
        <v>546</v>
      </c>
      <c r="K1740" s="10"/>
      <c r="L1740" s="10"/>
      <c r="M1740" s="10"/>
      <c r="N1740" s="10"/>
      <c r="O1740" s="18">
        <v>27.8</v>
      </c>
      <c r="P1740" s="18">
        <v>1811005.0</v>
      </c>
      <c r="Q1740" s="17" t="b">
        <v>1</v>
      </c>
      <c r="R1740" s="10"/>
    </row>
    <row r="1741">
      <c r="A1741" s="6" t="s">
        <v>8987</v>
      </c>
      <c r="B1741" s="6" t="s">
        <v>35</v>
      </c>
      <c r="C1741" s="8">
        <v>45980.0</v>
      </c>
      <c r="D1741" s="6" t="s">
        <v>10042</v>
      </c>
      <c r="E1741" s="6" t="s">
        <v>10638</v>
      </c>
      <c r="F1741" s="10"/>
      <c r="G1741" s="6" t="s">
        <v>10641</v>
      </c>
      <c r="H1741" s="6" t="s">
        <v>10036</v>
      </c>
      <c r="I1741" s="17" t="b">
        <v>1</v>
      </c>
      <c r="J1741" s="6" t="s">
        <v>546</v>
      </c>
      <c r="K1741" s="10"/>
      <c r="L1741" s="10"/>
      <c r="M1741" s="10"/>
      <c r="N1741" s="10"/>
      <c r="O1741" s="18">
        <v>100.0</v>
      </c>
      <c r="P1741" s="18">
        <v>1807247.0</v>
      </c>
      <c r="Q1741" s="17" t="b">
        <v>1</v>
      </c>
      <c r="R1741" s="10"/>
    </row>
    <row r="1742">
      <c r="A1742" s="6" t="s">
        <v>8990</v>
      </c>
      <c r="B1742" s="6" t="s">
        <v>35</v>
      </c>
      <c r="C1742" s="8">
        <v>45981.0</v>
      </c>
      <c r="D1742" s="6" t="s">
        <v>10038</v>
      </c>
      <c r="E1742" s="6" t="s">
        <v>10645</v>
      </c>
      <c r="F1742" s="10"/>
      <c r="G1742" s="6" t="s">
        <v>10646</v>
      </c>
      <c r="H1742" s="6" t="s">
        <v>10177</v>
      </c>
      <c r="I1742" s="17" t="b">
        <v>1</v>
      </c>
      <c r="J1742" s="6" t="s">
        <v>546</v>
      </c>
      <c r="K1742" s="10"/>
      <c r="L1742" s="10"/>
      <c r="M1742" s="10"/>
      <c r="N1742" s="10"/>
      <c r="O1742" s="18">
        <v>130.0</v>
      </c>
      <c r="P1742" s="18">
        <v>1809165.0</v>
      </c>
      <c r="Q1742" s="17" t="b">
        <v>1</v>
      </c>
      <c r="R1742" s="10"/>
    </row>
    <row r="1743">
      <c r="A1743" s="6" t="s">
        <v>8993</v>
      </c>
      <c r="B1743" s="6" t="s">
        <v>35</v>
      </c>
      <c r="C1743" s="8">
        <v>45981.0</v>
      </c>
      <c r="D1743" s="6" t="s">
        <v>10047</v>
      </c>
      <c r="E1743" s="6" t="s">
        <v>10652</v>
      </c>
      <c r="F1743" s="10"/>
      <c r="G1743" s="6" t="s">
        <v>10653</v>
      </c>
      <c r="H1743" s="6" t="s">
        <v>10036</v>
      </c>
      <c r="I1743" s="17" t="b">
        <v>1</v>
      </c>
      <c r="J1743" s="6" t="s">
        <v>546</v>
      </c>
      <c r="K1743" s="10"/>
      <c r="L1743" s="10"/>
      <c r="M1743" s="10"/>
      <c r="N1743" s="10"/>
      <c r="O1743" s="18">
        <v>104.0</v>
      </c>
      <c r="P1743" s="18">
        <v>1809160.0</v>
      </c>
      <c r="Q1743" s="17" t="b">
        <v>1</v>
      </c>
      <c r="R1743" s="10"/>
    </row>
    <row r="1744">
      <c r="A1744" s="6" t="s">
        <v>8995</v>
      </c>
      <c r="B1744" s="6" t="s">
        <v>35</v>
      </c>
      <c r="C1744" s="8">
        <v>45982.0</v>
      </c>
      <c r="D1744" s="6" t="s">
        <v>10042</v>
      </c>
      <c r="E1744" s="6" t="s">
        <v>10657</v>
      </c>
      <c r="F1744" s="10"/>
      <c r="G1744" s="6" t="s">
        <v>10658</v>
      </c>
      <c r="H1744" s="6" t="s">
        <v>10036</v>
      </c>
      <c r="I1744" s="17" t="b">
        <v>1</v>
      </c>
      <c r="J1744" s="6" t="s">
        <v>546</v>
      </c>
      <c r="K1744" s="10"/>
      <c r="L1744" s="10"/>
      <c r="M1744" s="10"/>
      <c r="N1744" s="10"/>
      <c r="O1744" s="18">
        <v>90.0</v>
      </c>
      <c r="P1744" s="18">
        <v>1811748.0</v>
      </c>
      <c r="Q1744" s="17" t="b">
        <v>1</v>
      </c>
      <c r="R1744" s="10"/>
    </row>
    <row r="1745">
      <c r="A1745" s="6" t="s">
        <v>8999</v>
      </c>
      <c r="B1745" s="6" t="s">
        <v>35</v>
      </c>
      <c r="C1745" s="8">
        <v>45983.0</v>
      </c>
      <c r="D1745" s="6" t="s">
        <v>10661</v>
      </c>
      <c r="E1745" s="6" t="s">
        <v>10663</v>
      </c>
      <c r="F1745" s="10"/>
      <c r="G1745" s="6" t="s">
        <v>10665</v>
      </c>
      <c r="H1745" s="6" t="s">
        <v>10036</v>
      </c>
      <c r="I1745" s="17" t="b">
        <v>1</v>
      </c>
      <c r="J1745" s="6" t="s">
        <v>546</v>
      </c>
      <c r="K1745" s="10"/>
      <c r="L1745" s="10"/>
      <c r="M1745" s="10"/>
      <c r="N1745" s="10"/>
      <c r="O1745" s="18">
        <v>130.0</v>
      </c>
      <c r="P1745" s="18">
        <v>1814045.0</v>
      </c>
      <c r="Q1745" s="17" t="b">
        <v>1</v>
      </c>
      <c r="R1745" s="10"/>
    </row>
    <row r="1746">
      <c r="A1746" s="6" t="s">
        <v>9003</v>
      </c>
      <c r="B1746" s="6" t="s">
        <v>35</v>
      </c>
      <c r="C1746" s="8">
        <v>45983.0</v>
      </c>
      <c r="D1746" s="6" t="s">
        <v>10038</v>
      </c>
      <c r="E1746" s="6" t="s">
        <v>10669</v>
      </c>
      <c r="F1746" s="10"/>
      <c r="G1746" s="6" t="s">
        <v>10670</v>
      </c>
      <c r="H1746" s="6" t="s">
        <v>10036</v>
      </c>
      <c r="I1746" s="17" t="b">
        <v>1</v>
      </c>
      <c r="J1746" s="6" t="s">
        <v>546</v>
      </c>
      <c r="K1746" s="10"/>
      <c r="L1746" s="10"/>
      <c r="M1746" s="10"/>
      <c r="N1746" s="10"/>
      <c r="O1746" s="18">
        <v>130.0</v>
      </c>
      <c r="P1746" s="18">
        <v>1814648.0</v>
      </c>
      <c r="Q1746" s="17" t="b">
        <v>1</v>
      </c>
      <c r="R1746" s="10"/>
    </row>
    <row r="1747">
      <c r="A1747" s="6" t="s">
        <v>9005</v>
      </c>
      <c r="B1747" s="6" t="s">
        <v>35</v>
      </c>
      <c r="C1747" s="8">
        <v>45984.0</v>
      </c>
      <c r="D1747" s="6" t="s">
        <v>10676</v>
      </c>
      <c r="E1747" s="6" t="s">
        <v>10678</v>
      </c>
      <c r="F1747" s="10"/>
      <c r="G1747" s="6" t="s">
        <v>10680</v>
      </c>
      <c r="H1747" s="6" t="s">
        <v>10036</v>
      </c>
      <c r="I1747" s="17" t="b">
        <v>1</v>
      </c>
      <c r="J1747" s="6" t="s">
        <v>546</v>
      </c>
      <c r="K1747" s="10"/>
      <c r="L1747" s="10"/>
      <c r="M1747" s="10"/>
      <c r="N1747" s="10"/>
      <c r="O1747" s="18">
        <v>65.0</v>
      </c>
      <c r="P1747" s="18">
        <v>1816981.0</v>
      </c>
      <c r="Q1747" s="17" t="b">
        <v>1</v>
      </c>
      <c r="R1747" s="10"/>
    </row>
    <row r="1748">
      <c r="A1748" s="6" t="s">
        <v>9008</v>
      </c>
      <c r="B1748" s="6" t="s">
        <v>35</v>
      </c>
      <c r="C1748" s="8">
        <v>45984.0</v>
      </c>
      <c r="D1748" s="6" t="s">
        <v>10047</v>
      </c>
      <c r="E1748" s="6" t="s">
        <v>10685</v>
      </c>
      <c r="F1748" s="10"/>
      <c r="G1748" s="6" t="s">
        <v>10687</v>
      </c>
      <c r="H1748" s="6" t="s">
        <v>10036</v>
      </c>
      <c r="I1748" s="17" t="b">
        <v>1</v>
      </c>
      <c r="J1748" s="6" t="s">
        <v>546</v>
      </c>
      <c r="K1748" s="10"/>
      <c r="L1748" s="10"/>
      <c r="M1748" s="10"/>
      <c r="N1748" s="10"/>
      <c r="O1748" s="18">
        <v>130.0</v>
      </c>
      <c r="P1748" s="18">
        <v>1816977.0</v>
      </c>
      <c r="Q1748" s="17" t="b">
        <v>1</v>
      </c>
      <c r="R1748" s="10"/>
    </row>
    <row r="1749">
      <c r="A1749" s="6" t="s">
        <v>9010</v>
      </c>
      <c r="B1749" s="6" t="s">
        <v>35</v>
      </c>
      <c r="C1749" s="8">
        <v>45984.0</v>
      </c>
      <c r="D1749" s="6" t="s">
        <v>10033</v>
      </c>
      <c r="E1749" s="6" t="s">
        <v>10692</v>
      </c>
      <c r="F1749" s="10"/>
      <c r="G1749" s="6" t="s">
        <v>10694</v>
      </c>
      <c r="H1749" s="6" t="s">
        <v>10036</v>
      </c>
      <c r="I1749" s="17" t="b">
        <v>1</v>
      </c>
      <c r="J1749" s="6" t="s">
        <v>546</v>
      </c>
      <c r="K1749" s="10"/>
      <c r="L1749" s="10"/>
      <c r="M1749" s="10"/>
      <c r="N1749" s="10"/>
      <c r="O1749" s="18">
        <v>130.0</v>
      </c>
      <c r="P1749" s="18">
        <v>1816975.0</v>
      </c>
      <c r="Q1749" s="17" t="b">
        <v>1</v>
      </c>
      <c r="R1749" s="10"/>
    </row>
    <row r="1750">
      <c r="A1750" s="6" t="s">
        <v>9012</v>
      </c>
      <c r="B1750" s="6" t="s">
        <v>35</v>
      </c>
      <c r="C1750" s="8">
        <v>45979.0</v>
      </c>
      <c r="D1750" s="6" t="s">
        <v>9989</v>
      </c>
      <c r="E1750" s="6" t="s">
        <v>10699</v>
      </c>
      <c r="F1750" s="10"/>
      <c r="G1750" s="6" t="s">
        <v>10700</v>
      </c>
      <c r="H1750" s="6" t="s">
        <v>6914</v>
      </c>
      <c r="I1750" s="17" t="b">
        <v>1</v>
      </c>
      <c r="J1750" s="6" t="s">
        <v>546</v>
      </c>
      <c r="K1750" s="10"/>
      <c r="L1750" s="10"/>
      <c r="M1750" s="10"/>
      <c r="N1750" s="10"/>
      <c r="O1750" s="18">
        <v>75.0</v>
      </c>
      <c r="P1750" s="18">
        <v>1805537.0</v>
      </c>
      <c r="Q1750" s="17" t="b">
        <v>1</v>
      </c>
      <c r="R1750" s="10"/>
    </row>
    <row r="1751">
      <c r="A1751" s="6" t="s">
        <v>9014</v>
      </c>
      <c r="B1751" s="6" t="s">
        <v>35</v>
      </c>
      <c r="C1751" s="8">
        <v>45980.0</v>
      </c>
      <c r="D1751" s="6" t="s">
        <v>10070</v>
      </c>
      <c r="E1751" s="6" t="s">
        <v>10704</v>
      </c>
      <c r="F1751" s="10"/>
      <c r="G1751" s="6" t="s">
        <v>10706</v>
      </c>
      <c r="H1751" s="6" t="s">
        <v>6914</v>
      </c>
      <c r="I1751" s="17" t="b">
        <v>1</v>
      </c>
      <c r="J1751" s="6" t="s">
        <v>546</v>
      </c>
      <c r="K1751" s="10"/>
      <c r="L1751" s="10"/>
      <c r="M1751" s="10"/>
      <c r="N1751" s="10"/>
      <c r="O1751" s="18">
        <v>20.0</v>
      </c>
      <c r="P1751" s="18">
        <v>1807245.0</v>
      </c>
      <c r="Q1751" s="17" t="b">
        <v>1</v>
      </c>
      <c r="R1751" s="10"/>
    </row>
    <row r="1752">
      <c r="A1752" s="6" t="s">
        <v>9016</v>
      </c>
      <c r="B1752" s="6" t="s">
        <v>35</v>
      </c>
      <c r="C1752" s="8">
        <v>45980.0</v>
      </c>
      <c r="D1752" s="6" t="s">
        <v>9989</v>
      </c>
      <c r="E1752" s="6" t="s">
        <v>10709</v>
      </c>
      <c r="F1752" s="10"/>
      <c r="G1752" s="6" t="s">
        <v>10710</v>
      </c>
      <c r="H1752" s="6" t="s">
        <v>6914</v>
      </c>
      <c r="I1752" s="17" t="b">
        <v>1</v>
      </c>
      <c r="J1752" s="6" t="s">
        <v>546</v>
      </c>
      <c r="K1752" s="10"/>
      <c r="L1752" s="10"/>
      <c r="M1752" s="10"/>
      <c r="N1752" s="10"/>
      <c r="O1752" s="18">
        <v>80.0</v>
      </c>
      <c r="P1752" s="18">
        <v>1807248.0</v>
      </c>
      <c r="Q1752" s="17" t="b">
        <v>1</v>
      </c>
      <c r="R1752" s="10"/>
    </row>
    <row r="1753">
      <c r="A1753" s="6" t="s">
        <v>9018</v>
      </c>
      <c r="B1753" s="6" t="s">
        <v>35</v>
      </c>
      <c r="C1753" s="8">
        <v>45981.0</v>
      </c>
      <c r="D1753" s="6" t="s">
        <v>9989</v>
      </c>
      <c r="E1753" s="6" t="s">
        <v>10716</v>
      </c>
      <c r="F1753" s="10"/>
      <c r="G1753" s="6" t="s">
        <v>10717</v>
      </c>
      <c r="H1753" s="6" t="s">
        <v>6914</v>
      </c>
      <c r="I1753" s="17" t="b">
        <v>1</v>
      </c>
      <c r="J1753" s="6" t="s">
        <v>546</v>
      </c>
      <c r="K1753" s="10"/>
      <c r="L1753" s="10"/>
      <c r="M1753" s="10"/>
      <c r="N1753" s="10"/>
      <c r="O1753" s="18">
        <v>273.0</v>
      </c>
      <c r="P1753" s="18">
        <v>1809161.0</v>
      </c>
      <c r="Q1753" s="17" t="b">
        <v>1</v>
      </c>
      <c r="R1753" s="10"/>
    </row>
    <row r="1754">
      <c r="A1754" s="6" t="s">
        <v>9020</v>
      </c>
      <c r="B1754" s="6" t="s">
        <v>35</v>
      </c>
      <c r="C1754" s="8">
        <v>45981.0</v>
      </c>
      <c r="D1754" s="6" t="s">
        <v>10009</v>
      </c>
      <c r="E1754" s="6" t="s">
        <v>10723</v>
      </c>
      <c r="F1754" s="10"/>
      <c r="G1754" s="6" t="s">
        <v>10726</v>
      </c>
      <c r="H1754" s="6" t="s">
        <v>6914</v>
      </c>
      <c r="I1754" s="17" t="b">
        <v>1</v>
      </c>
      <c r="J1754" s="6" t="s">
        <v>546</v>
      </c>
      <c r="K1754" s="10"/>
      <c r="L1754" s="10"/>
      <c r="M1754" s="10"/>
      <c r="N1754" s="10"/>
      <c r="O1754" s="18">
        <v>58.0</v>
      </c>
      <c r="P1754" s="18">
        <v>1809767.0</v>
      </c>
      <c r="Q1754" s="17" t="b">
        <v>1</v>
      </c>
      <c r="R1754" s="10"/>
    </row>
    <row r="1755">
      <c r="A1755" s="6" t="s">
        <v>9022</v>
      </c>
      <c r="B1755" s="6" t="s">
        <v>35</v>
      </c>
      <c r="C1755" s="8">
        <v>45982.0</v>
      </c>
      <c r="D1755" s="6" t="s">
        <v>9989</v>
      </c>
      <c r="E1755" s="6" t="s">
        <v>10732</v>
      </c>
      <c r="F1755" s="10"/>
      <c r="G1755" s="6" t="s">
        <v>10734</v>
      </c>
      <c r="H1755" s="6" t="s">
        <v>6914</v>
      </c>
      <c r="I1755" s="17" t="b">
        <v>1</v>
      </c>
      <c r="J1755" s="6" t="s">
        <v>546</v>
      </c>
      <c r="K1755" s="10"/>
      <c r="L1755" s="10"/>
      <c r="M1755" s="10"/>
      <c r="N1755" s="10"/>
      <c r="O1755" s="18">
        <v>101.0</v>
      </c>
      <c r="P1755" s="18">
        <v>1811776.0</v>
      </c>
      <c r="Q1755" s="17" t="b">
        <v>1</v>
      </c>
      <c r="R1755" s="10"/>
    </row>
    <row r="1756">
      <c r="A1756" s="6" t="s">
        <v>9026</v>
      </c>
      <c r="B1756" s="6" t="s">
        <v>35</v>
      </c>
      <c r="C1756" s="8">
        <v>45982.0</v>
      </c>
      <c r="D1756" s="6" t="s">
        <v>10009</v>
      </c>
      <c r="E1756" s="6" t="s">
        <v>10738</v>
      </c>
      <c r="F1756" s="10"/>
      <c r="G1756" s="6" t="s">
        <v>10740</v>
      </c>
      <c r="H1756" s="6" t="s">
        <v>6914</v>
      </c>
      <c r="I1756" s="17" t="b">
        <v>1</v>
      </c>
      <c r="J1756" s="6" t="s">
        <v>546</v>
      </c>
      <c r="K1756" s="10"/>
      <c r="L1756" s="10"/>
      <c r="M1756" s="10"/>
      <c r="N1756" s="10"/>
      <c r="O1756" s="18">
        <v>35.0</v>
      </c>
      <c r="P1756" s="18">
        <v>1812197.0</v>
      </c>
      <c r="Q1756" s="17" t="b">
        <v>1</v>
      </c>
      <c r="R1756" s="10"/>
    </row>
    <row r="1757">
      <c r="A1757" s="6" t="s">
        <v>9028</v>
      </c>
      <c r="B1757" s="6" t="s">
        <v>35</v>
      </c>
      <c r="C1757" s="8">
        <v>45983.0</v>
      </c>
      <c r="D1757" s="6" t="s">
        <v>9989</v>
      </c>
      <c r="E1757" s="6" t="s">
        <v>10743</v>
      </c>
      <c r="F1757" s="10"/>
      <c r="G1757" s="6" t="s">
        <v>10744</v>
      </c>
      <c r="H1757" s="6" t="s">
        <v>6914</v>
      </c>
      <c r="I1757" s="17" t="b">
        <v>1</v>
      </c>
      <c r="J1757" s="6" t="s">
        <v>546</v>
      </c>
      <c r="K1757" s="10"/>
      <c r="L1757" s="10"/>
      <c r="M1757" s="10"/>
      <c r="N1757" s="10"/>
      <c r="O1757" s="18">
        <v>105.0</v>
      </c>
      <c r="P1757" s="18">
        <v>1814373.0</v>
      </c>
      <c r="Q1757" s="17" t="b">
        <v>1</v>
      </c>
      <c r="R1757" s="10"/>
    </row>
    <row r="1758">
      <c r="A1758" s="6" t="s">
        <v>9033</v>
      </c>
      <c r="B1758" s="6" t="s">
        <v>35</v>
      </c>
      <c r="C1758" s="8">
        <v>45985.0</v>
      </c>
      <c r="D1758" s="6" t="s">
        <v>7890</v>
      </c>
      <c r="E1758" s="6" t="s">
        <v>10747</v>
      </c>
      <c r="F1758" s="10"/>
      <c r="G1758" s="6" t="s">
        <v>10749</v>
      </c>
      <c r="H1758" s="6" t="s">
        <v>10750</v>
      </c>
      <c r="I1758" s="17" t="b">
        <v>1</v>
      </c>
      <c r="J1758" s="6" t="s">
        <v>546</v>
      </c>
      <c r="K1758" s="10"/>
      <c r="L1758" s="10"/>
      <c r="M1758" s="10"/>
      <c r="N1758" s="10"/>
      <c r="O1758" s="18">
        <v>48.0</v>
      </c>
      <c r="P1758" s="18">
        <v>1818515.0</v>
      </c>
      <c r="Q1758" s="17" t="b">
        <v>1</v>
      </c>
      <c r="R1758" s="10"/>
    </row>
    <row r="1759">
      <c r="A1759" s="6" t="s">
        <v>9036</v>
      </c>
      <c r="B1759" s="6" t="s">
        <v>35</v>
      </c>
      <c r="C1759" s="8">
        <v>45980.0</v>
      </c>
      <c r="D1759" s="6" t="s">
        <v>1036</v>
      </c>
      <c r="E1759" s="6" t="s">
        <v>10753</v>
      </c>
      <c r="F1759" s="10"/>
      <c r="G1759" s="6" t="s">
        <v>10754</v>
      </c>
      <c r="H1759" s="6" t="s">
        <v>10756</v>
      </c>
      <c r="I1759" s="17" t="b">
        <v>0</v>
      </c>
      <c r="J1759" s="6" t="s">
        <v>546</v>
      </c>
      <c r="K1759" s="10"/>
      <c r="L1759" s="6" t="s">
        <v>10757</v>
      </c>
      <c r="M1759" s="10"/>
      <c r="N1759" s="10"/>
      <c r="O1759" s="18">
        <v>124.16</v>
      </c>
      <c r="P1759" s="10"/>
      <c r="Q1759" s="17" t="b">
        <v>1</v>
      </c>
      <c r="R1759" s="10"/>
    </row>
    <row r="1760">
      <c r="A1760" s="6" t="s">
        <v>9039</v>
      </c>
      <c r="B1760" s="6" t="s">
        <v>35</v>
      </c>
      <c r="C1760" s="8">
        <v>45982.0</v>
      </c>
      <c r="D1760" s="6" t="s">
        <v>9260</v>
      </c>
      <c r="E1760" s="6" t="s">
        <v>10761</v>
      </c>
      <c r="F1760" s="10"/>
      <c r="G1760" s="6" t="s">
        <v>10762</v>
      </c>
      <c r="H1760" s="6" t="s">
        <v>9956</v>
      </c>
      <c r="I1760" s="17" t="b">
        <v>0</v>
      </c>
      <c r="J1760" s="6" t="s">
        <v>546</v>
      </c>
      <c r="K1760" s="10"/>
      <c r="L1760" s="10"/>
      <c r="M1760" s="10"/>
      <c r="N1760" s="10"/>
      <c r="O1760" s="18">
        <v>386.17</v>
      </c>
      <c r="P1760" s="10"/>
      <c r="Q1760" s="17" t="b">
        <v>1</v>
      </c>
      <c r="R1760" s="10"/>
    </row>
    <row r="1761">
      <c r="A1761" s="6" t="s">
        <v>9043</v>
      </c>
      <c r="B1761" s="6" t="s">
        <v>35</v>
      </c>
      <c r="C1761" s="8">
        <v>45986.0</v>
      </c>
      <c r="D1761" s="6" t="s">
        <v>7095</v>
      </c>
      <c r="E1761" s="6" t="s">
        <v>10767</v>
      </c>
      <c r="F1761" s="10"/>
      <c r="G1761" s="6" t="s">
        <v>10768</v>
      </c>
      <c r="H1761" s="6" t="s">
        <v>10769</v>
      </c>
      <c r="I1761" s="17" t="b">
        <v>0</v>
      </c>
      <c r="J1761" s="6" t="s">
        <v>546</v>
      </c>
      <c r="K1761" s="10"/>
      <c r="L1761" s="6" t="s">
        <v>10771</v>
      </c>
      <c r="M1761" s="10"/>
      <c r="N1761" s="10"/>
      <c r="O1761" s="18">
        <v>525.14</v>
      </c>
      <c r="P1761" s="10"/>
      <c r="Q1761" s="17" t="b">
        <v>1</v>
      </c>
      <c r="R1761" s="10"/>
    </row>
    <row r="1762">
      <c r="A1762" s="6" t="s">
        <v>9062</v>
      </c>
      <c r="B1762" s="6" t="s">
        <v>35</v>
      </c>
      <c r="C1762" s="8">
        <v>45987.0</v>
      </c>
      <c r="D1762" s="10"/>
      <c r="E1762" s="10"/>
      <c r="F1762" s="10"/>
      <c r="G1762" s="10"/>
      <c r="H1762" s="6" t="s">
        <v>1329</v>
      </c>
      <c r="I1762" s="10"/>
      <c r="J1762" s="6" t="s">
        <v>539</v>
      </c>
      <c r="K1762" s="6" t="s">
        <v>2052</v>
      </c>
      <c r="L1762" s="10"/>
      <c r="M1762" s="10"/>
      <c r="N1762" s="10"/>
      <c r="O1762" s="18">
        <v>500.0</v>
      </c>
      <c r="P1762" s="10"/>
      <c r="Q1762" s="17" t="b">
        <v>1</v>
      </c>
      <c r="R1762" s="10"/>
    </row>
    <row r="1763">
      <c r="A1763" s="6" t="s">
        <v>9066</v>
      </c>
      <c r="B1763" s="6" t="s">
        <v>35</v>
      </c>
      <c r="C1763" s="8">
        <v>45987.0</v>
      </c>
      <c r="D1763" s="10"/>
      <c r="E1763" s="10"/>
      <c r="F1763" s="10"/>
      <c r="G1763" s="10"/>
      <c r="H1763" s="6" t="s">
        <v>1329</v>
      </c>
      <c r="I1763" s="10"/>
      <c r="J1763" s="6" t="s">
        <v>539</v>
      </c>
      <c r="K1763" s="6" t="s">
        <v>6062</v>
      </c>
      <c r="L1763" s="10"/>
      <c r="M1763" s="10"/>
      <c r="N1763" s="10"/>
      <c r="O1763" s="18">
        <v>500.0</v>
      </c>
      <c r="P1763" s="10"/>
      <c r="Q1763" s="17" t="b">
        <v>1</v>
      </c>
      <c r="R1763" s="10"/>
    </row>
    <row r="1764">
      <c r="A1764" s="6" t="s">
        <v>9069</v>
      </c>
      <c r="B1764" s="6" t="s">
        <v>35</v>
      </c>
      <c r="C1764" s="8">
        <v>45987.0</v>
      </c>
      <c r="D1764" s="10"/>
      <c r="E1764" s="10"/>
      <c r="F1764" s="10"/>
      <c r="G1764" s="10"/>
      <c r="H1764" s="6" t="s">
        <v>1329</v>
      </c>
      <c r="I1764" s="10"/>
      <c r="J1764" s="6" t="s">
        <v>539</v>
      </c>
      <c r="K1764" s="6" t="s">
        <v>227</v>
      </c>
      <c r="L1764" s="10"/>
      <c r="M1764" s="10"/>
      <c r="N1764" s="10"/>
      <c r="O1764" s="18">
        <v>500.0</v>
      </c>
      <c r="P1764" s="10"/>
      <c r="Q1764" s="17" t="b">
        <v>1</v>
      </c>
      <c r="R1764" s="10"/>
    </row>
    <row r="1765">
      <c r="A1765" s="6" t="s">
        <v>9071</v>
      </c>
      <c r="B1765" s="6" t="s">
        <v>35</v>
      </c>
      <c r="C1765" s="8">
        <v>45986.0</v>
      </c>
      <c r="D1765" s="6" t="s">
        <v>890</v>
      </c>
      <c r="E1765" s="6" t="s">
        <v>10784</v>
      </c>
      <c r="F1765" s="10"/>
      <c r="G1765" s="6" t="s">
        <v>10786</v>
      </c>
      <c r="H1765" s="6" t="s">
        <v>4787</v>
      </c>
      <c r="I1765" s="17" t="b">
        <v>0</v>
      </c>
      <c r="J1765" s="6" t="s">
        <v>546</v>
      </c>
      <c r="K1765" s="10"/>
      <c r="L1765" s="6" t="s">
        <v>10788</v>
      </c>
      <c r="M1765" s="6" t="s">
        <v>10790</v>
      </c>
      <c r="N1765" s="10"/>
      <c r="O1765" s="18">
        <v>23237.56</v>
      </c>
      <c r="P1765" s="10"/>
      <c r="Q1765" s="17" t="b">
        <v>1</v>
      </c>
      <c r="R1765" s="10"/>
    </row>
    <row r="1766">
      <c r="A1766" s="6" t="s">
        <v>9075</v>
      </c>
      <c r="B1766" s="6" t="s">
        <v>35</v>
      </c>
      <c r="C1766" s="8">
        <v>45988.0</v>
      </c>
      <c r="D1766" s="6" t="s">
        <v>112</v>
      </c>
      <c r="E1766" s="6" t="s">
        <v>10792</v>
      </c>
      <c r="F1766" s="10"/>
      <c r="G1766" s="6" t="s">
        <v>10793</v>
      </c>
      <c r="H1766" s="6" t="s">
        <v>157</v>
      </c>
      <c r="I1766" s="17" t="b">
        <v>0</v>
      </c>
      <c r="J1766" s="6" t="s">
        <v>546</v>
      </c>
      <c r="K1766" s="10"/>
      <c r="L1766" s="10"/>
      <c r="M1766" s="10"/>
      <c r="N1766" s="10"/>
      <c r="O1766" s="18">
        <v>364.52</v>
      </c>
      <c r="P1766" s="10"/>
      <c r="Q1766" s="17" t="b">
        <v>1</v>
      </c>
      <c r="R1766" s="10"/>
    </row>
    <row r="1767">
      <c r="A1767" s="6" t="s">
        <v>9086</v>
      </c>
      <c r="B1767" s="6" t="s">
        <v>35</v>
      </c>
      <c r="C1767" s="8">
        <v>45983.0</v>
      </c>
      <c r="D1767" s="6" t="s">
        <v>233</v>
      </c>
      <c r="E1767" s="6" t="s">
        <v>10797</v>
      </c>
      <c r="F1767" s="10"/>
      <c r="G1767" s="6" t="s">
        <v>10799</v>
      </c>
      <c r="H1767" s="6" t="s">
        <v>4248</v>
      </c>
      <c r="I1767" s="17" t="b">
        <v>1</v>
      </c>
      <c r="J1767" s="6" t="s">
        <v>546</v>
      </c>
      <c r="K1767" s="10"/>
      <c r="L1767" s="10"/>
      <c r="M1767" s="10"/>
      <c r="N1767" s="10"/>
      <c r="O1767" s="18">
        <v>86.72</v>
      </c>
      <c r="P1767" s="18">
        <v>1820102.0</v>
      </c>
      <c r="Q1767" s="17" t="b">
        <v>1</v>
      </c>
      <c r="R1767" s="10"/>
    </row>
    <row r="1768">
      <c r="A1768" s="6" t="s">
        <v>9088</v>
      </c>
      <c r="B1768" s="6" t="s">
        <v>35</v>
      </c>
      <c r="C1768" s="8">
        <v>45985.0</v>
      </c>
      <c r="D1768" s="6" t="s">
        <v>9989</v>
      </c>
      <c r="E1768" s="6" t="s">
        <v>10802</v>
      </c>
      <c r="F1768" s="10"/>
      <c r="G1768" s="6" t="s">
        <v>10803</v>
      </c>
      <c r="H1768" s="6" t="s">
        <v>6914</v>
      </c>
      <c r="I1768" s="17" t="b">
        <v>1</v>
      </c>
      <c r="J1768" s="6" t="s">
        <v>546</v>
      </c>
      <c r="K1768" s="10"/>
      <c r="L1768" s="10"/>
      <c r="M1768" s="10"/>
      <c r="N1768" s="10"/>
      <c r="O1768" s="18">
        <v>53.0</v>
      </c>
      <c r="P1768" s="18">
        <v>1818931.0</v>
      </c>
      <c r="Q1768" s="17" t="b">
        <v>1</v>
      </c>
      <c r="R1768" s="10"/>
    </row>
    <row r="1769">
      <c r="A1769" s="6" t="s">
        <v>9093</v>
      </c>
      <c r="B1769" s="6" t="s">
        <v>35</v>
      </c>
      <c r="C1769" s="8">
        <v>45985.0</v>
      </c>
      <c r="D1769" s="6" t="s">
        <v>10070</v>
      </c>
      <c r="E1769" s="6" t="s">
        <v>10806</v>
      </c>
      <c r="F1769" s="10"/>
      <c r="G1769" s="6" t="s">
        <v>10808</v>
      </c>
      <c r="H1769" s="6" t="s">
        <v>6914</v>
      </c>
      <c r="I1769" s="17" t="b">
        <v>1</v>
      </c>
      <c r="J1769" s="6" t="s">
        <v>546</v>
      </c>
      <c r="K1769" s="10"/>
      <c r="L1769" s="10"/>
      <c r="M1769" s="10"/>
      <c r="N1769" s="10"/>
      <c r="O1769" s="18">
        <v>10.0</v>
      </c>
      <c r="P1769" s="18">
        <v>1818932.0</v>
      </c>
      <c r="Q1769" s="17" t="b">
        <v>1</v>
      </c>
      <c r="R1769" s="10"/>
    </row>
    <row r="1770">
      <c r="A1770" s="18">
        <v>4.4606334E7</v>
      </c>
      <c r="B1770" s="6" t="s">
        <v>35</v>
      </c>
      <c r="C1770" s="8">
        <v>45986.0</v>
      </c>
      <c r="D1770" s="6" t="s">
        <v>9989</v>
      </c>
      <c r="E1770" s="6" t="s">
        <v>10811</v>
      </c>
      <c r="F1770" s="10"/>
      <c r="G1770" s="6" t="s">
        <v>10812</v>
      </c>
      <c r="H1770" s="6" t="s">
        <v>6914</v>
      </c>
      <c r="I1770" s="17" t="b">
        <v>1</v>
      </c>
      <c r="J1770" s="6" t="s">
        <v>546</v>
      </c>
      <c r="K1770" s="10"/>
      <c r="L1770" s="10"/>
      <c r="M1770" s="10"/>
      <c r="N1770" s="10"/>
      <c r="O1770" s="18">
        <v>93.0</v>
      </c>
      <c r="P1770" s="18">
        <v>1820888.0</v>
      </c>
      <c r="Q1770" s="17" t="b">
        <v>1</v>
      </c>
      <c r="R1770" s="10"/>
    </row>
    <row r="1771">
      <c r="A1771" s="6" t="s">
        <v>9096</v>
      </c>
      <c r="B1771" s="6" t="s">
        <v>35</v>
      </c>
      <c r="C1771" s="8">
        <v>45987.0</v>
      </c>
      <c r="D1771" s="6" t="s">
        <v>10070</v>
      </c>
      <c r="E1771" s="6" t="s">
        <v>10819</v>
      </c>
      <c r="F1771" s="10"/>
      <c r="G1771" s="6" t="s">
        <v>10820</v>
      </c>
      <c r="H1771" s="6" t="s">
        <v>6914</v>
      </c>
      <c r="I1771" s="17" t="b">
        <v>1</v>
      </c>
      <c r="J1771" s="6" t="s">
        <v>546</v>
      </c>
      <c r="K1771" s="10"/>
      <c r="L1771" s="10"/>
      <c r="M1771" s="10"/>
      <c r="N1771" s="10"/>
      <c r="O1771" s="18">
        <v>34.0</v>
      </c>
      <c r="P1771" s="18">
        <v>1822401.0</v>
      </c>
      <c r="Q1771" s="17" t="b">
        <v>1</v>
      </c>
      <c r="R1771" s="10"/>
    </row>
    <row r="1772">
      <c r="A1772" s="6" t="s">
        <v>9100</v>
      </c>
      <c r="B1772" s="6" t="s">
        <v>35</v>
      </c>
      <c r="C1772" s="8">
        <v>45987.0</v>
      </c>
      <c r="D1772" s="6" t="s">
        <v>9989</v>
      </c>
      <c r="E1772" s="6" t="s">
        <v>10826</v>
      </c>
      <c r="F1772" s="10"/>
      <c r="G1772" s="6" t="s">
        <v>10827</v>
      </c>
      <c r="H1772" s="6" t="s">
        <v>6914</v>
      </c>
      <c r="I1772" s="17" t="b">
        <v>1</v>
      </c>
      <c r="J1772" s="6" t="s">
        <v>546</v>
      </c>
      <c r="K1772" s="10"/>
      <c r="L1772" s="10"/>
      <c r="M1772" s="10"/>
      <c r="N1772" s="10"/>
      <c r="O1772" s="18">
        <v>30.0</v>
      </c>
      <c r="P1772" s="18">
        <v>1822400.0</v>
      </c>
      <c r="Q1772" s="17" t="b">
        <v>1</v>
      </c>
      <c r="R1772" s="10"/>
    </row>
    <row r="1773">
      <c r="A1773" s="6" t="s">
        <v>9102</v>
      </c>
      <c r="B1773" s="6" t="s">
        <v>35</v>
      </c>
      <c r="C1773" s="8">
        <v>45985.0</v>
      </c>
      <c r="D1773" s="6" t="s">
        <v>10042</v>
      </c>
      <c r="E1773" s="6" t="s">
        <v>10832</v>
      </c>
      <c r="F1773" s="10"/>
      <c r="G1773" s="6" t="s">
        <v>10834</v>
      </c>
      <c r="H1773" s="6" t="s">
        <v>10036</v>
      </c>
      <c r="I1773" s="17" t="b">
        <v>1</v>
      </c>
      <c r="J1773" s="6" t="s">
        <v>546</v>
      </c>
      <c r="K1773" s="10"/>
      <c r="L1773" s="10"/>
      <c r="M1773" s="10"/>
      <c r="N1773" s="10"/>
      <c r="O1773" s="18">
        <v>66.0</v>
      </c>
      <c r="P1773" s="18">
        <v>1818934.0</v>
      </c>
      <c r="Q1773" s="17" t="b">
        <v>1</v>
      </c>
      <c r="R1773" s="10"/>
    </row>
    <row r="1774">
      <c r="A1774" s="6" t="s">
        <v>9105</v>
      </c>
      <c r="B1774" s="6" t="s">
        <v>35</v>
      </c>
      <c r="C1774" s="8">
        <v>45986.0</v>
      </c>
      <c r="D1774" s="6" t="s">
        <v>10042</v>
      </c>
      <c r="E1774" s="6" t="s">
        <v>10837</v>
      </c>
      <c r="F1774" s="10"/>
      <c r="G1774" s="6" t="s">
        <v>10838</v>
      </c>
      <c r="H1774" s="6" t="s">
        <v>10036</v>
      </c>
      <c r="I1774" s="17" t="b">
        <v>1</v>
      </c>
      <c r="J1774" s="6" t="s">
        <v>546</v>
      </c>
      <c r="K1774" s="10"/>
      <c r="L1774" s="10"/>
      <c r="M1774" s="10"/>
      <c r="N1774" s="10"/>
      <c r="O1774" s="18">
        <v>91.0</v>
      </c>
      <c r="P1774" s="18">
        <v>1820884.0</v>
      </c>
      <c r="Q1774" s="17" t="b">
        <v>1</v>
      </c>
      <c r="R1774" s="10"/>
    </row>
    <row r="1775">
      <c r="A1775" s="6" t="s">
        <v>9108</v>
      </c>
      <c r="B1775" s="6" t="s">
        <v>35</v>
      </c>
      <c r="C1775" s="8">
        <v>45987.0</v>
      </c>
      <c r="D1775" s="6" t="s">
        <v>10042</v>
      </c>
      <c r="E1775" s="6" t="s">
        <v>10841</v>
      </c>
      <c r="F1775" s="10"/>
      <c r="G1775" s="6" t="s">
        <v>10842</v>
      </c>
      <c r="H1775" s="6" t="s">
        <v>10036</v>
      </c>
      <c r="I1775" s="17" t="b">
        <v>1</v>
      </c>
      <c r="J1775" s="6" t="s">
        <v>546</v>
      </c>
      <c r="K1775" s="10"/>
      <c r="L1775" s="10"/>
      <c r="M1775" s="10"/>
      <c r="N1775" s="10"/>
      <c r="O1775" s="18">
        <v>65.0</v>
      </c>
      <c r="P1775" s="18">
        <v>1821818.0</v>
      </c>
      <c r="Q1775" s="17" t="b">
        <v>1</v>
      </c>
      <c r="R1775" s="10"/>
    </row>
    <row r="1776">
      <c r="A1776" s="6" t="s">
        <v>9110</v>
      </c>
      <c r="B1776" s="6" t="s">
        <v>35</v>
      </c>
      <c r="C1776" s="8">
        <v>45988.0</v>
      </c>
      <c r="D1776" s="6" t="s">
        <v>764</v>
      </c>
      <c r="E1776" s="6" t="s">
        <v>10845</v>
      </c>
      <c r="F1776" s="10"/>
      <c r="G1776" s="6" t="s">
        <v>10846</v>
      </c>
      <c r="H1776" s="6" t="s">
        <v>195</v>
      </c>
      <c r="I1776" s="17" t="b">
        <v>0</v>
      </c>
      <c r="J1776" s="6" t="s">
        <v>546</v>
      </c>
      <c r="K1776" s="10"/>
      <c r="L1776" s="6" t="s">
        <v>10849</v>
      </c>
      <c r="M1776" s="10"/>
      <c r="N1776" s="10"/>
      <c r="O1776" s="18">
        <v>785.82</v>
      </c>
      <c r="P1776" s="10"/>
      <c r="Q1776" s="17" t="b">
        <v>1</v>
      </c>
      <c r="R1776" s="10"/>
    </row>
    <row r="1777">
      <c r="A1777" s="6" t="s">
        <v>9134</v>
      </c>
      <c r="B1777" s="6" t="s">
        <v>35</v>
      </c>
      <c r="C1777" s="8">
        <v>45988.0</v>
      </c>
      <c r="D1777" s="6" t="s">
        <v>2685</v>
      </c>
      <c r="E1777" s="10"/>
      <c r="F1777" s="10"/>
      <c r="G1777" s="10"/>
      <c r="H1777" s="6" t="s">
        <v>10852</v>
      </c>
      <c r="I1777" s="10"/>
      <c r="J1777" s="6" t="s">
        <v>539</v>
      </c>
      <c r="K1777" s="10"/>
      <c r="L1777" s="10"/>
      <c r="M1777" s="10"/>
      <c r="N1777" s="10"/>
      <c r="O1777" s="18">
        <v>87.22</v>
      </c>
      <c r="P1777" s="10"/>
      <c r="Q1777" s="17" t="b">
        <v>1</v>
      </c>
      <c r="R1777" s="10"/>
    </row>
    <row r="1778">
      <c r="A1778" s="6" t="s">
        <v>9136</v>
      </c>
      <c r="B1778" s="6" t="s">
        <v>35</v>
      </c>
      <c r="C1778" s="8">
        <v>45988.0</v>
      </c>
      <c r="D1778" s="6" t="s">
        <v>8582</v>
      </c>
      <c r="E1778" s="10"/>
      <c r="F1778" s="10"/>
      <c r="G1778" s="10"/>
      <c r="H1778" s="6" t="s">
        <v>10856</v>
      </c>
      <c r="I1778" s="10"/>
      <c r="J1778" s="6" t="s">
        <v>539</v>
      </c>
      <c r="K1778" s="10"/>
      <c r="L1778" s="10"/>
      <c r="M1778" s="10"/>
      <c r="N1778" s="10"/>
      <c r="O1778" s="18">
        <v>928.16</v>
      </c>
      <c r="P1778" s="10"/>
      <c r="Q1778" s="17" t="b">
        <v>1</v>
      </c>
      <c r="R1778" s="10"/>
    </row>
    <row r="1779">
      <c r="A1779" s="6" t="s">
        <v>9139</v>
      </c>
      <c r="B1779" s="6" t="s">
        <v>35</v>
      </c>
      <c r="C1779" s="8">
        <v>45989.0</v>
      </c>
      <c r="D1779" s="6" t="s">
        <v>112</v>
      </c>
      <c r="E1779" s="6" t="s">
        <v>10862</v>
      </c>
      <c r="F1779" s="10"/>
      <c r="G1779" s="6" t="s">
        <v>10863</v>
      </c>
      <c r="H1779" s="6" t="s">
        <v>157</v>
      </c>
      <c r="I1779" s="17" t="b">
        <v>0</v>
      </c>
      <c r="J1779" s="6" t="s">
        <v>546</v>
      </c>
      <c r="K1779" s="10"/>
      <c r="L1779" s="10"/>
      <c r="M1779" s="10"/>
      <c r="N1779" s="10"/>
      <c r="O1779" s="18">
        <v>621.72</v>
      </c>
      <c r="P1779" s="10"/>
      <c r="Q1779" s="17" t="b">
        <v>1</v>
      </c>
      <c r="R1779" s="10"/>
    </row>
    <row r="1780">
      <c r="A1780" s="6" t="s">
        <v>9148</v>
      </c>
      <c r="B1780" s="6" t="s">
        <v>35</v>
      </c>
      <c r="C1780" s="8">
        <v>45989.0</v>
      </c>
      <c r="D1780" s="6" t="s">
        <v>543</v>
      </c>
      <c r="E1780" s="6" t="s">
        <v>10867</v>
      </c>
      <c r="F1780" s="10"/>
      <c r="G1780" s="6" t="s">
        <v>10868</v>
      </c>
      <c r="H1780" s="6" t="s">
        <v>171</v>
      </c>
      <c r="I1780" s="17" t="b">
        <v>0</v>
      </c>
      <c r="J1780" s="6" t="s">
        <v>546</v>
      </c>
      <c r="K1780" s="10"/>
      <c r="L1780" s="10"/>
      <c r="M1780" s="10"/>
      <c r="N1780" s="10"/>
      <c r="O1780" s="18">
        <v>250.0</v>
      </c>
      <c r="P1780" s="10"/>
      <c r="Q1780" s="17" t="b">
        <v>1</v>
      </c>
      <c r="R1780" s="10"/>
    </row>
    <row r="1781">
      <c r="A1781" s="6" t="s">
        <v>9150</v>
      </c>
      <c r="B1781" s="6" t="s">
        <v>35</v>
      </c>
      <c r="C1781" s="8">
        <v>45989.0</v>
      </c>
      <c r="D1781" s="6" t="s">
        <v>543</v>
      </c>
      <c r="E1781" s="6" t="s">
        <v>10867</v>
      </c>
      <c r="F1781" s="25"/>
      <c r="G1781" s="6" t="s">
        <v>10873</v>
      </c>
      <c r="H1781" s="6" t="s">
        <v>171</v>
      </c>
      <c r="I1781" s="17" t="b">
        <v>0</v>
      </c>
      <c r="J1781" s="6" t="s">
        <v>546</v>
      </c>
      <c r="K1781" s="10"/>
      <c r="L1781" s="10"/>
      <c r="M1781" s="10"/>
      <c r="N1781" s="10"/>
      <c r="O1781" s="18">
        <v>400.0</v>
      </c>
      <c r="P1781" s="10"/>
      <c r="Q1781" s="17" t="b">
        <v>1</v>
      </c>
      <c r="R1781" s="10"/>
    </row>
    <row r="1782">
      <c r="A1782" s="6" t="s">
        <v>9154</v>
      </c>
      <c r="B1782" s="6" t="s">
        <v>35</v>
      </c>
      <c r="C1782" s="8">
        <v>45989.0</v>
      </c>
      <c r="D1782" s="18">
        <v>8.627274E7</v>
      </c>
      <c r="E1782" s="6" t="s">
        <v>10877</v>
      </c>
      <c r="F1782" s="10"/>
      <c r="G1782" s="6" t="s">
        <v>10879</v>
      </c>
      <c r="H1782" s="6" t="s">
        <v>236</v>
      </c>
      <c r="I1782" s="17" t="b">
        <v>1</v>
      </c>
      <c r="J1782" s="6" t="s">
        <v>546</v>
      </c>
      <c r="K1782" s="10"/>
      <c r="L1782" s="10"/>
      <c r="M1782" s="10"/>
      <c r="N1782" s="10"/>
      <c r="O1782" s="18">
        <v>169.13</v>
      </c>
      <c r="P1782" s="18">
        <v>1825308.0</v>
      </c>
      <c r="Q1782" s="17" t="b">
        <v>1</v>
      </c>
      <c r="R1782" s="10"/>
    </row>
    <row r="1783">
      <c r="A1783" s="6" t="s">
        <v>9156</v>
      </c>
      <c r="B1783" s="6" t="s">
        <v>35</v>
      </c>
      <c r="C1783" s="8">
        <v>45989.0</v>
      </c>
      <c r="D1783" s="6" t="s">
        <v>890</v>
      </c>
      <c r="E1783" s="6" t="s">
        <v>10882</v>
      </c>
      <c r="F1783" s="10"/>
      <c r="G1783" s="6" t="s">
        <v>10884</v>
      </c>
      <c r="H1783" s="6" t="s">
        <v>10885</v>
      </c>
      <c r="I1783" s="17" t="b">
        <v>0</v>
      </c>
      <c r="J1783" s="6" t="s">
        <v>546</v>
      </c>
      <c r="K1783" s="10"/>
      <c r="L1783" s="10"/>
      <c r="M1783" s="10"/>
      <c r="N1783" s="10"/>
      <c r="O1783" s="18">
        <v>737.54</v>
      </c>
      <c r="P1783" s="10"/>
      <c r="Q1783" s="17" t="b">
        <v>1</v>
      </c>
      <c r="R1783" s="10"/>
    </row>
    <row r="1784">
      <c r="A1784" s="6" t="s">
        <v>9158</v>
      </c>
      <c r="B1784" s="6" t="s">
        <v>35</v>
      </c>
      <c r="C1784" s="8">
        <v>45987.0</v>
      </c>
      <c r="D1784" s="6" t="s">
        <v>890</v>
      </c>
      <c r="E1784" s="6" t="s">
        <v>10890</v>
      </c>
      <c r="F1784" s="10"/>
      <c r="G1784" s="6" t="s">
        <v>10891</v>
      </c>
      <c r="H1784" s="6" t="s">
        <v>1511</v>
      </c>
      <c r="I1784" s="17" t="b">
        <v>0</v>
      </c>
      <c r="J1784" s="6" t="s">
        <v>546</v>
      </c>
      <c r="K1784" s="10"/>
      <c r="L1784" s="6" t="s">
        <v>10893</v>
      </c>
      <c r="M1784" s="6" t="s">
        <v>10894</v>
      </c>
      <c r="N1784" s="10"/>
      <c r="O1784" s="18">
        <v>11242.49</v>
      </c>
      <c r="P1784" s="10"/>
      <c r="Q1784" s="17" t="b">
        <v>1</v>
      </c>
      <c r="R1784" s="10"/>
    </row>
    <row r="1785">
      <c r="A1785" s="6" t="s">
        <v>9162</v>
      </c>
      <c r="B1785" s="6" t="s">
        <v>35</v>
      </c>
      <c r="C1785" s="8">
        <v>45989.0</v>
      </c>
      <c r="D1785" s="6" t="s">
        <v>8582</v>
      </c>
      <c r="E1785" s="6" t="s">
        <v>10897</v>
      </c>
      <c r="F1785" s="10"/>
      <c r="G1785" s="6" t="s">
        <v>10899</v>
      </c>
      <c r="H1785" s="6" t="s">
        <v>10900</v>
      </c>
      <c r="I1785" s="17" t="b">
        <v>0</v>
      </c>
      <c r="J1785" s="6" t="s">
        <v>546</v>
      </c>
      <c r="K1785" s="10"/>
      <c r="L1785" s="10"/>
      <c r="M1785" s="10"/>
      <c r="N1785" s="10"/>
      <c r="O1785" s="18">
        <v>3440.66</v>
      </c>
      <c r="P1785" s="10"/>
      <c r="Q1785" s="17" t="b">
        <v>1</v>
      </c>
      <c r="R1785" s="10"/>
    </row>
    <row r="1786">
      <c r="A1786" s="6" t="s">
        <v>9164</v>
      </c>
      <c r="B1786" s="6" t="s">
        <v>35</v>
      </c>
      <c r="C1786" s="8">
        <v>45993.0</v>
      </c>
      <c r="D1786" s="6" t="s">
        <v>112</v>
      </c>
      <c r="E1786" s="6" t="s">
        <v>10904</v>
      </c>
      <c r="F1786" s="10"/>
      <c r="G1786" s="6" t="s">
        <v>10905</v>
      </c>
      <c r="H1786" s="6" t="s">
        <v>157</v>
      </c>
      <c r="I1786" s="17" t="b">
        <v>0</v>
      </c>
      <c r="J1786" s="6" t="s">
        <v>546</v>
      </c>
      <c r="K1786" s="10"/>
      <c r="L1786" s="10"/>
      <c r="M1786" s="10"/>
      <c r="N1786" s="10"/>
      <c r="O1786" s="18">
        <v>563.9</v>
      </c>
      <c r="P1786" s="10"/>
      <c r="Q1786" s="17" t="b">
        <v>1</v>
      </c>
      <c r="R1786" s="10"/>
    </row>
    <row r="1787">
      <c r="A1787" s="6" t="s">
        <v>9172</v>
      </c>
      <c r="B1787" s="6" t="s">
        <v>35</v>
      </c>
      <c r="C1787" s="8">
        <v>45994.0</v>
      </c>
      <c r="D1787" s="6" t="s">
        <v>543</v>
      </c>
      <c r="E1787" s="6" t="s">
        <v>10909</v>
      </c>
      <c r="F1787" s="10"/>
      <c r="G1787" s="6" t="s">
        <v>10910</v>
      </c>
      <c r="H1787" s="6" t="s">
        <v>171</v>
      </c>
      <c r="I1787" s="17" t="b">
        <v>0</v>
      </c>
      <c r="J1787" s="6" t="s">
        <v>546</v>
      </c>
      <c r="K1787" s="10"/>
      <c r="L1787" s="10"/>
      <c r="M1787" s="10"/>
      <c r="N1787" s="10"/>
      <c r="O1787" s="18">
        <v>275.0</v>
      </c>
      <c r="P1787" s="10"/>
      <c r="Q1787" s="17" t="b">
        <v>1</v>
      </c>
      <c r="R1787" s="10"/>
    </row>
    <row r="1788">
      <c r="A1788" s="6" t="s">
        <v>9174</v>
      </c>
      <c r="B1788" s="6" t="s">
        <v>35</v>
      </c>
      <c r="C1788" s="8">
        <v>45994.0</v>
      </c>
      <c r="D1788" s="6" t="s">
        <v>890</v>
      </c>
      <c r="E1788" s="10"/>
      <c r="F1788" s="10"/>
      <c r="G1788" s="10"/>
      <c r="H1788" s="6" t="s">
        <v>10914</v>
      </c>
      <c r="I1788" s="10"/>
      <c r="J1788" s="6" t="s">
        <v>539</v>
      </c>
      <c r="K1788" s="10"/>
      <c r="L1788" s="10"/>
      <c r="M1788" s="10"/>
      <c r="N1788" s="10"/>
      <c r="O1788" s="18">
        <v>83.75</v>
      </c>
      <c r="P1788" s="10"/>
      <c r="Q1788" s="17" t="b">
        <v>1</v>
      </c>
      <c r="R1788" s="10"/>
    </row>
    <row r="1789">
      <c r="A1789" s="6" t="s">
        <v>9176</v>
      </c>
      <c r="B1789" s="6" t="s">
        <v>35</v>
      </c>
      <c r="C1789" s="8">
        <v>45994.0</v>
      </c>
      <c r="D1789" s="6" t="s">
        <v>1160</v>
      </c>
      <c r="E1789" s="10"/>
      <c r="F1789" s="10"/>
      <c r="G1789" s="10"/>
      <c r="H1789" s="6" t="s">
        <v>10918</v>
      </c>
      <c r="I1789" s="10"/>
      <c r="J1789" s="6" t="s">
        <v>539</v>
      </c>
      <c r="K1789" s="10"/>
      <c r="L1789" s="10"/>
      <c r="M1789" s="10"/>
      <c r="N1789" s="10"/>
      <c r="O1789" s="18">
        <v>773.39</v>
      </c>
      <c r="P1789" s="10"/>
      <c r="Q1789" s="17" t="b">
        <v>1</v>
      </c>
      <c r="R1789" s="10"/>
    </row>
    <row r="1790">
      <c r="A1790" s="6" t="s">
        <v>9178</v>
      </c>
      <c r="B1790" s="6" t="s">
        <v>35</v>
      </c>
      <c r="C1790" s="8">
        <v>45994.0</v>
      </c>
      <c r="D1790" s="18">
        <v>5.1049577E7</v>
      </c>
      <c r="E1790" s="6" t="s">
        <v>10921</v>
      </c>
      <c r="F1790" s="10"/>
      <c r="G1790" s="6" t="s">
        <v>10922</v>
      </c>
      <c r="H1790" s="6" t="s">
        <v>10923</v>
      </c>
      <c r="I1790" s="17" t="b">
        <v>0</v>
      </c>
      <c r="J1790" s="6" t="s">
        <v>546</v>
      </c>
      <c r="K1790" s="10"/>
      <c r="L1790" s="10"/>
      <c r="M1790" s="10"/>
      <c r="N1790" s="10"/>
      <c r="O1790" s="18">
        <v>645.16</v>
      </c>
      <c r="P1790" s="10"/>
      <c r="Q1790" s="17" t="b">
        <v>1</v>
      </c>
      <c r="R1790" s="10"/>
    </row>
    <row r="1791">
      <c r="A1791" s="6" t="s">
        <v>9181</v>
      </c>
      <c r="B1791" s="6" t="s">
        <v>35</v>
      </c>
      <c r="C1791" s="8">
        <v>45995.0</v>
      </c>
      <c r="D1791" s="6" t="s">
        <v>145</v>
      </c>
      <c r="E1791" s="6" t="s">
        <v>10926</v>
      </c>
      <c r="F1791" s="10"/>
      <c r="G1791" s="6" t="s">
        <v>10928</v>
      </c>
      <c r="H1791" s="6" t="s">
        <v>369</v>
      </c>
      <c r="I1791" s="17" t="b">
        <v>0</v>
      </c>
      <c r="J1791" s="6" t="s">
        <v>546</v>
      </c>
      <c r="K1791" s="10"/>
      <c r="L1791" s="10"/>
      <c r="M1791" s="10"/>
      <c r="N1791" s="10"/>
      <c r="O1791" s="18">
        <v>316.5</v>
      </c>
      <c r="P1791" s="10"/>
      <c r="Q1791" s="17" t="b">
        <v>1</v>
      </c>
      <c r="R1791" s="10"/>
    </row>
    <row r="1792">
      <c r="A1792" s="6" t="s">
        <v>9193</v>
      </c>
      <c r="B1792" s="6" t="s">
        <v>35</v>
      </c>
      <c r="C1792" s="8">
        <v>45996.0</v>
      </c>
      <c r="D1792" s="6" t="s">
        <v>543</v>
      </c>
      <c r="E1792" s="6" t="s">
        <v>10931</v>
      </c>
      <c r="F1792" s="10"/>
      <c r="G1792" s="6" t="s">
        <v>10932</v>
      </c>
      <c r="H1792" s="6" t="s">
        <v>171</v>
      </c>
      <c r="I1792" s="17" t="b">
        <v>1</v>
      </c>
      <c r="J1792" s="6" t="s">
        <v>10935</v>
      </c>
      <c r="K1792" s="10"/>
      <c r="L1792" s="10"/>
      <c r="M1792" s="10"/>
      <c r="N1792" s="10"/>
      <c r="O1792" s="18">
        <v>500.0</v>
      </c>
      <c r="P1792" s="6" t="s">
        <v>10937</v>
      </c>
      <c r="Q1792" s="17" t="b">
        <v>1</v>
      </c>
      <c r="R1792" s="10"/>
    </row>
    <row r="1793">
      <c r="A1793" s="6" t="s">
        <v>9195</v>
      </c>
      <c r="B1793" s="6" t="s">
        <v>35</v>
      </c>
      <c r="C1793" s="8">
        <v>45996.0</v>
      </c>
      <c r="D1793" s="6" t="s">
        <v>2096</v>
      </c>
      <c r="E1793" s="6" t="s">
        <v>10939</v>
      </c>
      <c r="F1793" s="10"/>
      <c r="G1793" s="6" t="s">
        <v>10940</v>
      </c>
      <c r="H1793" s="6" t="s">
        <v>10941</v>
      </c>
      <c r="I1793" s="17" t="b">
        <v>1</v>
      </c>
      <c r="J1793" s="6" t="s">
        <v>546</v>
      </c>
      <c r="K1793" s="10"/>
      <c r="L1793" s="10"/>
      <c r="M1793" s="10"/>
      <c r="N1793" s="10"/>
      <c r="O1793" s="18">
        <v>15.0</v>
      </c>
      <c r="P1793" s="18">
        <v>1840875.0</v>
      </c>
      <c r="Q1793" s="17" t="b">
        <v>1</v>
      </c>
      <c r="R1793" s="10"/>
    </row>
    <row r="1794">
      <c r="A1794" s="6" t="s">
        <v>9197</v>
      </c>
      <c r="B1794" s="6" t="s">
        <v>35</v>
      </c>
      <c r="C1794" s="8">
        <v>45995.0</v>
      </c>
      <c r="D1794" s="6" t="s">
        <v>3716</v>
      </c>
      <c r="E1794" s="6" t="s">
        <v>10946</v>
      </c>
      <c r="F1794" s="10"/>
      <c r="G1794" s="6" t="s">
        <v>10947</v>
      </c>
      <c r="H1794" s="6" t="s">
        <v>10949</v>
      </c>
      <c r="I1794" s="17" t="b">
        <v>1</v>
      </c>
      <c r="J1794" s="6" t="s">
        <v>546</v>
      </c>
      <c r="K1794" s="10"/>
      <c r="L1794" s="10"/>
      <c r="M1794" s="10"/>
      <c r="N1794" s="10"/>
      <c r="O1794" s="18">
        <v>699.2</v>
      </c>
      <c r="P1794" s="18">
        <v>1839021.0</v>
      </c>
      <c r="Q1794" s="17" t="b">
        <v>1</v>
      </c>
      <c r="R1794" s="10"/>
    </row>
    <row r="1795">
      <c r="A1795" s="6" t="s">
        <v>9202</v>
      </c>
      <c r="B1795" s="6" t="s">
        <v>35</v>
      </c>
      <c r="C1795" s="8">
        <v>45994.0</v>
      </c>
      <c r="D1795" s="6" t="s">
        <v>1918</v>
      </c>
      <c r="E1795" s="6" t="s">
        <v>10954</v>
      </c>
      <c r="F1795" s="10"/>
      <c r="G1795" s="6" t="s">
        <v>10955</v>
      </c>
      <c r="H1795" s="6" t="s">
        <v>10956</v>
      </c>
      <c r="I1795" s="17" t="b">
        <v>1</v>
      </c>
      <c r="J1795" s="6" t="s">
        <v>546</v>
      </c>
      <c r="K1795" s="10"/>
      <c r="L1795" s="10"/>
      <c r="M1795" s="10"/>
      <c r="N1795" s="10"/>
      <c r="O1795" s="18">
        <v>199.8</v>
      </c>
      <c r="P1795" s="18">
        <v>1837785.0</v>
      </c>
      <c r="Q1795" s="17" t="b">
        <v>1</v>
      </c>
      <c r="R1795" s="10"/>
    </row>
    <row r="1796">
      <c r="A1796" s="6" t="s">
        <v>9205</v>
      </c>
      <c r="B1796" s="6" t="s">
        <v>35</v>
      </c>
      <c r="C1796" s="8">
        <v>45994.0</v>
      </c>
      <c r="D1796" s="6" t="s">
        <v>112</v>
      </c>
      <c r="E1796" s="6" t="s">
        <v>10959</v>
      </c>
      <c r="F1796" s="10"/>
      <c r="G1796" s="6" t="s">
        <v>10960</v>
      </c>
      <c r="H1796" s="6" t="s">
        <v>157</v>
      </c>
      <c r="I1796" s="17" t="b">
        <v>0</v>
      </c>
      <c r="J1796" s="6" t="s">
        <v>546</v>
      </c>
      <c r="K1796" s="10"/>
      <c r="L1796" s="10"/>
      <c r="M1796" s="10"/>
      <c r="N1796" s="10"/>
      <c r="O1796" s="18">
        <v>390.5</v>
      </c>
      <c r="P1796" s="10"/>
      <c r="Q1796" s="17" t="b">
        <v>1</v>
      </c>
      <c r="R1796" s="10"/>
    </row>
    <row r="1797">
      <c r="A1797" s="6" t="s">
        <v>9211</v>
      </c>
      <c r="B1797" s="6" t="s">
        <v>35</v>
      </c>
      <c r="C1797" s="8">
        <v>45996.0</v>
      </c>
      <c r="D1797" s="6" t="s">
        <v>112</v>
      </c>
      <c r="E1797" s="6" t="s">
        <v>10963</v>
      </c>
      <c r="F1797" s="10"/>
      <c r="G1797" s="6" t="s">
        <v>10965</v>
      </c>
      <c r="H1797" s="6" t="s">
        <v>157</v>
      </c>
      <c r="I1797" s="17" t="b">
        <v>0</v>
      </c>
      <c r="J1797" s="6" t="s">
        <v>546</v>
      </c>
      <c r="K1797" s="10"/>
      <c r="L1797" s="10"/>
      <c r="M1797" s="10"/>
      <c r="N1797" s="10"/>
      <c r="O1797" s="18">
        <v>338.64</v>
      </c>
      <c r="P1797" s="10"/>
      <c r="Q1797" s="17" t="b">
        <v>1</v>
      </c>
      <c r="R1797" s="10"/>
    </row>
    <row r="1798">
      <c r="A1798" s="6" t="s">
        <v>9217</v>
      </c>
      <c r="B1798" s="6" t="s">
        <v>35</v>
      </c>
      <c r="C1798" s="8">
        <v>45995.0</v>
      </c>
      <c r="D1798" s="6" t="s">
        <v>890</v>
      </c>
      <c r="E1798" s="6" t="s">
        <v>10968</v>
      </c>
      <c r="F1798" s="10"/>
      <c r="G1798" s="6" t="s">
        <v>10969</v>
      </c>
      <c r="H1798" s="6" t="s">
        <v>10970</v>
      </c>
      <c r="I1798" s="17" t="b">
        <v>0</v>
      </c>
      <c r="J1798" s="6" t="s">
        <v>546</v>
      </c>
      <c r="K1798" s="10"/>
      <c r="L1798" s="10"/>
      <c r="M1798" s="10"/>
      <c r="N1798" s="10"/>
      <c r="O1798" s="18">
        <v>682.47</v>
      </c>
      <c r="P1798" s="10"/>
      <c r="Q1798" s="17" t="b">
        <v>1</v>
      </c>
      <c r="R1798" s="10"/>
    </row>
    <row r="1799">
      <c r="A1799" s="6" t="s">
        <v>9221</v>
      </c>
      <c r="B1799" s="6" t="s">
        <v>35</v>
      </c>
      <c r="C1799" s="8">
        <v>45995.0</v>
      </c>
      <c r="D1799" s="6" t="s">
        <v>764</v>
      </c>
      <c r="E1799" s="6" t="s">
        <v>10973</v>
      </c>
      <c r="F1799" s="10"/>
      <c r="G1799" s="6" t="s">
        <v>10975</v>
      </c>
      <c r="H1799" s="6" t="s">
        <v>195</v>
      </c>
      <c r="I1799" s="17" t="b">
        <v>0</v>
      </c>
      <c r="J1799" s="6" t="s">
        <v>546</v>
      </c>
      <c r="K1799" s="10"/>
      <c r="L1799" s="6" t="s">
        <v>10977</v>
      </c>
      <c r="M1799" s="10"/>
      <c r="N1799" s="10"/>
      <c r="O1799" s="18">
        <v>1017.97</v>
      </c>
      <c r="P1799" s="10"/>
      <c r="Q1799" s="17" t="b">
        <v>1</v>
      </c>
      <c r="R1799" s="10"/>
    </row>
    <row r="1800">
      <c r="A1800" s="6" t="s">
        <v>9236</v>
      </c>
      <c r="B1800" s="6" t="s">
        <v>35</v>
      </c>
      <c r="C1800" s="8">
        <v>45999.0</v>
      </c>
      <c r="D1800" s="6" t="s">
        <v>10980</v>
      </c>
      <c r="E1800" s="10"/>
      <c r="F1800" s="10"/>
      <c r="G1800" s="10"/>
      <c r="H1800" s="6" t="s">
        <v>10981</v>
      </c>
      <c r="I1800" s="10"/>
      <c r="J1800" s="6" t="s">
        <v>539</v>
      </c>
      <c r="K1800" s="10"/>
      <c r="L1800" s="10"/>
      <c r="M1800" s="10"/>
      <c r="N1800" s="10"/>
      <c r="O1800" s="18">
        <v>280.0</v>
      </c>
      <c r="P1800" s="10"/>
      <c r="Q1800" s="17" t="b">
        <v>1</v>
      </c>
      <c r="R1800" s="10"/>
    </row>
    <row r="1801">
      <c r="A1801" s="6" t="s">
        <v>9238</v>
      </c>
      <c r="B1801" s="6" t="s">
        <v>35</v>
      </c>
      <c r="C1801" s="8">
        <v>46000.0</v>
      </c>
      <c r="D1801" s="6" t="s">
        <v>543</v>
      </c>
      <c r="E1801" s="6" t="s">
        <v>10984</v>
      </c>
      <c r="F1801" s="10"/>
      <c r="G1801" s="6" t="s">
        <v>10986</v>
      </c>
      <c r="H1801" s="6" t="s">
        <v>171</v>
      </c>
      <c r="I1801" s="17" t="b">
        <v>0</v>
      </c>
      <c r="J1801" s="6" t="s">
        <v>546</v>
      </c>
      <c r="K1801" s="10"/>
      <c r="L1801" s="10"/>
      <c r="M1801" s="10"/>
      <c r="N1801" s="10"/>
      <c r="O1801" s="18">
        <v>375.0</v>
      </c>
      <c r="P1801" s="10"/>
      <c r="Q1801" s="17" t="b">
        <v>1</v>
      </c>
      <c r="R1801" s="10"/>
    </row>
    <row r="1802">
      <c r="A1802" s="6" t="s">
        <v>9240</v>
      </c>
      <c r="B1802" s="6" t="s">
        <v>35</v>
      </c>
      <c r="C1802" s="8">
        <v>46000.0</v>
      </c>
      <c r="D1802" s="6" t="s">
        <v>890</v>
      </c>
      <c r="E1802" s="10"/>
      <c r="F1802" s="10"/>
      <c r="G1802" s="10"/>
      <c r="H1802" s="6" t="s">
        <v>10990</v>
      </c>
      <c r="I1802" s="10"/>
      <c r="J1802" s="6" t="s">
        <v>539</v>
      </c>
      <c r="K1802" s="10"/>
      <c r="L1802" s="10"/>
      <c r="M1802" s="10"/>
      <c r="N1802" s="10"/>
      <c r="O1802" s="18">
        <v>2438.06</v>
      </c>
      <c r="P1802" s="10"/>
      <c r="Q1802" s="17" t="b">
        <v>1</v>
      </c>
      <c r="R1802" s="10"/>
    </row>
    <row r="1803">
      <c r="A1803" s="6" t="s">
        <v>9242</v>
      </c>
      <c r="B1803" s="6" t="s">
        <v>35</v>
      </c>
      <c r="C1803" s="8">
        <v>46000.0</v>
      </c>
      <c r="D1803" s="6" t="s">
        <v>890</v>
      </c>
      <c r="E1803" s="10"/>
      <c r="F1803" s="10"/>
      <c r="G1803" s="10"/>
      <c r="H1803" s="6" t="s">
        <v>10994</v>
      </c>
      <c r="I1803" s="10"/>
      <c r="J1803" s="6" t="s">
        <v>539</v>
      </c>
      <c r="K1803" s="10"/>
      <c r="L1803" s="10"/>
      <c r="M1803" s="10"/>
      <c r="N1803" s="10"/>
      <c r="O1803" s="18">
        <v>4979.0</v>
      </c>
      <c r="P1803" s="10"/>
      <c r="Q1803" s="17" t="b">
        <v>1</v>
      </c>
      <c r="R1803" s="10"/>
    </row>
    <row r="1804">
      <c r="A1804" s="18">
        <v>11656.0</v>
      </c>
      <c r="B1804" s="6" t="s">
        <v>35</v>
      </c>
      <c r="C1804" s="8">
        <v>46000.0</v>
      </c>
      <c r="D1804" s="6" t="s">
        <v>9929</v>
      </c>
      <c r="E1804" s="10"/>
      <c r="F1804" s="10"/>
      <c r="G1804" s="10"/>
      <c r="H1804" s="6" t="s">
        <v>9930</v>
      </c>
      <c r="I1804" s="10"/>
      <c r="J1804" s="6" t="s">
        <v>539</v>
      </c>
      <c r="K1804" s="10"/>
      <c r="L1804" s="10"/>
      <c r="M1804" s="10"/>
      <c r="N1804" s="10"/>
      <c r="O1804" s="18">
        <v>8930.0</v>
      </c>
      <c r="P1804" s="10"/>
      <c r="Q1804" s="17" t="b">
        <v>1</v>
      </c>
      <c r="R1804" s="10"/>
    </row>
    <row r="1805">
      <c r="A1805" s="18">
        <v>11657.0</v>
      </c>
      <c r="B1805" s="6" t="s">
        <v>35</v>
      </c>
      <c r="C1805" s="8">
        <v>46000.0</v>
      </c>
      <c r="D1805" s="6" t="s">
        <v>3516</v>
      </c>
      <c r="E1805" s="10"/>
      <c r="F1805" s="10"/>
      <c r="G1805" s="10"/>
      <c r="H1805" s="6" t="s">
        <v>9933</v>
      </c>
      <c r="I1805" s="10"/>
      <c r="J1805" s="6" t="s">
        <v>539</v>
      </c>
      <c r="K1805" s="10"/>
      <c r="L1805" s="10"/>
      <c r="M1805" s="10"/>
      <c r="N1805" s="10"/>
      <c r="O1805" s="18">
        <v>1000.0</v>
      </c>
      <c r="P1805" s="10"/>
      <c r="Q1805" s="17" t="b">
        <v>1</v>
      </c>
      <c r="R1805" s="10"/>
    </row>
    <row r="1806">
      <c r="A1806" s="18">
        <v>11658.0</v>
      </c>
      <c r="B1806" s="6" t="s">
        <v>35</v>
      </c>
      <c r="C1806" s="8">
        <v>46000.0</v>
      </c>
      <c r="D1806" s="6" t="s">
        <v>2439</v>
      </c>
      <c r="E1806" s="10"/>
      <c r="F1806" s="10"/>
      <c r="G1806" s="10"/>
      <c r="H1806" s="6" t="s">
        <v>5136</v>
      </c>
      <c r="I1806" s="10"/>
      <c r="J1806" s="6" t="s">
        <v>539</v>
      </c>
      <c r="K1806" s="10"/>
      <c r="L1806" s="10"/>
      <c r="M1806" s="10"/>
      <c r="N1806" s="10"/>
      <c r="O1806" s="18">
        <v>0.0</v>
      </c>
      <c r="P1806" s="10"/>
      <c r="Q1806" s="17" t="b">
        <v>1</v>
      </c>
      <c r="R1806" s="10"/>
    </row>
    <row r="1807">
      <c r="A1807" s="18">
        <v>11660.0</v>
      </c>
      <c r="B1807" s="6" t="s">
        <v>35</v>
      </c>
      <c r="C1807" s="8">
        <v>46000.0</v>
      </c>
      <c r="D1807" s="6" t="s">
        <v>10315</v>
      </c>
      <c r="E1807" s="10"/>
      <c r="F1807" s="10"/>
      <c r="G1807" s="10"/>
      <c r="H1807" s="6" t="s">
        <v>11007</v>
      </c>
      <c r="I1807" s="10"/>
      <c r="J1807" s="6" t="s">
        <v>539</v>
      </c>
      <c r="K1807" s="10"/>
      <c r="L1807" s="10"/>
      <c r="M1807" s="10"/>
      <c r="N1807" s="10"/>
      <c r="O1807" s="18">
        <v>0.01</v>
      </c>
      <c r="P1807" s="10"/>
      <c r="Q1807" s="17" t="b">
        <v>1</v>
      </c>
      <c r="R1807" s="10"/>
    </row>
    <row r="1808">
      <c r="A1808" s="6" t="s">
        <v>9252</v>
      </c>
      <c r="B1808" s="6" t="s">
        <v>35</v>
      </c>
      <c r="C1808" s="8">
        <v>46000.0</v>
      </c>
      <c r="D1808" s="6" t="s">
        <v>890</v>
      </c>
      <c r="E1808" s="10"/>
      <c r="F1808" s="10"/>
      <c r="G1808" s="10"/>
      <c r="H1808" s="6" t="s">
        <v>11012</v>
      </c>
      <c r="I1808" s="10"/>
      <c r="J1808" s="6" t="s">
        <v>539</v>
      </c>
      <c r="K1808" s="10"/>
      <c r="L1808" s="10"/>
      <c r="M1808" s="10"/>
      <c r="N1808" s="10"/>
      <c r="O1808" s="18">
        <v>159.94</v>
      </c>
      <c r="P1808" s="10"/>
      <c r="Q1808" s="17" t="b">
        <v>1</v>
      </c>
      <c r="R1808" s="10"/>
    </row>
    <row r="1809">
      <c r="A1809" s="18">
        <v>11665.0</v>
      </c>
      <c r="B1809" s="6" t="s">
        <v>35</v>
      </c>
      <c r="C1809" s="8">
        <v>46000.0</v>
      </c>
      <c r="D1809" s="6" t="s">
        <v>7740</v>
      </c>
      <c r="E1809" s="10"/>
      <c r="F1809" s="10"/>
      <c r="G1809" s="10"/>
      <c r="H1809" s="6" t="s">
        <v>11015</v>
      </c>
      <c r="I1809" s="10"/>
      <c r="J1809" s="6" t="s">
        <v>539</v>
      </c>
      <c r="K1809" s="10"/>
      <c r="L1809" s="10"/>
      <c r="M1809" s="10"/>
      <c r="N1809" s="10"/>
      <c r="O1809" s="18">
        <v>0.01</v>
      </c>
      <c r="P1809" s="10"/>
      <c r="Q1809" s="17" t="b">
        <v>1</v>
      </c>
      <c r="R1809" s="10"/>
    </row>
    <row r="1810">
      <c r="A1810" s="18">
        <v>11678.0</v>
      </c>
      <c r="B1810" s="6" t="s">
        <v>35</v>
      </c>
      <c r="C1810" s="8">
        <v>46000.0</v>
      </c>
      <c r="D1810" s="6" t="s">
        <v>10092</v>
      </c>
      <c r="E1810" s="10"/>
      <c r="F1810" s="10"/>
      <c r="G1810" s="10"/>
      <c r="H1810" s="6" t="s">
        <v>10093</v>
      </c>
      <c r="I1810" s="10"/>
      <c r="J1810" s="6" t="s">
        <v>539</v>
      </c>
      <c r="K1810" s="10"/>
      <c r="L1810" s="10"/>
      <c r="M1810" s="10"/>
      <c r="N1810" s="10"/>
      <c r="O1810" s="18">
        <v>181.37</v>
      </c>
      <c r="P1810" s="10"/>
      <c r="Q1810" s="17" t="b">
        <v>1</v>
      </c>
      <c r="R1810" s="10"/>
    </row>
    <row r="1811">
      <c r="A1811" s="18">
        <v>11679.0</v>
      </c>
      <c r="B1811" s="6" t="s">
        <v>35</v>
      </c>
      <c r="C1811" s="8">
        <v>46000.0</v>
      </c>
      <c r="D1811" s="6" t="s">
        <v>2280</v>
      </c>
      <c r="E1811" s="10"/>
      <c r="F1811" s="10"/>
      <c r="G1811" s="10"/>
      <c r="H1811" s="6" t="s">
        <v>10095</v>
      </c>
      <c r="I1811" s="10"/>
      <c r="J1811" s="6" t="s">
        <v>539</v>
      </c>
      <c r="K1811" s="10"/>
      <c r="L1811" s="10"/>
      <c r="M1811" s="10"/>
      <c r="N1811" s="10"/>
      <c r="O1811" s="18">
        <v>922.29</v>
      </c>
      <c r="P1811" s="10"/>
      <c r="Q1811" s="17" t="b">
        <v>1</v>
      </c>
      <c r="R1811" s="10"/>
    </row>
    <row r="1812">
      <c r="A1812" s="18">
        <v>11680.0</v>
      </c>
      <c r="B1812" s="6" t="s">
        <v>35</v>
      </c>
      <c r="C1812" s="8">
        <v>46000.0</v>
      </c>
      <c r="D1812" s="6" t="s">
        <v>2248</v>
      </c>
      <c r="E1812" s="10"/>
      <c r="F1812" s="10"/>
      <c r="G1812" s="10"/>
      <c r="H1812" s="6" t="s">
        <v>8055</v>
      </c>
      <c r="I1812" s="10"/>
      <c r="J1812" s="6" t="s">
        <v>539</v>
      </c>
      <c r="K1812" s="10"/>
      <c r="L1812" s="10"/>
      <c r="M1812" s="10"/>
      <c r="N1812" s="10"/>
      <c r="O1812" s="18">
        <v>185.0</v>
      </c>
      <c r="P1812" s="10"/>
      <c r="Q1812" s="17" t="b">
        <v>1</v>
      </c>
      <c r="R1812" s="10"/>
    </row>
    <row r="1813">
      <c r="A1813" s="6" t="s">
        <v>9261</v>
      </c>
      <c r="B1813" s="6" t="s">
        <v>35</v>
      </c>
      <c r="C1813" s="8">
        <v>46000.0</v>
      </c>
      <c r="D1813" s="6" t="s">
        <v>1160</v>
      </c>
      <c r="E1813" s="10"/>
      <c r="F1813" s="10"/>
      <c r="G1813" s="10"/>
      <c r="H1813" s="6" t="s">
        <v>11029</v>
      </c>
      <c r="I1813" s="10"/>
      <c r="J1813" s="6" t="s">
        <v>539</v>
      </c>
      <c r="K1813" s="10"/>
      <c r="L1813" s="10"/>
      <c r="M1813" s="10"/>
      <c r="N1813" s="10"/>
      <c r="O1813" s="18">
        <v>6972.21</v>
      </c>
      <c r="P1813" s="10"/>
      <c r="Q1813" s="17" t="b">
        <v>1</v>
      </c>
      <c r="R1813" s="10"/>
    </row>
    <row r="1814">
      <c r="A1814" s="6" t="s">
        <v>9263</v>
      </c>
      <c r="B1814" s="6" t="s">
        <v>35</v>
      </c>
      <c r="C1814" s="8">
        <v>46000.0</v>
      </c>
      <c r="D1814" s="6" t="s">
        <v>3516</v>
      </c>
      <c r="E1814" s="10"/>
      <c r="F1814" s="10"/>
      <c r="G1814" s="10"/>
      <c r="H1814" s="6" t="s">
        <v>4023</v>
      </c>
      <c r="I1814" s="10"/>
      <c r="J1814" s="6" t="s">
        <v>539</v>
      </c>
      <c r="K1814" s="10"/>
      <c r="L1814" s="10"/>
      <c r="M1814" s="10"/>
      <c r="N1814" s="10"/>
      <c r="O1814" s="18">
        <v>950.0</v>
      </c>
      <c r="P1814" s="10"/>
      <c r="Q1814" s="17" t="b">
        <v>1</v>
      </c>
      <c r="R1814" s="10"/>
    </row>
    <row r="1815">
      <c r="A1815" s="6" t="s">
        <v>9267</v>
      </c>
      <c r="B1815" s="6" t="s">
        <v>35</v>
      </c>
      <c r="C1815" s="8">
        <v>46000.0</v>
      </c>
      <c r="D1815" s="6" t="s">
        <v>890</v>
      </c>
      <c r="E1815" s="10"/>
      <c r="F1815" s="10"/>
      <c r="G1815" s="10"/>
      <c r="H1815" s="6" t="s">
        <v>11036</v>
      </c>
      <c r="I1815" s="10"/>
      <c r="J1815" s="6" t="s">
        <v>539</v>
      </c>
      <c r="K1815" s="10"/>
      <c r="L1815" s="10"/>
      <c r="M1815" s="10"/>
      <c r="N1815" s="10"/>
      <c r="O1815" s="18">
        <v>13868.09</v>
      </c>
      <c r="P1815" s="10"/>
      <c r="Q1815" s="17" t="b">
        <v>1</v>
      </c>
      <c r="R1815" s="10"/>
    </row>
    <row r="1816">
      <c r="A1816" s="6" t="s">
        <v>9269</v>
      </c>
      <c r="B1816" s="6" t="s">
        <v>35</v>
      </c>
      <c r="C1816" s="8">
        <v>46000.0</v>
      </c>
      <c r="D1816" s="6" t="s">
        <v>890</v>
      </c>
      <c r="E1816" s="10"/>
      <c r="F1816" s="10"/>
      <c r="G1816" s="10"/>
      <c r="H1816" s="6" t="s">
        <v>11040</v>
      </c>
      <c r="I1816" s="10"/>
      <c r="J1816" s="6" t="s">
        <v>539</v>
      </c>
      <c r="K1816" s="10"/>
      <c r="L1816" s="10"/>
      <c r="M1816" s="10"/>
      <c r="N1816" s="10"/>
      <c r="O1816" s="18">
        <v>159.94</v>
      </c>
      <c r="P1816" s="10"/>
      <c r="Q1816" s="17" t="b">
        <v>1</v>
      </c>
      <c r="R1816" s="10"/>
    </row>
    <row r="1817">
      <c r="A1817" s="6" t="s">
        <v>9271</v>
      </c>
      <c r="B1817" s="6" t="s">
        <v>35</v>
      </c>
      <c r="C1817" s="8">
        <v>46000.0</v>
      </c>
      <c r="D1817" s="6" t="s">
        <v>193</v>
      </c>
      <c r="E1817" s="6" t="s">
        <v>11043</v>
      </c>
      <c r="F1817" s="10"/>
      <c r="G1817" s="6" t="s">
        <v>11045</v>
      </c>
      <c r="H1817" s="6" t="s">
        <v>195</v>
      </c>
      <c r="I1817" s="17" t="b">
        <v>0</v>
      </c>
      <c r="J1817" s="6" t="s">
        <v>546</v>
      </c>
      <c r="K1817" s="10"/>
      <c r="L1817" s="6" t="s">
        <v>11047</v>
      </c>
      <c r="M1817" s="10"/>
      <c r="N1817" s="10"/>
      <c r="O1817" s="18">
        <v>488.0</v>
      </c>
      <c r="P1817" s="10"/>
      <c r="Q1817" s="17" t="b">
        <v>1</v>
      </c>
      <c r="R1817" s="10"/>
    </row>
    <row r="1818">
      <c r="A1818" s="6" t="s">
        <v>9279</v>
      </c>
      <c r="B1818" s="6" t="s">
        <v>35</v>
      </c>
      <c r="C1818" s="8">
        <v>46001.0</v>
      </c>
      <c r="D1818" s="18">
        <v>2.6065919E7</v>
      </c>
      <c r="E1818" s="6" t="s">
        <v>11049</v>
      </c>
      <c r="F1818" s="10"/>
      <c r="G1818" s="6" t="s">
        <v>11051</v>
      </c>
      <c r="H1818" s="6" t="s">
        <v>5885</v>
      </c>
      <c r="I1818" s="17" t="b">
        <v>1</v>
      </c>
      <c r="J1818" s="6" t="s">
        <v>546</v>
      </c>
      <c r="K1818" s="10"/>
      <c r="L1818" s="10"/>
      <c r="M1818" s="10"/>
      <c r="N1818" s="10"/>
      <c r="O1818" s="18">
        <v>130.0</v>
      </c>
      <c r="P1818" s="18">
        <v>1852628.0</v>
      </c>
      <c r="Q1818" s="17" t="b">
        <v>1</v>
      </c>
      <c r="R1818" s="10"/>
    </row>
    <row r="1819">
      <c r="A1819" s="6" t="s">
        <v>9281</v>
      </c>
      <c r="B1819" s="6" t="s">
        <v>35</v>
      </c>
      <c r="C1819" s="8">
        <v>46001.0</v>
      </c>
      <c r="D1819" s="6" t="s">
        <v>7890</v>
      </c>
      <c r="E1819" s="6" t="s">
        <v>11055</v>
      </c>
      <c r="F1819" s="10"/>
      <c r="G1819" s="6" t="s">
        <v>11056</v>
      </c>
      <c r="H1819" s="6" t="s">
        <v>11058</v>
      </c>
      <c r="I1819" s="17" t="b">
        <v>1</v>
      </c>
      <c r="J1819" s="6" t="s">
        <v>546</v>
      </c>
      <c r="K1819" s="10"/>
      <c r="L1819" s="10"/>
      <c r="M1819" s="10"/>
      <c r="N1819" s="10"/>
      <c r="O1819" s="18">
        <v>14.0</v>
      </c>
      <c r="P1819" s="18">
        <v>1852632.0</v>
      </c>
      <c r="Q1819" s="17" t="b">
        <v>1</v>
      </c>
      <c r="R1819" s="10"/>
    </row>
    <row r="1820">
      <c r="A1820" s="6" t="s">
        <v>9283</v>
      </c>
      <c r="B1820" s="6" t="s">
        <v>35</v>
      </c>
      <c r="C1820" s="8">
        <v>46000.0</v>
      </c>
      <c r="D1820" s="6" t="s">
        <v>9260</v>
      </c>
      <c r="E1820" s="6" t="s">
        <v>11062</v>
      </c>
      <c r="F1820" s="10"/>
      <c r="G1820" s="6" t="s">
        <v>11063</v>
      </c>
      <c r="H1820" s="6" t="s">
        <v>2894</v>
      </c>
      <c r="I1820" s="17" t="b">
        <v>0</v>
      </c>
      <c r="J1820" s="6" t="s">
        <v>546</v>
      </c>
      <c r="K1820" s="10"/>
      <c r="L1820" s="6" t="s">
        <v>11065</v>
      </c>
      <c r="M1820" s="10"/>
      <c r="N1820" s="10"/>
      <c r="O1820" s="18">
        <v>20090.34</v>
      </c>
      <c r="P1820" s="10"/>
      <c r="Q1820" s="17" t="b">
        <v>1</v>
      </c>
      <c r="R1820" s="10"/>
    </row>
    <row r="1821">
      <c r="A1821" s="6" t="s">
        <v>9285</v>
      </c>
      <c r="B1821" s="6" t="s">
        <v>35</v>
      </c>
      <c r="C1821" s="8">
        <v>45992.0</v>
      </c>
      <c r="D1821" s="6" t="s">
        <v>1036</v>
      </c>
      <c r="E1821" s="6" t="s">
        <v>11067</v>
      </c>
      <c r="F1821" s="10"/>
      <c r="G1821" s="6" t="s">
        <v>11069</v>
      </c>
      <c r="H1821" s="6" t="s">
        <v>10756</v>
      </c>
      <c r="I1821" s="17" t="b">
        <v>0</v>
      </c>
      <c r="J1821" s="6" t="s">
        <v>546</v>
      </c>
      <c r="K1821" s="10"/>
      <c r="L1821" s="10"/>
      <c r="M1821" s="10"/>
      <c r="N1821" s="10"/>
      <c r="O1821" s="18">
        <v>124.16</v>
      </c>
      <c r="P1821" s="10"/>
      <c r="Q1821" s="17" t="b">
        <v>1</v>
      </c>
      <c r="R1821" s="10"/>
    </row>
    <row r="1822">
      <c r="A1822" s="6" t="s">
        <v>9287</v>
      </c>
      <c r="B1822" s="6" t="s">
        <v>35</v>
      </c>
      <c r="C1822" s="8">
        <v>46001.0</v>
      </c>
      <c r="D1822" s="10"/>
      <c r="E1822" s="10"/>
      <c r="F1822" s="10"/>
      <c r="G1822" s="10"/>
      <c r="H1822" s="6" t="s">
        <v>11074</v>
      </c>
      <c r="I1822" s="10"/>
      <c r="J1822" s="6" t="s">
        <v>539</v>
      </c>
      <c r="K1822" s="6" t="s">
        <v>3795</v>
      </c>
      <c r="L1822" s="10"/>
      <c r="M1822" s="10"/>
      <c r="N1822" s="10"/>
      <c r="O1822" s="18">
        <v>2375.99</v>
      </c>
      <c r="P1822" s="10"/>
      <c r="Q1822" s="17" t="b">
        <v>1</v>
      </c>
      <c r="R1822" s="10"/>
    </row>
    <row r="1823">
      <c r="A1823" s="6" t="s">
        <v>9289</v>
      </c>
      <c r="B1823" s="6" t="s">
        <v>35</v>
      </c>
      <c r="C1823" s="8">
        <v>45994.0</v>
      </c>
      <c r="D1823" s="6" t="s">
        <v>11078</v>
      </c>
      <c r="E1823" s="6" t="s">
        <v>11079</v>
      </c>
      <c r="F1823" s="10"/>
      <c r="G1823" s="6" t="s">
        <v>11081</v>
      </c>
      <c r="H1823" s="6" t="s">
        <v>11082</v>
      </c>
      <c r="I1823" s="17" t="b">
        <v>1</v>
      </c>
      <c r="J1823" s="6" t="s">
        <v>546</v>
      </c>
      <c r="K1823" s="10"/>
      <c r="L1823" s="10"/>
      <c r="M1823" s="10"/>
      <c r="N1823" s="10"/>
      <c r="O1823" s="18">
        <v>150.0</v>
      </c>
      <c r="P1823" s="18">
        <v>1837787.0</v>
      </c>
      <c r="Q1823" s="17" t="b">
        <v>1</v>
      </c>
      <c r="R1823" s="10"/>
    </row>
    <row r="1824">
      <c r="A1824" s="6" t="s">
        <v>9292</v>
      </c>
      <c r="B1824" s="6" t="s">
        <v>35</v>
      </c>
      <c r="C1824" s="8">
        <v>46002.0</v>
      </c>
      <c r="D1824" s="6" t="s">
        <v>11086</v>
      </c>
      <c r="E1824" s="6" t="s">
        <v>11087</v>
      </c>
      <c r="F1824" s="10"/>
      <c r="G1824" s="6" t="s">
        <v>11088</v>
      </c>
      <c r="H1824" s="6" t="s">
        <v>11090</v>
      </c>
      <c r="I1824" s="17" t="b">
        <v>1</v>
      </c>
      <c r="J1824" s="6" t="s">
        <v>546</v>
      </c>
      <c r="K1824" s="10"/>
      <c r="L1824" s="10"/>
      <c r="M1824" s="10"/>
      <c r="N1824" s="10"/>
      <c r="O1824" s="18">
        <v>48.74</v>
      </c>
      <c r="P1824" s="18">
        <v>1855106.0</v>
      </c>
      <c r="Q1824" s="17" t="b">
        <v>1</v>
      </c>
      <c r="R1824" s="10"/>
    </row>
    <row r="1825">
      <c r="A1825" s="6" t="s">
        <v>9295</v>
      </c>
      <c r="B1825" s="6" t="s">
        <v>35</v>
      </c>
      <c r="C1825" s="8">
        <v>46003.0</v>
      </c>
      <c r="D1825" s="18">
        <v>8.627274E7</v>
      </c>
      <c r="E1825" s="6" t="s">
        <v>11094</v>
      </c>
      <c r="F1825" s="10"/>
      <c r="G1825" s="6" t="s">
        <v>11095</v>
      </c>
      <c r="H1825" s="6" t="s">
        <v>4248</v>
      </c>
      <c r="I1825" s="17" t="b">
        <v>1</v>
      </c>
      <c r="J1825" s="6" t="s">
        <v>546</v>
      </c>
      <c r="K1825" s="10"/>
      <c r="L1825" s="10"/>
      <c r="M1825" s="10"/>
      <c r="N1825" s="10"/>
      <c r="O1825" s="18">
        <v>68.07</v>
      </c>
      <c r="P1825" s="18">
        <v>1856354.0</v>
      </c>
      <c r="Q1825" s="17" t="b">
        <v>1</v>
      </c>
      <c r="R1825" s="10"/>
    </row>
    <row r="1826">
      <c r="A1826" s="6" t="s">
        <v>9297</v>
      </c>
      <c r="B1826" s="6" t="s">
        <v>35</v>
      </c>
      <c r="C1826" s="8">
        <v>46002.0</v>
      </c>
      <c r="D1826" s="6" t="s">
        <v>11086</v>
      </c>
      <c r="E1826" s="6" t="s">
        <v>11098</v>
      </c>
      <c r="F1826" s="10"/>
      <c r="G1826" s="6" t="s">
        <v>11100</v>
      </c>
      <c r="H1826" s="6" t="s">
        <v>11101</v>
      </c>
      <c r="I1826" s="17" t="b">
        <v>1</v>
      </c>
      <c r="J1826" s="6" t="s">
        <v>546</v>
      </c>
      <c r="K1826" s="10"/>
      <c r="L1826" s="10"/>
      <c r="M1826" s="10"/>
      <c r="N1826" s="10"/>
      <c r="O1826" s="18">
        <v>22.73</v>
      </c>
      <c r="P1826" s="18">
        <v>1855102.0</v>
      </c>
      <c r="Q1826" s="17" t="b">
        <v>1</v>
      </c>
      <c r="R1826" s="10"/>
    </row>
    <row r="1827">
      <c r="A1827" s="6" t="s">
        <v>9299</v>
      </c>
      <c r="B1827" s="6" t="s">
        <v>35</v>
      </c>
      <c r="C1827" s="8">
        <v>46003.0</v>
      </c>
      <c r="D1827" s="6" t="s">
        <v>3716</v>
      </c>
      <c r="E1827" s="6" t="s">
        <v>11104</v>
      </c>
      <c r="F1827" s="10"/>
      <c r="G1827" s="6" t="s">
        <v>11105</v>
      </c>
      <c r="H1827" s="6" t="s">
        <v>6533</v>
      </c>
      <c r="I1827" s="17" t="b">
        <v>1</v>
      </c>
      <c r="J1827" s="6" t="s">
        <v>8596</v>
      </c>
      <c r="K1827" s="10"/>
      <c r="L1827" s="10"/>
      <c r="M1827" s="10"/>
      <c r="N1827" s="10"/>
      <c r="O1827" s="18">
        <v>531.0</v>
      </c>
      <c r="P1827" s="18">
        <v>1856358.0</v>
      </c>
      <c r="Q1827" s="17" t="b">
        <v>1</v>
      </c>
      <c r="R1827" s="10"/>
    </row>
    <row r="1828">
      <c r="A1828" s="6" t="s">
        <v>9302</v>
      </c>
      <c r="B1828" s="6" t="s">
        <v>35</v>
      </c>
      <c r="C1828" s="8">
        <v>46002.0</v>
      </c>
      <c r="D1828" s="6" t="s">
        <v>112</v>
      </c>
      <c r="E1828" s="6" t="s">
        <v>11108</v>
      </c>
      <c r="F1828" s="10"/>
      <c r="G1828" s="6" t="s">
        <v>11110</v>
      </c>
      <c r="H1828" s="6" t="s">
        <v>157</v>
      </c>
      <c r="I1828" s="17" t="b">
        <v>0</v>
      </c>
      <c r="J1828" s="6" t="s">
        <v>546</v>
      </c>
      <c r="K1828" s="10"/>
      <c r="L1828" s="10"/>
      <c r="M1828" s="10"/>
      <c r="N1828" s="10"/>
      <c r="O1828" s="18">
        <v>422.06</v>
      </c>
      <c r="P1828" s="10"/>
      <c r="Q1828" s="17" t="b">
        <v>1</v>
      </c>
      <c r="R1828" s="10"/>
    </row>
    <row r="1829">
      <c r="A1829" s="6" t="s">
        <v>11113</v>
      </c>
      <c r="B1829" s="6" t="s">
        <v>35</v>
      </c>
      <c r="C1829" s="8">
        <v>46002.0</v>
      </c>
      <c r="D1829" s="6" t="s">
        <v>764</v>
      </c>
      <c r="E1829" s="6" t="s">
        <v>11115</v>
      </c>
      <c r="F1829" s="10"/>
      <c r="G1829" s="6" t="s">
        <v>11116</v>
      </c>
      <c r="H1829" s="6" t="s">
        <v>195</v>
      </c>
      <c r="I1829" s="17" t="b">
        <v>0</v>
      </c>
      <c r="J1829" s="6" t="s">
        <v>11118</v>
      </c>
      <c r="K1829" s="10"/>
      <c r="L1829" s="10"/>
      <c r="M1829" s="10"/>
      <c r="N1829" s="10"/>
      <c r="O1829" s="10"/>
      <c r="P1829" s="10"/>
      <c r="Q1829" s="17" t="b">
        <v>1</v>
      </c>
      <c r="R1829" s="10"/>
    </row>
    <row r="1830">
      <c r="A1830" s="6" t="s">
        <v>9309</v>
      </c>
      <c r="B1830" s="6" t="s">
        <v>35</v>
      </c>
      <c r="C1830" s="8">
        <v>46003.0</v>
      </c>
      <c r="D1830" s="6" t="s">
        <v>2165</v>
      </c>
      <c r="E1830" s="6" t="s">
        <v>11121</v>
      </c>
      <c r="F1830" s="10"/>
      <c r="G1830" s="6" t="s">
        <v>11124</v>
      </c>
      <c r="H1830" s="6" t="s">
        <v>11125</v>
      </c>
      <c r="I1830" s="17" t="b">
        <v>0</v>
      </c>
      <c r="J1830" s="6" t="s">
        <v>546</v>
      </c>
      <c r="K1830" s="10"/>
      <c r="L1830" s="10"/>
      <c r="M1830" s="10"/>
      <c r="N1830" s="10"/>
      <c r="O1830" s="18">
        <v>1476.75</v>
      </c>
      <c r="P1830" s="10"/>
      <c r="Q1830" s="17" t="b">
        <v>1</v>
      </c>
      <c r="R1830" s="10"/>
    </row>
    <row r="1831">
      <c r="A1831" s="6" t="s">
        <v>9311</v>
      </c>
      <c r="B1831" s="6" t="s">
        <v>35</v>
      </c>
      <c r="C1831" s="8">
        <v>46003.0</v>
      </c>
      <c r="D1831" s="6" t="s">
        <v>543</v>
      </c>
      <c r="E1831" s="6" t="s">
        <v>11128</v>
      </c>
      <c r="F1831" s="10"/>
      <c r="G1831" s="6" t="s">
        <v>11129</v>
      </c>
      <c r="H1831" s="6" t="s">
        <v>171</v>
      </c>
      <c r="I1831" s="17" t="b">
        <v>0</v>
      </c>
      <c r="J1831" s="6" t="s">
        <v>546</v>
      </c>
      <c r="K1831" s="10"/>
      <c r="L1831" s="10"/>
      <c r="M1831" s="10"/>
      <c r="N1831" s="10"/>
      <c r="O1831" s="18">
        <v>150.0</v>
      </c>
      <c r="P1831" s="10"/>
      <c r="Q1831" s="17" t="b">
        <v>1</v>
      </c>
      <c r="R1831" s="10"/>
    </row>
    <row r="1832">
      <c r="A1832" s="6" t="s">
        <v>9313</v>
      </c>
      <c r="B1832" s="6" t="s">
        <v>35</v>
      </c>
      <c r="C1832" s="8">
        <v>46004.0</v>
      </c>
      <c r="D1832" s="6" t="s">
        <v>112</v>
      </c>
      <c r="E1832" s="6" t="s">
        <v>11132</v>
      </c>
      <c r="F1832" s="10"/>
      <c r="G1832" s="6" t="s">
        <v>11133</v>
      </c>
      <c r="H1832" s="6" t="s">
        <v>157</v>
      </c>
      <c r="I1832" s="17" t="b">
        <v>0</v>
      </c>
      <c r="J1832" s="6" t="s">
        <v>546</v>
      </c>
      <c r="K1832" s="10"/>
      <c r="L1832" s="10"/>
      <c r="M1832" s="10"/>
      <c r="N1832" s="10"/>
      <c r="O1832" s="18">
        <v>292.09</v>
      </c>
      <c r="P1832" s="10"/>
      <c r="Q1832" s="17" t="b">
        <v>1</v>
      </c>
      <c r="R1832" s="10"/>
    </row>
    <row r="1833">
      <c r="A1833" s="18">
        <v>11676.0</v>
      </c>
      <c r="B1833" s="6" t="s">
        <v>35</v>
      </c>
      <c r="C1833" s="8">
        <v>46006.0</v>
      </c>
      <c r="D1833" s="6" t="s">
        <v>890</v>
      </c>
      <c r="E1833" s="10"/>
      <c r="F1833" s="10"/>
      <c r="G1833" s="10"/>
      <c r="H1833" s="6" t="s">
        <v>10085</v>
      </c>
      <c r="I1833" s="10"/>
      <c r="J1833" s="6" t="s">
        <v>539</v>
      </c>
      <c r="K1833" s="10"/>
      <c r="L1833" s="10"/>
      <c r="M1833" s="10"/>
      <c r="N1833" s="10"/>
      <c r="O1833" s="18">
        <v>1098.0</v>
      </c>
      <c r="P1833" s="10"/>
      <c r="Q1833" s="17" t="b">
        <v>1</v>
      </c>
      <c r="R1833" s="10"/>
    </row>
    <row r="1834">
      <c r="A1834" s="18">
        <v>11681.0</v>
      </c>
      <c r="B1834" s="6" t="s">
        <v>35</v>
      </c>
      <c r="C1834" s="8">
        <v>46006.0</v>
      </c>
      <c r="D1834" s="6" t="s">
        <v>890</v>
      </c>
      <c r="E1834" s="10"/>
      <c r="F1834" s="10"/>
      <c r="G1834" s="10"/>
      <c r="H1834" s="6" t="s">
        <v>4010</v>
      </c>
      <c r="I1834" s="10"/>
      <c r="J1834" s="6" t="s">
        <v>539</v>
      </c>
      <c r="K1834" s="10"/>
      <c r="L1834" s="10"/>
      <c r="M1834" s="10"/>
      <c r="N1834" s="10"/>
      <c r="O1834" s="18">
        <v>375.0</v>
      </c>
      <c r="P1834" s="10"/>
      <c r="Q1834" s="17" t="b">
        <v>1</v>
      </c>
      <c r="R1834" s="10"/>
    </row>
    <row r="1835">
      <c r="A1835" s="6" t="s">
        <v>9325</v>
      </c>
      <c r="B1835" s="6" t="s">
        <v>35</v>
      </c>
      <c r="C1835" s="8">
        <v>46006.0</v>
      </c>
      <c r="D1835" s="6" t="s">
        <v>1864</v>
      </c>
      <c r="E1835" s="10"/>
      <c r="F1835" s="10"/>
      <c r="G1835" s="10"/>
      <c r="H1835" s="6" t="s">
        <v>11144</v>
      </c>
      <c r="I1835" s="10"/>
      <c r="J1835" s="6" t="s">
        <v>539</v>
      </c>
      <c r="K1835" s="10"/>
      <c r="L1835" s="10"/>
      <c r="M1835" s="10"/>
      <c r="N1835" s="10"/>
      <c r="O1835" s="18">
        <v>839.42</v>
      </c>
      <c r="P1835" s="10"/>
      <c r="Q1835" s="17" t="b">
        <v>1</v>
      </c>
      <c r="R1835" s="10"/>
    </row>
    <row r="1836">
      <c r="A1836" s="6" t="s">
        <v>9328</v>
      </c>
      <c r="B1836" s="6" t="s">
        <v>35</v>
      </c>
      <c r="C1836" s="8">
        <v>46006.0</v>
      </c>
      <c r="D1836" s="6" t="s">
        <v>890</v>
      </c>
      <c r="E1836" s="10"/>
      <c r="F1836" s="10"/>
      <c r="G1836" s="10"/>
      <c r="H1836" s="6" t="s">
        <v>11148</v>
      </c>
      <c r="I1836" s="10"/>
      <c r="J1836" s="6" t="s">
        <v>539</v>
      </c>
      <c r="K1836" s="10"/>
      <c r="L1836" s="10"/>
      <c r="M1836" s="10"/>
      <c r="N1836" s="10"/>
      <c r="O1836" s="18">
        <v>148.0</v>
      </c>
      <c r="P1836" s="10"/>
      <c r="Q1836" s="17" t="b">
        <v>1</v>
      </c>
      <c r="R1836" s="10"/>
    </row>
    <row r="1837">
      <c r="A1837" s="6" t="s">
        <v>9331</v>
      </c>
      <c r="B1837" s="6" t="s">
        <v>35</v>
      </c>
      <c r="C1837" s="8">
        <v>46006.0</v>
      </c>
      <c r="D1837" s="6" t="s">
        <v>1864</v>
      </c>
      <c r="E1837" s="10"/>
      <c r="F1837" s="10"/>
      <c r="G1837" s="10"/>
      <c r="H1837" s="6" t="s">
        <v>11152</v>
      </c>
      <c r="I1837" s="10"/>
      <c r="J1837" s="6" t="s">
        <v>539</v>
      </c>
      <c r="K1837" s="10"/>
      <c r="L1837" s="10"/>
      <c r="M1837" s="10"/>
      <c r="N1837" s="10"/>
      <c r="O1837" s="18">
        <v>185.1</v>
      </c>
      <c r="P1837" s="10"/>
      <c r="Q1837" s="17" t="b">
        <v>1</v>
      </c>
      <c r="R1837" s="10"/>
    </row>
    <row r="1838">
      <c r="A1838" s="6" t="s">
        <v>9334</v>
      </c>
      <c r="B1838" s="6" t="s">
        <v>35</v>
      </c>
      <c r="C1838" s="8">
        <v>46006.0</v>
      </c>
      <c r="D1838" s="6" t="s">
        <v>543</v>
      </c>
      <c r="E1838" s="6" t="s">
        <v>11155</v>
      </c>
      <c r="F1838" s="10"/>
      <c r="G1838" s="6" t="s">
        <v>11156</v>
      </c>
      <c r="H1838" s="6" t="s">
        <v>171</v>
      </c>
      <c r="I1838" s="17" t="b">
        <v>0</v>
      </c>
      <c r="J1838" s="6" t="s">
        <v>546</v>
      </c>
      <c r="K1838" s="10"/>
      <c r="L1838" s="10"/>
      <c r="M1838" s="10"/>
      <c r="N1838" s="10"/>
      <c r="O1838" s="18">
        <v>300.0</v>
      </c>
      <c r="P1838" s="10"/>
      <c r="Q1838" s="17" t="b">
        <v>1</v>
      </c>
      <c r="R1838" s="10"/>
    </row>
    <row r="1839">
      <c r="A1839" s="6" t="s">
        <v>9336</v>
      </c>
      <c r="B1839" s="6" t="s">
        <v>35</v>
      </c>
      <c r="C1839" s="8">
        <v>46006.0</v>
      </c>
      <c r="D1839" s="6" t="s">
        <v>112</v>
      </c>
      <c r="E1839" s="6" t="s">
        <v>11159</v>
      </c>
      <c r="F1839" s="10"/>
      <c r="G1839" s="6" t="s">
        <v>11160</v>
      </c>
      <c r="H1839" s="6" t="s">
        <v>157</v>
      </c>
      <c r="I1839" s="17" t="b">
        <v>0</v>
      </c>
      <c r="J1839" s="6" t="s">
        <v>546</v>
      </c>
      <c r="K1839" s="10"/>
      <c r="L1839" s="10"/>
      <c r="M1839" s="10"/>
      <c r="N1839" s="10"/>
      <c r="O1839" s="18">
        <v>249.68</v>
      </c>
      <c r="P1839" s="10"/>
      <c r="Q1839" s="17" t="b">
        <v>1</v>
      </c>
      <c r="R1839" s="10"/>
    </row>
    <row r="1840">
      <c r="A1840" s="6" t="s">
        <v>9343</v>
      </c>
      <c r="B1840" s="6" t="s">
        <v>35</v>
      </c>
      <c r="C1840" s="8">
        <v>46007.0</v>
      </c>
      <c r="D1840" s="6" t="s">
        <v>11163</v>
      </c>
      <c r="E1840" s="6" t="s">
        <v>11165</v>
      </c>
      <c r="F1840" s="10"/>
      <c r="G1840" s="6" t="s">
        <v>11167</v>
      </c>
      <c r="H1840" s="6" t="s">
        <v>9956</v>
      </c>
      <c r="I1840" s="17" t="b">
        <v>1</v>
      </c>
      <c r="J1840" s="6" t="s">
        <v>546</v>
      </c>
      <c r="K1840" s="10"/>
      <c r="L1840" s="10"/>
      <c r="M1840" s="10"/>
      <c r="N1840" s="10"/>
      <c r="O1840" s="18">
        <v>92.76</v>
      </c>
      <c r="P1840" s="18">
        <v>1865768.0</v>
      </c>
      <c r="Q1840" s="17" t="b">
        <v>1</v>
      </c>
      <c r="R1840" s="10"/>
    </row>
    <row r="1841">
      <c r="A1841" s="18">
        <v>11689.0</v>
      </c>
      <c r="B1841" s="6" t="s">
        <v>35</v>
      </c>
      <c r="C1841" s="8">
        <v>46007.0</v>
      </c>
      <c r="D1841" s="6" t="s">
        <v>3516</v>
      </c>
      <c r="E1841" s="10"/>
      <c r="F1841" s="10"/>
      <c r="G1841" s="10"/>
      <c r="H1841" s="6" t="s">
        <v>10131</v>
      </c>
      <c r="I1841" s="10"/>
      <c r="J1841" s="6" t="s">
        <v>539</v>
      </c>
      <c r="K1841" s="10"/>
      <c r="L1841" s="10"/>
      <c r="M1841" s="10"/>
      <c r="N1841" s="10"/>
      <c r="O1841" s="18">
        <v>1062.54</v>
      </c>
      <c r="P1841" s="10"/>
      <c r="Q1841" s="17" t="b">
        <v>1</v>
      </c>
      <c r="R1841" s="10"/>
    </row>
    <row r="1842">
      <c r="A1842" s="6" t="s">
        <v>9346</v>
      </c>
      <c r="B1842" s="6" t="s">
        <v>35</v>
      </c>
      <c r="C1842" s="8">
        <v>46007.0</v>
      </c>
      <c r="D1842" s="6" t="s">
        <v>460</v>
      </c>
      <c r="E1842" s="10"/>
      <c r="F1842" s="10"/>
      <c r="G1842" s="10"/>
      <c r="H1842" s="6" t="s">
        <v>11175</v>
      </c>
      <c r="I1842" s="10"/>
      <c r="J1842" s="6" t="s">
        <v>539</v>
      </c>
      <c r="K1842" s="10"/>
      <c r="L1842" s="10"/>
      <c r="M1842" s="10"/>
      <c r="N1842" s="10"/>
      <c r="O1842" s="18">
        <v>150.0</v>
      </c>
      <c r="P1842" s="10"/>
      <c r="Q1842" s="17" t="b">
        <v>1</v>
      </c>
      <c r="R1842" s="10"/>
    </row>
    <row r="1843">
      <c r="A1843" s="18">
        <v>11696.0</v>
      </c>
      <c r="B1843" s="6" t="s">
        <v>35</v>
      </c>
      <c r="C1843" s="8">
        <v>46007.0</v>
      </c>
      <c r="D1843" s="6" t="s">
        <v>3516</v>
      </c>
      <c r="E1843" s="10"/>
      <c r="F1843" s="10"/>
      <c r="G1843" s="10"/>
      <c r="H1843" s="6" t="s">
        <v>9759</v>
      </c>
      <c r="I1843" s="10"/>
      <c r="J1843" s="6" t="s">
        <v>539</v>
      </c>
      <c r="K1843" s="10"/>
      <c r="L1843" s="10"/>
      <c r="M1843" s="10"/>
      <c r="N1843" s="10"/>
      <c r="O1843" s="18">
        <v>1921.19</v>
      </c>
      <c r="P1843" s="10"/>
      <c r="Q1843" s="17" t="b">
        <v>1</v>
      </c>
      <c r="R1843" s="10"/>
    </row>
    <row r="1844">
      <c r="A1844" s="18">
        <v>11697.0</v>
      </c>
      <c r="B1844" s="6" t="s">
        <v>35</v>
      </c>
      <c r="C1844" s="8">
        <v>46007.0</v>
      </c>
      <c r="D1844" s="6" t="s">
        <v>3516</v>
      </c>
      <c r="E1844" s="10"/>
      <c r="F1844" s="10"/>
      <c r="G1844" s="10"/>
      <c r="H1844" s="6" t="s">
        <v>9762</v>
      </c>
      <c r="I1844" s="10"/>
      <c r="J1844" s="6" t="s">
        <v>539</v>
      </c>
      <c r="K1844" s="10"/>
      <c r="L1844" s="10"/>
      <c r="M1844" s="10"/>
      <c r="N1844" s="10"/>
      <c r="O1844" s="18">
        <v>17116.26</v>
      </c>
      <c r="P1844" s="10"/>
      <c r="Q1844" s="17" t="b">
        <v>1</v>
      </c>
      <c r="R1844" s="10"/>
    </row>
    <row r="1845">
      <c r="A1845" s="6" t="s">
        <v>9352</v>
      </c>
      <c r="B1845" s="6" t="s">
        <v>35</v>
      </c>
      <c r="C1845" s="8">
        <v>46007.0</v>
      </c>
      <c r="D1845" s="6" t="s">
        <v>1864</v>
      </c>
      <c r="E1845" s="10"/>
      <c r="F1845" s="10"/>
      <c r="G1845" s="10"/>
      <c r="H1845" s="6" t="s">
        <v>11189</v>
      </c>
      <c r="I1845" s="10"/>
      <c r="J1845" s="6" t="s">
        <v>539</v>
      </c>
      <c r="K1845" s="10"/>
      <c r="L1845" s="10"/>
      <c r="M1845" s="10"/>
      <c r="N1845" s="10"/>
      <c r="O1845" s="18">
        <v>761.91</v>
      </c>
      <c r="P1845" s="10"/>
      <c r="Q1845" s="17" t="b">
        <v>1</v>
      </c>
      <c r="R1845" s="10"/>
    </row>
    <row r="1846">
      <c r="A1846" s="6" t="s">
        <v>9354</v>
      </c>
      <c r="B1846" s="6" t="s">
        <v>35</v>
      </c>
      <c r="C1846" s="8">
        <v>46007.0</v>
      </c>
      <c r="D1846" s="6" t="s">
        <v>1160</v>
      </c>
      <c r="E1846" s="10"/>
      <c r="F1846" s="10"/>
      <c r="G1846" s="10"/>
      <c r="H1846" s="6" t="s">
        <v>11193</v>
      </c>
      <c r="I1846" s="10"/>
      <c r="J1846" s="6" t="s">
        <v>539</v>
      </c>
      <c r="K1846" s="10"/>
      <c r="L1846" s="10"/>
      <c r="M1846" s="10"/>
      <c r="N1846" s="10"/>
      <c r="O1846" s="18">
        <v>1062.96</v>
      </c>
      <c r="P1846" s="10"/>
      <c r="Q1846" s="17" t="b">
        <v>1</v>
      </c>
      <c r="R1846" s="10"/>
    </row>
    <row r="1847">
      <c r="A1847" s="6" t="s">
        <v>9356</v>
      </c>
      <c r="B1847" s="6" t="s">
        <v>35</v>
      </c>
      <c r="C1847" s="8">
        <v>46003.0</v>
      </c>
      <c r="D1847" s="6" t="s">
        <v>890</v>
      </c>
      <c r="E1847" s="6" t="s">
        <v>11197</v>
      </c>
      <c r="F1847" s="10"/>
      <c r="G1847" s="6" t="s">
        <v>11199</v>
      </c>
      <c r="H1847" s="6" t="s">
        <v>1511</v>
      </c>
      <c r="I1847" s="17" t="b">
        <v>0</v>
      </c>
      <c r="J1847" s="6" t="s">
        <v>546</v>
      </c>
      <c r="K1847" s="10"/>
      <c r="L1847" s="6" t="s">
        <v>11200</v>
      </c>
      <c r="M1847" s="10"/>
      <c r="N1847" s="10"/>
      <c r="O1847" s="18">
        <v>12803.87</v>
      </c>
      <c r="P1847" s="10"/>
      <c r="Q1847" s="17" t="b">
        <v>1</v>
      </c>
      <c r="R1847" s="10"/>
    </row>
    <row r="1848">
      <c r="A1848" s="6" t="s">
        <v>9358</v>
      </c>
      <c r="B1848" s="6" t="s">
        <v>35</v>
      </c>
      <c r="C1848" s="8">
        <v>46008.0</v>
      </c>
      <c r="D1848" s="6" t="s">
        <v>764</v>
      </c>
      <c r="E1848" s="6" t="s">
        <v>11203</v>
      </c>
      <c r="F1848" s="10"/>
      <c r="G1848" s="6" t="s">
        <v>11204</v>
      </c>
      <c r="H1848" s="6" t="s">
        <v>195</v>
      </c>
      <c r="I1848" s="17" t="b">
        <v>0</v>
      </c>
      <c r="J1848" s="6" t="s">
        <v>546</v>
      </c>
      <c r="K1848" s="10"/>
      <c r="L1848" s="10"/>
      <c r="M1848" s="10"/>
      <c r="N1848" s="10"/>
      <c r="O1848" s="18">
        <v>1640.42</v>
      </c>
      <c r="P1848" s="10"/>
      <c r="Q1848" s="17" t="b">
        <v>1</v>
      </c>
      <c r="R1848" s="10"/>
    </row>
    <row r="1849">
      <c r="A1849" s="18">
        <v>11719.0</v>
      </c>
      <c r="B1849" s="6" t="s">
        <v>35</v>
      </c>
      <c r="C1849" s="8">
        <v>46009.0</v>
      </c>
      <c r="D1849" s="6" t="s">
        <v>11209</v>
      </c>
      <c r="E1849" s="10"/>
      <c r="F1849" s="10"/>
      <c r="G1849" s="10"/>
      <c r="H1849" s="6" t="s">
        <v>11210</v>
      </c>
      <c r="I1849" s="10"/>
      <c r="J1849" s="6" t="s">
        <v>539</v>
      </c>
      <c r="K1849" s="10"/>
      <c r="L1849" s="10"/>
      <c r="M1849" s="10"/>
      <c r="N1849" s="10"/>
      <c r="O1849" s="18">
        <v>1307.62</v>
      </c>
      <c r="P1849" s="10"/>
      <c r="Q1849" s="17" t="b">
        <v>1</v>
      </c>
      <c r="R1849" s="10"/>
    </row>
    <row r="1850">
      <c r="A1850" s="6" t="s">
        <v>9372</v>
      </c>
      <c r="B1850" s="6" t="s">
        <v>35</v>
      </c>
      <c r="C1850" s="8">
        <v>46008.0</v>
      </c>
      <c r="D1850" s="6" t="s">
        <v>112</v>
      </c>
      <c r="E1850" s="6" t="s">
        <v>11212</v>
      </c>
      <c r="F1850" s="10"/>
      <c r="G1850" s="6" t="s">
        <v>11213</v>
      </c>
      <c r="H1850" s="6" t="s">
        <v>157</v>
      </c>
      <c r="I1850" s="17" t="b">
        <v>0</v>
      </c>
      <c r="J1850" s="6" t="s">
        <v>546</v>
      </c>
      <c r="K1850" s="10"/>
      <c r="L1850" s="10"/>
      <c r="M1850" s="10"/>
      <c r="N1850" s="10"/>
      <c r="O1850" s="18">
        <v>282.4</v>
      </c>
      <c r="P1850" s="10"/>
      <c r="Q1850" s="17" t="b">
        <v>1</v>
      </c>
      <c r="R1850" s="10"/>
    </row>
    <row r="1851">
      <c r="A1851" s="6" t="s">
        <v>9377</v>
      </c>
      <c r="B1851" s="6" t="s">
        <v>35</v>
      </c>
      <c r="C1851" s="8">
        <v>46009.0</v>
      </c>
      <c r="D1851" s="6" t="s">
        <v>112</v>
      </c>
      <c r="E1851" s="6" t="s">
        <v>11215</v>
      </c>
      <c r="F1851" s="10"/>
      <c r="G1851" s="6" t="s">
        <v>11217</v>
      </c>
      <c r="H1851" s="6" t="s">
        <v>157</v>
      </c>
      <c r="I1851" s="17" t="b">
        <v>0</v>
      </c>
      <c r="J1851" s="6" t="s">
        <v>546</v>
      </c>
      <c r="K1851" s="10"/>
      <c r="L1851" s="10"/>
      <c r="M1851" s="10"/>
      <c r="N1851" s="10"/>
      <c r="O1851" s="18">
        <v>474.97</v>
      </c>
      <c r="P1851" s="10"/>
      <c r="Q1851" s="17" t="b">
        <v>1</v>
      </c>
      <c r="R1851" s="10"/>
    </row>
    <row r="1852">
      <c r="A1852" s="6" t="s">
        <v>9389</v>
      </c>
      <c r="B1852" s="6" t="s">
        <v>35</v>
      </c>
      <c r="C1852" s="8">
        <v>46005.0</v>
      </c>
      <c r="D1852" s="6" t="s">
        <v>11219</v>
      </c>
      <c r="E1852" s="6" t="s">
        <v>11220</v>
      </c>
      <c r="F1852" s="10"/>
      <c r="G1852" s="6" t="s">
        <v>11221</v>
      </c>
      <c r="H1852" s="6" t="s">
        <v>11222</v>
      </c>
      <c r="I1852" s="17" t="b">
        <v>1</v>
      </c>
      <c r="J1852" s="6" t="s">
        <v>546</v>
      </c>
      <c r="K1852" s="10"/>
      <c r="L1852" s="10"/>
      <c r="M1852" s="10"/>
      <c r="N1852" s="10"/>
      <c r="O1852" s="18">
        <v>62.94</v>
      </c>
      <c r="P1852" s="18">
        <v>1862615.0</v>
      </c>
      <c r="Q1852" s="17" t="b">
        <v>1</v>
      </c>
      <c r="R1852" s="10"/>
    </row>
    <row r="1853">
      <c r="A1853" s="6" t="s">
        <v>9391</v>
      </c>
      <c r="B1853" s="6" t="s">
        <v>35</v>
      </c>
      <c r="C1853" s="8">
        <v>46010.0</v>
      </c>
      <c r="D1853" s="18">
        <v>8.627274E7</v>
      </c>
      <c r="E1853" s="6" t="s">
        <v>11225</v>
      </c>
      <c r="F1853" s="10"/>
      <c r="G1853" s="6" t="s">
        <v>11227</v>
      </c>
      <c r="H1853" s="6" t="s">
        <v>11222</v>
      </c>
      <c r="I1853" s="17" t="b">
        <v>1</v>
      </c>
      <c r="J1853" s="6" t="s">
        <v>546</v>
      </c>
      <c r="K1853" s="10"/>
      <c r="L1853" s="10"/>
      <c r="M1853" s="10"/>
      <c r="N1853" s="10"/>
      <c r="O1853" s="18">
        <v>213.46</v>
      </c>
      <c r="P1853" s="18">
        <v>1871089.0</v>
      </c>
      <c r="Q1853" s="17" t="b">
        <v>1</v>
      </c>
      <c r="R1853" s="10"/>
    </row>
    <row r="1854">
      <c r="A1854" s="6" t="s">
        <v>9395</v>
      </c>
      <c r="B1854" s="6" t="s">
        <v>35</v>
      </c>
      <c r="C1854" s="8">
        <v>46010.0</v>
      </c>
      <c r="D1854" s="6" t="s">
        <v>9825</v>
      </c>
      <c r="E1854" s="6" t="s">
        <v>11229</v>
      </c>
      <c r="F1854" s="10"/>
      <c r="G1854" s="6" t="s">
        <v>11230</v>
      </c>
      <c r="H1854" s="6" t="s">
        <v>11231</v>
      </c>
      <c r="I1854" s="17" t="b">
        <v>1</v>
      </c>
      <c r="J1854" s="6" t="s">
        <v>546</v>
      </c>
      <c r="K1854" s="10"/>
      <c r="L1854" s="10"/>
      <c r="M1854" s="10"/>
      <c r="N1854" s="10"/>
      <c r="O1854" s="18">
        <v>531.0</v>
      </c>
      <c r="P1854" s="18">
        <v>1871717.0</v>
      </c>
      <c r="Q1854" s="17" t="b">
        <v>1</v>
      </c>
      <c r="R1854" s="10"/>
    </row>
    <row r="1855">
      <c r="A1855" s="6" t="s">
        <v>9398</v>
      </c>
      <c r="B1855" s="6" t="s">
        <v>35</v>
      </c>
      <c r="C1855" s="8">
        <v>46014.0</v>
      </c>
      <c r="D1855" s="6" t="s">
        <v>890</v>
      </c>
      <c r="E1855" s="10"/>
      <c r="F1855" s="10"/>
      <c r="G1855" s="10"/>
      <c r="H1855" s="6" t="s">
        <v>11235</v>
      </c>
      <c r="I1855" s="10"/>
      <c r="J1855" s="6" t="s">
        <v>539</v>
      </c>
      <c r="K1855" s="10"/>
      <c r="L1855" s="10"/>
      <c r="M1855" s="10"/>
      <c r="N1855" s="10"/>
      <c r="O1855" s="18">
        <v>3957.12</v>
      </c>
      <c r="P1855" s="10"/>
      <c r="Q1855" s="17" t="b">
        <v>1</v>
      </c>
      <c r="R1855" s="10"/>
    </row>
    <row r="1856">
      <c r="A1856" s="6" t="s">
        <v>9402</v>
      </c>
      <c r="B1856" s="6" t="s">
        <v>35</v>
      </c>
      <c r="C1856" s="8">
        <v>46014.0</v>
      </c>
      <c r="D1856" s="6" t="s">
        <v>890</v>
      </c>
      <c r="E1856" s="10"/>
      <c r="F1856" s="10"/>
      <c r="G1856" s="10"/>
      <c r="H1856" s="6" t="s">
        <v>11238</v>
      </c>
      <c r="I1856" s="10"/>
      <c r="J1856" s="6" t="s">
        <v>539</v>
      </c>
      <c r="K1856" s="10"/>
      <c r="L1856" s="10"/>
      <c r="M1856" s="10"/>
      <c r="N1856" s="10"/>
      <c r="O1856" s="18">
        <v>2776.66</v>
      </c>
      <c r="P1856" s="10"/>
      <c r="Q1856" s="17" t="b">
        <v>1</v>
      </c>
      <c r="R1856" s="10"/>
    </row>
    <row r="1857">
      <c r="A1857" s="6" t="s">
        <v>9405</v>
      </c>
      <c r="B1857" s="6" t="s">
        <v>35</v>
      </c>
      <c r="C1857" s="8">
        <v>46014.0</v>
      </c>
      <c r="D1857" s="6" t="s">
        <v>543</v>
      </c>
      <c r="E1857" s="10"/>
      <c r="F1857" s="10"/>
      <c r="G1857" s="10"/>
      <c r="H1857" s="6" t="s">
        <v>11240</v>
      </c>
      <c r="I1857" s="10"/>
      <c r="J1857" s="6" t="s">
        <v>539</v>
      </c>
      <c r="K1857" s="10"/>
      <c r="L1857" s="10"/>
      <c r="M1857" s="10"/>
      <c r="N1857" s="10"/>
      <c r="O1857" s="18">
        <v>750.0</v>
      </c>
      <c r="P1857" s="10"/>
      <c r="Q1857" s="17" t="b">
        <v>1</v>
      </c>
      <c r="R1857" s="10"/>
    </row>
    <row r="1858">
      <c r="A1858" s="6" t="s">
        <v>9407</v>
      </c>
      <c r="B1858" s="6" t="s">
        <v>35</v>
      </c>
      <c r="C1858" s="8">
        <v>46015.0</v>
      </c>
      <c r="D1858" s="6" t="s">
        <v>890</v>
      </c>
      <c r="E1858" s="10"/>
      <c r="F1858" s="10"/>
      <c r="G1858" s="10"/>
      <c r="H1858" s="6" t="s">
        <v>11243</v>
      </c>
      <c r="I1858" s="10"/>
      <c r="J1858" s="6" t="s">
        <v>539</v>
      </c>
      <c r="K1858" s="10"/>
      <c r="L1858" s="10"/>
      <c r="M1858" s="10"/>
      <c r="N1858" s="10"/>
      <c r="O1858" s="18">
        <v>625.0</v>
      </c>
      <c r="P1858" s="10"/>
      <c r="Q1858" s="17" t="b">
        <v>1</v>
      </c>
      <c r="R1858" s="10"/>
    </row>
    <row r="1859">
      <c r="A1859" s="6" t="s">
        <v>9409</v>
      </c>
      <c r="B1859" s="6" t="s">
        <v>35</v>
      </c>
      <c r="C1859" s="8">
        <v>46015.0</v>
      </c>
      <c r="D1859" s="6" t="s">
        <v>1864</v>
      </c>
      <c r="E1859" s="10"/>
      <c r="F1859" s="10"/>
      <c r="G1859" s="10"/>
      <c r="H1859" s="6" t="s">
        <v>11189</v>
      </c>
      <c r="I1859" s="10"/>
      <c r="J1859" s="6" t="s">
        <v>539</v>
      </c>
      <c r="K1859" s="10"/>
      <c r="L1859" s="10"/>
      <c r="M1859" s="10"/>
      <c r="N1859" s="10"/>
      <c r="O1859" s="18">
        <v>344.17</v>
      </c>
      <c r="P1859" s="10"/>
      <c r="Q1859" s="17" t="b">
        <v>1</v>
      </c>
      <c r="R1859" s="10"/>
    </row>
    <row r="1860">
      <c r="A1860" s="18">
        <v>11717.0</v>
      </c>
      <c r="B1860" s="6" t="s">
        <v>35</v>
      </c>
      <c r="C1860" s="8">
        <v>46015.0</v>
      </c>
      <c r="D1860" s="6" t="s">
        <v>460</v>
      </c>
      <c r="E1860" s="10"/>
      <c r="F1860" s="10"/>
      <c r="G1860" s="10"/>
      <c r="H1860" s="8">
        <v>45931.0</v>
      </c>
      <c r="I1860" s="10"/>
      <c r="J1860" s="6" t="s">
        <v>539</v>
      </c>
      <c r="K1860" s="10"/>
      <c r="L1860" s="10"/>
      <c r="M1860" s="10"/>
      <c r="N1860" s="10"/>
      <c r="O1860" s="18">
        <v>249.23</v>
      </c>
      <c r="P1860" s="10"/>
      <c r="Q1860" s="17" t="b">
        <v>1</v>
      </c>
      <c r="R1860" s="10"/>
    </row>
    <row r="1861">
      <c r="A1861" s="18">
        <v>11718.0</v>
      </c>
      <c r="B1861" s="6" t="s">
        <v>35</v>
      </c>
      <c r="C1861" s="8">
        <v>46015.0</v>
      </c>
      <c r="D1861" s="6" t="s">
        <v>1160</v>
      </c>
      <c r="E1861" s="10"/>
      <c r="F1861" s="10"/>
      <c r="G1861" s="10"/>
      <c r="H1861" s="8">
        <v>45717.0</v>
      </c>
      <c r="I1861" s="10"/>
      <c r="J1861" s="6" t="s">
        <v>539</v>
      </c>
      <c r="K1861" s="10"/>
      <c r="L1861" s="10"/>
      <c r="M1861" s="10"/>
      <c r="N1861" s="10"/>
      <c r="O1861" s="18">
        <v>68.56</v>
      </c>
      <c r="P1861" s="10"/>
      <c r="Q1861" s="17" t="b">
        <v>1</v>
      </c>
      <c r="R1861" s="10"/>
    </row>
    <row r="1862">
      <c r="A1862" s="6" t="s">
        <v>9415</v>
      </c>
      <c r="B1862" s="6" t="s">
        <v>35</v>
      </c>
      <c r="C1862" s="8">
        <v>46015.0</v>
      </c>
      <c r="D1862" s="6" t="s">
        <v>460</v>
      </c>
      <c r="E1862" s="10"/>
      <c r="F1862" s="10"/>
      <c r="G1862" s="10"/>
      <c r="H1862" s="6" t="s">
        <v>11253</v>
      </c>
      <c r="I1862" s="10"/>
      <c r="J1862" s="6" t="s">
        <v>539</v>
      </c>
      <c r="K1862" s="10"/>
      <c r="L1862" s="10"/>
      <c r="M1862" s="10"/>
      <c r="N1862" s="10"/>
      <c r="O1862" s="18">
        <v>32.5</v>
      </c>
      <c r="P1862" s="10"/>
      <c r="Q1862" s="17" t="b">
        <v>1</v>
      </c>
      <c r="R1862" s="10"/>
    </row>
    <row r="1863">
      <c r="A1863" s="6" t="s">
        <v>9421</v>
      </c>
      <c r="B1863" s="6" t="s">
        <v>35</v>
      </c>
      <c r="C1863" s="8">
        <v>46015.0</v>
      </c>
      <c r="D1863" s="6" t="s">
        <v>1160</v>
      </c>
      <c r="E1863" s="10"/>
      <c r="F1863" s="10"/>
      <c r="G1863" s="10"/>
      <c r="H1863" s="6" t="s">
        <v>11256</v>
      </c>
      <c r="I1863" s="10"/>
      <c r="J1863" s="6" t="s">
        <v>539</v>
      </c>
      <c r="K1863" s="10"/>
      <c r="L1863" s="10"/>
      <c r="M1863" s="10"/>
      <c r="N1863" s="10"/>
      <c r="O1863" s="18">
        <v>1305.85</v>
      </c>
      <c r="P1863" s="10"/>
      <c r="Q1863" s="17" t="b">
        <v>1</v>
      </c>
      <c r="R1863" s="10"/>
    </row>
    <row r="1864">
      <c r="A1864" s="6" t="s">
        <v>9423</v>
      </c>
      <c r="B1864" s="6" t="s">
        <v>35</v>
      </c>
      <c r="C1864" s="8">
        <v>46016.0</v>
      </c>
      <c r="D1864" s="6" t="s">
        <v>1864</v>
      </c>
      <c r="E1864" s="10"/>
      <c r="F1864" s="10"/>
      <c r="G1864" s="10"/>
      <c r="H1864" s="6" t="s">
        <v>11259</v>
      </c>
      <c r="I1864" s="10"/>
      <c r="J1864" s="6" t="s">
        <v>539</v>
      </c>
      <c r="K1864" s="10"/>
      <c r="L1864" s="10"/>
      <c r="M1864" s="10"/>
      <c r="N1864" s="10"/>
      <c r="O1864" s="18">
        <v>2825.53</v>
      </c>
      <c r="P1864" s="10"/>
      <c r="Q1864" s="17" t="b">
        <v>1</v>
      </c>
      <c r="R1864" s="10"/>
    </row>
    <row r="1865">
      <c r="A1865" s="6" t="s">
        <v>9425</v>
      </c>
      <c r="B1865" s="6" t="s">
        <v>35</v>
      </c>
      <c r="C1865" s="8">
        <v>46017.0</v>
      </c>
      <c r="D1865" s="6" t="s">
        <v>1864</v>
      </c>
      <c r="E1865" s="10"/>
      <c r="F1865" s="10"/>
      <c r="G1865" s="10"/>
      <c r="H1865" s="6" t="s">
        <v>11263</v>
      </c>
      <c r="I1865" s="10"/>
      <c r="J1865" s="6" t="s">
        <v>539</v>
      </c>
      <c r="K1865" s="10"/>
      <c r="L1865" s="10"/>
      <c r="M1865" s="10"/>
      <c r="N1865" s="10"/>
      <c r="O1865" s="18">
        <v>563.24</v>
      </c>
      <c r="P1865" s="10"/>
      <c r="Q1865" s="17" t="b">
        <v>1</v>
      </c>
      <c r="R1865" s="10"/>
    </row>
    <row r="1866">
      <c r="A1866" s="6" t="s">
        <v>9428</v>
      </c>
      <c r="B1866" s="6" t="s">
        <v>35</v>
      </c>
      <c r="C1866" s="8">
        <v>46013.0</v>
      </c>
      <c r="D1866" s="6" t="s">
        <v>9260</v>
      </c>
      <c r="E1866" s="6" t="s">
        <v>11267</v>
      </c>
      <c r="F1866" s="10"/>
      <c r="G1866" s="6" t="s">
        <v>11268</v>
      </c>
      <c r="H1866" s="6" t="s">
        <v>4787</v>
      </c>
      <c r="I1866" s="17" t="b">
        <v>0</v>
      </c>
      <c r="J1866" s="6" t="s">
        <v>546</v>
      </c>
      <c r="K1866" s="10"/>
      <c r="L1866" s="6" t="s">
        <v>11270</v>
      </c>
      <c r="M1866" s="6" t="s">
        <v>11271</v>
      </c>
      <c r="N1866" s="10"/>
      <c r="O1866" s="18">
        <v>28192.87</v>
      </c>
      <c r="P1866" s="10"/>
      <c r="Q1866" s="17" t="b">
        <v>1</v>
      </c>
      <c r="R1866" s="10"/>
    </row>
    <row r="1867">
      <c r="A1867" s="6" t="s">
        <v>9431</v>
      </c>
      <c r="B1867" s="6" t="s">
        <v>35</v>
      </c>
      <c r="C1867" s="8">
        <v>46017.0</v>
      </c>
      <c r="D1867" s="10"/>
      <c r="E1867" s="10"/>
      <c r="F1867" s="10"/>
      <c r="G1867" s="10"/>
      <c r="H1867" s="6" t="s">
        <v>1329</v>
      </c>
      <c r="I1867" s="10"/>
      <c r="J1867" s="6" t="s">
        <v>539</v>
      </c>
      <c r="K1867" s="6" t="s">
        <v>2052</v>
      </c>
      <c r="L1867" s="10"/>
      <c r="M1867" s="10"/>
      <c r="N1867" s="10"/>
      <c r="O1867" s="18">
        <v>500.0</v>
      </c>
      <c r="P1867" s="10"/>
      <c r="Q1867" s="17" t="b">
        <v>1</v>
      </c>
      <c r="R1867" s="10"/>
    </row>
    <row r="1868">
      <c r="A1868" s="6" t="s">
        <v>9433</v>
      </c>
      <c r="B1868" s="6" t="s">
        <v>35</v>
      </c>
      <c r="C1868" s="8">
        <v>46017.0</v>
      </c>
      <c r="D1868" s="10"/>
      <c r="E1868" s="10"/>
      <c r="F1868" s="10"/>
      <c r="G1868" s="10"/>
      <c r="H1868" s="6" t="s">
        <v>1329</v>
      </c>
      <c r="I1868" s="10"/>
      <c r="J1868" s="6" t="s">
        <v>539</v>
      </c>
      <c r="K1868" s="6" t="s">
        <v>6062</v>
      </c>
      <c r="L1868" s="10"/>
      <c r="M1868" s="10"/>
      <c r="N1868" s="10"/>
      <c r="O1868" s="18">
        <v>500.0</v>
      </c>
      <c r="P1868" s="10"/>
      <c r="Q1868" s="17" t="b">
        <v>1</v>
      </c>
      <c r="R1868" s="10"/>
    </row>
    <row r="1869">
      <c r="A1869" s="18">
        <v>11729.0</v>
      </c>
      <c r="B1869" s="6" t="s">
        <v>35</v>
      </c>
      <c r="C1869" s="8">
        <v>46018.0</v>
      </c>
      <c r="D1869" s="6" t="s">
        <v>460</v>
      </c>
      <c r="E1869" s="10"/>
      <c r="F1869" s="10"/>
      <c r="G1869" s="10"/>
      <c r="H1869" s="6" t="s">
        <v>10550</v>
      </c>
      <c r="I1869" s="10"/>
      <c r="J1869" s="6" t="s">
        <v>539</v>
      </c>
      <c r="K1869" s="10"/>
      <c r="L1869" s="10"/>
      <c r="M1869" s="10"/>
      <c r="N1869" s="10"/>
      <c r="O1869" s="18">
        <v>4083.0</v>
      </c>
      <c r="P1869" s="10"/>
      <c r="Q1869" s="17" t="b">
        <v>1</v>
      </c>
      <c r="R1869" s="10"/>
    </row>
    <row r="1870">
      <c r="A1870" s="6" t="s">
        <v>9440</v>
      </c>
      <c r="B1870" s="6" t="s">
        <v>35</v>
      </c>
      <c r="C1870" s="8">
        <v>46018.0</v>
      </c>
      <c r="D1870" s="10"/>
      <c r="E1870" s="10"/>
      <c r="F1870" s="10"/>
      <c r="G1870" s="10"/>
      <c r="H1870" s="6" t="s">
        <v>1329</v>
      </c>
      <c r="I1870" s="10"/>
      <c r="J1870" s="6" t="s">
        <v>539</v>
      </c>
      <c r="K1870" s="6" t="s">
        <v>227</v>
      </c>
      <c r="L1870" s="10"/>
      <c r="M1870" s="10"/>
      <c r="N1870" s="10"/>
      <c r="O1870" s="18">
        <v>500.0</v>
      </c>
      <c r="P1870" s="10"/>
      <c r="Q1870" s="17" t="b">
        <v>1</v>
      </c>
      <c r="R1870" s="10"/>
    </row>
    <row r="1871">
      <c r="A1871" s="6" t="s">
        <v>9442</v>
      </c>
      <c r="B1871" s="6" t="s">
        <v>35</v>
      </c>
      <c r="C1871" s="8">
        <v>46018.0</v>
      </c>
      <c r="D1871" s="6" t="s">
        <v>112</v>
      </c>
      <c r="E1871" s="6" t="s">
        <v>11286</v>
      </c>
      <c r="F1871" s="10"/>
      <c r="G1871" s="6" t="s">
        <v>11287</v>
      </c>
      <c r="H1871" s="6" t="s">
        <v>157</v>
      </c>
      <c r="I1871" s="17" t="b">
        <v>0</v>
      </c>
      <c r="J1871" s="6" t="s">
        <v>546</v>
      </c>
      <c r="K1871" s="10"/>
      <c r="L1871" s="10"/>
      <c r="M1871" s="10"/>
      <c r="N1871" s="10"/>
      <c r="O1871" s="18">
        <v>713.44</v>
      </c>
      <c r="P1871" s="10"/>
      <c r="Q1871" s="17" t="b">
        <v>1</v>
      </c>
      <c r="R1871" s="10"/>
    </row>
    <row r="1872">
      <c r="A1872" s="6" t="s">
        <v>9449</v>
      </c>
      <c r="B1872" s="6" t="s">
        <v>35</v>
      </c>
      <c r="C1872" s="8">
        <v>46017.0</v>
      </c>
      <c r="D1872" s="6" t="s">
        <v>112</v>
      </c>
      <c r="E1872" s="6" t="s">
        <v>11290</v>
      </c>
      <c r="F1872" s="10"/>
      <c r="G1872" s="6" t="s">
        <v>11291</v>
      </c>
      <c r="H1872" s="6" t="s">
        <v>157</v>
      </c>
      <c r="I1872" s="17" t="b">
        <v>0</v>
      </c>
      <c r="J1872" s="6" t="s">
        <v>546</v>
      </c>
      <c r="K1872" s="10"/>
      <c r="L1872" s="10"/>
      <c r="M1872" s="10"/>
      <c r="N1872" s="10"/>
      <c r="O1872" s="18">
        <v>486.11</v>
      </c>
      <c r="P1872" s="10"/>
      <c r="Q1872" s="17" t="b">
        <v>1</v>
      </c>
      <c r="R1872" s="10"/>
    </row>
    <row r="1873">
      <c r="A1873" s="6" t="s">
        <v>9457</v>
      </c>
      <c r="B1873" s="6" t="s">
        <v>35</v>
      </c>
      <c r="C1873" s="8">
        <v>46017.0</v>
      </c>
      <c r="D1873" s="6" t="s">
        <v>3493</v>
      </c>
      <c r="E1873" s="6" t="s">
        <v>11295</v>
      </c>
      <c r="F1873" s="10"/>
      <c r="G1873" s="6" t="s">
        <v>11296</v>
      </c>
      <c r="H1873" s="6" t="s">
        <v>11297</v>
      </c>
      <c r="I1873" s="17" t="b">
        <v>1</v>
      </c>
      <c r="J1873" s="6" t="s">
        <v>546</v>
      </c>
      <c r="K1873" s="10"/>
      <c r="L1873" s="10"/>
      <c r="M1873" s="10"/>
      <c r="N1873" s="10"/>
      <c r="O1873" s="18">
        <v>7.99</v>
      </c>
      <c r="P1873" s="18">
        <v>1887312.0</v>
      </c>
      <c r="Q1873" s="17" t="b">
        <v>1</v>
      </c>
      <c r="R1873" s="10"/>
    </row>
    <row r="1874">
      <c r="A1874" s="6" t="s">
        <v>9459</v>
      </c>
      <c r="B1874" s="6" t="s">
        <v>35</v>
      </c>
      <c r="C1874" s="8">
        <v>46017.0</v>
      </c>
      <c r="D1874" s="18">
        <v>8.627274E7</v>
      </c>
      <c r="E1874" s="6" t="s">
        <v>11300</v>
      </c>
      <c r="F1874" s="10"/>
      <c r="G1874" s="6" t="s">
        <v>11301</v>
      </c>
      <c r="H1874" s="6" t="s">
        <v>11302</v>
      </c>
      <c r="I1874" s="17" t="b">
        <v>1</v>
      </c>
      <c r="J1874" s="6" t="s">
        <v>546</v>
      </c>
      <c r="K1874" s="10"/>
      <c r="L1874" s="10"/>
      <c r="M1874" s="10"/>
      <c r="N1874" s="10"/>
      <c r="O1874" s="18">
        <v>85.93</v>
      </c>
      <c r="P1874" s="18">
        <v>1886120.0</v>
      </c>
      <c r="Q1874" s="17" t="b">
        <v>1</v>
      </c>
      <c r="R1874" s="10"/>
    </row>
    <row r="1875">
      <c r="A1875" s="6" t="s">
        <v>9461</v>
      </c>
      <c r="B1875" s="6" t="s">
        <v>35</v>
      </c>
      <c r="C1875" s="8">
        <v>46020.0</v>
      </c>
      <c r="D1875" s="6" t="s">
        <v>145</v>
      </c>
      <c r="E1875" s="6" t="s">
        <v>11306</v>
      </c>
      <c r="F1875" s="10"/>
      <c r="G1875" s="6" t="s">
        <v>11307</v>
      </c>
      <c r="H1875" s="6" t="s">
        <v>147</v>
      </c>
      <c r="I1875" s="17" t="b">
        <v>0</v>
      </c>
      <c r="J1875" s="6" t="s">
        <v>546</v>
      </c>
      <c r="K1875" s="10"/>
      <c r="L1875" s="10"/>
      <c r="M1875" s="10"/>
      <c r="N1875" s="10"/>
      <c r="O1875" s="18">
        <v>252.0</v>
      </c>
      <c r="P1875" s="10"/>
      <c r="Q1875" s="17" t="b">
        <v>1</v>
      </c>
      <c r="R1875" s="10"/>
    </row>
    <row r="1876">
      <c r="A1876" s="6" t="s">
        <v>9468</v>
      </c>
      <c r="B1876" s="6" t="s">
        <v>35</v>
      </c>
      <c r="C1876" s="8">
        <v>46020.0</v>
      </c>
      <c r="D1876" s="6" t="s">
        <v>780</v>
      </c>
      <c r="E1876" s="6" t="s">
        <v>11313</v>
      </c>
      <c r="F1876" s="10"/>
      <c r="G1876" s="6" t="s">
        <v>11315</v>
      </c>
      <c r="H1876" s="6" t="s">
        <v>195</v>
      </c>
      <c r="I1876" s="17" t="b">
        <v>0</v>
      </c>
      <c r="J1876" s="6" t="s">
        <v>546</v>
      </c>
      <c r="K1876" s="10"/>
      <c r="L1876" s="6" t="s">
        <v>11317</v>
      </c>
      <c r="M1876" s="10"/>
      <c r="N1876" s="10"/>
      <c r="O1876" s="18">
        <v>689.57</v>
      </c>
      <c r="P1876" s="10"/>
      <c r="Q1876" s="17" t="b">
        <v>1</v>
      </c>
      <c r="R1876" s="10"/>
    </row>
    <row r="1877">
      <c r="A1877" s="18">
        <v>11727.0</v>
      </c>
      <c r="B1877" s="6" t="s">
        <v>35</v>
      </c>
      <c r="C1877" s="8">
        <v>46021.0</v>
      </c>
      <c r="D1877" s="6" t="s">
        <v>9825</v>
      </c>
      <c r="E1877" s="10"/>
      <c r="F1877" s="10"/>
      <c r="G1877" s="10"/>
      <c r="H1877" s="6" t="s">
        <v>9826</v>
      </c>
      <c r="I1877" s="10"/>
      <c r="J1877" s="6" t="s">
        <v>539</v>
      </c>
      <c r="K1877" s="10"/>
      <c r="L1877" s="10"/>
      <c r="M1877" s="10"/>
      <c r="N1877" s="10"/>
      <c r="O1877" s="18">
        <v>436.88</v>
      </c>
      <c r="P1877" s="10"/>
      <c r="Q1877" s="17" t="b">
        <v>1</v>
      </c>
      <c r="R1877" s="10"/>
    </row>
    <row r="1878">
      <c r="A1878" s="18">
        <v>11728.0</v>
      </c>
      <c r="B1878" s="6" t="s">
        <v>35</v>
      </c>
      <c r="C1878" s="8">
        <v>46021.0</v>
      </c>
      <c r="D1878" s="6" t="s">
        <v>9825</v>
      </c>
      <c r="E1878" s="10"/>
      <c r="F1878" s="10"/>
      <c r="G1878" s="10"/>
      <c r="H1878" s="6" t="s">
        <v>9835</v>
      </c>
      <c r="I1878" s="10"/>
      <c r="J1878" s="6" t="s">
        <v>539</v>
      </c>
      <c r="K1878" s="10"/>
      <c r="L1878" s="10"/>
      <c r="M1878" s="10"/>
      <c r="N1878" s="10"/>
      <c r="O1878" s="18">
        <v>87.68</v>
      </c>
      <c r="P1878" s="10"/>
      <c r="Q1878" s="17" t="b">
        <v>1</v>
      </c>
      <c r="R1878" s="10"/>
    </row>
    <row r="1879">
      <c r="A1879" s="18">
        <v>11730.0</v>
      </c>
      <c r="B1879" s="6" t="s">
        <v>35</v>
      </c>
      <c r="C1879" s="8">
        <v>46021.0</v>
      </c>
      <c r="D1879" s="6" t="s">
        <v>460</v>
      </c>
      <c r="E1879" s="10"/>
      <c r="F1879" s="10"/>
      <c r="G1879" s="10"/>
      <c r="H1879" s="6" t="s">
        <v>11326</v>
      </c>
      <c r="I1879" s="10"/>
      <c r="J1879" s="6" t="s">
        <v>539</v>
      </c>
      <c r="K1879" s="10"/>
      <c r="L1879" s="10"/>
      <c r="M1879" s="10"/>
      <c r="N1879" s="10"/>
      <c r="O1879" s="18">
        <v>72.0</v>
      </c>
      <c r="P1879" s="10"/>
      <c r="Q1879" s="17" t="b">
        <v>1</v>
      </c>
      <c r="R1879" s="10"/>
    </row>
    <row r="1880">
      <c r="A1880" s="18">
        <v>11735.0</v>
      </c>
      <c r="B1880" s="6" t="s">
        <v>35</v>
      </c>
      <c r="C1880" s="8">
        <v>46021.0</v>
      </c>
      <c r="D1880" s="10"/>
      <c r="E1880" s="10"/>
      <c r="F1880" s="10"/>
      <c r="G1880" s="10"/>
      <c r="H1880" s="6" t="s">
        <v>8658</v>
      </c>
      <c r="I1880" s="10"/>
      <c r="J1880" s="6" t="s">
        <v>539</v>
      </c>
      <c r="K1880" s="6" t="s">
        <v>2052</v>
      </c>
      <c r="L1880" s="10"/>
      <c r="M1880" s="10"/>
      <c r="N1880" s="10"/>
      <c r="O1880" s="18">
        <v>1863.44</v>
      </c>
      <c r="P1880" s="10"/>
      <c r="Q1880" s="17" t="b">
        <v>1</v>
      </c>
      <c r="R1880" s="10"/>
    </row>
    <row r="1881">
      <c r="A1881" s="18">
        <v>11736.0</v>
      </c>
      <c r="B1881" s="6" t="s">
        <v>35</v>
      </c>
      <c r="C1881" s="8">
        <v>46021.0</v>
      </c>
      <c r="D1881" s="10"/>
      <c r="E1881" s="10"/>
      <c r="F1881" s="10"/>
      <c r="G1881" s="10"/>
      <c r="H1881" s="6" t="s">
        <v>8658</v>
      </c>
      <c r="I1881" s="10"/>
      <c r="J1881" s="6" t="s">
        <v>539</v>
      </c>
      <c r="K1881" s="6" t="s">
        <v>227</v>
      </c>
      <c r="L1881" s="10"/>
      <c r="M1881" s="10"/>
      <c r="N1881" s="10"/>
      <c r="O1881" s="18">
        <v>1858.58</v>
      </c>
      <c r="P1881" s="10"/>
      <c r="Q1881" s="17" t="b">
        <v>1</v>
      </c>
      <c r="R1881" s="10"/>
    </row>
    <row r="1882">
      <c r="A1882" s="18">
        <v>11737.0</v>
      </c>
      <c r="B1882" s="6" t="s">
        <v>35</v>
      </c>
      <c r="C1882" s="8">
        <v>46021.0</v>
      </c>
      <c r="D1882" s="10"/>
      <c r="E1882" s="10"/>
      <c r="F1882" s="10"/>
      <c r="G1882" s="10"/>
      <c r="H1882" s="6" t="s">
        <v>8658</v>
      </c>
      <c r="I1882" s="10"/>
      <c r="J1882" s="6" t="s">
        <v>539</v>
      </c>
      <c r="K1882" s="6" t="s">
        <v>6062</v>
      </c>
      <c r="L1882" s="10"/>
      <c r="M1882" s="10"/>
      <c r="N1882" s="10"/>
      <c r="O1882" s="18">
        <v>1624.92</v>
      </c>
      <c r="P1882" s="10"/>
      <c r="Q1882" s="17" t="b">
        <v>1</v>
      </c>
      <c r="R1882" s="10"/>
    </row>
    <row r="1883">
      <c r="A1883" s="6" t="s">
        <v>9482</v>
      </c>
      <c r="B1883" s="6" t="s">
        <v>35</v>
      </c>
      <c r="C1883" s="8">
        <v>46021.0</v>
      </c>
      <c r="D1883" s="6" t="s">
        <v>890</v>
      </c>
      <c r="E1883" s="10"/>
      <c r="F1883" s="10"/>
      <c r="G1883" s="10"/>
      <c r="H1883" s="6" t="s">
        <v>11340</v>
      </c>
      <c r="I1883" s="10"/>
      <c r="J1883" s="6" t="s">
        <v>539</v>
      </c>
      <c r="K1883" s="10"/>
      <c r="L1883" s="10"/>
      <c r="M1883" s="10"/>
      <c r="N1883" s="10"/>
      <c r="O1883" s="18">
        <v>6019.0</v>
      </c>
      <c r="P1883" s="10"/>
      <c r="Q1883" s="17" t="b">
        <v>1</v>
      </c>
      <c r="R1883" s="10"/>
    </row>
    <row r="1884">
      <c r="A1884" s="6" t="s">
        <v>9484</v>
      </c>
      <c r="B1884" s="6" t="s">
        <v>35</v>
      </c>
      <c r="C1884" s="8">
        <v>46021.0</v>
      </c>
      <c r="D1884" s="6" t="s">
        <v>543</v>
      </c>
      <c r="E1884" s="10"/>
      <c r="F1884" s="10"/>
      <c r="G1884" s="10"/>
      <c r="H1884" s="6" t="s">
        <v>140</v>
      </c>
      <c r="I1884" s="10"/>
      <c r="J1884" s="6" t="s">
        <v>539</v>
      </c>
      <c r="K1884" s="10"/>
      <c r="L1884" s="10"/>
      <c r="M1884" s="10"/>
      <c r="N1884" s="10"/>
      <c r="O1884" s="18">
        <v>550.0</v>
      </c>
      <c r="P1884" s="10"/>
      <c r="Q1884" s="17" t="b">
        <v>1</v>
      </c>
      <c r="R1884" s="10"/>
    </row>
    <row r="1885">
      <c r="A1885" s="6" t="s">
        <v>9486</v>
      </c>
      <c r="B1885" s="6" t="s">
        <v>35</v>
      </c>
      <c r="C1885" s="8">
        <v>46021.0</v>
      </c>
      <c r="D1885" s="6" t="s">
        <v>11345</v>
      </c>
      <c r="E1885" s="10"/>
      <c r="F1885" s="10"/>
      <c r="G1885" s="10"/>
      <c r="H1885" s="6" t="s">
        <v>11347</v>
      </c>
      <c r="I1885" s="10"/>
      <c r="J1885" s="6" t="s">
        <v>539</v>
      </c>
      <c r="K1885" s="10"/>
      <c r="L1885" s="10"/>
      <c r="M1885" s="10"/>
      <c r="N1885" s="10"/>
      <c r="O1885" s="18">
        <v>100.0</v>
      </c>
      <c r="P1885" s="10"/>
      <c r="Q1885" s="17" t="b">
        <v>1</v>
      </c>
      <c r="R1885" s="10"/>
    </row>
    <row r="1886">
      <c r="A1886" s="6" t="s">
        <v>9489</v>
      </c>
      <c r="B1886" s="6" t="s">
        <v>35</v>
      </c>
      <c r="C1886" s="8">
        <v>46021.0</v>
      </c>
      <c r="D1886" s="6" t="s">
        <v>543</v>
      </c>
      <c r="E1886" s="10"/>
      <c r="F1886" s="10"/>
      <c r="G1886" s="10"/>
      <c r="H1886" s="6" t="s">
        <v>140</v>
      </c>
      <c r="I1886" s="10"/>
      <c r="J1886" s="6" t="s">
        <v>539</v>
      </c>
      <c r="K1886" s="10"/>
      <c r="L1886" s="10"/>
      <c r="M1886" s="10"/>
      <c r="N1886" s="10"/>
      <c r="O1886" s="18">
        <v>150.0</v>
      </c>
      <c r="P1886" s="10"/>
      <c r="Q1886" s="17" t="b">
        <v>1</v>
      </c>
      <c r="R1886" s="10"/>
    </row>
    <row r="1887">
      <c r="A1887" s="6" t="s">
        <v>9491</v>
      </c>
      <c r="B1887" s="6" t="s">
        <v>35</v>
      </c>
      <c r="C1887" s="8">
        <v>46021.0</v>
      </c>
      <c r="D1887" s="6" t="s">
        <v>11356</v>
      </c>
      <c r="E1887" s="6" t="s">
        <v>11358</v>
      </c>
      <c r="F1887" s="10"/>
      <c r="G1887" s="6" t="s">
        <v>11360</v>
      </c>
      <c r="H1887" s="6" t="s">
        <v>11361</v>
      </c>
      <c r="I1887" s="17" t="b">
        <v>1</v>
      </c>
      <c r="J1887" s="6" t="s">
        <v>546</v>
      </c>
      <c r="K1887" s="10"/>
      <c r="L1887" s="10"/>
      <c r="M1887" s="10"/>
      <c r="N1887" s="10"/>
      <c r="O1887" s="18">
        <v>4.54</v>
      </c>
      <c r="P1887" s="18">
        <v>1897272.0</v>
      </c>
      <c r="Q1887" s="17" t="b">
        <v>1</v>
      </c>
      <c r="R1887" s="10"/>
    </row>
    <row r="1888">
      <c r="A1888" s="6" t="s">
        <v>9493</v>
      </c>
      <c r="B1888" s="6" t="s">
        <v>35</v>
      </c>
      <c r="C1888" s="8">
        <v>46024.0</v>
      </c>
      <c r="D1888" s="6" t="s">
        <v>112</v>
      </c>
      <c r="E1888" s="6" t="s">
        <v>11365</v>
      </c>
      <c r="F1888" s="10"/>
      <c r="G1888" s="6" t="s">
        <v>11366</v>
      </c>
      <c r="H1888" s="6" t="s">
        <v>157</v>
      </c>
      <c r="I1888" s="17" t="b">
        <v>0</v>
      </c>
      <c r="J1888" s="6" t="s">
        <v>546</v>
      </c>
      <c r="K1888" s="10"/>
      <c r="L1888" s="10"/>
      <c r="M1888" s="10"/>
      <c r="N1888" s="10"/>
      <c r="O1888" s="18">
        <v>384.52</v>
      </c>
      <c r="P1888" s="10"/>
      <c r="Q1888" s="17" t="b">
        <v>1</v>
      </c>
      <c r="R1888" s="10"/>
    </row>
    <row r="1889">
      <c r="A1889" s="6" t="s">
        <v>9499</v>
      </c>
      <c r="B1889" s="6" t="s">
        <v>35</v>
      </c>
      <c r="C1889" s="8">
        <v>46024.0</v>
      </c>
      <c r="D1889" s="6" t="s">
        <v>112</v>
      </c>
      <c r="E1889" s="6" t="s">
        <v>11365</v>
      </c>
      <c r="F1889" s="10"/>
      <c r="G1889" s="6" t="s">
        <v>11371</v>
      </c>
      <c r="H1889" s="6" t="s">
        <v>157</v>
      </c>
      <c r="I1889" s="17" t="b">
        <v>0</v>
      </c>
      <c r="J1889" s="6" t="s">
        <v>546</v>
      </c>
      <c r="K1889" s="10"/>
      <c r="L1889" s="10"/>
      <c r="M1889" s="10"/>
      <c r="N1889" s="10"/>
      <c r="O1889" s="18">
        <v>290.0</v>
      </c>
      <c r="P1889" s="10"/>
      <c r="Q1889" s="17" t="b">
        <v>1</v>
      </c>
      <c r="R1889" s="10"/>
    </row>
    <row r="1890">
      <c r="A1890" s="6" t="s">
        <v>9501</v>
      </c>
      <c r="B1890" s="6" t="s">
        <v>35</v>
      </c>
      <c r="C1890" s="8">
        <v>46020.0</v>
      </c>
      <c r="D1890" s="6" t="s">
        <v>112</v>
      </c>
      <c r="E1890" s="6" t="s">
        <v>11375</v>
      </c>
      <c r="F1890" s="10"/>
      <c r="G1890" s="6" t="s">
        <v>11376</v>
      </c>
      <c r="H1890" s="6" t="s">
        <v>157</v>
      </c>
      <c r="I1890" s="17" t="b">
        <v>0</v>
      </c>
      <c r="J1890" s="6" t="s">
        <v>546</v>
      </c>
      <c r="K1890" s="10"/>
      <c r="L1890" s="10"/>
      <c r="M1890" s="10"/>
      <c r="N1890" s="10"/>
      <c r="O1890" s="18">
        <v>65.65</v>
      </c>
      <c r="P1890" s="10"/>
      <c r="Q1890" s="17" t="b">
        <v>1</v>
      </c>
      <c r="R1890" s="10"/>
    </row>
    <row r="1891">
      <c r="A1891" s="6" t="s">
        <v>9503</v>
      </c>
      <c r="B1891" s="6" t="s">
        <v>35</v>
      </c>
      <c r="C1891" s="8">
        <v>46024.0</v>
      </c>
      <c r="D1891" s="6" t="s">
        <v>3493</v>
      </c>
      <c r="E1891" s="6" t="s">
        <v>11379</v>
      </c>
      <c r="F1891" s="10"/>
      <c r="G1891" s="6" t="s">
        <v>11380</v>
      </c>
      <c r="H1891" s="6" t="s">
        <v>11382</v>
      </c>
      <c r="I1891" s="17" t="b">
        <v>1</v>
      </c>
      <c r="J1891" s="6" t="s">
        <v>546</v>
      </c>
      <c r="K1891" s="10"/>
      <c r="L1891" s="10"/>
      <c r="M1891" s="10"/>
      <c r="N1891" s="10"/>
      <c r="O1891" s="18">
        <v>70.3</v>
      </c>
      <c r="P1891" s="18">
        <v>1902093.0</v>
      </c>
      <c r="Q1891" s="17" t="b">
        <v>1</v>
      </c>
      <c r="R1891" s="10"/>
    </row>
    <row r="1892">
      <c r="A1892" s="6" t="s">
        <v>9506</v>
      </c>
      <c r="B1892" s="6" t="s">
        <v>35</v>
      </c>
      <c r="C1892" s="8">
        <v>46025.0</v>
      </c>
      <c r="D1892" s="6" t="s">
        <v>112</v>
      </c>
      <c r="E1892" s="6" t="s">
        <v>11386</v>
      </c>
      <c r="F1892" s="10"/>
      <c r="G1892" s="6" t="s">
        <v>11387</v>
      </c>
      <c r="H1892" s="6" t="s">
        <v>157</v>
      </c>
      <c r="I1892" s="17" t="b">
        <v>0</v>
      </c>
      <c r="J1892" s="6" t="s">
        <v>546</v>
      </c>
      <c r="K1892" s="10"/>
      <c r="L1892" s="10"/>
      <c r="M1892" s="10"/>
      <c r="N1892" s="10"/>
      <c r="O1892" s="18">
        <v>300.78</v>
      </c>
      <c r="P1892" s="10"/>
      <c r="Q1892" s="17" t="b">
        <v>1</v>
      </c>
      <c r="R1892" s="10"/>
    </row>
    <row r="1893">
      <c r="A1893" s="6" t="s">
        <v>9510</v>
      </c>
      <c r="B1893" s="6" t="s">
        <v>35</v>
      </c>
      <c r="C1893" s="8">
        <v>46021.0</v>
      </c>
      <c r="D1893" s="6" t="s">
        <v>8582</v>
      </c>
      <c r="E1893" s="6" t="s">
        <v>11390</v>
      </c>
      <c r="F1893" s="10"/>
      <c r="G1893" s="6" t="s">
        <v>11391</v>
      </c>
      <c r="H1893" s="6" t="s">
        <v>11392</v>
      </c>
      <c r="I1893" s="17" t="b">
        <v>0</v>
      </c>
      <c r="J1893" s="6" t="s">
        <v>546</v>
      </c>
      <c r="K1893" s="10"/>
      <c r="L1893" s="10"/>
      <c r="M1893" s="10"/>
      <c r="N1893" s="10"/>
      <c r="O1893" s="18">
        <v>128.11</v>
      </c>
      <c r="P1893" s="10"/>
      <c r="Q1893" s="17" t="b">
        <v>1</v>
      </c>
      <c r="R1893" s="10"/>
    </row>
    <row r="1894">
      <c r="A1894" s="6" t="s">
        <v>9512</v>
      </c>
      <c r="B1894" s="6" t="s">
        <v>35</v>
      </c>
      <c r="C1894" s="8">
        <v>46017.0</v>
      </c>
      <c r="D1894" s="6" t="s">
        <v>890</v>
      </c>
      <c r="E1894" s="6" t="s">
        <v>11397</v>
      </c>
      <c r="F1894" s="10"/>
      <c r="G1894" s="6" t="s">
        <v>11398</v>
      </c>
      <c r="H1894" s="6" t="s">
        <v>1511</v>
      </c>
      <c r="I1894" s="17" t="b">
        <v>0</v>
      </c>
      <c r="J1894" s="6" t="s">
        <v>546</v>
      </c>
      <c r="K1894" s="10"/>
      <c r="L1894" s="6" t="s">
        <v>11401</v>
      </c>
      <c r="M1894" s="10"/>
      <c r="N1894" s="10"/>
      <c r="O1894" s="18">
        <v>7964.49</v>
      </c>
      <c r="P1894" s="10"/>
      <c r="Q1894" s="17" t="b">
        <v>1</v>
      </c>
      <c r="R1894" s="10"/>
    </row>
    <row r="1895">
      <c r="A1895" s="6" t="s">
        <v>9515</v>
      </c>
      <c r="B1895" s="6" t="s">
        <v>35</v>
      </c>
      <c r="C1895" s="8">
        <v>46027.0</v>
      </c>
      <c r="D1895" s="6" t="s">
        <v>2871</v>
      </c>
      <c r="E1895" s="10"/>
      <c r="F1895" s="10"/>
      <c r="G1895" s="10"/>
      <c r="H1895" s="6" t="s">
        <v>11404</v>
      </c>
      <c r="I1895" s="10"/>
      <c r="J1895" s="6" t="s">
        <v>539</v>
      </c>
      <c r="K1895" s="10"/>
      <c r="L1895" s="10"/>
      <c r="M1895" s="10"/>
      <c r="N1895" s="10"/>
      <c r="O1895" s="18">
        <v>1276.81</v>
      </c>
      <c r="P1895" s="10"/>
      <c r="Q1895" s="17" t="b">
        <v>1</v>
      </c>
      <c r="R1895" s="10"/>
    </row>
    <row r="1896">
      <c r="A1896" s="6" t="s">
        <v>9519</v>
      </c>
      <c r="B1896" s="6" t="s">
        <v>35</v>
      </c>
      <c r="C1896" s="8">
        <v>46027.0</v>
      </c>
      <c r="D1896" s="6" t="s">
        <v>460</v>
      </c>
      <c r="E1896" s="10"/>
      <c r="F1896" s="10"/>
      <c r="G1896" s="10"/>
      <c r="H1896" s="6" t="s">
        <v>11407</v>
      </c>
      <c r="I1896" s="10"/>
      <c r="J1896" s="6" t="s">
        <v>539</v>
      </c>
      <c r="K1896" s="10"/>
      <c r="L1896" s="10"/>
      <c r="M1896" s="10"/>
      <c r="N1896" s="10"/>
      <c r="O1896" s="18">
        <v>649.5</v>
      </c>
      <c r="P1896" s="10"/>
      <c r="Q1896" s="17" t="b">
        <v>1</v>
      </c>
      <c r="R1896" s="10"/>
    </row>
    <row r="1897">
      <c r="A1897" s="18">
        <v>1.45728967E8</v>
      </c>
      <c r="B1897" s="6" t="s">
        <v>35</v>
      </c>
      <c r="C1897" s="8">
        <v>46027.0</v>
      </c>
      <c r="D1897" s="6" t="s">
        <v>460</v>
      </c>
      <c r="E1897" s="10"/>
      <c r="F1897" s="10"/>
      <c r="G1897" s="10"/>
      <c r="H1897" s="6" t="s">
        <v>11411</v>
      </c>
      <c r="I1897" s="10"/>
      <c r="J1897" s="6" t="s">
        <v>539</v>
      </c>
      <c r="K1897" s="10"/>
      <c r="L1897" s="10"/>
      <c r="M1897" s="10"/>
      <c r="N1897" s="10"/>
      <c r="O1897" s="18">
        <v>981.05</v>
      </c>
      <c r="P1897" s="10"/>
      <c r="Q1897" s="17" t="b">
        <v>1</v>
      </c>
      <c r="R1897" s="10"/>
    </row>
    <row r="1898">
      <c r="A1898" s="6" t="s">
        <v>9522</v>
      </c>
      <c r="B1898" s="6" t="s">
        <v>35</v>
      </c>
      <c r="C1898" s="8">
        <v>46027.0</v>
      </c>
      <c r="D1898" s="6" t="s">
        <v>460</v>
      </c>
      <c r="E1898" s="10"/>
      <c r="F1898" s="10"/>
      <c r="G1898" s="10"/>
      <c r="H1898" s="6" t="s">
        <v>11417</v>
      </c>
      <c r="I1898" s="10"/>
      <c r="J1898" s="6" t="s">
        <v>539</v>
      </c>
      <c r="K1898" s="10"/>
      <c r="L1898" s="10"/>
      <c r="M1898" s="10"/>
      <c r="N1898" s="10"/>
      <c r="O1898" s="18">
        <v>299.0</v>
      </c>
      <c r="P1898" s="10"/>
      <c r="Q1898" s="17" t="b">
        <v>1</v>
      </c>
      <c r="R1898" s="10"/>
    </row>
    <row r="1899">
      <c r="A1899" s="18">
        <v>1.36261781E8</v>
      </c>
      <c r="B1899" s="6" t="s">
        <v>35</v>
      </c>
      <c r="C1899" s="8">
        <v>46027.0</v>
      </c>
      <c r="D1899" s="6" t="s">
        <v>460</v>
      </c>
      <c r="E1899" s="10"/>
      <c r="F1899" s="10"/>
      <c r="G1899" s="10"/>
      <c r="H1899" s="6" t="s">
        <v>11423</v>
      </c>
      <c r="I1899" s="10"/>
      <c r="J1899" s="6" t="s">
        <v>539</v>
      </c>
      <c r="K1899" s="10"/>
      <c r="L1899" s="10"/>
      <c r="M1899" s="10"/>
      <c r="N1899" s="10"/>
      <c r="O1899" s="18">
        <v>144.0</v>
      </c>
      <c r="P1899" s="10"/>
      <c r="Q1899" s="17" t="b">
        <v>1</v>
      </c>
      <c r="R1899" s="10"/>
    </row>
    <row r="1900">
      <c r="A1900" s="18">
        <v>1.56182674E8</v>
      </c>
      <c r="B1900" s="6" t="s">
        <v>35</v>
      </c>
      <c r="C1900" s="8">
        <v>46027.0</v>
      </c>
      <c r="D1900" s="6" t="s">
        <v>460</v>
      </c>
      <c r="E1900" s="10"/>
      <c r="F1900" s="10"/>
      <c r="G1900" s="10"/>
      <c r="H1900" s="6" t="s">
        <v>11427</v>
      </c>
      <c r="I1900" s="10"/>
      <c r="J1900" s="6" t="s">
        <v>539</v>
      </c>
      <c r="K1900" s="10"/>
      <c r="L1900" s="10"/>
      <c r="M1900" s="10"/>
      <c r="N1900" s="10"/>
      <c r="O1900" s="18">
        <v>4191.0</v>
      </c>
      <c r="P1900" s="10"/>
      <c r="Q1900" s="17" t="b">
        <v>1</v>
      </c>
      <c r="R1900" s="10"/>
    </row>
    <row r="1901">
      <c r="A1901" s="6" t="s">
        <v>9530</v>
      </c>
      <c r="B1901" s="6" t="s">
        <v>35</v>
      </c>
      <c r="C1901" s="8">
        <v>46027.0</v>
      </c>
      <c r="D1901" s="18">
        <v>8.627274E7</v>
      </c>
      <c r="E1901" s="6" t="s">
        <v>11432</v>
      </c>
      <c r="F1901" s="10"/>
      <c r="G1901" s="6" t="s">
        <v>11433</v>
      </c>
      <c r="H1901" s="6" t="s">
        <v>1201</v>
      </c>
      <c r="I1901" s="17" t="b">
        <v>1</v>
      </c>
      <c r="J1901" s="6" t="s">
        <v>546</v>
      </c>
      <c r="K1901" s="10"/>
      <c r="L1901" s="10"/>
      <c r="M1901" s="10"/>
      <c r="N1901" s="10"/>
      <c r="O1901" s="18">
        <v>4.99</v>
      </c>
      <c r="P1901" s="18">
        <v>1911383.0</v>
      </c>
      <c r="Q1901" s="17" t="b">
        <v>1</v>
      </c>
      <c r="R1901" s="10"/>
    </row>
    <row r="1902">
      <c r="A1902" s="6" t="s">
        <v>9535</v>
      </c>
      <c r="B1902" s="6" t="s">
        <v>35</v>
      </c>
      <c r="C1902" s="8">
        <v>46028.0</v>
      </c>
      <c r="D1902" s="6" t="s">
        <v>460</v>
      </c>
      <c r="E1902" s="6" t="s">
        <v>11437</v>
      </c>
      <c r="F1902" s="10"/>
      <c r="G1902" s="6" t="s">
        <v>11439</v>
      </c>
      <c r="H1902" s="6" t="s">
        <v>11440</v>
      </c>
      <c r="I1902" s="17" t="b">
        <v>1</v>
      </c>
      <c r="J1902" s="6" t="s">
        <v>546</v>
      </c>
      <c r="K1902" s="10"/>
      <c r="L1902" s="10"/>
      <c r="M1902" s="10"/>
      <c r="N1902" s="10"/>
      <c r="O1902" s="18">
        <v>150.0</v>
      </c>
      <c r="P1902" s="18">
        <v>1912891.0</v>
      </c>
      <c r="Q1902" s="17" t="b">
        <v>1</v>
      </c>
      <c r="R1902" s="10"/>
    </row>
    <row r="1903">
      <c r="A1903" s="6" t="s">
        <v>9537</v>
      </c>
      <c r="B1903" s="6" t="s">
        <v>35</v>
      </c>
      <c r="C1903" s="8">
        <v>46028.0</v>
      </c>
      <c r="D1903" s="6" t="s">
        <v>112</v>
      </c>
      <c r="E1903" s="6" t="s">
        <v>11443</v>
      </c>
      <c r="F1903" s="10"/>
      <c r="G1903" s="6" t="s">
        <v>11444</v>
      </c>
      <c r="H1903" s="6" t="s">
        <v>157</v>
      </c>
      <c r="I1903" s="17" t="b">
        <v>0</v>
      </c>
      <c r="J1903" s="6" t="s">
        <v>546</v>
      </c>
      <c r="K1903" s="10"/>
      <c r="L1903" s="10"/>
      <c r="M1903" s="10"/>
      <c r="N1903" s="10"/>
      <c r="O1903" s="18">
        <v>229.06</v>
      </c>
      <c r="P1903" s="10"/>
      <c r="Q1903" s="17" t="b">
        <v>1</v>
      </c>
      <c r="R1903" s="10"/>
    </row>
    <row r="1904">
      <c r="A1904" s="6" t="s">
        <v>9545</v>
      </c>
      <c r="B1904" s="6" t="s">
        <v>35</v>
      </c>
      <c r="C1904" s="8">
        <v>46028.0</v>
      </c>
      <c r="D1904" s="6" t="s">
        <v>11449</v>
      </c>
      <c r="E1904" s="6" t="s">
        <v>11450</v>
      </c>
      <c r="F1904" s="10"/>
      <c r="G1904" s="6" t="s">
        <v>11451</v>
      </c>
      <c r="H1904" s="6" t="s">
        <v>1341</v>
      </c>
      <c r="I1904" s="17" t="b">
        <v>1</v>
      </c>
      <c r="J1904" s="6" t="s">
        <v>546</v>
      </c>
      <c r="K1904" s="10"/>
      <c r="L1904" s="10"/>
      <c r="M1904" s="10"/>
      <c r="N1904" s="10"/>
      <c r="O1904" s="18">
        <v>69.87</v>
      </c>
      <c r="P1904" s="18">
        <v>1912900.0</v>
      </c>
      <c r="Q1904" s="17" t="b">
        <v>1</v>
      </c>
      <c r="R1904" s="10"/>
    </row>
    <row r="1905">
      <c r="A1905" s="6" t="s">
        <v>9548</v>
      </c>
      <c r="B1905" s="6" t="s">
        <v>35</v>
      </c>
      <c r="C1905" s="8">
        <v>46027.0</v>
      </c>
      <c r="D1905" s="6" t="s">
        <v>2613</v>
      </c>
      <c r="E1905" s="6" t="s">
        <v>11459</v>
      </c>
      <c r="F1905" s="10"/>
      <c r="G1905" s="6" t="s">
        <v>11461</v>
      </c>
      <c r="H1905" s="6" t="s">
        <v>195</v>
      </c>
      <c r="I1905" s="17" t="b">
        <v>0</v>
      </c>
      <c r="J1905" s="6" t="s">
        <v>546</v>
      </c>
      <c r="K1905" s="10"/>
      <c r="L1905" s="10"/>
      <c r="M1905" s="10"/>
      <c r="N1905" s="10"/>
      <c r="O1905" s="18">
        <v>157.8</v>
      </c>
      <c r="P1905" s="10"/>
      <c r="Q1905" s="17" t="b">
        <v>1</v>
      </c>
      <c r="R1905" s="10"/>
    </row>
    <row r="1906">
      <c r="A1906" s="18">
        <v>11677.0</v>
      </c>
      <c r="B1906" s="6" t="s">
        <v>35</v>
      </c>
      <c r="C1906" s="8">
        <v>46028.0</v>
      </c>
      <c r="D1906" s="6" t="s">
        <v>890</v>
      </c>
      <c r="E1906" s="10"/>
      <c r="F1906" s="10"/>
      <c r="G1906" s="10"/>
      <c r="H1906" s="6" t="s">
        <v>10089</v>
      </c>
      <c r="I1906" s="10"/>
      <c r="J1906" s="6" t="s">
        <v>539</v>
      </c>
      <c r="K1906" s="10"/>
      <c r="L1906" s="10"/>
      <c r="M1906" s="10"/>
      <c r="N1906" s="10"/>
      <c r="O1906" s="18">
        <v>625.0</v>
      </c>
      <c r="P1906" s="10"/>
      <c r="Q1906" s="17" t="b">
        <v>1</v>
      </c>
      <c r="R1906" s="10"/>
    </row>
    <row r="1907">
      <c r="A1907" s="6" t="s">
        <v>9559</v>
      </c>
      <c r="B1907" s="6" t="s">
        <v>35</v>
      </c>
      <c r="C1907" s="8">
        <v>46028.0</v>
      </c>
      <c r="D1907" s="6" t="s">
        <v>890</v>
      </c>
      <c r="E1907" s="10"/>
      <c r="F1907" s="10"/>
      <c r="G1907" s="10"/>
      <c r="H1907" s="6" t="s">
        <v>11472</v>
      </c>
      <c r="I1907" s="10"/>
      <c r="J1907" s="6" t="s">
        <v>539</v>
      </c>
      <c r="K1907" s="10"/>
      <c r="L1907" s="10"/>
      <c r="M1907" s="10"/>
      <c r="N1907" s="10"/>
      <c r="O1907" s="18">
        <v>1727.19</v>
      </c>
      <c r="P1907" s="10"/>
      <c r="Q1907" s="17" t="b">
        <v>1</v>
      </c>
      <c r="R1907" s="10"/>
    </row>
    <row r="1908">
      <c r="A1908" s="18">
        <v>11757.0</v>
      </c>
      <c r="B1908" s="6" t="s">
        <v>35</v>
      </c>
      <c r="C1908" s="8">
        <v>46028.0</v>
      </c>
      <c r="D1908" s="6" t="s">
        <v>9929</v>
      </c>
      <c r="E1908" s="10"/>
      <c r="F1908" s="10"/>
      <c r="G1908" s="10"/>
      <c r="H1908" s="6" t="s">
        <v>9930</v>
      </c>
      <c r="I1908" s="10"/>
      <c r="J1908" s="6" t="s">
        <v>539</v>
      </c>
      <c r="K1908" s="10"/>
      <c r="L1908" s="10"/>
      <c r="M1908" s="10"/>
      <c r="N1908" s="10"/>
      <c r="O1908" s="18">
        <v>9200.0</v>
      </c>
      <c r="P1908" s="10"/>
      <c r="Q1908" s="17" t="b">
        <v>1</v>
      </c>
      <c r="R1908" s="10"/>
    </row>
    <row r="1909">
      <c r="A1909" s="18">
        <v>11758.0</v>
      </c>
      <c r="B1909" s="6" t="s">
        <v>35</v>
      </c>
      <c r="C1909" s="8">
        <v>46028.0</v>
      </c>
      <c r="D1909" s="6" t="s">
        <v>3516</v>
      </c>
      <c r="E1909" s="10"/>
      <c r="F1909" s="10"/>
      <c r="G1909" s="10"/>
      <c r="H1909" s="6" t="s">
        <v>9933</v>
      </c>
      <c r="I1909" s="10"/>
      <c r="J1909" s="6" t="s">
        <v>539</v>
      </c>
      <c r="K1909" s="10"/>
      <c r="L1909" s="10"/>
      <c r="M1909" s="10"/>
      <c r="N1909" s="10"/>
      <c r="O1909" s="18">
        <v>500.0</v>
      </c>
      <c r="P1909" s="10"/>
      <c r="Q1909" s="17" t="b">
        <v>1</v>
      </c>
      <c r="R1909" s="10"/>
    </row>
    <row r="1910">
      <c r="A1910" s="18">
        <v>11759.0</v>
      </c>
      <c r="B1910" s="6" t="s">
        <v>35</v>
      </c>
      <c r="C1910" s="8">
        <v>46028.0</v>
      </c>
      <c r="D1910" s="6" t="s">
        <v>2439</v>
      </c>
      <c r="E1910" s="10"/>
      <c r="F1910" s="10"/>
      <c r="G1910" s="10"/>
      <c r="H1910" s="6" t="s">
        <v>5136</v>
      </c>
      <c r="I1910" s="10"/>
      <c r="J1910" s="6" t="s">
        <v>539</v>
      </c>
      <c r="K1910" s="10"/>
      <c r="L1910" s="10"/>
      <c r="M1910" s="10"/>
      <c r="N1910" s="10"/>
      <c r="O1910" s="18">
        <v>0.0</v>
      </c>
      <c r="P1910" s="10"/>
      <c r="Q1910" s="17" t="b">
        <v>1</v>
      </c>
      <c r="R1910" s="10"/>
    </row>
    <row r="1911">
      <c r="A1911" s="18">
        <v>11761.0</v>
      </c>
      <c r="B1911" s="6" t="s">
        <v>35</v>
      </c>
      <c r="C1911" s="8">
        <v>46028.0</v>
      </c>
      <c r="D1911" s="6" t="s">
        <v>10315</v>
      </c>
      <c r="E1911" s="10"/>
      <c r="F1911" s="10"/>
      <c r="G1911" s="10"/>
      <c r="H1911" s="6" t="s">
        <v>11007</v>
      </c>
      <c r="I1911" s="10"/>
      <c r="J1911" s="6" t="s">
        <v>539</v>
      </c>
      <c r="K1911" s="10"/>
      <c r="L1911" s="10"/>
      <c r="M1911" s="10"/>
      <c r="N1911" s="10"/>
      <c r="O1911" s="18">
        <v>0.01</v>
      </c>
      <c r="P1911" s="10"/>
      <c r="Q1911" s="17" t="b">
        <v>1</v>
      </c>
      <c r="R1911" s="10"/>
    </row>
    <row r="1912">
      <c r="A1912" s="18">
        <v>11762.0</v>
      </c>
      <c r="B1912" s="6" t="s">
        <v>35</v>
      </c>
      <c r="C1912" s="8">
        <v>46028.0</v>
      </c>
      <c r="D1912" s="6" t="s">
        <v>7740</v>
      </c>
      <c r="E1912" s="10"/>
      <c r="F1912" s="10"/>
      <c r="G1912" s="10"/>
      <c r="H1912" s="6" t="s">
        <v>5136</v>
      </c>
      <c r="I1912" s="10"/>
      <c r="J1912" s="6" t="s">
        <v>539</v>
      </c>
      <c r="K1912" s="10"/>
      <c r="L1912" s="10"/>
      <c r="M1912" s="10"/>
      <c r="N1912" s="10"/>
      <c r="O1912" s="18">
        <v>0.0</v>
      </c>
      <c r="P1912" s="10"/>
      <c r="Q1912" s="17" t="b">
        <v>1</v>
      </c>
      <c r="R1912" s="10"/>
    </row>
    <row r="1913">
      <c r="A1913" s="6" t="s">
        <v>9570</v>
      </c>
      <c r="B1913" s="6" t="s">
        <v>35</v>
      </c>
      <c r="C1913" s="8">
        <v>46028.0</v>
      </c>
      <c r="D1913" s="6" t="s">
        <v>11209</v>
      </c>
      <c r="E1913" s="10"/>
      <c r="F1913" s="10"/>
      <c r="G1913" s="10"/>
      <c r="H1913" s="6" t="s">
        <v>11492</v>
      </c>
      <c r="I1913" s="10"/>
      <c r="J1913" s="6" t="s">
        <v>539</v>
      </c>
      <c r="K1913" s="10"/>
      <c r="L1913" s="10"/>
      <c r="M1913" s="10"/>
      <c r="N1913" s="10"/>
      <c r="O1913" s="18">
        <v>1267.49</v>
      </c>
      <c r="P1913" s="10"/>
      <c r="Q1913" s="17" t="b">
        <v>1</v>
      </c>
      <c r="R1913" s="10"/>
    </row>
    <row r="1914">
      <c r="A1914" s="6" t="s">
        <v>9573</v>
      </c>
      <c r="B1914" s="6" t="s">
        <v>35</v>
      </c>
      <c r="C1914" s="8">
        <v>46028.0</v>
      </c>
      <c r="D1914" s="6" t="s">
        <v>193</v>
      </c>
      <c r="E1914" s="6" t="s">
        <v>11496</v>
      </c>
      <c r="F1914" s="10"/>
      <c r="G1914" s="6" t="s">
        <v>11499</v>
      </c>
      <c r="H1914" s="6" t="s">
        <v>195</v>
      </c>
      <c r="I1914" s="17" t="b">
        <v>0</v>
      </c>
      <c r="J1914" s="6" t="s">
        <v>546</v>
      </c>
      <c r="K1914" s="10"/>
      <c r="L1914" s="10"/>
      <c r="M1914" s="10"/>
      <c r="N1914" s="10"/>
      <c r="O1914" s="18">
        <v>649.16</v>
      </c>
      <c r="P1914" s="10"/>
      <c r="Q1914" s="17" t="b">
        <v>1</v>
      </c>
      <c r="R1914" s="10"/>
    </row>
    <row r="1915">
      <c r="A1915" s="6" t="s">
        <v>9582</v>
      </c>
      <c r="B1915" s="6" t="s">
        <v>35</v>
      </c>
      <c r="C1915" s="8">
        <v>46028.0</v>
      </c>
      <c r="D1915" s="6" t="s">
        <v>193</v>
      </c>
      <c r="E1915" s="6" t="s">
        <v>11496</v>
      </c>
      <c r="F1915" s="10"/>
      <c r="G1915" s="6" t="s">
        <v>11504</v>
      </c>
      <c r="H1915" s="6" t="s">
        <v>195</v>
      </c>
      <c r="I1915" s="17" t="b">
        <v>0</v>
      </c>
      <c r="J1915" s="6" t="s">
        <v>546</v>
      </c>
      <c r="K1915" s="10"/>
      <c r="L1915" s="10"/>
      <c r="M1915" s="10"/>
      <c r="N1915" s="10"/>
      <c r="O1915" s="18">
        <v>79.46</v>
      </c>
      <c r="P1915" s="10"/>
      <c r="Q1915" s="17" t="b">
        <v>1</v>
      </c>
      <c r="R1915" s="10"/>
    </row>
    <row r="1916">
      <c r="A1916" s="18">
        <v>2.4399162E7</v>
      </c>
      <c r="B1916" s="6" t="s">
        <v>35</v>
      </c>
      <c r="C1916" s="8">
        <v>46028.0</v>
      </c>
      <c r="D1916" s="6" t="s">
        <v>890</v>
      </c>
      <c r="E1916" s="6" t="s">
        <v>11507</v>
      </c>
      <c r="F1916" s="10"/>
      <c r="G1916" s="6" t="s">
        <v>11509</v>
      </c>
      <c r="H1916" s="6" t="s">
        <v>2894</v>
      </c>
      <c r="I1916" s="17" t="b">
        <v>0</v>
      </c>
      <c r="J1916" s="6" t="s">
        <v>546</v>
      </c>
      <c r="K1916" s="10"/>
      <c r="L1916" s="6" t="s">
        <v>11511</v>
      </c>
      <c r="M1916" s="6" t="s">
        <v>11513</v>
      </c>
      <c r="N1916" s="10"/>
      <c r="O1916" s="18">
        <v>21318.33</v>
      </c>
      <c r="P1916" s="10"/>
      <c r="Q1916" s="17" t="b">
        <v>1</v>
      </c>
      <c r="R1916" s="10"/>
    </row>
    <row r="1917">
      <c r="A1917" s="6" t="s">
        <v>9585</v>
      </c>
      <c r="B1917" s="6" t="s">
        <v>35</v>
      </c>
      <c r="C1917" s="8">
        <v>46030.0</v>
      </c>
      <c r="D1917" s="6" t="s">
        <v>543</v>
      </c>
      <c r="E1917" s="10"/>
      <c r="F1917" s="10"/>
      <c r="G1917" s="10"/>
      <c r="H1917" s="6" t="s">
        <v>11516</v>
      </c>
      <c r="I1917" s="10"/>
      <c r="J1917" s="6" t="s">
        <v>539</v>
      </c>
      <c r="K1917" s="10"/>
      <c r="L1917" s="10"/>
      <c r="M1917" s="10"/>
      <c r="N1917" s="10"/>
      <c r="O1917" s="18">
        <v>1050.0</v>
      </c>
      <c r="P1917" s="10"/>
      <c r="Q1917" s="17" t="b">
        <v>1</v>
      </c>
      <c r="R1917" s="10"/>
    </row>
    <row r="1918">
      <c r="A1918" s="6" t="s">
        <v>9587</v>
      </c>
      <c r="B1918" s="6" t="s">
        <v>35</v>
      </c>
      <c r="C1918" s="8">
        <v>46030.0</v>
      </c>
      <c r="D1918" s="6" t="s">
        <v>3716</v>
      </c>
      <c r="E1918" s="10"/>
      <c r="F1918" s="10"/>
      <c r="G1918" s="10"/>
      <c r="H1918" s="6" t="s">
        <v>11521</v>
      </c>
      <c r="I1918" s="10"/>
      <c r="J1918" s="6" t="s">
        <v>539</v>
      </c>
      <c r="K1918" s="10"/>
      <c r="L1918" s="10"/>
      <c r="M1918" s="10"/>
      <c r="N1918" s="10"/>
      <c r="O1918" s="18">
        <v>693.5</v>
      </c>
      <c r="P1918" s="10"/>
      <c r="Q1918" s="17" t="b">
        <v>1</v>
      </c>
      <c r="R1918" s="10"/>
    </row>
    <row r="1919">
      <c r="A1919" s="6" t="s">
        <v>9590</v>
      </c>
      <c r="B1919" s="6" t="s">
        <v>35</v>
      </c>
      <c r="C1919" s="8">
        <v>46030.0</v>
      </c>
      <c r="D1919" s="6" t="s">
        <v>11524</v>
      </c>
      <c r="E1919" s="10"/>
      <c r="F1919" s="10"/>
      <c r="G1919" s="10"/>
      <c r="H1919" s="6" t="s">
        <v>11525</v>
      </c>
      <c r="I1919" s="10"/>
      <c r="J1919" s="6" t="s">
        <v>539</v>
      </c>
      <c r="K1919" s="10"/>
      <c r="L1919" s="10"/>
      <c r="M1919" s="10"/>
      <c r="N1919" s="10"/>
      <c r="O1919" s="18">
        <v>50.0</v>
      </c>
      <c r="P1919" s="10"/>
      <c r="Q1919" s="17" t="b">
        <v>1</v>
      </c>
      <c r="R1919" s="10"/>
    </row>
    <row r="1920">
      <c r="A1920" s="6" t="s">
        <v>9594</v>
      </c>
      <c r="B1920" s="6" t="s">
        <v>35</v>
      </c>
      <c r="C1920" s="8">
        <v>46030.0</v>
      </c>
      <c r="D1920" s="10"/>
      <c r="E1920" s="10"/>
      <c r="F1920" s="10"/>
      <c r="G1920" s="10"/>
      <c r="H1920" s="6" t="s">
        <v>1329</v>
      </c>
      <c r="I1920" s="10"/>
      <c r="J1920" s="6" t="s">
        <v>539</v>
      </c>
      <c r="K1920" s="6" t="s">
        <v>11528</v>
      </c>
      <c r="L1920" s="10"/>
      <c r="M1920" s="10"/>
      <c r="N1920" s="10"/>
      <c r="O1920" s="18">
        <v>500.0</v>
      </c>
      <c r="P1920" s="10"/>
      <c r="Q1920" s="17" t="b">
        <v>1</v>
      </c>
      <c r="R1920" s="10"/>
    </row>
    <row r="1921">
      <c r="A1921" s="6" t="s">
        <v>9597</v>
      </c>
      <c r="B1921" s="6" t="s">
        <v>35</v>
      </c>
      <c r="C1921" s="8">
        <v>46034.0</v>
      </c>
      <c r="D1921" s="6" t="s">
        <v>2129</v>
      </c>
      <c r="E1921" s="6" t="s">
        <v>11530</v>
      </c>
      <c r="F1921" s="10"/>
      <c r="G1921" s="6" t="s">
        <v>11531</v>
      </c>
      <c r="H1921" s="6" t="s">
        <v>11533</v>
      </c>
      <c r="I1921" s="17" t="b">
        <v>1</v>
      </c>
      <c r="J1921" s="6" t="s">
        <v>546</v>
      </c>
      <c r="K1921" s="10"/>
      <c r="L1921" s="10"/>
      <c r="M1921" s="10"/>
      <c r="N1921" s="10"/>
      <c r="O1921" s="18">
        <v>11.58</v>
      </c>
      <c r="P1921" s="18">
        <v>1926897.0</v>
      </c>
      <c r="Q1921" s="17" t="b">
        <v>1</v>
      </c>
      <c r="R1921" s="10"/>
    </row>
    <row r="1922">
      <c r="A1922" s="18">
        <v>11769.0</v>
      </c>
      <c r="B1922" s="6" t="s">
        <v>35</v>
      </c>
      <c r="C1922" s="8">
        <v>46034.0</v>
      </c>
      <c r="D1922" s="6" t="s">
        <v>2280</v>
      </c>
      <c r="E1922" s="10"/>
      <c r="F1922" s="10"/>
      <c r="G1922" s="10"/>
      <c r="H1922" s="6" t="s">
        <v>10095</v>
      </c>
      <c r="I1922" s="10"/>
      <c r="J1922" s="6" t="s">
        <v>539</v>
      </c>
      <c r="K1922" s="10"/>
      <c r="L1922" s="10"/>
      <c r="M1922" s="10"/>
      <c r="N1922" s="10"/>
      <c r="O1922" s="18">
        <v>1013.13</v>
      </c>
      <c r="P1922" s="10"/>
      <c r="Q1922" s="17" t="b">
        <v>1</v>
      </c>
      <c r="R1922" s="10"/>
    </row>
    <row r="1923">
      <c r="A1923" s="18">
        <v>11770.0</v>
      </c>
      <c r="B1923" s="6" t="s">
        <v>35</v>
      </c>
      <c r="C1923" s="8">
        <v>46034.0</v>
      </c>
      <c r="D1923" s="6" t="s">
        <v>2248</v>
      </c>
      <c r="E1923" s="10"/>
      <c r="F1923" s="10"/>
      <c r="G1923" s="10"/>
      <c r="H1923" s="6" t="s">
        <v>8055</v>
      </c>
      <c r="I1923" s="10"/>
      <c r="J1923" s="6" t="s">
        <v>539</v>
      </c>
      <c r="K1923" s="10"/>
      <c r="L1923" s="10"/>
      <c r="M1923" s="10"/>
      <c r="N1923" s="10"/>
      <c r="O1923" s="18">
        <v>185.0</v>
      </c>
      <c r="P1923" s="10"/>
      <c r="Q1923" s="17" t="b">
        <v>1</v>
      </c>
      <c r="R1923" s="10"/>
    </row>
    <row r="1924">
      <c r="A1924" s="6" t="s">
        <v>9603</v>
      </c>
      <c r="B1924" s="6" t="s">
        <v>35</v>
      </c>
      <c r="C1924" s="8">
        <v>46034.0</v>
      </c>
      <c r="D1924" s="6" t="s">
        <v>460</v>
      </c>
      <c r="E1924" s="10"/>
      <c r="F1924" s="10"/>
      <c r="G1924" s="10"/>
      <c r="H1924" s="6" t="s">
        <v>11541</v>
      </c>
      <c r="I1924" s="10"/>
      <c r="J1924" s="6" t="s">
        <v>539</v>
      </c>
      <c r="K1924" s="10"/>
      <c r="L1924" s="10"/>
      <c r="M1924" s="10"/>
      <c r="N1924" s="10"/>
      <c r="O1924" s="18">
        <v>175.0</v>
      </c>
      <c r="P1924" s="10"/>
      <c r="Q1924" s="17" t="b">
        <v>1</v>
      </c>
      <c r="R1924" s="10"/>
    </row>
    <row r="1925">
      <c r="A1925" s="6" t="s">
        <v>9605</v>
      </c>
      <c r="B1925" s="6" t="s">
        <v>35</v>
      </c>
      <c r="C1925" s="8">
        <v>46034.0</v>
      </c>
      <c r="D1925" s="6" t="s">
        <v>460</v>
      </c>
      <c r="E1925" s="10"/>
      <c r="F1925" s="10"/>
      <c r="G1925" s="10"/>
      <c r="H1925" s="6" t="s">
        <v>11546</v>
      </c>
      <c r="I1925" s="10"/>
      <c r="J1925" s="6" t="s">
        <v>539</v>
      </c>
      <c r="K1925" s="10"/>
      <c r="L1925" s="10"/>
      <c r="M1925" s="10"/>
      <c r="N1925" s="10"/>
      <c r="O1925" s="18">
        <v>39.0</v>
      </c>
      <c r="P1925" s="10"/>
      <c r="Q1925" s="17" t="b">
        <v>1</v>
      </c>
      <c r="R1925" s="10"/>
    </row>
    <row r="1926">
      <c r="A1926" s="6" t="s">
        <v>9607</v>
      </c>
      <c r="B1926" s="6" t="s">
        <v>35</v>
      </c>
      <c r="C1926" s="8">
        <v>46034.0</v>
      </c>
      <c r="D1926" s="6" t="s">
        <v>460</v>
      </c>
      <c r="E1926" s="10"/>
      <c r="F1926" s="10"/>
      <c r="G1926" s="10"/>
      <c r="H1926" s="6" t="s">
        <v>11550</v>
      </c>
      <c r="I1926" s="10"/>
      <c r="J1926" s="6" t="s">
        <v>539</v>
      </c>
      <c r="K1926" s="10"/>
      <c r="L1926" s="10"/>
      <c r="M1926" s="10"/>
      <c r="N1926" s="10"/>
      <c r="O1926" s="18">
        <v>212.0</v>
      </c>
      <c r="P1926" s="10"/>
      <c r="Q1926" s="17" t="b">
        <v>1</v>
      </c>
      <c r="R1926" s="10"/>
    </row>
    <row r="1927">
      <c r="A1927" s="18">
        <v>1.10266669E8</v>
      </c>
      <c r="B1927" s="6" t="s">
        <v>35</v>
      </c>
      <c r="C1927" s="8">
        <v>46034.0</v>
      </c>
      <c r="D1927" s="6" t="s">
        <v>460</v>
      </c>
      <c r="E1927" s="10"/>
      <c r="F1927" s="10"/>
      <c r="G1927" s="10"/>
      <c r="H1927" s="6" t="s">
        <v>11553</v>
      </c>
      <c r="I1927" s="10"/>
      <c r="J1927" s="6" t="s">
        <v>539</v>
      </c>
      <c r="K1927" s="10"/>
      <c r="L1927" s="10"/>
      <c r="M1927" s="10"/>
      <c r="N1927" s="10"/>
      <c r="O1927" s="18">
        <v>114.9</v>
      </c>
      <c r="P1927" s="10"/>
      <c r="Q1927" s="17" t="b">
        <v>1</v>
      </c>
      <c r="R1927" s="10"/>
    </row>
    <row r="1928">
      <c r="A1928" s="6" t="s">
        <v>9613</v>
      </c>
      <c r="B1928" s="6" t="s">
        <v>35</v>
      </c>
      <c r="C1928" s="8">
        <v>46034.0</v>
      </c>
      <c r="D1928" s="6" t="s">
        <v>460</v>
      </c>
      <c r="E1928" s="10"/>
      <c r="F1928" s="10"/>
      <c r="G1928" s="10"/>
      <c r="H1928" s="6" t="s">
        <v>11556</v>
      </c>
      <c r="I1928" s="10"/>
      <c r="J1928" s="6" t="s">
        <v>539</v>
      </c>
      <c r="K1928" s="10"/>
      <c r="L1928" s="10"/>
      <c r="M1928" s="10"/>
      <c r="N1928" s="10"/>
      <c r="O1928" s="18">
        <v>173.94</v>
      </c>
      <c r="P1928" s="10"/>
      <c r="Q1928" s="17" t="b">
        <v>1</v>
      </c>
      <c r="R1928" s="10"/>
    </row>
    <row r="1929">
      <c r="A1929" s="6" t="s">
        <v>9616</v>
      </c>
      <c r="B1929" s="6" t="s">
        <v>35</v>
      </c>
      <c r="C1929" s="8">
        <v>46034.0</v>
      </c>
      <c r="D1929" s="6" t="s">
        <v>460</v>
      </c>
      <c r="E1929" s="10"/>
      <c r="F1929" s="10"/>
      <c r="G1929" s="10"/>
      <c r="H1929" s="6" t="s">
        <v>11559</v>
      </c>
      <c r="I1929" s="10"/>
      <c r="J1929" s="6" t="s">
        <v>539</v>
      </c>
      <c r="K1929" s="10"/>
      <c r="L1929" s="10"/>
      <c r="M1929" s="10"/>
      <c r="N1929" s="10"/>
      <c r="O1929" s="18">
        <v>175.0</v>
      </c>
      <c r="P1929" s="10"/>
      <c r="Q1929" s="17" t="b">
        <v>1</v>
      </c>
      <c r="R1929" s="10"/>
    </row>
    <row r="1930">
      <c r="A1930" s="6" t="s">
        <v>9620</v>
      </c>
      <c r="B1930" s="6" t="s">
        <v>35</v>
      </c>
      <c r="C1930" s="8">
        <v>46034.0</v>
      </c>
      <c r="D1930" s="6" t="s">
        <v>460</v>
      </c>
      <c r="E1930" s="10"/>
      <c r="F1930" s="10"/>
      <c r="G1930" s="10"/>
      <c r="H1930" s="6" t="s">
        <v>11563</v>
      </c>
      <c r="I1930" s="10"/>
      <c r="J1930" s="6" t="s">
        <v>539</v>
      </c>
      <c r="K1930" s="10"/>
      <c r="L1930" s="10"/>
      <c r="M1930" s="10"/>
      <c r="N1930" s="10"/>
      <c r="O1930" s="18">
        <v>82.95</v>
      </c>
      <c r="P1930" s="10"/>
      <c r="Q1930" s="17" t="b">
        <v>1</v>
      </c>
      <c r="R1930" s="10"/>
    </row>
    <row r="1931">
      <c r="A1931" s="6" t="s">
        <v>9624</v>
      </c>
      <c r="B1931" s="6" t="s">
        <v>35</v>
      </c>
      <c r="C1931" s="8">
        <v>46034.0</v>
      </c>
      <c r="D1931" s="6" t="s">
        <v>1160</v>
      </c>
      <c r="E1931" s="10"/>
      <c r="F1931" s="10"/>
      <c r="G1931" s="10"/>
      <c r="H1931" s="6" t="s">
        <v>11568</v>
      </c>
      <c r="I1931" s="10"/>
      <c r="J1931" s="6" t="s">
        <v>539</v>
      </c>
      <c r="K1931" s="10"/>
      <c r="L1931" s="10"/>
      <c r="M1931" s="10"/>
      <c r="N1931" s="10"/>
      <c r="O1931" s="18">
        <v>3792.59</v>
      </c>
      <c r="P1931" s="10"/>
      <c r="Q1931" s="17" t="b">
        <v>1</v>
      </c>
      <c r="R1931" s="10"/>
    </row>
    <row r="1932">
      <c r="A1932" s="6" t="s">
        <v>9627</v>
      </c>
      <c r="B1932" s="6" t="s">
        <v>35</v>
      </c>
      <c r="C1932" s="8">
        <v>46034.0</v>
      </c>
      <c r="D1932" s="6" t="s">
        <v>1160</v>
      </c>
      <c r="E1932" s="10"/>
      <c r="F1932" s="10"/>
      <c r="G1932" s="10"/>
      <c r="H1932" s="6" t="s">
        <v>11193</v>
      </c>
      <c r="I1932" s="10"/>
      <c r="J1932" s="6" t="s">
        <v>539</v>
      </c>
      <c r="K1932" s="10"/>
      <c r="L1932" s="10"/>
      <c r="M1932" s="10"/>
      <c r="N1932" s="10"/>
      <c r="O1932" s="18">
        <v>1070.61</v>
      </c>
      <c r="P1932" s="10"/>
      <c r="Q1932" s="17" t="b">
        <v>1</v>
      </c>
      <c r="R1932" s="10"/>
    </row>
    <row r="1933">
      <c r="A1933" s="6" t="s">
        <v>9631</v>
      </c>
      <c r="B1933" s="6" t="s">
        <v>35</v>
      </c>
      <c r="C1933" s="8">
        <v>46034.0</v>
      </c>
      <c r="D1933" s="6" t="s">
        <v>890</v>
      </c>
      <c r="E1933" s="10"/>
      <c r="F1933" s="10"/>
      <c r="G1933" s="10"/>
      <c r="H1933" s="6" t="s">
        <v>11575</v>
      </c>
      <c r="I1933" s="10"/>
      <c r="J1933" s="6" t="s">
        <v>539</v>
      </c>
      <c r="K1933" s="10"/>
      <c r="L1933" s="10"/>
      <c r="M1933" s="10"/>
      <c r="N1933" s="10"/>
      <c r="O1933" s="18">
        <v>4543.0</v>
      </c>
      <c r="P1933" s="10"/>
      <c r="Q1933" s="17" t="b">
        <v>1</v>
      </c>
      <c r="R1933" s="10"/>
    </row>
    <row r="1934">
      <c r="A1934" s="6" t="s">
        <v>9633</v>
      </c>
      <c r="B1934" s="6" t="s">
        <v>35</v>
      </c>
      <c r="C1934" s="8">
        <v>46034.0</v>
      </c>
      <c r="D1934" s="6" t="s">
        <v>460</v>
      </c>
      <c r="E1934" s="10"/>
      <c r="F1934" s="10"/>
      <c r="G1934" s="10"/>
      <c r="H1934" s="6" t="s">
        <v>11579</v>
      </c>
      <c r="I1934" s="10"/>
      <c r="J1934" s="6" t="s">
        <v>539</v>
      </c>
      <c r="K1934" s="10"/>
      <c r="L1934" s="10"/>
      <c r="M1934" s="10"/>
      <c r="N1934" s="10"/>
      <c r="O1934" s="18">
        <v>1312.0</v>
      </c>
      <c r="P1934" s="10"/>
      <c r="Q1934" s="17" t="b">
        <v>1</v>
      </c>
      <c r="R1934" s="10"/>
    </row>
    <row r="1935">
      <c r="A1935" s="6" t="s">
        <v>9636</v>
      </c>
      <c r="B1935" s="6" t="s">
        <v>35</v>
      </c>
      <c r="C1935" s="8">
        <v>46031.0</v>
      </c>
      <c r="D1935" s="6" t="s">
        <v>11582</v>
      </c>
      <c r="E1935" s="6" t="s">
        <v>11583</v>
      </c>
      <c r="F1935" s="10"/>
      <c r="G1935" s="6" t="s">
        <v>11585</v>
      </c>
      <c r="H1935" s="6" t="s">
        <v>11382</v>
      </c>
      <c r="I1935" s="17" t="b">
        <v>1</v>
      </c>
      <c r="J1935" s="6" t="s">
        <v>546</v>
      </c>
      <c r="K1935" s="10"/>
      <c r="L1935" s="10"/>
      <c r="M1935" s="10"/>
      <c r="N1935" s="10"/>
      <c r="O1935" s="18">
        <v>187.44</v>
      </c>
      <c r="P1935" s="18">
        <v>1919083.0</v>
      </c>
      <c r="Q1935" s="17" t="b">
        <v>1</v>
      </c>
      <c r="R1935" s="10"/>
    </row>
    <row r="1936">
      <c r="A1936" s="18">
        <v>11768.0</v>
      </c>
      <c r="B1936" s="6" t="s">
        <v>35</v>
      </c>
      <c r="C1936" s="8">
        <v>46035.0</v>
      </c>
      <c r="D1936" s="6" t="s">
        <v>10092</v>
      </c>
      <c r="E1936" s="10"/>
      <c r="F1936" s="10"/>
      <c r="G1936" s="10"/>
      <c r="H1936" s="6" t="s">
        <v>10093</v>
      </c>
      <c r="I1936" s="10"/>
      <c r="J1936" s="6" t="s">
        <v>539</v>
      </c>
      <c r="K1936" s="10"/>
      <c r="L1936" s="10"/>
      <c r="M1936" s="10"/>
      <c r="N1936" s="10"/>
      <c r="O1936" s="18">
        <v>181.37</v>
      </c>
      <c r="P1936" s="10"/>
      <c r="Q1936" s="17" t="b">
        <v>1</v>
      </c>
      <c r="R1936" s="10"/>
    </row>
    <row r="1937">
      <c r="A1937" s="6" t="s">
        <v>9641</v>
      </c>
      <c r="B1937" s="6" t="s">
        <v>35</v>
      </c>
      <c r="C1937" s="8">
        <v>46035.0</v>
      </c>
      <c r="D1937" s="6" t="s">
        <v>1864</v>
      </c>
      <c r="E1937" s="10"/>
      <c r="F1937" s="10"/>
      <c r="G1937" s="10"/>
      <c r="H1937" s="6" t="s">
        <v>11594</v>
      </c>
      <c r="I1937" s="10"/>
      <c r="J1937" s="6" t="s">
        <v>539</v>
      </c>
      <c r="K1937" s="10"/>
      <c r="L1937" s="10"/>
      <c r="M1937" s="10"/>
      <c r="N1937" s="10"/>
      <c r="O1937" s="18">
        <v>81.93</v>
      </c>
      <c r="P1937" s="10"/>
      <c r="Q1937" s="17" t="b">
        <v>1</v>
      </c>
      <c r="R1937" s="10"/>
    </row>
    <row r="1938">
      <c r="A1938" s="6" t="s">
        <v>9643</v>
      </c>
      <c r="B1938" s="6" t="s">
        <v>35</v>
      </c>
      <c r="C1938" s="8">
        <v>46036.0</v>
      </c>
      <c r="D1938" s="6" t="s">
        <v>2165</v>
      </c>
      <c r="E1938" s="10"/>
      <c r="F1938" s="10"/>
      <c r="G1938" s="10"/>
      <c r="H1938" s="6" t="s">
        <v>11597</v>
      </c>
      <c r="I1938" s="10"/>
      <c r="J1938" s="6" t="s">
        <v>539</v>
      </c>
      <c r="K1938" s="10"/>
      <c r="L1938" s="10"/>
      <c r="M1938" s="10"/>
      <c r="N1938" s="10"/>
      <c r="O1938" s="18">
        <v>985.85</v>
      </c>
      <c r="P1938" s="10"/>
      <c r="Q1938" s="17" t="b">
        <v>1</v>
      </c>
      <c r="R1938" s="10"/>
    </row>
    <row r="1939">
      <c r="A1939" s="6" t="s">
        <v>9645</v>
      </c>
      <c r="B1939" s="6" t="s">
        <v>35</v>
      </c>
      <c r="C1939" s="8">
        <v>46037.0</v>
      </c>
      <c r="D1939" s="6" t="s">
        <v>559</v>
      </c>
      <c r="E1939" s="6" t="s">
        <v>11601</v>
      </c>
      <c r="F1939" s="10"/>
      <c r="G1939" s="6" t="s">
        <v>11602</v>
      </c>
      <c r="H1939" s="6" t="s">
        <v>195</v>
      </c>
      <c r="I1939" s="17" t="b">
        <v>0</v>
      </c>
      <c r="J1939" s="6" t="s">
        <v>546</v>
      </c>
      <c r="K1939" s="10"/>
      <c r="L1939" s="6" t="s">
        <v>11604</v>
      </c>
      <c r="M1939" s="10"/>
      <c r="N1939" s="10"/>
      <c r="O1939" s="18">
        <v>631.2</v>
      </c>
      <c r="P1939" s="10"/>
      <c r="Q1939" s="17" t="b">
        <v>1</v>
      </c>
      <c r="R1939" s="10"/>
    </row>
    <row r="1940">
      <c r="A1940" s="6" t="s">
        <v>9653</v>
      </c>
      <c r="B1940" s="6" t="s">
        <v>35</v>
      </c>
      <c r="C1940" s="8">
        <v>46037.0</v>
      </c>
      <c r="D1940" s="6" t="s">
        <v>175</v>
      </c>
      <c r="E1940" s="6" t="s">
        <v>11606</v>
      </c>
      <c r="F1940" s="10"/>
      <c r="G1940" s="6" t="s">
        <v>11607</v>
      </c>
      <c r="H1940" s="6" t="s">
        <v>11361</v>
      </c>
      <c r="I1940" s="17" t="b">
        <v>1</v>
      </c>
      <c r="J1940" s="6" t="s">
        <v>546</v>
      </c>
      <c r="K1940" s="10"/>
      <c r="L1940" s="10"/>
      <c r="M1940" s="10"/>
      <c r="N1940" s="10"/>
      <c r="O1940" s="18">
        <v>12.25</v>
      </c>
      <c r="P1940" s="18">
        <v>1932986.0</v>
      </c>
      <c r="Q1940" s="17" t="b">
        <v>1</v>
      </c>
      <c r="R1940" s="10"/>
    </row>
    <row r="1941">
      <c r="A1941" s="6" t="s">
        <v>9656</v>
      </c>
      <c r="B1941" s="6" t="s">
        <v>35</v>
      </c>
      <c r="C1941" s="8">
        <v>46039.0</v>
      </c>
      <c r="D1941" s="6" t="s">
        <v>233</v>
      </c>
      <c r="E1941" s="6" t="s">
        <v>11609</v>
      </c>
      <c r="F1941" s="10"/>
      <c r="G1941" s="6" t="s">
        <v>11610</v>
      </c>
      <c r="H1941" s="6" t="s">
        <v>8641</v>
      </c>
      <c r="I1941" s="17" t="b">
        <v>1</v>
      </c>
      <c r="J1941" s="6" t="s">
        <v>546</v>
      </c>
      <c r="K1941" s="10"/>
      <c r="L1941" s="10"/>
      <c r="M1941" s="10"/>
      <c r="N1941" s="10"/>
      <c r="O1941" s="18">
        <v>212.19</v>
      </c>
      <c r="P1941" s="18">
        <v>1937585.0</v>
      </c>
      <c r="Q1941" s="17" t="b">
        <v>1</v>
      </c>
      <c r="R1941" s="10"/>
    </row>
    <row r="1942">
      <c r="A1942" s="18">
        <v>1.5786028E7</v>
      </c>
      <c r="B1942" s="6" t="s">
        <v>35</v>
      </c>
      <c r="C1942" s="8">
        <v>46039.0</v>
      </c>
      <c r="D1942" s="6" t="s">
        <v>175</v>
      </c>
      <c r="E1942" s="6" t="s">
        <v>11613</v>
      </c>
      <c r="F1942" s="10"/>
      <c r="G1942" s="6" t="s">
        <v>11615</v>
      </c>
      <c r="H1942" s="6" t="s">
        <v>157</v>
      </c>
      <c r="I1942" s="17" t="b">
        <v>0</v>
      </c>
      <c r="J1942" s="6" t="s">
        <v>546</v>
      </c>
      <c r="K1942" s="10"/>
      <c r="L1942" s="10"/>
      <c r="M1942" s="10"/>
      <c r="N1942" s="10"/>
      <c r="O1942" s="18">
        <v>484.36</v>
      </c>
      <c r="P1942" s="10"/>
      <c r="Q1942" s="17" t="b">
        <v>1</v>
      </c>
      <c r="R1942" s="10"/>
    </row>
    <row r="1943">
      <c r="A1943" s="6" t="s">
        <v>9669</v>
      </c>
      <c r="B1943" s="6" t="s">
        <v>35</v>
      </c>
      <c r="C1943" s="8">
        <v>46036.0</v>
      </c>
      <c r="D1943" s="6" t="s">
        <v>175</v>
      </c>
      <c r="E1943" s="6" t="s">
        <v>11617</v>
      </c>
      <c r="F1943" s="10"/>
      <c r="G1943" s="6" t="s">
        <v>11618</v>
      </c>
      <c r="H1943" s="6" t="s">
        <v>157</v>
      </c>
      <c r="I1943" s="17" t="b">
        <v>0</v>
      </c>
      <c r="J1943" s="6" t="s">
        <v>546</v>
      </c>
      <c r="K1943" s="10"/>
      <c r="L1943" s="10"/>
      <c r="M1943" s="10"/>
      <c r="N1943" s="10"/>
      <c r="O1943" s="18">
        <v>409.41</v>
      </c>
      <c r="P1943" s="10"/>
      <c r="Q1943" s="17" t="b">
        <v>1</v>
      </c>
      <c r="R1943" s="10"/>
    </row>
    <row r="1944">
      <c r="A1944" s="6" t="s">
        <v>9676</v>
      </c>
      <c r="B1944" s="6" t="s">
        <v>35</v>
      </c>
      <c r="C1944" s="8">
        <v>46035.0</v>
      </c>
      <c r="D1944" s="6" t="s">
        <v>175</v>
      </c>
      <c r="E1944" s="6" t="s">
        <v>11620</v>
      </c>
      <c r="F1944" s="10"/>
      <c r="G1944" s="6" t="s">
        <v>11621</v>
      </c>
      <c r="H1944" s="6" t="s">
        <v>157</v>
      </c>
      <c r="I1944" s="17" t="b">
        <v>0</v>
      </c>
      <c r="J1944" s="6" t="s">
        <v>546</v>
      </c>
      <c r="K1944" s="10"/>
      <c r="L1944" s="10"/>
      <c r="M1944" s="10"/>
      <c r="N1944" s="10"/>
      <c r="O1944" s="18">
        <v>302.96</v>
      </c>
      <c r="P1944" s="10"/>
      <c r="Q1944" s="17" t="b">
        <v>1</v>
      </c>
      <c r="R1944" s="10"/>
    </row>
    <row r="1945">
      <c r="A1945" s="6" t="s">
        <v>9682</v>
      </c>
      <c r="B1945" s="6" t="s">
        <v>35</v>
      </c>
      <c r="C1945" s="8">
        <v>46038.0</v>
      </c>
      <c r="D1945" s="18">
        <v>8.627274E7</v>
      </c>
      <c r="E1945" s="6" t="s">
        <v>11623</v>
      </c>
      <c r="F1945" s="10"/>
      <c r="G1945" s="6" t="s">
        <v>11624</v>
      </c>
      <c r="H1945" s="6" t="s">
        <v>11625</v>
      </c>
      <c r="I1945" s="17" t="b">
        <v>1</v>
      </c>
      <c r="J1945" s="6" t="s">
        <v>546</v>
      </c>
      <c r="K1945" s="10"/>
      <c r="L1945" s="10"/>
      <c r="M1945" s="10"/>
      <c r="N1945" s="10"/>
      <c r="O1945" s="18">
        <v>108.4</v>
      </c>
      <c r="P1945" s="18">
        <v>1935147.0</v>
      </c>
      <c r="Q1945" s="17" t="b">
        <v>1</v>
      </c>
      <c r="R1945" s="10"/>
    </row>
    <row r="1946">
      <c r="A1946" s="6" t="s">
        <v>9686</v>
      </c>
      <c r="B1946" s="6" t="s">
        <v>35</v>
      </c>
      <c r="C1946" s="8">
        <v>46038.0</v>
      </c>
      <c r="D1946" s="6" t="s">
        <v>2039</v>
      </c>
      <c r="E1946" s="6" t="s">
        <v>11627</v>
      </c>
      <c r="F1946" s="10"/>
      <c r="G1946" s="6" t="s">
        <v>11628</v>
      </c>
      <c r="H1946" s="6" t="s">
        <v>11629</v>
      </c>
      <c r="I1946" s="17" t="b">
        <v>1</v>
      </c>
      <c r="J1946" s="6" t="s">
        <v>546</v>
      </c>
      <c r="K1946" s="10"/>
      <c r="L1946" s="10"/>
      <c r="M1946" s="10"/>
      <c r="N1946" s="10"/>
      <c r="O1946" s="18">
        <v>47.88</v>
      </c>
      <c r="P1946" s="18">
        <v>1935436.0</v>
      </c>
      <c r="Q1946" s="17" t="b">
        <v>1</v>
      </c>
      <c r="R1946" s="10"/>
    </row>
    <row r="1947">
      <c r="A1947" s="6" t="s">
        <v>9688</v>
      </c>
      <c r="B1947" s="6" t="s">
        <v>35</v>
      </c>
      <c r="C1947" s="8">
        <v>46038.0</v>
      </c>
      <c r="D1947" s="6" t="s">
        <v>11632</v>
      </c>
      <c r="E1947" s="6" t="s">
        <v>11633</v>
      </c>
      <c r="F1947" s="10"/>
      <c r="G1947" s="6" t="s">
        <v>11634</v>
      </c>
      <c r="H1947" s="6" t="s">
        <v>11636</v>
      </c>
      <c r="I1947" s="17" t="b">
        <v>1</v>
      </c>
      <c r="J1947" s="6" t="s">
        <v>546</v>
      </c>
      <c r="K1947" s="10"/>
      <c r="L1947" s="10"/>
      <c r="M1947" s="10"/>
      <c r="N1947" s="10"/>
      <c r="O1947" s="18">
        <v>120.0</v>
      </c>
      <c r="P1947" s="18">
        <v>1935510.0</v>
      </c>
      <c r="Q1947" s="17" t="b">
        <v>1</v>
      </c>
      <c r="R1947" s="10"/>
    </row>
    <row r="1948">
      <c r="A1948" s="6" t="s">
        <v>9692</v>
      </c>
      <c r="B1948" s="6" t="s">
        <v>35</v>
      </c>
      <c r="C1948" s="8">
        <v>46031.0</v>
      </c>
      <c r="D1948" s="6" t="s">
        <v>11638</v>
      </c>
      <c r="E1948" s="6" t="s">
        <v>11639</v>
      </c>
      <c r="F1948" s="10"/>
      <c r="G1948" s="6" t="s">
        <v>11641</v>
      </c>
      <c r="H1948" s="6" t="s">
        <v>11642</v>
      </c>
      <c r="I1948" s="17" t="b">
        <v>0</v>
      </c>
      <c r="J1948" s="6" t="s">
        <v>546</v>
      </c>
      <c r="K1948" s="10"/>
      <c r="L1948" s="10"/>
      <c r="M1948" s="10"/>
      <c r="N1948" s="10"/>
      <c r="O1948" s="18">
        <v>3781.75</v>
      </c>
      <c r="P1948" s="10"/>
      <c r="Q1948" s="17" t="b">
        <v>1</v>
      </c>
      <c r="R1948" s="10"/>
    </row>
    <row r="1949">
      <c r="A1949" s="6" t="s">
        <v>9695</v>
      </c>
      <c r="B1949" s="6" t="s">
        <v>35</v>
      </c>
      <c r="C1949" s="8">
        <v>46030.0</v>
      </c>
      <c r="D1949" s="6" t="s">
        <v>890</v>
      </c>
      <c r="E1949" s="6" t="s">
        <v>11645</v>
      </c>
      <c r="F1949" s="10"/>
      <c r="G1949" s="6" t="s">
        <v>11647</v>
      </c>
      <c r="H1949" s="6" t="s">
        <v>1511</v>
      </c>
      <c r="I1949" s="17" t="b">
        <v>0</v>
      </c>
      <c r="J1949" s="6" t="s">
        <v>546</v>
      </c>
      <c r="K1949" s="10"/>
      <c r="L1949" s="6" t="s">
        <v>11648</v>
      </c>
      <c r="M1949" s="10"/>
      <c r="N1949" s="10"/>
      <c r="O1949" s="18">
        <v>10831.92</v>
      </c>
      <c r="P1949" s="10"/>
      <c r="Q1949" s="17" t="b">
        <v>1</v>
      </c>
      <c r="R1949" s="10"/>
    </row>
    <row r="1950">
      <c r="A1950" s="18">
        <v>11793.0</v>
      </c>
      <c r="B1950" s="6" t="s">
        <v>35</v>
      </c>
      <c r="C1950" s="8">
        <v>46041.0</v>
      </c>
      <c r="D1950" s="6" t="s">
        <v>3516</v>
      </c>
      <c r="E1950" s="10"/>
      <c r="F1950" s="10"/>
      <c r="G1950" s="10"/>
      <c r="H1950" s="6" t="s">
        <v>10131</v>
      </c>
      <c r="I1950" s="10"/>
      <c r="J1950" s="6" t="s">
        <v>539</v>
      </c>
      <c r="K1950" s="10"/>
      <c r="L1950" s="10"/>
      <c r="M1950" s="10"/>
      <c r="N1950" s="10"/>
      <c r="O1950" s="18">
        <v>1148.51</v>
      </c>
      <c r="P1950" s="10"/>
      <c r="Q1950" s="17" t="b">
        <v>1</v>
      </c>
      <c r="R1950" s="10"/>
    </row>
    <row r="1951">
      <c r="A1951" s="18">
        <v>11801.0</v>
      </c>
      <c r="B1951" s="6" t="s">
        <v>35</v>
      </c>
      <c r="C1951" s="8">
        <v>46041.0</v>
      </c>
      <c r="D1951" s="6" t="s">
        <v>3516</v>
      </c>
      <c r="E1951" s="10"/>
      <c r="F1951" s="10"/>
      <c r="G1951" s="10"/>
      <c r="H1951" s="6" t="s">
        <v>9759</v>
      </c>
      <c r="I1951" s="10"/>
      <c r="J1951" s="6" t="s">
        <v>539</v>
      </c>
      <c r="K1951" s="10"/>
      <c r="L1951" s="10"/>
      <c r="M1951" s="10"/>
      <c r="N1951" s="10"/>
      <c r="O1951" s="18">
        <v>513.53</v>
      </c>
      <c r="P1951" s="10"/>
      <c r="Q1951" s="17" t="b">
        <v>1</v>
      </c>
      <c r="R1951" s="10"/>
    </row>
    <row r="1952">
      <c r="A1952" s="18">
        <v>11802.0</v>
      </c>
      <c r="B1952" s="6" t="s">
        <v>35</v>
      </c>
      <c r="C1952" s="8">
        <v>46041.0</v>
      </c>
      <c r="D1952" s="6" t="s">
        <v>3516</v>
      </c>
      <c r="E1952" s="10"/>
      <c r="F1952" s="10"/>
      <c r="G1952" s="10"/>
      <c r="H1952" s="6" t="s">
        <v>9762</v>
      </c>
      <c r="I1952" s="10"/>
      <c r="J1952" s="6" t="s">
        <v>539</v>
      </c>
      <c r="K1952" s="10"/>
      <c r="L1952" s="10"/>
      <c r="M1952" s="10"/>
      <c r="N1952" s="10"/>
      <c r="O1952" s="18">
        <v>18933.49</v>
      </c>
      <c r="P1952" s="10"/>
      <c r="Q1952" s="17" t="b">
        <v>1</v>
      </c>
      <c r="R1952" s="10"/>
    </row>
    <row r="1953">
      <c r="A1953" s="6" t="s">
        <v>9705</v>
      </c>
      <c r="B1953" s="6" t="s">
        <v>35</v>
      </c>
      <c r="C1953" s="8">
        <v>46041.0</v>
      </c>
      <c r="D1953" s="6" t="s">
        <v>1864</v>
      </c>
      <c r="E1953" s="10"/>
      <c r="F1953" s="10"/>
      <c r="G1953" s="10"/>
      <c r="H1953" s="6" t="s">
        <v>8399</v>
      </c>
      <c r="I1953" s="10"/>
      <c r="J1953" s="6" t="s">
        <v>539</v>
      </c>
      <c r="K1953" s="10"/>
      <c r="L1953" s="10"/>
      <c r="M1953" s="10"/>
      <c r="N1953" s="10"/>
      <c r="O1953" s="18">
        <v>46.12</v>
      </c>
      <c r="P1953" s="10"/>
      <c r="Q1953" s="17" t="b">
        <v>1</v>
      </c>
      <c r="R1953" s="10"/>
    </row>
    <row r="1954">
      <c r="A1954" s="18">
        <v>11810.0</v>
      </c>
      <c r="B1954" s="6" t="s">
        <v>35</v>
      </c>
      <c r="C1954" s="8">
        <v>46041.0</v>
      </c>
      <c r="D1954" s="6" t="s">
        <v>460</v>
      </c>
      <c r="E1954" s="10"/>
      <c r="F1954" s="10"/>
      <c r="G1954" s="10"/>
      <c r="H1954" s="8">
        <v>46296.0</v>
      </c>
      <c r="I1954" s="10"/>
      <c r="J1954" s="6" t="s">
        <v>539</v>
      </c>
      <c r="K1954" s="10"/>
      <c r="L1954" s="10"/>
      <c r="M1954" s="10"/>
      <c r="N1954" s="10"/>
      <c r="O1954" s="18">
        <v>249.23</v>
      </c>
      <c r="P1954" s="10"/>
      <c r="Q1954" s="17" t="b">
        <v>1</v>
      </c>
      <c r="R1954" s="10"/>
    </row>
    <row r="1955">
      <c r="A1955" s="18">
        <v>11811.0</v>
      </c>
      <c r="B1955" s="6" t="s">
        <v>35</v>
      </c>
      <c r="C1955" s="8">
        <v>46041.0</v>
      </c>
      <c r="D1955" s="6" t="s">
        <v>1160</v>
      </c>
      <c r="E1955" s="10"/>
      <c r="F1955" s="10"/>
      <c r="G1955" s="10"/>
      <c r="H1955" s="8">
        <v>46082.0</v>
      </c>
      <c r="I1955" s="10"/>
      <c r="J1955" s="6" t="s">
        <v>539</v>
      </c>
      <c r="K1955" s="10"/>
      <c r="L1955" s="10"/>
      <c r="M1955" s="10"/>
      <c r="N1955" s="10"/>
      <c r="O1955" s="18">
        <v>68.56</v>
      </c>
      <c r="P1955" s="10"/>
      <c r="Q1955" s="17" t="b">
        <v>1</v>
      </c>
      <c r="R1955" s="10"/>
    </row>
    <row r="1956">
      <c r="A1956" s="6" t="s">
        <v>9710</v>
      </c>
      <c r="B1956" s="6" t="s">
        <v>35</v>
      </c>
      <c r="C1956" s="8">
        <v>46041.0</v>
      </c>
      <c r="D1956" s="6" t="s">
        <v>460</v>
      </c>
      <c r="E1956" s="10"/>
      <c r="F1956" s="10"/>
      <c r="G1956" s="10"/>
      <c r="H1956" s="6" t="s">
        <v>11658</v>
      </c>
      <c r="I1956" s="10"/>
      <c r="J1956" s="6" t="s">
        <v>539</v>
      </c>
      <c r="K1956" s="10"/>
      <c r="L1956" s="10"/>
      <c r="M1956" s="10"/>
      <c r="N1956" s="10"/>
      <c r="O1956" s="18">
        <v>433.5</v>
      </c>
      <c r="P1956" s="10"/>
      <c r="Q1956" s="17" t="b">
        <v>1</v>
      </c>
      <c r="R1956" s="10"/>
    </row>
    <row r="1957">
      <c r="A1957" s="6" t="s">
        <v>9712</v>
      </c>
      <c r="B1957" s="6" t="s">
        <v>35</v>
      </c>
      <c r="C1957" s="8">
        <v>46041.0</v>
      </c>
      <c r="D1957" s="6" t="s">
        <v>112</v>
      </c>
      <c r="E1957" s="10"/>
      <c r="F1957" s="10"/>
      <c r="G1957" s="10"/>
      <c r="H1957" s="6" t="s">
        <v>11661</v>
      </c>
      <c r="I1957" s="10"/>
      <c r="J1957" s="6" t="s">
        <v>539</v>
      </c>
      <c r="K1957" s="10"/>
      <c r="L1957" s="10"/>
      <c r="M1957" s="10"/>
      <c r="N1957" s="10"/>
      <c r="O1957" s="18">
        <v>1196.73</v>
      </c>
      <c r="P1957" s="10"/>
      <c r="Q1957" s="17" t="b">
        <v>1</v>
      </c>
      <c r="R1957" s="10"/>
    </row>
    <row r="1958">
      <c r="A1958" s="6" t="s">
        <v>9715</v>
      </c>
      <c r="B1958" s="6" t="s">
        <v>35</v>
      </c>
      <c r="C1958" s="8">
        <v>46041.0</v>
      </c>
      <c r="D1958" s="6" t="s">
        <v>543</v>
      </c>
      <c r="E1958" s="10"/>
      <c r="F1958" s="10"/>
      <c r="G1958" s="10"/>
      <c r="H1958" s="6" t="s">
        <v>11665</v>
      </c>
      <c r="I1958" s="10"/>
      <c r="J1958" s="6" t="s">
        <v>539</v>
      </c>
      <c r="K1958" s="10"/>
      <c r="L1958" s="10"/>
      <c r="M1958" s="10"/>
      <c r="N1958" s="10"/>
      <c r="O1958" s="18">
        <v>1250.0</v>
      </c>
      <c r="P1958" s="10"/>
      <c r="Q1958" s="17" t="b">
        <v>1</v>
      </c>
      <c r="R1958" s="10"/>
    </row>
    <row r="1959">
      <c r="A1959" s="6" t="s">
        <v>9717</v>
      </c>
      <c r="B1959" s="6" t="s">
        <v>35</v>
      </c>
      <c r="C1959" s="8">
        <v>46042.0</v>
      </c>
      <c r="D1959" s="6" t="s">
        <v>112</v>
      </c>
      <c r="E1959" s="10"/>
      <c r="F1959" s="10"/>
      <c r="G1959" s="10"/>
      <c r="H1959" s="6" t="s">
        <v>157</v>
      </c>
      <c r="I1959" s="10"/>
      <c r="J1959" s="6" t="s">
        <v>539</v>
      </c>
      <c r="K1959" s="10"/>
      <c r="L1959" s="10"/>
      <c r="M1959" s="10"/>
      <c r="N1959" s="10"/>
      <c r="O1959" s="18">
        <v>1177.79</v>
      </c>
      <c r="P1959" s="10"/>
      <c r="Q1959" s="17" t="b">
        <v>1</v>
      </c>
      <c r="R1959" s="10"/>
    </row>
    <row r="1960">
      <c r="A1960" s="6" t="s">
        <v>9719</v>
      </c>
      <c r="B1960" s="6" t="s">
        <v>35</v>
      </c>
      <c r="C1960" s="8">
        <v>46042.0</v>
      </c>
      <c r="D1960" s="6" t="s">
        <v>890</v>
      </c>
      <c r="E1960" s="6" t="s">
        <v>11669</v>
      </c>
      <c r="F1960" s="10"/>
      <c r="G1960" s="6" t="s">
        <v>11670</v>
      </c>
      <c r="H1960" s="6" t="s">
        <v>2894</v>
      </c>
      <c r="I1960" s="17" t="b">
        <v>0</v>
      </c>
      <c r="J1960" s="6" t="s">
        <v>546</v>
      </c>
      <c r="K1960" s="10"/>
      <c r="L1960" s="6" t="s">
        <v>11672</v>
      </c>
      <c r="M1960" s="10"/>
      <c r="N1960" s="10"/>
      <c r="O1960" s="18">
        <v>1604.72</v>
      </c>
      <c r="P1960" s="10"/>
      <c r="Q1960" s="17" t="b">
        <v>1</v>
      </c>
      <c r="R1960" s="10"/>
    </row>
    <row r="1961">
      <c r="A1961" s="6" t="s">
        <v>9721</v>
      </c>
      <c r="B1961" s="6" t="s">
        <v>35</v>
      </c>
      <c r="C1961" s="8">
        <v>46042.0</v>
      </c>
      <c r="D1961" s="6" t="s">
        <v>890</v>
      </c>
      <c r="E1961" s="6" t="s">
        <v>11669</v>
      </c>
      <c r="F1961" s="10"/>
      <c r="G1961" s="6" t="s">
        <v>11673</v>
      </c>
      <c r="H1961" s="6" t="s">
        <v>2894</v>
      </c>
      <c r="I1961" s="17" t="b">
        <v>0</v>
      </c>
      <c r="J1961" s="6" t="s">
        <v>546</v>
      </c>
      <c r="K1961" s="10"/>
      <c r="L1961" s="6" t="s">
        <v>11675</v>
      </c>
      <c r="M1961" s="6" t="s">
        <v>11676</v>
      </c>
      <c r="N1961" s="10"/>
      <c r="O1961" s="18">
        <v>22035.55</v>
      </c>
      <c r="P1961" s="10"/>
      <c r="Q1961" s="17" t="b">
        <v>1</v>
      </c>
      <c r="R1961" s="10"/>
    </row>
    <row r="1962">
      <c r="A1962" s="6" t="s">
        <v>9723</v>
      </c>
      <c r="B1962" s="6" t="s">
        <v>35</v>
      </c>
      <c r="C1962" s="8">
        <v>46025.0</v>
      </c>
      <c r="D1962" s="6" t="s">
        <v>11677</v>
      </c>
      <c r="E1962" s="10"/>
      <c r="F1962" s="10"/>
      <c r="G1962" s="10"/>
      <c r="H1962" s="6" t="s">
        <v>11679</v>
      </c>
      <c r="I1962" s="10"/>
      <c r="J1962" s="6" t="s">
        <v>539</v>
      </c>
      <c r="K1962" s="10"/>
      <c r="L1962" s="10"/>
      <c r="M1962" s="10"/>
      <c r="N1962" s="10"/>
      <c r="O1962" s="18">
        <v>291.6</v>
      </c>
      <c r="P1962" s="10"/>
      <c r="Q1962" s="17" t="b">
        <v>1</v>
      </c>
      <c r="R1962" s="10"/>
    </row>
    <row r="1963">
      <c r="A1963" s="6" t="s">
        <v>9725</v>
      </c>
      <c r="B1963" s="6" t="s">
        <v>35</v>
      </c>
      <c r="C1963" s="8">
        <v>46024.0</v>
      </c>
      <c r="D1963" s="6" t="s">
        <v>11677</v>
      </c>
      <c r="E1963" s="10"/>
      <c r="F1963" s="10"/>
      <c r="G1963" s="10"/>
      <c r="H1963" s="6" t="s">
        <v>11682</v>
      </c>
      <c r="I1963" s="10"/>
      <c r="J1963" s="6" t="s">
        <v>539</v>
      </c>
      <c r="K1963" s="10"/>
      <c r="L1963" s="10"/>
      <c r="M1963" s="10"/>
      <c r="N1963" s="10"/>
      <c r="O1963" s="18">
        <v>151.2</v>
      </c>
      <c r="P1963" s="10"/>
      <c r="Q1963" s="17" t="b">
        <v>1</v>
      </c>
      <c r="R1963" s="10"/>
    </row>
    <row r="1964">
      <c r="A1964" s="6" t="s">
        <v>9727</v>
      </c>
      <c r="B1964" s="6" t="s">
        <v>35</v>
      </c>
      <c r="C1964" s="8">
        <v>46042.0</v>
      </c>
      <c r="D1964" s="6" t="s">
        <v>890</v>
      </c>
      <c r="E1964" s="6" t="s">
        <v>11684</v>
      </c>
      <c r="F1964" s="10"/>
      <c r="G1964" s="6" t="s">
        <v>11685</v>
      </c>
      <c r="H1964" s="6" t="s">
        <v>1511</v>
      </c>
      <c r="I1964" s="17" t="b">
        <v>0</v>
      </c>
      <c r="J1964" s="6" t="s">
        <v>546</v>
      </c>
      <c r="K1964" s="10"/>
      <c r="L1964" s="6" t="s">
        <v>11686</v>
      </c>
      <c r="M1964" s="10"/>
      <c r="N1964" s="10"/>
      <c r="O1964" s="18">
        <v>8139.39</v>
      </c>
      <c r="P1964" s="10"/>
      <c r="Q1964" s="17" t="b">
        <v>1</v>
      </c>
      <c r="R1964" s="10"/>
    </row>
    <row r="1965">
      <c r="A1965" s="6" t="s">
        <v>9729</v>
      </c>
      <c r="B1965" s="6" t="s">
        <v>35</v>
      </c>
      <c r="C1965" s="8">
        <v>46045.0</v>
      </c>
      <c r="D1965" s="6" t="s">
        <v>559</v>
      </c>
      <c r="E1965" s="6" t="s">
        <v>11688</v>
      </c>
      <c r="F1965" s="10"/>
      <c r="G1965" s="6" t="s">
        <v>11689</v>
      </c>
      <c r="H1965" s="6" t="s">
        <v>195</v>
      </c>
      <c r="I1965" s="17" t="b">
        <v>0</v>
      </c>
      <c r="J1965" s="6" t="s">
        <v>546</v>
      </c>
      <c r="K1965" s="10"/>
      <c r="L1965" s="6" t="s">
        <v>11690</v>
      </c>
      <c r="M1965" s="10"/>
      <c r="N1965" s="10"/>
      <c r="O1965" s="18">
        <v>977.7</v>
      </c>
      <c r="P1965" s="10"/>
      <c r="Q1965" s="17" t="b">
        <v>1</v>
      </c>
      <c r="R1965" s="10"/>
    </row>
    <row r="1966">
      <c r="A1966" s="6" t="s">
        <v>9741</v>
      </c>
      <c r="B1966" s="6" t="s">
        <v>35</v>
      </c>
      <c r="C1966" s="8">
        <v>46045.0</v>
      </c>
      <c r="D1966" s="6" t="s">
        <v>11163</v>
      </c>
      <c r="E1966" s="6" t="s">
        <v>11692</v>
      </c>
      <c r="F1966" s="10"/>
      <c r="G1966" s="6" t="s">
        <v>11693</v>
      </c>
      <c r="H1966" s="6" t="s">
        <v>11625</v>
      </c>
      <c r="I1966" s="17" t="b">
        <v>1</v>
      </c>
      <c r="J1966" s="6" t="s">
        <v>546</v>
      </c>
      <c r="K1966" s="10"/>
      <c r="L1966" s="10"/>
      <c r="M1966" s="10"/>
      <c r="N1966" s="10"/>
      <c r="O1966" s="18">
        <v>126.54</v>
      </c>
      <c r="P1966" s="18">
        <v>1950783.0</v>
      </c>
      <c r="Q1966" s="17" t="b">
        <v>1</v>
      </c>
      <c r="R1966" s="10"/>
    </row>
    <row r="1967">
      <c r="A1967" s="6" t="s">
        <v>9743</v>
      </c>
      <c r="B1967" s="6" t="s">
        <v>35</v>
      </c>
      <c r="C1967" s="8">
        <v>46044.0</v>
      </c>
      <c r="D1967" s="6" t="s">
        <v>112</v>
      </c>
      <c r="E1967" s="6" t="s">
        <v>11695</v>
      </c>
      <c r="F1967" s="10"/>
      <c r="G1967" s="6" t="s">
        <v>11696</v>
      </c>
      <c r="H1967" s="6" t="s">
        <v>157</v>
      </c>
      <c r="I1967" s="17" t="b">
        <v>0</v>
      </c>
      <c r="J1967" s="6" t="s">
        <v>546</v>
      </c>
      <c r="K1967" s="10"/>
      <c r="L1967" s="10"/>
      <c r="M1967" s="10"/>
      <c r="N1967" s="10"/>
      <c r="O1967" s="18">
        <v>631.66</v>
      </c>
      <c r="P1967" s="10"/>
      <c r="Q1967" s="17" t="b">
        <v>1</v>
      </c>
      <c r="R1967" s="10"/>
    </row>
    <row r="1968">
      <c r="A1968" s="6" t="s">
        <v>9749</v>
      </c>
      <c r="B1968" s="6" t="s">
        <v>35</v>
      </c>
      <c r="C1968" s="8">
        <v>46046.0</v>
      </c>
      <c r="D1968" s="6" t="s">
        <v>112</v>
      </c>
      <c r="E1968" s="6" t="s">
        <v>11698</v>
      </c>
      <c r="F1968" s="10"/>
      <c r="G1968" s="6" t="s">
        <v>11700</v>
      </c>
      <c r="H1968" s="6" t="s">
        <v>157</v>
      </c>
      <c r="I1968" s="17" t="b">
        <v>0</v>
      </c>
      <c r="J1968" s="6" t="s">
        <v>546</v>
      </c>
      <c r="K1968" s="10"/>
      <c r="L1968" s="10"/>
      <c r="M1968" s="10"/>
      <c r="N1968" s="10"/>
      <c r="O1968" s="18">
        <v>308.22</v>
      </c>
      <c r="P1968" s="10"/>
      <c r="Q1968" s="17" t="b">
        <v>1</v>
      </c>
      <c r="R1968" s="10"/>
    </row>
    <row r="1969">
      <c r="A1969" s="6" t="s">
        <v>9754</v>
      </c>
      <c r="B1969" s="6" t="s">
        <v>35</v>
      </c>
      <c r="C1969" s="8">
        <v>46048.0</v>
      </c>
      <c r="D1969" s="6" t="s">
        <v>11703</v>
      </c>
      <c r="E1969" s="6" t="s">
        <v>11704</v>
      </c>
      <c r="F1969" s="10"/>
      <c r="G1969" s="6" t="s">
        <v>11706</v>
      </c>
      <c r="H1969" s="6" t="s">
        <v>11707</v>
      </c>
      <c r="I1969" s="17" t="b">
        <v>1</v>
      </c>
      <c r="J1969" s="6" t="s">
        <v>546</v>
      </c>
      <c r="K1969" s="10"/>
      <c r="L1969" s="10"/>
      <c r="M1969" s="10"/>
      <c r="N1969" s="10"/>
      <c r="O1969" s="18">
        <v>18.0</v>
      </c>
      <c r="P1969" s="18">
        <v>1957583.0</v>
      </c>
      <c r="Q1969" s="17" t="b">
        <v>1</v>
      </c>
      <c r="R1969" s="10"/>
    </row>
    <row r="1970">
      <c r="A1970" s="6" t="s">
        <v>9757</v>
      </c>
      <c r="B1970" s="6" t="s">
        <v>35</v>
      </c>
      <c r="C1970" s="8">
        <v>46048.0</v>
      </c>
      <c r="D1970" s="18">
        <v>8.627274E7</v>
      </c>
      <c r="E1970" s="6" t="s">
        <v>11710</v>
      </c>
      <c r="F1970" s="10"/>
      <c r="G1970" s="6" t="s">
        <v>11711</v>
      </c>
      <c r="H1970" s="6" t="s">
        <v>11712</v>
      </c>
      <c r="I1970" s="17" t="b">
        <v>1</v>
      </c>
      <c r="J1970" s="6" t="s">
        <v>546</v>
      </c>
      <c r="K1970" s="10"/>
      <c r="L1970" s="10"/>
      <c r="M1970" s="10"/>
      <c r="N1970" s="10"/>
      <c r="O1970" s="18">
        <v>44.86</v>
      </c>
      <c r="P1970" s="18">
        <v>1957588.0</v>
      </c>
      <c r="Q1970" s="17" t="b">
        <v>1</v>
      </c>
      <c r="R1970" s="10"/>
    </row>
    <row r="1971">
      <c r="A1971" s="6" t="s">
        <v>9764</v>
      </c>
      <c r="B1971" s="6" t="s">
        <v>35</v>
      </c>
      <c r="C1971" s="8">
        <v>46044.0</v>
      </c>
      <c r="D1971" s="6" t="s">
        <v>890</v>
      </c>
      <c r="E1971" s="6" t="s">
        <v>11714</v>
      </c>
      <c r="F1971" s="10"/>
      <c r="G1971" s="6" t="s">
        <v>11715</v>
      </c>
      <c r="H1971" s="6" t="s">
        <v>11716</v>
      </c>
      <c r="I1971" s="17" t="b">
        <v>0</v>
      </c>
      <c r="J1971" s="6" t="s">
        <v>546</v>
      </c>
      <c r="K1971" s="10"/>
      <c r="L1971" s="10"/>
      <c r="M1971" s="10"/>
      <c r="N1971" s="10"/>
      <c r="O1971" s="18">
        <v>322.18</v>
      </c>
      <c r="P1971" s="10"/>
      <c r="Q1971" s="17" t="b">
        <v>1</v>
      </c>
      <c r="R1971" s="10"/>
    </row>
    <row r="1972">
      <c r="A1972" s="6" t="s">
        <v>9766</v>
      </c>
      <c r="B1972" s="6" t="s">
        <v>35</v>
      </c>
      <c r="C1972" s="8">
        <v>46048.0</v>
      </c>
      <c r="D1972" s="6" t="s">
        <v>11718</v>
      </c>
      <c r="E1972" s="6" t="s">
        <v>11719</v>
      </c>
      <c r="F1972" s="10"/>
      <c r="G1972" s="6" t="s">
        <v>11720</v>
      </c>
      <c r="H1972" s="6" t="s">
        <v>11361</v>
      </c>
      <c r="I1972" s="17" t="b">
        <v>1</v>
      </c>
      <c r="J1972" s="6" t="s">
        <v>546</v>
      </c>
      <c r="K1972" s="10"/>
      <c r="L1972" s="10"/>
      <c r="M1972" s="10"/>
      <c r="N1972" s="10"/>
      <c r="O1972" s="18">
        <v>12.35</v>
      </c>
      <c r="P1972" s="18">
        <v>1957820.0</v>
      </c>
      <c r="Q1972" s="17" t="b">
        <v>1</v>
      </c>
      <c r="R1972" s="10"/>
    </row>
    <row r="1973">
      <c r="A1973" s="6" t="s">
        <v>9768</v>
      </c>
      <c r="B1973" s="6" t="s">
        <v>35</v>
      </c>
      <c r="C1973" s="8">
        <v>46048.0</v>
      </c>
      <c r="D1973" s="10"/>
      <c r="E1973" s="10"/>
      <c r="F1973" s="10"/>
      <c r="G1973" s="10"/>
      <c r="H1973" s="6" t="s">
        <v>1329</v>
      </c>
      <c r="I1973" s="10"/>
      <c r="J1973" s="6" t="s">
        <v>539</v>
      </c>
      <c r="K1973" s="6" t="s">
        <v>227</v>
      </c>
      <c r="L1973" s="10"/>
      <c r="M1973" s="10"/>
      <c r="N1973" s="10"/>
      <c r="O1973" s="18">
        <v>500.0</v>
      </c>
      <c r="P1973" s="10"/>
      <c r="Q1973" s="17" t="b">
        <v>1</v>
      </c>
      <c r="R1973" s="10"/>
    </row>
    <row r="1974">
      <c r="A1974" s="6" t="s">
        <v>9770</v>
      </c>
      <c r="B1974" s="6" t="s">
        <v>35</v>
      </c>
      <c r="C1974" s="8">
        <v>46048.0</v>
      </c>
      <c r="D1974" s="10"/>
      <c r="E1974" s="10"/>
      <c r="F1974" s="10"/>
      <c r="G1974" s="10"/>
      <c r="H1974" s="6" t="s">
        <v>1329</v>
      </c>
      <c r="I1974" s="10"/>
      <c r="J1974" s="6" t="s">
        <v>539</v>
      </c>
      <c r="K1974" s="6" t="s">
        <v>2052</v>
      </c>
      <c r="L1974" s="10"/>
      <c r="M1974" s="10"/>
      <c r="N1974" s="10"/>
      <c r="O1974" s="18">
        <v>500.0</v>
      </c>
      <c r="P1974" s="10"/>
      <c r="Q1974" s="17" t="b">
        <v>1</v>
      </c>
      <c r="R1974" s="10"/>
    </row>
    <row r="1975">
      <c r="A1975" s="6" t="s">
        <v>9773</v>
      </c>
      <c r="B1975" s="6" t="s">
        <v>35</v>
      </c>
      <c r="C1975" s="8">
        <v>46048.0</v>
      </c>
      <c r="D1975" s="10"/>
      <c r="E1975" s="10"/>
      <c r="F1975" s="10"/>
      <c r="G1975" s="10"/>
      <c r="H1975" s="6" t="s">
        <v>1329</v>
      </c>
      <c r="I1975" s="10"/>
      <c r="J1975" s="6" t="s">
        <v>539</v>
      </c>
      <c r="K1975" s="6" t="s">
        <v>117</v>
      </c>
      <c r="L1975" s="10"/>
      <c r="M1975" s="10"/>
      <c r="N1975" s="10"/>
      <c r="O1975" s="18">
        <v>500.0</v>
      </c>
      <c r="P1975" s="10"/>
      <c r="Q1975" s="17" t="b">
        <v>1</v>
      </c>
      <c r="R1975" s="10"/>
    </row>
    <row r="1976">
      <c r="A1976" s="6" t="s">
        <v>9775</v>
      </c>
      <c r="B1976" s="6" t="s">
        <v>35</v>
      </c>
      <c r="C1976" s="8">
        <v>46048.0</v>
      </c>
      <c r="D1976" s="10"/>
      <c r="E1976" s="10"/>
      <c r="F1976" s="10"/>
      <c r="G1976" s="10"/>
      <c r="H1976" s="6" t="s">
        <v>1329</v>
      </c>
      <c r="I1976" s="10"/>
      <c r="J1976" s="6" t="s">
        <v>539</v>
      </c>
      <c r="K1976" s="6" t="s">
        <v>6062</v>
      </c>
      <c r="L1976" s="10"/>
      <c r="M1976" s="10"/>
      <c r="N1976" s="10"/>
      <c r="O1976" s="18">
        <v>500.0</v>
      </c>
      <c r="P1976" s="10"/>
      <c r="Q1976" s="17" t="b">
        <v>1</v>
      </c>
      <c r="R1976" s="10"/>
    </row>
    <row r="1977">
      <c r="A1977" s="6" t="s">
        <v>9777</v>
      </c>
      <c r="B1977" s="6" t="s">
        <v>35</v>
      </c>
      <c r="C1977" s="8">
        <v>46043.0</v>
      </c>
      <c r="D1977" s="6" t="s">
        <v>1807</v>
      </c>
      <c r="E1977" s="6" t="s">
        <v>11731</v>
      </c>
      <c r="F1977" s="10"/>
      <c r="G1977" s="6" t="s">
        <v>11733</v>
      </c>
      <c r="H1977" s="6" t="s">
        <v>11734</v>
      </c>
      <c r="I1977" s="17" t="b">
        <v>1</v>
      </c>
      <c r="J1977" s="6" t="s">
        <v>546</v>
      </c>
      <c r="K1977" s="10"/>
      <c r="L1977" s="10"/>
      <c r="M1977" s="10"/>
      <c r="N1977" s="10"/>
      <c r="O1977" s="18">
        <v>10.85</v>
      </c>
      <c r="P1977" s="18">
        <v>1946951.0</v>
      </c>
      <c r="Q1977" s="17" t="b">
        <v>1</v>
      </c>
      <c r="R1977" s="10"/>
    </row>
    <row r="1978">
      <c r="A1978" s="6" t="s">
        <v>9779</v>
      </c>
      <c r="B1978" s="6" t="s">
        <v>35</v>
      </c>
      <c r="C1978" s="8">
        <v>46041.0</v>
      </c>
      <c r="D1978" s="6" t="s">
        <v>1036</v>
      </c>
      <c r="E1978" s="6" t="s">
        <v>11736</v>
      </c>
      <c r="F1978" s="10"/>
      <c r="G1978" s="6" t="s">
        <v>11737</v>
      </c>
      <c r="H1978" s="6" t="s">
        <v>11738</v>
      </c>
      <c r="I1978" s="17" t="b">
        <v>0</v>
      </c>
      <c r="J1978" s="6" t="s">
        <v>546</v>
      </c>
      <c r="K1978" s="10"/>
      <c r="L1978" s="10"/>
      <c r="M1978" s="10"/>
      <c r="N1978" s="10"/>
      <c r="O1978" s="18">
        <v>128.0</v>
      </c>
      <c r="P1978" s="10"/>
      <c r="Q1978" s="17" t="b">
        <v>1</v>
      </c>
      <c r="R1978" s="10"/>
    </row>
    <row r="1979">
      <c r="A1979" s="18">
        <v>11812.0</v>
      </c>
      <c r="B1979" s="6" t="s">
        <v>35</v>
      </c>
      <c r="C1979" s="8">
        <v>46049.0</v>
      </c>
      <c r="D1979" s="6" t="s">
        <v>10315</v>
      </c>
      <c r="E1979" s="10"/>
      <c r="F1979" s="10"/>
      <c r="G1979" s="10"/>
      <c r="H1979" s="6" t="s">
        <v>11740</v>
      </c>
      <c r="I1979" s="10"/>
      <c r="J1979" s="6" t="s">
        <v>539</v>
      </c>
      <c r="K1979" s="10"/>
      <c r="L1979" s="10"/>
      <c r="M1979" s="10"/>
      <c r="N1979" s="10"/>
      <c r="O1979" s="18">
        <v>0.01</v>
      </c>
      <c r="P1979" s="10"/>
      <c r="Q1979" s="17" t="b">
        <v>1</v>
      </c>
      <c r="R1979" s="10"/>
    </row>
    <row r="1980">
      <c r="A1980" s="6" t="s">
        <v>9783</v>
      </c>
      <c r="B1980" s="6" t="s">
        <v>35</v>
      </c>
      <c r="C1980" s="8">
        <v>46049.0</v>
      </c>
      <c r="D1980" s="6" t="s">
        <v>460</v>
      </c>
      <c r="E1980" s="10"/>
      <c r="F1980" s="10"/>
      <c r="G1980" s="10"/>
      <c r="H1980" s="6" t="s">
        <v>11742</v>
      </c>
      <c r="I1980" s="10"/>
      <c r="J1980" s="6" t="s">
        <v>539</v>
      </c>
      <c r="K1980" s="10"/>
      <c r="L1980" s="10"/>
      <c r="M1980" s="10"/>
      <c r="N1980" s="10"/>
      <c r="O1980" s="18">
        <v>538.95</v>
      </c>
      <c r="P1980" s="10"/>
      <c r="Q1980" s="17" t="b">
        <v>1</v>
      </c>
      <c r="R1980" s="10"/>
    </row>
    <row r="1981">
      <c r="A1981" s="18">
        <v>11822.0</v>
      </c>
      <c r="B1981" s="6" t="s">
        <v>35</v>
      </c>
      <c r="C1981" s="8">
        <v>46049.0</v>
      </c>
      <c r="D1981" s="6" t="s">
        <v>9825</v>
      </c>
      <c r="E1981" s="10"/>
      <c r="F1981" s="10"/>
      <c r="G1981" s="10"/>
      <c r="H1981" s="6" t="s">
        <v>9826</v>
      </c>
      <c r="I1981" s="10"/>
      <c r="J1981" s="6" t="s">
        <v>539</v>
      </c>
      <c r="K1981" s="10"/>
      <c r="L1981" s="10"/>
      <c r="M1981" s="10"/>
      <c r="N1981" s="10"/>
      <c r="O1981" s="18">
        <v>524.18</v>
      </c>
      <c r="P1981" s="10"/>
      <c r="Q1981" s="17" t="b">
        <v>1</v>
      </c>
      <c r="R1981" s="10"/>
    </row>
    <row r="1982">
      <c r="A1982" s="18">
        <v>11823.0</v>
      </c>
      <c r="B1982" s="6" t="s">
        <v>35</v>
      </c>
      <c r="C1982" s="8">
        <v>46049.0</v>
      </c>
      <c r="D1982" s="6" t="s">
        <v>9825</v>
      </c>
      <c r="E1982" s="10"/>
      <c r="F1982" s="10"/>
      <c r="G1982" s="10"/>
      <c r="H1982" s="6" t="s">
        <v>9835</v>
      </c>
      <c r="I1982" s="10"/>
      <c r="J1982" s="6" t="s">
        <v>539</v>
      </c>
      <c r="K1982" s="10"/>
      <c r="L1982" s="10"/>
      <c r="M1982" s="10"/>
      <c r="N1982" s="10"/>
      <c r="O1982" s="18">
        <v>87.68</v>
      </c>
      <c r="P1982" s="10"/>
      <c r="Q1982" s="17" t="b">
        <v>1</v>
      </c>
      <c r="R1982" s="10"/>
    </row>
    <row r="1983">
      <c r="A1983" s="18">
        <v>11824.0</v>
      </c>
      <c r="B1983" s="6" t="s">
        <v>35</v>
      </c>
      <c r="C1983" s="8">
        <v>46049.0</v>
      </c>
      <c r="D1983" s="6" t="s">
        <v>460</v>
      </c>
      <c r="E1983" s="10"/>
      <c r="F1983" s="10"/>
      <c r="G1983" s="10"/>
      <c r="H1983" s="6" t="s">
        <v>10550</v>
      </c>
      <c r="I1983" s="10"/>
      <c r="J1983" s="6" t="s">
        <v>539</v>
      </c>
      <c r="K1983" s="10"/>
      <c r="L1983" s="10"/>
      <c r="M1983" s="10"/>
      <c r="N1983" s="10"/>
      <c r="O1983" s="18">
        <v>4083.0</v>
      </c>
      <c r="P1983" s="10"/>
      <c r="Q1983" s="17" t="b">
        <v>1</v>
      </c>
      <c r="R1983" s="10"/>
    </row>
    <row r="1984">
      <c r="A1984" s="18">
        <v>11825.0</v>
      </c>
      <c r="B1984" s="6" t="s">
        <v>35</v>
      </c>
      <c r="C1984" s="8">
        <v>46049.0</v>
      </c>
      <c r="D1984" s="6" t="s">
        <v>460</v>
      </c>
      <c r="E1984" s="10"/>
      <c r="F1984" s="10"/>
      <c r="G1984" s="10"/>
      <c r="H1984" s="6" t="s">
        <v>11326</v>
      </c>
      <c r="I1984" s="10"/>
      <c r="J1984" s="6" t="s">
        <v>539</v>
      </c>
      <c r="K1984" s="10"/>
      <c r="L1984" s="10"/>
      <c r="M1984" s="10"/>
      <c r="N1984" s="10"/>
      <c r="O1984" s="18">
        <v>72.0</v>
      </c>
      <c r="P1984" s="10"/>
      <c r="Q1984" s="17" t="b">
        <v>1</v>
      </c>
      <c r="R1984" s="10"/>
    </row>
    <row r="1985">
      <c r="A1985" s="18">
        <v>11826.0</v>
      </c>
      <c r="B1985" s="6" t="s">
        <v>35</v>
      </c>
      <c r="C1985" s="8">
        <v>46049.0</v>
      </c>
      <c r="D1985" s="6" t="s">
        <v>460</v>
      </c>
      <c r="E1985" s="10"/>
      <c r="F1985" s="10"/>
      <c r="G1985" s="10"/>
      <c r="H1985" s="6" t="s">
        <v>4972</v>
      </c>
      <c r="I1985" s="10"/>
      <c r="J1985" s="6" t="s">
        <v>539</v>
      </c>
      <c r="K1985" s="10"/>
      <c r="L1985" s="10"/>
      <c r="M1985" s="10"/>
      <c r="N1985" s="10"/>
      <c r="O1985" s="18">
        <v>22.0</v>
      </c>
      <c r="P1985" s="10"/>
      <c r="Q1985" s="17" t="b">
        <v>1</v>
      </c>
      <c r="R1985" s="10"/>
    </row>
    <row r="1986">
      <c r="A1986" s="18">
        <v>11827.0</v>
      </c>
      <c r="B1986" s="6" t="s">
        <v>35</v>
      </c>
      <c r="C1986" s="8">
        <v>46049.0</v>
      </c>
      <c r="D1986" s="6" t="s">
        <v>460</v>
      </c>
      <c r="E1986" s="10"/>
      <c r="F1986" s="10"/>
      <c r="G1986" s="10"/>
      <c r="H1986" s="6" t="s">
        <v>4979</v>
      </c>
      <c r="I1986" s="10"/>
      <c r="J1986" s="6" t="s">
        <v>539</v>
      </c>
      <c r="K1986" s="10"/>
      <c r="L1986" s="10"/>
      <c r="M1986" s="10"/>
      <c r="N1986" s="10"/>
      <c r="O1986" s="18">
        <v>10.0</v>
      </c>
      <c r="P1986" s="10"/>
      <c r="Q1986" s="17" t="b">
        <v>1</v>
      </c>
      <c r="R1986" s="10"/>
    </row>
    <row r="1987">
      <c r="A1987" s="6" t="s">
        <v>9791</v>
      </c>
      <c r="B1987" s="6" t="s">
        <v>35</v>
      </c>
      <c r="C1987" s="8">
        <v>46049.0</v>
      </c>
      <c r="D1987" s="6" t="s">
        <v>460</v>
      </c>
      <c r="E1987" s="10"/>
      <c r="F1987" s="10"/>
      <c r="G1987" s="10"/>
      <c r="H1987" s="6" t="s">
        <v>11753</v>
      </c>
      <c r="I1987" s="10"/>
      <c r="J1987" s="6" t="s">
        <v>539</v>
      </c>
      <c r="K1987" s="10"/>
      <c r="L1987" s="10"/>
      <c r="M1987" s="10"/>
      <c r="N1987" s="10"/>
      <c r="O1987" s="18">
        <v>46.5</v>
      </c>
      <c r="P1987" s="10"/>
      <c r="Q1987" s="17" t="b">
        <v>1</v>
      </c>
      <c r="R1987" s="10"/>
    </row>
    <row r="1988">
      <c r="A1988" s="6" t="s">
        <v>9793</v>
      </c>
      <c r="B1988" s="6" t="s">
        <v>35</v>
      </c>
      <c r="C1988" s="8">
        <v>46049.0</v>
      </c>
      <c r="D1988" s="6" t="s">
        <v>543</v>
      </c>
      <c r="E1988" s="10"/>
      <c r="F1988" s="10"/>
      <c r="G1988" s="10"/>
      <c r="H1988" s="6" t="s">
        <v>11757</v>
      </c>
      <c r="I1988" s="10"/>
      <c r="J1988" s="6" t="s">
        <v>539</v>
      </c>
      <c r="K1988" s="10"/>
      <c r="L1988" s="10"/>
      <c r="M1988" s="10"/>
      <c r="N1988" s="10"/>
      <c r="O1988" s="18">
        <v>500.0</v>
      </c>
      <c r="P1988" s="10"/>
      <c r="Q1988" s="17" t="b">
        <v>1</v>
      </c>
      <c r="R1988" s="10"/>
    </row>
    <row r="1989">
      <c r="A1989" s="6" t="s">
        <v>9795</v>
      </c>
      <c r="B1989" s="6" t="s">
        <v>35</v>
      </c>
      <c r="C1989" s="8">
        <v>46049.0</v>
      </c>
      <c r="D1989" s="6" t="s">
        <v>543</v>
      </c>
      <c r="E1989" s="10"/>
      <c r="F1989" s="10"/>
      <c r="G1989" s="10"/>
      <c r="H1989" s="6" t="s">
        <v>11760</v>
      </c>
      <c r="I1989" s="10"/>
      <c r="J1989" s="6" t="s">
        <v>539</v>
      </c>
      <c r="K1989" s="10"/>
      <c r="L1989" s="10"/>
      <c r="M1989" s="10"/>
      <c r="N1989" s="10"/>
      <c r="O1989" s="18">
        <v>500.0</v>
      </c>
      <c r="P1989" s="10"/>
      <c r="Q1989" s="17" t="b">
        <v>1</v>
      </c>
      <c r="R1989" s="10"/>
    </row>
    <row r="1990">
      <c r="A1990" s="6" t="s">
        <v>10264</v>
      </c>
      <c r="B1990" s="6" t="s">
        <v>35</v>
      </c>
      <c r="C1990" s="8">
        <v>46050.0</v>
      </c>
      <c r="D1990" s="6" t="s">
        <v>233</v>
      </c>
      <c r="E1990" s="6" t="s">
        <v>11762</v>
      </c>
      <c r="F1990" s="10"/>
      <c r="G1990" s="26" t="s">
        <v>11763</v>
      </c>
      <c r="H1990" s="6" t="s">
        <v>11764</v>
      </c>
      <c r="I1990" s="17" t="b">
        <v>1</v>
      </c>
      <c r="J1990" s="26" t="s">
        <v>8596</v>
      </c>
      <c r="K1990" s="10"/>
      <c r="L1990" s="10"/>
      <c r="M1990" s="10"/>
      <c r="N1990" s="10"/>
      <c r="O1990" s="26">
        <v>68.42</v>
      </c>
      <c r="P1990" s="18">
        <v>1962211.0</v>
      </c>
      <c r="Q1990" s="27" t="b">
        <v>1</v>
      </c>
      <c r="R1990" s="10"/>
    </row>
    <row r="1991">
      <c r="A1991" s="6" t="s">
        <v>10274</v>
      </c>
      <c r="B1991" s="6" t="s">
        <v>35</v>
      </c>
      <c r="C1991" s="8">
        <v>46051.0</v>
      </c>
      <c r="D1991" s="6" t="s">
        <v>11765</v>
      </c>
      <c r="E1991" s="6" t="s">
        <v>11766</v>
      </c>
      <c r="F1991" s="10"/>
      <c r="G1991" s="26" t="s">
        <v>11767</v>
      </c>
      <c r="H1991" s="6" t="s">
        <v>195</v>
      </c>
      <c r="I1991" s="17" t="b">
        <v>0</v>
      </c>
      <c r="J1991" s="26" t="s">
        <v>8596</v>
      </c>
      <c r="K1991" s="10"/>
      <c r="L1991" s="10"/>
      <c r="M1991" s="10"/>
      <c r="N1991" s="10"/>
      <c r="O1991" s="26">
        <v>638.0</v>
      </c>
      <c r="P1991" s="10"/>
      <c r="Q1991" s="27" t="b">
        <v>1</v>
      </c>
      <c r="R1991" s="10"/>
    </row>
    <row r="1992">
      <c r="A1992" s="6" t="s">
        <v>9797</v>
      </c>
      <c r="B1992" s="6" t="s">
        <v>35</v>
      </c>
      <c r="C1992" s="8">
        <v>46051.0</v>
      </c>
      <c r="D1992" s="6" t="s">
        <v>11677</v>
      </c>
      <c r="E1992" s="10"/>
      <c r="F1992" s="10"/>
      <c r="G1992" s="10"/>
      <c r="H1992" s="6" t="s">
        <v>11769</v>
      </c>
      <c r="I1992" s="10"/>
      <c r="J1992" s="6" t="s">
        <v>539</v>
      </c>
      <c r="K1992" s="10"/>
      <c r="L1992" s="10"/>
      <c r="M1992" s="10"/>
      <c r="N1992" s="10"/>
      <c r="O1992" s="18">
        <v>97.2</v>
      </c>
      <c r="P1992" s="10"/>
      <c r="Q1992" s="17" t="b">
        <v>1</v>
      </c>
      <c r="R1992" s="10"/>
    </row>
    <row r="1993">
      <c r="A1993" s="6" t="s">
        <v>10307</v>
      </c>
      <c r="B1993" s="6" t="s">
        <v>35</v>
      </c>
      <c r="C1993" s="8">
        <v>46052.0</v>
      </c>
      <c r="D1993" s="6" t="s">
        <v>2039</v>
      </c>
      <c r="E1993" s="6" t="s">
        <v>11771</v>
      </c>
      <c r="F1993" s="10"/>
      <c r="G1993" s="26" t="s">
        <v>11772</v>
      </c>
      <c r="H1993" s="6" t="s">
        <v>2178</v>
      </c>
      <c r="I1993" s="17" t="b">
        <v>1</v>
      </c>
      <c r="J1993" s="26" t="s">
        <v>8596</v>
      </c>
      <c r="K1993" s="10"/>
      <c r="L1993" s="10"/>
      <c r="M1993" s="10"/>
      <c r="N1993" s="10"/>
      <c r="O1993" s="26">
        <v>68.95</v>
      </c>
      <c r="P1993" s="18">
        <v>1966897.0</v>
      </c>
      <c r="Q1993" s="27" t="b">
        <v>1</v>
      </c>
      <c r="R1993" s="10"/>
    </row>
    <row r="1994">
      <c r="A1994" s="6" t="s">
        <v>10292</v>
      </c>
      <c r="B1994" s="6" t="s">
        <v>35</v>
      </c>
      <c r="C1994" s="8">
        <v>46052.0</v>
      </c>
      <c r="D1994" s="18">
        <v>8.627274E7</v>
      </c>
      <c r="E1994" s="6" t="s">
        <v>11774</v>
      </c>
      <c r="F1994" s="10"/>
      <c r="G1994" s="26" t="s">
        <v>11775</v>
      </c>
      <c r="H1994" s="6" t="s">
        <v>11625</v>
      </c>
      <c r="I1994" s="17" t="b">
        <v>1</v>
      </c>
      <c r="J1994" s="26" t="s">
        <v>8596</v>
      </c>
      <c r="K1994" s="10"/>
      <c r="L1994" s="10"/>
      <c r="M1994" s="10"/>
      <c r="N1994" s="10"/>
      <c r="O1994" s="26">
        <v>56.3</v>
      </c>
      <c r="P1994" s="18">
        <v>1966892.0</v>
      </c>
      <c r="Q1994" s="27" t="b">
        <v>1</v>
      </c>
      <c r="R1994" s="10"/>
    </row>
    <row r="1995">
      <c r="A1995" s="6" t="s">
        <v>10314</v>
      </c>
      <c r="B1995" s="6" t="s">
        <v>35</v>
      </c>
      <c r="C1995" s="8">
        <v>46052.0</v>
      </c>
      <c r="D1995" s="6" t="s">
        <v>11779</v>
      </c>
      <c r="E1995" s="6" t="s">
        <v>11780</v>
      </c>
      <c r="F1995" s="10"/>
      <c r="G1995" s="26" t="s">
        <v>11781</v>
      </c>
      <c r="H1995" s="6" t="s">
        <v>11782</v>
      </c>
      <c r="I1995" s="17" t="b">
        <v>1</v>
      </c>
      <c r="J1995" s="26" t="s">
        <v>8596</v>
      </c>
      <c r="K1995" s="10"/>
      <c r="L1995" s="10"/>
      <c r="M1995" s="10"/>
      <c r="N1995" s="10"/>
      <c r="O1995" s="26">
        <v>61.39</v>
      </c>
      <c r="P1995" s="18">
        <v>1966889.0</v>
      </c>
      <c r="Q1995" s="27" t="b">
        <v>1</v>
      </c>
      <c r="R1995" s="10"/>
    </row>
    <row r="1996">
      <c r="A1996" s="6" t="s">
        <v>10319</v>
      </c>
      <c r="B1996" s="6" t="s">
        <v>35</v>
      </c>
      <c r="C1996" s="8">
        <v>46052.0</v>
      </c>
      <c r="D1996" s="6" t="s">
        <v>11784</v>
      </c>
      <c r="E1996" s="6" t="s">
        <v>11785</v>
      </c>
      <c r="F1996" s="10"/>
      <c r="G1996" s="26" t="s">
        <v>11787</v>
      </c>
      <c r="H1996" s="6" t="s">
        <v>147</v>
      </c>
      <c r="I1996" s="17" t="b">
        <v>1</v>
      </c>
      <c r="J1996" s="6" t="s">
        <v>8596</v>
      </c>
      <c r="K1996" s="10"/>
      <c r="L1996" s="10"/>
      <c r="M1996" s="10"/>
      <c r="N1996" s="10"/>
      <c r="O1996" s="26">
        <v>81.0</v>
      </c>
      <c r="P1996" s="18">
        <v>1966273.0</v>
      </c>
      <c r="Q1996" s="27" t="b">
        <v>1</v>
      </c>
      <c r="R1996" s="10"/>
    </row>
    <row r="1997">
      <c r="A1997" s="6" t="s">
        <v>10324</v>
      </c>
      <c r="B1997" s="6" t="s">
        <v>35</v>
      </c>
      <c r="C1997" s="8">
        <v>46052.0</v>
      </c>
      <c r="D1997" s="6" t="s">
        <v>112</v>
      </c>
      <c r="E1997" s="6" t="s">
        <v>11789</v>
      </c>
      <c r="F1997" s="10"/>
      <c r="G1997" s="26" t="s">
        <v>11790</v>
      </c>
      <c r="H1997" s="6" t="s">
        <v>157</v>
      </c>
      <c r="I1997" s="17" t="b">
        <v>0</v>
      </c>
      <c r="J1997" s="26" t="s">
        <v>8596</v>
      </c>
      <c r="K1997" s="10"/>
      <c r="L1997" s="10"/>
      <c r="M1997" s="10"/>
      <c r="N1997" s="10"/>
      <c r="O1997" s="26">
        <v>357.99</v>
      </c>
      <c r="P1997" s="10"/>
      <c r="Q1997" s="27" t="b">
        <v>1</v>
      </c>
      <c r="R1997" s="10"/>
    </row>
    <row r="1998">
      <c r="A1998" s="18">
        <v>11828.0</v>
      </c>
      <c r="B1998" s="6" t="s">
        <v>35</v>
      </c>
      <c r="C1998" s="8">
        <v>46054.0</v>
      </c>
      <c r="D1998" s="10"/>
      <c r="E1998" s="10"/>
      <c r="F1998" s="10"/>
      <c r="G1998" s="10"/>
      <c r="H1998" s="6" t="s">
        <v>8658</v>
      </c>
      <c r="I1998" s="10"/>
      <c r="J1998" s="6" t="s">
        <v>539</v>
      </c>
      <c r="K1998" s="6" t="s">
        <v>2052</v>
      </c>
      <c r="L1998" s="10"/>
      <c r="M1998" s="10"/>
      <c r="N1998" s="10"/>
      <c r="O1998" s="18">
        <v>1780.35</v>
      </c>
      <c r="P1998" s="10"/>
      <c r="Q1998" s="17" t="b">
        <v>1</v>
      </c>
      <c r="R1998" s="10"/>
    </row>
    <row r="1999">
      <c r="A1999" s="18">
        <v>11829.0</v>
      </c>
      <c r="B1999" s="6" t="s">
        <v>35</v>
      </c>
      <c r="C1999" s="8">
        <v>46054.0</v>
      </c>
      <c r="D1999" s="10"/>
      <c r="E1999" s="10"/>
      <c r="F1999" s="10"/>
      <c r="G1999" s="10"/>
      <c r="H1999" s="6" t="s">
        <v>8658</v>
      </c>
      <c r="I1999" s="10"/>
      <c r="J1999" s="6" t="s">
        <v>539</v>
      </c>
      <c r="K1999" s="6" t="s">
        <v>227</v>
      </c>
      <c r="L1999" s="10"/>
      <c r="M1999" s="10"/>
      <c r="N1999" s="10"/>
      <c r="O1999" s="18">
        <v>1744.98</v>
      </c>
      <c r="P1999" s="10"/>
      <c r="Q1999" s="17" t="b">
        <v>1</v>
      </c>
      <c r="R1999" s="10"/>
    </row>
    <row r="2000">
      <c r="A2000" s="18">
        <v>11830.0</v>
      </c>
      <c r="B2000" s="6" t="s">
        <v>35</v>
      </c>
      <c r="C2000" s="8">
        <v>46054.0</v>
      </c>
      <c r="D2000" s="10"/>
      <c r="E2000" s="10"/>
      <c r="F2000" s="10"/>
      <c r="G2000" s="10"/>
      <c r="H2000" s="6" t="s">
        <v>8658</v>
      </c>
      <c r="I2000" s="10"/>
      <c r="J2000" s="6" t="s">
        <v>539</v>
      </c>
      <c r="K2000" s="6" t="s">
        <v>6062</v>
      </c>
      <c r="L2000" s="10"/>
      <c r="M2000" s="10"/>
      <c r="N2000" s="10"/>
      <c r="O2000" s="18">
        <v>933.52</v>
      </c>
      <c r="P2000" s="10"/>
      <c r="Q2000" s="17" t="b">
        <v>1</v>
      </c>
      <c r="R2000" s="10"/>
    </row>
    <row r="2001">
      <c r="A2001" s="18">
        <v>11831.0</v>
      </c>
      <c r="B2001" s="6" t="s">
        <v>35</v>
      </c>
      <c r="C2001" s="8">
        <v>46054.0</v>
      </c>
      <c r="D2001" s="10"/>
      <c r="E2001" s="10"/>
      <c r="F2001" s="10"/>
      <c r="G2001" s="10"/>
      <c r="H2001" s="6" t="s">
        <v>8658</v>
      </c>
      <c r="I2001" s="10"/>
      <c r="J2001" s="6" t="s">
        <v>539</v>
      </c>
      <c r="K2001" s="6" t="s">
        <v>218</v>
      </c>
      <c r="L2001" s="10"/>
      <c r="M2001" s="10"/>
      <c r="N2001" s="10"/>
      <c r="O2001" s="18">
        <v>3589.08</v>
      </c>
      <c r="P2001" s="10"/>
      <c r="Q2001" s="17" t="b">
        <v>1</v>
      </c>
      <c r="R2001" s="10"/>
    </row>
    <row r="2002">
      <c r="A2002" s="6" t="s">
        <v>9803</v>
      </c>
      <c r="B2002" s="6" t="s">
        <v>35</v>
      </c>
      <c r="C2002" s="8">
        <v>46054.0</v>
      </c>
      <c r="D2002" s="10"/>
      <c r="E2002" s="10"/>
      <c r="F2002" s="10"/>
      <c r="G2002" s="10"/>
      <c r="H2002" s="6" t="s">
        <v>11799</v>
      </c>
      <c r="I2002" s="10"/>
      <c r="J2002" s="6" t="s">
        <v>539</v>
      </c>
      <c r="K2002" s="6" t="s">
        <v>117</v>
      </c>
      <c r="L2002" s="10"/>
      <c r="M2002" s="10"/>
      <c r="N2002" s="10"/>
      <c r="O2002" s="18">
        <v>2826.6</v>
      </c>
      <c r="P2002" s="10"/>
      <c r="Q2002" s="17" t="b">
        <v>1</v>
      </c>
      <c r="R2002" s="10"/>
    </row>
    <row r="2003">
      <c r="A2003" s="6" t="s">
        <v>9805</v>
      </c>
      <c r="B2003" s="6" t="s">
        <v>35</v>
      </c>
      <c r="C2003" s="8">
        <v>46054.0</v>
      </c>
      <c r="D2003" s="10"/>
      <c r="E2003" s="10"/>
      <c r="F2003" s="10"/>
      <c r="G2003" s="10"/>
      <c r="H2003" s="6" t="s">
        <v>8658</v>
      </c>
      <c r="I2003" s="10"/>
      <c r="J2003" s="6" t="s">
        <v>539</v>
      </c>
      <c r="K2003" s="6" t="s">
        <v>336</v>
      </c>
      <c r="L2003" s="10"/>
      <c r="M2003" s="10"/>
      <c r="N2003" s="10"/>
      <c r="O2003" s="18">
        <v>2127.13</v>
      </c>
      <c r="P2003" s="10"/>
      <c r="Q2003" s="17" t="b">
        <v>1</v>
      </c>
      <c r="R2003" s="10"/>
    </row>
    <row r="2004">
      <c r="A2004" s="6" t="s">
        <v>10330</v>
      </c>
      <c r="B2004" s="6" t="s">
        <v>35</v>
      </c>
      <c r="C2004" s="8">
        <v>46053.0</v>
      </c>
      <c r="D2004" s="6" t="s">
        <v>112</v>
      </c>
      <c r="E2004" s="6" t="s">
        <v>11804</v>
      </c>
      <c r="F2004" s="10"/>
      <c r="G2004" s="26" t="s">
        <v>11805</v>
      </c>
      <c r="H2004" s="6" t="s">
        <v>157</v>
      </c>
      <c r="I2004" s="17" t="b">
        <v>0</v>
      </c>
      <c r="J2004" s="26" t="s">
        <v>8596</v>
      </c>
      <c r="K2004" s="10"/>
      <c r="L2004" s="10"/>
      <c r="M2004" s="10"/>
      <c r="N2004" s="10"/>
      <c r="O2004" s="26">
        <v>263.1</v>
      </c>
      <c r="P2004" s="10"/>
      <c r="Q2004" s="27" t="b">
        <v>1</v>
      </c>
      <c r="R2004" s="10"/>
    </row>
    <row r="2005">
      <c r="A2005" s="6" t="s">
        <v>10338</v>
      </c>
      <c r="B2005" s="6" t="s">
        <v>35</v>
      </c>
      <c r="C2005" s="8">
        <v>46053.0</v>
      </c>
      <c r="D2005" s="18">
        <v>8.627274E7</v>
      </c>
      <c r="E2005" s="6" t="s">
        <v>11809</v>
      </c>
      <c r="F2005" s="10"/>
      <c r="G2005" s="26" t="s">
        <v>11810</v>
      </c>
      <c r="H2005" s="6" t="s">
        <v>11625</v>
      </c>
      <c r="I2005" s="17" t="b">
        <v>1</v>
      </c>
      <c r="J2005" s="26" t="s">
        <v>8596</v>
      </c>
      <c r="K2005" s="10"/>
      <c r="L2005" s="10"/>
      <c r="M2005" s="10"/>
      <c r="N2005" s="10"/>
      <c r="O2005" s="26">
        <v>7.69</v>
      </c>
      <c r="P2005" s="18">
        <v>1969303.0</v>
      </c>
      <c r="Q2005" s="27" t="b">
        <v>1</v>
      </c>
      <c r="R2005" s="10"/>
    </row>
    <row r="2006">
      <c r="A2006" s="6" t="s">
        <v>10340</v>
      </c>
      <c r="B2006" s="6" t="s">
        <v>35</v>
      </c>
      <c r="C2006" s="8">
        <v>46053.0</v>
      </c>
      <c r="D2006" s="6" t="s">
        <v>233</v>
      </c>
      <c r="E2006" s="6" t="s">
        <v>11812</v>
      </c>
      <c r="F2006" s="10"/>
      <c r="G2006" s="26" t="s">
        <v>11813</v>
      </c>
      <c r="H2006" s="6" t="s">
        <v>11625</v>
      </c>
      <c r="I2006" s="17" t="b">
        <v>1</v>
      </c>
      <c r="J2006" s="6" t="s">
        <v>8596</v>
      </c>
      <c r="K2006" s="10"/>
      <c r="L2006" s="10"/>
      <c r="M2006" s="10"/>
      <c r="N2006" s="10"/>
      <c r="O2006" s="26">
        <v>35.47</v>
      </c>
      <c r="P2006" s="18">
        <v>1969301.0</v>
      </c>
      <c r="Q2006" s="27" t="b">
        <v>1</v>
      </c>
      <c r="R2006" s="10"/>
    </row>
    <row r="2007">
      <c r="A2007" s="6" t="s">
        <v>10285</v>
      </c>
      <c r="B2007" s="6" t="s">
        <v>35</v>
      </c>
      <c r="C2007" s="8">
        <v>46051.0</v>
      </c>
      <c r="D2007" s="6" t="s">
        <v>11815</v>
      </c>
      <c r="E2007" s="6" t="s">
        <v>11816</v>
      </c>
      <c r="F2007" s="10"/>
      <c r="G2007" s="26" t="s">
        <v>11817</v>
      </c>
      <c r="H2007" s="6" t="s">
        <v>11818</v>
      </c>
      <c r="I2007" s="17" t="b">
        <v>1</v>
      </c>
      <c r="J2007" s="6" t="s">
        <v>8596</v>
      </c>
      <c r="K2007" s="10"/>
      <c r="L2007" s="10"/>
      <c r="M2007" s="10"/>
      <c r="N2007" s="10"/>
      <c r="O2007" s="26">
        <v>44.0</v>
      </c>
      <c r="P2007" s="18">
        <v>1965490.0</v>
      </c>
      <c r="Q2007" s="27" t="b">
        <v>1</v>
      </c>
      <c r="R2007" s="10"/>
    </row>
    <row r="2008">
      <c r="A2008" s="6" t="s">
        <v>10290</v>
      </c>
      <c r="B2008" s="6" t="s">
        <v>35</v>
      </c>
      <c r="C2008" s="8">
        <v>46051.0</v>
      </c>
      <c r="D2008" s="6" t="s">
        <v>11815</v>
      </c>
      <c r="E2008" s="6" t="s">
        <v>11820</v>
      </c>
      <c r="F2008" s="10"/>
      <c r="G2008" s="26" t="s">
        <v>11821</v>
      </c>
      <c r="H2008" s="6" t="s">
        <v>11822</v>
      </c>
      <c r="I2008" s="17" t="b">
        <v>1</v>
      </c>
      <c r="J2008" s="6" t="s">
        <v>8596</v>
      </c>
      <c r="K2008" s="10"/>
      <c r="L2008" s="10"/>
      <c r="M2008" s="10"/>
      <c r="N2008" s="10"/>
      <c r="O2008" s="26">
        <v>44.0</v>
      </c>
      <c r="P2008" s="18">
        <v>1965493.0</v>
      </c>
      <c r="Q2008" s="27" t="b">
        <v>1</v>
      </c>
      <c r="R2008" s="10"/>
    </row>
    <row r="2009">
      <c r="A2009" s="6" t="s">
        <v>10359</v>
      </c>
      <c r="B2009" s="6" t="s">
        <v>35</v>
      </c>
      <c r="C2009" s="8">
        <v>46056.0</v>
      </c>
      <c r="D2009" s="6" t="s">
        <v>11765</v>
      </c>
      <c r="E2009" s="6" t="s">
        <v>11824</v>
      </c>
      <c r="F2009" s="10"/>
      <c r="G2009" s="26" t="s">
        <v>11826</v>
      </c>
      <c r="H2009" s="6" t="s">
        <v>195</v>
      </c>
      <c r="I2009" s="17" t="b">
        <v>0</v>
      </c>
      <c r="J2009" s="26" t="s">
        <v>8596</v>
      </c>
      <c r="K2009" s="10"/>
      <c r="L2009" s="10"/>
      <c r="M2009" s="10"/>
      <c r="N2009" s="10"/>
      <c r="O2009" s="26">
        <v>856.3</v>
      </c>
      <c r="P2009" s="10"/>
      <c r="Q2009" s="27" t="b">
        <v>1</v>
      </c>
      <c r="R2009" s="10"/>
    </row>
    <row r="2010">
      <c r="A2010" s="6" t="s">
        <v>10370</v>
      </c>
      <c r="B2010" s="6" t="s">
        <v>35</v>
      </c>
      <c r="C2010" s="8">
        <v>46056.0</v>
      </c>
      <c r="D2010" s="6" t="s">
        <v>112</v>
      </c>
      <c r="E2010" s="6" t="s">
        <v>11829</v>
      </c>
      <c r="F2010" s="10"/>
      <c r="G2010" s="26" t="s">
        <v>11830</v>
      </c>
      <c r="H2010" s="6" t="s">
        <v>157</v>
      </c>
      <c r="I2010" s="17" t="b">
        <v>0</v>
      </c>
      <c r="J2010" s="26" t="s">
        <v>8596</v>
      </c>
      <c r="K2010" s="10"/>
      <c r="L2010" s="10"/>
      <c r="M2010" s="10"/>
      <c r="N2010" s="10"/>
      <c r="O2010" s="26">
        <v>232.04</v>
      </c>
      <c r="P2010" s="10"/>
      <c r="Q2010" s="27" t="b">
        <v>1</v>
      </c>
      <c r="R2010" s="10"/>
    </row>
    <row r="2011">
      <c r="A2011" s="6" t="s">
        <v>10348</v>
      </c>
      <c r="B2011" s="6" t="s">
        <v>35</v>
      </c>
      <c r="C2011" s="8">
        <v>46055.0</v>
      </c>
      <c r="D2011" s="6" t="s">
        <v>11638</v>
      </c>
      <c r="E2011" s="6" t="s">
        <v>11832</v>
      </c>
      <c r="F2011" s="10"/>
      <c r="G2011" s="26" t="s">
        <v>11833</v>
      </c>
      <c r="H2011" s="6" t="s">
        <v>11834</v>
      </c>
      <c r="I2011" s="17" t="b">
        <v>0</v>
      </c>
      <c r="J2011" s="26" t="s">
        <v>8596</v>
      </c>
      <c r="K2011" s="10"/>
      <c r="L2011" s="26" t="s">
        <v>11836</v>
      </c>
      <c r="M2011" s="10"/>
      <c r="N2011" s="10"/>
      <c r="O2011" s="26">
        <v>2113.65</v>
      </c>
      <c r="P2011" s="10"/>
      <c r="Q2011" s="27" t="b">
        <v>1</v>
      </c>
      <c r="R2011" s="10"/>
    </row>
    <row r="2012">
      <c r="A2012" s="6"/>
      <c r="B2012" s="6"/>
      <c r="C2012" s="8"/>
      <c r="D2012" s="6"/>
      <c r="E2012" s="6"/>
      <c r="F2012" s="10"/>
      <c r="G2012" s="6"/>
      <c r="H2012" s="6"/>
      <c r="I2012" s="17"/>
      <c r="J2012" s="6"/>
      <c r="K2012" s="10"/>
      <c r="L2012" s="6"/>
      <c r="M2012" s="10"/>
      <c r="N2012" s="10"/>
      <c r="O2012" s="10"/>
      <c r="P2012" s="10"/>
      <c r="Q2012" s="17"/>
      <c r="R2012" s="10"/>
    </row>
    <row r="2013">
      <c r="A2013" s="6" t="s">
        <v>9807</v>
      </c>
      <c r="B2013" s="6" t="s">
        <v>35</v>
      </c>
      <c r="C2013" s="8">
        <v>46056.0</v>
      </c>
      <c r="D2013" s="6" t="s">
        <v>460</v>
      </c>
      <c r="E2013" s="10"/>
      <c r="F2013" s="10"/>
      <c r="G2013" s="10"/>
      <c r="H2013" s="6" t="s">
        <v>11841</v>
      </c>
      <c r="I2013" s="10"/>
      <c r="J2013" s="6" t="s">
        <v>539</v>
      </c>
      <c r="K2013" s="10"/>
      <c r="L2013" s="10"/>
      <c r="M2013" s="10"/>
      <c r="N2013" s="10"/>
      <c r="O2013" s="18">
        <v>20.0</v>
      </c>
      <c r="P2013" s="10"/>
      <c r="Q2013" s="17" t="b">
        <v>1</v>
      </c>
      <c r="R2013" s="10"/>
    </row>
    <row r="2014">
      <c r="A2014" s="6" t="s">
        <v>9809</v>
      </c>
      <c r="B2014" s="6" t="s">
        <v>35</v>
      </c>
      <c r="C2014" s="8">
        <v>46056.0</v>
      </c>
      <c r="D2014" s="6" t="s">
        <v>460</v>
      </c>
      <c r="E2014" s="10"/>
      <c r="F2014" s="10"/>
      <c r="G2014" s="10"/>
      <c r="H2014" s="6" t="s">
        <v>11844</v>
      </c>
      <c r="I2014" s="10"/>
      <c r="J2014" s="6" t="s">
        <v>539</v>
      </c>
      <c r="K2014" s="10"/>
      <c r="L2014" s="10"/>
      <c r="M2014" s="10"/>
      <c r="N2014" s="10"/>
      <c r="O2014" s="18">
        <v>539.8</v>
      </c>
      <c r="P2014" s="10"/>
      <c r="Q2014" s="17" t="b">
        <v>1</v>
      </c>
      <c r="R2014" s="10"/>
    </row>
    <row r="2015">
      <c r="A2015" s="6" t="s">
        <v>9812</v>
      </c>
      <c r="B2015" s="6" t="s">
        <v>35</v>
      </c>
      <c r="C2015" s="8">
        <v>46056.0</v>
      </c>
      <c r="D2015" s="6" t="s">
        <v>460</v>
      </c>
      <c r="E2015" s="10"/>
      <c r="F2015" s="10"/>
      <c r="G2015" s="10"/>
      <c r="H2015" s="6" t="s">
        <v>11847</v>
      </c>
      <c r="I2015" s="10"/>
      <c r="J2015" s="6" t="s">
        <v>539</v>
      </c>
      <c r="K2015" s="10"/>
      <c r="L2015" s="10"/>
      <c r="M2015" s="10"/>
      <c r="N2015" s="10"/>
      <c r="O2015" s="18">
        <v>764.0</v>
      </c>
      <c r="P2015" s="10"/>
      <c r="Q2015" s="17" t="b">
        <v>1</v>
      </c>
      <c r="R2015" s="10"/>
    </row>
    <row r="2016">
      <c r="A2016" s="6" t="s">
        <v>9814</v>
      </c>
      <c r="B2016" s="6" t="s">
        <v>35</v>
      </c>
      <c r="C2016" s="8">
        <v>46056.0</v>
      </c>
      <c r="D2016" s="6" t="s">
        <v>460</v>
      </c>
      <c r="E2016" s="10"/>
      <c r="F2016" s="10"/>
      <c r="G2016" s="10"/>
      <c r="H2016" s="6" t="s">
        <v>11851</v>
      </c>
      <c r="I2016" s="10"/>
      <c r="J2016" s="6" t="s">
        <v>539</v>
      </c>
      <c r="K2016" s="10"/>
      <c r="L2016" s="10"/>
      <c r="M2016" s="10"/>
      <c r="N2016" s="10"/>
      <c r="O2016" s="18">
        <v>218.95</v>
      </c>
      <c r="P2016" s="10"/>
      <c r="Q2016" s="17" t="b">
        <v>1</v>
      </c>
      <c r="R2016" s="10"/>
    </row>
    <row r="2017">
      <c r="A2017" s="6" t="s">
        <v>9817</v>
      </c>
      <c r="B2017" s="6" t="s">
        <v>35</v>
      </c>
      <c r="C2017" s="8">
        <v>46056.0</v>
      </c>
      <c r="D2017" s="6" t="s">
        <v>460</v>
      </c>
      <c r="E2017" s="10"/>
      <c r="F2017" s="10"/>
      <c r="G2017" s="10"/>
      <c r="H2017" s="6" t="s">
        <v>5721</v>
      </c>
      <c r="I2017" s="10"/>
      <c r="J2017" s="6" t="s">
        <v>539</v>
      </c>
      <c r="K2017" s="10"/>
      <c r="L2017" s="10"/>
      <c r="M2017" s="10"/>
      <c r="N2017" s="10"/>
      <c r="O2017" s="18">
        <v>204.0</v>
      </c>
      <c r="P2017" s="10"/>
      <c r="Q2017" s="17" t="b">
        <v>1</v>
      </c>
      <c r="R2017" s="10"/>
    </row>
    <row r="2018">
      <c r="A2018" s="6" t="s">
        <v>9819</v>
      </c>
      <c r="B2018" s="6" t="s">
        <v>35</v>
      </c>
      <c r="C2018" s="8">
        <v>46056.0</v>
      </c>
      <c r="D2018" s="6" t="s">
        <v>460</v>
      </c>
      <c r="E2018" s="10"/>
      <c r="F2018" s="10"/>
      <c r="G2018" s="10"/>
      <c r="H2018" s="6" t="s">
        <v>5721</v>
      </c>
      <c r="I2018" s="10"/>
      <c r="J2018" s="6" t="s">
        <v>539</v>
      </c>
      <c r="K2018" s="10"/>
      <c r="L2018" s="10"/>
      <c r="M2018" s="10"/>
      <c r="N2018" s="10"/>
      <c r="O2018" s="18">
        <v>100.0</v>
      </c>
      <c r="P2018" s="10"/>
      <c r="Q2018" s="17" t="b">
        <v>1</v>
      </c>
      <c r="R2018" s="10"/>
    </row>
    <row r="2019">
      <c r="A2019" s="6" t="s">
        <v>9821</v>
      </c>
      <c r="B2019" s="6" t="s">
        <v>35</v>
      </c>
      <c r="C2019" s="8">
        <v>46056.0</v>
      </c>
      <c r="D2019" s="6" t="s">
        <v>460</v>
      </c>
      <c r="E2019" s="10"/>
      <c r="F2019" s="10"/>
      <c r="G2019" s="10"/>
      <c r="H2019" s="6" t="s">
        <v>5721</v>
      </c>
      <c r="I2019" s="10"/>
      <c r="J2019" s="6" t="s">
        <v>539</v>
      </c>
      <c r="K2019" s="10"/>
      <c r="L2019" s="10"/>
      <c r="M2019" s="10"/>
      <c r="N2019" s="10"/>
      <c r="O2019" s="18">
        <v>866.98</v>
      </c>
      <c r="P2019" s="10"/>
      <c r="Q2019" s="17" t="b">
        <v>1</v>
      </c>
      <c r="R2019" s="10"/>
    </row>
    <row r="2020">
      <c r="A2020" s="18">
        <v>11861.0</v>
      </c>
      <c r="B2020" s="6" t="s">
        <v>35</v>
      </c>
      <c r="C2020" s="8">
        <v>46056.0</v>
      </c>
      <c r="D2020" s="6" t="s">
        <v>1036</v>
      </c>
      <c r="E2020" s="10"/>
      <c r="F2020" s="10"/>
      <c r="G2020" s="10"/>
      <c r="H2020" s="6" t="s">
        <v>9926</v>
      </c>
      <c r="I2020" s="10"/>
      <c r="J2020" s="6" t="s">
        <v>539</v>
      </c>
      <c r="K2020" s="10"/>
      <c r="L2020" s="10"/>
      <c r="M2020" s="10"/>
      <c r="N2020" s="10"/>
      <c r="O2020" s="18">
        <v>124.16</v>
      </c>
      <c r="P2020" s="10"/>
      <c r="Q2020" s="17" t="b">
        <v>1</v>
      </c>
      <c r="R2020" s="10"/>
    </row>
    <row r="2021">
      <c r="A2021" s="18">
        <v>11862.0</v>
      </c>
      <c r="B2021" s="6" t="s">
        <v>35</v>
      </c>
      <c r="C2021" s="8">
        <v>46056.0</v>
      </c>
      <c r="D2021" s="6" t="s">
        <v>9929</v>
      </c>
      <c r="E2021" s="10"/>
      <c r="F2021" s="10"/>
      <c r="G2021" s="10"/>
      <c r="H2021" s="6" t="s">
        <v>9930</v>
      </c>
      <c r="I2021" s="10"/>
      <c r="J2021" s="6" t="s">
        <v>539</v>
      </c>
      <c r="K2021" s="10"/>
      <c r="L2021" s="10"/>
      <c r="M2021" s="10"/>
      <c r="N2021" s="10"/>
      <c r="O2021" s="18">
        <v>9200.0</v>
      </c>
      <c r="P2021" s="10"/>
      <c r="Q2021" s="17" t="b">
        <v>1</v>
      </c>
      <c r="R2021" s="10"/>
    </row>
    <row r="2022">
      <c r="A2022" s="18">
        <v>11863.0</v>
      </c>
      <c r="B2022" s="6" t="s">
        <v>35</v>
      </c>
      <c r="C2022" s="8">
        <v>46056.0</v>
      </c>
      <c r="D2022" s="6" t="s">
        <v>3516</v>
      </c>
      <c r="E2022" s="10"/>
      <c r="F2022" s="10"/>
      <c r="G2022" s="10"/>
      <c r="H2022" s="6" t="s">
        <v>9933</v>
      </c>
      <c r="I2022" s="10"/>
      <c r="J2022" s="6" t="s">
        <v>539</v>
      </c>
      <c r="K2022" s="10"/>
      <c r="L2022" s="10"/>
      <c r="M2022" s="10"/>
      <c r="N2022" s="10"/>
      <c r="O2022" s="18">
        <v>533.95</v>
      </c>
      <c r="P2022" s="10"/>
      <c r="Q2022" s="17" t="b">
        <v>1</v>
      </c>
      <c r="R2022" s="10"/>
    </row>
    <row r="2023">
      <c r="A2023" s="18">
        <v>11864.0</v>
      </c>
      <c r="B2023" s="6" t="s">
        <v>35</v>
      </c>
      <c r="C2023" s="8">
        <v>46056.0</v>
      </c>
      <c r="D2023" s="6" t="s">
        <v>2439</v>
      </c>
      <c r="E2023" s="10"/>
      <c r="F2023" s="10"/>
      <c r="G2023" s="10"/>
      <c r="H2023" s="6" t="s">
        <v>5136</v>
      </c>
      <c r="I2023" s="10"/>
      <c r="J2023" s="6" t="s">
        <v>539</v>
      </c>
      <c r="K2023" s="10"/>
      <c r="L2023" s="10"/>
      <c r="M2023" s="10"/>
      <c r="N2023" s="10"/>
      <c r="O2023" s="18">
        <v>0.0</v>
      </c>
      <c r="P2023" s="10"/>
      <c r="Q2023" s="17" t="b">
        <v>1</v>
      </c>
      <c r="R2023" s="10"/>
    </row>
    <row r="2024">
      <c r="A2024" s="6" t="s">
        <v>9830</v>
      </c>
      <c r="B2024" s="6" t="s">
        <v>35</v>
      </c>
      <c r="C2024" s="8">
        <v>46056.0</v>
      </c>
      <c r="D2024" s="6" t="s">
        <v>890</v>
      </c>
      <c r="E2024" s="10"/>
      <c r="F2024" s="10"/>
      <c r="G2024" s="10"/>
      <c r="H2024" s="6" t="s">
        <v>11863</v>
      </c>
      <c r="I2024" s="10"/>
      <c r="J2024" s="6" t="s">
        <v>539</v>
      </c>
      <c r="K2024" s="10"/>
      <c r="L2024" s="10"/>
      <c r="M2024" s="10"/>
      <c r="N2024" s="10"/>
      <c r="O2024" s="18">
        <v>16.6</v>
      </c>
      <c r="P2024" s="10"/>
      <c r="Q2024" s="17" t="b">
        <v>1</v>
      </c>
      <c r="R2024" s="10"/>
    </row>
    <row r="2025">
      <c r="A2025" s="6" t="s">
        <v>9832</v>
      </c>
      <c r="B2025" s="6" t="s">
        <v>35</v>
      </c>
      <c r="C2025" s="8">
        <v>46056.0</v>
      </c>
      <c r="D2025" s="6" t="s">
        <v>11345</v>
      </c>
      <c r="E2025" s="10"/>
      <c r="F2025" s="10"/>
      <c r="G2025" s="10"/>
      <c r="H2025" s="6" t="s">
        <v>11866</v>
      </c>
      <c r="I2025" s="10"/>
      <c r="J2025" s="6" t="s">
        <v>539</v>
      </c>
      <c r="K2025" s="10"/>
      <c r="L2025" s="10"/>
      <c r="M2025" s="10"/>
      <c r="N2025" s="10"/>
      <c r="O2025" s="18">
        <v>50.0</v>
      </c>
      <c r="P2025" s="10"/>
      <c r="Q2025" s="17" t="b">
        <v>1</v>
      </c>
      <c r="R2025" s="10"/>
    </row>
    <row r="2026">
      <c r="A2026" s="6" t="s">
        <v>10270</v>
      </c>
      <c r="B2026" s="6" t="s">
        <v>35</v>
      </c>
      <c r="C2026" s="8">
        <v>46050.0</v>
      </c>
      <c r="D2026" s="6" t="s">
        <v>11209</v>
      </c>
      <c r="E2026" s="6" t="s">
        <v>11868</v>
      </c>
      <c r="F2026" s="10"/>
      <c r="G2026" s="26" t="s">
        <v>11869</v>
      </c>
      <c r="H2026" s="6" t="s">
        <v>11492</v>
      </c>
      <c r="I2026" s="17" t="b">
        <v>0</v>
      </c>
      <c r="J2026" s="26" t="s">
        <v>8596</v>
      </c>
      <c r="K2026" s="10"/>
      <c r="L2026" s="10"/>
      <c r="M2026" s="10"/>
      <c r="N2026" s="10"/>
      <c r="O2026" s="26">
        <v>2534.99</v>
      </c>
      <c r="P2026" s="10"/>
      <c r="Q2026" s="27" t="b">
        <v>1</v>
      </c>
      <c r="R2026" s="10"/>
    </row>
    <row r="2027">
      <c r="A2027" s="6" t="s">
        <v>10384</v>
      </c>
      <c r="B2027" s="6" t="s">
        <v>35</v>
      </c>
      <c r="C2027" s="8">
        <v>46058.0</v>
      </c>
      <c r="D2027" s="6" t="s">
        <v>11784</v>
      </c>
      <c r="E2027" s="6" t="s">
        <v>11872</v>
      </c>
      <c r="F2027" s="10"/>
      <c r="G2027" s="26" t="s">
        <v>11873</v>
      </c>
      <c r="H2027" s="6" t="s">
        <v>147</v>
      </c>
      <c r="I2027" s="17" t="b">
        <v>1</v>
      </c>
      <c r="J2027" s="26" t="s">
        <v>8596</v>
      </c>
      <c r="K2027" s="10"/>
      <c r="L2027" s="10"/>
      <c r="M2027" s="10"/>
      <c r="N2027" s="10"/>
      <c r="O2027" s="26">
        <v>151.0</v>
      </c>
      <c r="P2027" s="18">
        <v>1979193.0</v>
      </c>
      <c r="Q2027" s="27" t="b">
        <v>1</v>
      </c>
      <c r="R2027" s="10"/>
    </row>
    <row r="2028">
      <c r="A2028" s="6" t="s">
        <v>10258</v>
      </c>
      <c r="B2028" s="6" t="s">
        <v>35</v>
      </c>
      <c r="C2028" s="8">
        <v>46043.0</v>
      </c>
      <c r="D2028" s="6" t="s">
        <v>890</v>
      </c>
      <c r="E2028" s="6" t="s">
        <v>11877</v>
      </c>
      <c r="F2028" s="10"/>
      <c r="G2028" s="26" t="s">
        <v>11878</v>
      </c>
      <c r="H2028" s="6" t="s">
        <v>11879</v>
      </c>
      <c r="I2028" s="17" t="b">
        <v>0</v>
      </c>
      <c r="J2028" s="26" t="s">
        <v>8596</v>
      </c>
      <c r="K2028" s="10"/>
      <c r="L2028" s="10"/>
      <c r="M2028" s="10"/>
      <c r="N2028" s="10"/>
      <c r="O2028" s="26">
        <v>16.6</v>
      </c>
      <c r="P2028" s="10"/>
      <c r="Q2028" s="27" t="b">
        <v>1</v>
      </c>
      <c r="R2028" s="10"/>
    </row>
    <row r="2029">
      <c r="A2029" s="6" t="s">
        <v>10352</v>
      </c>
      <c r="B2029" s="6" t="s">
        <v>35</v>
      </c>
      <c r="C2029" s="8">
        <v>46055.0</v>
      </c>
      <c r="D2029" s="6" t="s">
        <v>890</v>
      </c>
      <c r="E2029" s="6" t="s">
        <v>11882</v>
      </c>
      <c r="F2029" s="10"/>
      <c r="G2029" s="26" t="s">
        <v>11883</v>
      </c>
      <c r="H2029" s="6" t="s">
        <v>11884</v>
      </c>
      <c r="I2029" s="17" t="b">
        <v>0</v>
      </c>
      <c r="J2029" s="26" t="s">
        <v>8596</v>
      </c>
      <c r="K2029" s="10"/>
      <c r="L2029" s="26" t="s">
        <v>11887</v>
      </c>
      <c r="M2029" s="10"/>
      <c r="N2029" s="10"/>
      <c r="O2029" s="26">
        <v>13795.56</v>
      </c>
      <c r="P2029" s="10"/>
      <c r="Q2029" s="27" t="b">
        <v>1</v>
      </c>
      <c r="R2029" s="10"/>
    </row>
    <row r="2030">
      <c r="A2030" s="6" t="s">
        <v>10435</v>
      </c>
      <c r="B2030" s="6" t="s">
        <v>35</v>
      </c>
      <c r="C2030" s="8">
        <v>46060.0</v>
      </c>
      <c r="D2030" s="6" t="s">
        <v>112</v>
      </c>
      <c r="E2030" s="6" t="s">
        <v>11889</v>
      </c>
      <c r="F2030" s="10"/>
      <c r="G2030" s="26" t="s">
        <v>11890</v>
      </c>
      <c r="H2030" s="6" t="s">
        <v>157</v>
      </c>
      <c r="I2030" s="17" t="b">
        <v>0</v>
      </c>
      <c r="J2030" s="26" t="s">
        <v>8596</v>
      </c>
      <c r="K2030" s="10"/>
      <c r="L2030" s="10"/>
      <c r="M2030" s="10"/>
      <c r="N2030" s="10"/>
      <c r="O2030" s="26">
        <v>330.3</v>
      </c>
      <c r="P2030" s="10"/>
      <c r="Q2030" s="27" t="b">
        <v>1</v>
      </c>
      <c r="R2030" s="10"/>
    </row>
    <row r="2031">
      <c r="A2031" s="6" t="s">
        <v>10406</v>
      </c>
      <c r="B2031" s="6" t="s">
        <v>35</v>
      </c>
      <c r="C2031" s="8">
        <v>46059.0</v>
      </c>
      <c r="D2031" s="6" t="s">
        <v>112</v>
      </c>
      <c r="E2031" s="6" t="s">
        <v>11892</v>
      </c>
      <c r="F2031" s="10"/>
      <c r="G2031" s="26" t="s">
        <v>11893</v>
      </c>
      <c r="H2031" s="6" t="s">
        <v>157</v>
      </c>
      <c r="I2031" s="17" t="b">
        <v>0</v>
      </c>
      <c r="J2031" s="26" t="s">
        <v>8596</v>
      </c>
      <c r="K2031" s="10"/>
      <c r="L2031" s="10"/>
      <c r="M2031" s="10"/>
      <c r="N2031" s="10"/>
      <c r="O2031" s="26">
        <v>430.6</v>
      </c>
      <c r="P2031" s="10"/>
      <c r="Q2031" s="27" t="b">
        <v>1</v>
      </c>
      <c r="R2031" s="10"/>
    </row>
    <row r="2032">
      <c r="A2032" s="6" t="s">
        <v>10444</v>
      </c>
      <c r="B2032" s="6" t="s">
        <v>35</v>
      </c>
      <c r="C2032" s="8">
        <v>46062.0</v>
      </c>
      <c r="D2032" s="6" t="s">
        <v>11779</v>
      </c>
      <c r="E2032" s="6" t="s">
        <v>11895</v>
      </c>
      <c r="F2032" s="10"/>
      <c r="G2032" s="26" t="s">
        <v>11896</v>
      </c>
      <c r="H2032" s="6" t="s">
        <v>11898</v>
      </c>
      <c r="I2032" s="17" t="b">
        <v>1</v>
      </c>
      <c r="J2032" s="26" t="s">
        <v>8596</v>
      </c>
      <c r="K2032" s="10"/>
      <c r="L2032" s="10"/>
      <c r="M2032" s="10"/>
      <c r="N2032" s="10"/>
      <c r="O2032" s="26">
        <v>205.28</v>
      </c>
      <c r="P2032" s="18">
        <v>1988989.0</v>
      </c>
      <c r="Q2032" s="27" t="b">
        <v>1</v>
      </c>
      <c r="R2032" s="10"/>
    </row>
    <row r="2033">
      <c r="A2033" s="6" t="s">
        <v>10391</v>
      </c>
      <c r="B2033" s="6" t="s">
        <v>35</v>
      </c>
      <c r="C2033" s="8">
        <v>46058.0</v>
      </c>
      <c r="D2033" s="6" t="s">
        <v>890</v>
      </c>
      <c r="E2033" s="6" t="s">
        <v>11901</v>
      </c>
      <c r="F2033" s="10"/>
      <c r="G2033" s="26" t="s">
        <v>11902</v>
      </c>
      <c r="H2033" s="6" t="s">
        <v>11903</v>
      </c>
      <c r="I2033" s="17" t="b">
        <v>0</v>
      </c>
      <c r="J2033" s="26" t="s">
        <v>8596</v>
      </c>
      <c r="K2033" s="10"/>
      <c r="L2033" s="26" t="s">
        <v>11904</v>
      </c>
      <c r="M2033" s="10"/>
      <c r="N2033" s="10"/>
      <c r="O2033" s="26">
        <v>6284.52</v>
      </c>
      <c r="P2033" s="10"/>
      <c r="Q2033" s="27" t="b">
        <v>1</v>
      </c>
      <c r="R2033" s="10"/>
    </row>
    <row r="2034">
      <c r="A2034" s="6" t="s">
        <v>10427</v>
      </c>
      <c r="B2034" s="6" t="s">
        <v>35</v>
      </c>
      <c r="C2034" s="8">
        <v>46061.0</v>
      </c>
      <c r="D2034" s="6" t="s">
        <v>11449</v>
      </c>
      <c r="E2034" s="6" t="s">
        <v>11908</v>
      </c>
      <c r="F2034" s="10"/>
      <c r="G2034" s="26" t="s">
        <v>11909</v>
      </c>
      <c r="H2034" s="6" t="s">
        <v>11361</v>
      </c>
      <c r="I2034" s="17" t="b">
        <v>1</v>
      </c>
      <c r="J2034" s="26" t="s">
        <v>8596</v>
      </c>
      <c r="K2034" s="10"/>
      <c r="L2034" s="10"/>
      <c r="M2034" s="10"/>
      <c r="N2034" s="10"/>
      <c r="O2034" s="26">
        <v>8.88</v>
      </c>
      <c r="P2034" s="18">
        <v>1985915.0</v>
      </c>
      <c r="Q2034" s="27" t="b">
        <v>1</v>
      </c>
      <c r="R2034" s="10"/>
    </row>
    <row r="2035">
      <c r="A2035" s="6" t="s">
        <v>10396</v>
      </c>
      <c r="B2035" s="6" t="s">
        <v>35</v>
      </c>
      <c r="C2035" s="8">
        <v>46058.0</v>
      </c>
      <c r="D2035" s="6" t="s">
        <v>11913</v>
      </c>
      <c r="E2035" s="6" t="s">
        <v>11915</v>
      </c>
      <c r="F2035" s="10"/>
      <c r="G2035" s="26" t="s">
        <v>11916</v>
      </c>
      <c r="H2035" s="6" t="s">
        <v>11917</v>
      </c>
      <c r="I2035" s="17" t="b">
        <v>1</v>
      </c>
      <c r="J2035" s="26" t="s">
        <v>8596</v>
      </c>
      <c r="K2035" s="10"/>
      <c r="L2035" s="10"/>
      <c r="M2035" s="10"/>
      <c r="N2035" s="10"/>
      <c r="O2035" s="26">
        <v>43.7</v>
      </c>
      <c r="P2035" s="18">
        <v>1981769.0</v>
      </c>
      <c r="Q2035" s="27" t="b">
        <v>1</v>
      </c>
      <c r="R2035" s="10"/>
    </row>
    <row r="2036">
      <c r="A2036" s="6" t="s">
        <v>10415</v>
      </c>
      <c r="B2036" s="6" t="s">
        <v>35</v>
      </c>
      <c r="C2036" s="8">
        <v>46059.0</v>
      </c>
      <c r="D2036" s="6" t="s">
        <v>307</v>
      </c>
      <c r="E2036" s="6" t="s">
        <v>11919</v>
      </c>
      <c r="F2036" s="10"/>
      <c r="G2036" s="26" t="s">
        <v>11920</v>
      </c>
      <c r="H2036" s="6" t="s">
        <v>456</v>
      </c>
      <c r="I2036" s="17" t="b">
        <v>1</v>
      </c>
      <c r="J2036" s="26" t="s">
        <v>8596</v>
      </c>
      <c r="K2036" s="10"/>
      <c r="L2036" s="10"/>
      <c r="M2036" s="10"/>
      <c r="N2036" s="10"/>
      <c r="O2036" s="26">
        <v>4.95</v>
      </c>
      <c r="P2036" s="18">
        <v>1981765.0</v>
      </c>
      <c r="Q2036" s="27" t="b">
        <v>1</v>
      </c>
      <c r="R2036" s="10"/>
    </row>
    <row r="2037">
      <c r="A2037" s="6" t="s">
        <v>10418</v>
      </c>
      <c r="B2037" s="6" t="s">
        <v>35</v>
      </c>
      <c r="C2037" s="8">
        <v>46059.0</v>
      </c>
      <c r="D2037" s="6" t="s">
        <v>307</v>
      </c>
      <c r="E2037" s="6" t="s">
        <v>11921</v>
      </c>
      <c r="F2037" s="10"/>
      <c r="G2037" s="26" t="s">
        <v>11922</v>
      </c>
      <c r="H2037" s="6" t="s">
        <v>11924</v>
      </c>
      <c r="I2037" s="17" t="b">
        <v>1</v>
      </c>
      <c r="J2037" s="26" t="s">
        <v>8596</v>
      </c>
      <c r="K2037" s="10"/>
      <c r="L2037" s="10"/>
      <c r="M2037" s="10"/>
      <c r="N2037" s="10"/>
      <c r="O2037" s="26">
        <v>149.8</v>
      </c>
      <c r="P2037" s="18">
        <v>1981755.0</v>
      </c>
      <c r="Q2037" s="27" t="b">
        <v>1</v>
      </c>
      <c r="R2037" s="10"/>
    </row>
    <row r="2038">
      <c r="A2038" s="6" t="s">
        <v>10422</v>
      </c>
      <c r="B2038" s="6" t="s">
        <v>35</v>
      </c>
      <c r="C2038" s="8">
        <v>46059.0</v>
      </c>
      <c r="D2038" s="6" t="s">
        <v>11926</v>
      </c>
      <c r="E2038" s="6" t="s">
        <v>11927</v>
      </c>
      <c r="F2038" s="10"/>
      <c r="G2038" s="26" t="s">
        <v>11928</v>
      </c>
      <c r="H2038" s="6" t="s">
        <v>140</v>
      </c>
      <c r="I2038" s="17" t="b">
        <v>0</v>
      </c>
      <c r="J2038" s="26" t="s">
        <v>8596</v>
      </c>
      <c r="K2038" s="10"/>
      <c r="L2038" s="10"/>
      <c r="M2038" s="10"/>
      <c r="N2038" s="10"/>
      <c r="O2038" s="26">
        <v>125.0</v>
      </c>
      <c r="P2038" s="10"/>
      <c r="Q2038" s="27" t="b">
        <v>1</v>
      </c>
      <c r="R2038" s="10"/>
    </row>
    <row r="2039">
      <c r="A2039" s="6" t="s">
        <v>10431</v>
      </c>
      <c r="B2039" s="6" t="s">
        <v>35</v>
      </c>
      <c r="C2039" s="8">
        <v>46061.0</v>
      </c>
      <c r="D2039" s="6" t="s">
        <v>11926</v>
      </c>
      <c r="E2039" s="6" t="s">
        <v>11930</v>
      </c>
      <c r="F2039" s="10"/>
      <c r="G2039" s="26" t="s">
        <v>11932</v>
      </c>
      <c r="H2039" s="6" t="s">
        <v>140</v>
      </c>
      <c r="I2039" s="17" t="b">
        <v>0</v>
      </c>
      <c r="J2039" s="26" t="s">
        <v>8596</v>
      </c>
      <c r="K2039" s="10"/>
      <c r="L2039" s="10"/>
      <c r="M2039" s="10"/>
      <c r="N2039" s="10"/>
      <c r="O2039" s="26">
        <v>125.0</v>
      </c>
      <c r="P2039" s="10"/>
      <c r="Q2039" s="27" t="b">
        <v>1</v>
      </c>
      <c r="R2039" s="10"/>
    </row>
    <row r="2040">
      <c r="A2040" s="6" t="s">
        <v>10474</v>
      </c>
      <c r="B2040" s="6" t="s">
        <v>35</v>
      </c>
      <c r="C2040" s="8">
        <v>46063.0</v>
      </c>
      <c r="D2040" s="6" t="s">
        <v>11935</v>
      </c>
      <c r="E2040" s="6" t="s">
        <v>11936</v>
      </c>
      <c r="F2040" s="10"/>
      <c r="G2040" s="26" t="s">
        <v>11937</v>
      </c>
      <c r="H2040" s="6" t="s">
        <v>11938</v>
      </c>
      <c r="I2040" s="17" t="b">
        <v>0</v>
      </c>
      <c r="J2040" s="26" t="s">
        <v>8596</v>
      </c>
      <c r="K2040" s="10"/>
      <c r="L2040" s="10"/>
      <c r="M2040" s="10"/>
      <c r="N2040" s="10"/>
      <c r="O2040" s="26">
        <v>201.6</v>
      </c>
      <c r="P2040" s="10"/>
      <c r="Q2040" s="27" t="b">
        <v>1</v>
      </c>
      <c r="R2040" s="10"/>
    </row>
    <row r="2041">
      <c r="A2041" s="6" t="s">
        <v>10478</v>
      </c>
      <c r="B2041" s="6" t="s">
        <v>35</v>
      </c>
      <c r="C2041" s="8">
        <v>46063.0</v>
      </c>
      <c r="D2041" s="6" t="s">
        <v>8787</v>
      </c>
      <c r="E2041" s="6" t="s">
        <v>11940</v>
      </c>
      <c r="F2041" s="10"/>
      <c r="G2041" s="26" t="s">
        <v>11942</v>
      </c>
      <c r="H2041" s="6" t="s">
        <v>1324</v>
      </c>
      <c r="I2041" s="17" t="b">
        <v>1</v>
      </c>
      <c r="J2041" s="26" t="s">
        <v>8596</v>
      </c>
      <c r="K2041" s="10"/>
      <c r="L2041" s="10"/>
      <c r="M2041" s="10"/>
      <c r="N2041" s="10"/>
      <c r="O2041" s="26">
        <v>8.0</v>
      </c>
      <c r="P2041" s="18">
        <v>1990850.0</v>
      </c>
      <c r="Q2041" s="27" t="b">
        <v>1</v>
      </c>
      <c r="R2041" s="10"/>
    </row>
    <row r="2042">
      <c r="A2042" s="6" t="s">
        <v>10456</v>
      </c>
      <c r="B2042" s="6" t="s">
        <v>35</v>
      </c>
      <c r="C2042" s="8">
        <v>46062.0</v>
      </c>
      <c r="D2042" s="6" t="s">
        <v>11765</v>
      </c>
      <c r="E2042" s="6" t="s">
        <v>11944</v>
      </c>
      <c r="F2042" s="10"/>
      <c r="G2042" s="26" t="s">
        <v>11945</v>
      </c>
      <c r="H2042" s="6" t="s">
        <v>195</v>
      </c>
      <c r="I2042" s="17" t="b">
        <v>0</v>
      </c>
      <c r="J2042" s="26" t="s">
        <v>8596</v>
      </c>
      <c r="K2042" s="10"/>
      <c r="L2042" s="26" t="s">
        <v>11946</v>
      </c>
      <c r="M2042" s="26"/>
      <c r="N2042" s="10"/>
      <c r="O2042" s="26">
        <v>1718.02</v>
      </c>
      <c r="P2042" s="10"/>
      <c r="Q2042" s="27" t="b">
        <v>1</v>
      </c>
      <c r="R2042" s="10"/>
    </row>
    <row r="2043">
      <c r="A2043" s="6" t="s">
        <v>10399</v>
      </c>
      <c r="B2043" s="6" t="s">
        <v>35</v>
      </c>
      <c r="C2043" s="8">
        <v>46058.0</v>
      </c>
      <c r="D2043" s="6" t="s">
        <v>890</v>
      </c>
      <c r="E2043" s="6" t="s">
        <v>11949</v>
      </c>
      <c r="F2043" s="10"/>
      <c r="G2043" s="26" t="s">
        <v>11950</v>
      </c>
      <c r="H2043" s="6" t="s">
        <v>11951</v>
      </c>
      <c r="I2043" s="17" t="b">
        <v>0</v>
      </c>
      <c r="J2043" s="26" t="s">
        <v>8596</v>
      </c>
      <c r="K2043" s="10"/>
      <c r="L2043" s="10"/>
      <c r="M2043" s="10"/>
      <c r="N2043" s="10"/>
      <c r="O2043" s="26">
        <v>28.77</v>
      </c>
      <c r="P2043" s="10"/>
      <c r="Q2043" s="27" t="b">
        <v>1</v>
      </c>
      <c r="R2043" s="10"/>
    </row>
    <row r="2044">
      <c r="A2044" s="18">
        <v>11866.0</v>
      </c>
      <c r="B2044" s="6" t="s">
        <v>35</v>
      </c>
      <c r="C2044" s="8">
        <v>46063.0</v>
      </c>
      <c r="D2044" s="6" t="s">
        <v>10315</v>
      </c>
      <c r="E2044" s="10"/>
      <c r="F2044" s="10"/>
      <c r="G2044" s="10"/>
      <c r="H2044" s="6" t="s">
        <v>11007</v>
      </c>
      <c r="I2044" s="10"/>
      <c r="J2044" s="6" t="s">
        <v>539</v>
      </c>
      <c r="K2044" s="10"/>
      <c r="L2044" s="10"/>
      <c r="M2044" s="10"/>
      <c r="N2044" s="10"/>
      <c r="O2044" s="18">
        <v>0.01</v>
      </c>
      <c r="P2044" s="10"/>
      <c r="Q2044" s="17" t="b">
        <v>1</v>
      </c>
      <c r="R2044" s="10"/>
    </row>
    <row r="2045">
      <c r="A2045" s="18">
        <v>11868.0</v>
      </c>
      <c r="B2045" s="6" t="s">
        <v>35</v>
      </c>
      <c r="C2045" s="8">
        <v>46063.0</v>
      </c>
      <c r="D2045" s="6" t="s">
        <v>7740</v>
      </c>
      <c r="E2045" s="10"/>
      <c r="F2045" s="10"/>
      <c r="G2045" s="10"/>
      <c r="H2045" s="6" t="s">
        <v>11955</v>
      </c>
      <c r="I2045" s="10"/>
      <c r="J2045" s="6" t="s">
        <v>539</v>
      </c>
      <c r="K2045" s="10"/>
      <c r="L2045" s="10"/>
      <c r="M2045" s="10"/>
      <c r="N2045" s="10"/>
      <c r="O2045" s="18">
        <v>0.01</v>
      </c>
      <c r="P2045" s="10"/>
      <c r="Q2045" s="17" t="b">
        <v>1</v>
      </c>
      <c r="R2045" s="10"/>
    </row>
    <row r="2046">
      <c r="A2046" s="18">
        <v>11877.0</v>
      </c>
      <c r="B2046" s="6" t="s">
        <v>35</v>
      </c>
      <c r="C2046" s="8">
        <v>46063.0</v>
      </c>
      <c r="D2046" s="6" t="s">
        <v>10092</v>
      </c>
      <c r="E2046" s="10"/>
      <c r="F2046" s="10"/>
      <c r="G2046" s="10"/>
      <c r="H2046" s="6" t="s">
        <v>10093</v>
      </c>
      <c r="I2046" s="10"/>
      <c r="J2046" s="6" t="s">
        <v>539</v>
      </c>
      <c r="K2046" s="10"/>
      <c r="L2046" s="10"/>
      <c r="M2046" s="10"/>
      <c r="N2046" s="10"/>
      <c r="O2046" s="18">
        <v>181.37</v>
      </c>
      <c r="P2046" s="10"/>
      <c r="Q2046" s="17" t="b">
        <v>1</v>
      </c>
      <c r="R2046" s="10"/>
    </row>
    <row r="2047">
      <c r="A2047" s="18">
        <v>11878.0</v>
      </c>
      <c r="B2047" s="6" t="s">
        <v>35</v>
      </c>
      <c r="C2047" s="8">
        <v>46063.0</v>
      </c>
      <c r="D2047" s="6" t="s">
        <v>2280</v>
      </c>
      <c r="E2047" s="10"/>
      <c r="F2047" s="10"/>
      <c r="G2047" s="10"/>
      <c r="H2047" s="6" t="s">
        <v>10095</v>
      </c>
      <c r="I2047" s="10"/>
      <c r="J2047" s="6" t="s">
        <v>539</v>
      </c>
      <c r="K2047" s="10"/>
      <c r="L2047" s="10"/>
      <c r="M2047" s="10"/>
      <c r="N2047" s="10"/>
      <c r="O2047" s="18">
        <v>989.73</v>
      </c>
      <c r="P2047" s="10"/>
      <c r="Q2047" s="17" t="b">
        <v>1</v>
      </c>
      <c r="R2047" s="10"/>
    </row>
    <row r="2048">
      <c r="A2048" s="18">
        <v>11879.0</v>
      </c>
      <c r="B2048" s="6" t="s">
        <v>35</v>
      </c>
      <c r="C2048" s="8">
        <v>46063.0</v>
      </c>
      <c r="D2048" s="6" t="s">
        <v>2248</v>
      </c>
      <c r="E2048" s="10"/>
      <c r="F2048" s="10"/>
      <c r="G2048" s="10"/>
      <c r="H2048" s="6" t="s">
        <v>8055</v>
      </c>
      <c r="I2048" s="10"/>
      <c r="J2048" s="6" t="s">
        <v>539</v>
      </c>
      <c r="K2048" s="10"/>
      <c r="L2048" s="10"/>
      <c r="M2048" s="10"/>
      <c r="N2048" s="10"/>
      <c r="O2048" s="18">
        <v>185.0</v>
      </c>
      <c r="P2048" s="10"/>
      <c r="Q2048" s="17" t="b">
        <v>1</v>
      </c>
      <c r="R2048" s="10"/>
    </row>
    <row r="2049">
      <c r="A2049" s="18">
        <v>11885.0</v>
      </c>
      <c r="B2049" s="6" t="s">
        <v>35</v>
      </c>
      <c r="C2049" s="8">
        <v>46063.0</v>
      </c>
      <c r="D2049" s="6" t="s">
        <v>3516</v>
      </c>
      <c r="E2049" s="10"/>
      <c r="F2049" s="10"/>
      <c r="G2049" s="10"/>
      <c r="H2049" s="6" t="s">
        <v>10131</v>
      </c>
      <c r="I2049" s="10"/>
      <c r="J2049" s="6" t="s">
        <v>539</v>
      </c>
      <c r="K2049" s="10"/>
      <c r="L2049" s="10"/>
      <c r="M2049" s="10"/>
      <c r="N2049" s="10"/>
      <c r="O2049" s="18">
        <v>1432.01</v>
      </c>
      <c r="P2049" s="10"/>
      <c r="Q2049" s="17" t="b">
        <v>1</v>
      </c>
      <c r="R2049" s="10"/>
    </row>
    <row r="2050">
      <c r="A2050" s="6" t="s">
        <v>9843</v>
      </c>
      <c r="B2050" s="6" t="s">
        <v>35</v>
      </c>
      <c r="C2050" s="8">
        <v>46063.0</v>
      </c>
      <c r="D2050" s="6" t="s">
        <v>1864</v>
      </c>
      <c r="E2050" s="10"/>
      <c r="F2050" s="10"/>
      <c r="G2050" s="10"/>
      <c r="H2050" s="6" t="s">
        <v>11963</v>
      </c>
      <c r="I2050" s="10"/>
      <c r="J2050" s="6" t="s">
        <v>539</v>
      </c>
      <c r="K2050" s="10"/>
      <c r="L2050" s="10"/>
      <c r="M2050" s="10"/>
      <c r="N2050" s="10"/>
      <c r="O2050" s="18">
        <v>1183.57</v>
      </c>
      <c r="P2050" s="10"/>
      <c r="Q2050" s="17" t="b">
        <v>1</v>
      </c>
      <c r="R2050" s="10"/>
    </row>
    <row r="2051">
      <c r="A2051" s="6" t="s">
        <v>9845</v>
      </c>
      <c r="B2051" s="6" t="s">
        <v>35</v>
      </c>
      <c r="C2051" s="8">
        <v>46063.0</v>
      </c>
      <c r="D2051" s="6" t="s">
        <v>1864</v>
      </c>
      <c r="E2051" s="10"/>
      <c r="F2051" s="10"/>
      <c r="G2051" s="10"/>
      <c r="H2051" s="6" t="s">
        <v>11966</v>
      </c>
      <c r="I2051" s="10"/>
      <c r="J2051" s="6" t="s">
        <v>539</v>
      </c>
      <c r="K2051" s="10"/>
      <c r="L2051" s="10"/>
      <c r="M2051" s="10"/>
      <c r="N2051" s="10"/>
      <c r="O2051" s="18">
        <v>164.07</v>
      </c>
      <c r="P2051" s="10"/>
      <c r="Q2051" s="17" t="b">
        <v>1</v>
      </c>
      <c r="R2051" s="10"/>
    </row>
    <row r="2052">
      <c r="A2052" s="6" t="s">
        <v>10484</v>
      </c>
      <c r="B2052" s="6" t="s">
        <v>35</v>
      </c>
      <c r="C2052" s="8">
        <v>46064.0</v>
      </c>
      <c r="D2052" s="6" t="s">
        <v>112</v>
      </c>
      <c r="E2052" s="6" t="s">
        <v>11968</v>
      </c>
      <c r="F2052" s="10"/>
      <c r="G2052" s="26" t="s">
        <v>11969</v>
      </c>
      <c r="H2052" s="6" t="s">
        <v>157</v>
      </c>
      <c r="I2052" s="17" t="b">
        <v>0</v>
      </c>
      <c r="J2052" s="26" t="s">
        <v>8596</v>
      </c>
      <c r="K2052" s="10"/>
      <c r="L2052" s="10"/>
      <c r="M2052" s="10"/>
      <c r="N2052" s="10"/>
      <c r="O2052" s="26">
        <v>169.72</v>
      </c>
      <c r="P2052" s="10"/>
      <c r="Q2052" s="27" t="b">
        <v>1</v>
      </c>
      <c r="R2052" s="10"/>
    </row>
    <row r="2053">
      <c r="A2053" s="6" t="s">
        <v>10379</v>
      </c>
      <c r="B2053" s="6" t="s">
        <v>35</v>
      </c>
      <c r="C2053" s="8">
        <v>46057.0</v>
      </c>
      <c r="D2053" s="6" t="s">
        <v>3427</v>
      </c>
      <c r="E2053" s="6" t="s">
        <v>11971</v>
      </c>
      <c r="F2053" s="10"/>
      <c r="G2053" s="26" t="s">
        <v>11972</v>
      </c>
      <c r="H2053" s="6" t="s">
        <v>11974</v>
      </c>
      <c r="I2053" s="17" t="b">
        <v>0</v>
      </c>
      <c r="J2053" s="26" t="s">
        <v>8596</v>
      </c>
      <c r="K2053" s="10"/>
      <c r="L2053" s="10"/>
      <c r="M2053" s="10"/>
      <c r="N2053" s="10"/>
      <c r="O2053" s="26">
        <v>2217.23</v>
      </c>
      <c r="P2053" s="10"/>
      <c r="Q2053" s="27" t="b">
        <v>1</v>
      </c>
      <c r="R2053" s="10"/>
    </row>
    <row r="2054">
      <c r="A2054" s="6" t="s">
        <v>10489</v>
      </c>
      <c r="B2054" s="6" t="s">
        <v>35</v>
      </c>
      <c r="C2054" s="8">
        <v>46066.0</v>
      </c>
      <c r="D2054" s="18">
        <v>8.627274E7</v>
      </c>
      <c r="E2054" s="6" t="s">
        <v>11978</v>
      </c>
      <c r="F2054" s="10"/>
      <c r="G2054" s="26" t="s">
        <v>11979</v>
      </c>
      <c r="H2054" s="6" t="s">
        <v>11625</v>
      </c>
      <c r="I2054" s="17" t="b">
        <v>1</v>
      </c>
      <c r="J2054" s="26" t="s">
        <v>8596</v>
      </c>
      <c r="K2054" s="10"/>
      <c r="L2054" s="10"/>
      <c r="M2054" s="10"/>
      <c r="N2054" s="10"/>
      <c r="O2054" s="26">
        <v>91.17</v>
      </c>
      <c r="P2054" s="18">
        <v>1996326.0</v>
      </c>
      <c r="Q2054" s="27" t="b">
        <v>1</v>
      </c>
      <c r="R2054" s="10"/>
    </row>
    <row r="2055">
      <c r="A2055" s="6" t="s">
        <v>10505</v>
      </c>
      <c r="B2055" s="6" t="s">
        <v>35</v>
      </c>
      <c r="C2055" s="8">
        <v>46066.0</v>
      </c>
      <c r="D2055" s="6" t="s">
        <v>112</v>
      </c>
      <c r="E2055" s="6" t="s">
        <v>11981</v>
      </c>
      <c r="F2055" s="10"/>
      <c r="G2055" s="26" t="s">
        <v>11983</v>
      </c>
      <c r="H2055" s="6" t="s">
        <v>157</v>
      </c>
      <c r="I2055" s="17" t="b">
        <v>0</v>
      </c>
      <c r="J2055" s="26" t="s">
        <v>8596</v>
      </c>
      <c r="K2055" s="10"/>
      <c r="L2055" s="10"/>
      <c r="M2055" s="10"/>
      <c r="N2055" s="10"/>
      <c r="O2055" s="26">
        <v>344.05</v>
      </c>
      <c r="P2055" s="10"/>
      <c r="Q2055" s="27" t="b">
        <v>1</v>
      </c>
      <c r="R2055" s="10"/>
    </row>
    <row r="2056">
      <c r="A2056" s="6" t="s">
        <v>10513</v>
      </c>
      <c r="B2056" s="6" t="s">
        <v>35</v>
      </c>
      <c r="C2056" s="8">
        <v>46066.0</v>
      </c>
      <c r="D2056" s="6" t="s">
        <v>11926</v>
      </c>
      <c r="E2056" s="6" t="s">
        <v>11986</v>
      </c>
      <c r="F2056" s="10"/>
      <c r="G2056" s="26" t="s">
        <v>11987</v>
      </c>
      <c r="H2056" s="6" t="s">
        <v>140</v>
      </c>
      <c r="I2056" s="17" t="b">
        <v>0</v>
      </c>
      <c r="J2056" s="26" t="s">
        <v>8596</v>
      </c>
      <c r="K2056" s="10"/>
      <c r="L2056" s="10"/>
      <c r="M2056" s="10"/>
      <c r="N2056" s="10"/>
      <c r="O2056" s="26">
        <v>500.0</v>
      </c>
      <c r="P2056" s="10"/>
      <c r="Q2056" s="27" t="b">
        <v>1</v>
      </c>
      <c r="R2056" s="10"/>
    </row>
    <row r="2057">
      <c r="A2057" s="6" t="s">
        <v>10515</v>
      </c>
      <c r="B2057" s="6" t="s">
        <v>35</v>
      </c>
      <c r="C2057" s="8">
        <v>46069.0</v>
      </c>
      <c r="D2057" s="6" t="s">
        <v>11784</v>
      </c>
      <c r="E2057" s="6" t="s">
        <v>11990</v>
      </c>
      <c r="F2057" s="10"/>
      <c r="G2057" s="26" t="s">
        <v>11991</v>
      </c>
      <c r="H2057" s="6" t="s">
        <v>147</v>
      </c>
      <c r="I2057" s="17" t="b">
        <v>1</v>
      </c>
      <c r="J2057" s="26" t="s">
        <v>8596</v>
      </c>
      <c r="K2057" s="10"/>
      <c r="L2057" s="10"/>
      <c r="M2057" s="10"/>
      <c r="N2057" s="10"/>
      <c r="O2057" s="26">
        <v>117.0</v>
      </c>
      <c r="P2057" s="18">
        <v>2004541.0</v>
      </c>
      <c r="Q2057" s="27" t="b">
        <v>1</v>
      </c>
      <c r="R2057" s="10"/>
    </row>
    <row r="2058">
      <c r="A2058" s="18">
        <v>11895.0</v>
      </c>
      <c r="B2058" s="6" t="s">
        <v>35</v>
      </c>
      <c r="C2058" s="8">
        <v>46070.0</v>
      </c>
      <c r="D2058" s="6" t="s">
        <v>3516</v>
      </c>
      <c r="E2058" s="10"/>
      <c r="F2058" s="10"/>
      <c r="G2058" s="10"/>
      <c r="H2058" s="6" t="s">
        <v>9762</v>
      </c>
      <c r="I2058" s="10"/>
      <c r="J2058" s="6" t="s">
        <v>539</v>
      </c>
      <c r="K2058" s="10"/>
      <c r="L2058" s="10"/>
      <c r="M2058" s="10"/>
      <c r="N2058" s="10"/>
      <c r="O2058" s="18">
        <v>15844.56</v>
      </c>
      <c r="P2058" s="10"/>
      <c r="Q2058" s="17" t="b">
        <v>1</v>
      </c>
      <c r="R2058" s="10"/>
    </row>
    <row r="2059">
      <c r="A2059" s="6" t="s">
        <v>9848</v>
      </c>
      <c r="B2059" s="6" t="s">
        <v>35</v>
      </c>
      <c r="C2059" s="8">
        <v>46070.0</v>
      </c>
      <c r="D2059" s="6" t="s">
        <v>1160</v>
      </c>
      <c r="E2059" s="10"/>
      <c r="F2059" s="10"/>
      <c r="G2059" s="10"/>
      <c r="H2059" s="6" t="s">
        <v>11193</v>
      </c>
      <c r="I2059" s="10"/>
      <c r="J2059" s="6" t="s">
        <v>539</v>
      </c>
      <c r="K2059" s="10"/>
      <c r="L2059" s="10"/>
      <c r="M2059" s="10"/>
      <c r="N2059" s="10"/>
      <c r="O2059" s="18">
        <v>1497.92</v>
      </c>
      <c r="P2059" s="10"/>
      <c r="Q2059" s="17" t="b">
        <v>1</v>
      </c>
      <c r="R2059" s="10"/>
    </row>
    <row r="2060">
      <c r="A2060" s="6" t="s">
        <v>9850</v>
      </c>
      <c r="B2060" s="6" t="s">
        <v>35</v>
      </c>
      <c r="C2060" s="8">
        <v>46070.0</v>
      </c>
      <c r="D2060" s="6" t="s">
        <v>1864</v>
      </c>
      <c r="E2060" s="10"/>
      <c r="F2060" s="10"/>
      <c r="G2060" s="10"/>
      <c r="H2060" s="6" t="s">
        <v>11997</v>
      </c>
      <c r="I2060" s="10"/>
      <c r="J2060" s="6" t="s">
        <v>539</v>
      </c>
      <c r="K2060" s="10"/>
      <c r="L2060" s="10"/>
      <c r="M2060" s="10"/>
      <c r="N2060" s="10"/>
      <c r="O2060" s="18">
        <v>49.5</v>
      </c>
      <c r="P2060" s="10"/>
      <c r="Q2060" s="17" t="b">
        <v>1</v>
      </c>
      <c r="R2060" s="10"/>
    </row>
    <row r="2061">
      <c r="A2061" s="6" t="s">
        <v>9852</v>
      </c>
      <c r="B2061" s="6" t="s">
        <v>35</v>
      </c>
      <c r="C2061" s="8">
        <v>46071.0</v>
      </c>
      <c r="D2061" s="6" t="s">
        <v>460</v>
      </c>
      <c r="E2061" s="10"/>
      <c r="F2061" s="10"/>
      <c r="G2061" s="10"/>
      <c r="H2061" s="6" t="s">
        <v>11999</v>
      </c>
      <c r="I2061" s="10"/>
      <c r="J2061" s="6" t="s">
        <v>539</v>
      </c>
      <c r="K2061" s="10"/>
      <c r="L2061" s="10"/>
      <c r="M2061" s="10"/>
      <c r="N2061" s="10"/>
      <c r="O2061" s="18">
        <v>149.5</v>
      </c>
      <c r="P2061" s="10"/>
      <c r="Q2061" s="17" t="b">
        <v>1</v>
      </c>
      <c r="R2061" s="10"/>
    </row>
    <row r="2062">
      <c r="A2062" s="6" t="s">
        <v>9855</v>
      </c>
      <c r="B2062" s="6" t="s">
        <v>35</v>
      </c>
      <c r="C2062" s="8">
        <v>46071.0</v>
      </c>
      <c r="D2062" s="6" t="s">
        <v>460</v>
      </c>
      <c r="E2062" s="10"/>
      <c r="F2062" s="10"/>
      <c r="G2062" s="10"/>
      <c r="H2062" s="6" t="s">
        <v>12001</v>
      </c>
      <c r="I2062" s="10"/>
      <c r="J2062" s="6" t="s">
        <v>539</v>
      </c>
      <c r="K2062" s="10"/>
      <c r="L2062" s="10"/>
      <c r="M2062" s="10"/>
      <c r="N2062" s="10"/>
      <c r="O2062" s="18">
        <v>87.9</v>
      </c>
      <c r="P2062" s="10"/>
      <c r="Q2062" s="17" t="b">
        <v>1</v>
      </c>
      <c r="R2062" s="10"/>
    </row>
    <row r="2063">
      <c r="A2063" s="18">
        <v>11894.0</v>
      </c>
      <c r="B2063" s="6" t="s">
        <v>35</v>
      </c>
      <c r="C2063" s="8">
        <v>46071.0</v>
      </c>
      <c r="D2063" s="6" t="s">
        <v>3516</v>
      </c>
      <c r="E2063" s="10"/>
      <c r="F2063" s="10"/>
      <c r="G2063" s="10"/>
      <c r="H2063" s="6" t="s">
        <v>9759</v>
      </c>
      <c r="I2063" s="10"/>
      <c r="J2063" s="6" t="s">
        <v>539</v>
      </c>
      <c r="K2063" s="10"/>
      <c r="L2063" s="10"/>
      <c r="M2063" s="10"/>
      <c r="N2063" s="10"/>
      <c r="O2063" s="18">
        <v>1460.79</v>
      </c>
      <c r="P2063" s="10"/>
      <c r="Q2063" s="17" t="b">
        <v>1</v>
      </c>
      <c r="R2063" s="10"/>
    </row>
    <row r="2064">
      <c r="A2064" s="6" t="s">
        <v>9858</v>
      </c>
      <c r="B2064" s="6" t="s">
        <v>35</v>
      </c>
      <c r="C2064" s="8">
        <v>46071.0</v>
      </c>
      <c r="D2064" s="6" t="s">
        <v>890</v>
      </c>
      <c r="E2064" s="10"/>
      <c r="F2064" s="10"/>
      <c r="G2064" s="10"/>
      <c r="H2064" s="6" t="s">
        <v>12006</v>
      </c>
      <c r="I2064" s="10"/>
      <c r="J2064" s="6" t="s">
        <v>539</v>
      </c>
      <c r="K2064" s="10"/>
      <c r="L2064" s="10"/>
      <c r="M2064" s="10"/>
      <c r="N2064" s="10"/>
      <c r="O2064" s="18">
        <v>2945.92</v>
      </c>
      <c r="P2064" s="10"/>
      <c r="Q2064" s="17" t="b">
        <v>1</v>
      </c>
      <c r="R2064" s="10"/>
    </row>
    <row r="2065">
      <c r="A2065" s="6" t="s">
        <v>10532</v>
      </c>
      <c r="B2065" s="6" t="s">
        <v>35</v>
      </c>
      <c r="C2065" s="8">
        <v>46072.0</v>
      </c>
      <c r="D2065" s="6" t="s">
        <v>2039</v>
      </c>
      <c r="E2065" s="6" t="s">
        <v>12010</v>
      </c>
      <c r="F2065" s="10"/>
      <c r="G2065" s="26" t="s">
        <v>12011</v>
      </c>
      <c r="H2065" s="6" t="s">
        <v>605</v>
      </c>
      <c r="I2065" s="17" t="b">
        <v>1</v>
      </c>
      <c r="J2065" s="26" t="s">
        <v>8596</v>
      </c>
      <c r="K2065" s="10"/>
      <c r="L2065" s="10"/>
      <c r="M2065" s="10"/>
      <c r="N2065" s="10"/>
      <c r="O2065" s="26">
        <v>84.0</v>
      </c>
      <c r="P2065" s="18">
        <v>2011528.0</v>
      </c>
      <c r="Q2065" s="27" t="b">
        <v>1</v>
      </c>
      <c r="R2065" s="10"/>
    </row>
    <row r="2066">
      <c r="A2066" s="6"/>
      <c r="B2066" s="6"/>
      <c r="C2066" s="8"/>
      <c r="D2066" s="6"/>
      <c r="E2066" s="6"/>
      <c r="F2066" s="10"/>
      <c r="G2066" s="6"/>
      <c r="H2066" s="6"/>
      <c r="I2066" s="17"/>
      <c r="J2066" s="6"/>
      <c r="K2066" s="10"/>
      <c r="L2066" s="6"/>
      <c r="M2066" s="10"/>
      <c r="N2066" s="10"/>
      <c r="O2066" s="10"/>
      <c r="P2066" s="10"/>
      <c r="Q2066" s="17"/>
      <c r="R2066" s="10"/>
    </row>
    <row r="2067">
      <c r="A2067" s="6" t="s">
        <v>10534</v>
      </c>
      <c r="B2067" s="6" t="s">
        <v>35</v>
      </c>
      <c r="C2067" s="8">
        <v>46072.0</v>
      </c>
      <c r="D2067" s="6" t="s">
        <v>11765</v>
      </c>
      <c r="E2067" s="6" t="s">
        <v>12016</v>
      </c>
      <c r="F2067" s="10"/>
      <c r="G2067" s="26" t="s">
        <v>12017</v>
      </c>
      <c r="H2067" s="6" t="s">
        <v>195</v>
      </c>
      <c r="I2067" s="17" t="b">
        <v>0</v>
      </c>
      <c r="J2067" s="26" t="s">
        <v>8596</v>
      </c>
      <c r="K2067" s="10"/>
      <c r="L2067" s="26" t="s">
        <v>12018</v>
      </c>
      <c r="M2067" s="10"/>
      <c r="N2067" s="10"/>
      <c r="O2067" s="26">
        <v>924.96</v>
      </c>
      <c r="P2067" s="10"/>
      <c r="Q2067" s="27" t="b">
        <v>1</v>
      </c>
      <c r="R2067" s="10"/>
    </row>
    <row r="2068">
      <c r="A2068" s="6" t="s">
        <v>10521</v>
      </c>
      <c r="B2068" s="6" t="s">
        <v>35</v>
      </c>
      <c r="C2068" s="8">
        <v>46071.0</v>
      </c>
      <c r="D2068" s="6" t="s">
        <v>12021</v>
      </c>
      <c r="E2068" s="6" t="s">
        <v>12022</v>
      </c>
      <c r="F2068" s="10"/>
      <c r="G2068" s="26" t="s">
        <v>12023</v>
      </c>
      <c r="H2068" s="6" t="s">
        <v>12025</v>
      </c>
      <c r="I2068" s="17" t="b">
        <v>1</v>
      </c>
      <c r="J2068" s="26" t="s">
        <v>8596</v>
      </c>
      <c r="K2068" s="10"/>
      <c r="L2068" s="10"/>
      <c r="M2068" s="10"/>
      <c r="N2068" s="10"/>
      <c r="O2068" s="26">
        <v>13.0</v>
      </c>
      <c r="P2068" s="18">
        <v>2009435.0</v>
      </c>
      <c r="Q2068" s="27" t="b">
        <v>1</v>
      </c>
      <c r="R2068" s="10"/>
    </row>
    <row r="2069">
      <c r="A2069" s="6" t="s">
        <v>10524</v>
      </c>
      <c r="B2069" s="6" t="s">
        <v>35</v>
      </c>
      <c r="C2069" s="8">
        <v>46071.0</v>
      </c>
      <c r="D2069" s="6" t="s">
        <v>11219</v>
      </c>
      <c r="E2069" s="6" t="s">
        <v>12028</v>
      </c>
      <c r="F2069" s="10"/>
      <c r="G2069" s="26" t="s">
        <v>12029</v>
      </c>
      <c r="H2069" s="6" t="s">
        <v>12030</v>
      </c>
      <c r="I2069" s="17" t="b">
        <v>1</v>
      </c>
      <c r="J2069" s="26" t="s">
        <v>8596</v>
      </c>
      <c r="K2069" s="10"/>
      <c r="L2069" s="10"/>
      <c r="M2069" s="10"/>
      <c r="N2069" s="10"/>
      <c r="O2069" s="26">
        <v>4.36</v>
      </c>
      <c r="P2069" s="18">
        <v>2009441.0</v>
      </c>
      <c r="Q2069" s="27" t="b">
        <v>1</v>
      </c>
      <c r="R2069" s="10"/>
    </row>
    <row r="2070">
      <c r="A2070" s="6" t="s">
        <v>10526</v>
      </c>
      <c r="B2070" s="6" t="s">
        <v>35</v>
      </c>
      <c r="C2070" s="8">
        <v>46071.0</v>
      </c>
      <c r="D2070" s="6" t="s">
        <v>112</v>
      </c>
      <c r="E2070" s="6" t="s">
        <v>12033</v>
      </c>
      <c r="F2070" s="10"/>
      <c r="G2070" s="26" t="s">
        <v>12034</v>
      </c>
      <c r="H2070" s="6" t="s">
        <v>157</v>
      </c>
      <c r="I2070" s="17" t="b">
        <v>0</v>
      </c>
      <c r="J2070" s="26" t="s">
        <v>8596</v>
      </c>
      <c r="K2070" s="10"/>
      <c r="L2070" s="10"/>
      <c r="M2070" s="10"/>
      <c r="N2070" s="10"/>
      <c r="O2070" s="26">
        <v>265.56</v>
      </c>
      <c r="P2070" s="10"/>
      <c r="Q2070" s="27" t="b">
        <v>1</v>
      </c>
      <c r="R2070" s="10"/>
    </row>
    <row r="2071">
      <c r="A2071" s="6" t="s">
        <v>10561</v>
      </c>
      <c r="B2071" s="6" t="s">
        <v>35</v>
      </c>
      <c r="C2071" s="8">
        <v>46074.0</v>
      </c>
      <c r="D2071" s="6" t="s">
        <v>1129</v>
      </c>
      <c r="E2071" s="6" t="s">
        <v>12037</v>
      </c>
      <c r="F2071" s="10"/>
      <c r="G2071" s="26" t="s">
        <v>12038</v>
      </c>
      <c r="H2071" s="6" t="s">
        <v>12039</v>
      </c>
      <c r="I2071" s="17" t="b">
        <v>1</v>
      </c>
      <c r="J2071" s="26" t="s">
        <v>8596</v>
      </c>
      <c r="K2071" s="10"/>
      <c r="L2071" s="10"/>
      <c r="M2071" s="10"/>
      <c r="N2071" s="10"/>
      <c r="O2071" s="26">
        <v>34.0</v>
      </c>
      <c r="P2071" s="18">
        <v>2015813.0</v>
      </c>
      <c r="Q2071" s="27" t="b">
        <v>1</v>
      </c>
      <c r="R2071" s="10"/>
    </row>
    <row r="2072">
      <c r="A2072" s="6" t="s">
        <v>10569</v>
      </c>
      <c r="B2072" s="6" t="s">
        <v>35</v>
      </c>
      <c r="C2072" s="8">
        <v>46074.0</v>
      </c>
      <c r="D2072" s="6" t="s">
        <v>12041</v>
      </c>
      <c r="E2072" s="6" t="s">
        <v>12042</v>
      </c>
      <c r="F2072" s="10"/>
      <c r="G2072" s="26" t="s">
        <v>12043</v>
      </c>
      <c r="H2072" s="6" t="s">
        <v>1915</v>
      </c>
      <c r="I2072" s="17" t="b">
        <v>1</v>
      </c>
      <c r="J2072" s="26" t="s">
        <v>8596</v>
      </c>
      <c r="K2072" s="10"/>
      <c r="L2072" s="10"/>
      <c r="M2072" s="10"/>
      <c r="N2072" s="10"/>
      <c r="O2072" s="26">
        <v>83.77</v>
      </c>
      <c r="P2072" s="18">
        <v>2015802.0</v>
      </c>
      <c r="Q2072" s="27" t="b">
        <v>1</v>
      </c>
      <c r="R2072" s="10"/>
    </row>
    <row r="2073">
      <c r="A2073" s="6" t="s">
        <v>10575</v>
      </c>
      <c r="B2073" s="6" t="s">
        <v>35</v>
      </c>
      <c r="C2073" s="8">
        <v>46074.0</v>
      </c>
      <c r="D2073" s="6" t="s">
        <v>2039</v>
      </c>
      <c r="E2073" s="6" t="s">
        <v>12046</v>
      </c>
      <c r="F2073" s="10"/>
      <c r="G2073" s="26" t="s">
        <v>12047</v>
      </c>
      <c r="H2073" s="6" t="s">
        <v>12048</v>
      </c>
      <c r="I2073" s="17" t="b">
        <v>1</v>
      </c>
      <c r="J2073" s="26" t="s">
        <v>8596</v>
      </c>
      <c r="K2073" s="10"/>
      <c r="L2073" s="10"/>
      <c r="M2073" s="10"/>
      <c r="N2073" s="10"/>
      <c r="O2073" s="26">
        <v>155.97</v>
      </c>
      <c r="P2073" s="18">
        <v>2015811.0</v>
      </c>
      <c r="Q2073" s="27" t="b">
        <v>1</v>
      </c>
      <c r="R2073" s="10"/>
    </row>
    <row r="2074">
      <c r="A2074" s="6" t="s">
        <v>10580</v>
      </c>
      <c r="B2074" s="6" t="s">
        <v>35</v>
      </c>
      <c r="C2074" s="8">
        <v>46074.0</v>
      </c>
      <c r="D2074" s="6" t="s">
        <v>307</v>
      </c>
      <c r="E2074" s="6" t="s">
        <v>12051</v>
      </c>
      <c r="F2074" s="10"/>
      <c r="G2074" s="26" t="s">
        <v>12052</v>
      </c>
      <c r="H2074" s="6" t="s">
        <v>12053</v>
      </c>
      <c r="I2074" s="17" t="b">
        <v>1</v>
      </c>
      <c r="J2074" s="26" t="s">
        <v>8596</v>
      </c>
      <c r="K2074" s="10"/>
      <c r="L2074" s="10"/>
      <c r="M2074" s="10"/>
      <c r="N2074" s="10"/>
      <c r="O2074" s="26">
        <v>16.9</v>
      </c>
      <c r="P2074" s="18">
        <v>2015815.0</v>
      </c>
      <c r="Q2074" s="27" t="b">
        <v>1</v>
      </c>
      <c r="R2074" s="10"/>
    </row>
    <row r="2075">
      <c r="A2075" s="6" t="s">
        <v>10543</v>
      </c>
      <c r="B2075" s="6" t="s">
        <v>35</v>
      </c>
      <c r="C2075" s="8">
        <v>46073.0</v>
      </c>
      <c r="D2075" s="18">
        <v>8.627274E7</v>
      </c>
      <c r="E2075" s="6" t="s">
        <v>12056</v>
      </c>
      <c r="F2075" s="10"/>
      <c r="G2075" s="26" t="s">
        <v>12057</v>
      </c>
      <c r="H2075" s="6" t="s">
        <v>11625</v>
      </c>
      <c r="I2075" s="17" t="b">
        <v>1</v>
      </c>
      <c r="J2075" s="26" t="s">
        <v>8596</v>
      </c>
      <c r="K2075" s="10"/>
      <c r="L2075" s="10"/>
      <c r="M2075" s="10"/>
      <c r="N2075" s="10"/>
      <c r="O2075" s="26">
        <v>81.54</v>
      </c>
      <c r="P2075" s="18">
        <v>2013354.0</v>
      </c>
      <c r="Q2075" s="27" t="b">
        <v>1</v>
      </c>
      <c r="R2075" s="10"/>
    </row>
    <row r="2076">
      <c r="A2076" s="6" t="s">
        <v>10553</v>
      </c>
      <c r="B2076" s="6" t="s">
        <v>35</v>
      </c>
      <c r="C2076" s="8">
        <v>46073.0</v>
      </c>
      <c r="D2076" s="6" t="s">
        <v>112</v>
      </c>
      <c r="E2076" s="6" t="s">
        <v>12060</v>
      </c>
      <c r="F2076" s="10"/>
      <c r="G2076" s="26" t="s">
        <v>12061</v>
      </c>
      <c r="H2076" s="6" t="s">
        <v>157</v>
      </c>
      <c r="I2076" s="17" t="b">
        <v>0</v>
      </c>
      <c r="J2076" s="26" t="s">
        <v>8596</v>
      </c>
      <c r="K2076" s="10"/>
      <c r="L2076" s="10"/>
      <c r="M2076" s="10"/>
      <c r="N2076" s="10"/>
      <c r="O2076" s="26">
        <v>279.52</v>
      </c>
      <c r="P2076" s="10"/>
      <c r="Q2076" s="27" t="b">
        <v>1</v>
      </c>
      <c r="R2076" s="10"/>
    </row>
    <row r="2077">
      <c r="A2077" s="6" t="s">
        <v>10518</v>
      </c>
      <c r="B2077" s="6" t="s">
        <v>35</v>
      </c>
      <c r="C2077" s="8">
        <v>46069.0</v>
      </c>
      <c r="D2077" s="6" t="s">
        <v>890</v>
      </c>
      <c r="E2077" s="26" t="s">
        <v>12063</v>
      </c>
      <c r="F2077" s="10"/>
      <c r="G2077" s="26" t="s">
        <v>12065</v>
      </c>
      <c r="H2077" s="26" t="s">
        <v>12066</v>
      </c>
      <c r="I2077" s="17" t="b">
        <v>0</v>
      </c>
      <c r="J2077" s="6" t="s">
        <v>8596</v>
      </c>
      <c r="K2077" s="10"/>
      <c r="L2077" s="26" t="s">
        <v>12067</v>
      </c>
      <c r="M2077" s="10"/>
      <c r="N2077" s="10"/>
      <c r="O2077" s="26">
        <v>13870.87</v>
      </c>
      <c r="P2077" s="10"/>
      <c r="Q2077" s="27" t="b">
        <v>1</v>
      </c>
      <c r="R2077" s="10"/>
    </row>
    <row r="2078">
      <c r="A2078" s="6" t="s">
        <v>10583</v>
      </c>
      <c r="B2078" s="6" t="s">
        <v>35</v>
      </c>
      <c r="C2078" s="8">
        <v>46076.0</v>
      </c>
      <c r="D2078" s="6" t="s">
        <v>11926</v>
      </c>
      <c r="E2078" s="6" t="s">
        <v>12069</v>
      </c>
      <c r="F2078" s="10"/>
      <c r="G2078" s="26" t="s">
        <v>12070</v>
      </c>
      <c r="H2078" s="6" t="s">
        <v>140</v>
      </c>
      <c r="I2078" s="17" t="b">
        <v>0</v>
      </c>
      <c r="J2078" s="26" t="s">
        <v>8596</v>
      </c>
      <c r="K2078" s="10"/>
      <c r="L2078" s="10"/>
      <c r="M2078" s="10"/>
      <c r="N2078" s="10"/>
      <c r="O2078" s="26">
        <v>250.0</v>
      </c>
      <c r="P2078" s="10"/>
      <c r="Q2078" s="27" t="b">
        <v>1</v>
      </c>
      <c r="R2078" s="10"/>
    </row>
    <row r="2079">
      <c r="A2079" s="6" t="s">
        <v>10585</v>
      </c>
      <c r="B2079" s="6" t="s">
        <v>35</v>
      </c>
      <c r="C2079" s="8">
        <v>46077.0</v>
      </c>
      <c r="D2079" s="6" t="s">
        <v>11779</v>
      </c>
      <c r="E2079" s="6" t="s">
        <v>12074</v>
      </c>
      <c r="F2079" s="10"/>
      <c r="G2079" s="26" t="s">
        <v>12075</v>
      </c>
      <c r="H2079" s="6" t="s">
        <v>11782</v>
      </c>
      <c r="I2079" s="17" t="b">
        <v>1</v>
      </c>
      <c r="J2079" s="26" t="s">
        <v>8596</v>
      </c>
      <c r="K2079" s="10"/>
      <c r="L2079" s="10"/>
      <c r="M2079" s="10"/>
      <c r="N2079" s="10"/>
      <c r="O2079" s="26">
        <v>131.55</v>
      </c>
      <c r="P2079" s="18">
        <v>2022336.0</v>
      </c>
      <c r="Q2079" s="27" t="b">
        <v>1</v>
      </c>
      <c r="R2079" s="10"/>
    </row>
    <row r="2080">
      <c r="A2080" s="18">
        <v>11766.0</v>
      </c>
      <c r="B2080" s="6" t="s">
        <v>35</v>
      </c>
      <c r="C2080" s="8">
        <v>46077.0</v>
      </c>
      <c r="D2080" s="6" t="s">
        <v>890</v>
      </c>
      <c r="E2080" s="10"/>
      <c r="F2080" s="10"/>
      <c r="G2080" s="10"/>
      <c r="H2080" s="6" t="s">
        <v>10085</v>
      </c>
      <c r="I2080" s="10"/>
      <c r="J2080" s="6" t="s">
        <v>539</v>
      </c>
      <c r="K2080" s="10"/>
      <c r="L2080" s="10"/>
      <c r="M2080" s="10"/>
      <c r="N2080" s="10"/>
      <c r="O2080" s="18">
        <v>1098.0</v>
      </c>
      <c r="P2080" s="10"/>
      <c r="Q2080" s="17" t="b">
        <v>1</v>
      </c>
      <c r="R2080" s="10"/>
    </row>
    <row r="2081">
      <c r="A2081" s="18">
        <v>11767.0</v>
      </c>
      <c r="B2081" s="6" t="s">
        <v>35</v>
      </c>
      <c r="C2081" s="8">
        <v>46077.0</v>
      </c>
      <c r="D2081" s="6" t="s">
        <v>890</v>
      </c>
      <c r="E2081" s="10"/>
      <c r="F2081" s="10"/>
      <c r="G2081" s="10"/>
      <c r="H2081" s="6" t="s">
        <v>10089</v>
      </c>
      <c r="I2081" s="10"/>
      <c r="J2081" s="6" t="s">
        <v>539</v>
      </c>
      <c r="K2081" s="10"/>
      <c r="L2081" s="10"/>
      <c r="M2081" s="10"/>
      <c r="N2081" s="10"/>
      <c r="O2081" s="18">
        <v>625.0</v>
      </c>
      <c r="P2081" s="10"/>
      <c r="Q2081" s="17" t="b">
        <v>1</v>
      </c>
      <c r="R2081" s="10"/>
    </row>
    <row r="2082">
      <c r="A2082" s="18">
        <v>11771.0</v>
      </c>
      <c r="B2082" s="6" t="s">
        <v>35</v>
      </c>
      <c r="C2082" s="8">
        <v>46077.0</v>
      </c>
      <c r="D2082" s="6" t="s">
        <v>890</v>
      </c>
      <c r="E2082" s="10"/>
      <c r="F2082" s="10"/>
      <c r="G2082" s="10"/>
      <c r="H2082" s="6" t="s">
        <v>4010</v>
      </c>
      <c r="I2082" s="10"/>
      <c r="J2082" s="6" t="s">
        <v>539</v>
      </c>
      <c r="K2082" s="10"/>
      <c r="L2082" s="10"/>
      <c r="M2082" s="10"/>
      <c r="N2082" s="10"/>
      <c r="O2082" s="18">
        <v>375.0</v>
      </c>
      <c r="P2082" s="10"/>
      <c r="Q2082" s="17" t="b">
        <v>1</v>
      </c>
      <c r="R2082" s="10"/>
    </row>
    <row r="2083">
      <c r="A2083" s="6" t="s">
        <v>9863</v>
      </c>
      <c r="B2083" s="6" t="s">
        <v>35</v>
      </c>
      <c r="C2083" s="8">
        <v>46077.0</v>
      </c>
      <c r="D2083" s="6" t="s">
        <v>890</v>
      </c>
      <c r="E2083" s="10"/>
      <c r="F2083" s="10"/>
      <c r="G2083" s="10"/>
      <c r="H2083" s="6" t="s">
        <v>12083</v>
      </c>
      <c r="I2083" s="10"/>
      <c r="J2083" s="6" t="s">
        <v>539</v>
      </c>
      <c r="K2083" s="10"/>
      <c r="L2083" s="10"/>
      <c r="M2083" s="10"/>
      <c r="N2083" s="10"/>
      <c r="O2083" s="18">
        <v>1362.87</v>
      </c>
      <c r="P2083" s="10"/>
      <c r="Q2083" s="17" t="b">
        <v>1</v>
      </c>
      <c r="R2083" s="10"/>
    </row>
    <row r="2084">
      <c r="A2084" s="6" t="s">
        <v>9865</v>
      </c>
      <c r="B2084" s="6" t="s">
        <v>35</v>
      </c>
      <c r="C2084" s="8">
        <v>46077.0</v>
      </c>
      <c r="D2084" s="6" t="s">
        <v>890</v>
      </c>
      <c r="E2084" s="10"/>
      <c r="F2084" s="10"/>
      <c r="G2084" s="10"/>
      <c r="H2084" s="6" t="s">
        <v>12087</v>
      </c>
      <c r="I2084" s="10"/>
      <c r="J2084" s="6" t="s">
        <v>539</v>
      </c>
      <c r="K2084" s="10"/>
      <c r="L2084" s="10"/>
      <c r="M2084" s="10"/>
      <c r="N2084" s="10"/>
      <c r="O2084" s="18">
        <v>6.24</v>
      </c>
      <c r="P2084" s="10"/>
      <c r="Q2084" s="17" t="b">
        <v>1</v>
      </c>
      <c r="R2084" s="10"/>
    </row>
    <row r="2085">
      <c r="A2085" s="18">
        <v>11911.0</v>
      </c>
      <c r="B2085" s="6" t="s">
        <v>35</v>
      </c>
      <c r="C2085" s="8">
        <v>46077.0</v>
      </c>
      <c r="D2085" s="6" t="s">
        <v>460</v>
      </c>
      <c r="E2085" s="10"/>
      <c r="F2085" s="10"/>
      <c r="G2085" s="10"/>
      <c r="H2085" s="8">
        <v>46300.0</v>
      </c>
      <c r="I2085" s="10"/>
      <c r="J2085" s="6" t="s">
        <v>539</v>
      </c>
      <c r="K2085" s="10"/>
      <c r="L2085" s="10"/>
      <c r="M2085" s="10"/>
      <c r="N2085" s="10"/>
      <c r="O2085" s="18">
        <v>249.23</v>
      </c>
      <c r="P2085" s="10"/>
      <c r="Q2085" s="17" t="b">
        <v>1</v>
      </c>
      <c r="R2085" s="10"/>
    </row>
    <row r="2086">
      <c r="A2086" s="18">
        <v>11914.0</v>
      </c>
      <c r="B2086" s="6" t="s">
        <v>35</v>
      </c>
      <c r="C2086" s="8">
        <v>46077.0</v>
      </c>
      <c r="D2086" s="6" t="s">
        <v>9825</v>
      </c>
      <c r="E2086" s="10"/>
      <c r="F2086" s="10"/>
      <c r="G2086" s="10"/>
      <c r="H2086" s="6" t="s">
        <v>9826</v>
      </c>
      <c r="I2086" s="10"/>
      <c r="J2086" s="6" t="s">
        <v>539</v>
      </c>
      <c r="K2086" s="10"/>
      <c r="L2086" s="10"/>
      <c r="M2086" s="10"/>
      <c r="N2086" s="10"/>
      <c r="O2086" s="18">
        <v>422.33</v>
      </c>
      <c r="P2086" s="10"/>
      <c r="Q2086" s="17" t="b">
        <v>1</v>
      </c>
      <c r="R2086" s="10"/>
    </row>
    <row r="2087">
      <c r="A2087" s="18">
        <v>11915.0</v>
      </c>
      <c r="B2087" s="6" t="s">
        <v>35</v>
      </c>
      <c r="C2087" s="8">
        <v>46077.0</v>
      </c>
      <c r="D2087" s="6" t="s">
        <v>9825</v>
      </c>
      <c r="E2087" s="10"/>
      <c r="F2087" s="10"/>
      <c r="G2087" s="10"/>
      <c r="H2087" s="6" t="s">
        <v>9835</v>
      </c>
      <c r="I2087" s="10"/>
      <c r="J2087" s="6" t="s">
        <v>539</v>
      </c>
      <c r="K2087" s="10"/>
      <c r="L2087" s="10"/>
      <c r="M2087" s="10"/>
      <c r="N2087" s="10"/>
      <c r="O2087" s="18">
        <v>87.68</v>
      </c>
      <c r="P2087" s="10"/>
      <c r="Q2087" s="17" t="b">
        <v>1</v>
      </c>
      <c r="R2087" s="10"/>
    </row>
    <row r="2088">
      <c r="A2088" s="18">
        <v>11916.0</v>
      </c>
      <c r="B2088" s="6" t="s">
        <v>35</v>
      </c>
      <c r="C2088" s="8">
        <v>46077.0</v>
      </c>
      <c r="D2088" s="6" t="s">
        <v>460</v>
      </c>
      <c r="E2088" s="10"/>
      <c r="F2088" s="10"/>
      <c r="G2088" s="10"/>
      <c r="H2088" s="6" t="s">
        <v>10550</v>
      </c>
      <c r="I2088" s="10"/>
      <c r="J2088" s="6" t="s">
        <v>539</v>
      </c>
      <c r="K2088" s="10"/>
      <c r="L2088" s="10"/>
      <c r="M2088" s="10"/>
      <c r="N2088" s="10"/>
      <c r="O2088" s="18">
        <v>4083.0</v>
      </c>
      <c r="P2088" s="10"/>
      <c r="Q2088" s="17" t="b">
        <v>1</v>
      </c>
      <c r="R2088" s="10"/>
    </row>
    <row r="2089">
      <c r="A2089" s="18">
        <v>11917.0</v>
      </c>
      <c r="B2089" s="6" t="s">
        <v>35</v>
      </c>
      <c r="C2089" s="8">
        <v>46077.0</v>
      </c>
      <c r="D2089" s="6" t="s">
        <v>460</v>
      </c>
      <c r="E2089" s="10"/>
      <c r="F2089" s="10"/>
      <c r="G2089" s="10"/>
      <c r="H2089" s="6" t="s">
        <v>11326</v>
      </c>
      <c r="I2089" s="10"/>
      <c r="J2089" s="6" t="s">
        <v>539</v>
      </c>
      <c r="K2089" s="10"/>
      <c r="L2089" s="10"/>
      <c r="M2089" s="10"/>
      <c r="N2089" s="10"/>
      <c r="O2089" s="18">
        <v>72.0</v>
      </c>
      <c r="P2089" s="10"/>
      <c r="Q2089" s="17" t="b">
        <v>1</v>
      </c>
      <c r="R2089" s="10"/>
    </row>
    <row r="2090">
      <c r="A2090" s="18">
        <v>11918.0</v>
      </c>
      <c r="B2090" s="6" t="s">
        <v>35</v>
      </c>
      <c r="C2090" s="8">
        <v>46077.0</v>
      </c>
      <c r="D2090" s="6" t="s">
        <v>460</v>
      </c>
      <c r="E2090" s="10"/>
      <c r="F2090" s="10"/>
      <c r="G2090" s="10"/>
      <c r="H2090" s="6" t="s">
        <v>4972</v>
      </c>
      <c r="I2090" s="10"/>
      <c r="J2090" s="6" t="s">
        <v>539</v>
      </c>
      <c r="K2090" s="10"/>
      <c r="L2090" s="10"/>
      <c r="M2090" s="10"/>
      <c r="N2090" s="10"/>
      <c r="O2090" s="18">
        <v>22.0</v>
      </c>
      <c r="P2090" s="10"/>
      <c r="Q2090" s="17" t="b">
        <v>1</v>
      </c>
      <c r="R2090" s="10"/>
    </row>
    <row r="2091">
      <c r="A2091" s="18">
        <v>11919.0</v>
      </c>
      <c r="B2091" s="6" t="s">
        <v>35</v>
      </c>
      <c r="C2091" s="8">
        <v>46077.0</v>
      </c>
      <c r="D2091" s="6" t="s">
        <v>460</v>
      </c>
      <c r="E2091" s="10"/>
      <c r="F2091" s="10"/>
      <c r="G2091" s="10"/>
      <c r="H2091" s="6" t="s">
        <v>4979</v>
      </c>
      <c r="I2091" s="10"/>
      <c r="J2091" s="6" t="s">
        <v>539</v>
      </c>
      <c r="K2091" s="10"/>
      <c r="L2091" s="10"/>
      <c r="M2091" s="10"/>
      <c r="N2091" s="10"/>
      <c r="O2091" s="18">
        <v>10.0</v>
      </c>
      <c r="P2091" s="10"/>
      <c r="Q2091" s="17" t="b">
        <v>1</v>
      </c>
      <c r="R2091" s="10"/>
    </row>
    <row r="2092">
      <c r="A2092" s="18">
        <v>11925.0</v>
      </c>
      <c r="B2092" s="6" t="s">
        <v>35</v>
      </c>
      <c r="C2092" s="8">
        <v>46077.0</v>
      </c>
      <c r="D2092" s="6" t="s">
        <v>460</v>
      </c>
      <c r="E2092" s="10"/>
      <c r="F2092" s="10"/>
      <c r="G2092" s="10"/>
      <c r="H2092" s="6" t="s">
        <v>12100</v>
      </c>
      <c r="I2092" s="10"/>
      <c r="J2092" s="6" t="s">
        <v>539</v>
      </c>
      <c r="K2092" s="10"/>
      <c r="L2092" s="10"/>
      <c r="M2092" s="10"/>
      <c r="N2092" s="10"/>
      <c r="O2092" s="18">
        <v>70.0</v>
      </c>
      <c r="P2092" s="10"/>
      <c r="Q2092" s="17" t="b">
        <v>1</v>
      </c>
      <c r="R2092" s="10"/>
    </row>
    <row r="2093">
      <c r="A2093" s="6" t="s">
        <v>9876</v>
      </c>
      <c r="B2093" s="6" t="s">
        <v>35</v>
      </c>
      <c r="C2093" s="8">
        <v>46077.0</v>
      </c>
      <c r="D2093" s="6" t="s">
        <v>890</v>
      </c>
      <c r="E2093" s="10"/>
      <c r="F2093" s="10"/>
      <c r="G2093" s="10"/>
      <c r="H2093" s="6" t="s">
        <v>12105</v>
      </c>
      <c r="I2093" s="10"/>
      <c r="J2093" s="6" t="s">
        <v>539</v>
      </c>
      <c r="K2093" s="10"/>
      <c r="L2093" s="10"/>
      <c r="M2093" s="10"/>
      <c r="N2093" s="10"/>
      <c r="O2093" s="18">
        <v>2265.27</v>
      </c>
      <c r="P2093" s="10"/>
      <c r="Q2093" s="17" t="b">
        <v>1</v>
      </c>
      <c r="R2093" s="10"/>
    </row>
    <row r="2094">
      <c r="A2094" s="6" t="s">
        <v>9878</v>
      </c>
      <c r="B2094" s="6" t="s">
        <v>35</v>
      </c>
      <c r="C2094" s="8">
        <v>46077.0</v>
      </c>
      <c r="D2094" s="6" t="s">
        <v>890</v>
      </c>
      <c r="E2094" s="10"/>
      <c r="F2094" s="10"/>
      <c r="G2094" s="10"/>
      <c r="H2094" s="6" t="s">
        <v>12107</v>
      </c>
      <c r="I2094" s="10"/>
      <c r="J2094" s="6" t="s">
        <v>539</v>
      </c>
      <c r="K2094" s="10"/>
      <c r="L2094" s="10"/>
      <c r="M2094" s="10"/>
      <c r="N2094" s="10"/>
      <c r="O2094" s="18">
        <v>4549.85</v>
      </c>
      <c r="P2094" s="10"/>
      <c r="Q2094" s="17" t="b">
        <v>1</v>
      </c>
      <c r="R2094" s="10"/>
    </row>
    <row r="2095">
      <c r="A2095" s="6" t="s">
        <v>9880</v>
      </c>
      <c r="B2095" s="6" t="s">
        <v>35</v>
      </c>
      <c r="C2095" s="8">
        <v>46077.0</v>
      </c>
      <c r="D2095" s="6" t="s">
        <v>890</v>
      </c>
      <c r="E2095" s="10"/>
      <c r="F2095" s="10"/>
      <c r="G2095" s="10"/>
      <c r="H2095" s="6" t="s">
        <v>12112</v>
      </c>
      <c r="I2095" s="10"/>
      <c r="J2095" s="6" t="s">
        <v>539</v>
      </c>
      <c r="K2095" s="10"/>
      <c r="L2095" s="10"/>
      <c r="M2095" s="10"/>
      <c r="N2095" s="10"/>
      <c r="O2095" s="18">
        <v>348.0</v>
      </c>
      <c r="P2095" s="10"/>
      <c r="Q2095" s="17" t="b">
        <v>1</v>
      </c>
      <c r="R2095" s="10"/>
    </row>
    <row r="2096">
      <c r="A2096" s="6" t="s">
        <v>9882</v>
      </c>
      <c r="B2096" s="6" t="s">
        <v>35</v>
      </c>
      <c r="C2096" s="8">
        <v>46078.0</v>
      </c>
      <c r="D2096" s="6" t="s">
        <v>890</v>
      </c>
      <c r="E2096" s="10"/>
      <c r="F2096" s="10"/>
      <c r="G2096" s="10"/>
      <c r="H2096" s="6" t="s">
        <v>12116</v>
      </c>
      <c r="I2096" s="10"/>
      <c r="J2096" s="6" t="s">
        <v>539</v>
      </c>
      <c r="K2096" s="10"/>
      <c r="L2096" s="10"/>
      <c r="M2096" s="10"/>
      <c r="N2096" s="10"/>
      <c r="O2096" s="18">
        <v>5290.0</v>
      </c>
      <c r="P2096" s="10"/>
      <c r="Q2096" s="17" t="b">
        <v>1</v>
      </c>
      <c r="R2096" s="10"/>
    </row>
    <row r="2097">
      <c r="A2097" s="6" t="s">
        <v>10610</v>
      </c>
      <c r="B2097" s="6" t="s">
        <v>35</v>
      </c>
      <c r="C2097" s="8">
        <v>46079.0</v>
      </c>
      <c r="D2097" s="18">
        <v>8.627274E7</v>
      </c>
      <c r="E2097" s="6" t="s">
        <v>12119</v>
      </c>
      <c r="F2097" s="10"/>
      <c r="G2097" s="26" t="s">
        <v>12120</v>
      </c>
      <c r="H2097" s="6" t="s">
        <v>11734</v>
      </c>
      <c r="I2097" s="17" t="b">
        <v>1</v>
      </c>
      <c r="J2097" s="26" t="s">
        <v>8596</v>
      </c>
      <c r="K2097" s="10"/>
      <c r="L2097" s="10"/>
      <c r="M2097" s="10"/>
      <c r="N2097" s="10"/>
      <c r="O2097" s="26">
        <v>7.39</v>
      </c>
      <c r="P2097" s="18">
        <v>2025184.0</v>
      </c>
      <c r="Q2097" s="27" t="b">
        <v>1</v>
      </c>
      <c r="R2097" s="10"/>
    </row>
    <row r="2098">
      <c r="A2098" s="6" t="s">
        <v>10599</v>
      </c>
      <c r="B2098" s="6" t="s">
        <v>35</v>
      </c>
      <c r="C2098" s="8">
        <v>46078.0</v>
      </c>
      <c r="D2098" s="6" t="s">
        <v>11784</v>
      </c>
      <c r="E2098" s="6" t="s">
        <v>12125</v>
      </c>
      <c r="F2098" s="10"/>
      <c r="G2098" s="26" t="s">
        <v>12127</v>
      </c>
      <c r="H2098" s="6" t="s">
        <v>147</v>
      </c>
      <c r="I2098" s="17" t="b">
        <v>1</v>
      </c>
      <c r="J2098" s="26" t="s">
        <v>8596</v>
      </c>
      <c r="K2098" s="10"/>
      <c r="L2098" s="10"/>
      <c r="M2098" s="10"/>
      <c r="N2098" s="10"/>
      <c r="O2098" s="26">
        <v>255.0</v>
      </c>
      <c r="P2098" s="18">
        <v>2024054.0</v>
      </c>
      <c r="Q2098" s="27" t="b">
        <v>1</v>
      </c>
      <c r="R2098" s="10"/>
    </row>
    <row r="2099">
      <c r="A2099" s="6" t="s">
        <v>10608</v>
      </c>
      <c r="B2099" s="6" t="s">
        <v>35</v>
      </c>
      <c r="C2099" s="8">
        <v>46078.0</v>
      </c>
      <c r="D2099" s="6" t="s">
        <v>2039</v>
      </c>
      <c r="E2099" s="6" t="s">
        <v>12130</v>
      </c>
      <c r="F2099" s="10"/>
      <c r="G2099" s="26" t="s">
        <v>12131</v>
      </c>
      <c r="H2099" s="6" t="s">
        <v>12133</v>
      </c>
      <c r="I2099" s="17" t="b">
        <v>1</v>
      </c>
      <c r="J2099" s="26" t="s">
        <v>8596</v>
      </c>
      <c r="K2099" s="10"/>
      <c r="L2099" s="10"/>
      <c r="M2099" s="10"/>
      <c r="N2099" s="10"/>
      <c r="O2099" s="26">
        <v>29.9</v>
      </c>
      <c r="P2099" s="18">
        <v>2023513.0</v>
      </c>
      <c r="Q2099" s="27" t="b">
        <v>1</v>
      </c>
      <c r="R2099" s="10"/>
    </row>
    <row r="2100">
      <c r="A2100" s="6" t="s">
        <v>9885</v>
      </c>
      <c r="B2100" s="6" t="s">
        <v>35</v>
      </c>
      <c r="C2100" s="8">
        <v>46079.0</v>
      </c>
      <c r="D2100" s="10"/>
      <c r="E2100" s="10"/>
      <c r="F2100" s="10"/>
      <c r="G2100" s="10"/>
      <c r="H2100" s="6" t="s">
        <v>1329</v>
      </c>
      <c r="I2100" s="10"/>
      <c r="J2100" s="6" t="s">
        <v>539</v>
      </c>
      <c r="K2100" s="6" t="s">
        <v>2052</v>
      </c>
      <c r="L2100" s="10"/>
      <c r="M2100" s="10"/>
      <c r="N2100" s="10"/>
      <c r="O2100" s="18">
        <v>500.0</v>
      </c>
      <c r="P2100" s="10"/>
      <c r="Q2100" s="17" t="b">
        <v>1</v>
      </c>
      <c r="R2100" s="10"/>
    </row>
    <row r="2101">
      <c r="A2101" s="6" t="s">
        <v>9887</v>
      </c>
      <c r="B2101" s="6" t="s">
        <v>35</v>
      </c>
      <c r="C2101" s="8">
        <v>46079.0</v>
      </c>
      <c r="D2101" s="10"/>
      <c r="E2101" s="10"/>
      <c r="F2101" s="10"/>
      <c r="G2101" s="10"/>
      <c r="H2101" s="6" t="s">
        <v>1329</v>
      </c>
      <c r="I2101" s="10"/>
      <c r="J2101" s="6" t="s">
        <v>539</v>
      </c>
      <c r="K2101" s="6" t="s">
        <v>117</v>
      </c>
      <c r="L2101" s="10"/>
      <c r="M2101" s="10"/>
      <c r="N2101" s="10"/>
      <c r="O2101" s="18">
        <v>500.0</v>
      </c>
      <c r="P2101" s="10"/>
      <c r="Q2101" s="17" t="b">
        <v>1</v>
      </c>
      <c r="R2101" s="10"/>
    </row>
    <row r="2102">
      <c r="A2102" s="6" t="s">
        <v>9890</v>
      </c>
      <c r="B2102" s="6" t="s">
        <v>35</v>
      </c>
      <c r="C2102" s="8">
        <v>46080.0</v>
      </c>
      <c r="D2102" s="10"/>
      <c r="E2102" s="10"/>
      <c r="F2102" s="10"/>
      <c r="G2102" s="10"/>
      <c r="H2102" s="6" t="s">
        <v>1329</v>
      </c>
      <c r="I2102" s="10"/>
      <c r="J2102" s="6" t="s">
        <v>539</v>
      </c>
      <c r="K2102" s="6" t="s">
        <v>227</v>
      </c>
      <c r="L2102" s="10"/>
      <c r="M2102" s="10"/>
      <c r="N2102" s="10"/>
      <c r="O2102" s="18">
        <v>500.0</v>
      </c>
      <c r="P2102" s="10"/>
      <c r="Q2102" s="17" t="b">
        <v>1</v>
      </c>
      <c r="R2102" s="10"/>
    </row>
    <row r="2103">
      <c r="A2103" s="6" t="s">
        <v>10614</v>
      </c>
      <c r="B2103" s="6" t="s">
        <v>35</v>
      </c>
      <c r="C2103" s="8">
        <v>46079.0</v>
      </c>
      <c r="D2103" s="6" t="s">
        <v>12140</v>
      </c>
      <c r="E2103" s="6" t="s">
        <v>12141</v>
      </c>
      <c r="F2103" s="10"/>
      <c r="G2103" s="26" t="s">
        <v>12142</v>
      </c>
      <c r="H2103" s="6" t="s">
        <v>3903</v>
      </c>
      <c r="I2103" s="17" t="b">
        <v>1</v>
      </c>
      <c r="J2103" s="26" t="s">
        <v>8596</v>
      </c>
      <c r="K2103" s="10"/>
      <c r="L2103" s="10"/>
      <c r="M2103" s="10"/>
      <c r="N2103" s="10"/>
      <c r="O2103" s="26">
        <v>350.0</v>
      </c>
      <c r="P2103" s="18">
        <v>2026252.0</v>
      </c>
      <c r="Q2103" s="27" t="b">
        <v>1</v>
      </c>
      <c r="R2103" s="10"/>
    </row>
    <row r="2104">
      <c r="A2104" s="6" t="s">
        <v>10630</v>
      </c>
      <c r="B2104" s="6" t="s">
        <v>35</v>
      </c>
      <c r="C2104" s="8">
        <v>46080.0</v>
      </c>
      <c r="D2104" s="6" t="s">
        <v>112</v>
      </c>
      <c r="E2104" s="6" t="s">
        <v>12146</v>
      </c>
      <c r="F2104" s="10"/>
      <c r="G2104" s="26" t="s">
        <v>12147</v>
      </c>
      <c r="H2104" s="6" t="s">
        <v>157</v>
      </c>
      <c r="I2104" s="17" t="b">
        <v>0</v>
      </c>
      <c r="J2104" s="26" t="s">
        <v>8596</v>
      </c>
      <c r="K2104" s="10"/>
      <c r="L2104" s="10"/>
      <c r="M2104" s="10"/>
      <c r="N2104" s="10"/>
      <c r="O2104" s="26">
        <v>496.43</v>
      </c>
      <c r="P2104" s="10"/>
      <c r="Q2104" s="27" t="b">
        <v>1</v>
      </c>
      <c r="R2104" s="10"/>
    </row>
    <row r="2105">
      <c r="A2105" s="6" t="s">
        <v>10640</v>
      </c>
      <c r="B2105" s="6" t="s">
        <v>35</v>
      </c>
      <c r="C2105" s="8">
        <v>46080.0</v>
      </c>
      <c r="D2105" s="6" t="s">
        <v>233</v>
      </c>
      <c r="E2105" s="6" t="s">
        <v>12149</v>
      </c>
      <c r="F2105" s="10"/>
      <c r="G2105" s="26" t="s">
        <v>12151</v>
      </c>
      <c r="H2105" s="6" t="s">
        <v>12152</v>
      </c>
      <c r="I2105" s="17" t="b">
        <v>1</v>
      </c>
      <c r="J2105" s="26" t="s">
        <v>8596</v>
      </c>
      <c r="K2105" s="10"/>
      <c r="L2105" s="10"/>
      <c r="M2105" s="10"/>
      <c r="N2105" s="10"/>
      <c r="O2105" s="26">
        <v>85.68</v>
      </c>
      <c r="P2105" s="18">
        <v>2027408.0</v>
      </c>
      <c r="Q2105" s="27" t="b">
        <v>1</v>
      </c>
      <c r="R2105" s="10"/>
    </row>
    <row r="2106">
      <c r="A2106" s="6" t="s">
        <v>10650</v>
      </c>
      <c r="B2106" s="6" t="s">
        <v>35</v>
      </c>
      <c r="C2106" s="8">
        <v>46080.0</v>
      </c>
      <c r="D2106" s="18">
        <v>8.627274E7</v>
      </c>
      <c r="E2106" s="6" t="s">
        <v>12155</v>
      </c>
      <c r="F2106" s="10"/>
      <c r="G2106" s="26" t="s">
        <v>12156</v>
      </c>
      <c r="H2106" s="6" t="s">
        <v>11625</v>
      </c>
      <c r="I2106" s="17" t="b">
        <v>1</v>
      </c>
      <c r="J2106" s="26" t="s">
        <v>8596</v>
      </c>
      <c r="K2106" s="10"/>
      <c r="L2106" s="10"/>
      <c r="M2106" s="10"/>
      <c r="N2106" s="10"/>
      <c r="O2106" s="26">
        <v>95.45</v>
      </c>
      <c r="P2106" s="18">
        <v>2027406.0</v>
      </c>
      <c r="Q2106" s="27" t="b">
        <v>1</v>
      </c>
      <c r="R2106" s="10"/>
    </row>
    <row r="2107">
      <c r="A2107" s="18">
        <v>11922.0</v>
      </c>
      <c r="B2107" s="6" t="s">
        <v>35</v>
      </c>
      <c r="C2107" s="8">
        <v>46081.0</v>
      </c>
      <c r="D2107" s="10"/>
      <c r="E2107" s="10"/>
      <c r="F2107" s="10"/>
      <c r="G2107" s="10"/>
      <c r="H2107" s="6" t="s">
        <v>8658</v>
      </c>
      <c r="I2107" s="10"/>
      <c r="J2107" s="6" t="s">
        <v>539</v>
      </c>
      <c r="K2107" s="6" t="s">
        <v>117</v>
      </c>
      <c r="L2107" s="10"/>
      <c r="M2107" s="10"/>
      <c r="N2107" s="10"/>
      <c r="O2107" s="18">
        <v>1362.7</v>
      </c>
      <c r="P2107" s="10"/>
      <c r="Q2107" s="17" t="b">
        <v>1</v>
      </c>
      <c r="R2107" s="10"/>
    </row>
    <row r="2108">
      <c r="A2108" s="6" t="s">
        <v>10588</v>
      </c>
      <c r="B2108" s="6" t="s">
        <v>35</v>
      </c>
      <c r="C2108" s="8">
        <v>46077.0</v>
      </c>
      <c r="D2108" s="6" t="s">
        <v>890</v>
      </c>
      <c r="E2108" s="6" t="s">
        <v>12161</v>
      </c>
      <c r="F2108" s="10"/>
      <c r="G2108" s="26" t="s">
        <v>12162</v>
      </c>
      <c r="H2108" s="6" t="s">
        <v>12164</v>
      </c>
      <c r="I2108" s="17" t="b">
        <v>0</v>
      </c>
      <c r="J2108" s="26" t="s">
        <v>8596</v>
      </c>
      <c r="K2108" s="10"/>
      <c r="L2108" s="26" t="s">
        <v>12165</v>
      </c>
      <c r="M2108" s="10"/>
      <c r="N2108" s="10"/>
      <c r="O2108" s="26">
        <v>6247.55</v>
      </c>
      <c r="P2108" s="10"/>
      <c r="Q2108" s="27" t="b">
        <v>1</v>
      </c>
      <c r="R2108" s="10"/>
    </row>
    <row r="2109">
      <c r="A2109" s="6" t="s">
        <v>10595</v>
      </c>
      <c r="B2109" s="6" t="s">
        <v>35</v>
      </c>
      <c r="C2109" s="8">
        <v>46077.0</v>
      </c>
      <c r="D2109" s="6" t="s">
        <v>890</v>
      </c>
      <c r="E2109" s="6" t="s">
        <v>12168</v>
      </c>
      <c r="F2109" s="10"/>
      <c r="G2109" s="26" t="s">
        <v>12169</v>
      </c>
      <c r="H2109" s="6" t="s">
        <v>12171</v>
      </c>
      <c r="I2109" s="17" t="b">
        <v>0</v>
      </c>
      <c r="J2109" s="26" t="s">
        <v>8596</v>
      </c>
      <c r="K2109" s="10"/>
      <c r="L2109" s="10"/>
      <c r="M2109" s="10"/>
      <c r="N2109" s="10"/>
      <c r="O2109" s="26">
        <v>1294.21</v>
      </c>
      <c r="P2109" s="10"/>
      <c r="Q2109" s="27" t="b">
        <v>1</v>
      </c>
      <c r="R2109" s="10"/>
    </row>
    <row r="2110">
      <c r="A2110" s="6" t="s">
        <v>10617</v>
      </c>
      <c r="B2110" s="6" t="s">
        <v>35</v>
      </c>
      <c r="C2110" s="8">
        <v>46079.0</v>
      </c>
      <c r="D2110" s="6" t="s">
        <v>11765</v>
      </c>
      <c r="E2110" s="6" t="s">
        <v>12173</v>
      </c>
      <c r="F2110" s="10"/>
      <c r="G2110" s="26" t="s">
        <v>12174</v>
      </c>
      <c r="H2110" s="6" t="s">
        <v>195</v>
      </c>
      <c r="I2110" s="17" t="b">
        <v>0</v>
      </c>
      <c r="J2110" s="26" t="s">
        <v>8596</v>
      </c>
      <c r="K2110" s="10"/>
      <c r="L2110" s="10"/>
      <c r="M2110" s="10"/>
      <c r="N2110" s="10"/>
      <c r="O2110" s="26">
        <v>437.4</v>
      </c>
      <c r="P2110" s="10"/>
      <c r="Q2110" s="27" t="b">
        <v>1</v>
      </c>
      <c r="R2110" s="10"/>
    </row>
    <row r="2111">
      <c r="A2111" s="6" t="s">
        <v>10668</v>
      </c>
      <c r="B2111" s="6" t="s">
        <v>35</v>
      </c>
      <c r="C2111" s="8">
        <v>46081.0</v>
      </c>
      <c r="D2111" s="6" t="s">
        <v>11926</v>
      </c>
      <c r="E2111" s="6" t="s">
        <v>12178</v>
      </c>
      <c r="F2111" s="10"/>
      <c r="G2111" s="26" t="s">
        <v>12180</v>
      </c>
      <c r="H2111" s="6" t="s">
        <v>140</v>
      </c>
      <c r="I2111" s="17" t="b">
        <v>0</v>
      </c>
      <c r="J2111" s="26" t="s">
        <v>8596</v>
      </c>
      <c r="K2111" s="10"/>
      <c r="L2111" s="10"/>
      <c r="M2111" s="10"/>
      <c r="N2111" s="10"/>
      <c r="O2111" s="26">
        <v>375.0</v>
      </c>
      <c r="P2111" s="10"/>
      <c r="Q2111" s="27" t="b">
        <v>1</v>
      </c>
      <c r="R2111" s="10"/>
    </row>
    <row r="2112">
      <c r="A2112" s="6" t="s">
        <v>10696</v>
      </c>
      <c r="B2112" s="6" t="s">
        <v>35</v>
      </c>
      <c r="C2112" s="8">
        <v>46083.0</v>
      </c>
      <c r="D2112" s="6" t="s">
        <v>11779</v>
      </c>
      <c r="E2112" s="6" t="s">
        <v>12183</v>
      </c>
      <c r="F2112" s="10"/>
      <c r="G2112" s="26" t="s">
        <v>12184</v>
      </c>
      <c r="H2112" s="6" t="s">
        <v>12185</v>
      </c>
      <c r="I2112" s="17" t="b">
        <v>1</v>
      </c>
      <c r="J2112" s="26" t="s">
        <v>8596</v>
      </c>
      <c r="K2112" s="10"/>
      <c r="L2112" s="10"/>
      <c r="M2112" s="10"/>
      <c r="N2112" s="10"/>
      <c r="O2112" s="26">
        <v>78.97</v>
      </c>
      <c r="P2112" s="18">
        <v>2034608.0</v>
      </c>
      <c r="Q2112" s="27" t="b">
        <v>1</v>
      </c>
      <c r="R2112" s="10"/>
    </row>
    <row r="2113">
      <c r="A2113" s="6" t="s">
        <v>10702</v>
      </c>
      <c r="B2113" s="6" t="s">
        <v>35</v>
      </c>
      <c r="C2113" s="8">
        <v>46083.0</v>
      </c>
      <c r="D2113" s="6" t="s">
        <v>112</v>
      </c>
      <c r="E2113" s="6" t="s">
        <v>12189</v>
      </c>
      <c r="F2113" s="10"/>
      <c r="G2113" s="26" t="s">
        <v>12190</v>
      </c>
      <c r="H2113" s="6" t="s">
        <v>157</v>
      </c>
      <c r="I2113" s="17" t="b">
        <v>0</v>
      </c>
      <c r="J2113" s="26" t="s">
        <v>8596</v>
      </c>
      <c r="K2113" s="10"/>
      <c r="L2113" s="10"/>
      <c r="M2113" s="10"/>
      <c r="N2113" s="10"/>
      <c r="O2113" s="26">
        <v>470.84</v>
      </c>
      <c r="P2113" s="10"/>
      <c r="Q2113" s="27" t="b">
        <v>1</v>
      </c>
      <c r="R2113" s="10"/>
    </row>
    <row r="2114">
      <c r="A2114" s="6" t="s">
        <v>10672</v>
      </c>
      <c r="B2114" s="6" t="s">
        <v>35</v>
      </c>
      <c r="C2114" s="8">
        <v>46082.0</v>
      </c>
      <c r="D2114" s="6" t="s">
        <v>12191</v>
      </c>
      <c r="E2114" s="6" t="s">
        <v>12192</v>
      </c>
      <c r="F2114" s="10"/>
      <c r="G2114" s="26" t="s">
        <v>12193</v>
      </c>
      <c r="H2114" s="6" t="s">
        <v>12194</v>
      </c>
      <c r="I2114" s="17" t="b">
        <v>1</v>
      </c>
      <c r="J2114" s="26" t="s">
        <v>8596</v>
      </c>
      <c r="K2114" s="10"/>
      <c r="L2114" s="10"/>
      <c r="M2114" s="10"/>
      <c r="N2114" s="10"/>
      <c r="O2114" s="26">
        <v>8.9</v>
      </c>
      <c r="P2114" s="18">
        <v>2032873.0</v>
      </c>
      <c r="Q2114" s="27" t="b">
        <v>1</v>
      </c>
      <c r="R2114" s="10"/>
    </row>
    <row r="2115">
      <c r="A2115" s="6" t="s">
        <v>10693</v>
      </c>
      <c r="B2115" s="6" t="s">
        <v>35</v>
      </c>
      <c r="C2115" s="8">
        <v>46082.0</v>
      </c>
      <c r="D2115" s="18">
        <v>8.627274E7</v>
      </c>
      <c r="E2115" s="6" t="s">
        <v>12196</v>
      </c>
      <c r="F2115" s="10"/>
      <c r="G2115" s="26" t="s">
        <v>12197</v>
      </c>
      <c r="H2115" s="6" t="s">
        <v>8510</v>
      </c>
      <c r="I2115" s="17" t="b">
        <v>1</v>
      </c>
      <c r="J2115" s="26" t="s">
        <v>8596</v>
      </c>
      <c r="K2115" s="10"/>
      <c r="L2115" s="10"/>
      <c r="M2115" s="10"/>
      <c r="N2115" s="10"/>
      <c r="O2115" s="26">
        <v>24.19</v>
      </c>
      <c r="P2115" s="18">
        <v>2032864.0</v>
      </c>
      <c r="Q2115" s="27" t="b">
        <v>1</v>
      </c>
      <c r="R2115" s="10"/>
    </row>
    <row r="2116">
      <c r="A2116" s="6" t="s">
        <v>10559</v>
      </c>
      <c r="B2116" s="6" t="s">
        <v>35</v>
      </c>
      <c r="C2116" s="8">
        <v>46073.0</v>
      </c>
      <c r="D2116" s="6" t="s">
        <v>3155</v>
      </c>
      <c r="E2116" s="6" t="s">
        <v>12200</v>
      </c>
      <c r="F2116" s="10"/>
      <c r="G2116" s="26" t="s">
        <v>12202</v>
      </c>
      <c r="H2116" s="6" t="s">
        <v>9926</v>
      </c>
      <c r="I2116" s="17" t="b">
        <v>0</v>
      </c>
      <c r="J2116" s="26" t="s">
        <v>8596</v>
      </c>
      <c r="K2116" s="10"/>
      <c r="L2116" s="10"/>
      <c r="M2116" s="10"/>
      <c r="N2116" s="10"/>
      <c r="O2116" s="26">
        <v>124.16</v>
      </c>
      <c r="P2116" s="10"/>
      <c r="Q2116" s="27" t="b">
        <v>1</v>
      </c>
      <c r="R2116" s="10"/>
    </row>
    <row r="2117">
      <c r="A2117" s="6" t="s">
        <v>10712</v>
      </c>
      <c r="B2117" s="6" t="s">
        <v>35</v>
      </c>
      <c r="C2117" s="8">
        <v>46083.0</v>
      </c>
      <c r="D2117" s="6" t="s">
        <v>11926</v>
      </c>
      <c r="E2117" s="6" t="s">
        <v>12203</v>
      </c>
      <c r="F2117" s="10"/>
      <c r="G2117" s="26" t="s">
        <v>12204</v>
      </c>
      <c r="H2117" s="6" t="s">
        <v>140</v>
      </c>
      <c r="I2117" s="17" t="b">
        <v>0</v>
      </c>
      <c r="J2117" s="26" t="s">
        <v>8596</v>
      </c>
      <c r="K2117" s="10"/>
      <c r="L2117" s="10"/>
      <c r="M2117" s="10"/>
      <c r="N2117" s="10"/>
      <c r="O2117" s="26">
        <v>250.0</v>
      </c>
      <c r="P2117" s="10"/>
      <c r="Q2117" s="27" t="b">
        <v>1</v>
      </c>
      <c r="R2117" s="10"/>
    </row>
    <row r="2118">
      <c r="A2118" s="6" t="s">
        <v>9896</v>
      </c>
      <c r="B2118" s="6" t="s">
        <v>35</v>
      </c>
      <c r="C2118" s="8">
        <v>46083.0</v>
      </c>
      <c r="D2118" s="6" t="s">
        <v>460</v>
      </c>
      <c r="E2118" s="10"/>
      <c r="F2118" s="10"/>
      <c r="G2118" s="10"/>
      <c r="H2118" s="6" t="s">
        <v>12208</v>
      </c>
      <c r="I2118" s="10"/>
      <c r="J2118" s="6" t="s">
        <v>539</v>
      </c>
      <c r="K2118" s="10"/>
      <c r="L2118" s="10"/>
      <c r="M2118" s="10"/>
      <c r="N2118" s="10"/>
      <c r="O2118" s="18">
        <v>264.55</v>
      </c>
      <c r="P2118" s="10"/>
      <c r="Q2118" s="17" t="b">
        <v>1</v>
      </c>
      <c r="R2118" s="10"/>
    </row>
    <row r="2119">
      <c r="A2119" s="18">
        <v>11913.0</v>
      </c>
      <c r="B2119" s="6" t="s">
        <v>35</v>
      </c>
      <c r="C2119" s="8">
        <v>46083.0</v>
      </c>
      <c r="D2119" s="6" t="s">
        <v>10315</v>
      </c>
      <c r="E2119" s="10"/>
      <c r="F2119" s="10"/>
      <c r="G2119" s="10"/>
      <c r="H2119" s="6" t="s">
        <v>12212</v>
      </c>
      <c r="I2119" s="10"/>
      <c r="J2119" s="6" t="s">
        <v>539</v>
      </c>
      <c r="K2119" s="10"/>
      <c r="L2119" s="10"/>
      <c r="M2119" s="10"/>
      <c r="N2119" s="10"/>
      <c r="O2119" s="18">
        <v>0.01</v>
      </c>
      <c r="P2119" s="10"/>
      <c r="Q2119" s="17" t="b">
        <v>1</v>
      </c>
      <c r="R2119" s="10"/>
    </row>
    <row r="2120">
      <c r="A2120" s="18">
        <v>11920.0</v>
      </c>
      <c r="B2120" s="6" t="s">
        <v>35</v>
      </c>
      <c r="C2120" s="8">
        <v>46083.0</v>
      </c>
      <c r="D2120" s="10"/>
      <c r="E2120" s="10"/>
      <c r="F2120" s="10"/>
      <c r="G2120" s="10"/>
      <c r="H2120" s="6" t="s">
        <v>8658</v>
      </c>
      <c r="I2120" s="10"/>
      <c r="J2120" s="6" t="s">
        <v>539</v>
      </c>
      <c r="K2120" s="6" t="s">
        <v>2052</v>
      </c>
      <c r="L2120" s="10"/>
      <c r="M2120" s="10"/>
      <c r="N2120" s="10"/>
      <c r="O2120" s="18">
        <v>1710.65</v>
      </c>
      <c r="P2120" s="10"/>
      <c r="Q2120" s="17" t="b">
        <v>1</v>
      </c>
      <c r="R2120" s="10"/>
    </row>
    <row r="2121">
      <c r="A2121" s="18">
        <v>11921.0</v>
      </c>
      <c r="B2121" s="6" t="s">
        <v>35</v>
      </c>
      <c r="C2121" s="8">
        <v>46082.0</v>
      </c>
      <c r="D2121" s="10"/>
      <c r="E2121" s="10"/>
      <c r="F2121" s="10"/>
      <c r="G2121" s="10"/>
      <c r="H2121" s="6" t="s">
        <v>8658</v>
      </c>
      <c r="I2121" s="10"/>
      <c r="J2121" s="6" t="s">
        <v>539</v>
      </c>
      <c r="K2121" s="6" t="s">
        <v>227</v>
      </c>
      <c r="L2121" s="10"/>
      <c r="M2121" s="10"/>
      <c r="N2121" s="10"/>
      <c r="O2121" s="18">
        <v>1681.43</v>
      </c>
      <c r="P2121" s="10"/>
      <c r="Q2121" s="17" t="b">
        <v>1</v>
      </c>
      <c r="R2121" s="10"/>
    </row>
    <row r="2122">
      <c r="A2122" s="18">
        <v>11923.0</v>
      </c>
      <c r="B2122" s="6" t="s">
        <v>35</v>
      </c>
      <c r="C2122" s="8">
        <v>46083.0</v>
      </c>
      <c r="D2122" s="10"/>
      <c r="E2122" s="10"/>
      <c r="F2122" s="10"/>
      <c r="G2122" s="10"/>
      <c r="H2122" s="6" t="s">
        <v>8658</v>
      </c>
      <c r="I2122" s="10"/>
      <c r="J2122" s="6" t="s">
        <v>539</v>
      </c>
      <c r="K2122" s="6" t="s">
        <v>218</v>
      </c>
      <c r="L2122" s="10"/>
      <c r="M2122" s="10"/>
      <c r="N2122" s="10"/>
      <c r="O2122" s="18">
        <v>4540.04</v>
      </c>
      <c r="P2122" s="10"/>
      <c r="Q2122" s="17" t="b">
        <v>1</v>
      </c>
      <c r="R2122" s="10"/>
    </row>
    <row r="2123">
      <c r="A2123" s="18">
        <v>11924.0</v>
      </c>
      <c r="B2123" s="6" t="s">
        <v>35</v>
      </c>
      <c r="C2123" s="8">
        <v>46083.0</v>
      </c>
      <c r="D2123" s="10"/>
      <c r="E2123" s="10"/>
      <c r="F2123" s="10"/>
      <c r="G2123" s="10"/>
      <c r="H2123" s="6" t="s">
        <v>8658</v>
      </c>
      <c r="I2123" s="10"/>
      <c r="J2123" s="6" t="s">
        <v>539</v>
      </c>
      <c r="K2123" s="6" t="s">
        <v>336</v>
      </c>
      <c r="L2123" s="10"/>
      <c r="M2123" s="10"/>
      <c r="N2123" s="10"/>
      <c r="O2123" s="18">
        <v>2191.19</v>
      </c>
      <c r="P2123" s="10"/>
      <c r="Q2123" s="17" t="b">
        <v>1</v>
      </c>
      <c r="R2123" s="10"/>
    </row>
    <row r="2124">
      <c r="A2124" s="6" t="s">
        <v>9914</v>
      </c>
      <c r="B2124" s="6" t="s">
        <v>35</v>
      </c>
      <c r="C2124" s="8">
        <v>46084.0</v>
      </c>
      <c r="D2124" s="6" t="s">
        <v>2280</v>
      </c>
      <c r="E2124" s="10"/>
      <c r="F2124" s="10"/>
      <c r="G2124" s="10"/>
      <c r="H2124" s="6" t="s">
        <v>8658</v>
      </c>
      <c r="I2124" s="10"/>
      <c r="J2124" s="6" t="s">
        <v>539</v>
      </c>
      <c r="K2124" s="10"/>
      <c r="L2124" s="10"/>
      <c r="M2124" s="10"/>
      <c r="N2124" s="10"/>
      <c r="O2124" s="18">
        <v>3322.57</v>
      </c>
      <c r="P2124" s="10"/>
      <c r="Q2124" s="17" t="b">
        <v>1</v>
      </c>
      <c r="R2124" s="10"/>
    </row>
    <row r="2125">
      <c r="A2125" s="6" t="s">
        <v>10664</v>
      </c>
      <c r="B2125" s="6" t="s">
        <v>35</v>
      </c>
      <c r="C2125" s="8">
        <v>46080.0</v>
      </c>
      <c r="D2125" s="6" t="s">
        <v>890</v>
      </c>
      <c r="E2125" s="6" t="s">
        <v>12228</v>
      </c>
      <c r="F2125" s="10"/>
      <c r="G2125" s="26" t="s">
        <v>12230</v>
      </c>
      <c r="H2125" s="6" t="s">
        <v>12231</v>
      </c>
      <c r="I2125" s="17" t="b">
        <v>0</v>
      </c>
      <c r="J2125" s="26" t="s">
        <v>8596</v>
      </c>
      <c r="K2125" s="10"/>
      <c r="L2125" s="10"/>
      <c r="M2125" s="10"/>
      <c r="N2125" s="10"/>
      <c r="O2125" s="26">
        <v>285.09</v>
      </c>
      <c r="P2125" s="10"/>
      <c r="Q2125" s="27" t="b">
        <v>1</v>
      </c>
      <c r="R2125" s="10"/>
    </row>
    <row r="2126">
      <c r="A2126" s="6" t="s">
        <v>10724</v>
      </c>
      <c r="B2126" s="6" t="s">
        <v>35</v>
      </c>
      <c r="C2126" s="8">
        <v>46085.0</v>
      </c>
      <c r="D2126" s="6" t="s">
        <v>420</v>
      </c>
      <c r="E2126" s="6" t="s">
        <v>12233</v>
      </c>
      <c r="F2126" s="10"/>
      <c r="G2126" s="26" t="s">
        <v>12234</v>
      </c>
      <c r="H2126" s="6" t="s">
        <v>12235</v>
      </c>
      <c r="I2126" s="17" t="b">
        <v>0</v>
      </c>
      <c r="J2126" s="26" t="s">
        <v>8596</v>
      </c>
      <c r="K2126" s="10"/>
      <c r="L2126" s="26" t="s">
        <v>12236</v>
      </c>
      <c r="M2126" s="10"/>
      <c r="N2126" s="10"/>
      <c r="O2126" s="26">
        <v>2020.37</v>
      </c>
      <c r="P2126" s="10"/>
      <c r="Q2126" s="27" t="b">
        <v>1</v>
      </c>
      <c r="R2126" s="10"/>
    </row>
    <row r="2127">
      <c r="A2127" s="6" t="s">
        <v>10764</v>
      </c>
      <c r="B2127" s="6" t="s">
        <v>35</v>
      </c>
      <c r="C2127" s="8">
        <v>46086.0</v>
      </c>
      <c r="D2127" s="6" t="s">
        <v>11765</v>
      </c>
      <c r="E2127" s="6" t="s">
        <v>12238</v>
      </c>
      <c r="F2127" s="10"/>
      <c r="G2127" s="26" t="s">
        <v>12240</v>
      </c>
      <c r="H2127" s="6" t="s">
        <v>195</v>
      </c>
      <c r="I2127" s="17" t="b">
        <v>0</v>
      </c>
      <c r="J2127" s="26" t="s">
        <v>8596</v>
      </c>
      <c r="K2127" s="10"/>
      <c r="L2127" s="26" t="s">
        <v>12241</v>
      </c>
      <c r="M2127" s="10"/>
      <c r="N2127" s="10"/>
      <c r="O2127" s="26">
        <v>1347.4</v>
      </c>
      <c r="P2127" s="10"/>
      <c r="Q2127" s="27" t="b">
        <v>1</v>
      </c>
      <c r="R2127" s="10"/>
    </row>
    <row r="2128">
      <c r="A2128" s="6" t="s">
        <v>10714</v>
      </c>
      <c r="B2128" s="6" t="s">
        <v>35</v>
      </c>
      <c r="C2128" s="8">
        <v>46084.0</v>
      </c>
      <c r="D2128" s="6" t="s">
        <v>890</v>
      </c>
      <c r="E2128" s="6" t="s">
        <v>12243</v>
      </c>
      <c r="F2128" s="10"/>
      <c r="G2128" s="26" t="s">
        <v>12244</v>
      </c>
      <c r="H2128" s="6" t="s">
        <v>12245</v>
      </c>
      <c r="I2128" s="17" t="b">
        <v>0</v>
      </c>
      <c r="J2128" s="26" t="s">
        <v>8596</v>
      </c>
      <c r="K2128" s="10"/>
      <c r="L2128" s="26" t="s">
        <v>12247</v>
      </c>
      <c r="M2128" s="10"/>
      <c r="N2128" s="10"/>
      <c r="O2128" s="26">
        <v>5657.72</v>
      </c>
      <c r="P2128" s="10"/>
      <c r="Q2128" s="27" t="b">
        <v>1</v>
      </c>
      <c r="R2128" s="10"/>
    </row>
    <row r="2129">
      <c r="A2129" s="6" t="s">
        <v>10778</v>
      </c>
      <c r="B2129" s="6" t="s">
        <v>35</v>
      </c>
      <c r="C2129" s="8">
        <v>46086.0</v>
      </c>
      <c r="D2129" s="6" t="s">
        <v>307</v>
      </c>
      <c r="E2129" s="6" t="s">
        <v>12249</v>
      </c>
      <c r="F2129" s="10"/>
      <c r="G2129" s="26" t="s">
        <v>12251</v>
      </c>
      <c r="H2129" s="6" t="s">
        <v>12252</v>
      </c>
      <c r="I2129" s="17" t="b">
        <v>1</v>
      </c>
      <c r="J2129" s="26" t="s">
        <v>8596</v>
      </c>
      <c r="K2129" s="10"/>
      <c r="L2129" s="10"/>
      <c r="M2129" s="10"/>
      <c r="N2129" s="10"/>
      <c r="O2129" s="26">
        <v>128.8</v>
      </c>
      <c r="P2129" s="18">
        <v>2040300.0</v>
      </c>
      <c r="Q2129" s="27" t="b">
        <v>1</v>
      </c>
      <c r="R2129" s="10"/>
    </row>
    <row r="2130">
      <c r="A2130" s="6" t="s">
        <v>10720</v>
      </c>
      <c r="B2130" s="6" t="s">
        <v>35</v>
      </c>
      <c r="C2130" s="8">
        <v>46084.0</v>
      </c>
      <c r="D2130" s="6" t="s">
        <v>12255</v>
      </c>
      <c r="E2130" s="6" t="s">
        <v>12256</v>
      </c>
      <c r="F2130" s="10"/>
      <c r="G2130" s="26" t="s">
        <v>12257</v>
      </c>
      <c r="H2130" s="6" t="s">
        <v>12258</v>
      </c>
      <c r="I2130" s="17" t="b">
        <v>1</v>
      </c>
      <c r="J2130" s="26" t="s">
        <v>8596</v>
      </c>
      <c r="K2130" s="10"/>
      <c r="L2130" s="10"/>
      <c r="M2130" s="10"/>
      <c r="N2130" s="10"/>
      <c r="O2130" s="26">
        <v>6.0</v>
      </c>
      <c r="P2130" s="18">
        <v>2040295.0</v>
      </c>
      <c r="Q2130" s="27" t="b">
        <v>1</v>
      </c>
      <c r="R2130" s="10"/>
    </row>
    <row r="2131">
      <c r="A2131" s="6" t="s">
        <v>10760</v>
      </c>
      <c r="B2131" s="6" t="s">
        <v>35</v>
      </c>
      <c r="C2131" s="8">
        <v>46085.0</v>
      </c>
      <c r="D2131" s="6" t="s">
        <v>233</v>
      </c>
      <c r="E2131" s="6" t="s">
        <v>12260</v>
      </c>
      <c r="F2131" s="10"/>
      <c r="G2131" s="26" t="s">
        <v>12261</v>
      </c>
      <c r="H2131" s="6" t="s">
        <v>11361</v>
      </c>
      <c r="I2131" s="17" t="b">
        <v>1</v>
      </c>
      <c r="J2131" s="26" t="s">
        <v>8596</v>
      </c>
      <c r="K2131" s="10"/>
      <c r="L2131" s="10"/>
      <c r="M2131" s="10"/>
      <c r="N2131" s="10"/>
      <c r="O2131" s="26">
        <v>6.22</v>
      </c>
      <c r="P2131" s="18">
        <v>2040290.0</v>
      </c>
      <c r="Q2131" s="27" t="b">
        <v>1</v>
      </c>
      <c r="R2131" s="10"/>
    </row>
    <row r="2132">
      <c r="A2132" s="6" t="s">
        <v>10836</v>
      </c>
      <c r="B2132" s="6" t="s">
        <v>35</v>
      </c>
      <c r="C2132" s="8">
        <v>46088.0</v>
      </c>
      <c r="D2132" s="6" t="s">
        <v>112</v>
      </c>
      <c r="E2132" s="6" t="s">
        <v>12264</v>
      </c>
      <c r="F2132" s="10"/>
      <c r="G2132" s="26" t="s">
        <v>12265</v>
      </c>
      <c r="H2132" s="6" t="s">
        <v>157</v>
      </c>
      <c r="I2132" s="17" t="b">
        <v>0</v>
      </c>
      <c r="J2132" s="26" t="s">
        <v>8596</v>
      </c>
      <c r="K2132" s="10"/>
      <c r="L2132" s="10"/>
      <c r="M2132" s="10"/>
      <c r="N2132" s="10"/>
      <c r="O2132" s="26">
        <v>371.44</v>
      </c>
      <c r="P2132" s="10"/>
      <c r="Q2132" s="27" t="b">
        <v>1</v>
      </c>
      <c r="R2132" s="10"/>
    </row>
    <row r="2133">
      <c r="A2133" s="6" t="s">
        <v>10789</v>
      </c>
      <c r="B2133" s="6" t="s">
        <v>35</v>
      </c>
      <c r="C2133" s="8">
        <v>46087.0</v>
      </c>
      <c r="D2133" s="6" t="s">
        <v>11784</v>
      </c>
      <c r="E2133" s="6" t="s">
        <v>12267</v>
      </c>
      <c r="F2133" s="10"/>
      <c r="G2133" s="26" t="s">
        <v>12268</v>
      </c>
      <c r="H2133" s="6" t="s">
        <v>147</v>
      </c>
      <c r="I2133" s="17" t="b">
        <v>1</v>
      </c>
      <c r="J2133" s="26" t="s">
        <v>8596</v>
      </c>
      <c r="K2133" s="10"/>
      <c r="L2133" s="10"/>
      <c r="M2133" s="10"/>
      <c r="N2133" s="10"/>
      <c r="O2133" s="26">
        <v>257.0</v>
      </c>
      <c r="P2133" s="18">
        <v>2042873.0</v>
      </c>
      <c r="Q2133" s="27" t="b">
        <v>1</v>
      </c>
      <c r="R2133" s="10"/>
    </row>
    <row r="2134">
      <c r="A2134" s="6" t="s">
        <v>10796</v>
      </c>
      <c r="B2134" s="6" t="s">
        <v>35</v>
      </c>
      <c r="C2134" s="8">
        <v>46087.0</v>
      </c>
      <c r="D2134" s="6" t="s">
        <v>12270</v>
      </c>
      <c r="E2134" s="6" t="s">
        <v>12271</v>
      </c>
      <c r="F2134" s="10"/>
      <c r="G2134" s="26" t="s">
        <v>12273</v>
      </c>
      <c r="H2134" s="6" t="s">
        <v>11625</v>
      </c>
      <c r="I2134" s="17" t="b">
        <v>1</v>
      </c>
      <c r="J2134" s="26" t="s">
        <v>8596</v>
      </c>
      <c r="K2134" s="10"/>
      <c r="L2134" s="10"/>
      <c r="M2134" s="10"/>
      <c r="N2134" s="10"/>
      <c r="O2134" s="26">
        <v>97.75</v>
      </c>
      <c r="P2134" s="18">
        <v>2042890.0</v>
      </c>
      <c r="Q2134" s="27" t="b">
        <v>1</v>
      </c>
      <c r="R2134" s="10"/>
    </row>
    <row r="2135">
      <c r="A2135" s="6" t="s">
        <v>10814</v>
      </c>
      <c r="B2135" s="6" t="s">
        <v>35</v>
      </c>
      <c r="C2135" s="8">
        <v>46087.0</v>
      </c>
      <c r="D2135" s="6" t="s">
        <v>12275</v>
      </c>
      <c r="E2135" s="6" t="s">
        <v>12276</v>
      </c>
      <c r="F2135" s="10"/>
      <c r="G2135" s="26" t="s">
        <v>12277</v>
      </c>
      <c r="H2135" s="6" t="s">
        <v>12278</v>
      </c>
      <c r="I2135" s="17" t="b">
        <v>1</v>
      </c>
      <c r="J2135" s="26" t="s">
        <v>8596</v>
      </c>
      <c r="K2135" s="10"/>
      <c r="L2135" s="10"/>
      <c r="M2135" s="10"/>
      <c r="N2135" s="10"/>
      <c r="O2135" s="26">
        <v>12.99</v>
      </c>
      <c r="P2135" s="18">
        <v>2042885.0</v>
      </c>
      <c r="Q2135" s="27" t="b">
        <v>1</v>
      </c>
      <c r="R2135" s="10"/>
    </row>
    <row r="2136">
      <c r="A2136" s="18">
        <v>7.8068056E7</v>
      </c>
      <c r="B2136" s="6" t="s">
        <v>35</v>
      </c>
      <c r="C2136" s="8">
        <v>46087.0</v>
      </c>
      <c r="D2136" s="6" t="s">
        <v>12280</v>
      </c>
      <c r="E2136" s="6" t="s">
        <v>12281</v>
      </c>
      <c r="F2136" s="10"/>
      <c r="G2136" s="26" t="s">
        <v>12282</v>
      </c>
      <c r="H2136" s="6" t="s">
        <v>12284</v>
      </c>
      <c r="I2136" s="17" t="b">
        <v>1</v>
      </c>
      <c r="J2136" s="26" t="s">
        <v>8596</v>
      </c>
      <c r="K2136" s="10"/>
      <c r="L2136" s="10"/>
      <c r="M2136" s="10"/>
      <c r="N2136" s="10"/>
      <c r="O2136" s="26">
        <v>134.92</v>
      </c>
      <c r="P2136" s="18">
        <v>2042888.0</v>
      </c>
      <c r="Q2136" s="27" t="b">
        <v>1</v>
      </c>
      <c r="R2136" s="10"/>
    </row>
    <row r="2137">
      <c r="A2137" s="6" t="s">
        <v>10783</v>
      </c>
      <c r="B2137" s="6" t="s">
        <v>35</v>
      </c>
      <c r="C2137" s="8">
        <v>46086.0</v>
      </c>
      <c r="D2137" s="6" t="s">
        <v>890</v>
      </c>
      <c r="E2137" s="6" t="s">
        <v>12286</v>
      </c>
      <c r="F2137" s="10"/>
      <c r="G2137" s="26" t="s">
        <v>12287</v>
      </c>
      <c r="H2137" s="6" t="s">
        <v>12288</v>
      </c>
      <c r="I2137" s="17" t="b">
        <v>0</v>
      </c>
      <c r="J2137" s="26" t="s">
        <v>8596</v>
      </c>
      <c r="K2137" s="10"/>
      <c r="L2137" s="10"/>
      <c r="M2137" s="10"/>
      <c r="N2137" s="10"/>
      <c r="O2137" s="26">
        <v>2279.05</v>
      </c>
      <c r="P2137" s="10"/>
      <c r="Q2137" s="27" t="b">
        <v>1</v>
      </c>
      <c r="R2137" s="10"/>
    </row>
    <row r="2138">
      <c r="A2138" s="6" t="s">
        <v>10848</v>
      </c>
      <c r="B2138" s="6" t="s">
        <v>35</v>
      </c>
      <c r="C2138" s="8">
        <v>46090.0</v>
      </c>
      <c r="D2138" s="18">
        <v>8.627274E7</v>
      </c>
      <c r="E2138" s="6" t="s">
        <v>12290</v>
      </c>
      <c r="F2138" s="10"/>
      <c r="G2138" s="26" t="s">
        <v>12291</v>
      </c>
      <c r="H2138" s="6" t="s">
        <v>11361</v>
      </c>
      <c r="I2138" s="17" t="b">
        <v>1</v>
      </c>
      <c r="J2138" s="26" t="s">
        <v>8596</v>
      </c>
      <c r="K2138" s="10"/>
      <c r="L2138" s="10"/>
      <c r="M2138" s="10"/>
      <c r="N2138" s="10"/>
      <c r="O2138" s="26">
        <v>23.32</v>
      </c>
      <c r="P2138" s="18">
        <v>2050003.0</v>
      </c>
      <c r="Q2138" s="27" t="b">
        <v>1</v>
      </c>
      <c r="R2138" s="10"/>
    </row>
    <row r="2139">
      <c r="A2139" s="6" t="s">
        <v>10854</v>
      </c>
      <c r="B2139" s="6" t="s">
        <v>35</v>
      </c>
      <c r="C2139" s="8">
        <v>46090.0</v>
      </c>
      <c r="D2139" s="6" t="s">
        <v>11779</v>
      </c>
      <c r="E2139" s="6" t="s">
        <v>12293</v>
      </c>
      <c r="F2139" s="10"/>
      <c r="G2139" s="26" t="s">
        <v>12294</v>
      </c>
      <c r="H2139" s="6" t="s">
        <v>12295</v>
      </c>
      <c r="I2139" s="17" t="b">
        <v>1</v>
      </c>
      <c r="J2139" s="26" t="s">
        <v>8596</v>
      </c>
      <c r="K2139" s="10"/>
      <c r="L2139" s="10"/>
      <c r="M2139" s="10"/>
      <c r="N2139" s="10"/>
      <c r="O2139" s="26">
        <v>67.69</v>
      </c>
      <c r="P2139" s="18">
        <v>2050005.0</v>
      </c>
      <c r="Q2139" s="27" t="b">
        <v>1</v>
      </c>
      <c r="R2139" s="10"/>
    </row>
    <row r="2140">
      <c r="A2140" s="18">
        <v>11964.0</v>
      </c>
      <c r="B2140" s="6" t="s">
        <v>35</v>
      </c>
      <c r="C2140" s="8">
        <v>46090.0</v>
      </c>
      <c r="D2140" s="6" t="s">
        <v>2439</v>
      </c>
      <c r="E2140" s="10"/>
      <c r="F2140" s="10"/>
      <c r="G2140" s="10"/>
      <c r="H2140" s="6" t="s">
        <v>12298</v>
      </c>
      <c r="I2140" s="10"/>
      <c r="J2140" s="6" t="s">
        <v>2051</v>
      </c>
      <c r="K2140" s="10"/>
      <c r="L2140" s="10"/>
      <c r="M2140" s="10"/>
      <c r="N2140" s="10"/>
      <c r="O2140" s="18">
        <v>0.0</v>
      </c>
      <c r="P2140" s="10"/>
      <c r="Q2140" s="17" t="b">
        <v>1</v>
      </c>
      <c r="R2140" s="10"/>
    </row>
    <row r="2141">
      <c r="A2141" s="18">
        <v>11965.0</v>
      </c>
      <c r="B2141" s="6" t="s">
        <v>35</v>
      </c>
      <c r="C2141" s="8">
        <v>46090.0</v>
      </c>
      <c r="D2141" s="6" t="s">
        <v>10315</v>
      </c>
      <c r="E2141" s="10"/>
      <c r="F2141" s="10"/>
      <c r="G2141" s="10"/>
      <c r="H2141" s="6" t="s">
        <v>12301</v>
      </c>
      <c r="I2141" s="10"/>
      <c r="J2141" s="6" t="s">
        <v>2051</v>
      </c>
      <c r="K2141" s="10"/>
      <c r="L2141" s="10"/>
      <c r="M2141" s="10"/>
      <c r="N2141" s="10"/>
      <c r="O2141" s="18">
        <v>0.01</v>
      </c>
      <c r="P2141" s="10"/>
      <c r="Q2141" s="17" t="b">
        <v>1</v>
      </c>
      <c r="R2141" s="10"/>
    </row>
    <row r="2142">
      <c r="A2142" s="6" t="s">
        <v>9919</v>
      </c>
      <c r="B2142" s="6" t="s">
        <v>35</v>
      </c>
      <c r="C2142" s="8">
        <v>46091.0</v>
      </c>
      <c r="D2142" s="6" t="s">
        <v>1160</v>
      </c>
      <c r="E2142" s="10"/>
      <c r="F2142" s="10"/>
      <c r="G2142" s="10"/>
      <c r="H2142" s="6" t="s">
        <v>11193</v>
      </c>
      <c r="I2142" s="10"/>
      <c r="J2142" s="6" t="s">
        <v>2051</v>
      </c>
      <c r="K2142" s="10"/>
      <c r="L2142" s="10"/>
      <c r="M2142" s="10"/>
      <c r="N2142" s="10"/>
      <c r="O2142" s="18">
        <v>939.11</v>
      </c>
      <c r="P2142" s="10"/>
      <c r="Q2142" s="17" t="b">
        <v>1</v>
      </c>
      <c r="R2142" s="10"/>
    </row>
    <row r="2143">
      <c r="A2143" s="6" t="s">
        <v>9921</v>
      </c>
      <c r="B2143" s="6" t="s">
        <v>35</v>
      </c>
      <c r="C2143" s="8">
        <v>46091.0</v>
      </c>
      <c r="D2143" s="6" t="s">
        <v>890</v>
      </c>
      <c r="E2143" s="10"/>
      <c r="F2143" s="10"/>
      <c r="G2143" s="10"/>
      <c r="H2143" s="6" t="s">
        <v>12305</v>
      </c>
      <c r="I2143" s="10"/>
      <c r="J2143" s="6" t="s">
        <v>2051</v>
      </c>
      <c r="K2143" s="10"/>
      <c r="L2143" s="10"/>
      <c r="M2143" s="10"/>
      <c r="N2143" s="10"/>
      <c r="O2143" s="18">
        <v>1197.98</v>
      </c>
      <c r="P2143" s="10"/>
      <c r="Q2143" s="17" t="b">
        <v>1</v>
      </c>
      <c r="R2143" s="10"/>
    </row>
    <row r="2144">
      <c r="A2144" s="6" t="s">
        <v>9923</v>
      </c>
      <c r="B2144" s="6" t="s">
        <v>35</v>
      </c>
      <c r="C2144" s="8">
        <v>46091.0</v>
      </c>
      <c r="D2144" s="6" t="s">
        <v>3516</v>
      </c>
      <c r="E2144" s="10"/>
      <c r="F2144" s="10"/>
      <c r="G2144" s="10"/>
      <c r="H2144" s="6" t="s">
        <v>6721</v>
      </c>
      <c r="I2144" s="10"/>
      <c r="J2144" s="6" t="s">
        <v>2051</v>
      </c>
      <c r="K2144" s="10"/>
      <c r="L2144" s="10"/>
      <c r="M2144" s="10"/>
      <c r="N2144" s="10"/>
      <c r="O2144" s="18">
        <v>533.95</v>
      </c>
      <c r="P2144" s="10"/>
      <c r="Q2144" s="17" t="b">
        <v>1</v>
      </c>
      <c r="R2144" s="10"/>
    </row>
    <row r="2145">
      <c r="A2145" s="6" t="s">
        <v>9925</v>
      </c>
      <c r="B2145" s="6" t="s">
        <v>35</v>
      </c>
      <c r="C2145" s="8">
        <v>46091.0</v>
      </c>
      <c r="D2145" s="6" t="s">
        <v>10092</v>
      </c>
      <c r="E2145" s="10"/>
      <c r="F2145" s="10"/>
      <c r="G2145" s="10"/>
      <c r="H2145" s="6" t="s">
        <v>6721</v>
      </c>
      <c r="I2145" s="10"/>
      <c r="J2145" s="6" t="s">
        <v>2051</v>
      </c>
      <c r="K2145" s="10"/>
      <c r="L2145" s="10"/>
      <c r="M2145" s="10"/>
      <c r="N2145" s="10"/>
      <c r="O2145" s="18">
        <v>181.37</v>
      </c>
      <c r="P2145" s="10"/>
      <c r="Q2145" s="17" t="b">
        <v>1</v>
      </c>
      <c r="R2145" s="10"/>
    </row>
    <row r="2146">
      <c r="A2146" s="18">
        <v>11962.0</v>
      </c>
      <c r="B2146" s="6" t="s">
        <v>35</v>
      </c>
      <c r="C2146" s="8">
        <v>46091.0</v>
      </c>
      <c r="D2146" s="6" t="s">
        <v>9929</v>
      </c>
      <c r="E2146" s="10"/>
      <c r="F2146" s="10"/>
      <c r="G2146" s="10"/>
      <c r="H2146" s="6" t="s">
        <v>9930</v>
      </c>
      <c r="I2146" s="10"/>
      <c r="J2146" s="6" t="s">
        <v>2051</v>
      </c>
      <c r="K2146" s="10"/>
      <c r="L2146" s="10"/>
      <c r="M2146" s="10"/>
      <c r="N2146" s="10"/>
      <c r="O2146" s="18">
        <v>9200.0</v>
      </c>
      <c r="P2146" s="10"/>
      <c r="Q2146" s="17" t="b">
        <v>1</v>
      </c>
      <c r="R2146" s="10"/>
    </row>
    <row r="2147">
      <c r="A2147" s="18">
        <v>11966.0</v>
      </c>
      <c r="B2147" s="6" t="s">
        <v>35</v>
      </c>
      <c r="C2147" s="8">
        <v>46091.0</v>
      </c>
      <c r="D2147" s="6" t="s">
        <v>7740</v>
      </c>
      <c r="E2147" s="10"/>
      <c r="F2147" s="10"/>
      <c r="G2147" s="10"/>
      <c r="H2147" s="6" t="s">
        <v>12318</v>
      </c>
      <c r="I2147" s="10"/>
      <c r="J2147" s="6" t="s">
        <v>2051</v>
      </c>
      <c r="K2147" s="10"/>
      <c r="L2147" s="10"/>
      <c r="M2147" s="10"/>
      <c r="N2147" s="10"/>
      <c r="O2147" s="18">
        <v>0.0</v>
      </c>
      <c r="P2147" s="10"/>
      <c r="Q2147" s="17" t="b">
        <v>1</v>
      </c>
      <c r="R2147" s="10"/>
    </row>
    <row r="2148">
      <c r="A2148" s="18">
        <v>11971.0</v>
      </c>
      <c r="B2148" s="6" t="s">
        <v>35</v>
      </c>
      <c r="C2148" s="8">
        <v>46091.0</v>
      </c>
      <c r="D2148" s="6" t="s">
        <v>2248</v>
      </c>
      <c r="E2148" s="10"/>
      <c r="F2148" s="10"/>
      <c r="G2148" s="10"/>
      <c r="H2148" s="6" t="s">
        <v>8055</v>
      </c>
      <c r="I2148" s="10"/>
      <c r="J2148" s="6" t="s">
        <v>2051</v>
      </c>
      <c r="K2148" s="10"/>
      <c r="L2148" s="10"/>
      <c r="M2148" s="10"/>
      <c r="N2148" s="10"/>
      <c r="O2148" s="18">
        <v>185.0</v>
      </c>
      <c r="P2148" s="10"/>
      <c r="Q2148" s="17" t="b">
        <v>1</v>
      </c>
      <c r="R2148" s="10"/>
    </row>
    <row r="2149">
      <c r="A2149" s="18">
        <v>11973.0</v>
      </c>
      <c r="B2149" s="6" t="s">
        <v>35</v>
      </c>
      <c r="C2149" s="8">
        <v>46091.0</v>
      </c>
      <c r="D2149" s="6" t="s">
        <v>3516</v>
      </c>
      <c r="E2149" s="10"/>
      <c r="F2149" s="10"/>
      <c r="G2149" s="10"/>
      <c r="H2149" s="6" t="s">
        <v>10131</v>
      </c>
      <c r="I2149" s="10"/>
      <c r="J2149" s="6" t="s">
        <v>2051</v>
      </c>
      <c r="K2149" s="10"/>
      <c r="L2149" s="10"/>
      <c r="M2149" s="10"/>
      <c r="N2149" s="10"/>
      <c r="O2149" s="18">
        <v>1472.97</v>
      </c>
      <c r="P2149" s="10"/>
      <c r="Q2149" s="17" t="b">
        <v>1</v>
      </c>
      <c r="R2149" s="10"/>
    </row>
    <row r="2150">
      <c r="A2150" s="6" t="s">
        <v>9935</v>
      </c>
      <c r="B2150" s="6" t="s">
        <v>35</v>
      </c>
      <c r="C2150" s="8">
        <v>46091.0</v>
      </c>
      <c r="D2150" s="6" t="s">
        <v>543</v>
      </c>
      <c r="E2150" s="10"/>
      <c r="F2150" s="10"/>
      <c r="G2150" s="10"/>
      <c r="H2150" s="6" t="s">
        <v>12325</v>
      </c>
      <c r="I2150" s="10"/>
      <c r="J2150" s="6" t="s">
        <v>539</v>
      </c>
      <c r="K2150" s="10"/>
      <c r="L2150" s="10"/>
      <c r="M2150" s="10"/>
      <c r="N2150" s="10"/>
      <c r="O2150" s="18">
        <v>221.88</v>
      </c>
      <c r="P2150" s="10"/>
      <c r="Q2150" s="17" t="b">
        <v>1</v>
      </c>
      <c r="R2150" s="10"/>
    </row>
    <row r="2151">
      <c r="A2151" s="6" t="s">
        <v>9937</v>
      </c>
      <c r="B2151" s="6" t="s">
        <v>35</v>
      </c>
      <c r="C2151" s="8">
        <v>46091.0</v>
      </c>
      <c r="D2151" s="6" t="s">
        <v>2685</v>
      </c>
      <c r="E2151" s="10"/>
      <c r="F2151" s="10"/>
      <c r="G2151" s="10"/>
      <c r="H2151" s="6" t="s">
        <v>6721</v>
      </c>
      <c r="I2151" s="10"/>
      <c r="J2151" s="6" t="s">
        <v>2051</v>
      </c>
      <c r="K2151" s="10"/>
      <c r="L2151" s="10"/>
      <c r="M2151" s="10"/>
      <c r="N2151" s="10"/>
      <c r="O2151" s="18">
        <v>28.12</v>
      </c>
      <c r="P2151" s="10"/>
      <c r="Q2151" s="17" t="b">
        <v>1</v>
      </c>
      <c r="R2151" s="10"/>
    </row>
    <row r="2152">
      <c r="A2152" s="6" t="s">
        <v>9940</v>
      </c>
      <c r="B2152" s="6" t="s">
        <v>35</v>
      </c>
      <c r="C2152" s="8">
        <v>46091.0</v>
      </c>
      <c r="D2152" s="6" t="s">
        <v>543</v>
      </c>
      <c r="E2152" s="10"/>
      <c r="F2152" s="10"/>
      <c r="G2152" s="10"/>
      <c r="H2152" s="6" t="s">
        <v>12332</v>
      </c>
      <c r="I2152" s="10"/>
      <c r="J2152" s="6" t="s">
        <v>2051</v>
      </c>
      <c r="K2152" s="10"/>
      <c r="L2152" s="10"/>
      <c r="M2152" s="10"/>
      <c r="N2152" s="10"/>
      <c r="O2152" s="18">
        <v>250.0</v>
      </c>
      <c r="P2152" s="10"/>
      <c r="Q2152" s="17" t="b">
        <v>1</v>
      </c>
      <c r="R2152" s="10"/>
    </row>
    <row r="2153">
      <c r="A2153" s="6" t="s">
        <v>10831</v>
      </c>
      <c r="B2153" s="6" t="s">
        <v>35</v>
      </c>
      <c r="C2153" s="8">
        <v>46087.0</v>
      </c>
      <c r="D2153" s="6" t="s">
        <v>12334</v>
      </c>
      <c r="E2153" s="6" t="s">
        <v>12335</v>
      </c>
      <c r="F2153" s="10"/>
      <c r="G2153" s="26" t="s">
        <v>12337</v>
      </c>
      <c r="H2153" s="6" t="s">
        <v>12338</v>
      </c>
      <c r="I2153" s="17" t="b">
        <v>0</v>
      </c>
      <c r="J2153" s="26" t="s">
        <v>8596</v>
      </c>
      <c r="K2153" s="10"/>
      <c r="L2153" s="10"/>
      <c r="M2153" s="10"/>
      <c r="N2153" s="10"/>
      <c r="O2153" s="26">
        <v>1445.91</v>
      </c>
      <c r="P2153" s="10"/>
      <c r="Q2153" s="27" t="b">
        <v>1</v>
      </c>
      <c r="R2153" s="10"/>
    </row>
    <row r="2154">
      <c r="A2154" s="6" t="s">
        <v>9943</v>
      </c>
      <c r="B2154" s="6" t="s">
        <v>35</v>
      </c>
      <c r="C2154" s="8">
        <v>46093.0</v>
      </c>
      <c r="D2154" s="6" t="s">
        <v>1864</v>
      </c>
      <c r="E2154" s="10"/>
      <c r="F2154" s="10"/>
      <c r="G2154" s="10"/>
      <c r="H2154" s="6" t="s">
        <v>12342</v>
      </c>
      <c r="I2154" s="10"/>
      <c r="J2154" s="6" t="s">
        <v>539</v>
      </c>
      <c r="K2154" s="10"/>
      <c r="L2154" s="10"/>
      <c r="M2154" s="10"/>
      <c r="N2154" s="10"/>
      <c r="O2154" s="18">
        <v>29.09</v>
      </c>
      <c r="P2154" s="10"/>
      <c r="Q2154" s="17" t="b">
        <v>1</v>
      </c>
      <c r="R2154" s="10"/>
    </row>
    <row r="2155">
      <c r="A2155" s="6" t="s">
        <v>10860</v>
      </c>
      <c r="B2155" s="6" t="s">
        <v>35</v>
      </c>
      <c r="C2155" s="8">
        <v>46094.0</v>
      </c>
      <c r="D2155" s="6" t="s">
        <v>5053</v>
      </c>
      <c r="E2155" s="6" t="s">
        <v>12344</v>
      </c>
      <c r="F2155" s="10"/>
      <c r="G2155" s="26" t="s">
        <v>12346</v>
      </c>
      <c r="H2155" s="6" t="s">
        <v>11625</v>
      </c>
      <c r="I2155" s="17" t="b">
        <v>1</v>
      </c>
      <c r="J2155" s="26" t="s">
        <v>8596</v>
      </c>
      <c r="K2155" s="10"/>
      <c r="L2155" s="10"/>
      <c r="M2155" s="10"/>
      <c r="N2155" s="10"/>
      <c r="O2155" s="26">
        <v>90.0</v>
      </c>
      <c r="P2155" s="18">
        <v>2056894.0</v>
      </c>
      <c r="Q2155" s="27" t="b">
        <v>1</v>
      </c>
      <c r="R2155" s="10"/>
    </row>
    <row r="2156">
      <c r="A2156" s="6" t="s">
        <v>10865</v>
      </c>
      <c r="B2156" s="6" t="s">
        <v>35</v>
      </c>
      <c r="C2156" s="8">
        <v>46094.0</v>
      </c>
      <c r="D2156" s="18">
        <v>8.627274E7</v>
      </c>
      <c r="E2156" s="6" t="s">
        <v>12350</v>
      </c>
      <c r="F2156" s="10"/>
      <c r="G2156" s="26" t="s">
        <v>12352</v>
      </c>
      <c r="H2156" s="6" t="s">
        <v>11625</v>
      </c>
      <c r="I2156" s="17" t="b">
        <v>1</v>
      </c>
      <c r="J2156" s="26" t="s">
        <v>8596</v>
      </c>
      <c r="K2156" s="10"/>
      <c r="L2156" s="10"/>
      <c r="M2156" s="10"/>
      <c r="N2156" s="10"/>
      <c r="O2156" s="26">
        <v>47.42</v>
      </c>
      <c r="P2156" s="18">
        <v>2056892.0</v>
      </c>
      <c r="Q2156" s="27" t="b">
        <v>1</v>
      </c>
      <c r="R2156" s="10"/>
    </row>
    <row r="2157">
      <c r="A2157" s="6" t="s">
        <v>10872</v>
      </c>
      <c r="B2157" s="6" t="s">
        <v>35</v>
      </c>
      <c r="C2157" s="8">
        <v>46094.0</v>
      </c>
      <c r="D2157" s="6" t="s">
        <v>2096</v>
      </c>
      <c r="E2157" s="6" t="s">
        <v>12356</v>
      </c>
      <c r="F2157" s="10"/>
      <c r="G2157" s="26" t="s">
        <v>12357</v>
      </c>
      <c r="H2157" s="6" t="s">
        <v>925</v>
      </c>
      <c r="I2157" s="17" t="b">
        <v>1</v>
      </c>
      <c r="J2157" s="26" t="s">
        <v>8596</v>
      </c>
      <c r="K2157" s="10"/>
      <c r="L2157" s="10"/>
      <c r="M2157" s="10"/>
      <c r="N2157" s="10"/>
      <c r="O2157" s="26">
        <v>45.0</v>
      </c>
      <c r="P2157" s="18">
        <v>2056939.0</v>
      </c>
      <c r="Q2157" s="27" t="b">
        <v>1</v>
      </c>
      <c r="R2157" s="10"/>
    </row>
    <row r="2158">
      <c r="A2158" s="6" t="s">
        <v>10875</v>
      </c>
      <c r="B2158" s="6" t="s">
        <v>35</v>
      </c>
      <c r="C2158" s="8">
        <v>46094.0</v>
      </c>
      <c r="D2158" s="6" t="s">
        <v>11926</v>
      </c>
      <c r="E2158" s="6" t="s">
        <v>12362</v>
      </c>
      <c r="F2158" s="10"/>
      <c r="G2158" s="26" t="s">
        <v>12363</v>
      </c>
      <c r="H2158" s="6" t="s">
        <v>140</v>
      </c>
      <c r="I2158" s="17" t="b">
        <v>0</v>
      </c>
      <c r="J2158" s="26" t="s">
        <v>8596</v>
      </c>
      <c r="K2158" s="10"/>
      <c r="L2158" s="10"/>
      <c r="M2158" s="10"/>
      <c r="N2158" s="10"/>
      <c r="O2158" s="26">
        <v>300.0</v>
      </c>
      <c r="P2158" s="10"/>
      <c r="Q2158" s="27" t="b">
        <v>1</v>
      </c>
      <c r="R2158" s="10"/>
    </row>
    <row r="2159">
      <c r="A2159" s="6" t="s">
        <v>10858</v>
      </c>
      <c r="B2159" s="6" t="s">
        <v>35</v>
      </c>
      <c r="C2159" s="8">
        <v>46091.0</v>
      </c>
      <c r="D2159" s="6" t="s">
        <v>11926</v>
      </c>
      <c r="E2159" s="6" t="s">
        <v>12366</v>
      </c>
      <c r="F2159" s="10"/>
      <c r="G2159" s="26" t="s">
        <v>12367</v>
      </c>
      <c r="H2159" s="6" t="s">
        <v>140</v>
      </c>
      <c r="I2159" s="17" t="b">
        <v>0</v>
      </c>
      <c r="J2159" s="26" t="s">
        <v>8596</v>
      </c>
      <c r="K2159" s="10"/>
      <c r="L2159" s="10"/>
      <c r="M2159" s="10"/>
      <c r="N2159" s="10"/>
      <c r="O2159" s="26">
        <v>125.0</v>
      </c>
      <c r="P2159" s="10"/>
      <c r="Q2159" s="27" t="b">
        <v>1</v>
      </c>
      <c r="R2159" s="10"/>
    </row>
    <row r="2160">
      <c r="A2160" s="6" t="s">
        <v>10934</v>
      </c>
      <c r="B2160" s="6" t="s">
        <v>35</v>
      </c>
      <c r="C2160" s="8">
        <v>46094.0</v>
      </c>
      <c r="D2160" s="6" t="s">
        <v>112</v>
      </c>
      <c r="E2160" s="6" t="s">
        <v>12370</v>
      </c>
      <c r="F2160" s="10"/>
      <c r="G2160" s="26" t="s">
        <v>12371</v>
      </c>
      <c r="H2160" s="6" t="s">
        <v>157</v>
      </c>
      <c r="I2160" s="17" t="b">
        <v>0</v>
      </c>
      <c r="J2160" s="26" t="s">
        <v>8596</v>
      </c>
      <c r="K2160" s="10"/>
      <c r="L2160" s="10"/>
      <c r="M2160" s="10"/>
      <c r="N2160" s="10"/>
      <c r="O2160" s="26">
        <v>445.73</v>
      </c>
      <c r="P2160" s="10"/>
      <c r="Q2160" s="27" t="b">
        <v>1</v>
      </c>
      <c r="R2160" s="10"/>
    </row>
    <row r="2161">
      <c r="A2161" s="6" t="s">
        <v>10916</v>
      </c>
      <c r="B2161" s="6" t="s">
        <v>35</v>
      </c>
      <c r="C2161" s="8">
        <v>46093.0</v>
      </c>
      <c r="D2161" s="6" t="s">
        <v>11765</v>
      </c>
      <c r="E2161" s="6" t="s">
        <v>12374</v>
      </c>
      <c r="F2161" s="10"/>
      <c r="G2161" s="26" t="s">
        <v>12376</v>
      </c>
      <c r="H2161" s="6" t="s">
        <v>195</v>
      </c>
      <c r="I2161" s="17" t="b">
        <v>0</v>
      </c>
      <c r="J2161" s="26" t="s">
        <v>8596</v>
      </c>
      <c r="K2161" s="10"/>
      <c r="L2161" s="26" t="s">
        <v>12378</v>
      </c>
      <c r="M2161" s="10"/>
      <c r="N2161" s="10"/>
      <c r="O2161" s="26">
        <v>828.52</v>
      </c>
      <c r="P2161" s="10"/>
      <c r="Q2161" s="27" t="b">
        <v>1</v>
      </c>
      <c r="R2161" s="10"/>
    </row>
    <row r="2162">
      <c r="A2162" s="6" t="s">
        <v>10878</v>
      </c>
      <c r="B2162" s="6" t="s">
        <v>35</v>
      </c>
      <c r="C2162" s="8">
        <v>46096.0</v>
      </c>
      <c r="D2162" s="6" t="s">
        <v>11219</v>
      </c>
      <c r="E2162" s="6" t="s">
        <v>12381</v>
      </c>
      <c r="F2162" s="10"/>
      <c r="G2162" s="26" t="s">
        <v>12383</v>
      </c>
      <c r="H2162" s="6" t="s">
        <v>157</v>
      </c>
      <c r="I2162" s="17" t="b">
        <v>1</v>
      </c>
      <c r="J2162" s="26" t="s">
        <v>8596</v>
      </c>
      <c r="K2162" s="10"/>
      <c r="L2162" s="10"/>
      <c r="M2162" s="10"/>
      <c r="N2162" s="10"/>
      <c r="O2162" s="26">
        <v>104.37</v>
      </c>
      <c r="P2162" s="18">
        <v>2062752.0</v>
      </c>
      <c r="Q2162" s="27" t="b">
        <v>1</v>
      </c>
      <c r="R2162" s="10"/>
    </row>
    <row r="2163">
      <c r="A2163" s="6" t="s">
        <v>10887</v>
      </c>
      <c r="B2163" s="6" t="s">
        <v>35</v>
      </c>
      <c r="C2163" s="8">
        <v>46097.0</v>
      </c>
      <c r="D2163" s="6" t="s">
        <v>11926</v>
      </c>
      <c r="E2163" s="6" t="s">
        <v>12386</v>
      </c>
      <c r="F2163" s="10"/>
      <c r="G2163" s="26" t="s">
        <v>12387</v>
      </c>
      <c r="H2163" s="6" t="s">
        <v>140</v>
      </c>
      <c r="I2163" s="17" t="b">
        <v>0</v>
      </c>
      <c r="J2163" s="26" t="s">
        <v>8596</v>
      </c>
      <c r="K2163" s="10"/>
      <c r="L2163" s="10"/>
      <c r="M2163" s="10"/>
      <c r="N2163" s="10"/>
      <c r="O2163" s="26">
        <v>250.0</v>
      </c>
      <c r="P2163" s="10"/>
      <c r="Q2163" s="27" t="b">
        <v>1</v>
      </c>
      <c r="R2163" s="10"/>
    </row>
    <row r="2164">
      <c r="A2164" s="18">
        <v>7.4409579E7</v>
      </c>
      <c r="B2164" s="6" t="s">
        <v>35</v>
      </c>
      <c r="C2164" s="8">
        <v>46097.0</v>
      </c>
      <c r="D2164" s="6" t="s">
        <v>112</v>
      </c>
      <c r="E2164" s="6" t="s">
        <v>12389</v>
      </c>
      <c r="F2164" s="10"/>
      <c r="G2164" s="26" t="s">
        <v>12392</v>
      </c>
      <c r="H2164" s="6" t="s">
        <v>157</v>
      </c>
      <c r="I2164" s="17" t="b">
        <v>0</v>
      </c>
      <c r="J2164" s="26" t="s">
        <v>8596</v>
      </c>
      <c r="K2164" s="10"/>
      <c r="L2164" s="10"/>
      <c r="M2164" s="10"/>
      <c r="N2164" s="10"/>
      <c r="O2164" s="26">
        <v>374.05</v>
      </c>
      <c r="P2164" s="10"/>
      <c r="Q2164" s="27" t="b">
        <v>1</v>
      </c>
      <c r="R2164" s="10"/>
    </row>
    <row r="2165">
      <c r="A2165" s="6" t="s">
        <v>9945</v>
      </c>
      <c r="B2165" s="6" t="s">
        <v>35</v>
      </c>
      <c r="C2165" s="8">
        <v>46097.0</v>
      </c>
      <c r="D2165" s="6" t="s">
        <v>890</v>
      </c>
      <c r="E2165" s="10"/>
      <c r="F2165" s="10"/>
      <c r="G2165" s="10"/>
      <c r="H2165" s="6" t="s">
        <v>12395</v>
      </c>
      <c r="I2165" s="10"/>
      <c r="J2165" s="6" t="s">
        <v>2051</v>
      </c>
      <c r="K2165" s="10"/>
      <c r="L2165" s="10"/>
      <c r="M2165" s="10"/>
      <c r="N2165" s="10"/>
      <c r="O2165" s="18">
        <v>280.66</v>
      </c>
      <c r="P2165" s="10"/>
      <c r="Q2165" s="17" t="b">
        <v>1</v>
      </c>
      <c r="R2165" s="10"/>
    </row>
    <row r="2166">
      <c r="A2166" s="6" t="s">
        <v>9948</v>
      </c>
      <c r="B2166" s="6" t="s">
        <v>35</v>
      </c>
      <c r="C2166" s="8">
        <v>46097.0</v>
      </c>
      <c r="D2166" s="6" t="s">
        <v>890</v>
      </c>
      <c r="E2166" s="10"/>
      <c r="F2166" s="10"/>
      <c r="G2166" s="10"/>
      <c r="H2166" s="6" t="s">
        <v>12398</v>
      </c>
      <c r="I2166" s="10"/>
      <c r="J2166" s="6" t="s">
        <v>2051</v>
      </c>
      <c r="K2166" s="10"/>
      <c r="L2166" s="10"/>
      <c r="M2166" s="10"/>
      <c r="N2166" s="10"/>
      <c r="O2166" s="18">
        <v>1336.0</v>
      </c>
      <c r="P2166" s="10"/>
      <c r="Q2166" s="17" t="b">
        <v>1</v>
      </c>
      <c r="R2166" s="10"/>
    </row>
    <row r="2167">
      <c r="A2167" s="6" t="s">
        <v>9951</v>
      </c>
      <c r="B2167" s="6" t="s">
        <v>35</v>
      </c>
      <c r="C2167" s="8">
        <v>46097.0</v>
      </c>
      <c r="D2167" s="6" t="s">
        <v>460</v>
      </c>
      <c r="E2167" s="10"/>
      <c r="F2167" s="10"/>
      <c r="G2167" s="10"/>
      <c r="H2167" s="6" t="s">
        <v>12402</v>
      </c>
      <c r="I2167" s="10"/>
      <c r="J2167" s="6" t="s">
        <v>2051</v>
      </c>
      <c r="K2167" s="10"/>
      <c r="L2167" s="10"/>
      <c r="M2167" s="10"/>
      <c r="N2167" s="10"/>
      <c r="O2167" s="18">
        <v>9779.0</v>
      </c>
      <c r="P2167" s="10"/>
      <c r="Q2167" s="17" t="b">
        <v>1</v>
      </c>
      <c r="R2167" s="10"/>
    </row>
    <row r="2168">
      <c r="A2168" s="18">
        <v>11978.0</v>
      </c>
      <c r="B2168" s="6" t="s">
        <v>35</v>
      </c>
      <c r="C2168" s="8">
        <v>46097.0</v>
      </c>
      <c r="D2168" s="6" t="s">
        <v>3516</v>
      </c>
      <c r="E2168" s="10"/>
      <c r="F2168" s="10"/>
      <c r="G2168" s="10"/>
      <c r="H2168" s="6" t="s">
        <v>9762</v>
      </c>
      <c r="I2168" s="10"/>
      <c r="J2168" s="6" t="s">
        <v>2051</v>
      </c>
      <c r="K2168" s="10"/>
      <c r="L2168" s="10"/>
      <c r="M2168" s="10"/>
      <c r="N2168" s="10"/>
      <c r="O2168" s="18">
        <v>12718.91</v>
      </c>
      <c r="P2168" s="10"/>
      <c r="Q2168" s="17" t="b">
        <v>1</v>
      </c>
      <c r="R2168" s="10"/>
    </row>
    <row r="2169">
      <c r="A2169" s="6" t="s">
        <v>9958</v>
      </c>
      <c r="B2169" s="6" t="s">
        <v>35</v>
      </c>
      <c r="C2169" s="8">
        <v>46097.0</v>
      </c>
      <c r="D2169" s="6" t="s">
        <v>890</v>
      </c>
      <c r="E2169" s="10"/>
      <c r="F2169" s="10"/>
      <c r="G2169" s="10"/>
      <c r="H2169" s="6" t="s">
        <v>12408</v>
      </c>
      <c r="I2169" s="10"/>
      <c r="J2169" s="6" t="s">
        <v>2051</v>
      </c>
      <c r="K2169" s="10"/>
      <c r="L2169" s="10"/>
      <c r="M2169" s="10"/>
      <c r="N2169" s="10"/>
      <c r="O2169" s="18">
        <v>494.24</v>
      </c>
      <c r="P2169" s="10"/>
      <c r="Q2169" s="17" t="b">
        <v>1</v>
      </c>
      <c r="R2169" s="10"/>
    </row>
    <row r="2170">
      <c r="A2170" s="6" t="s">
        <v>9962</v>
      </c>
      <c r="B2170" s="6" t="s">
        <v>35</v>
      </c>
      <c r="C2170" s="8">
        <v>46097.0</v>
      </c>
      <c r="D2170" s="6" t="s">
        <v>890</v>
      </c>
      <c r="E2170" s="10"/>
      <c r="F2170" s="10"/>
      <c r="G2170" s="10"/>
      <c r="H2170" s="6" t="s">
        <v>12411</v>
      </c>
      <c r="I2170" s="10"/>
      <c r="J2170" s="6" t="s">
        <v>2051</v>
      </c>
      <c r="K2170" s="10"/>
      <c r="L2170" s="10"/>
      <c r="M2170" s="10"/>
      <c r="N2170" s="10"/>
      <c r="O2170" s="18">
        <v>1765.11</v>
      </c>
      <c r="P2170" s="10"/>
      <c r="Q2170" s="17" t="b">
        <v>1</v>
      </c>
      <c r="R2170" s="10"/>
    </row>
    <row r="2171">
      <c r="A2171" s="6" t="s">
        <v>9966</v>
      </c>
      <c r="B2171" s="6" t="s">
        <v>35</v>
      </c>
      <c r="C2171" s="8">
        <v>46097.0</v>
      </c>
      <c r="D2171" s="6" t="s">
        <v>890</v>
      </c>
      <c r="E2171" s="10"/>
      <c r="F2171" s="10"/>
      <c r="G2171" s="10"/>
      <c r="H2171" s="6" t="s">
        <v>12416</v>
      </c>
      <c r="I2171" s="10"/>
      <c r="J2171" s="6" t="s">
        <v>2051</v>
      </c>
      <c r="K2171" s="10"/>
      <c r="L2171" s="10"/>
      <c r="M2171" s="10"/>
      <c r="N2171" s="10"/>
      <c r="O2171" s="18">
        <v>69.87</v>
      </c>
      <c r="P2171" s="10"/>
      <c r="Q2171" s="17" t="b">
        <v>1</v>
      </c>
      <c r="R2171" s="10"/>
    </row>
    <row r="2172">
      <c r="A2172" s="6" t="s">
        <v>9969</v>
      </c>
      <c r="B2172" s="6" t="s">
        <v>35</v>
      </c>
      <c r="C2172" s="8">
        <v>46097.0</v>
      </c>
      <c r="D2172" s="6" t="s">
        <v>11638</v>
      </c>
      <c r="E2172" s="10"/>
      <c r="F2172" s="10"/>
      <c r="G2172" s="10"/>
      <c r="H2172" s="6" t="s">
        <v>12420</v>
      </c>
      <c r="I2172" s="10"/>
      <c r="J2172" s="6" t="s">
        <v>2051</v>
      </c>
      <c r="K2172" s="10"/>
      <c r="L2172" s="10"/>
      <c r="M2172" s="10"/>
      <c r="N2172" s="10"/>
      <c r="O2172" s="18">
        <v>722.96</v>
      </c>
      <c r="P2172" s="10"/>
      <c r="Q2172" s="17" t="b">
        <v>1</v>
      </c>
      <c r="R2172" s="10"/>
    </row>
    <row r="2173">
      <c r="A2173" s="6" t="s">
        <v>10889</v>
      </c>
      <c r="B2173" s="6" t="s">
        <v>35</v>
      </c>
      <c r="C2173" s="8">
        <v>46097.0</v>
      </c>
      <c r="D2173" s="6" t="s">
        <v>12334</v>
      </c>
      <c r="E2173" s="6" t="s">
        <v>12422</v>
      </c>
      <c r="F2173" s="10"/>
      <c r="G2173" s="26" t="s">
        <v>12424</v>
      </c>
      <c r="H2173" s="6" t="s">
        <v>12425</v>
      </c>
      <c r="I2173" s="17" t="b">
        <v>0</v>
      </c>
      <c r="J2173" s="26" t="s">
        <v>8596</v>
      </c>
      <c r="K2173" s="10"/>
      <c r="L2173" s="10"/>
      <c r="M2173" s="10"/>
      <c r="N2173" s="10"/>
      <c r="O2173" s="26">
        <v>1761.38</v>
      </c>
      <c r="P2173" s="10"/>
      <c r="Q2173" s="27" t="b">
        <v>1</v>
      </c>
      <c r="R2173" s="10"/>
    </row>
    <row r="2174">
      <c r="A2174" s="6" t="s">
        <v>9973</v>
      </c>
      <c r="B2174" s="6" t="s">
        <v>35</v>
      </c>
      <c r="C2174" s="8">
        <v>46098.0</v>
      </c>
      <c r="D2174" s="6" t="s">
        <v>890</v>
      </c>
      <c r="E2174" s="10"/>
      <c r="F2174" s="10"/>
      <c r="G2174" s="10"/>
      <c r="H2174" s="6" t="s">
        <v>12430</v>
      </c>
      <c r="I2174" s="10"/>
      <c r="J2174" s="6" t="s">
        <v>2051</v>
      </c>
      <c r="K2174" s="10"/>
      <c r="L2174" s="10"/>
      <c r="M2174" s="10"/>
      <c r="N2174" s="10"/>
      <c r="O2174" s="18">
        <v>3008.05</v>
      </c>
      <c r="P2174" s="10"/>
      <c r="Q2174" s="17" t="b">
        <v>1</v>
      </c>
      <c r="R2174" s="10"/>
    </row>
    <row r="2175">
      <c r="A2175" s="6" t="s">
        <v>9975</v>
      </c>
      <c r="B2175" s="6" t="s">
        <v>35</v>
      </c>
      <c r="C2175" s="8">
        <v>46098.0</v>
      </c>
      <c r="D2175" s="6" t="s">
        <v>890</v>
      </c>
      <c r="E2175" s="10"/>
      <c r="F2175" s="10"/>
      <c r="G2175" s="10"/>
      <c r="H2175" s="6" t="s">
        <v>12433</v>
      </c>
      <c r="I2175" s="10"/>
      <c r="J2175" s="6" t="s">
        <v>2051</v>
      </c>
      <c r="K2175" s="10"/>
      <c r="L2175" s="10"/>
      <c r="M2175" s="10"/>
      <c r="N2175" s="10"/>
      <c r="O2175" s="18">
        <v>61.83</v>
      </c>
      <c r="P2175" s="10"/>
      <c r="Q2175" s="17" t="b">
        <v>1</v>
      </c>
      <c r="R2175" s="10"/>
    </row>
    <row r="2176">
      <c r="A2176" s="18">
        <v>11977.0</v>
      </c>
      <c r="B2176" s="6" t="s">
        <v>35</v>
      </c>
      <c r="C2176" s="8">
        <v>46098.0</v>
      </c>
      <c r="D2176" s="6" t="s">
        <v>3516</v>
      </c>
      <c r="E2176" s="10"/>
      <c r="F2176" s="10"/>
      <c r="G2176" s="10"/>
      <c r="H2176" s="6" t="s">
        <v>9759</v>
      </c>
      <c r="I2176" s="10"/>
      <c r="J2176" s="6" t="s">
        <v>2051</v>
      </c>
      <c r="K2176" s="10"/>
      <c r="L2176" s="10"/>
      <c r="M2176" s="10"/>
      <c r="N2176" s="10"/>
      <c r="O2176" s="18">
        <v>907.14</v>
      </c>
      <c r="P2176" s="10"/>
      <c r="Q2176" s="17" t="b">
        <v>1</v>
      </c>
      <c r="R2176" s="10"/>
    </row>
    <row r="2177">
      <c r="A2177" s="6" t="s">
        <v>9981</v>
      </c>
      <c r="B2177" s="6" t="s">
        <v>35</v>
      </c>
      <c r="C2177" s="8">
        <v>46098.0</v>
      </c>
      <c r="D2177" s="6" t="s">
        <v>890</v>
      </c>
      <c r="E2177" s="10"/>
      <c r="F2177" s="10"/>
      <c r="G2177" s="10"/>
      <c r="H2177" s="6" t="s">
        <v>12438</v>
      </c>
      <c r="I2177" s="10"/>
      <c r="J2177" s="6" t="s">
        <v>2051</v>
      </c>
      <c r="K2177" s="10"/>
      <c r="L2177" s="10"/>
      <c r="M2177" s="10"/>
      <c r="N2177" s="10"/>
      <c r="O2177" s="18">
        <v>3.6</v>
      </c>
      <c r="P2177" s="10"/>
      <c r="Q2177" s="17" t="b">
        <v>1</v>
      </c>
      <c r="R2177" s="10"/>
    </row>
    <row r="2178">
      <c r="A2178" s="6" t="s">
        <v>9983</v>
      </c>
      <c r="B2178" s="6" t="s">
        <v>35</v>
      </c>
      <c r="C2178" s="8">
        <v>46098.0</v>
      </c>
      <c r="D2178" s="6" t="s">
        <v>460</v>
      </c>
      <c r="E2178" s="10"/>
      <c r="F2178" s="10"/>
      <c r="G2178" s="10"/>
      <c r="H2178" s="6" t="s">
        <v>4017</v>
      </c>
      <c r="I2178" s="10"/>
      <c r="J2178" s="6" t="s">
        <v>2051</v>
      </c>
      <c r="K2178" s="10"/>
      <c r="L2178" s="10"/>
      <c r="M2178" s="10"/>
      <c r="N2178" s="10"/>
      <c r="O2178" s="18">
        <v>20.0</v>
      </c>
      <c r="P2178" s="10"/>
      <c r="Q2178" s="17" t="b">
        <v>1</v>
      </c>
      <c r="R2178" s="10"/>
    </row>
    <row r="2179">
      <c r="A2179" s="6" t="s">
        <v>10976</v>
      </c>
      <c r="B2179" s="6" t="s">
        <v>35</v>
      </c>
      <c r="C2179" s="8">
        <v>46101.0</v>
      </c>
      <c r="D2179" s="18">
        <v>8.627274E7</v>
      </c>
      <c r="E2179" s="6" t="s">
        <v>12442</v>
      </c>
      <c r="F2179" s="10"/>
      <c r="G2179" s="26" t="s">
        <v>12444</v>
      </c>
      <c r="H2179" s="6" t="s">
        <v>11625</v>
      </c>
      <c r="I2179" s="17" t="b">
        <v>1</v>
      </c>
      <c r="J2179" s="26" t="s">
        <v>8596</v>
      </c>
      <c r="K2179" s="10"/>
      <c r="L2179" s="10"/>
      <c r="M2179" s="10"/>
      <c r="N2179" s="10"/>
      <c r="O2179" s="26">
        <v>87.14</v>
      </c>
      <c r="P2179" s="18">
        <v>2072664.0</v>
      </c>
      <c r="Q2179" s="27" t="b">
        <v>1</v>
      </c>
      <c r="R2179" s="10"/>
    </row>
    <row r="2180">
      <c r="A2180" s="6" t="s">
        <v>10989</v>
      </c>
      <c r="B2180" s="6" t="s">
        <v>35</v>
      </c>
      <c r="C2180" s="8">
        <v>46101.0</v>
      </c>
      <c r="D2180" s="6" t="s">
        <v>11926</v>
      </c>
      <c r="E2180" s="6" t="s">
        <v>12448</v>
      </c>
      <c r="F2180" s="10"/>
      <c r="G2180" s="26" t="s">
        <v>12449</v>
      </c>
      <c r="H2180" s="6" t="s">
        <v>140</v>
      </c>
      <c r="I2180" s="17" t="b">
        <v>0</v>
      </c>
      <c r="J2180" s="26" t="s">
        <v>8596</v>
      </c>
      <c r="K2180" s="10"/>
      <c r="L2180" s="10"/>
      <c r="M2180" s="10"/>
      <c r="N2180" s="10"/>
      <c r="O2180" s="26">
        <v>300.0</v>
      </c>
      <c r="P2180" s="10"/>
      <c r="Q2180" s="27" t="b">
        <v>1</v>
      </c>
      <c r="R2180" s="10"/>
    </row>
    <row r="2181">
      <c r="A2181" s="6" t="s">
        <v>10992</v>
      </c>
      <c r="B2181" s="6" t="s">
        <v>35</v>
      </c>
      <c r="C2181" s="8">
        <v>46101.0</v>
      </c>
      <c r="D2181" s="6" t="s">
        <v>112</v>
      </c>
      <c r="E2181" s="6" t="s">
        <v>12453</v>
      </c>
      <c r="F2181" s="10"/>
      <c r="G2181" s="26" t="s">
        <v>12454</v>
      </c>
      <c r="H2181" s="6" t="s">
        <v>157</v>
      </c>
      <c r="I2181" s="17" t="b">
        <v>0</v>
      </c>
      <c r="J2181" s="26" t="s">
        <v>8596</v>
      </c>
      <c r="K2181" s="10"/>
      <c r="L2181" s="10"/>
      <c r="M2181" s="10"/>
      <c r="N2181" s="10"/>
      <c r="O2181" s="26">
        <v>399.94</v>
      </c>
      <c r="P2181" s="10"/>
      <c r="Q2181" s="27" t="b">
        <v>1</v>
      </c>
      <c r="R2181" s="10"/>
    </row>
    <row r="2182">
      <c r="A2182" s="6" t="s">
        <v>10952</v>
      </c>
      <c r="B2182" s="6" t="s">
        <v>35</v>
      </c>
      <c r="C2182" s="8">
        <v>46100.0</v>
      </c>
      <c r="D2182" s="6" t="s">
        <v>11765</v>
      </c>
      <c r="E2182" s="6" t="s">
        <v>12458</v>
      </c>
      <c r="F2182" s="10"/>
      <c r="G2182" s="26" t="s">
        <v>12459</v>
      </c>
      <c r="H2182" s="6" t="s">
        <v>195</v>
      </c>
      <c r="I2182" s="17" t="b">
        <v>0</v>
      </c>
      <c r="J2182" s="26" t="s">
        <v>8596</v>
      </c>
      <c r="K2182" s="10"/>
      <c r="L2182" s="26" t="s">
        <v>12461</v>
      </c>
      <c r="M2182" s="10"/>
      <c r="N2182" s="10"/>
      <c r="O2182" s="26">
        <v>1262.21</v>
      </c>
      <c r="P2182" s="10"/>
      <c r="Q2182" s="27" t="b">
        <v>1</v>
      </c>
      <c r="R2182" s="10"/>
    </row>
    <row r="2183">
      <c r="A2183" s="6" t="s">
        <v>10896</v>
      </c>
      <c r="B2183" s="6" t="s">
        <v>35</v>
      </c>
      <c r="C2183" s="8">
        <v>46098.0</v>
      </c>
      <c r="D2183" s="6" t="s">
        <v>890</v>
      </c>
      <c r="E2183" s="6" t="s">
        <v>12465</v>
      </c>
      <c r="F2183" s="10"/>
      <c r="G2183" s="26" t="s">
        <v>12467</v>
      </c>
      <c r="H2183" s="6" t="s">
        <v>12469</v>
      </c>
      <c r="I2183" s="17" t="b">
        <v>0</v>
      </c>
      <c r="J2183" s="26" t="s">
        <v>8596</v>
      </c>
      <c r="K2183" s="10"/>
      <c r="L2183" s="26" t="s">
        <v>12470</v>
      </c>
      <c r="M2183" s="10"/>
      <c r="N2183" s="10"/>
      <c r="O2183" s="26">
        <v>22852.11</v>
      </c>
      <c r="P2183" s="10"/>
      <c r="Q2183" s="27" t="b">
        <v>1</v>
      </c>
      <c r="R2183" s="10"/>
    </row>
    <row r="2184">
      <c r="A2184" s="6" t="s">
        <v>10908</v>
      </c>
      <c r="B2184" s="6" t="s">
        <v>35</v>
      </c>
      <c r="C2184" s="8">
        <v>46100.0</v>
      </c>
      <c r="D2184" s="6" t="s">
        <v>11784</v>
      </c>
      <c r="E2184" s="6" t="s">
        <v>12473</v>
      </c>
      <c r="F2184" s="10"/>
      <c r="G2184" s="26" t="s">
        <v>12474</v>
      </c>
      <c r="H2184" s="6" t="s">
        <v>147</v>
      </c>
      <c r="I2184" s="17" t="b">
        <v>1</v>
      </c>
      <c r="J2184" s="26" t="s">
        <v>8596</v>
      </c>
      <c r="K2184" s="10"/>
      <c r="L2184" s="10"/>
      <c r="M2184" s="10"/>
      <c r="N2184" s="10"/>
      <c r="O2184" s="26">
        <v>236.0</v>
      </c>
      <c r="P2184" s="18">
        <v>2070461.0</v>
      </c>
      <c r="Q2184" s="27" t="b">
        <v>1</v>
      </c>
      <c r="R2184" s="10"/>
    </row>
    <row r="2185">
      <c r="A2185" s="6" t="s">
        <v>11006</v>
      </c>
      <c r="B2185" s="6" t="s">
        <v>35</v>
      </c>
      <c r="C2185" s="8">
        <v>46104.0</v>
      </c>
      <c r="D2185" s="6" t="s">
        <v>11926</v>
      </c>
      <c r="E2185" s="6" t="s">
        <v>12477</v>
      </c>
      <c r="F2185" s="10"/>
      <c r="G2185" s="26" t="s">
        <v>12478</v>
      </c>
      <c r="H2185" s="6" t="s">
        <v>140</v>
      </c>
      <c r="I2185" s="17" t="b">
        <v>0</v>
      </c>
      <c r="J2185" s="26" t="s">
        <v>8596</v>
      </c>
      <c r="K2185" s="10"/>
      <c r="L2185" s="10"/>
      <c r="M2185" s="10"/>
      <c r="N2185" s="10"/>
      <c r="O2185" s="26">
        <v>225.0</v>
      </c>
      <c r="P2185" s="10"/>
      <c r="Q2185" s="27" t="b">
        <v>1</v>
      </c>
      <c r="R2185" s="10"/>
    </row>
    <row r="2186">
      <c r="A2186" s="6" t="s">
        <v>10999</v>
      </c>
      <c r="B2186" s="6" t="s">
        <v>35</v>
      </c>
      <c r="C2186" s="8">
        <v>46103.0</v>
      </c>
      <c r="D2186" s="18">
        <v>8.627274E7</v>
      </c>
      <c r="E2186" s="6" t="s">
        <v>12483</v>
      </c>
      <c r="F2186" s="10"/>
      <c r="G2186" s="26" t="s">
        <v>12484</v>
      </c>
      <c r="H2186" s="6" t="s">
        <v>157</v>
      </c>
      <c r="I2186" s="17" t="b">
        <v>1</v>
      </c>
      <c r="J2186" s="26" t="s">
        <v>8596</v>
      </c>
      <c r="K2186" s="10"/>
      <c r="L2186" s="10"/>
      <c r="M2186" s="10"/>
      <c r="N2186" s="10"/>
      <c r="O2186" s="26">
        <v>50.95</v>
      </c>
      <c r="P2186" s="18">
        <v>2078294.0</v>
      </c>
      <c r="Q2186" s="27" t="b">
        <v>1</v>
      </c>
      <c r="R2186" s="10"/>
    </row>
    <row r="2187">
      <c r="A2187" s="6" t="s">
        <v>11002</v>
      </c>
      <c r="B2187" s="6" t="s">
        <v>35</v>
      </c>
      <c r="C2187" s="8">
        <v>46103.0</v>
      </c>
      <c r="D2187" s="6" t="s">
        <v>12488</v>
      </c>
      <c r="E2187" s="6" t="s">
        <v>12489</v>
      </c>
      <c r="F2187" s="10"/>
      <c r="G2187" s="26" t="s">
        <v>12490</v>
      </c>
      <c r="H2187" s="6" t="s">
        <v>157</v>
      </c>
      <c r="I2187" s="17" t="b">
        <v>1</v>
      </c>
      <c r="J2187" s="26" t="s">
        <v>8596</v>
      </c>
      <c r="K2187" s="10"/>
      <c r="L2187" s="10"/>
      <c r="M2187" s="10"/>
      <c r="N2187" s="10"/>
      <c r="O2187" s="26">
        <v>104.12</v>
      </c>
      <c r="P2187" s="18">
        <v>2078297.0</v>
      </c>
      <c r="Q2187" s="27" t="b">
        <v>1</v>
      </c>
      <c r="R2187" s="10"/>
    </row>
    <row r="2188">
      <c r="A2188" s="18">
        <v>11875.0</v>
      </c>
      <c r="B2188" s="6" t="s">
        <v>35</v>
      </c>
      <c r="C2188" s="8">
        <v>46104.0</v>
      </c>
      <c r="D2188" s="6" t="s">
        <v>890</v>
      </c>
      <c r="E2188" s="10"/>
      <c r="F2188" s="10"/>
      <c r="G2188" s="10"/>
      <c r="H2188" s="6" t="s">
        <v>10085</v>
      </c>
      <c r="I2188" s="10"/>
      <c r="J2188" s="6" t="s">
        <v>539</v>
      </c>
      <c r="K2188" s="10"/>
      <c r="L2188" s="10"/>
      <c r="M2188" s="10"/>
      <c r="N2188" s="10"/>
      <c r="O2188" s="18">
        <v>1098.0</v>
      </c>
      <c r="P2188" s="10"/>
      <c r="Q2188" s="17" t="b">
        <v>1</v>
      </c>
      <c r="R2188" s="10"/>
    </row>
    <row r="2189">
      <c r="A2189" s="18">
        <v>11876.0</v>
      </c>
      <c r="B2189" s="6" t="s">
        <v>35</v>
      </c>
      <c r="C2189" s="8">
        <v>46104.0</v>
      </c>
      <c r="D2189" s="6" t="s">
        <v>890</v>
      </c>
      <c r="E2189" s="10"/>
      <c r="F2189" s="10"/>
      <c r="G2189" s="10"/>
      <c r="H2189" s="6" t="s">
        <v>10089</v>
      </c>
      <c r="I2189" s="10"/>
      <c r="J2189" s="6" t="s">
        <v>539</v>
      </c>
      <c r="K2189" s="10"/>
      <c r="L2189" s="10"/>
      <c r="M2189" s="10"/>
      <c r="N2189" s="10"/>
      <c r="O2189" s="18">
        <v>700.0</v>
      </c>
      <c r="P2189" s="10"/>
      <c r="Q2189" s="17" t="b">
        <v>1</v>
      </c>
      <c r="R2189" s="10"/>
    </row>
    <row r="2190">
      <c r="A2190" s="18">
        <v>11880.0</v>
      </c>
      <c r="B2190" s="6" t="s">
        <v>35</v>
      </c>
      <c r="C2190" s="8">
        <v>46104.0</v>
      </c>
      <c r="D2190" s="6" t="s">
        <v>890</v>
      </c>
      <c r="E2190" s="10"/>
      <c r="F2190" s="10"/>
      <c r="G2190" s="10"/>
      <c r="H2190" s="6" t="s">
        <v>4010</v>
      </c>
      <c r="I2190" s="10"/>
      <c r="J2190" s="6" t="s">
        <v>539</v>
      </c>
      <c r="K2190" s="10"/>
      <c r="L2190" s="10"/>
      <c r="M2190" s="10"/>
      <c r="N2190" s="10"/>
      <c r="O2190" s="18">
        <v>396.0</v>
      </c>
      <c r="P2190" s="10"/>
      <c r="Q2190" s="17" t="b">
        <v>1</v>
      </c>
      <c r="R2190" s="10"/>
    </row>
    <row r="2191">
      <c r="A2191" s="6" t="s">
        <v>9994</v>
      </c>
      <c r="B2191" s="6" t="s">
        <v>35</v>
      </c>
      <c r="C2191" s="8">
        <v>46104.0</v>
      </c>
      <c r="D2191" s="6" t="s">
        <v>460</v>
      </c>
      <c r="E2191" s="10"/>
      <c r="F2191" s="10"/>
      <c r="G2191" s="10"/>
      <c r="H2191" s="6" t="s">
        <v>12496</v>
      </c>
      <c r="I2191" s="10"/>
      <c r="J2191" s="6" t="s">
        <v>2051</v>
      </c>
      <c r="K2191" s="10"/>
      <c r="L2191" s="10"/>
      <c r="M2191" s="10"/>
      <c r="N2191" s="10"/>
      <c r="O2191" s="18">
        <v>635.0</v>
      </c>
      <c r="P2191" s="10"/>
      <c r="Q2191" s="17" t="b">
        <v>1</v>
      </c>
      <c r="R2191" s="10"/>
    </row>
    <row r="2192">
      <c r="A2192" s="18">
        <v>11996.0</v>
      </c>
      <c r="B2192" s="6" t="s">
        <v>35</v>
      </c>
      <c r="C2192" s="8">
        <v>46104.0</v>
      </c>
      <c r="D2192" s="6" t="s">
        <v>460</v>
      </c>
      <c r="E2192" s="10"/>
      <c r="F2192" s="10"/>
      <c r="G2192" s="10"/>
      <c r="H2192" s="8">
        <v>46301.0</v>
      </c>
      <c r="I2192" s="10"/>
      <c r="J2192" s="6" t="s">
        <v>2051</v>
      </c>
      <c r="K2192" s="10"/>
      <c r="L2192" s="10"/>
      <c r="M2192" s="10"/>
      <c r="N2192" s="10"/>
      <c r="O2192" s="18">
        <v>249.23</v>
      </c>
      <c r="P2192" s="10"/>
      <c r="Q2192" s="17" t="b">
        <v>1</v>
      </c>
      <c r="R2192" s="10"/>
    </row>
    <row r="2193">
      <c r="A2193" s="18">
        <v>11997.0</v>
      </c>
      <c r="B2193" s="6" t="s">
        <v>35</v>
      </c>
      <c r="C2193" s="8">
        <v>46104.0</v>
      </c>
      <c r="D2193" s="6" t="s">
        <v>10315</v>
      </c>
      <c r="E2193" s="10"/>
      <c r="F2193" s="10"/>
      <c r="G2193" s="10"/>
      <c r="H2193" s="6" t="s">
        <v>12501</v>
      </c>
      <c r="I2193" s="10"/>
      <c r="J2193" s="6" t="s">
        <v>2051</v>
      </c>
      <c r="K2193" s="10"/>
      <c r="L2193" s="10"/>
      <c r="M2193" s="10"/>
      <c r="N2193" s="10"/>
      <c r="O2193" s="18">
        <v>0.01</v>
      </c>
      <c r="P2193" s="10"/>
      <c r="Q2193" s="17" t="b">
        <v>1</v>
      </c>
      <c r="R2193" s="10"/>
    </row>
    <row r="2194">
      <c r="A2194" s="6" t="s">
        <v>10002</v>
      </c>
      <c r="B2194" s="6" t="s">
        <v>35</v>
      </c>
      <c r="C2194" s="8">
        <v>46104.0</v>
      </c>
      <c r="D2194" s="6" t="s">
        <v>460</v>
      </c>
      <c r="E2194" s="10"/>
      <c r="F2194" s="10"/>
      <c r="G2194" s="10"/>
      <c r="H2194" s="6" t="s">
        <v>12503</v>
      </c>
      <c r="I2194" s="10"/>
      <c r="J2194" s="6" t="s">
        <v>2051</v>
      </c>
      <c r="K2194" s="10"/>
      <c r="L2194" s="10"/>
      <c r="M2194" s="10"/>
      <c r="N2194" s="10"/>
      <c r="O2194" s="18">
        <v>133.3</v>
      </c>
      <c r="P2194" s="10"/>
      <c r="Q2194" s="17" t="b">
        <v>1</v>
      </c>
      <c r="R2194" s="10"/>
    </row>
    <row r="2195">
      <c r="A2195" s="6" t="s">
        <v>11009</v>
      </c>
      <c r="B2195" s="6" t="s">
        <v>35</v>
      </c>
      <c r="C2195" s="8">
        <v>46105.0</v>
      </c>
      <c r="D2195" s="18">
        <v>8.627274E7</v>
      </c>
      <c r="E2195" s="6" t="s">
        <v>12505</v>
      </c>
      <c r="F2195" s="10"/>
      <c r="G2195" s="26" t="s">
        <v>12507</v>
      </c>
      <c r="H2195" s="6" t="s">
        <v>12508</v>
      </c>
      <c r="I2195" s="17" t="b">
        <v>1</v>
      </c>
      <c r="J2195" s="26" t="s">
        <v>8596</v>
      </c>
      <c r="K2195" s="10"/>
      <c r="L2195" s="10"/>
      <c r="M2195" s="10"/>
      <c r="N2195" s="10"/>
      <c r="O2195" s="26">
        <v>11.98</v>
      </c>
      <c r="P2195" s="18">
        <v>2082077.0</v>
      </c>
      <c r="Q2195" s="27" t="b">
        <v>1</v>
      </c>
      <c r="R2195" s="10"/>
    </row>
    <row r="2196">
      <c r="A2196" s="6" t="s">
        <v>10903</v>
      </c>
      <c r="B2196" s="6" t="s">
        <v>35</v>
      </c>
      <c r="C2196" s="8">
        <v>46098.0</v>
      </c>
      <c r="D2196" s="6" t="s">
        <v>9260</v>
      </c>
      <c r="E2196" s="6" t="s">
        <v>12510</v>
      </c>
      <c r="F2196" s="10"/>
      <c r="G2196" s="26" t="s">
        <v>12512</v>
      </c>
      <c r="H2196" s="6" t="s">
        <v>12513</v>
      </c>
      <c r="I2196" s="17" t="b">
        <v>0</v>
      </c>
      <c r="J2196" s="26" t="s">
        <v>8596</v>
      </c>
      <c r="K2196" s="10"/>
      <c r="L2196" s="26" t="s">
        <v>12514</v>
      </c>
      <c r="M2196" s="10"/>
      <c r="N2196" s="10"/>
      <c r="O2196" s="26">
        <v>9406.46</v>
      </c>
      <c r="P2196" s="10"/>
      <c r="Q2196" s="27" t="b">
        <v>1</v>
      </c>
      <c r="R2196" s="10"/>
    </row>
    <row r="2197">
      <c r="A2197" s="6" t="s">
        <v>10004</v>
      </c>
      <c r="B2197" s="6" t="s">
        <v>35</v>
      </c>
      <c r="C2197" s="8">
        <v>46105.0</v>
      </c>
      <c r="D2197" s="6" t="s">
        <v>890</v>
      </c>
      <c r="E2197" s="10"/>
      <c r="F2197" s="10"/>
      <c r="G2197" s="10"/>
      <c r="H2197" s="6" t="s">
        <v>12516</v>
      </c>
      <c r="I2197" s="10"/>
      <c r="J2197" s="6" t="s">
        <v>2051</v>
      </c>
      <c r="K2197" s="10"/>
      <c r="L2197" s="10"/>
      <c r="M2197" s="10"/>
      <c r="N2197" s="10"/>
      <c r="O2197" s="18">
        <v>4875.0</v>
      </c>
      <c r="P2197" s="10"/>
      <c r="Q2197" s="17" t="b">
        <v>1</v>
      </c>
      <c r="R2197" s="10"/>
    </row>
    <row r="2198">
      <c r="A2198" s="6" t="s">
        <v>11025</v>
      </c>
      <c r="B2198" s="6" t="s">
        <v>35</v>
      </c>
      <c r="C2198" s="8">
        <v>46108.0</v>
      </c>
      <c r="D2198" s="6" t="s">
        <v>11926</v>
      </c>
      <c r="E2198" s="6" t="s">
        <v>12517</v>
      </c>
      <c r="F2198" s="10"/>
      <c r="G2198" s="26" t="s">
        <v>12518</v>
      </c>
      <c r="H2198" s="6" t="s">
        <v>140</v>
      </c>
      <c r="I2198" s="17" t="b">
        <v>0</v>
      </c>
      <c r="J2198" s="26" t="s">
        <v>8596</v>
      </c>
      <c r="K2198" s="10"/>
      <c r="L2198" s="10"/>
      <c r="M2198" s="10"/>
      <c r="N2198" s="10"/>
      <c r="O2198" s="26">
        <v>300.0</v>
      </c>
      <c r="P2198" s="10"/>
      <c r="Q2198" s="27" t="b">
        <v>1</v>
      </c>
      <c r="R2198" s="10"/>
    </row>
    <row r="2199">
      <c r="A2199" s="6" t="s">
        <v>11027</v>
      </c>
      <c r="B2199" s="6" t="s">
        <v>35</v>
      </c>
      <c r="C2199" s="8">
        <v>46108.0</v>
      </c>
      <c r="D2199" s="6" t="s">
        <v>112</v>
      </c>
      <c r="E2199" s="6" t="s">
        <v>12521</v>
      </c>
      <c r="F2199" s="10"/>
      <c r="G2199" s="26" t="s">
        <v>12523</v>
      </c>
      <c r="H2199" s="6" t="s">
        <v>157</v>
      </c>
      <c r="I2199" s="17" t="b">
        <v>0</v>
      </c>
      <c r="J2199" s="26" t="s">
        <v>8596</v>
      </c>
      <c r="K2199" s="10"/>
      <c r="L2199" s="10"/>
      <c r="M2199" s="10"/>
      <c r="N2199" s="10"/>
      <c r="O2199" s="26">
        <v>424.76</v>
      </c>
      <c r="P2199" s="10"/>
      <c r="Q2199" s="27" t="b">
        <v>1</v>
      </c>
      <c r="R2199" s="10"/>
    </row>
    <row r="2200">
      <c r="A2200" s="6" t="s">
        <v>11011</v>
      </c>
      <c r="B2200" s="6" t="s">
        <v>35</v>
      </c>
      <c r="C2200" s="8">
        <v>46107.0</v>
      </c>
      <c r="D2200" s="18">
        <v>8.627274E7</v>
      </c>
      <c r="E2200" s="6" t="s">
        <v>12527</v>
      </c>
      <c r="F2200" s="10"/>
      <c r="G2200" s="26" t="s">
        <v>12529</v>
      </c>
      <c r="H2200" s="6" t="s">
        <v>11361</v>
      </c>
      <c r="I2200" s="17" t="b">
        <v>1</v>
      </c>
      <c r="J2200" s="26" t="s">
        <v>8596</v>
      </c>
      <c r="K2200" s="10"/>
      <c r="L2200" s="10"/>
      <c r="M2200" s="10"/>
      <c r="N2200" s="10"/>
      <c r="O2200" s="26">
        <v>12.49</v>
      </c>
      <c r="P2200" s="18">
        <v>2085622.0</v>
      </c>
      <c r="Q2200" s="27" t="b">
        <v>1</v>
      </c>
      <c r="R2200" s="10"/>
    </row>
    <row r="2201">
      <c r="A2201" s="6" t="s">
        <v>11014</v>
      </c>
      <c r="B2201" s="6" t="s">
        <v>35</v>
      </c>
      <c r="C2201" s="8">
        <v>46107.0</v>
      </c>
      <c r="D2201" s="6" t="s">
        <v>11765</v>
      </c>
      <c r="E2201" s="6" t="s">
        <v>12532</v>
      </c>
      <c r="F2201" s="10"/>
      <c r="G2201" s="26" t="s">
        <v>12533</v>
      </c>
      <c r="H2201" s="6" t="s">
        <v>195</v>
      </c>
      <c r="I2201" s="17" t="b">
        <v>0</v>
      </c>
      <c r="J2201" s="26" t="s">
        <v>8596</v>
      </c>
      <c r="K2201" s="10"/>
      <c r="L2201" s="26" t="s">
        <v>12535</v>
      </c>
      <c r="M2201" s="10"/>
      <c r="N2201" s="10"/>
      <c r="O2201" s="26">
        <v>1213.04</v>
      </c>
      <c r="P2201" s="10"/>
      <c r="Q2201" s="27" t="b">
        <v>1</v>
      </c>
      <c r="R2201" s="10"/>
    </row>
    <row r="2202">
      <c r="A2202" s="6" t="s">
        <v>11033</v>
      </c>
      <c r="B2202" s="6" t="s">
        <v>35</v>
      </c>
      <c r="C2202" s="8">
        <v>46108.0</v>
      </c>
      <c r="D2202" s="6" t="s">
        <v>1036</v>
      </c>
      <c r="E2202" s="6" t="s">
        <v>12540</v>
      </c>
      <c r="F2202" s="10"/>
      <c r="G2202" s="26" t="s">
        <v>12541</v>
      </c>
      <c r="H2202" s="6" t="s">
        <v>1960</v>
      </c>
      <c r="I2202" s="17" t="b">
        <v>0</v>
      </c>
      <c r="J2202" s="26" t="s">
        <v>8596</v>
      </c>
      <c r="K2202" s="10"/>
      <c r="L2202" s="10"/>
      <c r="M2202" s="10"/>
      <c r="N2202" s="10"/>
      <c r="O2202" s="26">
        <v>134.83</v>
      </c>
      <c r="P2202" s="10"/>
      <c r="Q2202" s="27" t="b">
        <v>1</v>
      </c>
      <c r="R2202" s="10"/>
    </row>
    <row r="2203">
      <c r="A2203" s="6" t="s">
        <v>11073</v>
      </c>
      <c r="B2203" s="6" t="s">
        <v>35</v>
      </c>
      <c r="C2203" s="8">
        <v>46111.0</v>
      </c>
      <c r="D2203" s="6" t="s">
        <v>11926</v>
      </c>
      <c r="E2203" s="6" t="s">
        <v>12544</v>
      </c>
      <c r="F2203" s="10"/>
      <c r="G2203" s="26" t="s">
        <v>12545</v>
      </c>
      <c r="H2203" s="6" t="s">
        <v>140</v>
      </c>
      <c r="I2203" s="17" t="b">
        <v>0</v>
      </c>
      <c r="J2203" s="26" t="s">
        <v>8596</v>
      </c>
      <c r="K2203" s="10"/>
      <c r="L2203" s="10"/>
      <c r="M2203" s="10"/>
      <c r="N2203" s="10"/>
      <c r="O2203" s="26">
        <v>300.0</v>
      </c>
      <c r="P2203" s="10"/>
      <c r="Q2203" s="27" t="b">
        <v>1</v>
      </c>
      <c r="R2203" s="10"/>
    </row>
    <row r="2204">
      <c r="A2204" s="6" t="s">
        <v>11076</v>
      </c>
      <c r="B2204" s="6" t="s">
        <v>35</v>
      </c>
      <c r="C2204" s="8">
        <v>46111.0</v>
      </c>
      <c r="D2204" s="6" t="s">
        <v>112</v>
      </c>
      <c r="E2204" s="6" t="s">
        <v>12546</v>
      </c>
      <c r="F2204" s="10"/>
      <c r="G2204" s="26" t="s">
        <v>12547</v>
      </c>
      <c r="H2204" s="6" t="s">
        <v>157</v>
      </c>
      <c r="I2204" s="17" t="b">
        <v>0</v>
      </c>
      <c r="J2204" s="26" t="s">
        <v>8596</v>
      </c>
      <c r="K2204" s="10"/>
      <c r="L2204" s="10"/>
      <c r="M2204" s="10"/>
      <c r="N2204" s="10"/>
      <c r="O2204" s="26">
        <v>287.95</v>
      </c>
      <c r="P2204" s="10"/>
      <c r="Q2204" s="27" t="b">
        <v>1</v>
      </c>
      <c r="R2204" s="10"/>
    </row>
    <row r="2205">
      <c r="A2205" s="6" t="s">
        <v>11070</v>
      </c>
      <c r="B2205" s="6" t="s">
        <v>35</v>
      </c>
      <c r="C2205" s="8">
        <v>46109.0</v>
      </c>
      <c r="D2205" s="6" t="s">
        <v>11219</v>
      </c>
      <c r="E2205" s="6" t="s">
        <v>12548</v>
      </c>
      <c r="F2205" s="10"/>
      <c r="G2205" s="26" t="s">
        <v>12549</v>
      </c>
      <c r="H2205" s="6" t="s">
        <v>11734</v>
      </c>
      <c r="I2205" s="17" t="b">
        <v>1</v>
      </c>
      <c r="J2205" s="26" t="s">
        <v>8596</v>
      </c>
      <c r="K2205" s="10"/>
      <c r="L2205" s="10"/>
      <c r="M2205" s="10"/>
      <c r="N2205" s="10"/>
      <c r="O2205" s="26">
        <v>12.8</v>
      </c>
      <c r="P2205" s="18">
        <v>2090610.0</v>
      </c>
      <c r="Q2205" s="27" t="b">
        <v>1</v>
      </c>
      <c r="R2205" s="10"/>
    </row>
    <row r="2206">
      <c r="A2206" s="6" t="s">
        <v>11035</v>
      </c>
      <c r="B2206" s="6" t="s">
        <v>35</v>
      </c>
      <c r="C2206" s="8">
        <v>46108.0</v>
      </c>
      <c r="D2206" s="6" t="s">
        <v>233</v>
      </c>
      <c r="E2206" s="6" t="s">
        <v>12550</v>
      </c>
      <c r="F2206" s="10"/>
      <c r="G2206" s="26" t="s">
        <v>12551</v>
      </c>
      <c r="H2206" s="6" t="s">
        <v>11625</v>
      </c>
      <c r="I2206" s="17" t="b">
        <v>1</v>
      </c>
      <c r="J2206" s="6" t="s">
        <v>8596</v>
      </c>
      <c r="K2206" s="10"/>
      <c r="L2206" s="10"/>
      <c r="M2206" s="10"/>
      <c r="N2206" s="10"/>
      <c r="O2206" s="26">
        <v>89.41</v>
      </c>
      <c r="P2206" s="18">
        <v>2087524.0</v>
      </c>
      <c r="Q2206" s="27" t="b">
        <v>1</v>
      </c>
      <c r="R2206" s="10"/>
    </row>
    <row r="2207">
      <c r="A2207" s="6" t="s">
        <v>11054</v>
      </c>
      <c r="B2207" s="6" t="s">
        <v>35</v>
      </c>
      <c r="C2207" s="8">
        <v>46108.0</v>
      </c>
      <c r="D2207" s="6" t="s">
        <v>11784</v>
      </c>
      <c r="E2207" s="6" t="s">
        <v>12552</v>
      </c>
      <c r="F2207" s="10"/>
      <c r="G2207" s="26" t="s">
        <v>12553</v>
      </c>
      <c r="H2207" s="6" t="s">
        <v>147</v>
      </c>
      <c r="I2207" s="17" t="b">
        <v>1</v>
      </c>
      <c r="J2207" s="26" t="s">
        <v>8596</v>
      </c>
      <c r="K2207" s="10"/>
      <c r="L2207" s="10"/>
      <c r="M2207" s="10"/>
      <c r="N2207" s="10"/>
      <c r="O2207" s="26">
        <v>49.0</v>
      </c>
      <c r="P2207" s="18">
        <v>2087700.0</v>
      </c>
      <c r="Q2207" s="27" t="b">
        <v>1</v>
      </c>
      <c r="R2207" s="10"/>
    </row>
    <row r="2208">
      <c r="A2208" s="6" t="s">
        <v>11060</v>
      </c>
      <c r="B2208" s="6" t="s">
        <v>35</v>
      </c>
      <c r="C2208" s="8">
        <v>46108.0</v>
      </c>
      <c r="D2208" s="6" t="s">
        <v>11784</v>
      </c>
      <c r="E2208" s="6" t="s">
        <v>12552</v>
      </c>
      <c r="F2208" s="10"/>
      <c r="G2208" s="26" t="s">
        <v>12554</v>
      </c>
      <c r="H2208" s="6" t="s">
        <v>147</v>
      </c>
      <c r="I2208" s="17" t="b">
        <v>1</v>
      </c>
      <c r="J2208" s="26" t="s">
        <v>8596</v>
      </c>
      <c r="K2208" s="10"/>
      <c r="L2208" s="10"/>
      <c r="M2208" s="10"/>
      <c r="N2208" s="10"/>
      <c r="O2208" s="26">
        <v>202.0</v>
      </c>
      <c r="P2208" s="18">
        <v>2087696.0</v>
      </c>
      <c r="Q2208" s="27" t="b">
        <v>1</v>
      </c>
      <c r="R2208" s="10"/>
    </row>
    <row r="2209">
      <c r="A2209" s="18">
        <v>11967.0</v>
      </c>
      <c r="B2209" s="6" t="s">
        <v>35</v>
      </c>
      <c r="C2209" s="8">
        <v>46112.0</v>
      </c>
      <c r="D2209" s="6" t="s">
        <v>890</v>
      </c>
      <c r="E2209" s="10"/>
      <c r="F2209" s="10"/>
      <c r="G2209" s="10"/>
      <c r="H2209" s="6" t="s">
        <v>10085</v>
      </c>
      <c r="I2209" s="10"/>
      <c r="J2209" s="6" t="s">
        <v>539</v>
      </c>
      <c r="K2209" s="10"/>
      <c r="L2209" s="10"/>
      <c r="M2209" s="10"/>
      <c r="N2209" s="10"/>
      <c r="O2209" s="18">
        <v>1148.0</v>
      </c>
      <c r="P2209" s="10"/>
      <c r="Q2209" s="17" t="b">
        <v>1</v>
      </c>
      <c r="R2209" s="10"/>
    </row>
    <row r="2210">
      <c r="A2210" s="18">
        <v>11968.0</v>
      </c>
      <c r="B2210" s="6" t="s">
        <v>35</v>
      </c>
      <c r="C2210" s="8">
        <v>46112.0</v>
      </c>
      <c r="D2210" s="6" t="s">
        <v>890</v>
      </c>
      <c r="E2210" s="10"/>
      <c r="F2210" s="10"/>
      <c r="G2210" s="10"/>
      <c r="H2210" s="6" t="s">
        <v>10089</v>
      </c>
      <c r="I2210" s="10"/>
      <c r="J2210" s="6" t="s">
        <v>539</v>
      </c>
      <c r="K2210" s="10"/>
      <c r="L2210" s="10"/>
      <c r="M2210" s="10"/>
      <c r="N2210" s="10"/>
      <c r="O2210" s="18">
        <v>700.0</v>
      </c>
      <c r="P2210" s="10"/>
      <c r="Q2210" s="17" t="b">
        <v>1</v>
      </c>
      <c r="R2210" s="10"/>
    </row>
    <row r="2211">
      <c r="A2211" s="18">
        <v>11972.0</v>
      </c>
      <c r="B2211" s="6" t="s">
        <v>35</v>
      </c>
      <c r="C2211" s="8">
        <v>46112.0</v>
      </c>
      <c r="D2211" s="6" t="s">
        <v>890</v>
      </c>
      <c r="E2211" s="10"/>
      <c r="F2211" s="10"/>
      <c r="G2211" s="10"/>
      <c r="H2211" s="6" t="s">
        <v>4010</v>
      </c>
      <c r="I2211" s="10"/>
      <c r="J2211" s="6" t="s">
        <v>539</v>
      </c>
      <c r="K2211" s="10"/>
      <c r="L2211" s="10"/>
      <c r="M2211" s="10"/>
      <c r="N2211" s="10"/>
      <c r="O2211" s="18">
        <v>396.0</v>
      </c>
      <c r="P2211" s="10"/>
      <c r="Q2211" s="17" t="b">
        <v>1</v>
      </c>
      <c r="R2211" s="10"/>
    </row>
    <row r="2212">
      <c r="A2212" s="6" t="s">
        <v>10014</v>
      </c>
      <c r="B2212" s="6" t="s">
        <v>35</v>
      </c>
      <c r="C2212" s="8">
        <v>46112.0</v>
      </c>
      <c r="D2212" s="6" t="s">
        <v>11638</v>
      </c>
      <c r="E2212" s="10"/>
      <c r="F2212" s="10"/>
      <c r="G2212" s="10"/>
      <c r="H2212" s="6" t="s">
        <v>605</v>
      </c>
      <c r="I2212" s="10"/>
      <c r="J2212" s="6" t="s">
        <v>539</v>
      </c>
      <c r="K2212" s="10"/>
      <c r="L2212" s="10"/>
      <c r="M2212" s="10"/>
      <c r="N2212" s="10"/>
      <c r="O2212" s="18">
        <v>722.95</v>
      </c>
      <c r="P2212" s="10"/>
      <c r="Q2212" s="17" t="b">
        <v>1</v>
      </c>
      <c r="R2212" s="10"/>
    </row>
    <row r="2213">
      <c r="A2213" s="6" t="s">
        <v>10018</v>
      </c>
      <c r="B2213" s="6" t="s">
        <v>35</v>
      </c>
      <c r="C2213" s="8">
        <v>46112.0</v>
      </c>
      <c r="D2213" s="6" t="s">
        <v>890</v>
      </c>
      <c r="E2213" s="10"/>
      <c r="F2213" s="10"/>
      <c r="G2213" s="10"/>
      <c r="H2213" s="6" t="s">
        <v>12555</v>
      </c>
      <c r="I2213" s="10"/>
      <c r="J2213" s="6" t="s">
        <v>539</v>
      </c>
      <c r="K2213" s="10"/>
      <c r="L2213" s="10"/>
      <c r="M2213" s="10"/>
      <c r="N2213" s="10"/>
      <c r="O2213" s="18">
        <v>2039.89</v>
      </c>
      <c r="P2213" s="10"/>
      <c r="Q2213" s="17" t="b">
        <v>1</v>
      </c>
      <c r="R2213" s="10"/>
    </row>
    <row r="2214">
      <c r="A2214" s="6" t="s">
        <v>11093</v>
      </c>
      <c r="B2214" s="6" t="s">
        <v>35</v>
      </c>
      <c r="C2214" s="8">
        <v>46112.0</v>
      </c>
      <c r="D2214" s="6" t="s">
        <v>420</v>
      </c>
      <c r="E2214" s="6" t="s">
        <v>12556</v>
      </c>
      <c r="F2214" s="10"/>
      <c r="G2214" s="26" t="s">
        <v>12557</v>
      </c>
      <c r="H2214" s="6" t="s">
        <v>12235</v>
      </c>
      <c r="I2214" s="17" t="b">
        <v>0</v>
      </c>
      <c r="J2214" s="26" t="s">
        <v>8596</v>
      </c>
      <c r="K2214" s="10"/>
      <c r="L2214" s="10"/>
      <c r="M2214" s="10"/>
      <c r="N2214" s="10"/>
      <c r="O2214" s="26">
        <v>1543.22</v>
      </c>
      <c r="P2214" s="10"/>
      <c r="Q2214" s="27" t="b">
        <v>1</v>
      </c>
      <c r="R2214" s="10"/>
    </row>
    <row r="2215">
      <c r="A2215" s="6" t="s">
        <v>11123</v>
      </c>
      <c r="B2215" s="6" t="s">
        <v>35</v>
      </c>
      <c r="C2215" s="8">
        <v>46113.0</v>
      </c>
      <c r="D2215" s="6" t="s">
        <v>11765</v>
      </c>
      <c r="E2215" s="6" t="s">
        <v>12558</v>
      </c>
      <c r="F2215" s="10"/>
      <c r="G2215" s="26" t="s">
        <v>12559</v>
      </c>
      <c r="H2215" s="6" t="s">
        <v>195</v>
      </c>
      <c r="I2215" s="17" t="b">
        <v>0</v>
      </c>
      <c r="J2215" s="26" t="s">
        <v>8596</v>
      </c>
      <c r="K2215" s="10"/>
      <c r="L2215" s="26" t="s">
        <v>12560</v>
      </c>
      <c r="M2215" s="10"/>
      <c r="N2215" s="10"/>
      <c r="O2215" s="26">
        <v>1821.85</v>
      </c>
      <c r="P2215" s="10"/>
      <c r="Q2215" s="27" t="b">
        <v>1</v>
      </c>
      <c r="R2215" s="10"/>
    </row>
    <row r="2216">
      <c r="A2216" s="18">
        <v>12022.0</v>
      </c>
      <c r="B2216" s="6" t="s">
        <v>35</v>
      </c>
      <c r="C2216" s="8">
        <v>46114.0</v>
      </c>
      <c r="D2216" s="6" t="s">
        <v>9825</v>
      </c>
      <c r="E2216" s="10"/>
      <c r="F2216" s="10"/>
      <c r="G2216" s="10"/>
      <c r="H2216" s="6" t="s">
        <v>9826</v>
      </c>
      <c r="I2216" s="10"/>
      <c r="J2216" s="6" t="s">
        <v>539</v>
      </c>
      <c r="K2216" s="10"/>
      <c r="L2216" s="10"/>
      <c r="M2216" s="10"/>
      <c r="N2216" s="10"/>
      <c r="O2216" s="18">
        <v>87.68</v>
      </c>
      <c r="P2216" s="10"/>
      <c r="Q2216" s="17" t="b">
        <v>1</v>
      </c>
      <c r="R2216" s="10"/>
    </row>
    <row r="2217">
      <c r="A2217" s="18">
        <v>12023.0</v>
      </c>
      <c r="B2217" s="6" t="s">
        <v>35</v>
      </c>
      <c r="C2217" s="8">
        <v>46114.0</v>
      </c>
      <c r="D2217" s="6" t="s">
        <v>9825</v>
      </c>
      <c r="E2217" s="10"/>
      <c r="F2217" s="10"/>
      <c r="G2217" s="10"/>
      <c r="H2217" s="6" t="s">
        <v>9835</v>
      </c>
      <c r="I2217" s="10"/>
      <c r="J2217" s="6" t="s">
        <v>539</v>
      </c>
      <c r="K2217" s="10"/>
      <c r="L2217" s="10"/>
      <c r="M2217" s="10"/>
      <c r="N2217" s="10"/>
      <c r="O2217" s="18">
        <v>553.28</v>
      </c>
      <c r="P2217" s="10"/>
      <c r="Q2217" s="17" t="b">
        <v>1</v>
      </c>
      <c r="R2217" s="10"/>
    </row>
    <row r="2218">
      <c r="A2218" s="18">
        <v>12024.0</v>
      </c>
      <c r="B2218" s="6" t="s">
        <v>35</v>
      </c>
      <c r="C2218" s="8">
        <v>46114.0</v>
      </c>
      <c r="D2218" s="6" t="s">
        <v>460</v>
      </c>
      <c r="E2218" s="10"/>
      <c r="F2218" s="10"/>
      <c r="G2218" s="10"/>
      <c r="H2218" s="6" t="s">
        <v>10550</v>
      </c>
      <c r="I2218" s="10"/>
      <c r="J2218" s="6" t="s">
        <v>539</v>
      </c>
      <c r="K2218" s="10"/>
      <c r="L2218" s="10"/>
      <c r="M2218" s="10"/>
      <c r="N2218" s="10"/>
      <c r="O2218" s="18">
        <v>4083.0</v>
      </c>
      <c r="P2218" s="10"/>
      <c r="Q2218" s="17" t="b">
        <v>1</v>
      </c>
      <c r="R2218" s="10"/>
    </row>
    <row r="2219">
      <c r="A2219" s="18">
        <v>12025.0</v>
      </c>
      <c r="B2219" s="6" t="s">
        <v>35</v>
      </c>
      <c r="C2219" s="8">
        <v>46114.0</v>
      </c>
      <c r="D2219" s="6" t="s">
        <v>460</v>
      </c>
      <c r="E2219" s="10"/>
      <c r="F2219" s="10"/>
      <c r="G2219" s="10"/>
      <c r="H2219" s="6" t="s">
        <v>11326</v>
      </c>
      <c r="I2219" s="10"/>
      <c r="J2219" s="6" t="s">
        <v>539</v>
      </c>
      <c r="K2219" s="10"/>
      <c r="L2219" s="10"/>
      <c r="M2219" s="10"/>
      <c r="N2219" s="10"/>
      <c r="O2219" s="18">
        <v>72.0</v>
      </c>
      <c r="P2219" s="10"/>
      <c r="Q2219" s="17" t="b">
        <v>1</v>
      </c>
      <c r="R2219" s="10"/>
    </row>
    <row r="2220">
      <c r="A2220" s="18">
        <v>12026.0</v>
      </c>
      <c r="B2220" s="6" t="s">
        <v>35</v>
      </c>
      <c r="C2220" s="8">
        <v>46114.0</v>
      </c>
      <c r="D2220" s="10"/>
      <c r="E2220" s="10"/>
      <c r="F2220" s="10"/>
      <c r="G2220" s="10"/>
      <c r="H2220" s="6" t="s">
        <v>8658</v>
      </c>
      <c r="I2220" s="10"/>
      <c r="J2220" s="6" t="s">
        <v>539</v>
      </c>
      <c r="K2220" s="6" t="s">
        <v>2052</v>
      </c>
      <c r="L2220" s="10"/>
      <c r="M2220" s="10"/>
      <c r="N2220" s="10"/>
      <c r="O2220" s="18">
        <v>1846.78</v>
      </c>
      <c r="P2220" s="10"/>
      <c r="Q2220" s="17" t="b">
        <v>1</v>
      </c>
      <c r="R2220" s="10"/>
    </row>
    <row r="2221">
      <c r="A2221" s="18">
        <v>12027.0</v>
      </c>
      <c r="B2221" s="6" t="s">
        <v>35</v>
      </c>
      <c r="C2221" s="8">
        <v>46114.0</v>
      </c>
      <c r="D2221" s="10"/>
      <c r="E2221" s="10"/>
      <c r="F2221" s="10"/>
      <c r="G2221" s="10"/>
      <c r="H2221" s="6" t="s">
        <v>8658</v>
      </c>
      <c r="I2221" s="10"/>
      <c r="J2221" s="6" t="s">
        <v>539</v>
      </c>
      <c r="K2221" s="6" t="s">
        <v>227</v>
      </c>
      <c r="L2221" s="10"/>
      <c r="M2221" s="10"/>
      <c r="N2221" s="10"/>
      <c r="O2221" s="18">
        <v>975.91</v>
      </c>
      <c r="P2221" s="10"/>
      <c r="Q2221" s="17" t="b">
        <v>1</v>
      </c>
      <c r="R2221" s="10"/>
    </row>
    <row r="2222">
      <c r="A2222" s="18">
        <v>12028.0</v>
      </c>
      <c r="B2222" s="6" t="s">
        <v>35</v>
      </c>
      <c r="C2222" s="8">
        <v>46114.0</v>
      </c>
      <c r="D2222" s="10"/>
      <c r="E2222" s="10"/>
      <c r="F2222" s="10"/>
      <c r="G2222" s="10"/>
      <c r="H2222" s="6" t="s">
        <v>8658</v>
      </c>
      <c r="I2222" s="10"/>
      <c r="J2222" s="6" t="s">
        <v>539</v>
      </c>
      <c r="K2222" s="6" t="s">
        <v>117</v>
      </c>
      <c r="L2222" s="10"/>
      <c r="M2222" s="10"/>
      <c r="N2222" s="10"/>
      <c r="O2222" s="18">
        <v>1592.32</v>
      </c>
      <c r="P2222" s="10"/>
      <c r="Q2222" s="17" t="b">
        <v>1</v>
      </c>
      <c r="R2222" s="10"/>
    </row>
    <row r="2223">
      <c r="A2223" s="18">
        <v>12029.0</v>
      </c>
      <c r="B2223" s="6" t="s">
        <v>35</v>
      </c>
      <c r="C2223" s="8">
        <v>46114.0</v>
      </c>
      <c r="D2223" s="10"/>
      <c r="E2223" s="10"/>
      <c r="F2223" s="10"/>
      <c r="G2223" s="10"/>
      <c r="H2223" s="6" t="s">
        <v>8658</v>
      </c>
      <c r="I2223" s="10"/>
      <c r="J2223" s="6" t="s">
        <v>539</v>
      </c>
      <c r="K2223" s="6" t="s">
        <v>218</v>
      </c>
      <c r="L2223" s="10"/>
      <c r="M2223" s="10"/>
      <c r="N2223" s="10"/>
      <c r="O2223" s="18">
        <v>4608.33</v>
      </c>
      <c r="P2223" s="10"/>
      <c r="Q2223" s="17" t="b">
        <v>1</v>
      </c>
      <c r="R2223" s="10"/>
    </row>
    <row r="2224">
      <c r="A2224" s="18">
        <v>12030.0</v>
      </c>
      <c r="B2224" s="6" t="s">
        <v>35</v>
      </c>
      <c r="C2224" s="8">
        <v>46114.0</v>
      </c>
      <c r="D2224" s="10"/>
      <c r="E2224" s="10"/>
      <c r="F2224" s="10"/>
      <c r="G2224" s="10"/>
      <c r="H2224" s="6" t="s">
        <v>8658</v>
      </c>
      <c r="I2224" s="10"/>
      <c r="J2224" s="6" t="s">
        <v>539</v>
      </c>
      <c r="K2224" s="6" t="s">
        <v>336</v>
      </c>
      <c r="L2224" s="10"/>
      <c r="M2224" s="10"/>
      <c r="N2224" s="10"/>
      <c r="O2224" s="18">
        <v>2266.83</v>
      </c>
      <c r="P2224" s="10"/>
      <c r="Q2224" s="17" t="b">
        <v>1</v>
      </c>
      <c r="R2224" s="10"/>
    </row>
    <row r="2225">
      <c r="A2225" s="18">
        <v>12031.0</v>
      </c>
      <c r="B2225" s="6" t="s">
        <v>35</v>
      </c>
      <c r="C2225" s="8">
        <v>46114.0</v>
      </c>
      <c r="D2225" s="6" t="s">
        <v>460</v>
      </c>
      <c r="E2225" s="10"/>
      <c r="F2225" s="10"/>
      <c r="G2225" s="10"/>
      <c r="H2225" s="6" t="s">
        <v>12100</v>
      </c>
      <c r="I2225" s="10"/>
      <c r="J2225" s="6" t="s">
        <v>539</v>
      </c>
      <c r="K2225" s="10"/>
      <c r="L2225" s="10"/>
      <c r="M2225" s="10"/>
      <c r="N2225" s="10"/>
      <c r="O2225" s="18">
        <v>70.0</v>
      </c>
      <c r="P2225" s="10"/>
      <c r="Q2225" s="17" t="b">
        <v>1</v>
      </c>
      <c r="R2225" s="10"/>
    </row>
    <row r="2226">
      <c r="A2226" s="6" t="s">
        <v>11147</v>
      </c>
      <c r="B2226" s="6" t="s">
        <v>35</v>
      </c>
      <c r="C2226" s="8">
        <v>46114.0</v>
      </c>
      <c r="D2226" s="6" t="s">
        <v>12255</v>
      </c>
      <c r="E2226" s="6" t="s">
        <v>12561</v>
      </c>
      <c r="F2226" s="10"/>
      <c r="G2226" s="26" t="s">
        <v>12562</v>
      </c>
      <c r="H2226" s="6" t="s">
        <v>1324</v>
      </c>
      <c r="I2226" s="17" t="b">
        <v>1</v>
      </c>
      <c r="J2226" s="26" t="s">
        <v>8596</v>
      </c>
      <c r="K2226" s="10"/>
      <c r="L2226" s="10"/>
      <c r="M2226" s="10"/>
      <c r="N2226" s="10"/>
      <c r="O2226" s="26">
        <v>7.5</v>
      </c>
      <c r="P2226" s="18">
        <v>2101578.0</v>
      </c>
      <c r="Q2226" s="27" t="b">
        <v>1</v>
      </c>
      <c r="R2226" s="10"/>
    </row>
    <row r="2227">
      <c r="A2227" s="6" t="s">
        <v>11150</v>
      </c>
      <c r="B2227" s="6" t="s">
        <v>35</v>
      </c>
      <c r="C2227" s="8">
        <v>46114.0</v>
      </c>
      <c r="D2227" s="6" t="s">
        <v>233</v>
      </c>
      <c r="E2227" s="6" t="s">
        <v>12563</v>
      </c>
      <c r="F2227" s="10"/>
      <c r="G2227" s="26" t="s">
        <v>12564</v>
      </c>
      <c r="H2227" s="6" t="s">
        <v>11625</v>
      </c>
      <c r="I2227" s="17" t="b">
        <v>1</v>
      </c>
      <c r="J2227" s="26" t="s">
        <v>8596</v>
      </c>
      <c r="K2227" s="10"/>
      <c r="L2227" s="10"/>
      <c r="M2227" s="10"/>
      <c r="N2227" s="10"/>
      <c r="O2227" s="26">
        <v>91.81</v>
      </c>
      <c r="P2227" s="18">
        <v>2101477.0</v>
      </c>
      <c r="Q2227" s="27" t="b">
        <v>1</v>
      </c>
      <c r="R2227" s="10"/>
    </row>
    <row r="2228">
      <c r="A2228" s="6" t="s">
        <v>11162</v>
      </c>
      <c r="B2228" s="6" t="s">
        <v>35</v>
      </c>
      <c r="C2228" s="8">
        <v>46114.0</v>
      </c>
      <c r="D2228" s="6" t="s">
        <v>11926</v>
      </c>
      <c r="E2228" s="6" t="s">
        <v>12565</v>
      </c>
      <c r="F2228" s="10"/>
      <c r="G2228" s="26" t="s">
        <v>12566</v>
      </c>
      <c r="H2228" s="6" t="s">
        <v>140</v>
      </c>
      <c r="I2228" s="17" t="b">
        <v>0</v>
      </c>
      <c r="J2228" s="26" t="s">
        <v>8596</v>
      </c>
      <c r="K2228" s="10"/>
      <c r="L2228" s="10"/>
      <c r="M2228" s="10"/>
      <c r="N2228" s="10"/>
      <c r="O2228" s="26">
        <v>450.0</v>
      </c>
      <c r="P2228" s="10"/>
      <c r="Q2228" s="27" t="b">
        <v>1</v>
      </c>
      <c r="R2228" s="10"/>
    </row>
    <row r="2229">
      <c r="A2229" s="6" t="s">
        <v>11166</v>
      </c>
      <c r="B2229" s="6" t="s">
        <v>35</v>
      </c>
      <c r="C2229" s="8">
        <v>46114.0</v>
      </c>
      <c r="D2229" s="6" t="s">
        <v>112</v>
      </c>
      <c r="E2229" s="6" t="s">
        <v>12567</v>
      </c>
      <c r="F2229" s="10"/>
      <c r="G2229" s="26" t="s">
        <v>12568</v>
      </c>
      <c r="H2229" s="6" t="s">
        <v>157</v>
      </c>
      <c r="I2229" s="17" t="b">
        <v>0</v>
      </c>
      <c r="J2229" s="26" t="s">
        <v>8596</v>
      </c>
      <c r="K2229" s="10"/>
      <c r="L2229" s="10"/>
      <c r="M2229" s="10"/>
      <c r="N2229" s="10"/>
      <c r="O2229" s="26">
        <v>515.13</v>
      </c>
      <c r="P2229" s="10"/>
      <c r="Q2229" s="27" t="b">
        <v>1</v>
      </c>
      <c r="R2229" s="10"/>
    </row>
    <row r="2230">
      <c r="A2230" s="6" t="s">
        <v>11085</v>
      </c>
      <c r="B2230" s="6" t="s">
        <v>35</v>
      </c>
      <c r="C2230" s="8">
        <v>46112.0</v>
      </c>
      <c r="D2230" s="6" t="s">
        <v>890</v>
      </c>
      <c r="E2230" s="6" t="s">
        <v>12569</v>
      </c>
      <c r="F2230" s="10"/>
      <c r="G2230" s="26" t="s">
        <v>12570</v>
      </c>
      <c r="H2230" s="6" t="s">
        <v>12571</v>
      </c>
      <c r="I2230" s="17" t="b">
        <v>0</v>
      </c>
      <c r="J2230" s="26" t="s">
        <v>8596</v>
      </c>
      <c r="K2230" s="10"/>
      <c r="L2230" s="26" t="s">
        <v>12572</v>
      </c>
      <c r="M2230" s="26" t="s">
        <v>12573</v>
      </c>
      <c r="N2230" s="10"/>
      <c r="O2230" s="26">
        <v>31309.89</v>
      </c>
      <c r="P2230" s="10"/>
      <c r="Q2230" s="27" t="b">
        <v>1</v>
      </c>
      <c r="R2230" s="10"/>
    </row>
    <row r="2231">
      <c r="A2231" s="6" t="s">
        <v>11112</v>
      </c>
      <c r="B2231" s="6" t="s">
        <v>35</v>
      </c>
      <c r="C2231" s="8">
        <v>46112.0</v>
      </c>
      <c r="D2231" s="6" t="s">
        <v>890</v>
      </c>
      <c r="E2231" s="6" t="s">
        <v>12574</v>
      </c>
      <c r="F2231" s="10"/>
      <c r="G2231" s="26" t="s">
        <v>12575</v>
      </c>
      <c r="H2231" s="6" t="s">
        <v>12576</v>
      </c>
      <c r="I2231" s="17" t="b">
        <v>0</v>
      </c>
      <c r="J2231" s="26" t="s">
        <v>8596</v>
      </c>
      <c r="K2231" s="10"/>
      <c r="L2231" s="10"/>
      <c r="M2231" s="10"/>
      <c r="N2231" s="10"/>
      <c r="O2231" s="26">
        <v>606.95</v>
      </c>
      <c r="P2231" s="10"/>
      <c r="Q2231" s="27" t="b">
        <v>1</v>
      </c>
      <c r="R2231" s="10"/>
    </row>
    <row r="2232">
      <c r="A2232" s="6" t="s">
        <v>11173</v>
      </c>
      <c r="B2232" s="6" t="s">
        <v>35</v>
      </c>
      <c r="C2232" s="8">
        <v>46115.0</v>
      </c>
      <c r="D2232" s="6" t="s">
        <v>12577</v>
      </c>
      <c r="E2232" s="6" t="s">
        <v>12578</v>
      </c>
      <c r="F2232" s="10"/>
      <c r="G2232" s="26" t="s">
        <v>12579</v>
      </c>
      <c r="H2232" s="6" t="s">
        <v>12580</v>
      </c>
      <c r="I2232" s="17" t="b">
        <v>1</v>
      </c>
      <c r="J2232" s="6" t="s">
        <v>8596</v>
      </c>
      <c r="K2232" s="10"/>
      <c r="L2232" s="10"/>
      <c r="M2232" s="10"/>
      <c r="N2232" s="10"/>
      <c r="O2232" s="26">
        <v>200.0</v>
      </c>
      <c r="P2232" s="18">
        <v>2107487.0</v>
      </c>
      <c r="Q2232" s="27" t="b">
        <v>1</v>
      </c>
      <c r="R2232" s="10"/>
    </row>
    <row r="2233">
      <c r="A2233" s="6" t="s">
        <v>11177</v>
      </c>
      <c r="B2233" s="6" t="s">
        <v>35</v>
      </c>
      <c r="C2233" s="8">
        <v>46116.0</v>
      </c>
      <c r="D2233" s="6" t="s">
        <v>112</v>
      </c>
      <c r="E2233" s="6" t="s">
        <v>12581</v>
      </c>
      <c r="F2233" s="10"/>
      <c r="G2233" s="26" t="s">
        <v>12582</v>
      </c>
      <c r="H2233" s="6" t="s">
        <v>12583</v>
      </c>
      <c r="I2233" s="17" t="b">
        <v>1</v>
      </c>
      <c r="J2233" s="26" t="s">
        <v>8596</v>
      </c>
      <c r="K2233" s="10"/>
      <c r="L2233" s="10"/>
      <c r="M2233" s="10"/>
      <c r="N2233" s="10"/>
      <c r="O2233" s="26">
        <v>11.2</v>
      </c>
      <c r="P2233" s="18">
        <v>2107115.0</v>
      </c>
      <c r="Q2233" s="27" t="b">
        <v>1</v>
      </c>
      <c r="R2233" s="10"/>
    </row>
    <row r="2234">
      <c r="A2234" s="6" t="s">
        <v>11179</v>
      </c>
      <c r="B2234" s="6" t="s">
        <v>35</v>
      </c>
      <c r="C2234" s="8">
        <v>46116.0</v>
      </c>
      <c r="D2234" s="6" t="s">
        <v>11718</v>
      </c>
      <c r="E2234" s="6" t="s">
        <v>12584</v>
      </c>
      <c r="F2234" s="10"/>
      <c r="G2234" s="26" t="s">
        <v>12585</v>
      </c>
      <c r="H2234" s="6" t="s">
        <v>11625</v>
      </c>
      <c r="I2234" s="17" t="b">
        <v>1</v>
      </c>
      <c r="J2234" s="26" t="s">
        <v>8596</v>
      </c>
      <c r="K2234" s="10"/>
      <c r="L2234" s="10"/>
      <c r="M2234" s="10"/>
      <c r="N2234" s="10"/>
      <c r="O2234" s="26">
        <v>21.98</v>
      </c>
      <c r="P2234" s="18">
        <v>2107111.0</v>
      </c>
      <c r="Q2234" s="27" t="b">
        <v>1</v>
      </c>
      <c r="R2234" s="10"/>
    </row>
    <row r="2235">
      <c r="A2235" s="6" t="s">
        <v>11181</v>
      </c>
      <c r="B2235" s="6" t="s">
        <v>35</v>
      </c>
      <c r="C2235" s="8">
        <v>46119.0</v>
      </c>
      <c r="D2235" s="18">
        <v>2.6065919E7</v>
      </c>
      <c r="E2235" s="6" t="s">
        <v>12586</v>
      </c>
      <c r="F2235" s="10"/>
      <c r="G2235" s="26" t="s">
        <v>12587</v>
      </c>
      <c r="H2235" s="6" t="s">
        <v>12588</v>
      </c>
      <c r="I2235" s="17" t="b">
        <v>0</v>
      </c>
      <c r="J2235" s="26" t="s">
        <v>8596</v>
      </c>
      <c r="K2235" s="10"/>
      <c r="L2235" s="10"/>
      <c r="M2235" s="10"/>
      <c r="N2235" s="10"/>
      <c r="O2235" s="26">
        <v>280.0</v>
      </c>
      <c r="P2235" s="10"/>
      <c r="Q2235" s="27" t="b">
        <v>1</v>
      </c>
      <c r="R2235" s="10"/>
    </row>
    <row r="2236">
      <c r="A2236" s="18">
        <v>12015.0</v>
      </c>
      <c r="B2236" s="6" t="s">
        <v>35</v>
      </c>
      <c r="C2236" s="8">
        <v>46119.0</v>
      </c>
      <c r="D2236" s="6" t="s">
        <v>1036</v>
      </c>
      <c r="E2236" s="10"/>
      <c r="F2236" s="10"/>
      <c r="G2236" s="10"/>
      <c r="H2236" s="6" t="s">
        <v>9926</v>
      </c>
      <c r="I2236" s="10"/>
      <c r="J2236" s="6" t="s">
        <v>539</v>
      </c>
      <c r="K2236" s="10"/>
      <c r="L2236" s="10"/>
      <c r="M2236" s="10"/>
      <c r="N2236" s="10"/>
      <c r="O2236" s="18">
        <v>134.83</v>
      </c>
      <c r="P2236" s="10"/>
      <c r="Q2236" s="17" t="b">
        <v>1</v>
      </c>
      <c r="R2236" s="10"/>
    </row>
    <row r="2237">
      <c r="A2237" s="18">
        <v>12016.0</v>
      </c>
      <c r="B2237" s="6" t="s">
        <v>35</v>
      </c>
      <c r="C2237" s="8">
        <v>46119.0</v>
      </c>
      <c r="D2237" s="6" t="s">
        <v>9929</v>
      </c>
      <c r="E2237" s="10"/>
      <c r="F2237" s="10"/>
      <c r="G2237" s="10"/>
      <c r="H2237" s="6" t="s">
        <v>9930</v>
      </c>
      <c r="I2237" s="10"/>
      <c r="J2237" s="6" t="s">
        <v>539</v>
      </c>
      <c r="K2237" s="10"/>
      <c r="L2237" s="10"/>
      <c r="M2237" s="10"/>
      <c r="N2237" s="10"/>
      <c r="O2237" s="18">
        <v>9200.0</v>
      </c>
      <c r="P2237" s="10"/>
      <c r="Q2237" s="17" t="b">
        <v>1</v>
      </c>
      <c r="R2237" s="10"/>
    </row>
    <row r="2238">
      <c r="A2238" s="18">
        <v>12017.0</v>
      </c>
      <c r="B2238" s="6" t="s">
        <v>35</v>
      </c>
      <c r="C2238" s="8">
        <v>46119.0</v>
      </c>
      <c r="D2238" s="6" t="s">
        <v>3516</v>
      </c>
      <c r="E2238" s="10"/>
      <c r="F2238" s="10"/>
      <c r="G2238" s="10"/>
      <c r="H2238" s="6" t="s">
        <v>9933</v>
      </c>
      <c r="I2238" s="10"/>
      <c r="J2238" s="6" t="s">
        <v>539</v>
      </c>
      <c r="K2238" s="10"/>
      <c r="L2238" s="10"/>
      <c r="M2238" s="10"/>
      <c r="N2238" s="10"/>
      <c r="O2238" s="18">
        <v>533.95</v>
      </c>
      <c r="P2238" s="10"/>
      <c r="Q2238" s="17" t="b">
        <v>1</v>
      </c>
      <c r="R2238" s="10"/>
    </row>
    <row r="2239">
      <c r="A2239" s="18">
        <v>12018.0</v>
      </c>
      <c r="B2239" s="6" t="s">
        <v>35</v>
      </c>
      <c r="C2239" s="8">
        <v>46119.0</v>
      </c>
      <c r="D2239" s="6" t="s">
        <v>2439</v>
      </c>
      <c r="E2239" s="10"/>
      <c r="F2239" s="10"/>
      <c r="G2239" s="10"/>
      <c r="H2239" s="6" t="s">
        <v>12589</v>
      </c>
      <c r="I2239" s="10"/>
      <c r="J2239" s="6" t="s">
        <v>539</v>
      </c>
      <c r="K2239" s="10"/>
      <c r="L2239" s="10"/>
      <c r="M2239" s="10"/>
      <c r="N2239" s="10"/>
      <c r="O2239" s="18">
        <v>0.0</v>
      </c>
      <c r="P2239" s="10"/>
      <c r="Q2239" s="17" t="b">
        <v>1</v>
      </c>
      <c r="R2239" s="10"/>
    </row>
    <row r="2240">
      <c r="A2240" s="18">
        <v>12019.0</v>
      </c>
      <c r="B2240" s="6" t="s">
        <v>35</v>
      </c>
      <c r="C2240" s="8">
        <v>46119.0</v>
      </c>
      <c r="D2240" s="6" t="s">
        <v>10315</v>
      </c>
      <c r="E2240" s="10"/>
      <c r="F2240" s="10"/>
      <c r="G2240" s="10"/>
      <c r="H2240" s="6" t="s">
        <v>12590</v>
      </c>
      <c r="I2240" s="10"/>
      <c r="J2240" s="6" t="s">
        <v>539</v>
      </c>
      <c r="K2240" s="10"/>
      <c r="L2240" s="10"/>
      <c r="M2240" s="10"/>
      <c r="N2240" s="10"/>
      <c r="O2240" s="18">
        <v>0.01</v>
      </c>
      <c r="P2240" s="10"/>
      <c r="Q2240" s="17" t="b">
        <v>1</v>
      </c>
      <c r="R2240" s="10"/>
    </row>
    <row r="2241">
      <c r="A2241" s="6" t="s">
        <v>10062</v>
      </c>
      <c r="B2241" s="6" t="s">
        <v>35</v>
      </c>
      <c r="C2241" s="8">
        <v>46119.0</v>
      </c>
      <c r="D2241" s="6" t="s">
        <v>460</v>
      </c>
      <c r="E2241" s="10"/>
      <c r="F2241" s="10"/>
      <c r="G2241" s="10"/>
      <c r="H2241" s="6" t="s">
        <v>12591</v>
      </c>
      <c r="I2241" s="10"/>
      <c r="J2241" s="6" t="s">
        <v>539</v>
      </c>
      <c r="K2241" s="10"/>
      <c r="L2241" s="10"/>
      <c r="M2241" s="10"/>
      <c r="N2241" s="10"/>
      <c r="O2241" s="18">
        <v>145.0</v>
      </c>
      <c r="P2241" s="10"/>
      <c r="Q2241" s="17" t="b">
        <v>1</v>
      </c>
      <c r="R2241" s="10"/>
    </row>
    <row r="2242">
      <c r="A2242" s="6" t="s">
        <v>10069</v>
      </c>
      <c r="B2242" s="6" t="s">
        <v>35</v>
      </c>
      <c r="C2242" s="8">
        <v>46119.0</v>
      </c>
      <c r="D2242" s="6" t="s">
        <v>460</v>
      </c>
      <c r="E2242" s="10"/>
      <c r="F2242" s="10"/>
      <c r="G2242" s="10"/>
      <c r="H2242" s="6" t="s">
        <v>12592</v>
      </c>
      <c r="I2242" s="10"/>
      <c r="J2242" s="6" t="s">
        <v>539</v>
      </c>
      <c r="K2242" s="10"/>
      <c r="L2242" s="10"/>
      <c r="M2242" s="10"/>
      <c r="N2242" s="10"/>
      <c r="O2242" s="18">
        <v>62.9</v>
      </c>
      <c r="P2242" s="10"/>
      <c r="Q2242" s="17" t="b">
        <v>1</v>
      </c>
      <c r="R2242" s="10"/>
    </row>
    <row r="2243">
      <c r="A2243" s="18">
        <v>12034.0</v>
      </c>
      <c r="B2243" s="6" t="s">
        <v>35</v>
      </c>
      <c r="C2243" s="8">
        <v>46119.0</v>
      </c>
      <c r="D2243" s="6" t="s">
        <v>7740</v>
      </c>
      <c r="E2243" s="10"/>
      <c r="F2243" s="10"/>
      <c r="G2243" s="10"/>
      <c r="H2243" s="6" t="s">
        <v>12593</v>
      </c>
      <c r="I2243" s="10"/>
      <c r="J2243" s="6" t="s">
        <v>539</v>
      </c>
      <c r="K2243" s="10"/>
      <c r="L2243" s="10"/>
      <c r="M2243" s="10"/>
      <c r="N2243" s="10"/>
      <c r="O2243" s="18">
        <v>0.0</v>
      </c>
      <c r="P2243" s="10"/>
      <c r="Q2243" s="17" t="b">
        <v>1</v>
      </c>
      <c r="R2243" s="10"/>
    </row>
    <row r="2244">
      <c r="A2244" s="6" t="s">
        <v>10077</v>
      </c>
      <c r="B2244" s="6" t="s">
        <v>35</v>
      </c>
      <c r="C2244" s="8">
        <v>46119.0</v>
      </c>
      <c r="D2244" s="6" t="s">
        <v>460</v>
      </c>
      <c r="E2244" s="10"/>
      <c r="F2244" s="10"/>
      <c r="G2244" s="10"/>
      <c r="H2244" s="6" t="s">
        <v>12594</v>
      </c>
      <c r="I2244" s="10"/>
      <c r="J2244" s="6" t="s">
        <v>539</v>
      </c>
      <c r="K2244" s="10"/>
      <c r="L2244" s="10"/>
      <c r="M2244" s="10"/>
      <c r="N2244" s="10"/>
      <c r="O2244" s="18">
        <v>1136.0</v>
      </c>
      <c r="P2244" s="10"/>
      <c r="Q2244" s="17" t="b">
        <v>1</v>
      </c>
      <c r="R2244" s="10"/>
    </row>
    <row r="2245">
      <c r="A2245" s="6" t="s">
        <v>10080</v>
      </c>
      <c r="B2245" s="6" t="s">
        <v>35</v>
      </c>
      <c r="C2245" s="8">
        <v>46119.0</v>
      </c>
      <c r="D2245" s="10"/>
      <c r="E2245" s="10"/>
      <c r="F2245" s="10"/>
      <c r="G2245" s="10"/>
      <c r="H2245" s="6" t="s">
        <v>1791</v>
      </c>
      <c r="I2245" s="10"/>
      <c r="J2245" s="6" t="s">
        <v>539</v>
      </c>
      <c r="K2245" s="6" t="s">
        <v>227</v>
      </c>
      <c r="L2245" s="10"/>
      <c r="M2245" s="10"/>
      <c r="N2245" s="10"/>
      <c r="O2245" s="18">
        <v>2790.21</v>
      </c>
      <c r="P2245" s="10"/>
      <c r="Q2245" s="17" t="b">
        <v>1</v>
      </c>
      <c r="R2245" s="10"/>
    </row>
    <row r="2246">
      <c r="A2246" s="6" t="s">
        <v>11140</v>
      </c>
      <c r="B2246" s="6" t="s">
        <v>35</v>
      </c>
      <c r="C2246" s="8">
        <v>46113.0</v>
      </c>
      <c r="D2246" s="6" t="s">
        <v>12334</v>
      </c>
      <c r="E2246" s="6" t="s">
        <v>12595</v>
      </c>
      <c r="F2246" s="10"/>
      <c r="G2246" s="26" t="s">
        <v>12596</v>
      </c>
      <c r="H2246" s="6" t="s">
        <v>12597</v>
      </c>
      <c r="I2246" s="17" t="b">
        <v>0</v>
      </c>
      <c r="J2246" s="26" t="s">
        <v>8596</v>
      </c>
      <c r="K2246" s="10"/>
      <c r="L2246" s="10"/>
      <c r="M2246" s="10"/>
      <c r="N2246" s="10"/>
      <c r="O2246" s="26">
        <v>3805.95</v>
      </c>
      <c r="P2246" s="10"/>
      <c r="Q2246" s="27" t="b">
        <v>1</v>
      </c>
      <c r="R2246" s="10"/>
    </row>
    <row r="2247">
      <c r="A2247" s="6" t="s">
        <v>11192</v>
      </c>
      <c r="B2247" s="6" t="s">
        <v>35</v>
      </c>
      <c r="C2247" s="8">
        <v>46121.0</v>
      </c>
      <c r="D2247" s="6" t="s">
        <v>11926</v>
      </c>
      <c r="E2247" s="6" t="s">
        <v>12598</v>
      </c>
      <c r="F2247" s="10"/>
      <c r="G2247" s="26" t="s">
        <v>12599</v>
      </c>
      <c r="H2247" s="6" t="s">
        <v>140</v>
      </c>
      <c r="I2247" s="17" t="b">
        <v>0</v>
      </c>
      <c r="J2247" s="26" t="s">
        <v>8596</v>
      </c>
      <c r="K2247" s="10"/>
      <c r="L2247" s="10"/>
      <c r="M2247" s="10"/>
      <c r="N2247" s="10"/>
      <c r="O2247" s="26">
        <v>300.0</v>
      </c>
      <c r="P2247" s="10"/>
      <c r="Q2247" s="27" t="b">
        <v>1</v>
      </c>
      <c r="R2247" s="10"/>
    </row>
    <row r="2248">
      <c r="A2248" s="6" t="s">
        <v>11195</v>
      </c>
      <c r="B2248" s="6" t="s">
        <v>35</v>
      </c>
      <c r="C2248" s="8">
        <v>46121.0</v>
      </c>
      <c r="D2248" s="6" t="s">
        <v>11765</v>
      </c>
      <c r="E2248" s="6" t="s">
        <v>12600</v>
      </c>
      <c r="F2248" s="10"/>
      <c r="G2248" s="26" t="s">
        <v>12601</v>
      </c>
      <c r="H2248" s="6" t="s">
        <v>195</v>
      </c>
      <c r="I2248" s="17" t="b">
        <v>0</v>
      </c>
      <c r="J2248" s="26" t="s">
        <v>8596</v>
      </c>
      <c r="K2248" s="10"/>
      <c r="L2248" s="26" t="s">
        <v>12602</v>
      </c>
      <c r="M2248" s="10"/>
      <c r="N2248" s="10"/>
      <c r="O2248" s="26">
        <v>564.0</v>
      </c>
      <c r="P2248" s="10"/>
      <c r="Q2248" s="27" t="b">
        <v>1</v>
      </c>
      <c r="R2248" s="10"/>
    </row>
    <row r="2249">
      <c r="A2249" s="6" t="s">
        <v>11143</v>
      </c>
      <c r="B2249" s="6" t="s">
        <v>35</v>
      </c>
      <c r="C2249" s="8">
        <v>46113.0</v>
      </c>
      <c r="D2249" s="6" t="s">
        <v>12334</v>
      </c>
      <c r="E2249" s="6" t="s">
        <v>12603</v>
      </c>
      <c r="F2249" s="10"/>
      <c r="G2249" s="26" t="s">
        <v>12604</v>
      </c>
      <c r="H2249" s="6" t="s">
        <v>12605</v>
      </c>
      <c r="I2249" s="17" t="b">
        <v>0</v>
      </c>
      <c r="J2249" s="26" t="s">
        <v>8596</v>
      </c>
      <c r="K2249" s="10"/>
      <c r="L2249" s="10"/>
      <c r="M2249" s="10"/>
      <c r="N2249" s="10"/>
      <c r="O2249" s="26">
        <v>2349.58</v>
      </c>
      <c r="P2249" s="10"/>
      <c r="Q2249" s="27" t="b">
        <v>1</v>
      </c>
      <c r="R2249" s="10"/>
    </row>
    <row r="2250">
      <c r="A2250" s="6" t="s">
        <v>11206</v>
      </c>
      <c r="B2250" s="6" t="s">
        <v>35</v>
      </c>
      <c r="C2250" s="8">
        <v>46121.0</v>
      </c>
      <c r="D2250" s="6" t="s">
        <v>12255</v>
      </c>
      <c r="E2250" s="6" t="s">
        <v>12606</v>
      </c>
      <c r="F2250" s="10"/>
      <c r="G2250" s="26" t="s">
        <v>12607</v>
      </c>
      <c r="H2250" s="6" t="s">
        <v>1324</v>
      </c>
      <c r="I2250" s="17" t="b">
        <v>1</v>
      </c>
      <c r="J2250" s="26" t="s">
        <v>8596</v>
      </c>
      <c r="K2250" s="10"/>
      <c r="L2250" s="10"/>
      <c r="M2250" s="10"/>
      <c r="N2250" s="10"/>
      <c r="O2250" s="26">
        <v>4.5</v>
      </c>
      <c r="P2250" s="18">
        <v>2116036.0</v>
      </c>
      <c r="Q2250" s="27" t="b">
        <v>1</v>
      </c>
      <c r="R2250" s="10"/>
    </row>
    <row r="2251">
      <c r="A2251" s="6" t="s">
        <v>11242</v>
      </c>
      <c r="B2251" s="6" t="s">
        <v>35</v>
      </c>
      <c r="C2251" s="8">
        <v>46124.0</v>
      </c>
      <c r="D2251" s="18">
        <v>8.627274E7</v>
      </c>
      <c r="E2251" s="6" t="s">
        <v>12608</v>
      </c>
      <c r="F2251" s="10"/>
      <c r="G2251" s="26" t="s">
        <v>12609</v>
      </c>
      <c r="H2251" s="6" t="s">
        <v>12610</v>
      </c>
      <c r="I2251" s="17" t="b">
        <v>1</v>
      </c>
      <c r="J2251" s="26" t="s">
        <v>8596</v>
      </c>
      <c r="K2251" s="10"/>
      <c r="L2251" s="10"/>
      <c r="M2251" s="10"/>
      <c r="N2251" s="10"/>
      <c r="O2251" s="26">
        <v>5.79</v>
      </c>
      <c r="P2251" s="18">
        <v>2121728.0</v>
      </c>
      <c r="Q2251" s="27" t="b">
        <v>1</v>
      </c>
      <c r="R2251" s="10"/>
    </row>
    <row r="2252">
      <c r="A2252" s="6" t="s">
        <v>11208</v>
      </c>
      <c r="B2252" s="6" t="s">
        <v>35</v>
      </c>
      <c r="C2252" s="8">
        <v>46122.0</v>
      </c>
      <c r="D2252" s="18">
        <v>8.627274E7</v>
      </c>
      <c r="E2252" s="6" t="s">
        <v>12611</v>
      </c>
      <c r="F2252" s="10"/>
      <c r="G2252" s="26" t="s">
        <v>12612</v>
      </c>
      <c r="H2252" s="6" t="s">
        <v>11625</v>
      </c>
      <c r="I2252" s="17" t="b">
        <v>1</v>
      </c>
      <c r="J2252" s="26" t="s">
        <v>8596</v>
      </c>
      <c r="K2252" s="10"/>
      <c r="L2252" s="10"/>
      <c r="M2252" s="10"/>
      <c r="N2252" s="10"/>
      <c r="O2252" s="26">
        <v>91.12</v>
      </c>
      <c r="P2252" s="18">
        <v>2117719.0</v>
      </c>
      <c r="Q2252" s="27" t="b">
        <v>1</v>
      </c>
      <c r="R2252" s="10"/>
    </row>
    <row r="2253">
      <c r="A2253" s="6" t="s">
        <v>11226</v>
      </c>
      <c r="B2253" s="6" t="s">
        <v>35</v>
      </c>
      <c r="C2253" s="8">
        <v>46122.0</v>
      </c>
      <c r="D2253" s="6" t="s">
        <v>12613</v>
      </c>
      <c r="E2253" s="6" t="s">
        <v>12614</v>
      </c>
      <c r="F2253" s="10"/>
      <c r="G2253" s="26" t="s">
        <v>12615</v>
      </c>
      <c r="H2253" s="6" t="s">
        <v>12616</v>
      </c>
      <c r="I2253" s="17" t="b">
        <v>1</v>
      </c>
      <c r="J2253" s="26" t="s">
        <v>8596</v>
      </c>
      <c r="K2253" s="10"/>
      <c r="L2253" s="10"/>
      <c r="M2253" s="10"/>
      <c r="N2253" s="10"/>
      <c r="O2253" s="26">
        <v>47.94</v>
      </c>
      <c r="P2253" s="18">
        <v>2117720.0</v>
      </c>
      <c r="Q2253" s="27" t="b">
        <v>1</v>
      </c>
      <c r="R2253" s="10"/>
    </row>
    <row r="2254">
      <c r="A2254" s="6" t="s">
        <v>11233</v>
      </c>
      <c r="B2254" s="6" t="s">
        <v>35</v>
      </c>
      <c r="C2254" s="8">
        <v>46122.0</v>
      </c>
      <c r="D2254" s="6" t="s">
        <v>112</v>
      </c>
      <c r="E2254" s="6" t="s">
        <v>12617</v>
      </c>
      <c r="F2254" s="10"/>
      <c r="G2254" s="26" t="s">
        <v>12618</v>
      </c>
      <c r="H2254" s="6" t="s">
        <v>157</v>
      </c>
      <c r="I2254" s="17" t="b">
        <v>0</v>
      </c>
      <c r="J2254" s="26" t="s">
        <v>8596</v>
      </c>
      <c r="K2254" s="10"/>
      <c r="L2254" s="10"/>
      <c r="M2254" s="10"/>
      <c r="N2254" s="10"/>
      <c r="O2254" s="26">
        <v>328.67</v>
      </c>
      <c r="P2254" s="10"/>
      <c r="Q2254" s="27" t="b">
        <v>1</v>
      </c>
      <c r="R2254" s="10"/>
    </row>
    <row r="2255">
      <c r="A2255" s="6" t="s">
        <v>10083</v>
      </c>
      <c r="B2255" s="6" t="s">
        <v>35</v>
      </c>
      <c r="C2255" s="8">
        <v>46126.0</v>
      </c>
      <c r="D2255" s="6" t="s">
        <v>9260</v>
      </c>
      <c r="E2255" s="10"/>
      <c r="F2255" s="10"/>
      <c r="G2255" s="10"/>
      <c r="H2255" s="6" t="s">
        <v>12619</v>
      </c>
      <c r="I2255" s="10"/>
      <c r="J2255" s="6" t="s">
        <v>539</v>
      </c>
      <c r="K2255" s="10"/>
      <c r="L2255" s="10"/>
      <c r="M2255" s="10"/>
      <c r="N2255" s="10"/>
      <c r="O2255" s="18">
        <v>131.62</v>
      </c>
      <c r="P2255" s="10"/>
      <c r="Q2255" s="17" t="b">
        <v>1</v>
      </c>
      <c r="R2255" s="10"/>
    </row>
    <row r="2256">
      <c r="A2256" s="6" t="s">
        <v>10087</v>
      </c>
      <c r="B2256" s="6" t="s">
        <v>35</v>
      </c>
      <c r="C2256" s="8">
        <v>46126.0</v>
      </c>
      <c r="D2256" s="6" t="s">
        <v>890</v>
      </c>
      <c r="E2256" s="10"/>
      <c r="F2256" s="10"/>
      <c r="G2256" s="10"/>
      <c r="H2256" s="6" t="s">
        <v>12620</v>
      </c>
      <c r="I2256" s="10"/>
      <c r="J2256" s="6" t="s">
        <v>539</v>
      </c>
      <c r="K2256" s="10"/>
      <c r="L2256" s="10"/>
      <c r="M2256" s="10"/>
      <c r="N2256" s="10"/>
      <c r="O2256" s="18">
        <v>6692.0</v>
      </c>
      <c r="P2256" s="10"/>
      <c r="Q2256" s="17" t="b">
        <v>1</v>
      </c>
      <c r="R2256" s="10"/>
    </row>
    <row r="2257">
      <c r="A2257" s="6" t="s">
        <v>10090</v>
      </c>
      <c r="B2257" s="6" t="s">
        <v>35</v>
      </c>
      <c r="C2257" s="8">
        <v>46126.0</v>
      </c>
      <c r="D2257" s="6" t="s">
        <v>890</v>
      </c>
      <c r="E2257" s="10"/>
      <c r="F2257" s="10"/>
      <c r="G2257" s="10"/>
      <c r="H2257" s="6" t="s">
        <v>12621</v>
      </c>
      <c r="I2257" s="10"/>
      <c r="J2257" s="6" t="s">
        <v>539</v>
      </c>
      <c r="K2257" s="10"/>
      <c r="L2257" s="10"/>
      <c r="M2257" s="10"/>
      <c r="N2257" s="10"/>
      <c r="O2257" s="18">
        <v>2607.37</v>
      </c>
      <c r="P2257" s="10"/>
      <c r="Q2257" s="17" t="b">
        <v>1</v>
      </c>
      <c r="R2257" s="10"/>
    </row>
    <row r="2258">
      <c r="A2258" s="18">
        <v>12045.0</v>
      </c>
      <c r="B2258" s="6" t="s">
        <v>35</v>
      </c>
      <c r="C2258" s="8">
        <v>46126.0</v>
      </c>
      <c r="D2258" s="6" t="s">
        <v>10092</v>
      </c>
      <c r="E2258" s="10"/>
      <c r="F2258" s="10"/>
      <c r="G2258" s="10"/>
      <c r="H2258" s="6" t="s">
        <v>10093</v>
      </c>
      <c r="I2258" s="10"/>
      <c r="J2258" s="6" t="s">
        <v>539</v>
      </c>
      <c r="K2258" s="10"/>
      <c r="L2258" s="10"/>
      <c r="M2258" s="10"/>
      <c r="N2258" s="10"/>
      <c r="O2258" s="18">
        <v>181.37</v>
      </c>
      <c r="P2258" s="10"/>
      <c r="Q2258" s="17" t="b">
        <v>1</v>
      </c>
      <c r="R2258" s="10"/>
    </row>
    <row r="2259">
      <c r="A2259" s="18">
        <v>12046.0</v>
      </c>
      <c r="B2259" s="6" t="s">
        <v>35</v>
      </c>
      <c r="C2259" s="8">
        <v>46126.0</v>
      </c>
      <c r="D2259" s="6" t="s">
        <v>2280</v>
      </c>
      <c r="E2259" s="10"/>
      <c r="F2259" s="10"/>
      <c r="G2259" s="10"/>
      <c r="H2259" s="6" t="s">
        <v>10095</v>
      </c>
      <c r="I2259" s="10"/>
      <c r="J2259" s="6" t="s">
        <v>539</v>
      </c>
      <c r="K2259" s="10"/>
      <c r="L2259" s="10"/>
      <c r="M2259" s="10"/>
      <c r="N2259" s="10"/>
      <c r="O2259" s="18">
        <v>3720.53</v>
      </c>
      <c r="P2259" s="10"/>
      <c r="Q2259" s="17" t="b">
        <v>1</v>
      </c>
      <c r="R2259" s="10"/>
    </row>
    <row r="2260">
      <c r="A2260" s="18">
        <v>12047.0</v>
      </c>
      <c r="B2260" s="6" t="s">
        <v>35</v>
      </c>
      <c r="C2260" s="8">
        <v>46126.0</v>
      </c>
      <c r="D2260" s="6" t="s">
        <v>2248</v>
      </c>
      <c r="E2260" s="10"/>
      <c r="F2260" s="10"/>
      <c r="G2260" s="10"/>
      <c r="H2260" s="6" t="s">
        <v>8055</v>
      </c>
      <c r="I2260" s="10"/>
      <c r="J2260" s="6" t="s">
        <v>539</v>
      </c>
      <c r="K2260" s="10"/>
      <c r="L2260" s="10"/>
      <c r="M2260" s="10"/>
      <c r="N2260" s="10"/>
      <c r="O2260" s="18">
        <v>185.0</v>
      </c>
      <c r="P2260" s="10"/>
      <c r="Q2260" s="17" t="b">
        <v>1</v>
      </c>
      <c r="R2260" s="10"/>
    </row>
    <row r="2261">
      <c r="A2261" s="18">
        <v>12049.0</v>
      </c>
      <c r="B2261" s="6" t="s">
        <v>35</v>
      </c>
      <c r="C2261" s="8">
        <v>46126.0</v>
      </c>
      <c r="D2261" s="6" t="s">
        <v>3516</v>
      </c>
      <c r="E2261" s="10"/>
      <c r="F2261" s="10"/>
      <c r="G2261" s="10"/>
      <c r="H2261" s="6" t="s">
        <v>10131</v>
      </c>
      <c r="I2261" s="10"/>
      <c r="J2261" s="6" t="s">
        <v>539</v>
      </c>
      <c r="K2261" s="10"/>
      <c r="L2261" s="10"/>
      <c r="M2261" s="10"/>
      <c r="N2261" s="10"/>
      <c r="O2261" s="18">
        <v>1470.0</v>
      </c>
      <c r="P2261" s="10"/>
      <c r="Q2261" s="17" t="b">
        <v>1</v>
      </c>
      <c r="R2261" s="10"/>
    </row>
    <row r="2262">
      <c r="A2262" s="6" t="s">
        <v>10099</v>
      </c>
      <c r="B2262" s="6" t="s">
        <v>35</v>
      </c>
      <c r="C2262" s="8">
        <v>46126.0</v>
      </c>
      <c r="D2262" s="6" t="s">
        <v>1160</v>
      </c>
      <c r="E2262" s="10"/>
      <c r="F2262" s="10"/>
      <c r="G2262" s="10"/>
      <c r="H2262" s="6" t="s">
        <v>11193</v>
      </c>
      <c r="I2262" s="10"/>
      <c r="J2262" s="6" t="s">
        <v>539</v>
      </c>
      <c r="K2262" s="10"/>
      <c r="L2262" s="10"/>
      <c r="M2262" s="10"/>
      <c r="N2262" s="10"/>
      <c r="O2262" s="18">
        <v>906.48</v>
      </c>
      <c r="P2262" s="10"/>
      <c r="Q2262" s="17" t="b">
        <v>1</v>
      </c>
      <c r="R2262" s="10"/>
    </row>
    <row r="2263">
      <c r="A2263" s="18">
        <v>12062.0</v>
      </c>
      <c r="B2263" s="6" t="s">
        <v>35</v>
      </c>
      <c r="C2263" s="8">
        <v>46126.0</v>
      </c>
      <c r="D2263" s="6" t="s">
        <v>3516</v>
      </c>
      <c r="E2263" s="10"/>
      <c r="F2263" s="10"/>
      <c r="G2263" s="10"/>
      <c r="H2263" s="6" t="s">
        <v>9759</v>
      </c>
      <c r="I2263" s="10"/>
      <c r="J2263" s="6" t="s">
        <v>539</v>
      </c>
      <c r="K2263" s="10"/>
      <c r="L2263" s="10"/>
      <c r="M2263" s="10"/>
      <c r="N2263" s="10"/>
      <c r="O2263" s="18">
        <v>1626.37</v>
      </c>
      <c r="P2263" s="10"/>
      <c r="Q2263" s="17" t="b">
        <v>1</v>
      </c>
      <c r="R2263" s="10"/>
    </row>
    <row r="2264">
      <c r="A2264" s="6" t="s">
        <v>10104</v>
      </c>
      <c r="B2264" s="6" t="s">
        <v>35</v>
      </c>
      <c r="C2264" s="8">
        <v>46126.0</v>
      </c>
      <c r="D2264" s="6" t="s">
        <v>1864</v>
      </c>
      <c r="E2264" s="10"/>
      <c r="F2264" s="10"/>
      <c r="G2264" s="10"/>
      <c r="H2264" s="6" t="s">
        <v>4579</v>
      </c>
      <c r="I2264" s="10"/>
      <c r="J2264" s="6" t="s">
        <v>539</v>
      </c>
      <c r="K2264" s="10"/>
      <c r="L2264" s="10"/>
      <c r="M2264" s="10"/>
      <c r="N2264" s="10"/>
      <c r="O2264" s="18">
        <v>30.75</v>
      </c>
      <c r="P2264" s="10"/>
      <c r="Q2264" s="17" t="b">
        <v>1</v>
      </c>
      <c r="R2264" s="10"/>
    </row>
    <row r="2265">
      <c r="A2265" s="6" t="s">
        <v>10108</v>
      </c>
      <c r="B2265" s="6" t="s">
        <v>35</v>
      </c>
      <c r="C2265" s="8">
        <v>46126.0</v>
      </c>
      <c r="D2265" s="6" t="s">
        <v>890</v>
      </c>
      <c r="E2265" s="10"/>
      <c r="F2265" s="10"/>
      <c r="G2265" s="10"/>
      <c r="H2265" s="6" t="s">
        <v>12624</v>
      </c>
      <c r="I2265" s="10"/>
      <c r="J2265" s="6" t="s">
        <v>539</v>
      </c>
      <c r="K2265" s="10"/>
      <c r="L2265" s="10"/>
      <c r="M2265" s="10"/>
      <c r="N2265" s="10"/>
      <c r="O2265" s="18">
        <v>12023.24</v>
      </c>
      <c r="P2265" s="10"/>
      <c r="Q2265" s="17" t="b">
        <v>1</v>
      </c>
      <c r="R2265" s="10"/>
    </row>
    <row r="2266">
      <c r="A2266" s="6" t="s">
        <v>11245</v>
      </c>
      <c r="B2266" s="6" t="s">
        <v>35</v>
      </c>
      <c r="C2266" s="8">
        <v>46125.0</v>
      </c>
      <c r="D2266" s="6" t="s">
        <v>12334</v>
      </c>
      <c r="E2266" s="6" t="s">
        <v>12625</v>
      </c>
      <c r="F2266" s="10"/>
      <c r="G2266" s="26" t="s">
        <v>12626</v>
      </c>
      <c r="H2266" s="6" t="s">
        <v>12627</v>
      </c>
      <c r="I2266" s="17" t="b">
        <v>0</v>
      </c>
      <c r="J2266" s="26" t="s">
        <v>8596</v>
      </c>
      <c r="K2266" s="10"/>
      <c r="L2266" s="10"/>
      <c r="M2266" s="10"/>
      <c r="N2266" s="10"/>
      <c r="O2266" s="26">
        <v>20.0</v>
      </c>
      <c r="P2266" s="10"/>
      <c r="Q2266" s="27" t="b">
        <v>1</v>
      </c>
      <c r="R2266" s="10"/>
    </row>
    <row r="2267">
      <c r="A2267" s="6" t="s">
        <v>11183</v>
      </c>
      <c r="B2267" s="6" t="s">
        <v>35</v>
      </c>
      <c r="C2267" s="8">
        <v>46119.0</v>
      </c>
      <c r="D2267" s="6" t="s">
        <v>9260</v>
      </c>
      <c r="E2267" s="6" t="s">
        <v>12628</v>
      </c>
      <c r="F2267" s="10"/>
      <c r="G2267" s="26" t="s">
        <v>12629</v>
      </c>
      <c r="H2267" s="6" t="s">
        <v>12630</v>
      </c>
      <c r="I2267" s="17" t="b">
        <v>0</v>
      </c>
      <c r="J2267" s="26" t="s">
        <v>8596</v>
      </c>
      <c r="K2267" s="10"/>
      <c r="L2267" s="10"/>
      <c r="M2267" s="10"/>
      <c r="N2267" s="10"/>
      <c r="O2267" s="26">
        <v>580.5</v>
      </c>
      <c r="P2267" s="10"/>
      <c r="Q2267" s="27" t="b">
        <v>1</v>
      </c>
      <c r="R2267" s="10"/>
    </row>
    <row r="2268">
      <c r="A2268" s="6" t="s">
        <v>11119</v>
      </c>
      <c r="B2268" s="6" t="s">
        <v>35</v>
      </c>
      <c r="C2268" s="8">
        <v>46112.0</v>
      </c>
      <c r="D2268" s="6" t="s">
        <v>9260</v>
      </c>
      <c r="E2268" s="6" t="s">
        <v>12631</v>
      </c>
      <c r="F2268" s="10"/>
      <c r="G2268" s="26" t="s">
        <v>12632</v>
      </c>
      <c r="H2268" s="6" t="s">
        <v>12633</v>
      </c>
      <c r="I2268" s="17" t="b">
        <v>0</v>
      </c>
      <c r="J2268" s="26" t="s">
        <v>8596</v>
      </c>
      <c r="K2268" s="10"/>
      <c r="L2268" s="26" t="s">
        <v>12634</v>
      </c>
      <c r="M2268" s="10"/>
      <c r="N2268" s="10"/>
      <c r="O2268" s="26">
        <v>12023.24</v>
      </c>
      <c r="P2268" s="10"/>
      <c r="Q2268" s="27" t="b">
        <v>1</v>
      </c>
      <c r="R2268" s="10"/>
    </row>
    <row r="2269">
      <c r="A2269" s="6" t="s">
        <v>10112</v>
      </c>
      <c r="B2269" s="6" t="s">
        <v>35</v>
      </c>
      <c r="C2269" s="8">
        <v>46126.0</v>
      </c>
      <c r="D2269" s="10"/>
      <c r="E2269" s="10"/>
      <c r="F2269" s="10"/>
      <c r="G2269" s="10"/>
      <c r="H2269" s="6" t="s">
        <v>1329</v>
      </c>
      <c r="I2269" s="10"/>
      <c r="J2269" s="6" t="s">
        <v>8596</v>
      </c>
      <c r="K2269" s="6" t="s">
        <v>2052</v>
      </c>
      <c r="L2269" s="10"/>
      <c r="M2269" s="10"/>
      <c r="N2269" s="10"/>
      <c r="O2269" s="18">
        <v>500.0</v>
      </c>
      <c r="P2269" s="10"/>
      <c r="Q2269" s="17" t="b">
        <v>1</v>
      </c>
      <c r="R2269" s="10"/>
    </row>
    <row r="2270">
      <c r="A2270" s="6" t="s">
        <v>10114</v>
      </c>
      <c r="B2270" s="6" t="s">
        <v>35</v>
      </c>
      <c r="C2270" s="8">
        <v>46126.0</v>
      </c>
      <c r="D2270" s="10"/>
      <c r="E2270" s="10"/>
      <c r="F2270" s="10"/>
      <c r="G2270" s="10"/>
      <c r="H2270" s="6" t="s">
        <v>1329</v>
      </c>
      <c r="I2270" s="10"/>
      <c r="J2270" s="6" t="s">
        <v>8596</v>
      </c>
      <c r="K2270" s="6" t="s">
        <v>336</v>
      </c>
      <c r="L2270" s="10"/>
      <c r="M2270" s="10"/>
      <c r="N2270" s="10"/>
      <c r="O2270" s="18">
        <v>500.0</v>
      </c>
      <c r="P2270" s="10"/>
      <c r="Q2270" s="17" t="b">
        <v>1</v>
      </c>
      <c r="R2270" s="10"/>
    </row>
    <row r="2271">
      <c r="A2271" s="6" t="s">
        <v>10118</v>
      </c>
      <c r="B2271" s="6" t="s">
        <v>35</v>
      </c>
      <c r="C2271" s="8">
        <v>46126.0</v>
      </c>
      <c r="D2271" s="10"/>
      <c r="E2271" s="10"/>
      <c r="F2271" s="10"/>
      <c r="G2271" s="10"/>
      <c r="H2271" s="6" t="s">
        <v>1329</v>
      </c>
      <c r="I2271" s="10"/>
      <c r="J2271" s="6" t="s">
        <v>8596</v>
      </c>
      <c r="K2271" s="6" t="s">
        <v>227</v>
      </c>
      <c r="L2271" s="10"/>
      <c r="M2271" s="10"/>
      <c r="N2271" s="10"/>
      <c r="O2271" s="18">
        <v>500.0</v>
      </c>
      <c r="P2271" s="10"/>
      <c r="Q2271" s="17" t="b">
        <v>1</v>
      </c>
      <c r="R2271" s="10"/>
    </row>
    <row r="2272">
      <c r="A2272" s="6" t="s">
        <v>10122</v>
      </c>
      <c r="B2272" s="6" t="s">
        <v>35</v>
      </c>
      <c r="C2272" s="8">
        <v>46126.0</v>
      </c>
      <c r="D2272" s="10"/>
      <c r="E2272" s="10"/>
      <c r="F2272" s="10"/>
      <c r="G2272" s="10"/>
      <c r="H2272" s="6" t="s">
        <v>1329</v>
      </c>
      <c r="I2272" s="10"/>
      <c r="J2272" s="6" t="s">
        <v>8596</v>
      </c>
      <c r="K2272" s="6" t="s">
        <v>117</v>
      </c>
      <c r="L2272" s="10"/>
      <c r="M2272" s="10"/>
      <c r="N2272" s="10"/>
      <c r="O2272" s="18">
        <v>500.0</v>
      </c>
      <c r="P2272" s="10"/>
      <c r="Q2272" s="17" t="b">
        <v>1</v>
      </c>
      <c r="R2272" s="10"/>
    </row>
    <row r="2273">
      <c r="A2273" s="6" t="s">
        <v>10124</v>
      </c>
      <c r="B2273" s="6" t="s">
        <v>35</v>
      </c>
      <c r="C2273" s="8">
        <v>46126.0</v>
      </c>
      <c r="D2273" s="10"/>
      <c r="E2273" s="10"/>
      <c r="F2273" s="10"/>
      <c r="G2273" s="10"/>
      <c r="H2273" s="6" t="s">
        <v>1329</v>
      </c>
      <c r="I2273" s="10"/>
      <c r="J2273" s="6" t="s">
        <v>8596</v>
      </c>
      <c r="K2273" s="6" t="s">
        <v>218</v>
      </c>
      <c r="L2273" s="10"/>
      <c r="M2273" s="10"/>
      <c r="N2273" s="10"/>
      <c r="O2273" s="18">
        <v>500.0</v>
      </c>
      <c r="P2273" s="10"/>
      <c r="Q2273" s="17" t="b">
        <v>1</v>
      </c>
      <c r="R2273" s="10"/>
    </row>
    <row r="2274">
      <c r="A2274" s="6" t="s">
        <v>11247</v>
      </c>
      <c r="B2274" s="6" t="s">
        <v>35</v>
      </c>
      <c r="C2274" s="8">
        <v>46126.0</v>
      </c>
      <c r="D2274" s="6" t="s">
        <v>9260</v>
      </c>
      <c r="E2274" s="6" t="s">
        <v>12635</v>
      </c>
      <c r="F2274" s="10"/>
      <c r="G2274" s="26" t="s">
        <v>12636</v>
      </c>
      <c r="H2274" s="6" t="s">
        <v>12637</v>
      </c>
      <c r="I2274" s="17" t="b">
        <v>0</v>
      </c>
      <c r="J2274" s="26" t="s">
        <v>8596</v>
      </c>
      <c r="K2274" s="10"/>
      <c r="L2274" s="26" t="s">
        <v>12638</v>
      </c>
      <c r="M2274" s="10"/>
      <c r="N2274" s="10"/>
      <c r="O2274" s="26">
        <v>10755.37</v>
      </c>
      <c r="P2274" s="10"/>
      <c r="Q2274" s="27" t="b">
        <v>1</v>
      </c>
      <c r="R2274" s="10"/>
      <c r="S2274" s="16">
        <v>96.3</v>
      </c>
    </row>
    <row r="2275">
      <c r="A2275" s="6" t="s">
        <v>11258</v>
      </c>
      <c r="B2275" s="6" t="s">
        <v>35</v>
      </c>
      <c r="C2275" s="8">
        <v>46128.0</v>
      </c>
      <c r="D2275" s="6" t="s">
        <v>11926</v>
      </c>
      <c r="E2275" s="6" t="s">
        <v>12639</v>
      </c>
      <c r="F2275" s="10"/>
      <c r="G2275" s="26" t="s">
        <v>12640</v>
      </c>
      <c r="H2275" s="6" t="s">
        <v>140</v>
      </c>
      <c r="I2275" s="17" t="b">
        <v>0</v>
      </c>
      <c r="J2275" s="26" t="s">
        <v>8596</v>
      </c>
      <c r="K2275" s="10"/>
      <c r="L2275" s="10"/>
      <c r="M2275" s="10"/>
      <c r="N2275" s="10"/>
      <c r="O2275" s="26">
        <v>270.0</v>
      </c>
      <c r="P2275" s="10"/>
      <c r="Q2275" s="27" t="b">
        <v>1</v>
      </c>
      <c r="R2275" s="10"/>
    </row>
    <row r="2276">
      <c r="A2276" s="6" t="s">
        <v>11261</v>
      </c>
      <c r="B2276" s="6" t="s">
        <v>35</v>
      </c>
      <c r="C2276" s="8">
        <v>46128.0</v>
      </c>
      <c r="D2276" s="6" t="s">
        <v>11765</v>
      </c>
      <c r="E2276" s="6" t="s">
        <v>12641</v>
      </c>
      <c r="F2276" s="10"/>
      <c r="G2276" s="26" t="s">
        <v>12642</v>
      </c>
      <c r="H2276" s="6" t="s">
        <v>195</v>
      </c>
      <c r="I2276" s="17" t="b">
        <v>0</v>
      </c>
      <c r="J2276" s="26" t="s">
        <v>8596</v>
      </c>
      <c r="K2276" s="10"/>
      <c r="L2276" s="10"/>
      <c r="M2276" s="10"/>
      <c r="N2276" s="10"/>
      <c r="O2276" s="26">
        <v>341.0</v>
      </c>
      <c r="P2276" s="10"/>
      <c r="Q2276" s="27" t="b">
        <v>1</v>
      </c>
      <c r="R2276" s="10"/>
    </row>
    <row r="2277">
      <c r="A2277" s="6" t="s">
        <v>11266</v>
      </c>
      <c r="B2277" s="6" t="s">
        <v>35</v>
      </c>
      <c r="C2277" s="8">
        <v>46128.0</v>
      </c>
      <c r="D2277" s="18">
        <v>8.627274E7</v>
      </c>
      <c r="E2277" s="6" t="s">
        <v>12643</v>
      </c>
      <c r="F2277" s="10"/>
      <c r="G2277" s="26" t="s">
        <v>12644</v>
      </c>
      <c r="H2277" s="6" t="s">
        <v>11625</v>
      </c>
      <c r="I2277" s="17" t="b">
        <v>1</v>
      </c>
      <c r="J2277" s="26" t="s">
        <v>8596</v>
      </c>
      <c r="K2277" s="10"/>
      <c r="L2277" s="10"/>
      <c r="M2277" s="10"/>
      <c r="N2277" s="10"/>
      <c r="O2277" s="26">
        <v>146.01</v>
      </c>
      <c r="P2277" s="18">
        <v>2128574.0</v>
      </c>
      <c r="Q2277" s="27" t="b">
        <v>1</v>
      </c>
      <c r="R2277" s="10"/>
    </row>
    <row r="2278">
      <c r="A2278" s="6" t="s">
        <v>11280</v>
      </c>
      <c r="B2278" s="6" t="s">
        <v>35</v>
      </c>
      <c r="C2278" s="8">
        <v>46128.0</v>
      </c>
      <c r="D2278" s="6" t="s">
        <v>11784</v>
      </c>
      <c r="E2278" s="6" t="s">
        <v>12645</v>
      </c>
      <c r="F2278" s="10"/>
      <c r="G2278" s="26" t="s">
        <v>12646</v>
      </c>
      <c r="H2278" s="6" t="s">
        <v>147</v>
      </c>
      <c r="I2278" s="17" t="b">
        <v>1</v>
      </c>
      <c r="J2278" s="26" t="s">
        <v>8596</v>
      </c>
      <c r="K2278" s="10"/>
      <c r="L2278" s="10"/>
      <c r="M2278" s="10"/>
      <c r="N2278" s="10"/>
      <c r="O2278" s="26">
        <v>340.0</v>
      </c>
      <c r="P2278" s="18">
        <v>2128644.0</v>
      </c>
      <c r="Q2278" s="27" t="b">
        <v>1</v>
      </c>
      <c r="R2278" s="10"/>
    </row>
    <row r="2279">
      <c r="A2279" s="6" t="s">
        <v>11284</v>
      </c>
      <c r="B2279" s="6" t="s">
        <v>35</v>
      </c>
      <c r="C2279" s="8">
        <v>46129.0</v>
      </c>
      <c r="D2279" s="6" t="s">
        <v>112</v>
      </c>
      <c r="E2279" s="6" t="s">
        <v>12647</v>
      </c>
      <c r="F2279" s="10"/>
      <c r="G2279" s="26" t="s">
        <v>12648</v>
      </c>
      <c r="H2279" s="6" t="s">
        <v>157</v>
      </c>
      <c r="I2279" s="17" t="b">
        <v>0</v>
      </c>
      <c r="J2279" s="26" t="s">
        <v>8596</v>
      </c>
      <c r="K2279" s="10"/>
      <c r="L2279" s="10"/>
      <c r="M2279" s="10"/>
      <c r="N2279" s="10"/>
      <c r="O2279" s="26">
        <v>407.68</v>
      </c>
      <c r="P2279" s="10"/>
      <c r="Q2279" s="27" t="b">
        <v>1</v>
      </c>
      <c r="R2279" s="10"/>
    </row>
    <row r="2280">
      <c r="A2280" s="6" t="s">
        <v>11299</v>
      </c>
      <c r="B2280" s="6" t="s">
        <v>35</v>
      </c>
      <c r="C2280" s="8">
        <v>46132.0</v>
      </c>
      <c r="D2280" s="6" t="s">
        <v>112</v>
      </c>
      <c r="E2280" s="6" t="s">
        <v>12649</v>
      </c>
      <c r="F2280" s="10"/>
      <c r="G2280" s="26" t="s">
        <v>12650</v>
      </c>
      <c r="H2280" s="6" t="s">
        <v>157</v>
      </c>
      <c r="I2280" s="17" t="b">
        <v>0</v>
      </c>
      <c r="J2280" s="26" t="s">
        <v>8596</v>
      </c>
      <c r="K2280" s="10"/>
      <c r="L2280" s="10"/>
      <c r="M2280" s="10"/>
      <c r="N2280" s="10"/>
      <c r="O2280" s="26">
        <v>281.2</v>
      </c>
      <c r="P2280" s="10"/>
      <c r="Q2280" s="27" t="b">
        <v>1</v>
      </c>
      <c r="R2280" s="10"/>
    </row>
    <row r="2281">
      <c r="A2281" s="6" t="s">
        <v>11305</v>
      </c>
      <c r="B2281" s="6" t="s">
        <v>35</v>
      </c>
      <c r="C2281" s="8">
        <v>46132.0</v>
      </c>
      <c r="D2281" s="6" t="s">
        <v>11926</v>
      </c>
      <c r="E2281" s="6" t="s">
        <v>12651</v>
      </c>
      <c r="F2281" s="10"/>
      <c r="G2281" s="26" t="s">
        <v>12652</v>
      </c>
      <c r="H2281" s="6" t="s">
        <v>140</v>
      </c>
      <c r="I2281" s="17" t="b">
        <v>0</v>
      </c>
      <c r="J2281" s="26" t="s">
        <v>8596</v>
      </c>
      <c r="K2281" s="10"/>
      <c r="L2281" s="10"/>
      <c r="M2281" s="10"/>
      <c r="N2281" s="10"/>
      <c r="O2281" s="26">
        <v>300.0</v>
      </c>
      <c r="P2281" s="10"/>
      <c r="Q2281" s="27" t="b">
        <v>1</v>
      </c>
      <c r="R2281" s="10"/>
    </row>
    <row r="2282">
      <c r="A2282" s="6" t="s">
        <v>11293</v>
      </c>
      <c r="B2282" s="6" t="s">
        <v>35</v>
      </c>
      <c r="C2282" s="8">
        <v>46130.0</v>
      </c>
      <c r="D2282" s="6" t="s">
        <v>11219</v>
      </c>
      <c r="E2282" s="6" t="s">
        <v>12653</v>
      </c>
      <c r="F2282" s="10"/>
      <c r="G2282" s="26" t="s">
        <v>12654</v>
      </c>
      <c r="H2282" s="6" t="s">
        <v>11734</v>
      </c>
      <c r="I2282" s="17" t="b">
        <v>1</v>
      </c>
      <c r="J2282" s="26" t="s">
        <v>8596</v>
      </c>
      <c r="K2282" s="10"/>
      <c r="L2282" s="10"/>
      <c r="M2282" s="10"/>
      <c r="N2282" s="10"/>
      <c r="O2282" s="26">
        <v>20.35</v>
      </c>
      <c r="P2282" s="18">
        <v>2132823.0</v>
      </c>
      <c r="Q2282" s="27" t="b">
        <v>1</v>
      </c>
      <c r="R2282" s="10"/>
      <c r="S2282" s="16">
        <v>0.35</v>
      </c>
    </row>
    <row r="2283">
      <c r="A2283" s="6" t="s">
        <v>11251</v>
      </c>
      <c r="B2283" s="6" t="s">
        <v>35</v>
      </c>
      <c r="C2283" s="8">
        <v>46126.0</v>
      </c>
      <c r="D2283" s="6" t="s">
        <v>890</v>
      </c>
      <c r="E2283" s="6" t="s">
        <v>12655</v>
      </c>
      <c r="F2283" s="10"/>
      <c r="G2283" s="26" t="s">
        <v>12656</v>
      </c>
      <c r="H2283" s="6" t="s">
        <v>12657</v>
      </c>
      <c r="I2283" s="17" t="b">
        <v>0</v>
      </c>
      <c r="J2283" s="26" t="s">
        <v>8596</v>
      </c>
      <c r="K2283" s="10"/>
      <c r="L2283" s="10"/>
      <c r="M2283" s="10"/>
      <c r="N2283" s="10"/>
      <c r="O2283" s="26">
        <v>1400.96</v>
      </c>
      <c r="P2283" s="10"/>
      <c r="Q2283" s="27" t="b">
        <v>1</v>
      </c>
      <c r="R2283" s="10"/>
    </row>
    <row r="2284">
      <c r="A2284" s="18">
        <v>12043.0</v>
      </c>
      <c r="B2284" s="6" t="s">
        <v>35</v>
      </c>
      <c r="C2284" s="8">
        <v>46132.0</v>
      </c>
      <c r="D2284" s="6" t="s">
        <v>890</v>
      </c>
      <c r="E2284" s="10"/>
      <c r="F2284" s="10"/>
      <c r="G2284" s="10"/>
      <c r="H2284" s="6" t="s">
        <v>10085</v>
      </c>
      <c r="I2284" s="10"/>
      <c r="J2284" s="6" t="s">
        <v>539</v>
      </c>
      <c r="K2284" s="10"/>
      <c r="L2284" s="10"/>
      <c r="M2284" s="10"/>
      <c r="N2284" s="10"/>
      <c r="O2284" s="18">
        <v>1148.0</v>
      </c>
      <c r="P2284" s="10"/>
      <c r="Q2284" s="17" t="b">
        <v>1</v>
      </c>
      <c r="R2284" s="10"/>
    </row>
    <row r="2285">
      <c r="A2285" s="18">
        <v>12044.0</v>
      </c>
      <c r="B2285" s="6" t="s">
        <v>35</v>
      </c>
      <c r="C2285" s="8">
        <v>46132.0</v>
      </c>
      <c r="D2285" s="6" t="s">
        <v>890</v>
      </c>
      <c r="E2285" s="10"/>
      <c r="F2285" s="10"/>
      <c r="G2285" s="10"/>
      <c r="H2285" s="6" t="s">
        <v>10089</v>
      </c>
      <c r="I2285" s="10"/>
      <c r="J2285" s="6" t="s">
        <v>539</v>
      </c>
      <c r="K2285" s="10"/>
      <c r="L2285" s="10"/>
      <c r="M2285" s="10"/>
      <c r="N2285" s="10"/>
      <c r="O2285" s="18">
        <v>700.0</v>
      </c>
      <c r="P2285" s="10"/>
      <c r="Q2285" s="17" t="b">
        <v>1</v>
      </c>
      <c r="R2285" s="10"/>
    </row>
    <row r="2286">
      <c r="A2286" s="18">
        <v>12048.0</v>
      </c>
      <c r="B2286" s="6" t="s">
        <v>35</v>
      </c>
      <c r="C2286" s="8">
        <v>46132.0</v>
      </c>
      <c r="D2286" s="6" t="s">
        <v>890</v>
      </c>
      <c r="E2286" s="10"/>
      <c r="F2286" s="10"/>
      <c r="G2286" s="10"/>
      <c r="H2286" s="6" t="s">
        <v>4010</v>
      </c>
      <c r="I2286" s="10"/>
      <c r="J2286" s="6" t="s">
        <v>539</v>
      </c>
      <c r="K2286" s="10"/>
      <c r="L2286" s="10"/>
      <c r="M2286" s="10"/>
      <c r="N2286" s="10"/>
      <c r="O2286" s="18">
        <v>396.0</v>
      </c>
      <c r="P2286" s="10"/>
      <c r="Q2286" s="17" t="b">
        <v>1</v>
      </c>
      <c r="R2286" s="10"/>
    </row>
    <row r="2287">
      <c r="A2287" s="18">
        <v>12063.0</v>
      </c>
      <c r="B2287" s="6" t="s">
        <v>35</v>
      </c>
      <c r="C2287" s="8">
        <v>46132.0</v>
      </c>
      <c r="D2287" s="6" t="s">
        <v>3516</v>
      </c>
      <c r="E2287" s="10"/>
      <c r="F2287" s="10"/>
      <c r="G2287" s="10"/>
      <c r="H2287" s="6" t="s">
        <v>9762</v>
      </c>
      <c r="I2287" s="10"/>
      <c r="J2287" s="6" t="s">
        <v>539</v>
      </c>
      <c r="K2287" s="10"/>
      <c r="L2287" s="10"/>
      <c r="M2287" s="10"/>
      <c r="N2287" s="10"/>
      <c r="O2287" s="18">
        <v>15577.0</v>
      </c>
      <c r="P2287" s="10"/>
      <c r="Q2287" s="17" t="b">
        <v>1</v>
      </c>
      <c r="R2287" s="10"/>
    </row>
    <row r="2288">
      <c r="A2288" s="6" t="s">
        <v>10136</v>
      </c>
      <c r="B2288" s="6" t="s">
        <v>35</v>
      </c>
      <c r="C2288" s="8">
        <v>46132.0</v>
      </c>
      <c r="D2288" s="6" t="s">
        <v>890</v>
      </c>
      <c r="E2288" s="10"/>
      <c r="F2288" s="10"/>
      <c r="G2288" s="10"/>
      <c r="H2288" s="6" t="s">
        <v>12659</v>
      </c>
      <c r="I2288" s="10"/>
      <c r="J2288" s="6" t="s">
        <v>539</v>
      </c>
      <c r="K2288" s="10"/>
      <c r="L2288" s="10"/>
      <c r="M2288" s="10"/>
      <c r="N2288" s="10"/>
      <c r="O2288" s="18">
        <v>125.89</v>
      </c>
      <c r="P2288" s="10"/>
      <c r="Q2288" s="17" t="b">
        <v>1</v>
      </c>
      <c r="R2288" s="10"/>
    </row>
    <row r="2289">
      <c r="A2289" s="6" t="s">
        <v>10139</v>
      </c>
      <c r="B2289" s="6" t="s">
        <v>35</v>
      </c>
      <c r="C2289" s="8">
        <v>46132.0</v>
      </c>
      <c r="D2289" s="6" t="s">
        <v>673</v>
      </c>
      <c r="E2289" s="10"/>
      <c r="F2289" s="10"/>
      <c r="G2289" s="10"/>
      <c r="H2289" s="6" t="s">
        <v>12660</v>
      </c>
      <c r="I2289" s="10"/>
      <c r="J2289" s="6" t="s">
        <v>539</v>
      </c>
      <c r="K2289" s="10"/>
      <c r="L2289" s="10"/>
      <c r="M2289" s="10"/>
      <c r="N2289" s="10"/>
      <c r="O2289" s="18">
        <v>1427.54</v>
      </c>
      <c r="P2289" s="10"/>
      <c r="Q2289" s="17" t="b">
        <v>1</v>
      </c>
      <c r="R2289" s="10"/>
    </row>
    <row r="2290">
      <c r="A2290" s="6" t="s">
        <v>10142</v>
      </c>
      <c r="B2290" s="6" t="s">
        <v>35</v>
      </c>
      <c r="C2290" s="8">
        <v>46132.0</v>
      </c>
      <c r="D2290" s="6" t="s">
        <v>673</v>
      </c>
      <c r="E2290" s="10"/>
      <c r="F2290" s="10"/>
      <c r="G2290" s="10"/>
      <c r="H2290" s="6" t="s">
        <v>12661</v>
      </c>
      <c r="I2290" s="10"/>
      <c r="J2290" s="6" t="s">
        <v>539</v>
      </c>
      <c r="K2290" s="10"/>
      <c r="L2290" s="10"/>
      <c r="M2290" s="10"/>
      <c r="N2290" s="10"/>
      <c r="O2290" s="18">
        <v>1427.54</v>
      </c>
      <c r="P2290" s="10"/>
      <c r="Q2290" s="17" t="b">
        <v>1</v>
      </c>
      <c r="R2290" s="10"/>
    </row>
    <row r="2291">
      <c r="A2291" s="18">
        <v>12082.0</v>
      </c>
      <c r="B2291" s="6" t="s">
        <v>35</v>
      </c>
      <c r="C2291" s="8">
        <v>46132.0</v>
      </c>
      <c r="D2291" s="6" t="s">
        <v>10315</v>
      </c>
      <c r="E2291" s="10"/>
      <c r="F2291" s="10"/>
      <c r="G2291" s="10"/>
      <c r="H2291" s="6" t="s">
        <v>12662</v>
      </c>
      <c r="I2291" s="10"/>
      <c r="J2291" s="6" t="s">
        <v>539</v>
      </c>
      <c r="K2291" s="10"/>
      <c r="L2291" s="10"/>
      <c r="M2291" s="10"/>
      <c r="N2291" s="10"/>
      <c r="O2291" s="18">
        <v>0.01</v>
      </c>
      <c r="P2291" s="10"/>
      <c r="Q2291" s="17" t="b">
        <v>1</v>
      </c>
      <c r="R2291" s="10"/>
    </row>
    <row r="2292">
      <c r="A2292" s="18">
        <v>12081.0</v>
      </c>
      <c r="B2292" s="6" t="s">
        <v>35</v>
      </c>
      <c r="C2292" s="8">
        <v>46134.0</v>
      </c>
      <c r="D2292" s="6" t="s">
        <v>460</v>
      </c>
      <c r="E2292" s="10"/>
      <c r="F2292" s="10"/>
      <c r="G2292" s="10"/>
      <c r="H2292" s="8">
        <v>46302.0</v>
      </c>
      <c r="I2292" s="10"/>
      <c r="J2292" s="6" t="s">
        <v>539</v>
      </c>
      <c r="K2292" s="10"/>
      <c r="L2292" s="10"/>
      <c r="M2292" s="10"/>
      <c r="N2292" s="10"/>
      <c r="O2292" s="18">
        <v>249.23</v>
      </c>
      <c r="P2292" s="10"/>
      <c r="Q2292" s="17" t="b">
        <v>1</v>
      </c>
      <c r="R2292" s="10"/>
    </row>
    <row r="2293">
      <c r="A2293" s="6" t="s">
        <v>11255</v>
      </c>
      <c r="B2293" s="6" t="s">
        <v>35</v>
      </c>
      <c r="C2293" s="8">
        <v>46126.0</v>
      </c>
      <c r="D2293" s="6" t="s">
        <v>1036</v>
      </c>
      <c r="E2293" s="6" t="s">
        <v>12663</v>
      </c>
      <c r="F2293" s="10"/>
      <c r="G2293" s="26" t="s">
        <v>12664</v>
      </c>
      <c r="H2293" s="6" t="s">
        <v>9926</v>
      </c>
      <c r="I2293" s="17" t="b">
        <v>0</v>
      </c>
      <c r="J2293" s="26" t="s">
        <v>8596</v>
      </c>
      <c r="K2293" s="10"/>
      <c r="L2293" s="10"/>
      <c r="M2293" s="10"/>
      <c r="N2293" s="10"/>
      <c r="O2293" s="26">
        <v>134.83</v>
      </c>
      <c r="P2293" s="10"/>
      <c r="Q2293" s="27" t="b">
        <v>1</v>
      </c>
      <c r="R2293" s="10"/>
    </row>
    <row r="2294">
      <c r="A2294" s="6" t="s">
        <v>11309</v>
      </c>
      <c r="B2294" s="6" t="s">
        <v>35</v>
      </c>
      <c r="C2294" s="8">
        <v>46134.0</v>
      </c>
      <c r="D2294" s="6" t="s">
        <v>11219</v>
      </c>
      <c r="E2294" s="6" t="s">
        <v>12665</v>
      </c>
      <c r="F2294" s="10"/>
      <c r="G2294" s="26" t="s">
        <v>12667</v>
      </c>
      <c r="H2294" s="6" t="s">
        <v>12668</v>
      </c>
      <c r="I2294" s="17" t="b">
        <v>1</v>
      </c>
      <c r="J2294" s="26" t="s">
        <v>8596</v>
      </c>
      <c r="K2294" s="10"/>
      <c r="L2294" s="10"/>
      <c r="M2294" s="10"/>
      <c r="N2294" s="10"/>
      <c r="O2294" s="26">
        <v>14.62</v>
      </c>
      <c r="P2294" s="18">
        <v>2141995.0</v>
      </c>
      <c r="Q2294" s="27" t="b">
        <v>1</v>
      </c>
      <c r="R2294" s="10"/>
    </row>
    <row r="2295">
      <c r="A2295" s="6" t="s">
        <v>11331</v>
      </c>
      <c r="B2295" s="6" t="s">
        <v>35</v>
      </c>
      <c r="C2295" s="8">
        <v>46136.0</v>
      </c>
      <c r="D2295" s="6" t="s">
        <v>112</v>
      </c>
      <c r="E2295" s="6" t="s">
        <v>12670</v>
      </c>
      <c r="F2295" s="10"/>
      <c r="G2295" s="26" t="s">
        <v>12671</v>
      </c>
      <c r="H2295" s="6" t="s">
        <v>157</v>
      </c>
      <c r="I2295" s="17" t="b">
        <v>0</v>
      </c>
      <c r="J2295" s="26" t="s">
        <v>8596</v>
      </c>
      <c r="K2295" s="10"/>
      <c r="L2295" s="10"/>
      <c r="M2295" s="10"/>
      <c r="N2295" s="10"/>
      <c r="O2295" s="26">
        <v>332.37</v>
      </c>
      <c r="P2295" s="10"/>
      <c r="Q2295" s="27" t="b">
        <v>1</v>
      </c>
      <c r="R2295" s="10"/>
    </row>
    <row r="2296">
      <c r="A2296" s="6" t="s">
        <v>11311</v>
      </c>
      <c r="B2296" s="6" t="s">
        <v>35</v>
      </c>
      <c r="C2296" s="8">
        <v>46135.0</v>
      </c>
      <c r="D2296" s="6" t="s">
        <v>2096</v>
      </c>
      <c r="E2296" s="6" t="s">
        <v>12672</v>
      </c>
      <c r="F2296" s="10"/>
      <c r="G2296" s="26" t="s">
        <v>12673</v>
      </c>
      <c r="H2296" s="6" t="s">
        <v>12674</v>
      </c>
      <c r="I2296" s="17" t="b">
        <v>1</v>
      </c>
      <c r="J2296" s="26" t="s">
        <v>8596</v>
      </c>
      <c r="K2296" s="10"/>
      <c r="L2296" s="10"/>
      <c r="M2296" s="10"/>
      <c r="N2296" s="10"/>
      <c r="O2296" s="26">
        <v>145.0</v>
      </c>
      <c r="P2296" s="18">
        <v>2144134.0</v>
      </c>
      <c r="Q2296" s="27" t="b">
        <v>1</v>
      </c>
      <c r="R2296" s="10"/>
    </row>
    <row r="2297">
      <c r="A2297" s="6" t="s">
        <v>11314</v>
      </c>
      <c r="B2297" s="6" t="s">
        <v>35</v>
      </c>
      <c r="C2297" s="8">
        <v>46135.0</v>
      </c>
      <c r="D2297" s="6" t="s">
        <v>12675</v>
      </c>
      <c r="E2297" s="6" t="s">
        <v>12676</v>
      </c>
      <c r="F2297" s="10"/>
      <c r="G2297" s="26" t="s">
        <v>12677</v>
      </c>
      <c r="H2297" s="6" t="s">
        <v>9170</v>
      </c>
      <c r="I2297" s="17" t="b">
        <v>1</v>
      </c>
      <c r="J2297" s="26" t="s">
        <v>8596</v>
      </c>
      <c r="K2297" s="10"/>
      <c r="L2297" s="10"/>
      <c r="M2297" s="10"/>
      <c r="N2297" s="10"/>
      <c r="O2297" s="26">
        <v>30.0</v>
      </c>
      <c r="P2297" s="18">
        <v>2144135.0</v>
      </c>
      <c r="Q2297" s="27" t="b">
        <v>1</v>
      </c>
      <c r="R2297" s="10"/>
    </row>
    <row r="2298">
      <c r="A2298" s="6" t="s">
        <v>11337</v>
      </c>
      <c r="B2298" s="6" t="s">
        <v>35</v>
      </c>
      <c r="C2298" s="8">
        <v>46136.0</v>
      </c>
      <c r="D2298" s="6" t="s">
        <v>233</v>
      </c>
      <c r="E2298" s="6" t="s">
        <v>12678</v>
      </c>
      <c r="F2298" s="10"/>
      <c r="G2298" s="26" t="s">
        <v>12679</v>
      </c>
      <c r="H2298" s="6" t="s">
        <v>11625</v>
      </c>
      <c r="I2298" s="17" t="b">
        <v>1</v>
      </c>
      <c r="J2298" s="26" t="s">
        <v>8596</v>
      </c>
      <c r="K2298" s="10"/>
      <c r="L2298" s="10"/>
      <c r="M2298" s="10"/>
      <c r="N2298" s="10"/>
      <c r="O2298" s="26">
        <v>112.88</v>
      </c>
      <c r="P2298" s="18">
        <v>2146265.0</v>
      </c>
      <c r="Q2298" s="27" t="b">
        <v>1</v>
      </c>
      <c r="R2298" s="10"/>
    </row>
    <row r="2299">
      <c r="A2299" s="6" t="s">
        <v>11346</v>
      </c>
      <c r="B2299" s="6" t="s">
        <v>35</v>
      </c>
      <c r="C2299" s="8">
        <v>46136.0</v>
      </c>
      <c r="D2299" s="18">
        <v>8.627274E7</v>
      </c>
      <c r="E2299" s="6" t="s">
        <v>12680</v>
      </c>
      <c r="F2299" s="10"/>
      <c r="G2299" s="26" t="s">
        <v>12681</v>
      </c>
      <c r="H2299" s="6" t="s">
        <v>12682</v>
      </c>
      <c r="I2299" s="17" t="b">
        <v>1</v>
      </c>
      <c r="J2299" s="26" t="s">
        <v>8596</v>
      </c>
      <c r="K2299" s="10"/>
      <c r="L2299" s="10"/>
      <c r="M2299" s="10"/>
      <c r="N2299" s="10"/>
      <c r="O2299" s="26">
        <v>26.97</v>
      </c>
      <c r="P2299" s="18">
        <v>2146263.0</v>
      </c>
      <c r="Q2299" s="27" t="b">
        <v>1</v>
      </c>
      <c r="R2299" s="10"/>
    </row>
    <row r="2300">
      <c r="A2300" s="6" t="s">
        <v>11350</v>
      </c>
      <c r="B2300" s="6" t="s">
        <v>35</v>
      </c>
      <c r="C2300" s="8">
        <v>46136.0</v>
      </c>
      <c r="D2300" s="6" t="s">
        <v>2039</v>
      </c>
      <c r="E2300" s="6" t="s">
        <v>12685</v>
      </c>
      <c r="F2300" s="10"/>
      <c r="G2300" s="26" t="s">
        <v>12686</v>
      </c>
      <c r="H2300" s="6" t="s">
        <v>12687</v>
      </c>
      <c r="I2300" s="17" t="b">
        <v>1</v>
      </c>
      <c r="J2300" s="26" t="s">
        <v>8596</v>
      </c>
      <c r="K2300" s="10"/>
      <c r="L2300" s="10"/>
      <c r="M2300" s="10"/>
      <c r="N2300" s="10"/>
      <c r="O2300" s="26">
        <v>65.49</v>
      </c>
      <c r="P2300" s="18">
        <v>2146262.0</v>
      </c>
      <c r="Q2300" s="27" t="b">
        <v>1</v>
      </c>
      <c r="R2300" s="10"/>
    </row>
    <row r="2301">
      <c r="A2301" s="6" t="s">
        <v>11318</v>
      </c>
      <c r="B2301" s="6" t="s">
        <v>35</v>
      </c>
      <c r="C2301" s="8">
        <v>46135.0</v>
      </c>
      <c r="D2301" s="6" t="s">
        <v>11765</v>
      </c>
      <c r="E2301" s="6" t="s">
        <v>12688</v>
      </c>
      <c r="F2301" s="10"/>
      <c r="G2301" s="26" t="s">
        <v>12689</v>
      </c>
      <c r="H2301" s="6" t="s">
        <v>195</v>
      </c>
      <c r="I2301" s="17" t="b">
        <v>0</v>
      </c>
      <c r="J2301" s="26" t="s">
        <v>8596</v>
      </c>
      <c r="K2301" s="10"/>
      <c r="L2301" s="26" t="s">
        <v>12690</v>
      </c>
      <c r="M2301" s="10"/>
      <c r="N2301" s="10"/>
      <c r="O2301" s="26">
        <v>976.86</v>
      </c>
      <c r="P2301" s="10"/>
      <c r="Q2301" s="27" t="b">
        <v>1</v>
      </c>
      <c r="R2301" s="10"/>
    </row>
    <row r="2302">
      <c r="A2302" s="6" t="s">
        <v>11329</v>
      </c>
      <c r="B2302" s="6" t="s">
        <v>35</v>
      </c>
      <c r="C2302" s="8">
        <v>46135.0</v>
      </c>
      <c r="D2302" s="6" t="s">
        <v>11926</v>
      </c>
      <c r="E2302" s="6" t="s">
        <v>12691</v>
      </c>
      <c r="F2302" s="10"/>
      <c r="G2302" s="26" t="s">
        <v>12692</v>
      </c>
      <c r="H2302" s="6" t="s">
        <v>140</v>
      </c>
      <c r="I2302" s="17" t="b">
        <v>0</v>
      </c>
      <c r="J2302" s="26" t="s">
        <v>8596</v>
      </c>
      <c r="K2302" s="10"/>
      <c r="L2302" s="10"/>
      <c r="M2302" s="10"/>
      <c r="N2302" s="10"/>
      <c r="O2302" s="26">
        <v>240.0</v>
      </c>
      <c r="P2302" s="10"/>
      <c r="Q2302" s="27" t="b">
        <v>1</v>
      </c>
      <c r="R2302" s="10"/>
    </row>
    <row r="2303">
      <c r="A2303" s="6" t="s">
        <v>10146</v>
      </c>
      <c r="B2303" s="6" t="s">
        <v>35</v>
      </c>
      <c r="C2303" s="8">
        <v>46137.0</v>
      </c>
      <c r="D2303" s="6" t="s">
        <v>12694</v>
      </c>
      <c r="E2303" s="10"/>
      <c r="F2303" s="10"/>
      <c r="G2303" s="10"/>
      <c r="H2303" s="6" t="s">
        <v>12696</v>
      </c>
      <c r="I2303" s="10"/>
      <c r="J2303" s="6" t="s">
        <v>539</v>
      </c>
      <c r="K2303" s="10"/>
      <c r="L2303" s="10"/>
      <c r="M2303" s="10"/>
      <c r="N2303" s="10"/>
      <c r="O2303" s="18">
        <v>1093.4</v>
      </c>
      <c r="P2303" s="10"/>
      <c r="Q2303" s="17" t="b">
        <v>1</v>
      </c>
      <c r="R2303" s="10"/>
    </row>
    <row r="2304">
      <c r="A2304" s="6" t="s">
        <v>11355</v>
      </c>
      <c r="B2304" s="6" t="s">
        <v>35</v>
      </c>
      <c r="C2304" s="8">
        <v>46139.0</v>
      </c>
      <c r="D2304" s="6" t="s">
        <v>11926</v>
      </c>
      <c r="E2304" s="6" t="s">
        <v>12698</v>
      </c>
      <c r="F2304" s="10"/>
      <c r="G2304" s="26" t="s">
        <v>12699</v>
      </c>
      <c r="H2304" s="6" t="s">
        <v>140</v>
      </c>
      <c r="I2304" s="17" t="b">
        <v>0</v>
      </c>
      <c r="J2304" s="26" t="s">
        <v>8596</v>
      </c>
      <c r="K2304" s="10"/>
      <c r="L2304" s="10"/>
      <c r="M2304" s="10"/>
      <c r="N2304" s="10"/>
      <c r="O2304" s="26">
        <v>150.0</v>
      </c>
      <c r="P2304" s="10"/>
      <c r="Q2304" s="27" t="b">
        <v>1</v>
      </c>
      <c r="R2304" s="10"/>
    </row>
    <row r="2305">
      <c r="A2305" s="6" t="s">
        <v>172</v>
      </c>
      <c r="B2305" s="6" t="s">
        <v>35</v>
      </c>
      <c r="C2305" s="8">
        <v>46139.0</v>
      </c>
      <c r="D2305" s="6" t="s">
        <v>12021</v>
      </c>
      <c r="E2305" s="6" t="s">
        <v>12700</v>
      </c>
      <c r="F2305" s="10"/>
      <c r="G2305" s="26" t="s">
        <v>12701</v>
      </c>
      <c r="H2305" s="6" t="s">
        <v>12702</v>
      </c>
      <c r="I2305" s="17" t="b">
        <v>1</v>
      </c>
      <c r="J2305" s="26" t="s">
        <v>8596</v>
      </c>
      <c r="K2305" s="10"/>
      <c r="L2305" s="10"/>
      <c r="M2305" s="10"/>
      <c r="N2305" s="10"/>
      <c r="O2305" s="26">
        <v>58.0</v>
      </c>
      <c r="P2305" s="18">
        <v>2152821.0</v>
      </c>
      <c r="Q2305" s="27" t="b">
        <v>1</v>
      </c>
      <c r="R2305" s="10"/>
    </row>
    <row r="2306">
      <c r="A2306" s="6" t="s">
        <v>10151</v>
      </c>
      <c r="B2306" s="6" t="s">
        <v>35</v>
      </c>
      <c r="C2306" s="8">
        <v>46139.0</v>
      </c>
      <c r="D2306" s="6" t="s">
        <v>890</v>
      </c>
      <c r="E2306" s="10"/>
      <c r="F2306" s="10"/>
      <c r="G2306" s="10"/>
      <c r="H2306" s="6" t="s">
        <v>12703</v>
      </c>
      <c r="I2306" s="10"/>
      <c r="J2306" s="6" t="s">
        <v>539</v>
      </c>
      <c r="K2306" s="10"/>
      <c r="L2306" s="10"/>
      <c r="M2306" s="10"/>
      <c r="N2306" s="10"/>
      <c r="O2306" s="18">
        <v>2324.0</v>
      </c>
      <c r="P2306" s="10"/>
      <c r="Q2306" s="17" t="b">
        <v>1</v>
      </c>
      <c r="R2306" s="10"/>
    </row>
    <row r="2307">
      <c r="A2307" s="6" t="s">
        <v>10155</v>
      </c>
      <c r="B2307" s="6" t="s">
        <v>35</v>
      </c>
      <c r="C2307" s="8">
        <v>46139.0</v>
      </c>
      <c r="D2307" s="6" t="s">
        <v>890</v>
      </c>
      <c r="E2307" s="10"/>
      <c r="F2307" s="10"/>
      <c r="G2307" s="10"/>
      <c r="H2307" s="6" t="s">
        <v>12704</v>
      </c>
      <c r="I2307" s="10"/>
      <c r="J2307" s="6" t="s">
        <v>539</v>
      </c>
      <c r="K2307" s="10"/>
      <c r="L2307" s="10"/>
      <c r="M2307" s="10"/>
      <c r="N2307" s="10"/>
      <c r="O2307" s="18">
        <v>303.81</v>
      </c>
      <c r="P2307" s="10"/>
      <c r="Q2307" s="17" t="b">
        <v>1</v>
      </c>
      <c r="R2307" s="10"/>
    </row>
    <row r="2308">
      <c r="A2308" s="18">
        <v>12087.0</v>
      </c>
      <c r="B2308" s="6" t="s">
        <v>35</v>
      </c>
      <c r="C2308" s="8">
        <v>46139.0</v>
      </c>
      <c r="D2308" s="6" t="s">
        <v>9825</v>
      </c>
      <c r="E2308" s="10"/>
      <c r="F2308" s="10"/>
      <c r="G2308" s="10"/>
      <c r="H2308" s="6" t="s">
        <v>9826</v>
      </c>
      <c r="I2308" s="10"/>
      <c r="J2308" s="6" t="s">
        <v>539</v>
      </c>
      <c r="K2308" s="10"/>
      <c r="L2308" s="10"/>
      <c r="M2308" s="10"/>
      <c r="N2308" s="10"/>
      <c r="O2308" s="18">
        <v>422.33</v>
      </c>
      <c r="P2308" s="10"/>
      <c r="Q2308" s="17" t="b">
        <v>1</v>
      </c>
      <c r="R2308" s="10"/>
    </row>
    <row r="2309">
      <c r="A2309" s="18">
        <v>12088.0</v>
      </c>
      <c r="B2309" s="6" t="s">
        <v>35</v>
      </c>
      <c r="C2309" s="8">
        <v>46139.0</v>
      </c>
      <c r="D2309" s="6" t="s">
        <v>9825</v>
      </c>
      <c r="E2309" s="10"/>
      <c r="F2309" s="10"/>
      <c r="G2309" s="10"/>
      <c r="H2309" s="6" t="s">
        <v>9835</v>
      </c>
      <c r="I2309" s="10"/>
      <c r="J2309" s="6" t="s">
        <v>539</v>
      </c>
      <c r="K2309" s="10"/>
      <c r="L2309" s="10"/>
      <c r="M2309" s="10"/>
      <c r="N2309" s="10"/>
      <c r="O2309" s="18">
        <v>87.68</v>
      </c>
      <c r="P2309" s="10"/>
      <c r="Q2309" s="17" t="b">
        <v>1</v>
      </c>
      <c r="R2309" s="10"/>
    </row>
    <row r="2310">
      <c r="A2310" s="18">
        <v>12089.0</v>
      </c>
      <c r="B2310" s="6" t="s">
        <v>35</v>
      </c>
      <c r="C2310" s="8">
        <v>46139.0</v>
      </c>
      <c r="D2310" s="6" t="s">
        <v>2294</v>
      </c>
      <c r="E2310" s="10"/>
      <c r="F2310" s="10"/>
      <c r="G2310" s="10"/>
      <c r="H2310" s="6" t="s">
        <v>12705</v>
      </c>
      <c r="I2310" s="10"/>
      <c r="J2310" s="6" t="s">
        <v>539</v>
      </c>
      <c r="K2310" s="10"/>
      <c r="L2310" s="10"/>
      <c r="M2310" s="10"/>
      <c r="N2310" s="10"/>
      <c r="O2310" s="18">
        <v>4619.0</v>
      </c>
      <c r="P2310" s="10"/>
      <c r="Q2310" s="17" t="b">
        <v>1</v>
      </c>
      <c r="R2310" s="10"/>
    </row>
    <row r="2311">
      <c r="A2311" s="18">
        <v>12090.0</v>
      </c>
      <c r="B2311" s="6" t="s">
        <v>35</v>
      </c>
      <c r="C2311" s="8">
        <v>46139.0</v>
      </c>
      <c r="D2311" s="6" t="s">
        <v>460</v>
      </c>
      <c r="E2311" s="10"/>
      <c r="F2311" s="10"/>
      <c r="G2311" s="10"/>
      <c r="H2311" s="6" t="s">
        <v>11326</v>
      </c>
      <c r="I2311" s="10"/>
      <c r="J2311" s="6" t="s">
        <v>539</v>
      </c>
      <c r="K2311" s="10"/>
      <c r="L2311" s="10"/>
      <c r="M2311" s="10"/>
      <c r="N2311" s="10"/>
      <c r="O2311" s="18">
        <v>72.0</v>
      </c>
      <c r="P2311" s="10"/>
      <c r="Q2311" s="17" t="b">
        <v>1</v>
      </c>
      <c r="R2311" s="10"/>
    </row>
    <row r="2312">
      <c r="A2312" s="18">
        <v>12096.0</v>
      </c>
      <c r="B2312" s="6" t="s">
        <v>35</v>
      </c>
      <c r="C2312" s="8">
        <v>46139.0</v>
      </c>
      <c r="D2312" s="6" t="s">
        <v>460</v>
      </c>
      <c r="E2312" s="10"/>
      <c r="F2312" s="10"/>
      <c r="G2312" s="10"/>
      <c r="H2312" s="6" t="s">
        <v>12709</v>
      </c>
      <c r="I2312" s="10"/>
      <c r="J2312" s="6" t="s">
        <v>539</v>
      </c>
      <c r="K2312" s="10"/>
      <c r="L2312" s="10"/>
      <c r="M2312" s="10"/>
      <c r="N2312" s="10"/>
      <c r="O2312" s="18">
        <v>70.0</v>
      </c>
      <c r="P2312" s="10"/>
      <c r="Q2312" s="17" t="b">
        <v>1</v>
      </c>
      <c r="R2312" s="10"/>
    </row>
    <row r="2313">
      <c r="A2313" s="6" t="s">
        <v>278</v>
      </c>
      <c r="B2313" s="6" t="s">
        <v>35</v>
      </c>
      <c r="C2313" s="8">
        <v>46142.0</v>
      </c>
      <c r="D2313" s="6" t="s">
        <v>12255</v>
      </c>
      <c r="E2313" s="6" t="s">
        <v>12710</v>
      </c>
      <c r="F2313" s="10"/>
      <c r="G2313" s="26" t="s">
        <v>12711</v>
      </c>
      <c r="H2313" s="6" t="s">
        <v>1324</v>
      </c>
      <c r="I2313" s="17" t="b">
        <v>1</v>
      </c>
      <c r="J2313" s="26" t="s">
        <v>8596</v>
      </c>
      <c r="K2313" s="10"/>
      <c r="L2313" s="10"/>
      <c r="M2313" s="10"/>
      <c r="N2313" s="10"/>
      <c r="O2313" s="26">
        <v>6.0</v>
      </c>
      <c r="P2313" s="18">
        <v>2156850.0</v>
      </c>
      <c r="Q2313" s="27" t="b">
        <v>1</v>
      </c>
      <c r="R2313" s="10"/>
    </row>
    <row r="2314">
      <c r="A2314" s="6" t="s">
        <v>283</v>
      </c>
      <c r="B2314" s="6" t="s">
        <v>35</v>
      </c>
      <c r="C2314" s="8">
        <v>46142.0</v>
      </c>
      <c r="D2314" s="18">
        <v>8.627274E7</v>
      </c>
      <c r="E2314" s="6" t="s">
        <v>12712</v>
      </c>
      <c r="F2314" s="10"/>
      <c r="G2314" s="26" t="s">
        <v>12713</v>
      </c>
      <c r="H2314" s="6" t="s">
        <v>11625</v>
      </c>
      <c r="I2314" s="17" t="b">
        <v>1</v>
      </c>
      <c r="J2314" s="26" t="s">
        <v>8596</v>
      </c>
      <c r="K2314" s="10"/>
      <c r="L2314" s="10"/>
      <c r="M2314" s="10"/>
      <c r="N2314" s="10"/>
      <c r="O2314" s="26">
        <v>41.96</v>
      </c>
      <c r="P2314" s="18">
        <v>2156851.0</v>
      </c>
      <c r="Q2314" s="27" t="b">
        <v>1</v>
      </c>
      <c r="R2314" s="10"/>
    </row>
    <row r="2315">
      <c r="A2315" s="6" t="s">
        <v>11396</v>
      </c>
      <c r="B2315" s="6" t="s">
        <v>35</v>
      </c>
      <c r="C2315" s="8">
        <v>46142.0</v>
      </c>
      <c r="D2315" s="6" t="s">
        <v>11926</v>
      </c>
      <c r="E2315" s="6" t="s">
        <v>12715</v>
      </c>
      <c r="F2315" s="10"/>
      <c r="G2315" s="26" t="s">
        <v>12716</v>
      </c>
      <c r="H2315" s="6" t="s">
        <v>140</v>
      </c>
      <c r="I2315" s="17" t="b">
        <v>0</v>
      </c>
      <c r="J2315" s="26" t="s">
        <v>8596</v>
      </c>
      <c r="K2315" s="10"/>
      <c r="L2315" s="10"/>
      <c r="M2315" s="10"/>
      <c r="N2315" s="10"/>
      <c r="O2315" s="26">
        <v>180.0</v>
      </c>
      <c r="P2315" s="10"/>
      <c r="Q2315" s="27" t="b">
        <v>1</v>
      </c>
      <c r="R2315" s="10"/>
    </row>
    <row r="2316">
      <c r="A2316" s="6" t="s">
        <v>11400</v>
      </c>
      <c r="B2316" s="6" t="s">
        <v>35</v>
      </c>
      <c r="C2316" s="8">
        <v>46142.0</v>
      </c>
      <c r="D2316" s="6" t="s">
        <v>112</v>
      </c>
      <c r="E2316" s="6" t="s">
        <v>12717</v>
      </c>
      <c r="F2316" s="10"/>
      <c r="G2316" s="26" t="s">
        <v>12718</v>
      </c>
      <c r="H2316" s="6" t="s">
        <v>157</v>
      </c>
      <c r="I2316" s="17" t="b">
        <v>0</v>
      </c>
      <c r="J2316" s="26" t="s">
        <v>8596</v>
      </c>
      <c r="K2316" s="10"/>
      <c r="L2316" s="10"/>
      <c r="M2316" s="10"/>
      <c r="N2316" s="10"/>
      <c r="O2316" s="26">
        <v>294.24</v>
      </c>
      <c r="P2316" s="10"/>
      <c r="Q2316" s="27" t="b">
        <v>1</v>
      </c>
      <c r="R2316" s="10"/>
    </row>
    <row r="2317">
      <c r="A2317" s="6" t="s">
        <v>11363</v>
      </c>
      <c r="B2317" s="6" t="s">
        <v>35</v>
      </c>
      <c r="C2317" s="8">
        <v>46140.0</v>
      </c>
      <c r="D2317" s="6" t="s">
        <v>9260</v>
      </c>
      <c r="E2317" s="6" t="s">
        <v>12721</v>
      </c>
      <c r="F2317" s="10"/>
      <c r="G2317" s="26" t="s">
        <v>12723</v>
      </c>
      <c r="H2317" s="6" t="s">
        <v>12724</v>
      </c>
      <c r="I2317" s="17" t="b">
        <v>0</v>
      </c>
      <c r="J2317" s="26" t="s">
        <v>8596</v>
      </c>
      <c r="K2317" s="10"/>
      <c r="L2317" s="10"/>
      <c r="M2317" s="10"/>
      <c r="N2317" s="10"/>
      <c r="O2317" s="26">
        <v>8.08</v>
      </c>
      <c r="P2317" s="10"/>
      <c r="Q2317" s="27" t="b">
        <v>1</v>
      </c>
      <c r="R2317" s="10"/>
    </row>
    <row r="2318">
      <c r="A2318" s="6" t="s">
        <v>11368</v>
      </c>
      <c r="B2318" s="6" t="s">
        <v>35</v>
      </c>
      <c r="C2318" s="8">
        <v>46140.0</v>
      </c>
      <c r="D2318" s="6" t="s">
        <v>9260</v>
      </c>
      <c r="E2318" s="6" t="s">
        <v>12725</v>
      </c>
      <c r="F2318" s="10"/>
      <c r="G2318" s="26" t="s">
        <v>12726</v>
      </c>
      <c r="H2318" s="6" t="s">
        <v>12727</v>
      </c>
      <c r="I2318" s="17" t="b">
        <v>0</v>
      </c>
      <c r="J2318" s="26" t="s">
        <v>8596</v>
      </c>
      <c r="K2318" s="10"/>
      <c r="L2318" s="26" t="s">
        <v>12728</v>
      </c>
      <c r="M2318" s="10"/>
      <c r="N2318" s="10"/>
      <c r="O2318" s="26">
        <v>10401.72</v>
      </c>
      <c r="P2318" s="10"/>
      <c r="Q2318" s="27" t="b">
        <v>1</v>
      </c>
      <c r="R2318" s="10"/>
    </row>
    <row r="2319">
      <c r="A2319" s="6" t="s">
        <v>11373</v>
      </c>
      <c r="B2319" s="6" t="s">
        <v>35</v>
      </c>
      <c r="C2319" s="8">
        <v>46140.0</v>
      </c>
      <c r="D2319" s="6" t="s">
        <v>9260</v>
      </c>
      <c r="E2319" s="6" t="s">
        <v>12729</v>
      </c>
      <c r="F2319" s="10"/>
      <c r="G2319" s="26" t="s">
        <v>12730</v>
      </c>
      <c r="H2319" s="6" t="s">
        <v>12731</v>
      </c>
      <c r="I2319" s="17" t="b">
        <v>0</v>
      </c>
      <c r="J2319" s="26" t="s">
        <v>8596</v>
      </c>
      <c r="K2319" s="10"/>
      <c r="L2319" s="10"/>
      <c r="M2319" s="10"/>
      <c r="N2319" s="10"/>
      <c r="O2319" s="26">
        <v>138.34</v>
      </c>
      <c r="P2319" s="10"/>
      <c r="Q2319" s="27" t="b">
        <v>1</v>
      </c>
      <c r="R2319" s="10"/>
    </row>
    <row r="2320">
      <c r="A2320" s="6" t="s">
        <v>10169</v>
      </c>
      <c r="B2320" s="6" t="s">
        <v>35</v>
      </c>
      <c r="C2320" s="8">
        <v>46142.0</v>
      </c>
      <c r="D2320" s="10"/>
      <c r="E2320" s="10"/>
      <c r="F2320" s="10"/>
      <c r="G2320" s="10"/>
      <c r="H2320" s="6" t="s">
        <v>12732</v>
      </c>
      <c r="I2320" s="10"/>
      <c r="J2320" s="6" t="s">
        <v>539</v>
      </c>
      <c r="K2320" s="6" t="s">
        <v>2052</v>
      </c>
      <c r="L2320" s="10"/>
      <c r="M2320" s="10"/>
      <c r="N2320" s="10"/>
      <c r="O2320" s="18">
        <v>2835.38</v>
      </c>
      <c r="P2320" s="10"/>
      <c r="Q2320" s="17" t="b">
        <v>1</v>
      </c>
      <c r="R2320" s="10"/>
    </row>
    <row r="2321">
      <c r="A2321" s="18">
        <v>12091.0</v>
      </c>
      <c r="B2321" s="6" t="s">
        <v>35</v>
      </c>
      <c r="C2321" s="8">
        <v>46142.0</v>
      </c>
      <c r="D2321" s="10"/>
      <c r="E2321" s="10"/>
      <c r="F2321" s="10"/>
      <c r="G2321" s="10"/>
      <c r="H2321" s="6" t="s">
        <v>8658</v>
      </c>
      <c r="I2321" s="10"/>
      <c r="J2321" s="6" t="s">
        <v>539</v>
      </c>
      <c r="K2321" s="6" t="s">
        <v>2052</v>
      </c>
      <c r="L2321" s="10"/>
      <c r="M2321" s="10"/>
      <c r="N2321" s="10"/>
      <c r="O2321" s="18">
        <v>1952.22</v>
      </c>
      <c r="P2321" s="10"/>
      <c r="Q2321" s="17" t="b">
        <v>1</v>
      </c>
      <c r="R2321" s="10"/>
    </row>
    <row r="2322">
      <c r="A2322" s="18">
        <v>12092.0</v>
      </c>
      <c r="B2322" s="6" t="s">
        <v>35</v>
      </c>
      <c r="C2322" s="8">
        <v>46142.0</v>
      </c>
      <c r="D2322" s="10"/>
      <c r="E2322" s="10"/>
      <c r="F2322" s="10"/>
      <c r="G2322" s="10"/>
      <c r="H2322" s="6" t="s">
        <v>8658</v>
      </c>
      <c r="I2322" s="10"/>
      <c r="J2322" s="6" t="s">
        <v>539</v>
      </c>
      <c r="K2322" s="6" t="s">
        <v>227</v>
      </c>
      <c r="L2322" s="10"/>
      <c r="M2322" s="10"/>
      <c r="N2322" s="10"/>
      <c r="O2322" s="18">
        <v>2007.04</v>
      </c>
      <c r="P2322" s="10"/>
      <c r="Q2322" s="17" t="b">
        <v>1</v>
      </c>
      <c r="R2322" s="10"/>
    </row>
    <row r="2323">
      <c r="A2323" s="18">
        <v>12093.0</v>
      </c>
      <c r="B2323" s="6" t="s">
        <v>35</v>
      </c>
      <c r="C2323" s="8">
        <v>46142.0</v>
      </c>
      <c r="D2323" s="10"/>
      <c r="E2323" s="10"/>
      <c r="F2323" s="10"/>
      <c r="G2323" s="10"/>
      <c r="H2323" s="6" t="s">
        <v>8658</v>
      </c>
      <c r="I2323" s="10"/>
      <c r="J2323" s="6" t="s">
        <v>539</v>
      </c>
      <c r="K2323" s="6" t="s">
        <v>117</v>
      </c>
      <c r="L2323" s="10"/>
      <c r="M2323" s="10"/>
      <c r="N2323" s="10"/>
      <c r="O2323" s="18">
        <v>1575.04</v>
      </c>
      <c r="P2323" s="10"/>
      <c r="Q2323" s="17" t="b">
        <v>1</v>
      </c>
      <c r="R2323" s="10"/>
    </row>
    <row r="2324">
      <c r="A2324" s="18">
        <v>12094.0</v>
      </c>
      <c r="B2324" s="6" t="s">
        <v>35</v>
      </c>
      <c r="C2324" s="8">
        <v>46142.0</v>
      </c>
      <c r="D2324" s="10"/>
      <c r="E2324" s="10"/>
      <c r="F2324" s="10"/>
      <c r="G2324" s="10"/>
      <c r="H2324" s="6" t="s">
        <v>8658</v>
      </c>
      <c r="I2324" s="10"/>
      <c r="J2324" s="6" t="s">
        <v>539</v>
      </c>
      <c r="K2324" s="6" t="s">
        <v>218</v>
      </c>
      <c r="L2324" s="10"/>
      <c r="M2324" s="10"/>
      <c r="N2324" s="10"/>
      <c r="O2324" s="18">
        <v>4479.15</v>
      </c>
      <c r="P2324" s="10"/>
      <c r="Q2324" s="17" t="b">
        <v>1</v>
      </c>
      <c r="R2324" s="10"/>
    </row>
    <row r="2325">
      <c r="A2325" s="18">
        <v>12095.0</v>
      </c>
      <c r="B2325" s="6" t="s">
        <v>35</v>
      </c>
      <c r="C2325" s="8">
        <v>46142.0</v>
      </c>
      <c r="D2325" s="10"/>
      <c r="E2325" s="10"/>
      <c r="F2325" s="10"/>
      <c r="G2325" s="10"/>
      <c r="H2325" s="6" t="s">
        <v>8658</v>
      </c>
      <c r="I2325" s="10"/>
      <c r="J2325" s="6" t="s">
        <v>539</v>
      </c>
      <c r="K2325" s="6" t="s">
        <v>336</v>
      </c>
      <c r="L2325" s="10"/>
      <c r="M2325" s="10"/>
      <c r="N2325" s="10"/>
      <c r="O2325" s="18">
        <v>1967.46</v>
      </c>
      <c r="P2325" s="10"/>
      <c r="Q2325" s="17" t="b">
        <v>1</v>
      </c>
      <c r="R2325" s="10"/>
    </row>
    <row r="2326">
      <c r="A2326" s="6" t="s">
        <v>11409</v>
      </c>
      <c r="B2326" s="6" t="s">
        <v>35</v>
      </c>
      <c r="C2326" s="8">
        <v>46144.0</v>
      </c>
      <c r="D2326" s="6" t="s">
        <v>112</v>
      </c>
      <c r="E2326" s="6" t="s">
        <v>12735</v>
      </c>
      <c r="F2326" s="10"/>
      <c r="G2326" s="26" t="s">
        <v>12736</v>
      </c>
      <c r="H2326" s="6" t="s">
        <v>157</v>
      </c>
      <c r="I2326" s="17" t="b">
        <v>0</v>
      </c>
      <c r="J2326" s="26" t="s">
        <v>8596</v>
      </c>
      <c r="K2326" s="10"/>
      <c r="L2326" s="10"/>
      <c r="M2326" s="10"/>
      <c r="N2326" s="10"/>
      <c r="O2326" s="26">
        <v>120.87</v>
      </c>
      <c r="P2326" s="10"/>
      <c r="Q2326" s="27" t="b">
        <v>1</v>
      </c>
      <c r="R2326" s="10"/>
    </row>
    <row r="2327">
      <c r="A2327" s="6" t="s">
        <v>11378</v>
      </c>
      <c r="B2327" s="6" t="s">
        <v>35</v>
      </c>
      <c r="C2327" s="8">
        <v>46140.0</v>
      </c>
      <c r="D2327" s="6" t="s">
        <v>9260</v>
      </c>
      <c r="E2327" s="6" t="s">
        <v>12737</v>
      </c>
      <c r="F2327" s="25"/>
      <c r="G2327" s="26" t="s">
        <v>12738</v>
      </c>
      <c r="H2327" s="6" t="s">
        <v>12739</v>
      </c>
      <c r="I2327" s="17" t="b">
        <v>0</v>
      </c>
      <c r="J2327" s="26" t="s">
        <v>8596</v>
      </c>
      <c r="K2327" s="10"/>
      <c r="L2327" s="10"/>
      <c r="M2327" s="10"/>
      <c r="N2327" s="10"/>
      <c r="O2327" s="26">
        <v>23.89</v>
      </c>
      <c r="P2327" s="10"/>
      <c r="Q2327" s="27" t="b">
        <v>1</v>
      </c>
      <c r="R2327" s="10"/>
    </row>
    <row r="2328">
      <c r="A2328" s="6" t="s">
        <v>11384</v>
      </c>
      <c r="B2328" s="6" t="s">
        <v>35</v>
      </c>
      <c r="C2328" s="8">
        <v>46140.0</v>
      </c>
      <c r="D2328" s="6" t="s">
        <v>9260</v>
      </c>
      <c r="E2328" s="6" t="s">
        <v>12740</v>
      </c>
      <c r="F2328" s="10"/>
      <c r="G2328" s="26" t="s">
        <v>12741</v>
      </c>
      <c r="H2328" s="6" t="s">
        <v>12742</v>
      </c>
      <c r="I2328" s="17" t="b">
        <v>0</v>
      </c>
      <c r="J2328" s="26" t="s">
        <v>8596</v>
      </c>
      <c r="K2328" s="10"/>
      <c r="L2328" s="26" t="s">
        <v>12743</v>
      </c>
      <c r="M2328" s="10"/>
      <c r="N2328" s="10"/>
      <c r="O2328" s="26">
        <v>2986.17</v>
      </c>
      <c r="P2328" s="10"/>
      <c r="Q2328" s="27" t="b">
        <v>1</v>
      </c>
      <c r="R2328" s="10"/>
    </row>
    <row r="2329">
      <c r="A2329" s="18">
        <v>12104.0</v>
      </c>
      <c r="B2329" s="6" t="s">
        <v>35</v>
      </c>
      <c r="C2329" s="8">
        <v>46146.0</v>
      </c>
      <c r="D2329" s="6" t="s">
        <v>9929</v>
      </c>
      <c r="E2329" s="10"/>
      <c r="F2329" s="10"/>
      <c r="G2329" s="10"/>
      <c r="H2329" s="6" t="s">
        <v>9930</v>
      </c>
      <c r="I2329" s="10"/>
      <c r="J2329" s="6" t="s">
        <v>539</v>
      </c>
      <c r="K2329" s="10"/>
      <c r="L2329" s="10"/>
      <c r="M2329" s="10"/>
      <c r="N2329" s="10"/>
      <c r="O2329" s="18">
        <v>9200.0</v>
      </c>
      <c r="P2329" s="10"/>
      <c r="Q2329" s="17" t="b">
        <v>1</v>
      </c>
      <c r="R2329" s="10"/>
    </row>
    <row r="2330">
      <c r="A2330" s="18">
        <v>12105.0</v>
      </c>
      <c r="B2330" s="6" t="s">
        <v>35</v>
      </c>
      <c r="C2330" s="8">
        <v>46147.0</v>
      </c>
      <c r="D2330" s="6" t="s">
        <v>3516</v>
      </c>
      <c r="E2330" s="10"/>
      <c r="F2330" s="10"/>
      <c r="G2330" s="10"/>
      <c r="H2330" s="6" t="s">
        <v>9933</v>
      </c>
      <c r="I2330" s="10"/>
      <c r="J2330" s="6" t="s">
        <v>539</v>
      </c>
      <c r="K2330" s="10"/>
      <c r="L2330" s="10"/>
      <c r="M2330" s="10"/>
      <c r="N2330" s="10"/>
      <c r="O2330" s="18">
        <v>533.95</v>
      </c>
      <c r="P2330" s="10"/>
      <c r="Q2330" s="17" t="b">
        <v>1</v>
      </c>
      <c r="R2330" s="10"/>
    </row>
    <row r="2331">
      <c r="A2331" s="18">
        <v>12106.0</v>
      </c>
      <c r="B2331" s="6" t="s">
        <v>35</v>
      </c>
      <c r="C2331" s="8">
        <v>46147.0</v>
      </c>
      <c r="D2331" s="6" t="s">
        <v>2439</v>
      </c>
      <c r="E2331" s="10"/>
      <c r="F2331" s="10"/>
      <c r="G2331" s="10"/>
      <c r="H2331" s="6" t="s">
        <v>12745</v>
      </c>
      <c r="I2331" s="10"/>
      <c r="J2331" s="6" t="s">
        <v>539</v>
      </c>
      <c r="K2331" s="10"/>
      <c r="L2331" s="10"/>
      <c r="M2331" s="10"/>
      <c r="N2331" s="10"/>
      <c r="O2331" s="18">
        <v>0.0</v>
      </c>
      <c r="P2331" s="10"/>
      <c r="Q2331" s="17" t="b">
        <v>1</v>
      </c>
      <c r="R2331" s="10"/>
    </row>
    <row r="2332">
      <c r="A2332" s="18">
        <v>12107.0</v>
      </c>
      <c r="B2332" s="6" t="s">
        <v>35</v>
      </c>
      <c r="C2332" s="8">
        <v>46147.0</v>
      </c>
      <c r="D2332" s="6" t="s">
        <v>10315</v>
      </c>
      <c r="E2332" s="10"/>
      <c r="F2332" s="10"/>
      <c r="G2332" s="10"/>
      <c r="H2332" s="6" t="s">
        <v>12747</v>
      </c>
      <c r="I2332" s="10"/>
      <c r="J2332" s="6" t="s">
        <v>539</v>
      </c>
      <c r="K2332" s="10"/>
      <c r="L2332" s="10"/>
      <c r="M2332" s="10"/>
      <c r="N2332" s="10"/>
      <c r="O2332" s="18">
        <v>0.01</v>
      </c>
      <c r="P2332" s="10"/>
      <c r="Q2332" s="17" t="b">
        <v>1</v>
      </c>
      <c r="R2332" s="10"/>
    </row>
    <row r="2333">
      <c r="A2333" s="18">
        <v>12113.0</v>
      </c>
      <c r="B2333" s="6" t="s">
        <v>35</v>
      </c>
      <c r="C2333" s="8">
        <v>46147.0</v>
      </c>
      <c r="D2333" s="6" t="s">
        <v>7740</v>
      </c>
      <c r="E2333" s="10"/>
      <c r="F2333" s="10"/>
      <c r="G2333" s="10"/>
      <c r="H2333" s="6" t="s">
        <v>12745</v>
      </c>
      <c r="I2333" s="10"/>
      <c r="J2333" s="6" t="s">
        <v>539</v>
      </c>
      <c r="K2333" s="10"/>
      <c r="L2333" s="10"/>
      <c r="M2333" s="10"/>
      <c r="N2333" s="10"/>
      <c r="O2333" s="18">
        <v>0.0</v>
      </c>
      <c r="P2333" s="10"/>
      <c r="Q2333" s="17" t="b">
        <v>1</v>
      </c>
      <c r="R2333" s="10"/>
    </row>
    <row r="2334">
      <c r="A2334" s="6" t="s">
        <v>10194</v>
      </c>
      <c r="B2334" s="6" t="s">
        <v>35</v>
      </c>
      <c r="C2334" s="8">
        <v>46147.0</v>
      </c>
      <c r="D2334" s="6" t="s">
        <v>890</v>
      </c>
      <c r="E2334" s="10"/>
      <c r="F2334" s="10"/>
      <c r="G2334" s="10"/>
      <c r="H2334" s="6" t="s">
        <v>12748</v>
      </c>
      <c r="I2334" s="10"/>
      <c r="J2334" s="6" t="s">
        <v>539</v>
      </c>
      <c r="K2334" s="10"/>
      <c r="L2334" s="10"/>
      <c r="M2334" s="10"/>
      <c r="N2334" s="10"/>
      <c r="O2334" s="18">
        <v>30.0</v>
      </c>
      <c r="P2334" s="10"/>
      <c r="Q2334" s="17" t="b">
        <v>1</v>
      </c>
      <c r="R2334" s="10"/>
    </row>
    <row r="2335">
      <c r="A2335" s="6" t="s">
        <v>10198</v>
      </c>
      <c r="B2335" s="6" t="s">
        <v>35</v>
      </c>
      <c r="C2335" s="8">
        <v>46153.0</v>
      </c>
      <c r="D2335" s="6" t="s">
        <v>890</v>
      </c>
      <c r="E2335" s="10"/>
      <c r="F2335" s="10"/>
      <c r="G2335" s="10"/>
      <c r="H2335" s="6" t="s">
        <v>12750</v>
      </c>
      <c r="I2335" s="10"/>
      <c r="J2335" s="6" t="s">
        <v>539</v>
      </c>
      <c r="K2335" s="10"/>
      <c r="L2335" s="10"/>
      <c r="M2335" s="10"/>
      <c r="N2335" s="10"/>
      <c r="O2335" s="18">
        <v>1.75</v>
      </c>
      <c r="P2335" s="10"/>
      <c r="Q2335" s="17" t="b">
        <v>1</v>
      </c>
      <c r="R2335" s="10"/>
    </row>
    <row r="2336">
      <c r="A2336" s="18">
        <v>1.4564904E8</v>
      </c>
      <c r="B2336" s="6" t="s">
        <v>35</v>
      </c>
      <c r="C2336" s="8">
        <v>46153.0</v>
      </c>
      <c r="D2336" s="6" t="s">
        <v>890</v>
      </c>
      <c r="E2336" s="10"/>
      <c r="F2336" s="10"/>
      <c r="G2336" s="10"/>
      <c r="H2336" s="6" t="s">
        <v>12751</v>
      </c>
      <c r="I2336" s="10"/>
      <c r="J2336" s="6" t="s">
        <v>539</v>
      </c>
      <c r="K2336" s="10"/>
      <c r="L2336" s="10"/>
      <c r="M2336" s="10"/>
      <c r="N2336" s="10"/>
      <c r="O2336" s="18">
        <v>2223.0</v>
      </c>
      <c r="P2336" s="10"/>
      <c r="Q2336" s="17" t="b">
        <v>1</v>
      </c>
      <c r="R2336" s="10"/>
    </row>
    <row r="2337">
      <c r="A2337" s="6" t="s">
        <v>10203</v>
      </c>
      <c r="B2337" s="6" t="s">
        <v>35</v>
      </c>
      <c r="C2337" s="8">
        <v>46153.0</v>
      </c>
      <c r="D2337" s="6" t="s">
        <v>890</v>
      </c>
      <c r="E2337" s="10"/>
      <c r="F2337" s="10"/>
      <c r="G2337" s="10"/>
      <c r="H2337" s="6" t="s">
        <v>12754</v>
      </c>
      <c r="I2337" s="10"/>
      <c r="J2337" s="6" t="s">
        <v>539</v>
      </c>
      <c r="K2337" s="10"/>
      <c r="L2337" s="10"/>
      <c r="M2337" s="10"/>
      <c r="N2337" s="10"/>
      <c r="O2337" s="18">
        <v>647.58</v>
      </c>
      <c r="P2337" s="10"/>
      <c r="Q2337" s="17" t="b">
        <v>1</v>
      </c>
      <c r="R2337" s="10"/>
    </row>
    <row r="2338">
      <c r="A2338" s="6" t="s">
        <v>10205</v>
      </c>
      <c r="B2338" s="6" t="s">
        <v>35</v>
      </c>
      <c r="C2338" s="8">
        <v>46153.0</v>
      </c>
      <c r="D2338" s="6" t="s">
        <v>890</v>
      </c>
      <c r="E2338" s="10"/>
      <c r="F2338" s="10"/>
      <c r="G2338" s="10"/>
      <c r="H2338" s="6" t="s">
        <v>12755</v>
      </c>
      <c r="I2338" s="10"/>
      <c r="J2338" s="6" t="s">
        <v>539</v>
      </c>
      <c r="K2338" s="10"/>
      <c r="L2338" s="10"/>
      <c r="M2338" s="10"/>
      <c r="N2338" s="10"/>
      <c r="O2338" s="18">
        <v>5.18</v>
      </c>
      <c r="P2338" s="10"/>
      <c r="Q2338" s="17" t="b">
        <v>1</v>
      </c>
      <c r="R2338" s="10"/>
    </row>
    <row r="2339">
      <c r="A2339" s="18">
        <v>12123.0</v>
      </c>
      <c r="B2339" s="6" t="s">
        <v>35</v>
      </c>
      <c r="C2339" s="8">
        <v>46153.0</v>
      </c>
      <c r="D2339" s="6" t="s">
        <v>10092</v>
      </c>
      <c r="E2339" s="10"/>
      <c r="F2339" s="10"/>
      <c r="G2339" s="10"/>
      <c r="H2339" s="6" t="s">
        <v>10093</v>
      </c>
      <c r="I2339" s="10"/>
      <c r="J2339" s="6" t="s">
        <v>539</v>
      </c>
      <c r="K2339" s="10"/>
      <c r="L2339" s="10"/>
      <c r="M2339" s="10"/>
      <c r="N2339" s="10"/>
      <c r="O2339" s="18">
        <v>181.37</v>
      </c>
      <c r="P2339" s="10"/>
      <c r="Q2339" s="17" t="b">
        <v>1</v>
      </c>
      <c r="R2339" s="10"/>
    </row>
    <row r="2340">
      <c r="A2340" s="18">
        <v>12124.0</v>
      </c>
      <c r="B2340" s="6" t="s">
        <v>35</v>
      </c>
      <c r="C2340" s="8">
        <v>46153.0</v>
      </c>
      <c r="D2340" s="6" t="s">
        <v>2280</v>
      </c>
      <c r="E2340" s="10"/>
      <c r="F2340" s="10"/>
      <c r="G2340" s="10"/>
      <c r="H2340" s="6" t="s">
        <v>10095</v>
      </c>
      <c r="I2340" s="10"/>
      <c r="J2340" s="6" t="s">
        <v>539</v>
      </c>
      <c r="K2340" s="10"/>
      <c r="L2340" s="10"/>
      <c r="M2340" s="10"/>
      <c r="N2340" s="10"/>
      <c r="O2340" s="18">
        <v>1644.72</v>
      </c>
      <c r="P2340" s="10"/>
      <c r="Q2340" s="17" t="b">
        <v>1</v>
      </c>
      <c r="R2340" s="10"/>
    </row>
    <row r="2341">
      <c r="A2341" s="18">
        <v>12125.0</v>
      </c>
      <c r="B2341" s="6" t="s">
        <v>35</v>
      </c>
      <c r="C2341" s="8">
        <v>46153.0</v>
      </c>
      <c r="D2341" s="6" t="s">
        <v>2248</v>
      </c>
      <c r="E2341" s="10"/>
      <c r="F2341" s="10"/>
      <c r="G2341" s="10"/>
      <c r="H2341" s="6" t="s">
        <v>8055</v>
      </c>
      <c r="I2341" s="10"/>
      <c r="J2341" s="6" t="s">
        <v>539</v>
      </c>
      <c r="K2341" s="10"/>
      <c r="L2341" s="10"/>
      <c r="M2341" s="10"/>
      <c r="N2341" s="10"/>
      <c r="O2341" s="18">
        <v>185.0</v>
      </c>
      <c r="P2341" s="10"/>
      <c r="Q2341" s="17" t="b">
        <v>1</v>
      </c>
      <c r="R2341" s="10"/>
    </row>
    <row r="2342">
      <c r="A2342" s="18">
        <v>12126.0</v>
      </c>
      <c r="B2342" s="6" t="s">
        <v>35</v>
      </c>
      <c r="C2342" s="8">
        <v>46153.0</v>
      </c>
      <c r="D2342" s="6" t="s">
        <v>890</v>
      </c>
      <c r="E2342" s="10"/>
      <c r="F2342" s="10"/>
      <c r="G2342" s="10"/>
      <c r="H2342" s="6" t="s">
        <v>4010</v>
      </c>
      <c r="I2342" s="10"/>
      <c r="J2342" s="6" t="s">
        <v>539</v>
      </c>
      <c r="K2342" s="10"/>
      <c r="L2342" s="10"/>
      <c r="M2342" s="10"/>
      <c r="N2342" s="10"/>
      <c r="O2342" s="18">
        <v>396.0</v>
      </c>
      <c r="P2342" s="10"/>
      <c r="Q2342" s="17" t="b">
        <v>1</v>
      </c>
      <c r="R2342" s="10"/>
    </row>
    <row r="2343">
      <c r="A2343" s="6" t="s">
        <v>10213</v>
      </c>
      <c r="B2343" s="6" t="s">
        <v>35</v>
      </c>
      <c r="C2343" s="8">
        <v>46153.0</v>
      </c>
      <c r="D2343" s="6" t="s">
        <v>460</v>
      </c>
      <c r="E2343" s="10"/>
      <c r="F2343" s="10"/>
      <c r="G2343" s="10"/>
      <c r="H2343" s="6" t="s">
        <v>12758</v>
      </c>
      <c r="I2343" s="10"/>
      <c r="J2343" s="6" t="s">
        <v>539</v>
      </c>
      <c r="K2343" s="10"/>
      <c r="L2343" s="10"/>
      <c r="M2343" s="10"/>
      <c r="N2343" s="10"/>
      <c r="O2343" s="18">
        <v>42.7</v>
      </c>
      <c r="P2343" s="10"/>
      <c r="Q2343" s="17" t="b">
        <v>1</v>
      </c>
      <c r="R2343" s="10"/>
    </row>
    <row r="2344">
      <c r="A2344" s="6" t="s">
        <v>10218</v>
      </c>
      <c r="B2344" s="6" t="s">
        <v>35</v>
      </c>
      <c r="C2344" s="8">
        <v>46153.0</v>
      </c>
      <c r="D2344" s="6" t="s">
        <v>460</v>
      </c>
      <c r="E2344" s="10"/>
      <c r="F2344" s="10"/>
      <c r="G2344" s="10"/>
      <c r="H2344" s="6" t="s">
        <v>12760</v>
      </c>
      <c r="I2344" s="10"/>
      <c r="J2344" s="6" t="s">
        <v>539</v>
      </c>
      <c r="K2344" s="10"/>
      <c r="L2344" s="10"/>
      <c r="M2344" s="10"/>
      <c r="N2344" s="10"/>
      <c r="O2344" s="18">
        <v>240.5</v>
      </c>
      <c r="P2344" s="10"/>
      <c r="Q2344" s="17" t="b">
        <v>1</v>
      </c>
      <c r="R2344" s="10"/>
    </row>
    <row r="2345">
      <c r="A2345" s="6" t="s">
        <v>10220</v>
      </c>
      <c r="B2345" s="6" t="s">
        <v>35</v>
      </c>
      <c r="C2345" s="8">
        <v>46153.0</v>
      </c>
      <c r="D2345" s="6" t="s">
        <v>460</v>
      </c>
      <c r="E2345" s="10"/>
      <c r="F2345" s="10"/>
      <c r="G2345" s="10"/>
      <c r="H2345" s="6" t="s">
        <v>12763</v>
      </c>
      <c r="I2345" s="10"/>
      <c r="J2345" s="6" t="s">
        <v>539</v>
      </c>
      <c r="K2345" s="10"/>
      <c r="L2345" s="10"/>
      <c r="M2345" s="10"/>
      <c r="N2345" s="10"/>
      <c r="O2345" s="18">
        <v>83.0</v>
      </c>
      <c r="P2345" s="10"/>
      <c r="Q2345" s="17" t="b">
        <v>1</v>
      </c>
      <c r="R2345" s="10"/>
    </row>
    <row r="2346">
      <c r="A2346" s="6" t="s">
        <v>10223</v>
      </c>
      <c r="B2346" s="6" t="s">
        <v>35</v>
      </c>
      <c r="C2346" s="8">
        <v>46153.0</v>
      </c>
      <c r="D2346" s="6" t="s">
        <v>890</v>
      </c>
      <c r="E2346" s="10"/>
      <c r="F2346" s="10"/>
      <c r="G2346" s="10"/>
      <c r="H2346" s="6" t="s">
        <v>12764</v>
      </c>
      <c r="I2346" s="10"/>
      <c r="J2346" s="6" t="s">
        <v>539</v>
      </c>
      <c r="K2346" s="10"/>
      <c r="L2346" s="10"/>
      <c r="M2346" s="10"/>
      <c r="N2346" s="10"/>
      <c r="O2346" s="18">
        <v>2986.17</v>
      </c>
      <c r="P2346" s="10"/>
      <c r="Q2346" s="17" t="b">
        <v>1</v>
      </c>
      <c r="R2346" s="10"/>
    </row>
    <row r="2347">
      <c r="A2347" s="6" t="s">
        <v>10226</v>
      </c>
      <c r="B2347" s="6" t="s">
        <v>35</v>
      </c>
      <c r="C2347" s="8">
        <v>46153.0</v>
      </c>
      <c r="D2347" s="6" t="s">
        <v>1864</v>
      </c>
      <c r="E2347" s="10"/>
      <c r="F2347" s="10"/>
      <c r="G2347" s="10"/>
      <c r="H2347" s="6" t="s">
        <v>7232</v>
      </c>
      <c r="I2347" s="10"/>
      <c r="J2347" s="6" t="s">
        <v>539</v>
      </c>
      <c r="K2347" s="10"/>
      <c r="L2347" s="10"/>
      <c r="M2347" s="10"/>
      <c r="N2347" s="10"/>
      <c r="O2347" s="18">
        <v>23.47</v>
      </c>
      <c r="P2347" s="10"/>
      <c r="Q2347" s="17" t="b">
        <v>1</v>
      </c>
      <c r="R2347" s="10"/>
    </row>
    <row r="2348">
      <c r="A2348" s="18">
        <v>12121.0</v>
      </c>
      <c r="B2348" s="6" t="s">
        <v>35</v>
      </c>
      <c r="C2348" s="8">
        <v>46154.0</v>
      </c>
      <c r="D2348" s="6" t="s">
        <v>890</v>
      </c>
      <c r="E2348" s="6"/>
      <c r="F2348" s="10"/>
      <c r="G2348" s="6"/>
      <c r="H2348" s="6" t="s">
        <v>10085</v>
      </c>
      <c r="I2348" s="6"/>
      <c r="J2348" s="6" t="s">
        <v>539</v>
      </c>
      <c r="K2348" s="10"/>
      <c r="L2348" s="10"/>
      <c r="M2348" s="10"/>
      <c r="N2348" s="10"/>
      <c r="O2348" s="28">
        <v>1148.0</v>
      </c>
      <c r="P2348" s="6"/>
      <c r="Q2348" s="17" t="b">
        <v>1</v>
      </c>
      <c r="R2348" s="10"/>
    </row>
    <row r="2349">
      <c r="A2349" s="18">
        <v>12122.0</v>
      </c>
      <c r="B2349" s="6" t="s">
        <v>35</v>
      </c>
      <c r="C2349" s="8">
        <v>46154.0</v>
      </c>
      <c r="D2349" s="6" t="s">
        <v>890</v>
      </c>
      <c r="E2349" s="6"/>
      <c r="F2349" s="10"/>
      <c r="G2349" s="6"/>
      <c r="H2349" s="6" t="s">
        <v>10089</v>
      </c>
      <c r="I2349" s="6"/>
      <c r="J2349" s="6" t="s">
        <v>539</v>
      </c>
      <c r="K2349" s="10"/>
      <c r="L2349" s="10"/>
      <c r="M2349" s="10"/>
      <c r="N2349" s="10"/>
      <c r="O2349" s="28">
        <v>1033.0</v>
      </c>
      <c r="P2349" s="6"/>
      <c r="Q2349" s="17" t="b">
        <v>1</v>
      </c>
      <c r="R2349" s="10"/>
    </row>
    <row r="2350">
      <c r="A2350" s="6" t="s">
        <v>10233</v>
      </c>
      <c r="B2350" s="6" t="s">
        <v>35</v>
      </c>
      <c r="C2350" s="8">
        <v>46155.0</v>
      </c>
      <c r="D2350" s="6"/>
      <c r="E2350" s="6"/>
      <c r="F2350" s="10"/>
      <c r="G2350" s="6"/>
      <c r="H2350" s="6" t="s">
        <v>12766</v>
      </c>
      <c r="I2350" s="6"/>
      <c r="J2350" s="6" t="s">
        <v>539</v>
      </c>
      <c r="K2350" s="10" t="s">
        <v>117</v>
      </c>
      <c r="L2350" s="10"/>
      <c r="M2350" s="10"/>
      <c r="N2350" s="10"/>
      <c r="O2350" s="28">
        <v>500.0</v>
      </c>
      <c r="P2350" s="6"/>
      <c r="Q2350" s="17" t="b">
        <v>1</v>
      </c>
      <c r="R2350" s="10"/>
    </row>
    <row r="2351">
      <c r="A2351" s="6" t="s">
        <v>10236</v>
      </c>
      <c r="B2351" s="6" t="s">
        <v>35</v>
      </c>
      <c r="C2351" s="8">
        <v>46155.0</v>
      </c>
      <c r="D2351" s="6"/>
      <c r="E2351" s="6"/>
      <c r="F2351" s="10"/>
      <c r="G2351" s="6"/>
      <c r="H2351" s="6" t="s">
        <v>12766</v>
      </c>
      <c r="I2351" s="6"/>
      <c r="J2351" s="6" t="s">
        <v>539</v>
      </c>
      <c r="K2351" s="10" t="s">
        <v>2052</v>
      </c>
      <c r="L2351" s="10"/>
      <c r="M2351" s="10"/>
      <c r="N2351" s="10"/>
      <c r="O2351" s="28">
        <v>500.0</v>
      </c>
      <c r="P2351" s="6"/>
      <c r="Q2351" s="17" t="b">
        <v>1</v>
      </c>
      <c r="R2351" s="10"/>
    </row>
    <row r="2352">
      <c r="A2352" s="6" t="s">
        <v>10238</v>
      </c>
      <c r="B2352" s="6" t="s">
        <v>35</v>
      </c>
      <c r="C2352" s="8">
        <v>46155.0</v>
      </c>
      <c r="D2352" s="6"/>
      <c r="E2352" s="6"/>
      <c r="F2352" s="10"/>
      <c r="G2352" s="6"/>
      <c r="H2352" s="6" t="s">
        <v>12766</v>
      </c>
      <c r="I2352" s="6"/>
      <c r="J2352" s="6" t="s">
        <v>539</v>
      </c>
      <c r="K2352" s="10" t="s">
        <v>218</v>
      </c>
      <c r="L2352" s="10"/>
      <c r="M2352" s="10"/>
      <c r="N2352" s="10"/>
      <c r="O2352" s="28">
        <v>500.0</v>
      </c>
      <c r="P2352" s="6"/>
      <c r="Q2352" s="17" t="b">
        <v>1</v>
      </c>
      <c r="R2352" s="10"/>
    </row>
    <row r="2353">
      <c r="A2353" s="6" t="s">
        <v>10240</v>
      </c>
      <c r="B2353" s="6" t="s">
        <v>35</v>
      </c>
      <c r="C2353" s="8">
        <v>46155.0</v>
      </c>
      <c r="D2353" s="6"/>
      <c r="E2353" s="6"/>
      <c r="F2353" s="10"/>
      <c r="G2353" s="6"/>
      <c r="H2353" s="6" t="s">
        <v>12766</v>
      </c>
      <c r="I2353" s="6"/>
      <c r="J2353" s="6" t="s">
        <v>539</v>
      </c>
      <c r="K2353" s="10" t="s">
        <v>227</v>
      </c>
      <c r="L2353" s="10"/>
      <c r="M2353" s="10"/>
      <c r="N2353" s="10"/>
      <c r="O2353" s="28">
        <v>500.0</v>
      </c>
      <c r="P2353" s="6"/>
      <c r="Q2353" s="17" t="b">
        <v>1</v>
      </c>
      <c r="R2353" s="10"/>
    </row>
    <row r="2354">
      <c r="A2354" s="6" t="s">
        <v>10244</v>
      </c>
      <c r="B2354" s="6" t="s">
        <v>35</v>
      </c>
      <c r="C2354" s="8">
        <v>46155.0</v>
      </c>
      <c r="D2354" s="6"/>
      <c r="E2354" s="6"/>
      <c r="F2354" s="10"/>
      <c r="G2354" s="6"/>
      <c r="H2354" s="6" t="s">
        <v>12766</v>
      </c>
      <c r="I2354" s="6"/>
      <c r="J2354" s="6" t="s">
        <v>539</v>
      </c>
      <c r="K2354" s="10" t="s">
        <v>336</v>
      </c>
      <c r="L2354" s="10"/>
      <c r="M2354" s="10"/>
      <c r="N2354" s="10"/>
      <c r="O2354" s="28">
        <v>500.0</v>
      </c>
      <c r="P2354" s="6"/>
      <c r="Q2354" s="17" t="b">
        <v>1</v>
      </c>
      <c r="R2354" s="10"/>
    </row>
    <row r="2355">
      <c r="A2355" s="18">
        <v>12127.0</v>
      </c>
      <c r="B2355" s="6" t="s">
        <v>35</v>
      </c>
      <c r="C2355" s="8">
        <v>46161.0</v>
      </c>
      <c r="D2355" s="6" t="s">
        <v>3516</v>
      </c>
      <c r="E2355" s="6"/>
      <c r="F2355" s="10"/>
      <c r="G2355" s="6"/>
      <c r="H2355" s="6" t="s">
        <v>10131</v>
      </c>
      <c r="I2355" s="6"/>
      <c r="J2355" s="6" t="s">
        <v>539</v>
      </c>
      <c r="K2355" s="10"/>
      <c r="L2355" s="10"/>
      <c r="M2355" s="10"/>
      <c r="N2355" s="10"/>
      <c r="O2355" s="28">
        <v>1632.87</v>
      </c>
      <c r="P2355" s="10"/>
      <c r="Q2355" s="17" t="b">
        <v>1</v>
      </c>
      <c r="R2355" s="10"/>
    </row>
    <row r="2356">
      <c r="A2356" s="18">
        <v>12131.0</v>
      </c>
      <c r="B2356" s="6" t="s">
        <v>35</v>
      </c>
      <c r="C2356" s="8">
        <v>46161.0</v>
      </c>
      <c r="D2356" s="6" t="s">
        <v>3516</v>
      </c>
      <c r="E2356" s="6"/>
      <c r="F2356" s="10"/>
      <c r="G2356" s="6"/>
      <c r="H2356" s="6" t="s">
        <v>9759</v>
      </c>
      <c r="I2356" s="6"/>
      <c r="J2356" s="6" t="s">
        <v>539</v>
      </c>
      <c r="K2356" s="10"/>
      <c r="L2356" s="10"/>
      <c r="M2356" s="10"/>
      <c r="N2356" s="10"/>
      <c r="O2356" s="28">
        <v>1067.79</v>
      </c>
      <c r="P2356" s="6"/>
      <c r="Q2356" s="17" t="b">
        <v>1</v>
      </c>
      <c r="R2356" s="10"/>
    </row>
    <row r="2357">
      <c r="A2357" s="18">
        <v>12132.0</v>
      </c>
      <c r="B2357" s="6" t="s">
        <v>35</v>
      </c>
      <c r="C2357" s="8">
        <v>46161.0</v>
      </c>
      <c r="D2357" s="6" t="s">
        <v>3516</v>
      </c>
      <c r="E2357" s="6"/>
      <c r="F2357" s="10"/>
      <c r="G2357" s="6"/>
      <c r="H2357" s="6" t="s">
        <v>9762</v>
      </c>
      <c r="I2357" s="6"/>
      <c r="J2357" s="6" t="s">
        <v>539</v>
      </c>
      <c r="K2357" s="10"/>
      <c r="L2357" s="10"/>
      <c r="M2357" s="10"/>
      <c r="N2357" s="10"/>
      <c r="O2357" s="28">
        <v>10440.59</v>
      </c>
      <c r="P2357" s="6"/>
      <c r="Q2357" s="17" t="b">
        <v>1</v>
      </c>
      <c r="R2357" s="10"/>
    </row>
    <row r="2358">
      <c r="A2358" s="6" t="s">
        <v>10252</v>
      </c>
      <c r="B2358" s="6" t="s">
        <v>35</v>
      </c>
      <c r="C2358" s="8">
        <v>46161.0</v>
      </c>
      <c r="D2358" s="6" t="s">
        <v>1160</v>
      </c>
      <c r="E2358" s="6"/>
      <c r="F2358" s="10"/>
      <c r="G2358" s="6"/>
      <c r="H2358" s="6" t="s">
        <v>23</v>
      </c>
      <c r="I2358" s="6"/>
      <c r="J2358" s="6" t="s">
        <v>539</v>
      </c>
      <c r="K2358" s="10"/>
      <c r="L2358" s="10"/>
      <c r="M2358" s="10"/>
      <c r="N2358" s="10"/>
      <c r="O2358" s="28">
        <v>850.41</v>
      </c>
      <c r="P2358" s="10"/>
      <c r="Q2358" s="17" t="b">
        <v>1</v>
      </c>
      <c r="R2358" s="10"/>
    </row>
    <row r="2359">
      <c r="A2359" s="6" t="s">
        <v>10254</v>
      </c>
      <c r="B2359" s="6" t="s">
        <v>35</v>
      </c>
      <c r="C2359" s="8">
        <v>46161.0</v>
      </c>
      <c r="D2359" s="6" t="s">
        <v>890</v>
      </c>
      <c r="E2359" s="6"/>
      <c r="F2359" s="10"/>
      <c r="G2359" s="6"/>
      <c r="H2359" s="6" t="s">
        <v>12769</v>
      </c>
      <c r="I2359" s="6"/>
      <c r="J2359" s="6" t="s">
        <v>539</v>
      </c>
      <c r="K2359" s="10"/>
      <c r="L2359" s="6"/>
      <c r="M2359" s="10"/>
      <c r="N2359" s="10"/>
      <c r="O2359" s="28">
        <v>166.87</v>
      </c>
      <c r="P2359" s="10"/>
      <c r="Q2359" s="17" t="b">
        <v>1</v>
      </c>
      <c r="R2359" s="10"/>
    </row>
    <row r="2360">
      <c r="A2360" s="26" t="s">
        <v>11489</v>
      </c>
      <c r="B2360" s="26" t="s">
        <v>35</v>
      </c>
      <c r="C2360" s="150">
        <v>46162.0</v>
      </c>
      <c r="D2360" s="26" t="s">
        <v>890</v>
      </c>
      <c r="E2360" s="26" t="s">
        <v>12770</v>
      </c>
      <c r="F2360" s="10"/>
      <c r="G2360" s="26" t="s">
        <v>12771</v>
      </c>
      <c r="H2360" s="26" t="s">
        <v>12772</v>
      </c>
      <c r="I2360" s="26" t="b">
        <v>0</v>
      </c>
      <c r="J2360" s="26" t="s">
        <v>8596</v>
      </c>
      <c r="K2360" s="10"/>
      <c r="L2360" s="10"/>
      <c r="M2360" s="10"/>
      <c r="N2360" s="10"/>
      <c r="O2360" s="26">
        <v>1666.36</v>
      </c>
      <c r="P2360" s="10"/>
      <c r="Q2360" s="26" t="b">
        <v>1</v>
      </c>
      <c r="R2360" s="10"/>
    </row>
    <row r="2361">
      <c r="A2361" s="29" t="s">
        <v>11476</v>
      </c>
      <c r="B2361" s="26" t="s">
        <v>35</v>
      </c>
      <c r="C2361" s="150">
        <v>46154.0</v>
      </c>
      <c r="D2361" s="26" t="s">
        <v>890</v>
      </c>
      <c r="E2361" s="26" t="s">
        <v>12775</v>
      </c>
      <c r="F2361" s="10"/>
      <c r="G2361" s="26" t="s">
        <v>12776</v>
      </c>
      <c r="H2361" s="26" t="s">
        <v>12777</v>
      </c>
      <c r="I2361" s="26" t="b">
        <v>0</v>
      </c>
      <c r="J2361" s="26" t="s">
        <v>8596</v>
      </c>
      <c r="K2361" s="10"/>
      <c r="L2361" s="10"/>
      <c r="M2361" s="10"/>
      <c r="N2361" s="10"/>
      <c r="O2361" s="26">
        <v>276.68</v>
      </c>
      <c r="P2361" s="6"/>
      <c r="Q2361" s="26" t="b">
        <v>1</v>
      </c>
      <c r="R2361" s="10"/>
    </row>
    <row r="2362">
      <c r="A2362" s="26" t="s">
        <v>10480</v>
      </c>
      <c r="B2362" s="26" t="s">
        <v>35</v>
      </c>
      <c r="C2362" s="150">
        <v>46063.0</v>
      </c>
      <c r="D2362" s="26" t="s">
        <v>11765</v>
      </c>
      <c r="E2362" s="26" t="s">
        <v>12779</v>
      </c>
      <c r="F2362" s="10"/>
      <c r="G2362" s="26" t="s">
        <v>12780</v>
      </c>
      <c r="H2362" s="26" t="s">
        <v>12781</v>
      </c>
      <c r="I2362" s="26" t="b">
        <v>0</v>
      </c>
      <c r="J2362" s="26" t="s">
        <v>8596</v>
      </c>
      <c r="K2362" s="10"/>
      <c r="L2362" s="10"/>
      <c r="M2362" s="10"/>
      <c r="N2362" s="10"/>
      <c r="O2362" s="26">
        <v>48.0</v>
      </c>
      <c r="P2362" s="10"/>
      <c r="Q2362" s="26" t="b">
        <v>1</v>
      </c>
      <c r="R2362" s="26" t="b">
        <v>1</v>
      </c>
    </row>
    <row r="2363">
      <c r="A2363" s="26" t="s">
        <v>11498</v>
      </c>
      <c r="B2363" s="26" t="s">
        <v>35</v>
      </c>
      <c r="C2363" s="150">
        <v>46164.0</v>
      </c>
      <c r="D2363" s="26" t="s">
        <v>11926</v>
      </c>
      <c r="E2363" s="26" t="s">
        <v>12782</v>
      </c>
      <c r="F2363" s="10"/>
      <c r="G2363" s="26" t="s">
        <v>12783</v>
      </c>
      <c r="H2363" s="26" t="s">
        <v>140</v>
      </c>
      <c r="I2363" s="26" t="b">
        <v>0</v>
      </c>
      <c r="J2363" s="26" t="s">
        <v>8596</v>
      </c>
      <c r="K2363" s="10"/>
      <c r="L2363" s="10"/>
      <c r="M2363" s="10"/>
      <c r="N2363" s="10"/>
      <c r="O2363" s="26">
        <v>120.0</v>
      </c>
      <c r="P2363" s="10"/>
      <c r="Q2363" s="26" t="b">
        <v>1</v>
      </c>
      <c r="R2363" s="10"/>
    </row>
    <row r="2364">
      <c r="A2364" s="26" t="s">
        <v>11520</v>
      </c>
      <c r="B2364" s="26" t="s">
        <v>35</v>
      </c>
      <c r="C2364" s="150">
        <v>46167.0</v>
      </c>
      <c r="D2364" s="26" t="s">
        <v>112</v>
      </c>
      <c r="E2364" s="26" t="s">
        <v>12784</v>
      </c>
      <c r="F2364" s="10"/>
      <c r="G2364" s="26" t="s">
        <v>12785</v>
      </c>
      <c r="H2364" s="26" t="s">
        <v>157</v>
      </c>
      <c r="I2364" s="26" t="b">
        <v>0</v>
      </c>
      <c r="J2364" s="26" t="s">
        <v>8596</v>
      </c>
      <c r="K2364" s="10"/>
      <c r="L2364" s="10"/>
      <c r="M2364" s="10"/>
      <c r="N2364" s="10"/>
      <c r="O2364" s="26">
        <v>217.97</v>
      </c>
      <c r="P2364" s="10"/>
      <c r="Q2364" s="26" t="b">
        <v>1</v>
      </c>
      <c r="R2364" s="10"/>
    </row>
    <row r="2365">
      <c r="A2365" s="26" t="s">
        <v>11501</v>
      </c>
      <c r="B2365" s="26" t="s">
        <v>35</v>
      </c>
      <c r="C2365" s="150">
        <v>46164.0</v>
      </c>
      <c r="D2365" s="26" t="s">
        <v>2096</v>
      </c>
      <c r="E2365" s="26" t="s">
        <v>12786</v>
      </c>
      <c r="F2365" s="10"/>
      <c r="G2365" s="26" t="s">
        <v>12787</v>
      </c>
      <c r="H2365" s="26" t="s">
        <v>925</v>
      </c>
      <c r="I2365" s="26" t="b">
        <v>1</v>
      </c>
      <c r="J2365" s="26" t="s">
        <v>8596</v>
      </c>
      <c r="K2365" s="10"/>
      <c r="L2365" s="6"/>
      <c r="M2365" s="10"/>
      <c r="N2365" s="10"/>
      <c r="O2365" s="26">
        <v>378.0</v>
      </c>
      <c r="P2365" s="29" t="s">
        <v>12788</v>
      </c>
      <c r="Q2365" s="26" t="b">
        <v>1</v>
      </c>
      <c r="R2365" s="10"/>
    </row>
    <row r="2366">
      <c r="A2366" s="26" t="s">
        <v>11503</v>
      </c>
      <c r="B2366" s="26" t="s">
        <v>35</v>
      </c>
      <c r="C2366" s="150">
        <v>46164.0</v>
      </c>
      <c r="D2366" s="29" t="s">
        <v>12789</v>
      </c>
      <c r="E2366" s="26" t="s">
        <v>12790</v>
      </c>
      <c r="F2366" s="10"/>
      <c r="G2366" s="26" t="s">
        <v>12791</v>
      </c>
      <c r="H2366" s="26" t="s">
        <v>11625</v>
      </c>
      <c r="I2366" s="26" t="b">
        <v>1</v>
      </c>
      <c r="J2366" s="26" t="s">
        <v>8596</v>
      </c>
      <c r="K2366" s="10"/>
      <c r="L2366" s="10"/>
      <c r="M2366" s="10"/>
      <c r="N2366" s="10"/>
      <c r="O2366" s="26">
        <v>62.29</v>
      </c>
      <c r="P2366" s="29" t="s">
        <v>12792</v>
      </c>
      <c r="Q2366" s="26" t="b">
        <v>1</v>
      </c>
      <c r="R2366" s="10"/>
    </row>
    <row r="2367">
      <c r="A2367" s="26" t="s">
        <v>11435</v>
      </c>
      <c r="B2367" s="26" t="s">
        <v>35</v>
      </c>
      <c r="C2367" s="150">
        <v>46148.0</v>
      </c>
      <c r="D2367" s="26" t="s">
        <v>11784</v>
      </c>
      <c r="E2367" s="26" t="s">
        <v>12793</v>
      </c>
      <c r="F2367" s="10"/>
      <c r="G2367" s="26" t="s">
        <v>12794</v>
      </c>
      <c r="H2367" s="26" t="s">
        <v>147</v>
      </c>
      <c r="I2367" s="26" t="b">
        <v>1</v>
      </c>
      <c r="J2367" s="26" t="s">
        <v>8596</v>
      </c>
      <c r="K2367" s="10"/>
      <c r="L2367" s="10"/>
      <c r="M2367" s="10"/>
      <c r="N2367" s="10"/>
      <c r="O2367" s="26">
        <v>476.5</v>
      </c>
      <c r="P2367" s="29" t="s">
        <v>12795</v>
      </c>
      <c r="Q2367" s="26" t="b">
        <v>1</v>
      </c>
      <c r="R2367" s="10"/>
    </row>
    <row r="2368">
      <c r="A2368" s="26" t="s">
        <v>11414</v>
      </c>
      <c r="B2368" s="26" t="s">
        <v>35</v>
      </c>
      <c r="C2368" s="150">
        <v>46146.0</v>
      </c>
      <c r="D2368" s="29" t="s">
        <v>12789</v>
      </c>
      <c r="E2368" s="26" t="s">
        <v>12796</v>
      </c>
      <c r="F2368" s="10"/>
      <c r="G2368" s="26" t="s">
        <v>12797</v>
      </c>
      <c r="H2368" s="26" t="s">
        <v>12798</v>
      </c>
      <c r="I2368" s="26" t="b">
        <v>1</v>
      </c>
      <c r="J2368" s="26" t="s">
        <v>8596</v>
      </c>
      <c r="K2368" s="10"/>
      <c r="L2368" s="10"/>
      <c r="M2368" s="10"/>
      <c r="N2368" s="10"/>
      <c r="O2368" s="26">
        <v>120.54</v>
      </c>
      <c r="P2368" s="29" t="s">
        <v>12799</v>
      </c>
      <c r="Q2368" s="26" t="b">
        <v>1</v>
      </c>
      <c r="R2368" s="10"/>
    </row>
    <row r="2369">
      <c r="A2369" s="26" t="s">
        <v>385</v>
      </c>
      <c r="B2369" s="26" t="s">
        <v>35</v>
      </c>
      <c r="C2369" s="150">
        <v>46146.0</v>
      </c>
      <c r="D2369" s="26" t="s">
        <v>5053</v>
      </c>
      <c r="E2369" s="26" t="s">
        <v>12800</v>
      </c>
      <c r="F2369" s="25"/>
      <c r="G2369" s="26" t="s">
        <v>12801</v>
      </c>
      <c r="H2369" s="26" t="s">
        <v>12798</v>
      </c>
      <c r="I2369" s="26" t="b">
        <v>1</v>
      </c>
      <c r="J2369" s="26" t="s">
        <v>8596</v>
      </c>
      <c r="K2369" s="10"/>
      <c r="L2369" s="10"/>
      <c r="M2369" s="10"/>
      <c r="N2369" s="10"/>
      <c r="O2369" s="26">
        <v>62.53</v>
      </c>
      <c r="P2369" s="29" t="s">
        <v>12802</v>
      </c>
      <c r="Q2369" s="26" t="b">
        <v>1</v>
      </c>
      <c r="R2369" s="10"/>
    </row>
    <row r="2370">
      <c r="A2370" s="26" t="s">
        <v>11446</v>
      </c>
      <c r="B2370" s="26" t="s">
        <v>35</v>
      </c>
      <c r="C2370" s="150">
        <v>46148.0</v>
      </c>
      <c r="D2370" s="26" t="s">
        <v>11163</v>
      </c>
      <c r="E2370" s="26" t="s">
        <v>12803</v>
      </c>
      <c r="F2370" s="10"/>
      <c r="G2370" s="26" t="s">
        <v>12804</v>
      </c>
      <c r="H2370" s="26" t="s">
        <v>11361</v>
      </c>
      <c r="I2370" s="26" t="b">
        <v>1</v>
      </c>
      <c r="J2370" s="26" t="s">
        <v>8596</v>
      </c>
      <c r="K2370" s="10"/>
      <c r="L2370" s="10"/>
      <c r="M2370" s="10"/>
      <c r="N2370" s="10"/>
      <c r="O2370" s="26">
        <v>6.06</v>
      </c>
      <c r="P2370" s="29" t="s">
        <v>12805</v>
      </c>
      <c r="Q2370" s="26" t="b">
        <v>1</v>
      </c>
      <c r="R2370" s="10"/>
    </row>
    <row r="2371">
      <c r="A2371" s="26" t="s">
        <v>11448</v>
      </c>
      <c r="B2371" s="26" t="s">
        <v>35</v>
      </c>
      <c r="C2371" s="150">
        <v>46149.0</v>
      </c>
      <c r="D2371" s="26" t="s">
        <v>233</v>
      </c>
      <c r="E2371" s="26" t="s">
        <v>12806</v>
      </c>
      <c r="F2371" s="10"/>
      <c r="G2371" s="26" t="s">
        <v>12807</v>
      </c>
      <c r="H2371" s="26" t="s">
        <v>11625</v>
      </c>
      <c r="I2371" s="26" t="b">
        <v>1</v>
      </c>
      <c r="J2371" s="26" t="s">
        <v>8596</v>
      </c>
      <c r="K2371" s="10"/>
      <c r="L2371" s="10"/>
      <c r="M2371" s="10"/>
      <c r="N2371" s="10"/>
      <c r="O2371" s="26">
        <v>30.98</v>
      </c>
      <c r="P2371" s="29" t="s">
        <v>12808</v>
      </c>
      <c r="Q2371" s="26" t="b">
        <v>1</v>
      </c>
      <c r="R2371" s="10"/>
    </row>
    <row r="2372">
      <c r="A2372" s="26" t="s">
        <v>11455</v>
      </c>
      <c r="B2372" s="26" t="s">
        <v>35</v>
      </c>
      <c r="C2372" s="150">
        <v>46149.0</v>
      </c>
      <c r="D2372" s="26" t="s">
        <v>12021</v>
      </c>
      <c r="E2372" s="26" t="s">
        <v>12809</v>
      </c>
      <c r="F2372" s="10"/>
      <c r="G2372" s="26" t="s">
        <v>12810</v>
      </c>
      <c r="H2372" s="26" t="s">
        <v>12811</v>
      </c>
      <c r="I2372" s="26" t="b">
        <v>1</v>
      </c>
      <c r="J2372" s="26" t="s">
        <v>8596</v>
      </c>
      <c r="K2372" s="10"/>
      <c r="L2372" s="10"/>
      <c r="M2372" s="10"/>
      <c r="N2372" s="10"/>
      <c r="O2372" s="26">
        <v>25.0</v>
      </c>
      <c r="P2372" s="29" t="s">
        <v>12812</v>
      </c>
      <c r="Q2372" s="26" t="b">
        <v>1</v>
      </c>
      <c r="R2372" s="10"/>
    </row>
    <row r="2373">
      <c r="A2373" s="26" t="s">
        <v>11457</v>
      </c>
      <c r="B2373" s="26" t="s">
        <v>35</v>
      </c>
      <c r="C2373" s="150">
        <v>46149.0</v>
      </c>
      <c r="D2373" s="26" t="s">
        <v>12021</v>
      </c>
      <c r="E2373" s="26" t="s">
        <v>12814</v>
      </c>
      <c r="F2373" s="10"/>
      <c r="G2373" s="26" t="s">
        <v>12815</v>
      </c>
      <c r="H2373" s="26" t="s">
        <v>12816</v>
      </c>
      <c r="I2373" s="26" t="b">
        <v>1</v>
      </c>
      <c r="J2373" s="26" t="s">
        <v>8596</v>
      </c>
      <c r="K2373" s="10"/>
      <c r="L2373" s="10"/>
      <c r="M2373" s="10"/>
      <c r="N2373" s="10"/>
      <c r="O2373" s="26">
        <v>10.0</v>
      </c>
      <c r="P2373" s="29" t="s">
        <v>12817</v>
      </c>
      <c r="Q2373" s="26" t="b">
        <v>1</v>
      </c>
      <c r="R2373" s="10"/>
    </row>
    <row r="2374">
      <c r="A2374" s="26" t="s">
        <v>11462</v>
      </c>
      <c r="B2374" s="26" t="s">
        <v>35</v>
      </c>
      <c r="C2374" s="150">
        <v>46150.0</v>
      </c>
      <c r="D2374" s="26" t="s">
        <v>2096</v>
      </c>
      <c r="E2374" s="26" t="s">
        <v>12819</v>
      </c>
      <c r="F2374" s="10"/>
      <c r="G2374" s="26" t="s">
        <v>12820</v>
      </c>
      <c r="H2374" s="26" t="s">
        <v>12821</v>
      </c>
      <c r="I2374" s="26" t="b">
        <v>1</v>
      </c>
      <c r="J2374" s="26" t="s">
        <v>8596</v>
      </c>
      <c r="K2374" s="10"/>
      <c r="L2374" s="10"/>
      <c r="M2374" s="10"/>
      <c r="N2374" s="10"/>
      <c r="O2374" s="26">
        <v>50.0</v>
      </c>
      <c r="P2374" s="29" t="s">
        <v>12822</v>
      </c>
      <c r="Q2374" s="26" t="b">
        <v>1</v>
      </c>
      <c r="R2374" s="10"/>
    </row>
    <row r="2375">
      <c r="A2375" s="26" t="s">
        <v>11464</v>
      </c>
      <c r="B2375" s="26" t="s">
        <v>35</v>
      </c>
      <c r="C2375" s="150">
        <v>46150.0</v>
      </c>
      <c r="D2375" s="29" t="s">
        <v>12789</v>
      </c>
      <c r="E2375" s="26" t="s">
        <v>12823</v>
      </c>
      <c r="F2375" s="10"/>
      <c r="G2375" s="26" t="s">
        <v>12824</v>
      </c>
      <c r="H2375" s="26" t="s">
        <v>11625</v>
      </c>
      <c r="I2375" s="26" t="b">
        <v>1</v>
      </c>
      <c r="J2375" s="26" t="s">
        <v>8596</v>
      </c>
      <c r="K2375" s="10"/>
      <c r="L2375" s="10"/>
      <c r="M2375" s="10"/>
      <c r="N2375" s="10"/>
      <c r="O2375" s="26">
        <v>43.59</v>
      </c>
      <c r="P2375" s="29" t="s">
        <v>12825</v>
      </c>
      <c r="Q2375" s="26" t="b">
        <v>1</v>
      </c>
      <c r="R2375" s="10"/>
    </row>
    <row r="2376">
      <c r="A2376" s="26" t="s">
        <v>11473</v>
      </c>
      <c r="B2376" s="26" t="s">
        <v>35</v>
      </c>
      <c r="C2376" s="150">
        <v>46151.0</v>
      </c>
      <c r="D2376" s="26" t="s">
        <v>11718</v>
      </c>
      <c r="E2376" s="26" t="s">
        <v>12826</v>
      </c>
      <c r="F2376" s="10"/>
      <c r="G2376" s="26" t="s">
        <v>12827</v>
      </c>
      <c r="H2376" s="26" t="s">
        <v>11361</v>
      </c>
      <c r="I2376" s="26" t="b">
        <v>1</v>
      </c>
      <c r="J2376" s="26" t="s">
        <v>8596</v>
      </c>
      <c r="K2376" s="10"/>
      <c r="L2376" s="10"/>
      <c r="M2376" s="10"/>
      <c r="N2376" s="10"/>
      <c r="O2376" s="26">
        <v>14.47</v>
      </c>
      <c r="P2376" s="29" t="s">
        <v>12828</v>
      </c>
      <c r="Q2376" s="26" t="b">
        <v>1</v>
      </c>
      <c r="R2376" s="10"/>
    </row>
    <row r="2377">
      <c r="A2377" s="26" t="s">
        <v>11479</v>
      </c>
      <c r="B2377" s="26" t="s">
        <v>35</v>
      </c>
      <c r="C2377" s="150">
        <v>46157.0</v>
      </c>
      <c r="D2377" s="26" t="s">
        <v>307</v>
      </c>
      <c r="E2377" s="26" t="s">
        <v>12829</v>
      </c>
      <c r="F2377" s="10"/>
      <c r="G2377" s="26" t="s">
        <v>12830</v>
      </c>
      <c r="H2377" s="26" t="s">
        <v>12831</v>
      </c>
      <c r="I2377" s="26" t="b">
        <v>1</v>
      </c>
      <c r="J2377" s="26" t="s">
        <v>8596</v>
      </c>
      <c r="K2377" s="10"/>
      <c r="L2377" s="10"/>
      <c r="M2377" s="10"/>
      <c r="N2377" s="10"/>
      <c r="O2377" s="26">
        <v>37.8</v>
      </c>
      <c r="P2377" s="29" t="s">
        <v>12833</v>
      </c>
      <c r="Q2377" s="26" t="b">
        <v>1</v>
      </c>
      <c r="R2377" s="10"/>
    </row>
    <row r="2378">
      <c r="A2378" s="26" t="s">
        <v>11481</v>
      </c>
      <c r="B2378" s="26" t="s">
        <v>35</v>
      </c>
      <c r="C2378" s="150">
        <v>46157.0</v>
      </c>
      <c r="D2378" s="29" t="s">
        <v>12789</v>
      </c>
      <c r="E2378" s="26" t="s">
        <v>12834</v>
      </c>
      <c r="F2378" s="10"/>
      <c r="G2378" s="26" t="s">
        <v>12835</v>
      </c>
      <c r="H2378" s="26" t="s">
        <v>11625</v>
      </c>
      <c r="I2378" s="26" t="b">
        <v>1</v>
      </c>
      <c r="J2378" s="26" t="s">
        <v>8596</v>
      </c>
      <c r="K2378" s="10"/>
      <c r="L2378" s="10"/>
      <c r="M2378" s="10"/>
      <c r="N2378" s="10"/>
      <c r="O2378" s="26">
        <v>51.92</v>
      </c>
      <c r="P2378" s="29" t="s">
        <v>12836</v>
      </c>
      <c r="Q2378" s="26" t="b">
        <v>1</v>
      </c>
      <c r="R2378" s="10"/>
    </row>
    <row r="2379">
      <c r="A2379" s="26" t="s">
        <v>753</v>
      </c>
      <c r="B2379" s="26" t="s">
        <v>35</v>
      </c>
      <c r="C2379" s="150">
        <v>46160.0</v>
      </c>
      <c r="D2379" s="26" t="s">
        <v>12837</v>
      </c>
      <c r="E2379" s="26" t="s">
        <v>12838</v>
      </c>
      <c r="F2379" s="10"/>
      <c r="G2379" s="26" t="s">
        <v>12839</v>
      </c>
      <c r="H2379" s="26" t="s">
        <v>12840</v>
      </c>
      <c r="I2379" s="26" t="b">
        <v>1</v>
      </c>
      <c r="J2379" s="26" t="s">
        <v>8596</v>
      </c>
      <c r="K2379" s="10"/>
      <c r="L2379" s="10"/>
      <c r="M2379" s="10"/>
      <c r="N2379" s="10"/>
      <c r="O2379" s="26">
        <v>16.99</v>
      </c>
      <c r="P2379" s="29" t="s">
        <v>12841</v>
      </c>
      <c r="Q2379" s="26" t="b">
        <v>1</v>
      </c>
      <c r="R2379" s="10"/>
    </row>
    <row r="2380">
      <c r="A2380" s="26" t="s">
        <v>11487</v>
      </c>
      <c r="B2380" s="26" t="s">
        <v>35</v>
      </c>
      <c r="C2380" s="150">
        <v>46161.0</v>
      </c>
      <c r="D2380" s="29" t="s">
        <v>12789</v>
      </c>
      <c r="E2380" s="26" t="s">
        <v>12842</v>
      </c>
      <c r="F2380" s="10"/>
      <c r="G2380" s="26" t="s">
        <v>12843</v>
      </c>
      <c r="H2380" s="26" t="s">
        <v>8510</v>
      </c>
      <c r="I2380" s="26" t="b">
        <v>1</v>
      </c>
      <c r="J2380" s="26" t="s">
        <v>8596</v>
      </c>
      <c r="K2380" s="10"/>
      <c r="L2380" s="10"/>
      <c r="M2380" s="10"/>
      <c r="N2380" s="10"/>
      <c r="O2380" s="26">
        <v>15.05</v>
      </c>
      <c r="P2380" s="29" t="s">
        <v>12844</v>
      </c>
      <c r="Q2380" s="26" t="b">
        <v>1</v>
      </c>
      <c r="R2380" s="10"/>
    </row>
    <row r="2381">
      <c r="A2381" s="26" t="s">
        <v>842</v>
      </c>
      <c r="B2381" s="26" t="s">
        <v>35</v>
      </c>
      <c r="C2381" s="150">
        <v>46162.0</v>
      </c>
      <c r="D2381" s="29" t="s">
        <v>12789</v>
      </c>
      <c r="E2381" s="26" t="s">
        <v>12845</v>
      </c>
      <c r="F2381" s="10"/>
      <c r="G2381" s="26" t="s">
        <v>12846</v>
      </c>
      <c r="H2381" s="26" t="s">
        <v>12847</v>
      </c>
      <c r="I2381" s="26" t="b">
        <v>1</v>
      </c>
      <c r="J2381" s="26" t="s">
        <v>8596</v>
      </c>
      <c r="K2381" s="10"/>
      <c r="L2381" s="10"/>
      <c r="M2381" s="10"/>
      <c r="N2381" s="10"/>
      <c r="O2381" s="26">
        <v>5.25</v>
      </c>
      <c r="P2381" s="29" t="s">
        <v>12848</v>
      </c>
      <c r="Q2381" s="26" t="b">
        <v>1</v>
      </c>
      <c r="R2381" s="10"/>
    </row>
    <row r="2382">
      <c r="A2382" s="26" t="s">
        <v>963</v>
      </c>
      <c r="B2382" s="26" t="s">
        <v>35</v>
      </c>
      <c r="C2382" s="150">
        <v>46168.0</v>
      </c>
      <c r="D2382" s="26" t="s">
        <v>11784</v>
      </c>
      <c r="E2382" s="26" t="s">
        <v>12850</v>
      </c>
      <c r="F2382" s="10"/>
      <c r="G2382" s="26" t="s">
        <v>12851</v>
      </c>
      <c r="H2382" s="26" t="s">
        <v>147</v>
      </c>
      <c r="I2382" s="26" t="b">
        <v>1</v>
      </c>
      <c r="J2382" s="26" t="s">
        <v>8596</v>
      </c>
      <c r="K2382" s="10"/>
      <c r="L2382" s="10"/>
      <c r="M2382" s="10"/>
      <c r="N2382" s="10"/>
      <c r="O2382" s="26">
        <v>258.5</v>
      </c>
      <c r="P2382" s="29" t="s">
        <v>12852</v>
      </c>
      <c r="Q2382" s="26" t="b">
        <v>1</v>
      </c>
      <c r="R2382" s="10"/>
    </row>
    <row r="2383">
      <c r="A2383" s="26" t="s">
        <v>968</v>
      </c>
      <c r="B2383" s="26" t="s">
        <v>35</v>
      </c>
      <c r="C2383" s="150">
        <v>46168.0</v>
      </c>
      <c r="D2383" s="29" t="s">
        <v>12789</v>
      </c>
      <c r="E2383" s="26" t="s">
        <v>12853</v>
      </c>
      <c r="F2383" s="10"/>
      <c r="G2383" s="26" t="s">
        <v>12854</v>
      </c>
      <c r="H2383" s="26" t="s">
        <v>11361</v>
      </c>
      <c r="I2383" s="26" t="b">
        <v>1</v>
      </c>
      <c r="J2383" s="26" t="s">
        <v>8596</v>
      </c>
      <c r="K2383" s="10"/>
      <c r="L2383" s="10"/>
      <c r="M2383" s="10"/>
      <c r="N2383" s="10"/>
      <c r="O2383" s="26">
        <v>7.8</v>
      </c>
      <c r="P2383" s="29" t="s">
        <v>12855</v>
      </c>
      <c r="Q2383" s="26" t="b">
        <v>1</v>
      </c>
      <c r="R2383" s="10"/>
    </row>
    <row r="2384">
      <c r="A2384" s="26" t="s">
        <v>11495</v>
      </c>
      <c r="B2384" s="26" t="s">
        <v>35</v>
      </c>
      <c r="C2384" s="150">
        <v>46162.0</v>
      </c>
      <c r="D2384" s="26" t="s">
        <v>3155</v>
      </c>
      <c r="E2384" s="26" t="s">
        <v>12856</v>
      </c>
      <c r="F2384" s="10"/>
      <c r="G2384" s="26" t="s">
        <v>12857</v>
      </c>
      <c r="H2384" s="26" t="s">
        <v>12858</v>
      </c>
      <c r="I2384" s="26" t="b">
        <v>0</v>
      </c>
      <c r="J2384" s="26" t="s">
        <v>8596</v>
      </c>
      <c r="K2384" s="10"/>
      <c r="L2384" s="10"/>
      <c r="M2384" s="10"/>
      <c r="N2384" s="10"/>
      <c r="O2384" s="26">
        <v>134.83</v>
      </c>
      <c r="P2384" s="10"/>
      <c r="Q2384" s="26" t="b">
        <v>1</v>
      </c>
      <c r="R2384" s="10"/>
    </row>
    <row r="2385">
      <c r="A2385" s="26" t="s">
        <v>11538</v>
      </c>
      <c r="B2385" s="26" t="s">
        <v>35</v>
      </c>
      <c r="C2385" s="150">
        <v>46168.0</v>
      </c>
      <c r="D2385" s="26" t="s">
        <v>2096</v>
      </c>
      <c r="E2385" s="26" t="s">
        <v>12861</v>
      </c>
      <c r="F2385" s="10"/>
      <c r="G2385" s="26" t="s">
        <v>12862</v>
      </c>
      <c r="H2385" s="26" t="s">
        <v>12863</v>
      </c>
      <c r="I2385" s="26" t="b">
        <v>1</v>
      </c>
      <c r="J2385" s="26" t="s">
        <v>8596</v>
      </c>
      <c r="K2385" s="10"/>
      <c r="L2385" s="10"/>
      <c r="M2385" s="10"/>
      <c r="N2385" s="10"/>
      <c r="O2385" s="26">
        <v>10.0</v>
      </c>
      <c r="P2385" s="29" t="s">
        <v>12864</v>
      </c>
      <c r="Q2385" s="26" t="b">
        <v>1</v>
      </c>
      <c r="R2385" s="10"/>
    </row>
    <row r="2386">
      <c r="A2386" s="26" t="s">
        <v>11517</v>
      </c>
      <c r="B2386" s="26" t="s">
        <v>35</v>
      </c>
      <c r="C2386" s="150">
        <v>46164.0</v>
      </c>
      <c r="D2386" s="26" t="s">
        <v>12865</v>
      </c>
      <c r="E2386" s="26" t="s">
        <v>12866</v>
      </c>
      <c r="F2386" s="10"/>
      <c r="G2386" s="26" t="s">
        <v>12867</v>
      </c>
      <c r="H2386" s="26" t="s">
        <v>12868</v>
      </c>
      <c r="I2386" s="26" t="b">
        <v>0</v>
      </c>
      <c r="J2386" s="26" t="s">
        <v>8596</v>
      </c>
      <c r="K2386" s="10"/>
      <c r="L2386" s="10"/>
      <c r="M2386" s="10"/>
      <c r="N2386" s="10"/>
      <c r="O2386" s="26">
        <v>747.21</v>
      </c>
      <c r="P2386" s="10"/>
      <c r="Q2386" s="26" t="b">
        <v>1</v>
      </c>
      <c r="R2386" s="10"/>
    </row>
    <row r="2387">
      <c r="A2387" s="26" t="s">
        <v>11540</v>
      </c>
      <c r="B2387" s="26" t="s">
        <v>35</v>
      </c>
      <c r="C2387" s="150">
        <v>46170.0</v>
      </c>
      <c r="D2387" s="29" t="s">
        <v>12869</v>
      </c>
      <c r="E2387" s="26" t="s">
        <v>12870</v>
      </c>
      <c r="F2387" s="10"/>
      <c r="G2387" s="26" t="s">
        <v>12871</v>
      </c>
      <c r="H2387" s="26" t="s">
        <v>12588</v>
      </c>
      <c r="I2387" s="26" t="b">
        <v>0</v>
      </c>
      <c r="J2387" s="26" t="s">
        <v>8596</v>
      </c>
      <c r="K2387" s="10"/>
      <c r="L2387" s="10"/>
      <c r="M2387" s="10"/>
      <c r="N2387" s="10"/>
      <c r="O2387" s="26">
        <v>291.2</v>
      </c>
      <c r="P2387" s="10"/>
      <c r="Q2387" s="26" t="b">
        <v>1</v>
      </c>
      <c r="R2387" s="10"/>
    </row>
    <row r="2388">
      <c r="A2388" s="26" t="s">
        <v>11543</v>
      </c>
      <c r="B2388" s="26" t="s">
        <v>35</v>
      </c>
      <c r="C2388" s="150">
        <v>46169.0</v>
      </c>
      <c r="D2388" s="26" t="s">
        <v>420</v>
      </c>
      <c r="E2388" s="26" t="s">
        <v>12872</v>
      </c>
      <c r="F2388" s="10"/>
      <c r="G2388" s="26" t="s">
        <v>12873</v>
      </c>
      <c r="H2388" s="26" t="s">
        <v>12235</v>
      </c>
      <c r="I2388" s="26" t="b">
        <v>0</v>
      </c>
      <c r="J2388" s="26" t="s">
        <v>8596</v>
      </c>
      <c r="K2388" s="10"/>
      <c r="L2388" s="10"/>
      <c r="M2388" s="10"/>
      <c r="N2388" s="10"/>
      <c r="O2388" s="26">
        <v>803.34</v>
      </c>
      <c r="P2388" s="10"/>
      <c r="Q2388" s="26" t="b">
        <v>1</v>
      </c>
      <c r="R2388" s="10"/>
    </row>
    <row r="2389">
      <c r="A2389" s="26" t="s">
        <v>11548</v>
      </c>
      <c r="B2389" s="26" t="s">
        <v>35</v>
      </c>
      <c r="C2389" s="150">
        <v>46170.0</v>
      </c>
      <c r="D2389" s="26" t="s">
        <v>11765</v>
      </c>
      <c r="E2389" s="26" t="s">
        <v>12874</v>
      </c>
      <c r="F2389" s="10"/>
      <c r="G2389" s="26" t="s">
        <v>12875</v>
      </c>
      <c r="H2389" s="26" t="s">
        <v>195</v>
      </c>
      <c r="I2389" s="26" t="b">
        <v>0</v>
      </c>
      <c r="J2389" s="26" t="s">
        <v>8596</v>
      </c>
      <c r="K2389" s="10"/>
      <c r="L2389" s="26" t="s">
        <v>12876</v>
      </c>
      <c r="M2389" s="10"/>
      <c r="N2389" s="10"/>
      <c r="O2389" s="26">
        <v>381.64</v>
      </c>
      <c r="P2389" s="10"/>
      <c r="Q2389" s="26" t="b">
        <v>1</v>
      </c>
      <c r="R2389" s="10"/>
    </row>
    <row r="2390">
      <c r="A2390" s="26" t="s">
        <v>11562</v>
      </c>
      <c r="B2390" s="26" t="s">
        <v>35</v>
      </c>
      <c r="C2390" s="150">
        <v>46154.0</v>
      </c>
      <c r="D2390" s="26" t="s">
        <v>9260</v>
      </c>
      <c r="E2390" s="26" t="s">
        <v>12877</v>
      </c>
      <c r="F2390" s="10"/>
      <c r="G2390" s="26" t="s">
        <v>12878</v>
      </c>
      <c r="H2390" s="26" t="s">
        <v>12879</v>
      </c>
      <c r="I2390" s="26" t="b">
        <v>0</v>
      </c>
      <c r="J2390" s="26" t="s">
        <v>8596</v>
      </c>
      <c r="K2390" s="10"/>
      <c r="L2390" s="26" t="s">
        <v>12880</v>
      </c>
      <c r="M2390" s="10"/>
      <c r="N2390" s="10"/>
      <c r="O2390" s="26">
        <v>3136.05</v>
      </c>
      <c r="P2390" s="10"/>
      <c r="Q2390" s="26" t="b">
        <v>1</v>
      </c>
      <c r="R2390" s="10"/>
    </row>
    <row r="2391">
      <c r="A2391" s="26" t="s">
        <v>11566</v>
      </c>
      <c r="B2391" s="26" t="s">
        <v>35</v>
      </c>
      <c r="C2391" s="150">
        <v>46170.0</v>
      </c>
      <c r="D2391" s="26" t="s">
        <v>11926</v>
      </c>
      <c r="E2391" s="26" t="s">
        <v>12881</v>
      </c>
      <c r="F2391" s="10"/>
      <c r="G2391" s="26" t="s">
        <v>12882</v>
      </c>
      <c r="H2391" s="26" t="s">
        <v>140</v>
      </c>
      <c r="I2391" s="26" t="b">
        <v>0</v>
      </c>
      <c r="J2391" s="26" t="s">
        <v>8596</v>
      </c>
      <c r="K2391" s="10"/>
      <c r="L2391" s="10"/>
      <c r="M2391" s="10"/>
      <c r="N2391" s="10"/>
      <c r="O2391" s="26">
        <v>120.0</v>
      </c>
      <c r="P2391" s="10"/>
      <c r="Q2391" s="26" t="b">
        <v>1</v>
      </c>
      <c r="R2391" s="10"/>
    </row>
    <row r="2392">
      <c r="A2392" s="26" t="s">
        <v>11569</v>
      </c>
      <c r="B2392" s="26" t="s">
        <v>35</v>
      </c>
      <c r="C2392" s="150">
        <v>46171.0</v>
      </c>
      <c r="D2392" s="26" t="s">
        <v>112</v>
      </c>
      <c r="E2392" s="26" t="s">
        <v>12884</v>
      </c>
      <c r="F2392" s="10"/>
      <c r="G2392" s="26" t="s">
        <v>12885</v>
      </c>
      <c r="H2392" s="26" t="s">
        <v>157</v>
      </c>
      <c r="I2392" s="26" t="b">
        <v>0</v>
      </c>
      <c r="J2392" s="26" t="s">
        <v>8596</v>
      </c>
      <c r="K2392" s="10"/>
      <c r="L2392" s="10"/>
      <c r="M2392" s="10"/>
      <c r="N2392" s="10"/>
      <c r="O2392" s="26">
        <v>213.35</v>
      </c>
      <c r="P2392" s="10"/>
      <c r="Q2392" s="26" t="b">
        <v>1</v>
      </c>
      <c r="R2392" s="10"/>
    </row>
    <row r="2393">
      <c r="A2393" s="26" t="s">
        <v>11572</v>
      </c>
      <c r="B2393" s="26" t="s">
        <v>35</v>
      </c>
      <c r="C2393" s="150">
        <v>46171.0</v>
      </c>
      <c r="D2393" s="29" t="s">
        <v>12789</v>
      </c>
      <c r="E2393" s="26" t="s">
        <v>12886</v>
      </c>
      <c r="F2393" s="10"/>
      <c r="G2393" s="26" t="s">
        <v>12887</v>
      </c>
      <c r="H2393" s="26" t="s">
        <v>11625</v>
      </c>
      <c r="I2393" s="26" t="b">
        <v>0</v>
      </c>
      <c r="J2393" s="26" t="s">
        <v>8596</v>
      </c>
      <c r="K2393" s="10"/>
      <c r="L2393" s="10"/>
      <c r="M2393" s="10"/>
      <c r="N2393" s="10"/>
      <c r="O2393" s="26">
        <v>128.48</v>
      </c>
      <c r="P2393" s="29" t="s">
        <v>12888</v>
      </c>
      <c r="Q2393" s="26" t="b">
        <v>1</v>
      </c>
      <c r="R2393" s="10"/>
    </row>
    <row r="2394">
      <c r="A2394" s="26" t="s">
        <v>11590</v>
      </c>
      <c r="B2394" s="26" t="s">
        <v>35</v>
      </c>
      <c r="C2394" s="150">
        <v>46174.0</v>
      </c>
      <c r="D2394" s="26" t="s">
        <v>11926</v>
      </c>
      <c r="E2394" s="26" t="s">
        <v>12889</v>
      </c>
      <c r="F2394" s="10"/>
      <c r="G2394" s="26" t="s">
        <v>12890</v>
      </c>
      <c r="H2394" s="26" t="s">
        <v>140</v>
      </c>
      <c r="I2394" s="26" t="b">
        <v>0</v>
      </c>
      <c r="J2394" s="26" t="s">
        <v>8596</v>
      </c>
      <c r="K2394" s="10"/>
      <c r="L2394" s="10"/>
      <c r="M2394" s="10"/>
      <c r="N2394" s="10"/>
      <c r="O2394" s="26">
        <v>180.0</v>
      </c>
      <c r="P2394" s="10"/>
      <c r="Q2394" s="26" t="b">
        <v>1</v>
      </c>
      <c r="R2394" s="10"/>
    </row>
    <row r="2395">
      <c r="A2395" s="26" t="s">
        <v>1154</v>
      </c>
      <c r="B2395" s="26" t="s">
        <v>35</v>
      </c>
      <c r="C2395" s="150">
        <v>46175.0</v>
      </c>
      <c r="D2395" s="29" t="s">
        <v>12789</v>
      </c>
      <c r="E2395" s="26" t="s">
        <v>12892</v>
      </c>
      <c r="F2395" s="10"/>
      <c r="G2395" s="26" t="s">
        <v>12893</v>
      </c>
      <c r="H2395" s="26" t="s">
        <v>157</v>
      </c>
      <c r="I2395" s="26" t="b">
        <v>1</v>
      </c>
      <c r="J2395" s="26" t="s">
        <v>8596</v>
      </c>
      <c r="K2395" s="10"/>
      <c r="L2395" s="10"/>
      <c r="M2395" s="10"/>
      <c r="N2395" s="10"/>
      <c r="O2395" s="26">
        <v>26.46</v>
      </c>
      <c r="P2395" s="29" t="s">
        <v>12894</v>
      </c>
      <c r="Q2395" s="26" t="b">
        <v>1</v>
      </c>
      <c r="R2395" s="10"/>
    </row>
    <row r="2396">
      <c r="A2396" s="26" t="s">
        <v>11592</v>
      </c>
      <c r="B2396" s="26" t="s">
        <v>35</v>
      </c>
      <c r="C2396" s="150">
        <v>46154.0</v>
      </c>
      <c r="D2396" s="26" t="s">
        <v>12334</v>
      </c>
      <c r="E2396" s="26" t="s">
        <v>12895</v>
      </c>
      <c r="F2396" s="10"/>
      <c r="G2396" s="26" t="s">
        <v>12896</v>
      </c>
      <c r="H2396" s="26" t="s">
        <v>12897</v>
      </c>
      <c r="I2396" s="26" t="b">
        <v>0</v>
      </c>
      <c r="J2396" s="26" t="s">
        <v>8596</v>
      </c>
      <c r="K2396" s="10"/>
      <c r="L2396" s="10"/>
      <c r="M2396" s="10"/>
      <c r="N2396" s="10"/>
      <c r="O2396" s="26">
        <v>3190.81</v>
      </c>
      <c r="P2396" s="10"/>
      <c r="Q2396" s="26" t="b">
        <v>1</v>
      </c>
      <c r="R2396" s="10"/>
    </row>
    <row r="2397">
      <c r="A2397" s="26" t="s">
        <v>11599</v>
      </c>
      <c r="B2397" s="26" t="s">
        <v>35</v>
      </c>
      <c r="C2397" s="150">
        <v>46176.0</v>
      </c>
      <c r="D2397" s="26" t="s">
        <v>11765</v>
      </c>
      <c r="E2397" s="26" t="s">
        <v>12898</v>
      </c>
      <c r="F2397" s="10"/>
      <c r="G2397" s="26" t="s">
        <v>12899</v>
      </c>
      <c r="H2397" s="26" t="s">
        <v>195</v>
      </c>
      <c r="I2397" s="26" t="b">
        <v>0</v>
      </c>
      <c r="J2397" s="26" t="s">
        <v>8596</v>
      </c>
      <c r="K2397" s="10"/>
      <c r="L2397" s="26" t="s">
        <v>12900</v>
      </c>
      <c r="M2397" s="10"/>
      <c r="N2397" s="10"/>
      <c r="O2397" s="26">
        <v>374.34</v>
      </c>
      <c r="P2397" s="10"/>
      <c r="Q2397" s="26" t="b">
        <v>1</v>
      </c>
      <c r="R2397" s="10"/>
    </row>
    <row r="2398">
      <c r="A2398" s="26" t="s">
        <v>11614</v>
      </c>
      <c r="B2398" s="26" t="s">
        <v>35</v>
      </c>
      <c r="C2398" s="150">
        <v>46176.0</v>
      </c>
      <c r="D2398" s="26" t="s">
        <v>112</v>
      </c>
      <c r="E2398" s="26" t="s">
        <v>12902</v>
      </c>
      <c r="F2398" s="10"/>
      <c r="G2398" s="26" t="s">
        <v>12903</v>
      </c>
      <c r="H2398" s="26" t="s">
        <v>157</v>
      </c>
      <c r="I2398" s="26" t="b">
        <v>0</v>
      </c>
      <c r="J2398" s="26" t="s">
        <v>8596</v>
      </c>
      <c r="K2398" s="10"/>
      <c r="L2398" s="10"/>
      <c r="M2398" s="10"/>
      <c r="N2398" s="10"/>
      <c r="O2398" s="26">
        <v>304.6</v>
      </c>
      <c r="P2398" s="10"/>
      <c r="Q2398" s="26" t="b">
        <v>1</v>
      </c>
      <c r="R2398" s="10"/>
    </row>
    <row r="2399">
      <c r="A2399" s="26" t="s">
        <v>1204</v>
      </c>
      <c r="B2399" s="26" t="s">
        <v>35</v>
      </c>
      <c r="C2399" s="150">
        <v>46177.0</v>
      </c>
      <c r="D2399" s="26" t="s">
        <v>2096</v>
      </c>
      <c r="E2399" s="26" t="s">
        <v>12904</v>
      </c>
      <c r="F2399" s="10"/>
      <c r="G2399" s="26" t="s">
        <v>12905</v>
      </c>
      <c r="H2399" s="26" t="s">
        <v>12906</v>
      </c>
      <c r="I2399" s="26" t="b">
        <v>1</v>
      </c>
      <c r="J2399" s="26" t="s">
        <v>8596</v>
      </c>
      <c r="K2399" s="10"/>
      <c r="L2399" s="10"/>
      <c r="M2399" s="10"/>
      <c r="N2399" s="10"/>
      <c r="O2399" s="26">
        <v>15.0</v>
      </c>
      <c r="P2399" s="29" t="s">
        <v>12907</v>
      </c>
      <c r="Q2399" s="26" t="b">
        <v>1</v>
      </c>
      <c r="R2399" s="10"/>
    </row>
    <row r="2400">
      <c r="A2400" s="26" t="s">
        <v>1217</v>
      </c>
      <c r="B2400" s="26" t="s">
        <v>35</v>
      </c>
      <c r="C2400" s="150">
        <v>46178.0</v>
      </c>
      <c r="D2400" s="29" t="s">
        <v>12789</v>
      </c>
      <c r="E2400" s="26" t="s">
        <v>12909</v>
      </c>
      <c r="F2400" s="10"/>
      <c r="G2400" s="26" t="s">
        <v>12910</v>
      </c>
      <c r="H2400" s="26" t="s">
        <v>11625</v>
      </c>
      <c r="I2400" s="26" t="b">
        <v>1</v>
      </c>
      <c r="J2400" s="26" t="s">
        <v>8596</v>
      </c>
      <c r="K2400" s="10"/>
      <c r="L2400" s="10"/>
      <c r="M2400" s="10"/>
      <c r="N2400" s="10"/>
      <c r="O2400" s="26">
        <v>72.8</v>
      </c>
      <c r="P2400" s="29" t="s">
        <v>12911</v>
      </c>
      <c r="Q2400" s="26" t="b">
        <v>1</v>
      </c>
      <c r="R2400" s="10"/>
    </row>
    <row r="2401">
      <c r="A2401" s="26" t="s">
        <v>11747</v>
      </c>
      <c r="B2401" s="26" t="s">
        <v>35</v>
      </c>
      <c r="C2401" s="150">
        <v>46178.0</v>
      </c>
      <c r="D2401" s="26" t="s">
        <v>11926</v>
      </c>
      <c r="E2401" s="26" t="s">
        <v>12912</v>
      </c>
      <c r="F2401" s="10"/>
      <c r="G2401" s="26" t="s">
        <v>12913</v>
      </c>
      <c r="H2401" s="26" t="s">
        <v>140</v>
      </c>
      <c r="I2401" s="26" t="b">
        <v>0</v>
      </c>
      <c r="J2401" s="26" t="s">
        <v>8596</v>
      </c>
      <c r="K2401" s="10"/>
      <c r="L2401" s="10"/>
      <c r="M2401" s="10"/>
      <c r="N2401" s="10"/>
      <c r="O2401" s="26">
        <v>240.0</v>
      </c>
      <c r="P2401" s="10"/>
      <c r="Q2401" s="26" t="b">
        <v>1</v>
      </c>
      <c r="R2401" s="10"/>
    </row>
    <row r="2402">
      <c r="A2402" s="26" t="s">
        <v>11749</v>
      </c>
      <c r="B2402" s="26" t="s">
        <v>35</v>
      </c>
      <c r="C2402" s="150">
        <v>46178.0</v>
      </c>
      <c r="D2402" s="26" t="s">
        <v>112</v>
      </c>
      <c r="E2402" s="26" t="s">
        <v>12914</v>
      </c>
      <c r="F2402" s="10"/>
      <c r="G2402" s="26" t="s">
        <v>12915</v>
      </c>
      <c r="H2402" s="26" t="s">
        <v>157</v>
      </c>
      <c r="I2402" s="26" t="b">
        <v>0</v>
      </c>
      <c r="J2402" s="26" t="s">
        <v>8596</v>
      </c>
      <c r="K2402" s="10"/>
      <c r="L2402" s="10"/>
      <c r="M2402" s="10"/>
      <c r="N2402" s="10"/>
      <c r="O2402" s="26">
        <v>191.75</v>
      </c>
      <c r="P2402" s="10"/>
      <c r="Q2402" s="26" t="b">
        <v>1</v>
      </c>
      <c r="R2402" s="10"/>
    </row>
    <row r="2403">
      <c r="A2403" s="26" t="s">
        <v>11755</v>
      </c>
      <c r="B2403" s="26" t="s">
        <v>35</v>
      </c>
      <c r="C2403" s="150">
        <v>46181.0</v>
      </c>
      <c r="D2403" s="26" t="s">
        <v>11926</v>
      </c>
      <c r="E2403" s="26" t="s">
        <v>12916</v>
      </c>
      <c r="F2403" s="10"/>
      <c r="G2403" s="26" t="s">
        <v>12917</v>
      </c>
      <c r="H2403" s="26" t="s">
        <v>140</v>
      </c>
      <c r="I2403" s="26" t="b">
        <v>0</v>
      </c>
      <c r="J2403" s="26" t="s">
        <v>8596</v>
      </c>
      <c r="K2403" s="10"/>
      <c r="L2403" s="10"/>
      <c r="M2403" s="10"/>
      <c r="N2403" s="10"/>
      <c r="O2403" s="26">
        <v>240.0</v>
      </c>
      <c r="P2403" s="10"/>
      <c r="Q2403" s="26" t="b">
        <v>1</v>
      </c>
      <c r="R2403" s="10"/>
    </row>
    <row r="2404">
      <c r="A2404" s="26" t="s">
        <v>11758</v>
      </c>
      <c r="B2404" s="26" t="s">
        <v>35</v>
      </c>
      <c r="C2404" s="150">
        <v>46181.0</v>
      </c>
      <c r="D2404" s="26" t="s">
        <v>112</v>
      </c>
      <c r="E2404" s="26" t="s">
        <v>12919</v>
      </c>
      <c r="F2404" s="10"/>
      <c r="G2404" s="26" t="s">
        <v>12920</v>
      </c>
      <c r="H2404" s="26" t="s">
        <v>157</v>
      </c>
      <c r="I2404" s="26" t="b">
        <v>0</v>
      </c>
      <c r="J2404" s="26" t="s">
        <v>8596</v>
      </c>
      <c r="K2404" s="10"/>
      <c r="L2404" s="10"/>
      <c r="M2404" s="10"/>
      <c r="N2404" s="10"/>
      <c r="O2404" s="26">
        <v>179.37</v>
      </c>
      <c r="P2404" s="10"/>
      <c r="Q2404" s="26" t="b">
        <v>1</v>
      </c>
      <c r="R2404" s="10"/>
    </row>
    <row r="2405">
      <c r="A2405" s="26" t="s">
        <v>11631</v>
      </c>
      <c r="B2405" s="26" t="s">
        <v>35</v>
      </c>
      <c r="C2405" s="150">
        <v>46164.0</v>
      </c>
      <c r="D2405" s="26" t="s">
        <v>1864</v>
      </c>
      <c r="E2405" s="10"/>
      <c r="F2405" s="10"/>
      <c r="G2405" s="10"/>
      <c r="H2405" s="26" t="s">
        <v>9780</v>
      </c>
      <c r="I2405" s="10"/>
      <c r="J2405" s="26" t="s">
        <v>539</v>
      </c>
      <c r="K2405" s="10"/>
      <c r="L2405" s="10"/>
      <c r="M2405" s="10"/>
      <c r="N2405" s="10"/>
      <c r="O2405" s="26">
        <v>394.43</v>
      </c>
      <c r="P2405" s="10"/>
      <c r="Q2405" s="26" t="b">
        <v>1</v>
      </c>
      <c r="R2405" s="10"/>
    </row>
    <row r="2406">
      <c r="A2406" s="26" t="s">
        <v>11637</v>
      </c>
      <c r="B2406" s="26" t="s">
        <v>35</v>
      </c>
      <c r="C2406" s="150">
        <v>46167.0</v>
      </c>
      <c r="D2406" s="26" t="s">
        <v>890</v>
      </c>
      <c r="E2406" s="10"/>
      <c r="F2406" s="10"/>
      <c r="G2406" s="10"/>
      <c r="H2406" s="26" t="s">
        <v>12921</v>
      </c>
      <c r="I2406" s="10"/>
      <c r="J2406" s="26" t="s">
        <v>539</v>
      </c>
      <c r="K2406" s="10"/>
      <c r="L2406" s="10"/>
      <c r="M2406" s="10"/>
      <c r="N2406" s="10"/>
      <c r="O2406" s="26">
        <v>60.0</v>
      </c>
      <c r="P2406" s="10"/>
      <c r="Q2406" s="26" t="b">
        <v>1</v>
      </c>
      <c r="R2406" s="10"/>
    </row>
    <row r="2407">
      <c r="A2407" s="26" t="s">
        <v>11643</v>
      </c>
      <c r="B2407" s="26" t="s">
        <v>35</v>
      </c>
      <c r="C2407" s="150">
        <v>46167.0</v>
      </c>
      <c r="D2407" s="26" t="s">
        <v>890</v>
      </c>
      <c r="E2407" s="10"/>
      <c r="F2407" s="10"/>
      <c r="G2407" s="10"/>
      <c r="H2407" s="26" t="s">
        <v>12923</v>
      </c>
      <c r="I2407" s="10"/>
      <c r="J2407" s="26" t="s">
        <v>539</v>
      </c>
      <c r="K2407" s="10"/>
      <c r="L2407" s="10"/>
      <c r="M2407" s="10"/>
      <c r="N2407" s="10"/>
      <c r="O2407" s="26">
        <v>1764.2</v>
      </c>
      <c r="P2407" s="10"/>
      <c r="Q2407" s="26" t="b">
        <v>1</v>
      </c>
      <c r="R2407" s="10"/>
    </row>
    <row r="2408">
      <c r="A2408" s="26" t="s">
        <v>11646</v>
      </c>
      <c r="B2408" s="26" t="s">
        <v>35</v>
      </c>
      <c r="C2408" s="150">
        <v>46167.0</v>
      </c>
      <c r="D2408" s="26" t="s">
        <v>890</v>
      </c>
      <c r="E2408" s="10"/>
      <c r="F2408" s="10"/>
      <c r="G2408" s="10"/>
      <c r="H2408" s="26" t="s">
        <v>12925</v>
      </c>
      <c r="I2408" s="10"/>
      <c r="J2408" s="26" t="s">
        <v>539</v>
      </c>
      <c r="K2408" s="10"/>
      <c r="L2408" s="10"/>
      <c r="M2408" s="10"/>
      <c r="N2408" s="10"/>
      <c r="O2408" s="26">
        <v>680.09</v>
      </c>
      <c r="P2408" s="10"/>
      <c r="Q2408" s="26" t="b">
        <v>1</v>
      </c>
      <c r="R2408" s="10"/>
    </row>
    <row r="2409">
      <c r="A2409" s="26">
        <v>12155.0</v>
      </c>
      <c r="B2409" s="26" t="s">
        <v>35</v>
      </c>
      <c r="C2409" s="150">
        <v>46167.0</v>
      </c>
      <c r="D2409" s="26" t="s">
        <v>460</v>
      </c>
      <c r="E2409" s="10"/>
      <c r="F2409" s="10"/>
      <c r="G2409" s="10"/>
      <c r="H2409" s="167">
        <v>46303.0</v>
      </c>
      <c r="I2409" s="10"/>
      <c r="J2409" s="26" t="s">
        <v>539</v>
      </c>
      <c r="K2409" s="10"/>
      <c r="L2409" s="10"/>
      <c r="M2409" s="10"/>
      <c r="N2409" s="10"/>
      <c r="O2409" s="26">
        <v>249.23</v>
      </c>
      <c r="P2409" s="10"/>
      <c r="Q2409" s="26" t="b">
        <v>1</v>
      </c>
      <c r="R2409" s="10"/>
    </row>
    <row r="2410">
      <c r="A2410" s="26">
        <v>12156.0</v>
      </c>
      <c r="B2410" s="26" t="s">
        <v>35</v>
      </c>
      <c r="C2410" s="150">
        <v>46167.0</v>
      </c>
      <c r="D2410" s="26" t="s">
        <v>10315</v>
      </c>
      <c r="E2410" s="10"/>
      <c r="F2410" s="10"/>
      <c r="G2410" s="10"/>
      <c r="H2410" s="26" t="s">
        <v>12926</v>
      </c>
      <c r="I2410" s="10"/>
      <c r="J2410" s="26" t="s">
        <v>539</v>
      </c>
      <c r="K2410" s="10"/>
      <c r="L2410" s="10"/>
      <c r="M2410" s="10"/>
      <c r="N2410" s="10"/>
      <c r="O2410" s="26">
        <v>4749.84</v>
      </c>
      <c r="P2410" s="10"/>
      <c r="Q2410" s="26" t="b">
        <v>1</v>
      </c>
      <c r="R2410" s="10"/>
    </row>
    <row r="2411">
      <c r="A2411" s="26" t="s">
        <v>11652</v>
      </c>
      <c r="B2411" s="26" t="s">
        <v>35</v>
      </c>
      <c r="C2411" s="150">
        <v>46167.0</v>
      </c>
      <c r="D2411" s="26" t="s">
        <v>890</v>
      </c>
      <c r="E2411" s="10"/>
      <c r="F2411" s="10"/>
      <c r="G2411" s="10"/>
      <c r="H2411" s="26" t="s">
        <v>12929</v>
      </c>
      <c r="I2411" s="10"/>
      <c r="J2411" s="26" t="s">
        <v>539</v>
      </c>
      <c r="K2411" s="10"/>
      <c r="L2411" s="10"/>
      <c r="M2411" s="10"/>
      <c r="N2411" s="10"/>
      <c r="O2411" s="26">
        <v>56.0</v>
      </c>
      <c r="P2411" s="10"/>
      <c r="Q2411" s="26" t="b">
        <v>1</v>
      </c>
      <c r="R2411" s="10"/>
    </row>
    <row r="2412">
      <c r="A2412" s="26" t="s">
        <v>11654</v>
      </c>
      <c r="B2412" s="26" t="s">
        <v>35</v>
      </c>
      <c r="C2412" s="150">
        <v>46167.0</v>
      </c>
      <c r="D2412" s="26" t="s">
        <v>890</v>
      </c>
      <c r="E2412" s="10"/>
      <c r="F2412" s="10"/>
      <c r="G2412" s="10"/>
      <c r="H2412" s="26" t="s">
        <v>12930</v>
      </c>
      <c r="I2412" s="10"/>
      <c r="J2412" s="26" t="s">
        <v>539</v>
      </c>
      <c r="K2412" s="10"/>
      <c r="L2412" s="10"/>
      <c r="M2412" s="10"/>
      <c r="N2412" s="10"/>
      <c r="O2412" s="26">
        <v>24.15</v>
      </c>
      <c r="P2412" s="10"/>
      <c r="Q2412" s="26" t="b">
        <v>1</v>
      </c>
      <c r="R2412" s="10"/>
    </row>
    <row r="2413">
      <c r="A2413" s="26">
        <v>12164.0</v>
      </c>
      <c r="B2413" s="26" t="s">
        <v>35</v>
      </c>
      <c r="C2413" s="150">
        <v>46167.0</v>
      </c>
      <c r="D2413" s="26" t="s">
        <v>9825</v>
      </c>
      <c r="E2413" s="10"/>
      <c r="F2413" s="10"/>
      <c r="G2413" s="10"/>
      <c r="H2413" s="26" t="s">
        <v>9826</v>
      </c>
      <c r="I2413" s="10"/>
      <c r="J2413" s="26" t="s">
        <v>539</v>
      </c>
      <c r="K2413" s="10"/>
      <c r="L2413" s="10"/>
      <c r="M2413" s="10"/>
      <c r="N2413" s="10"/>
      <c r="O2413" s="26">
        <v>393.23</v>
      </c>
      <c r="P2413" s="10"/>
      <c r="Q2413" s="26" t="b">
        <v>1</v>
      </c>
      <c r="R2413" s="10"/>
    </row>
    <row r="2414">
      <c r="A2414" s="26">
        <v>12165.0</v>
      </c>
      <c r="B2414" s="26" t="s">
        <v>35</v>
      </c>
      <c r="C2414" s="150">
        <v>46167.0</v>
      </c>
      <c r="D2414" s="26" t="s">
        <v>9825</v>
      </c>
      <c r="E2414" s="10"/>
      <c r="F2414" s="10"/>
      <c r="G2414" s="10"/>
      <c r="H2414" s="26" t="s">
        <v>9835</v>
      </c>
      <c r="I2414" s="10"/>
      <c r="J2414" s="26" t="s">
        <v>539</v>
      </c>
      <c r="K2414" s="10"/>
      <c r="L2414" s="10"/>
      <c r="M2414" s="10"/>
      <c r="N2414" s="10"/>
      <c r="O2414" s="26">
        <v>87.68</v>
      </c>
      <c r="P2414" s="10"/>
      <c r="Q2414" s="26" t="b">
        <v>1</v>
      </c>
      <c r="R2414" s="10"/>
    </row>
    <row r="2415">
      <c r="A2415" s="26">
        <v>12166.0</v>
      </c>
      <c r="B2415" s="26" t="s">
        <v>35</v>
      </c>
      <c r="C2415" s="150">
        <v>46167.0</v>
      </c>
      <c r="D2415" s="26" t="s">
        <v>2294</v>
      </c>
      <c r="E2415" s="10"/>
      <c r="F2415" s="10"/>
      <c r="G2415" s="10"/>
      <c r="H2415" s="26" t="s">
        <v>12933</v>
      </c>
      <c r="I2415" s="10"/>
      <c r="J2415" s="26" t="s">
        <v>539</v>
      </c>
      <c r="K2415" s="10"/>
      <c r="L2415" s="10"/>
      <c r="M2415" s="10"/>
      <c r="N2415" s="10"/>
      <c r="O2415" s="26">
        <v>4351.0</v>
      </c>
      <c r="P2415" s="10"/>
      <c r="Q2415" s="26" t="b">
        <v>1</v>
      </c>
      <c r="R2415" s="10"/>
    </row>
    <row r="2416">
      <c r="A2416" s="26">
        <v>12167.0</v>
      </c>
      <c r="B2416" s="26" t="s">
        <v>35</v>
      </c>
      <c r="C2416" s="150">
        <v>46167.0</v>
      </c>
      <c r="D2416" s="26" t="s">
        <v>460</v>
      </c>
      <c r="E2416" s="10"/>
      <c r="F2416" s="10"/>
      <c r="G2416" s="10"/>
      <c r="H2416" s="26" t="s">
        <v>11326</v>
      </c>
      <c r="I2416" s="10"/>
      <c r="J2416" s="26" t="s">
        <v>539</v>
      </c>
      <c r="K2416" s="10"/>
      <c r="L2416" s="10"/>
      <c r="M2416" s="10"/>
      <c r="N2416" s="10"/>
      <c r="O2416" s="26">
        <v>72.0</v>
      </c>
      <c r="P2416" s="10"/>
      <c r="Q2416" s="26" t="b">
        <v>1</v>
      </c>
      <c r="R2416" s="10"/>
    </row>
    <row r="2417">
      <c r="A2417" s="26">
        <v>12173.0</v>
      </c>
      <c r="B2417" s="26" t="s">
        <v>35</v>
      </c>
      <c r="C2417" s="150">
        <v>46167.0</v>
      </c>
      <c r="D2417" s="26" t="s">
        <v>460</v>
      </c>
      <c r="E2417" s="10"/>
      <c r="F2417" s="10"/>
      <c r="G2417" s="10"/>
      <c r="H2417" s="26" t="s">
        <v>12100</v>
      </c>
      <c r="I2417" s="10"/>
      <c r="J2417" s="26" t="s">
        <v>539</v>
      </c>
      <c r="K2417" s="10"/>
      <c r="L2417" s="10"/>
      <c r="M2417" s="10"/>
      <c r="N2417" s="10"/>
      <c r="O2417" s="26">
        <v>70.0</v>
      </c>
      <c r="P2417" s="10"/>
      <c r="Q2417" s="26" t="b">
        <v>1</v>
      </c>
      <c r="R2417" s="10"/>
    </row>
    <row r="2418">
      <c r="A2418" s="26">
        <v>12174.0</v>
      </c>
      <c r="B2418" s="26" t="s">
        <v>35</v>
      </c>
      <c r="C2418" s="150">
        <v>46167.0</v>
      </c>
      <c r="D2418" s="26" t="s">
        <v>460</v>
      </c>
      <c r="E2418" s="10"/>
      <c r="F2418" s="10"/>
      <c r="G2418" s="10"/>
      <c r="H2418" s="167">
        <v>46296.0</v>
      </c>
      <c r="I2418" s="10"/>
      <c r="J2418" s="26" t="s">
        <v>539</v>
      </c>
      <c r="K2418" s="10"/>
      <c r="L2418" s="10"/>
      <c r="M2418" s="10"/>
      <c r="N2418" s="10"/>
      <c r="O2418" s="26">
        <v>855.0</v>
      </c>
      <c r="P2418" s="10"/>
      <c r="Q2418" s="26" t="b">
        <v>1</v>
      </c>
      <c r="R2418" s="10"/>
    </row>
    <row r="2419">
      <c r="A2419" s="26" t="s">
        <v>11666</v>
      </c>
      <c r="B2419" s="26" t="s">
        <v>35</v>
      </c>
      <c r="C2419" s="150">
        <v>46167.0</v>
      </c>
      <c r="D2419" s="26" t="s">
        <v>890</v>
      </c>
      <c r="E2419" s="10"/>
      <c r="F2419" s="10"/>
      <c r="G2419" s="10"/>
      <c r="H2419" s="26" t="s">
        <v>12936</v>
      </c>
      <c r="I2419" s="10"/>
      <c r="J2419" s="26" t="s">
        <v>539</v>
      </c>
      <c r="K2419" s="10"/>
      <c r="L2419" s="10"/>
      <c r="M2419" s="10"/>
      <c r="N2419" s="10"/>
      <c r="O2419" s="26">
        <v>3136.05</v>
      </c>
      <c r="P2419" s="10"/>
      <c r="Q2419" s="26" t="b">
        <v>1</v>
      </c>
      <c r="R2419" s="10"/>
    </row>
    <row r="2420">
      <c r="A2420" s="26">
        <v>12168.0</v>
      </c>
      <c r="B2420" s="26" t="s">
        <v>35</v>
      </c>
      <c r="C2420" s="150">
        <v>46171.0</v>
      </c>
      <c r="D2420" s="10"/>
      <c r="E2420" s="10"/>
      <c r="F2420" s="10"/>
      <c r="G2420" s="10"/>
      <c r="H2420" s="26" t="s">
        <v>8658</v>
      </c>
      <c r="I2420" s="10"/>
      <c r="J2420" s="26" t="s">
        <v>539</v>
      </c>
      <c r="K2420" s="26" t="s">
        <v>2052</v>
      </c>
      <c r="L2420" s="10"/>
      <c r="M2420" s="10"/>
      <c r="N2420" s="10"/>
      <c r="O2420" s="26">
        <v>564.71</v>
      </c>
      <c r="P2420" s="10"/>
      <c r="Q2420" s="26" t="b">
        <v>1</v>
      </c>
      <c r="R2420" s="10"/>
    </row>
    <row r="2421">
      <c r="A2421" s="26">
        <v>12169.0</v>
      </c>
      <c r="B2421" s="26" t="s">
        <v>35</v>
      </c>
      <c r="C2421" s="150">
        <v>46171.0</v>
      </c>
      <c r="D2421" s="10"/>
      <c r="E2421" s="10"/>
      <c r="F2421" s="10"/>
      <c r="G2421" s="10"/>
      <c r="H2421" s="26" t="s">
        <v>8658</v>
      </c>
      <c r="I2421" s="10"/>
      <c r="J2421" s="26" t="s">
        <v>539</v>
      </c>
      <c r="K2421" s="26" t="s">
        <v>227</v>
      </c>
      <c r="L2421" s="10"/>
      <c r="M2421" s="10"/>
      <c r="N2421" s="10"/>
      <c r="O2421" s="26">
        <v>1840.75</v>
      </c>
      <c r="P2421" s="10"/>
      <c r="Q2421" s="26" t="b">
        <v>1</v>
      </c>
      <c r="R2421" s="10"/>
    </row>
    <row r="2422">
      <c r="A2422" s="26">
        <v>12170.0</v>
      </c>
      <c r="B2422" s="26" t="s">
        <v>35</v>
      </c>
      <c r="C2422" s="150">
        <v>46171.0</v>
      </c>
      <c r="D2422" s="10"/>
      <c r="E2422" s="10"/>
      <c r="F2422" s="10"/>
      <c r="G2422" s="10"/>
      <c r="H2422" s="26" t="s">
        <v>8658</v>
      </c>
      <c r="I2422" s="10"/>
      <c r="J2422" s="26" t="s">
        <v>539</v>
      </c>
      <c r="K2422" s="26" t="s">
        <v>117</v>
      </c>
      <c r="L2422" s="10"/>
      <c r="M2422" s="10"/>
      <c r="N2422" s="10"/>
      <c r="O2422" s="26">
        <v>1675.24</v>
      </c>
      <c r="P2422" s="10"/>
      <c r="Q2422" s="26" t="b">
        <v>1</v>
      </c>
      <c r="R2422" s="10"/>
    </row>
    <row r="2423">
      <c r="A2423" s="26">
        <v>12171.0</v>
      </c>
      <c r="B2423" s="26" t="s">
        <v>35</v>
      </c>
      <c r="C2423" s="150">
        <v>46171.0</v>
      </c>
      <c r="D2423" s="10"/>
      <c r="E2423" s="10"/>
      <c r="F2423" s="10"/>
      <c r="G2423" s="10"/>
      <c r="H2423" s="26" t="s">
        <v>8658</v>
      </c>
      <c r="I2423" s="10"/>
      <c r="J2423" s="26" t="s">
        <v>539</v>
      </c>
      <c r="K2423" s="26" t="s">
        <v>218</v>
      </c>
      <c r="L2423" s="10"/>
      <c r="M2423" s="10"/>
      <c r="N2423" s="10"/>
      <c r="O2423" s="26">
        <v>3613.42</v>
      </c>
      <c r="P2423" s="10"/>
      <c r="Q2423" s="26" t="b">
        <v>1</v>
      </c>
      <c r="R2423" s="10"/>
    </row>
    <row r="2424">
      <c r="A2424" s="26">
        <v>12172.0</v>
      </c>
      <c r="B2424" s="26" t="s">
        <v>35</v>
      </c>
      <c r="C2424" s="150">
        <v>46171.0</v>
      </c>
      <c r="D2424" s="10"/>
      <c r="E2424" s="10"/>
      <c r="F2424" s="10"/>
      <c r="G2424" s="10"/>
      <c r="H2424" s="26" t="s">
        <v>8658</v>
      </c>
      <c r="I2424" s="10"/>
      <c r="J2424" s="26" t="s">
        <v>539</v>
      </c>
      <c r="K2424" s="26" t="s">
        <v>336</v>
      </c>
      <c r="L2424" s="10"/>
      <c r="M2424" s="10"/>
      <c r="N2424" s="10"/>
      <c r="O2424" s="26">
        <v>1532.17</v>
      </c>
      <c r="P2424" s="10"/>
      <c r="Q2424" s="26" t="b">
        <v>1</v>
      </c>
      <c r="R2424" s="10"/>
    </row>
    <row r="2425">
      <c r="A2425" s="26" t="s">
        <v>11681</v>
      </c>
      <c r="B2425" s="26" t="s">
        <v>35</v>
      </c>
      <c r="C2425" s="150">
        <v>46175.0</v>
      </c>
      <c r="D2425" s="26" t="s">
        <v>890</v>
      </c>
      <c r="E2425" s="10"/>
      <c r="F2425" s="10"/>
      <c r="G2425" s="10"/>
      <c r="H2425" s="26" t="s">
        <v>12938</v>
      </c>
      <c r="I2425" s="10"/>
      <c r="J2425" s="26" t="s">
        <v>539</v>
      </c>
      <c r="K2425" s="10"/>
      <c r="L2425" s="10"/>
      <c r="M2425" s="10"/>
      <c r="N2425" s="10"/>
      <c r="O2425" s="26">
        <v>351.0</v>
      </c>
      <c r="P2425" s="10"/>
      <c r="Q2425" s="26" t="b">
        <v>1</v>
      </c>
      <c r="R2425" s="10"/>
    </row>
    <row r="2426">
      <c r="A2426" s="26">
        <v>12225.0</v>
      </c>
      <c r="B2426" s="26" t="s">
        <v>35</v>
      </c>
      <c r="C2426" s="150">
        <v>46181.0</v>
      </c>
      <c r="D2426" s="26" t="s">
        <v>9929</v>
      </c>
      <c r="E2426" s="10"/>
      <c r="F2426" s="10"/>
      <c r="G2426" s="10"/>
      <c r="H2426" s="26" t="s">
        <v>9930</v>
      </c>
      <c r="I2426" s="10"/>
      <c r="J2426" s="26" t="s">
        <v>539</v>
      </c>
      <c r="K2426" s="10"/>
      <c r="L2426" s="10"/>
      <c r="M2426" s="10"/>
      <c r="N2426" s="10"/>
      <c r="O2426" s="26">
        <v>9200.0</v>
      </c>
      <c r="P2426" s="10"/>
      <c r="Q2426" s="26" t="b">
        <v>1</v>
      </c>
      <c r="R2426" s="10"/>
    </row>
    <row r="2427">
      <c r="A2427" s="26">
        <v>12226.0</v>
      </c>
      <c r="B2427" s="26" t="s">
        <v>35</v>
      </c>
      <c r="C2427" s="150">
        <v>46181.0</v>
      </c>
      <c r="D2427" s="26" t="s">
        <v>3516</v>
      </c>
      <c r="E2427" s="10"/>
      <c r="F2427" s="10"/>
      <c r="G2427" s="10"/>
      <c r="H2427" s="26" t="s">
        <v>9933</v>
      </c>
      <c r="I2427" s="10"/>
      <c r="J2427" s="26" t="s">
        <v>539</v>
      </c>
      <c r="K2427" s="10"/>
      <c r="L2427" s="10"/>
      <c r="M2427" s="10"/>
      <c r="N2427" s="10"/>
      <c r="O2427" s="26">
        <v>533.95</v>
      </c>
      <c r="P2427" s="10"/>
      <c r="Q2427" s="26" t="b">
        <v>1</v>
      </c>
      <c r="R2427" s="10"/>
    </row>
    <row r="2428">
      <c r="A2428" s="26">
        <v>12227.0</v>
      </c>
      <c r="B2428" s="26" t="s">
        <v>35</v>
      </c>
      <c r="C2428" s="150">
        <v>46181.0</v>
      </c>
      <c r="D2428" s="26" t="s">
        <v>2439</v>
      </c>
      <c r="E2428" s="10"/>
      <c r="F2428" s="10"/>
      <c r="G2428" s="10"/>
      <c r="H2428" s="26" t="s">
        <v>12940</v>
      </c>
      <c r="I2428" s="10"/>
      <c r="J2428" s="26" t="s">
        <v>539</v>
      </c>
      <c r="K2428" s="10"/>
      <c r="L2428" s="10"/>
      <c r="M2428" s="10"/>
      <c r="N2428" s="10"/>
      <c r="O2428" s="26">
        <v>0.0</v>
      </c>
      <c r="P2428" s="10"/>
      <c r="Q2428" s="26" t="b">
        <v>1</v>
      </c>
      <c r="R2428" s="10"/>
    </row>
    <row r="2429">
      <c r="A2429" s="26">
        <v>12230.0</v>
      </c>
      <c r="B2429" s="26" t="s">
        <v>35</v>
      </c>
      <c r="C2429" s="150">
        <v>46181.0</v>
      </c>
      <c r="D2429" s="26" t="s">
        <v>7740</v>
      </c>
      <c r="E2429" s="10"/>
      <c r="F2429" s="10"/>
      <c r="G2429" s="10"/>
      <c r="H2429" s="26" t="s">
        <v>5136</v>
      </c>
      <c r="I2429" s="10"/>
      <c r="J2429" s="26" t="s">
        <v>539</v>
      </c>
      <c r="K2429" s="10"/>
      <c r="L2429" s="10"/>
      <c r="M2429" s="10"/>
      <c r="N2429" s="10"/>
      <c r="O2429" s="26">
        <v>0.0</v>
      </c>
      <c r="P2429" s="10"/>
      <c r="Q2429" s="26" t="b">
        <v>1</v>
      </c>
      <c r="R2429" s="10"/>
    </row>
    <row r="2430">
      <c r="A2430" s="26">
        <v>12238.0</v>
      </c>
      <c r="B2430" s="26" t="s">
        <v>35</v>
      </c>
      <c r="C2430" s="150">
        <v>46181.0</v>
      </c>
      <c r="D2430" s="26" t="s">
        <v>10092</v>
      </c>
      <c r="E2430" s="10"/>
      <c r="F2430" s="10"/>
      <c r="G2430" s="10"/>
      <c r="H2430" s="26" t="s">
        <v>10093</v>
      </c>
      <c r="I2430" s="10"/>
      <c r="J2430" s="26" t="s">
        <v>539</v>
      </c>
      <c r="K2430" s="10"/>
      <c r="L2430" s="10"/>
      <c r="M2430" s="10"/>
      <c r="N2430" s="10"/>
      <c r="O2430" s="26">
        <v>181.37</v>
      </c>
      <c r="P2430" s="10"/>
      <c r="Q2430" s="26" t="b">
        <v>1</v>
      </c>
      <c r="R2430" s="10"/>
    </row>
    <row r="2431">
      <c r="A2431" s="26" t="s">
        <v>11701</v>
      </c>
      <c r="B2431" s="26" t="s">
        <v>35</v>
      </c>
      <c r="C2431" s="150">
        <v>46181.0</v>
      </c>
      <c r="D2431" s="26" t="s">
        <v>1160</v>
      </c>
      <c r="E2431" s="10"/>
      <c r="F2431" s="10"/>
      <c r="G2431" s="10"/>
      <c r="H2431" s="26" t="s">
        <v>2775</v>
      </c>
      <c r="I2431" s="10"/>
      <c r="J2431" s="26" t="s">
        <v>539</v>
      </c>
      <c r="K2431" s="10"/>
      <c r="L2431" s="10"/>
      <c r="M2431" s="10"/>
      <c r="N2431" s="10"/>
      <c r="O2431" s="26">
        <v>2242.0</v>
      </c>
      <c r="P2431" s="10"/>
      <c r="Q2431" s="26" t="b">
        <v>1</v>
      </c>
      <c r="R2431" s="10"/>
    </row>
    <row r="2432">
      <c r="A2432" s="26" t="s">
        <v>11705</v>
      </c>
      <c r="B2432" s="26" t="s">
        <v>35</v>
      </c>
      <c r="C2432" s="150">
        <v>46181.0</v>
      </c>
      <c r="D2432" s="26" t="s">
        <v>460</v>
      </c>
      <c r="E2432" s="10"/>
      <c r="F2432" s="10"/>
      <c r="G2432" s="10"/>
      <c r="H2432" s="26" t="s">
        <v>12943</v>
      </c>
      <c r="I2432" s="10"/>
      <c r="J2432" s="26" t="s">
        <v>539</v>
      </c>
      <c r="K2432" s="10"/>
      <c r="L2432" s="10"/>
      <c r="M2432" s="10"/>
      <c r="N2432" s="10"/>
      <c r="O2432" s="26">
        <v>80.0</v>
      </c>
      <c r="P2432" s="10"/>
      <c r="Q2432" s="26" t="b">
        <v>1</v>
      </c>
      <c r="R2432" s="10"/>
    </row>
    <row r="2433">
      <c r="A2433" s="26" t="s">
        <v>11709</v>
      </c>
      <c r="B2433" s="26" t="s">
        <v>35</v>
      </c>
      <c r="C2433" s="150">
        <v>46181.0</v>
      </c>
      <c r="D2433" s="26" t="s">
        <v>2774</v>
      </c>
      <c r="E2433" s="10"/>
      <c r="F2433" s="10"/>
      <c r="G2433" s="10"/>
      <c r="H2433" s="26" t="s">
        <v>12944</v>
      </c>
      <c r="I2433" s="10"/>
      <c r="J2433" s="26" t="s">
        <v>539</v>
      </c>
      <c r="K2433" s="10"/>
      <c r="L2433" s="10"/>
      <c r="M2433" s="10"/>
      <c r="N2433" s="10"/>
      <c r="O2433" s="26">
        <v>1243.0</v>
      </c>
      <c r="P2433" s="10"/>
      <c r="Q2433" s="26" t="b">
        <v>1</v>
      </c>
      <c r="R2433" s="10"/>
    </row>
    <row r="2434">
      <c r="A2434" s="26">
        <v>12228.0</v>
      </c>
      <c r="B2434" s="26" t="s">
        <v>35</v>
      </c>
      <c r="C2434" s="150">
        <v>46182.0</v>
      </c>
      <c r="D2434" s="26" t="s">
        <v>10315</v>
      </c>
      <c r="E2434" s="10"/>
      <c r="F2434" s="10"/>
      <c r="G2434" s="10"/>
      <c r="H2434" s="26" t="s">
        <v>12947</v>
      </c>
      <c r="I2434" s="10"/>
      <c r="J2434" s="26" t="s">
        <v>539</v>
      </c>
      <c r="K2434" s="10"/>
      <c r="L2434" s="10"/>
      <c r="M2434" s="10"/>
      <c r="N2434" s="10"/>
      <c r="O2434" s="26">
        <v>4521.0</v>
      </c>
      <c r="P2434" s="10"/>
      <c r="Q2434" s="26" t="b">
        <v>1</v>
      </c>
      <c r="R2434" s="10"/>
    </row>
    <row r="2435">
      <c r="A2435" s="26">
        <v>12239.0</v>
      </c>
      <c r="B2435" s="26" t="s">
        <v>35</v>
      </c>
      <c r="C2435" s="150">
        <v>46182.0</v>
      </c>
      <c r="D2435" s="26" t="s">
        <v>2280</v>
      </c>
      <c r="E2435" s="10"/>
      <c r="F2435" s="10"/>
      <c r="G2435" s="10"/>
      <c r="H2435" s="26" t="s">
        <v>10095</v>
      </c>
      <c r="I2435" s="10"/>
      <c r="J2435" s="26" t="s">
        <v>539</v>
      </c>
      <c r="K2435" s="10"/>
      <c r="L2435" s="10"/>
      <c r="M2435" s="10"/>
      <c r="N2435" s="10"/>
      <c r="O2435" s="26">
        <v>1196.69</v>
      </c>
      <c r="P2435" s="10"/>
      <c r="Q2435" s="26" t="b">
        <v>1</v>
      </c>
      <c r="R2435" s="10"/>
    </row>
    <row r="2436">
      <c r="A2436" s="26">
        <v>12240.0</v>
      </c>
      <c r="B2436" s="26" t="s">
        <v>35</v>
      </c>
      <c r="C2436" s="150">
        <v>46182.0</v>
      </c>
      <c r="D2436" s="26" t="s">
        <v>2248</v>
      </c>
      <c r="E2436" s="10"/>
      <c r="F2436" s="10"/>
      <c r="G2436" s="10"/>
      <c r="H2436" s="26" t="s">
        <v>8055</v>
      </c>
      <c r="I2436" s="10"/>
      <c r="J2436" s="26" t="s">
        <v>539</v>
      </c>
      <c r="K2436" s="10"/>
      <c r="L2436" s="10"/>
      <c r="M2436" s="10"/>
      <c r="N2436" s="10"/>
      <c r="O2436" s="26">
        <v>185.0</v>
      </c>
      <c r="P2436" s="10"/>
      <c r="Q2436" s="26" t="b">
        <v>1</v>
      </c>
      <c r="R2436" s="10"/>
    </row>
    <row r="2437">
      <c r="A2437" s="26" t="s">
        <v>11723</v>
      </c>
      <c r="B2437" s="26" t="s">
        <v>35</v>
      </c>
      <c r="C2437" s="150">
        <v>46183.0</v>
      </c>
      <c r="D2437" s="10"/>
      <c r="E2437" s="10"/>
      <c r="F2437" s="10"/>
      <c r="G2437" s="10"/>
      <c r="H2437" s="26" t="s">
        <v>12948</v>
      </c>
      <c r="I2437" s="10"/>
      <c r="J2437" s="26" t="s">
        <v>539</v>
      </c>
      <c r="K2437" s="26" t="s">
        <v>336</v>
      </c>
      <c r="L2437" s="10"/>
      <c r="M2437" s="10"/>
      <c r="N2437" s="10"/>
      <c r="O2437" s="26">
        <v>500.0</v>
      </c>
      <c r="P2437" s="10"/>
      <c r="Q2437" s="26" t="b">
        <v>1</v>
      </c>
      <c r="R2437" s="10"/>
    </row>
    <row r="2438">
      <c r="A2438" s="26" t="s">
        <v>11725</v>
      </c>
      <c r="B2438" s="26" t="s">
        <v>35</v>
      </c>
      <c r="C2438" s="150">
        <v>46183.0</v>
      </c>
      <c r="D2438" s="10"/>
      <c r="E2438" s="10"/>
      <c r="F2438" s="25"/>
      <c r="G2438" s="10"/>
      <c r="H2438" s="26" t="s">
        <v>12948</v>
      </c>
      <c r="I2438" s="10"/>
      <c r="J2438" s="26" t="s">
        <v>539</v>
      </c>
      <c r="K2438" s="26" t="s">
        <v>218</v>
      </c>
      <c r="L2438" s="10"/>
      <c r="M2438" s="10"/>
      <c r="N2438" s="10"/>
      <c r="O2438" s="26">
        <v>500.0</v>
      </c>
      <c r="P2438" s="10"/>
      <c r="Q2438" s="26" t="b">
        <v>1</v>
      </c>
      <c r="R2438" s="10"/>
    </row>
    <row r="2439">
      <c r="A2439" s="26" t="s">
        <v>11727</v>
      </c>
      <c r="B2439" s="26" t="s">
        <v>35</v>
      </c>
      <c r="C2439" s="150">
        <v>46183.0</v>
      </c>
      <c r="D2439" s="10"/>
      <c r="E2439" s="10"/>
      <c r="F2439" s="10"/>
      <c r="G2439" s="10"/>
      <c r="H2439" s="26" t="s">
        <v>12948</v>
      </c>
      <c r="I2439" s="10"/>
      <c r="J2439" s="26" t="s">
        <v>539</v>
      </c>
      <c r="K2439" s="26" t="s">
        <v>2052</v>
      </c>
      <c r="L2439" s="10"/>
      <c r="M2439" s="10"/>
      <c r="N2439" s="10"/>
      <c r="O2439" s="26">
        <v>500.0</v>
      </c>
      <c r="P2439" s="10"/>
      <c r="Q2439" s="26" t="b">
        <v>1</v>
      </c>
      <c r="R2439" s="10"/>
    </row>
    <row r="2440">
      <c r="A2440" s="26" t="s">
        <v>11729</v>
      </c>
      <c r="B2440" s="26" t="s">
        <v>35</v>
      </c>
      <c r="C2440" s="150">
        <v>46183.0</v>
      </c>
      <c r="D2440" s="10"/>
      <c r="E2440" s="10"/>
      <c r="F2440" s="10"/>
      <c r="G2440" s="10"/>
      <c r="H2440" s="26" t="s">
        <v>12948</v>
      </c>
      <c r="I2440" s="10"/>
      <c r="J2440" s="26" t="s">
        <v>539</v>
      </c>
      <c r="K2440" s="26" t="s">
        <v>117</v>
      </c>
      <c r="L2440" s="10"/>
      <c r="M2440" s="10"/>
      <c r="N2440" s="10"/>
      <c r="O2440" s="26">
        <v>500.0</v>
      </c>
      <c r="P2440" s="10"/>
      <c r="Q2440" s="26" t="b">
        <v>1</v>
      </c>
      <c r="R2440" s="10"/>
    </row>
    <row r="2441">
      <c r="A2441" s="26" t="s">
        <v>11732</v>
      </c>
      <c r="B2441" s="26" t="s">
        <v>35</v>
      </c>
      <c r="C2441" s="150">
        <v>46183.0</v>
      </c>
      <c r="D2441" s="10"/>
      <c r="E2441" s="10"/>
      <c r="F2441" s="10"/>
      <c r="G2441" s="10"/>
      <c r="H2441" s="26" t="s">
        <v>12948</v>
      </c>
      <c r="I2441" s="10"/>
      <c r="J2441" s="26" t="s">
        <v>539</v>
      </c>
      <c r="K2441" s="26" t="s">
        <v>227</v>
      </c>
      <c r="L2441" s="10"/>
      <c r="M2441" s="10"/>
      <c r="N2441" s="10"/>
      <c r="O2441" s="26">
        <v>500.0</v>
      </c>
      <c r="P2441" s="10"/>
      <c r="Q2441" s="26" t="b">
        <v>1</v>
      </c>
      <c r="R2441" s="10"/>
    </row>
    <row r="2442">
      <c r="A2442" s="26" t="s">
        <v>1332</v>
      </c>
      <c r="B2442" s="26" t="s">
        <v>35</v>
      </c>
      <c r="C2442" s="150">
        <v>46184.0</v>
      </c>
      <c r="D2442" s="26" t="s">
        <v>11784</v>
      </c>
      <c r="E2442" s="26" t="s">
        <v>12953</v>
      </c>
      <c r="F2442" s="10"/>
      <c r="G2442" s="26" t="s">
        <v>12954</v>
      </c>
      <c r="H2442" s="26" t="s">
        <v>147</v>
      </c>
      <c r="I2442" s="26" t="b">
        <v>1</v>
      </c>
      <c r="J2442" s="26" t="s">
        <v>8596</v>
      </c>
      <c r="K2442" s="10"/>
      <c r="L2442" s="10"/>
      <c r="M2442" s="10"/>
      <c r="N2442" s="10"/>
      <c r="O2442" s="26">
        <v>373.5</v>
      </c>
      <c r="P2442" s="29" t="s">
        <v>12955</v>
      </c>
      <c r="Q2442" s="26" t="b">
        <v>1</v>
      </c>
      <c r="R2442" s="10"/>
    </row>
    <row r="2443">
      <c r="A2443" s="26" t="s">
        <v>11778</v>
      </c>
      <c r="B2443" s="26" t="s">
        <v>35</v>
      </c>
      <c r="C2443" s="150">
        <v>46184.0</v>
      </c>
      <c r="D2443" s="26" t="s">
        <v>11765</v>
      </c>
      <c r="E2443" s="26" t="s">
        <v>12956</v>
      </c>
      <c r="F2443" s="10"/>
      <c r="G2443" s="26" t="s">
        <v>12957</v>
      </c>
      <c r="H2443" s="26" t="s">
        <v>195</v>
      </c>
      <c r="I2443" s="26" t="b">
        <v>0</v>
      </c>
      <c r="J2443" s="26" t="s">
        <v>8596</v>
      </c>
      <c r="K2443" s="10"/>
      <c r="L2443" s="26" t="s">
        <v>12958</v>
      </c>
      <c r="M2443" s="10"/>
      <c r="N2443" s="10"/>
      <c r="O2443" s="26">
        <v>409.76</v>
      </c>
      <c r="P2443" s="10"/>
      <c r="Q2443" s="26" t="b">
        <v>1</v>
      </c>
      <c r="R2443" s="10"/>
    </row>
    <row r="2444">
      <c r="A2444" s="26"/>
      <c r="B2444" s="26"/>
      <c r="C2444" s="150"/>
      <c r="D2444" s="26"/>
      <c r="E2444" s="26"/>
      <c r="F2444" s="25"/>
      <c r="G2444" s="26"/>
      <c r="H2444" s="26"/>
      <c r="I2444" s="26"/>
      <c r="J2444" s="26"/>
      <c r="K2444" s="10"/>
      <c r="L2444" s="26"/>
      <c r="M2444" s="10"/>
      <c r="N2444" s="10"/>
      <c r="O2444" s="26"/>
      <c r="P2444" s="10"/>
      <c r="Q2444" s="26"/>
      <c r="R2444" s="10"/>
      <c r="S2444" s="16"/>
    </row>
    <row r="2445">
      <c r="A2445" s="26" t="s">
        <v>1355</v>
      </c>
      <c r="B2445" s="26" t="s">
        <v>35</v>
      </c>
      <c r="C2445" s="150">
        <v>46186.0</v>
      </c>
      <c r="D2445" s="26" t="s">
        <v>12255</v>
      </c>
      <c r="E2445" s="26" t="s">
        <v>12959</v>
      </c>
      <c r="F2445" s="10"/>
      <c r="G2445" s="26" t="s">
        <v>12960</v>
      </c>
      <c r="H2445" s="26" t="s">
        <v>12961</v>
      </c>
      <c r="I2445" s="26" t="b">
        <v>1</v>
      </c>
      <c r="J2445" s="26" t="s">
        <v>8596</v>
      </c>
      <c r="K2445" s="10"/>
      <c r="L2445" s="10"/>
      <c r="M2445" s="10"/>
      <c r="N2445" s="10"/>
      <c r="O2445" s="26">
        <v>5.0</v>
      </c>
      <c r="P2445" s="29" t="s">
        <v>12962</v>
      </c>
      <c r="Q2445" s="26" t="b">
        <v>1</v>
      </c>
      <c r="R2445" s="10"/>
    </row>
    <row r="2446">
      <c r="A2446" s="26" t="s">
        <v>1360</v>
      </c>
      <c r="B2446" s="26" t="s">
        <v>35</v>
      </c>
      <c r="C2446" s="150">
        <v>46186.0</v>
      </c>
      <c r="D2446" s="29" t="s">
        <v>12789</v>
      </c>
      <c r="E2446" s="26" t="s">
        <v>12963</v>
      </c>
      <c r="F2446" s="10"/>
      <c r="G2446" s="26" t="s">
        <v>12964</v>
      </c>
      <c r="H2446" s="26" t="s">
        <v>11625</v>
      </c>
      <c r="I2446" s="26" t="b">
        <v>1</v>
      </c>
      <c r="J2446" s="26" t="s">
        <v>8596</v>
      </c>
      <c r="K2446" s="10"/>
      <c r="L2446" s="10"/>
      <c r="M2446" s="10"/>
      <c r="N2446" s="10"/>
      <c r="O2446" s="26">
        <v>44.95</v>
      </c>
      <c r="P2446" s="29" t="s">
        <v>12965</v>
      </c>
      <c r="Q2446" s="26" t="b">
        <v>1</v>
      </c>
      <c r="R2446" s="10"/>
    </row>
    <row r="2447">
      <c r="A2447" s="26" t="s">
        <v>11794</v>
      </c>
      <c r="B2447" s="26" t="s">
        <v>35</v>
      </c>
      <c r="C2447" s="150">
        <v>46185.0</v>
      </c>
      <c r="D2447" s="26" t="s">
        <v>112</v>
      </c>
      <c r="E2447" s="26" t="s">
        <v>12967</v>
      </c>
      <c r="F2447" s="10"/>
      <c r="G2447" s="26" t="s">
        <v>12968</v>
      </c>
      <c r="H2447" s="26" t="s">
        <v>157</v>
      </c>
      <c r="I2447" s="26" t="b">
        <v>0</v>
      </c>
      <c r="J2447" s="26" t="s">
        <v>8596</v>
      </c>
      <c r="K2447" s="10"/>
      <c r="L2447" s="10"/>
      <c r="M2447" s="10"/>
      <c r="N2447" s="10"/>
      <c r="O2447" s="26">
        <v>150.57</v>
      </c>
      <c r="P2447" s="10"/>
      <c r="Q2447" s="26" t="b">
        <v>1</v>
      </c>
      <c r="R2447" s="10"/>
    </row>
    <row r="2448">
      <c r="A2448" s="26" t="s">
        <v>11801</v>
      </c>
      <c r="B2448" s="26" t="s">
        <v>35</v>
      </c>
      <c r="C2448" s="150">
        <v>46185.0</v>
      </c>
      <c r="D2448" s="26" t="s">
        <v>11926</v>
      </c>
      <c r="E2448" s="26" t="s">
        <v>12969</v>
      </c>
      <c r="F2448" s="10"/>
      <c r="G2448" s="26" t="s">
        <v>12970</v>
      </c>
      <c r="H2448" s="26" t="s">
        <v>140</v>
      </c>
      <c r="I2448" s="26" t="b">
        <v>0</v>
      </c>
      <c r="J2448" s="26" t="s">
        <v>8596</v>
      </c>
      <c r="K2448" s="10"/>
      <c r="L2448" s="10"/>
      <c r="M2448" s="10"/>
      <c r="N2448" s="10"/>
      <c r="O2448" s="26">
        <v>120.0</v>
      </c>
      <c r="P2448" s="10"/>
      <c r="Q2448" s="26" t="b">
        <v>1</v>
      </c>
      <c r="R2448" s="10"/>
    </row>
    <row r="2449">
      <c r="A2449" s="26" t="s">
        <v>11827</v>
      </c>
      <c r="B2449" s="26" t="s">
        <v>35</v>
      </c>
      <c r="C2449" s="150">
        <v>46181.0</v>
      </c>
      <c r="D2449" s="26" t="s">
        <v>9260</v>
      </c>
      <c r="E2449" s="26" t="s">
        <v>12971</v>
      </c>
      <c r="F2449" s="10"/>
      <c r="G2449" s="26" t="s">
        <v>12972</v>
      </c>
      <c r="H2449" s="26" t="s">
        <v>12973</v>
      </c>
      <c r="I2449" s="26" t="b">
        <v>0</v>
      </c>
      <c r="J2449" s="26" t="s">
        <v>8596</v>
      </c>
      <c r="K2449" s="10"/>
      <c r="L2449" s="10"/>
      <c r="M2449" s="10"/>
      <c r="N2449" s="10"/>
      <c r="O2449" s="26">
        <v>971.23</v>
      </c>
      <c r="P2449" s="10"/>
      <c r="Q2449" s="26" t="b">
        <v>1</v>
      </c>
      <c r="R2449" s="10"/>
    </row>
    <row r="2450">
      <c r="A2450" s="26">
        <v>12236.0</v>
      </c>
      <c r="B2450" s="26" t="s">
        <v>35</v>
      </c>
      <c r="C2450" s="150">
        <v>46188.0</v>
      </c>
      <c r="D2450" s="26" t="s">
        <v>890</v>
      </c>
      <c r="E2450" s="10"/>
      <c r="F2450" s="26" t="s">
        <v>10085</v>
      </c>
      <c r="G2450" s="10"/>
      <c r="H2450" s="26" t="s">
        <v>10085</v>
      </c>
      <c r="I2450" s="10"/>
      <c r="J2450" s="26" t="s">
        <v>539</v>
      </c>
      <c r="K2450" s="10"/>
      <c r="L2450" s="10"/>
      <c r="M2450" s="10"/>
      <c r="N2450" s="10"/>
      <c r="O2450" s="30">
        <v>1148.0</v>
      </c>
      <c r="P2450" s="10"/>
      <c r="Q2450" s="26" t="b">
        <v>1</v>
      </c>
      <c r="R2450" s="26" t="b">
        <v>0</v>
      </c>
    </row>
    <row r="2451">
      <c r="A2451" s="26">
        <v>12237.0</v>
      </c>
      <c r="B2451" s="26" t="s">
        <v>35</v>
      </c>
      <c r="C2451" s="150">
        <v>46188.0</v>
      </c>
      <c r="D2451" s="26" t="s">
        <v>890</v>
      </c>
      <c r="E2451" s="10"/>
      <c r="F2451" s="26" t="s">
        <v>10089</v>
      </c>
      <c r="G2451" s="10"/>
      <c r="H2451" s="26" t="s">
        <v>10089</v>
      </c>
      <c r="I2451" s="10"/>
      <c r="J2451" s="26" t="s">
        <v>539</v>
      </c>
      <c r="K2451" s="10"/>
      <c r="L2451" s="10"/>
      <c r="M2451" s="10"/>
      <c r="N2451" s="10"/>
      <c r="O2451" s="30">
        <v>1110.0</v>
      </c>
      <c r="P2451" s="10"/>
      <c r="Q2451" s="26" t="b">
        <v>1</v>
      </c>
      <c r="R2451" s="26" t="b">
        <v>0</v>
      </c>
    </row>
    <row r="2452">
      <c r="A2452" s="26">
        <v>12241.0</v>
      </c>
      <c r="B2452" s="26" t="s">
        <v>35</v>
      </c>
      <c r="C2452" s="150">
        <v>46188.0</v>
      </c>
      <c r="D2452" s="26" t="s">
        <v>890</v>
      </c>
      <c r="E2452" s="10"/>
      <c r="F2452" s="26" t="s">
        <v>4010</v>
      </c>
      <c r="G2452" s="10"/>
      <c r="H2452" s="26" t="s">
        <v>4010</v>
      </c>
      <c r="I2452" s="10"/>
      <c r="J2452" s="26" t="s">
        <v>539</v>
      </c>
      <c r="K2452" s="10"/>
      <c r="L2452" s="10"/>
      <c r="M2452" s="10"/>
      <c r="N2452" s="10"/>
      <c r="O2452" s="30">
        <v>396.0</v>
      </c>
      <c r="P2452" s="10"/>
      <c r="Q2452" s="26" t="b">
        <v>1</v>
      </c>
      <c r="R2452" s="26" t="b">
        <v>0</v>
      </c>
    </row>
    <row r="2453">
      <c r="A2453" s="26">
        <v>12242.0</v>
      </c>
      <c r="B2453" s="26" t="s">
        <v>35</v>
      </c>
      <c r="C2453" s="150">
        <v>46189.0</v>
      </c>
      <c r="D2453" s="26" t="s">
        <v>3516</v>
      </c>
      <c r="E2453" s="10"/>
      <c r="F2453" s="26" t="s">
        <v>10131</v>
      </c>
      <c r="G2453" s="10"/>
      <c r="H2453" s="26" t="s">
        <v>10131</v>
      </c>
      <c r="I2453" s="10"/>
      <c r="J2453" s="26" t="s">
        <v>539</v>
      </c>
      <c r="K2453" s="10"/>
      <c r="L2453" s="10"/>
      <c r="M2453" s="10"/>
      <c r="N2453" s="10"/>
      <c r="O2453" s="30">
        <v>1623.25</v>
      </c>
      <c r="P2453" s="10"/>
      <c r="Q2453" s="26" t="b">
        <v>1</v>
      </c>
      <c r="R2453" s="26" t="b">
        <v>0</v>
      </c>
    </row>
    <row r="2454">
      <c r="A2454" s="26">
        <v>12250.0</v>
      </c>
      <c r="B2454" s="26" t="s">
        <v>35</v>
      </c>
      <c r="C2454" s="150">
        <v>46189.0</v>
      </c>
      <c r="D2454" s="26" t="s">
        <v>3516</v>
      </c>
      <c r="E2454" s="10"/>
      <c r="F2454" s="26" t="s">
        <v>9759</v>
      </c>
      <c r="G2454" s="10"/>
      <c r="H2454" s="26" t="s">
        <v>9759</v>
      </c>
      <c r="I2454" s="10"/>
      <c r="J2454" s="26" t="s">
        <v>539</v>
      </c>
      <c r="K2454" s="10"/>
      <c r="L2454" s="10"/>
      <c r="M2454" s="10"/>
      <c r="N2454" s="10"/>
      <c r="O2454" s="30">
        <v>1065.74</v>
      </c>
      <c r="P2454" s="10"/>
      <c r="Q2454" s="26" t="b">
        <v>1</v>
      </c>
      <c r="R2454" s="26" t="b">
        <v>0</v>
      </c>
    </row>
    <row r="2455">
      <c r="A2455" s="26" t="s">
        <v>11838</v>
      </c>
      <c r="B2455" s="26" t="s">
        <v>35</v>
      </c>
      <c r="C2455" s="150">
        <v>46189.0</v>
      </c>
      <c r="D2455" s="26" t="s">
        <v>890</v>
      </c>
      <c r="E2455" s="10"/>
      <c r="F2455" s="26" t="s">
        <v>12978</v>
      </c>
      <c r="G2455" s="10"/>
      <c r="H2455" s="26" t="s">
        <v>12978</v>
      </c>
      <c r="I2455" s="10"/>
      <c r="J2455" s="26" t="s">
        <v>539</v>
      </c>
      <c r="K2455" s="10"/>
      <c r="L2455" s="10"/>
      <c r="M2455" s="10"/>
      <c r="N2455" s="10"/>
      <c r="O2455" s="30">
        <v>116.32</v>
      </c>
      <c r="P2455" s="10"/>
      <c r="Q2455" s="26" t="b">
        <v>1</v>
      </c>
      <c r="R2455" s="26" t="b">
        <v>0</v>
      </c>
    </row>
    <row r="2456">
      <c r="A2456" s="26" t="s">
        <v>11840</v>
      </c>
      <c r="B2456" s="26" t="s">
        <v>35</v>
      </c>
      <c r="C2456" s="150">
        <v>46189.0</v>
      </c>
      <c r="D2456" s="26" t="s">
        <v>12979</v>
      </c>
      <c r="E2456" s="10"/>
      <c r="F2456" s="26" t="s">
        <v>12980</v>
      </c>
      <c r="G2456" s="10"/>
      <c r="H2456" s="26" t="s">
        <v>12980</v>
      </c>
      <c r="I2456" s="10"/>
      <c r="J2456" s="26" t="s">
        <v>539</v>
      </c>
      <c r="K2456" s="10"/>
      <c r="L2456" s="10"/>
      <c r="M2456" s="10"/>
      <c r="N2456" s="10"/>
      <c r="O2456" s="30">
        <v>1173.88</v>
      </c>
      <c r="P2456" s="10"/>
      <c r="Q2456" s="26" t="b">
        <v>1</v>
      </c>
      <c r="R2456" s="26" t="b">
        <v>0</v>
      </c>
    </row>
    <row r="2457">
      <c r="A2457" s="26" t="s">
        <v>11843</v>
      </c>
      <c r="B2457" s="26" t="s">
        <v>35</v>
      </c>
      <c r="C2457" s="150">
        <v>46189.0</v>
      </c>
      <c r="D2457" s="26" t="s">
        <v>12979</v>
      </c>
      <c r="E2457" s="10"/>
      <c r="F2457" s="26" t="s">
        <v>12981</v>
      </c>
      <c r="G2457" s="10"/>
      <c r="H2457" s="26" t="s">
        <v>12981</v>
      </c>
      <c r="I2457" s="10"/>
      <c r="J2457" s="26" t="s">
        <v>539</v>
      </c>
      <c r="K2457" s="10"/>
      <c r="L2457" s="10"/>
      <c r="M2457" s="10"/>
      <c r="N2457" s="10"/>
      <c r="O2457" s="30">
        <v>1393.15</v>
      </c>
      <c r="P2457" s="10"/>
      <c r="Q2457" s="26" t="b">
        <v>1</v>
      </c>
      <c r="R2457" s="26" t="b">
        <v>0</v>
      </c>
    </row>
    <row r="2458">
      <c r="A2458" s="26" t="s">
        <v>11846</v>
      </c>
      <c r="B2458" s="26" t="s">
        <v>35</v>
      </c>
      <c r="C2458" s="150">
        <v>46188.0</v>
      </c>
      <c r="D2458" s="26" t="s">
        <v>11926</v>
      </c>
      <c r="E2458" s="26" t="s">
        <v>12983</v>
      </c>
      <c r="F2458" s="10"/>
      <c r="G2458" s="26" t="s">
        <v>12984</v>
      </c>
      <c r="H2458" s="26" t="s">
        <v>140</v>
      </c>
      <c r="I2458" s="26" t="b">
        <v>0</v>
      </c>
      <c r="J2458" s="26" t="s">
        <v>8596</v>
      </c>
      <c r="K2458" s="10"/>
      <c r="L2458" s="10"/>
      <c r="M2458" s="10"/>
      <c r="N2458" s="10"/>
      <c r="O2458" s="26">
        <v>120.0</v>
      </c>
      <c r="P2458" s="10"/>
      <c r="Q2458" s="26" t="b">
        <v>1</v>
      </c>
      <c r="R2458" s="10"/>
    </row>
    <row r="2459">
      <c r="A2459" s="26" t="s">
        <v>11849</v>
      </c>
      <c r="B2459" s="26" t="s">
        <v>35</v>
      </c>
      <c r="C2459" s="150">
        <v>46183.0</v>
      </c>
      <c r="D2459" s="26" t="s">
        <v>9260</v>
      </c>
      <c r="E2459" s="26" t="s">
        <v>12985</v>
      </c>
      <c r="F2459" s="10"/>
      <c r="G2459" s="26" t="s">
        <v>12986</v>
      </c>
      <c r="H2459" s="26" t="s">
        <v>12987</v>
      </c>
      <c r="I2459" s="26" t="b">
        <v>0</v>
      </c>
      <c r="J2459" s="26" t="s">
        <v>8596</v>
      </c>
      <c r="K2459" s="10"/>
      <c r="L2459" s="26" t="s">
        <v>12988</v>
      </c>
      <c r="M2459" s="10"/>
      <c r="N2459" s="10"/>
      <c r="O2459" s="26">
        <v>7849.63</v>
      </c>
      <c r="P2459" s="10"/>
      <c r="Q2459" s="26" t="b">
        <v>1</v>
      </c>
      <c r="R2459" s="10"/>
      <c r="S2459" s="16">
        <v>25.55</v>
      </c>
    </row>
    <row r="2460">
      <c r="A2460" s="26" t="s">
        <v>11854</v>
      </c>
      <c r="B2460" s="26" t="s">
        <v>35</v>
      </c>
      <c r="C2460" s="150">
        <v>46192.0</v>
      </c>
      <c r="D2460" s="26" t="s">
        <v>112</v>
      </c>
      <c r="E2460" s="26" t="s">
        <v>12989</v>
      </c>
      <c r="F2460" s="10"/>
      <c r="G2460" s="26" t="s">
        <v>12990</v>
      </c>
      <c r="H2460" s="26" t="s">
        <v>157</v>
      </c>
      <c r="I2460" s="26" t="b">
        <v>0</v>
      </c>
      <c r="J2460" s="26" t="s">
        <v>8596</v>
      </c>
      <c r="K2460" s="10"/>
      <c r="L2460" s="10"/>
      <c r="M2460" s="10"/>
      <c r="N2460" s="10"/>
      <c r="O2460" s="26">
        <v>152.18</v>
      </c>
      <c r="P2460" s="10"/>
      <c r="Q2460" s="26" t="b">
        <v>1</v>
      </c>
      <c r="R2460" s="10"/>
    </row>
    <row r="2461">
      <c r="A2461" s="26" t="s">
        <v>1459</v>
      </c>
      <c r="B2461" s="26" t="s">
        <v>35</v>
      </c>
      <c r="C2461" s="150">
        <v>46192.0</v>
      </c>
      <c r="D2461" s="29" t="s">
        <v>12789</v>
      </c>
      <c r="E2461" s="26" t="s">
        <v>12992</v>
      </c>
      <c r="F2461" s="10"/>
      <c r="G2461" s="26" t="s">
        <v>12993</v>
      </c>
      <c r="H2461" s="26" t="s">
        <v>11625</v>
      </c>
      <c r="I2461" s="26" t="b">
        <v>1</v>
      </c>
      <c r="J2461" s="26" t="s">
        <v>8596</v>
      </c>
      <c r="K2461" s="10"/>
      <c r="L2461" s="10"/>
      <c r="M2461" s="10"/>
      <c r="N2461" s="10"/>
      <c r="O2461" s="26">
        <v>7.41</v>
      </c>
      <c r="P2461" s="29" t="s">
        <v>12994</v>
      </c>
      <c r="Q2461" s="26" t="b">
        <v>1</v>
      </c>
      <c r="R2461" s="10"/>
    </row>
    <row r="2462">
      <c r="A2462" s="26" t="s">
        <v>1454</v>
      </c>
      <c r="B2462" s="26" t="s">
        <v>35</v>
      </c>
      <c r="C2462" s="150">
        <v>46192.0</v>
      </c>
      <c r="D2462" s="29" t="s">
        <v>12789</v>
      </c>
      <c r="E2462" s="26" t="s">
        <v>12992</v>
      </c>
      <c r="F2462" s="10"/>
      <c r="G2462" s="26" t="s">
        <v>12995</v>
      </c>
      <c r="H2462" s="26" t="s">
        <v>11625</v>
      </c>
      <c r="I2462" s="26" t="b">
        <v>1</v>
      </c>
      <c r="J2462" s="26" t="s">
        <v>8596</v>
      </c>
      <c r="K2462" s="10"/>
      <c r="L2462" s="10"/>
      <c r="M2462" s="10"/>
      <c r="N2462" s="10"/>
      <c r="O2462" s="26">
        <v>56.19</v>
      </c>
      <c r="P2462" s="29" t="s">
        <v>12996</v>
      </c>
      <c r="Q2462" s="26" t="b">
        <v>1</v>
      </c>
      <c r="R2462" s="10"/>
    </row>
    <row r="2463">
      <c r="A2463" s="26" t="s">
        <v>11886</v>
      </c>
      <c r="B2463" s="26" t="s">
        <v>35</v>
      </c>
      <c r="C2463" s="150">
        <v>46195.0</v>
      </c>
      <c r="D2463" s="26" t="s">
        <v>112</v>
      </c>
      <c r="E2463" s="26" t="s">
        <v>12997</v>
      </c>
      <c r="F2463" s="10"/>
      <c r="G2463" s="26" t="s">
        <v>12999</v>
      </c>
      <c r="H2463" s="26" t="s">
        <v>157</v>
      </c>
      <c r="I2463" s="26" t="b">
        <v>0</v>
      </c>
      <c r="J2463" s="26" t="s">
        <v>8596</v>
      </c>
      <c r="K2463" s="10"/>
      <c r="L2463" s="10"/>
      <c r="M2463" s="10"/>
      <c r="N2463" s="10"/>
      <c r="O2463" s="26">
        <v>143.6</v>
      </c>
      <c r="P2463" s="10"/>
      <c r="Q2463" s="26" t="b">
        <v>1</v>
      </c>
      <c r="R2463" s="10"/>
    </row>
    <row r="2464">
      <c r="A2464" s="26" t="s">
        <v>11899</v>
      </c>
      <c r="B2464" s="26" t="s">
        <v>35</v>
      </c>
      <c r="C2464" s="150">
        <v>46195.0</v>
      </c>
      <c r="D2464" s="26" t="s">
        <v>137</v>
      </c>
      <c r="E2464" s="26" t="s">
        <v>13000</v>
      </c>
      <c r="F2464" s="10"/>
      <c r="G2464" s="26" t="s">
        <v>13001</v>
      </c>
      <c r="H2464" s="26" t="s">
        <v>140</v>
      </c>
      <c r="I2464" s="26" t="b">
        <v>0</v>
      </c>
      <c r="J2464" s="26" t="s">
        <v>8596</v>
      </c>
      <c r="K2464" s="10"/>
      <c r="L2464" s="10"/>
      <c r="M2464" s="10"/>
      <c r="N2464" s="10"/>
      <c r="O2464" s="26">
        <v>210.0</v>
      </c>
      <c r="P2464" s="10"/>
      <c r="Q2464" s="26" t="b">
        <v>1</v>
      </c>
      <c r="R2464" s="10"/>
    </row>
    <row r="2465">
      <c r="A2465" s="26" t="s">
        <v>11865</v>
      </c>
      <c r="B2465" s="26" t="s">
        <v>35</v>
      </c>
      <c r="C2465" s="150">
        <v>46195.0</v>
      </c>
      <c r="D2465" s="26" t="s">
        <v>10315</v>
      </c>
      <c r="E2465" s="10"/>
      <c r="F2465" s="26" t="s">
        <v>13002</v>
      </c>
      <c r="G2465" s="10"/>
      <c r="H2465" s="26" t="s">
        <v>13002</v>
      </c>
      <c r="I2465" s="10"/>
      <c r="J2465" s="26" t="s">
        <v>539</v>
      </c>
      <c r="K2465" s="10"/>
      <c r="L2465" s="10"/>
      <c r="M2465" s="10"/>
      <c r="N2465" s="10"/>
      <c r="O2465" s="30">
        <v>4744.5</v>
      </c>
      <c r="P2465" s="10"/>
      <c r="Q2465" s="26" t="b">
        <v>1</v>
      </c>
      <c r="R2465" s="26" t="b">
        <v>0</v>
      </c>
    </row>
    <row r="2466">
      <c r="A2466" s="26">
        <v>12251.0</v>
      </c>
      <c r="B2466" s="26" t="s">
        <v>35</v>
      </c>
      <c r="C2466" s="150">
        <v>46195.0</v>
      </c>
      <c r="D2466" s="26" t="s">
        <v>3516</v>
      </c>
      <c r="E2466" s="10"/>
      <c r="F2466" s="26" t="s">
        <v>9762</v>
      </c>
      <c r="G2466" s="10"/>
      <c r="H2466" s="26" t="s">
        <v>9762</v>
      </c>
      <c r="I2466" s="10"/>
      <c r="J2466" s="26" t="s">
        <v>539</v>
      </c>
      <c r="K2466" s="10"/>
      <c r="L2466" s="10"/>
      <c r="M2466" s="10"/>
      <c r="N2466" s="10"/>
      <c r="O2466" s="30">
        <v>6727.64</v>
      </c>
      <c r="P2466" s="10"/>
      <c r="Q2466" s="26" t="b">
        <v>1</v>
      </c>
      <c r="R2466" s="26" t="b">
        <v>0</v>
      </c>
    </row>
    <row r="2467">
      <c r="A2467" s="26" t="s">
        <v>11871</v>
      </c>
      <c r="B2467" s="26" t="s">
        <v>35</v>
      </c>
      <c r="C2467" s="150">
        <v>46195.0</v>
      </c>
      <c r="D2467" s="26" t="s">
        <v>890</v>
      </c>
      <c r="E2467" s="10"/>
      <c r="F2467" s="26" t="s">
        <v>13005</v>
      </c>
      <c r="G2467" s="10"/>
      <c r="H2467" s="26" t="s">
        <v>13005</v>
      </c>
      <c r="I2467" s="10"/>
      <c r="J2467" s="26" t="s">
        <v>539</v>
      </c>
      <c r="K2467" s="10"/>
      <c r="L2467" s="10"/>
      <c r="M2467" s="10"/>
      <c r="N2467" s="10"/>
      <c r="O2467" s="30">
        <v>1683.21</v>
      </c>
      <c r="P2467" s="10"/>
      <c r="Q2467" s="26" t="b">
        <v>1</v>
      </c>
      <c r="R2467" s="26" t="b">
        <v>0</v>
      </c>
    </row>
    <row r="2468">
      <c r="A2468" s="26" t="s">
        <v>11875</v>
      </c>
      <c r="B2468" s="26" t="s">
        <v>35</v>
      </c>
      <c r="C2468" s="150">
        <v>46195.0</v>
      </c>
      <c r="D2468" s="26" t="s">
        <v>2774</v>
      </c>
      <c r="E2468" s="10"/>
      <c r="F2468" s="26" t="s">
        <v>13006</v>
      </c>
      <c r="G2468" s="10"/>
      <c r="H2468" s="26" t="s">
        <v>13006</v>
      </c>
      <c r="I2468" s="10"/>
      <c r="J2468" s="26" t="s">
        <v>539</v>
      </c>
      <c r="K2468" s="10"/>
      <c r="L2468" s="10"/>
      <c r="M2468" s="10"/>
      <c r="N2468" s="10"/>
      <c r="O2468" s="30">
        <v>1473.42</v>
      </c>
      <c r="P2468" s="10"/>
      <c r="Q2468" s="26" t="b">
        <v>1</v>
      </c>
      <c r="R2468" s="26" t="b">
        <v>0</v>
      </c>
    </row>
    <row r="2469">
      <c r="A2469" s="26">
        <v>12266.0</v>
      </c>
      <c r="B2469" s="26" t="s">
        <v>35</v>
      </c>
      <c r="C2469" s="150">
        <v>46195.0</v>
      </c>
      <c r="D2469" s="26" t="s">
        <v>460</v>
      </c>
      <c r="E2469" s="10"/>
      <c r="F2469" s="150">
        <v>46304.0</v>
      </c>
      <c r="G2469" s="10"/>
      <c r="H2469" s="150">
        <v>46304.0</v>
      </c>
      <c r="I2469" s="10"/>
      <c r="J2469" s="26" t="s">
        <v>539</v>
      </c>
      <c r="K2469" s="10"/>
      <c r="L2469" s="10"/>
      <c r="M2469" s="10"/>
      <c r="N2469" s="10"/>
      <c r="O2469" s="30">
        <v>249.23</v>
      </c>
      <c r="P2469" s="10"/>
      <c r="Q2469" s="26" t="b">
        <v>1</v>
      </c>
      <c r="R2469" s="26" t="b">
        <v>0</v>
      </c>
    </row>
    <row r="2470">
      <c r="A2470" s="26" t="s">
        <v>11881</v>
      </c>
      <c r="B2470" s="26" t="s">
        <v>35</v>
      </c>
      <c r="C2470" s="150">
        <v>46195.0</v>
      </c>
      <c r="D2470" s="26" t="s">
        <v>2774</v>
      </c>
      <c r="E2470" s="10"/>
      <c r="F2470" s="26" t="s">
        <v>13009</v>
      </c>
      <c r="G2470" s="10"/>
      <c r="H2470" s="26" t="s">
        <v>13009</v>
      </c>
      <c r="I2470" s="10"/>
      <c r="J2470" s="26" t="s">
        <v>539</v>
      </c>
      <c r="K2470" s="10"/>
      <c r="L2470" s="10"/>
      <c r="M2470" s="10"/>
      <c r="N2470" s="10"/>
      <c r="O2470" s="30">
        <v>24.14</v>
      </c>
      <c r="P2470" s="10"/>
      <c r="Q2470" s="26" t="b">
        <v>1</v>
      </c>
      <c r="R2470" s="26" t="b">
        <v>0</v>
      </c>
    </row>
    <row r="2471">
      <c r="A2471" s="26" t="s">
        <v>1539</v>
      </c>
      <c r="B2471" s="26" t="s">
        <v>35</v>
      </c>
      <c r="C2471" s="150">
        <v>46197.0</v>
      </c>
      <c r="D2471" s="26" t="s">
        <v>12255</v>
      </c>
      <c r="E2471" s="26" t="s">
        <v>13010</v>
      </c>
      <c r="F2471" s="10"/>
      <c r="G2471" s="26" t="s">
        <v>13011</v>
      </c>
      <c r="H2471" s="26" t="s">
        <v>13012</v>
      </c>
      <c r="I2471" s="26" t="b">
        <v>1</v>
      </c>
      <c r="J2471" s="26" t="s">
        <v>8596</v>
      </c>
      <c r="K2471" s="10"/>
      <c r="L2471" s="10"/>
      <c r="M2471" s="10"/>
      <c r="N2471" s="10"/>
      <c r="O2471" s="26">
        <v>5.0</v>
      </c>
      <c r="P2471" s="29" t="s">
        <v>13013</v>
      </c>
      <c r="Q2471" s="26" t="b">
        <v>1</v>
      </c>
      <c r="R2471" s="10"/>
    </row>
    <row r="2472">
      <c r="A2472" s="26" t="s">
        <v>11934</v>
      </c>
      <c r="B2472" s="26" t="s">
        <v>35</v>
      </c>
      <c r="C2472" s="150">
        <v>46199.0</v>
      </c>
      <c r="D2472" s="26" t="s">
        <v>112</v>
      </c>
      <c r="E2472" s="26" t="s">
        <v>13014</v>
      </c>
      <c r="F2472" s="10"/>
      <c r="G2472" s="26" t="s">
        <v>13015</v>
      </c>
      <c r="H2472" s="26" t="s">
        <v>157</v>
      </c>
      <c r="I2472" s="26" t="b">
        <v>0</v>
      </c>
      <c r="J2472" s="26" t="s">
        <v>8596</v>
      </c>
      <c r="K2472" s="10"/>
      <c r="L2472" s="10"/>
      <c r="M2472" s="10"/>
      <c r="N2472" s="10"/>
      <c r="O2472" s="26">
        <v>127.42</v>
      </c>
      <c r="P2472" s="10"/>
      <c r="Q2472" s="26" t="b">
        <v>1</v>
      </c>
      <c r="R2472" s="10"/>
    </row>
    <row r="2473">
      <c r="A2473" s="26" t="s">
        <v>11906</v>
      </c>
      <c r="B2473" s="26" t="s">
        <v>35</v>
      </c>
      <c r="C2473" s="150">
        <v>46189.0</v>
      </c>
      <c r="D2473" s="26" t="s">
        <v>9260</v>
      </c>
      <c r="E2473" s="26" t="s">
        <v>13017</v>
      </c>
      <c r="F2473" s="10"/>
      <c r="G2473" s="26" t="s">
        <v>13018</v>
      </c>
      <c r="H2473" s="26" t="s">
        <v>13019</v>
      </c>
      <c r="I2473" s="26" t="b">
        <v>0</v>
      </c>
      <c r="J2473" s="26" t="s">
        <v>8596</v>
      </c>
      <c r="K2473" s="10"/>
      <c r="L2473" s="10"/>
      <c r="M2473" s="10"/>
      <c r="N2473" s="10"/>
      <c r="O2473" s="26">
        <v>446.25</v>
      </c>
      <c r="P2473" s="10"/>
      <c r="Q2473" s="26" t="b">
        <v>1</v>
      </c>
      <c r="R2473" s="10"/>
    </row>
    <row r="2474">
      <c r="A2474" s="26" t="s">
        <v>11911</v>
      </c>
      <c r="B2474" s="26" t="s">
        <v>35</v>
      </c>
      <c r="C2474" s="150">
        <v>46198.0</v>
      </c>
      <c r="D2474" s="26" t="s">
        <v>11765</v>
      </c>
      <c r="E2474" s="26" t="s">
        <v>13020</v>
      </c>
      <c r="F2474" s="10"/>
      <c r="G2474" s="26" t="s">
        <v>13021</v>
      </c>
      <c r="H2474" s="26" t="s">
        <v>195</v>
      </c>
      <c r="I2474" s="26" t="b">
        <v>0</v>
      </c>
      <c r="J2474" s="26" t="s">
        <v>8596</v>
      </c>
      <c r="K2474" s="10"/>
      <c r="L2474" s="26" t="s">
        <v>13022</v>
      </c>
      <c r="M2474" s="10"/>
      <c r="N2474" s="10"/>
      <c r="O2474" s="26">
        <v>355.37</v>
      </c>
      <c r="P2474" s="10"/>
      <c r="Q2474" s="26" t="b">
        <v>1</v>
      </c>
      <c r="R2474" s="10"/>
    </row>
    <row r="2475">
      <c r="A2475" s="26" t="s">
        <v>1577</v>
      </c>
      <c r="B2475" s="26" t="s">
        <v>35</v>
      </c>
      <c r="C2475" s="150">
        <v>46199.0</v>
      </c>
      <c r="D2475" s="26" t="s">
        <v>11779</v>
      </c>
      <c r="E2475" s="26" t="s">
        <v>13023</v>
      </c>
      <c r="F2475" s="10"/>
      <c r="G2475" s="26" t="s">
        <v>13024</v>
      </c>
      <c r="H2475" s="26" t="s">
        <v>13025</v>
      </c>
      <c r="I2475" s="26" t="b">
        <v>1</v>
      </c>
      <c r="J2475" s="26" t="s">
        <v>8596</v>
      </c>
      <c r="K2475" s="10"/>
      <c r="L2475" s="10"/>
      <c r="M2475" s="10"/>
      <c r="N2475" s="10"/>
      <c r="O2475" s="26">
        <v>28.39</v>
      </c>
      <c r="P2475" s="29" t="s">
        <v>13028</v>
      </c>
      <c r="Q2475" s="26" t="b">
        <v>1</v>
      </c>
      <c r="R2475" s="10"/>
    </row>
    <row r="2476">
      <c r="A2476" s="26" t="s">
        <v>1582</v>
      </c>
      <c r="B2476" s="26" t="s">
        <v>35</v>
      </c>
      <c r="C2476" s="150">
        <v>46199.0</v>
      </c>
      <c r="D2476" s="26" t="s">
        <v>11449</v>
      </c>
      <c r="E2476" s="26" t="s">
        <v>13029</v>
      </c>
      <c r="F2476" s="10"/>
      <c r="G2476" s="26" t="s">
        <v>13030</v>
      </c>
      <c r="H2476" s="26" t="s">
        <v>11625</v>
      </c>
      <c r="I2476" s="26" t="b">
        <v>1</v>
      </c>
      <c r="J2476" s="26" t="s">
        <v>8596</v>
      </c>
      <c r="K2476" s="10"/>
      <c r="L2476" s="10"/>
      <c r="M2476" s="10"/>
      <c r="N2476" s="10"/>
      <c r="O2476" s="26">
        <v>94.6</v>
      </c>
      <c r="P2476" s="29" t="s">
        <v>13031</v>
      </c>
      <c r="Q2476" s="26" t="b">
        <v>1</v>
      </c>
      <c r="R2476" s="10"/>
    </row>
    <row r="2477">
      <c r="A2477" s="26">
        <v>12271.0</v>
      </c>
      <c r="B2477" s="26" t="s">
        <v>35</v>
      </c>
      <c r="C2477" s="150">
        <v>46202.0</v>
      </c>
      <c r="D2477" s="26" t="s">
        <v>9825</v>
      </c>
      <c r="E2477" s="10"/>
      <c r="F2477" s="26" t="s">
        <v>9826</v>
      </c>
      <c r="G2477" s="10"/>
      <c r="H2477" s="26" t="s">
        <v>9826</v>
      </c>
      <c r="I2477" s="10"/>
      <c r="J2477" s="26" t="s">
        <v>539</v>
      </c>
      <c r="K2477" s="10"/>
      <c r="L2477" s="10"/>
      <c r="M2477" s="10"/>
      <c r="N2477" s="10"/>
      <c r="O2477" s="30">
        <v>349.58</v>
      </c>
      <c r="P2477" s="10"/>
      <c r="Q2477" s="26" t="b">
        <v>1</v>
      </c>
      <c r="R2477" s="26" t="b">
        <v>0</v>
      </c>
    </row>
    <row r="2478">
      <c r="A2478" s="26">
        <v>12272.0</v>
      </c>
      <c r="B2478" s="26" t="s">
        <v>35</v>
      </c>
      <c r="C2478" s="150">
        <v>46202.0</v>
      </c>
      <c r="D2478" s="26" t="s">
        <v>9825</v>
      </c>
      <c r="E2478" s="10"/>
      <c r="F2478" s="26" t="s">
        <v>9835</v>
      </c>
      <c r="G2478" s="10"/>
      <c r="H2478" s="26" t="s">
        <v>9835</v>
      </c>
      <c r="I2478" s="10"/>
      <c r="J2478" s="26" t="s">
        <v>539</v>
      </c>
      <c r="K2478" s="10"/>
      <c r="L2478" s="10"/>
      <c r="M2478" s="10"/>
      <c r="N2478" s="10"/>
      <c r="O2478" s="30">
        <v>87.68</v>
      </c>
      <c r="P2478" s="10"/>
      <c r="Q2478" s="26" t="b">
        <v>1</v>
      </c>
      <c r="R2478" s="26" t="b">
        <v>0</v>
      </c>
    </row>
    <row r="2479">
      <c r="A2479" s="26">
        <v>12273.0</v>
      </c>
      <c r="B2479" s="26" t="s">
        <v>35</v>
      </c>
      <c r="C2479" s="150">
        <v>46202.0</v>
      </c>
      <c r="D2479" s="26" t="s">
        <v>2294</v>
      </c>
      <c r="E2479" s="10"/>
      <c r="F2479" s="26" t="s">
        <v>12933</v>
      </c>
      <c r="G2479" s="10"/>
      <c r="H2479" s="26" t="s">
        <v>12933</v>
      </c>
      <c r="I2479" s="10"/>
      <c r="J2479" s="26" t="s">
        <v>539</v>
      </c>
      <c r="K2479" s="10"/>
      <c r="L2479" s="10"/>
      <c r="M2479" s="10"/>
      <c r="N2479" s="10"/>
      <c r="O2479" s="30">
        <v>4351.0</v>
      </c>
      <c r="P2479" s="10"/>
      <c r="Q2479" s="26" t="b">
        <v>1</v>
      </c>
      <c r="R2479" s="26" t="b">
        <v>0</v>
      </c>
    </row>
    <row r="2480">
      <c r="A2480" s="26">
        <v>12274.0</v>
      </c>
      <c r="B2480" s="26" t="s">
        <v>35</v>
      </c>
      <c r="C2480" s="150">
        <v>46202.0</v>
      </c>
      <c r="D2480" s="26" t="s">
        <v>460</v>
      </c>
      <c r="E2480" s="10"/>
      <c r="F2480" s="26" t="s">
        <v>11326</v>
      </c>
      <c r="G2480" s="10"/>
      <c r="H2480" s="26" t="s">
        <v>11326</v>
      </c>
      <c r="I2480" s="10"/>
      <c r="J2480" s="26" t="s">
        <v>539</v>
      </c>
      <c r="K2480" s="10"/>
      <c r="L2480" s="10"/>
      <c r="M2480" s="10"/>
      <c r="N2480" s="10"/>
      <c r="O2480" s="30">
        <v>72.0</v>
      </c>
      <c r="P2480" s="10"/>
      <c r="Q2480" s="26" t="b">
        <v>1</v>
      </c>
      <c r="R2480" s="26" t="b">
        <v>0</v>
      </c>
    </row>
    <row r="2481">
      <c r="A2481" s="26">
        <v>12275.0</v>
      </c>
      <c r="B2481" s="26" t="s">
        <v>35</v>
      </c>
      <c r="C2481" s="150">
        <v>46202.0</v>
      </c>
      <c r="D2481" s="10"/>
      <c r="E2481" s="10"/>
      <c r="F2481" s="26" t="s">
        <v>13033</v>
      </c>
      <c r="G2481" s="10"/>
      <c r="H2481" s="26" t="s">
        <v>13033</v>
      </c>
      <c r="I2481" s="10"/>
      <c r="J2481" s="26" t="s">
        <v>539</v>
      </c>
      <c r="K2481" s="26" t="s">
        <v>2052</v>
      </c>
      <c r="L2481" s="10"/>
      <c r="M2481" s="10"/>
      <c r="N2481" s="10"/>
      <c r="O2481" s="30">
        <v>6356.97</v>
      </c>
      <c r="P2481" s="10"/>
      <c r="Q2481" s="26" t="b">
        <v>1</v>
      </c>
      <c r="R2481" s="26" t="b">
        <v>0</v>
      </c>
    </row>
    <row r="2482">
      <c r="A2482" s="26">
        <v>12280.0</v>
      </c>
      <c r="B2482" s="26" t="s">
        <v>35</v>
      </c>
      <c r="C2482" s="150">
        <v>46202.0</v>
      </c>
      <c r="D2482" s="26" t="s">
        <v>460</v>
      </c>
      <c r="E2482" s="10"/>
      <c r="F2482" s="26" t="s">
        <v>12100</v>
      </c>
      <c r="G2482" s="10"/>
      <c r="H2482" s="26" t="s">
        <v>12100</v>
      </c>
      <c r="I2482" s="10"/>
      <c r="J2482" s="26" t="s">
        <v>539</v>
      </c>
      <c r="K2482" s="10"/>
      <c r="L2482" s="10"/>
      <c r="M2482" s="10"/>
      <c r="N2482" s="10"/>
      <c r="O2482" s="30">
        <v>70.0</v>
      </c>
      <c r="P2482" s="10"/>
      <c r="Q2482" s="26" t="b">
        <v>1</v>
      </c>
      <c r="R2482" s="26" t="b">
        <v>0</v>
      </c>
    </row>
    <row r="2483">
      <c r="A2483" s="26">
        <v>12281.0</v>
      </c>
      <c r="B2483" s="26" t="s">
        <v>35</v>
      </c>
      <c r="C2483" s="150">
        <v>46202.0</v>
      </c>
      <c r="D2483" s="26" t="s">
        <v>460</v>
      </c>
      <c r="E2483" s="10"/>
      <c r="F2483" s="150">
        <v>46297.0</v>
      </c>
      <c r="G2483" s="10"/>
      <c r="H2483" s="150">
        <v>46297.0</v>
      </c>
      <c r="I2483" s="10"/>
      <c r="J2483" s="26" t="s">
        <v>539</v>
      </c>
      <c r="K2483" s="10"/>
      <c r="L2483" s="10"/>
      <c r="M2483" s="10"/>
      <c r="N2483" s="10"/>
      <c r="O2483" s="30">
        <v>855.0</v>
      </c>
      <c r="P2483" s="10"/>
      <c r="Q2483" s="26" t="b">
        <v>1</v>
      </c>
      <c r="R2483" s="26" t="b">
        <v>0</v>
      </c>
    </row>
    <row r="2484">
      <c r="A2484" s="26" t="s">
        <v>11977</v>
      </c>
      <c r="B2484" s="26" t="s">
        <v>35</v>
      </c>
      <c r="C2484" s="150">
        <v>46202.0</v>
      </c>
      <c r="D2484" s="26" t="s">
        <v>4142</v>
      </c>
      <c r="E2484" s="26" t="s">
        <v>13035</v>
      </c>
      <c r="F2484" s="10"/>
      <c r="G2484" s="26" t="s">
        <v>13036</v>
      </c>
      <c r="H2484" s="26" t="s">
        <v>11734</v>
      </c>
      <c r="I2484" s="26" t="b">
        <v>1</v>
      </c>
      <c r="J2484" s="26" t="s">
        <v>8596</v>
      </c>
      <c r="K2484" s="10"/>
      <c r="L2484" s="10"/>
      <c r="M2484" s="10"/>
      <c r="N2484" s="10"/>
      <c r="O2484" s="26">
        <v>8.73</v>
      </c>
      <c r="P2484" s="29" t="s">
        <v>13037</v>
      </c>
      <c r="Q2484" s="26" t="b">
        <v>1</v>
      </c>
      <c r="R2484" s="10"/>
    </row>
    <row r="2485">
      <c r="A2485" s="26" t="s">
        <v>11985</v>
      </c>
      <c r="B2485" s="26" t="s">
        <v>35</v>
      </c>
      <c r="C2485" s="150">
        <v>46202.0</v>
      </c>
      <c r="D2485" s="26" t="s">
        <v>13038</v>
      </c>
      <c r="E2485" s="26" t="s">
        <v>13039</v>
      </c>
      <c r="F2485" s="10"/>
      <c r="G2485" s="26" t="s">
        <v>13041</v>
      </c>
      <c r="H2485" s="26" t="s">
        <v>1324</v>
      </c>
      <c r="I2485" s="26" t="b">
        <v>1</v>
      </c>
      <c r="J2485" s="26" t="s">
        <v>8596</v>
      </c>
      <c r="K2485" s="10"/>
      <c r="L2485" s="10"/>
      <c r="M2485" s="10"/>
      <c r="N2485" s="10"/>
      <c r="O2485" s="26">
        <v>8.0</v>
      </c>
      <c r="P2485" s="29" t="s">
        <v>13042</v>
      </c>
      <c r="Q2485" s="26" t="b">
        <v>1</v>
      </c>
      <c r="R2485" s="10"/>
    </row>
    <row r="2486">
      <c r="A2486" s="26" t="s">
        <v>11975</v>
      </c>
      <c r="B2486" s="26" t="s">
        <v>35</v>
      </c>
      <c r="C2486" s="150">
        <v>46203.0</v>
      </c>
      <c r="D2486" s="10"/>
      <c r="E2486" s="10"/>
      <c r="F2486" s="26" t="s">
        <v>13043</v>
      </c>
      <c r="G2486" s="10"/>
      <c r="H2486" s="26" t="s">
        <v>13043</v>
      </c>
      <c r="I2486" s="10"/>
      <c r="J2486" s="26" t="s">
        <v>539</v>
      </c>
      <c r="K2486" s="26" t="s">
        <v>2052</v>
      </c>
      <c r="L2486" s="10"/>
      <c r="M2486" s="10"/>
      <c r="N2486" s="10"/>
      <c r="O2486" s="30">
        <v>2657.7</v>
      </c>
      <c r="P2486" s="10"/>
      <c r="Q2486" s="26" t="b">
        <v>1</v>
      </c>
      <c r="R2486" s="26" t="b">
        <v>0</v>
      </c>
    </row>
    <row r="2487">
      <c r="A2487" s="26" t="s">
        <v>1682</v>
      </c>
      <c r="B2487" s="26" t="s">
        <v>35</v>
      </c>
      <c r="C2487" s="150">
        <v>46204.0</v>
      </c>
      <c r="D2487" s="26" t="s">
        <v>11784</v>
      </c>
      <c r="E2487" s="26" t="s">
        <v>13046</v>
      </c>
      <c r="F2487" s="10"/>
      <c r="G2487" s="26" t="s">
        <v>13047</v>
      </c>
      <c r="H2487" s="26" t="s">
        <v>147</v>
      </c>
      <c r="I2487" s="26" t="b">
        <v>1</v>
      </c>
      <c r="J2487" s="26" t="s">
        <v>8596</v>
      </c>
      <c r="K2487" s="10"/>
      <c r="L2487" s="10"/>
      <c r="M2487" s="10"/>
      <c r="N2487" s="10"/>
      <c r="O2487" s="26">
        <v>321.0</v>
      </c>
      <c r="P2487" s="29" t="s">
        <v>13048</v>
      </c>
      <c r="Q2487" s="26" t="b">
        <v>1</v>
      </c>
      <c r="R2487" s="10"/>
    </row>
    <row r="2488">
      <c r="A2488" s="26" t="s">
        <v>11996</v>
      </c>
      <c r="B2488" s="26" t="s">
        <v>35</v>
      </c>
      <c r="C2488" s="150">
        <v>46204.0</v>
      </c>
      <c r="D2488" s="26" t="s">
        <v>137</v>
      </c>
      <c r="E2488" s="26" t="s">
        <v>13049</v>
      </c>
      <c r="F2488" s="10"/>
      <c r="G2488" s="26" t="s">
        <v>13050</v>
      </c>
      <c r="H2488" s="26" t="s">
        <v>140</v>
      </c>
      <c r="I2488" s="26" t="b">
        <v>0</v>
      </c>
      <c r="J2488" s="26" t="s">
        <v>8596</v>
      </c>
      <c r="K2488" s="10"/>
      <c r="L2488" s="10"/>
      <c r="M2488" s="10"/>
      <c r="N2488" s="10"/>
      <c r="O2488" s="26">
        <v>300.0</v>
      </c>
      <c r="P2488" s="10"/>
      <c r="Q2488" s="26" t="b">
        <v>1</v>
      </c>
      <c r="R2488" s="10"/>
    </row>
    <row r="2489">
      <c r="A2489" s="26" t="s">
        <v>12008</v>
      </c>
      <c r="B2489" s="26" t="s">
        <v>35</v>
      </c>
      <c r="C2489" s="150">
        <v>46196.0</v>
      </c>
      <c r="D2489" s="26" t="s">
        <v>890</v>
      </c>
      <c r="E2489" s="26" t="s">
        <v>13053</v>
      </c>
      <c r="F2489" s="10"/>
      <c r="G2489" s="26" t="s">
        <v>13054</v>
      </c>
      <c r="H2489" s="26" t="s">
        <v>13055</v>
      </c>
      <c r="I2489" s="26" t="b">
        <v>0</v>
      </c>
      <c r="J2489" s="26" t="s">
        <v>8596</v>
      </c>
      <c r="K2489" s="10"/>
      <c r="L2489" s="10"/>
      <c r="M2489" s="10"/>
      <c r="N2489" s="10"/>
      <c r="O2489" s="26">
        <v>1880.51</v>
      </c>
      <c r="P2489" s="10"/>
      <c r="Q2489" s="26" t="b">
        <v>1</v>
      </c>
      <c r="R2489" s="10"/>
      <c r="S2489" s="16">
        <v>23.6</v>
      </c>
    </row>
    <row r="2490">
      <c r="A2490" s="26" t="s">
        <v>12014</v>
      </c>
      <c r="B2490" s="26" t="s">
        <v>35</v>
      </c>
      <c r="C2490" s="150">
        <v>46196.0</v>
      </c>
      <c r="D2490" s="26" t="s">
        <v>890</v>
      </c>
      <c r="E2490" s="26" t="s">
        <v>13058</v>
      </c>
      <c r="F2490" s="10"/>
      <c r="G2490" s="26" t="s">
        <v>13059</v>
      </c>
      <c r="H2490" s="26" t="s">
        <v>13060</v>
      </c>
      <c r="I2490" s="26" t="b">
        <v>0</v>
      </c>
      <c r="J2490" s="26" t="s">
        <v>8596</v>
      </c>
      <c r="K2490" s="10"/>
      <c r="L2490" s="10"/>
      <c r="M2490" s="10"/>
      <c r="N2490" s="10"/>
      <c r="O2490" s="26">
        <v>55.82</v>
      </c>
      <c r="P2490" s="10"/>
      <c r="Q2490" s="26" t="b">
        <v>1</v>
      </c>
      <c r="R2490" s="10"/>
    </row>
    <row r="2491">
      <c r="A2491" s="26" t="s">
        <v>1711</v>
      </c>
      <c r="B2491" s="26" t="s">
        <v>35</v>
      </c>
      <c r="C2491" s="150">
        <v>46205.0</v>
      </c>
      <c r="D2491" s="26" t="s">
        <v>11913</v>
      </c>
      <c r="E2491" s="26" t="s">
        <v>13061</v>
      </c>
      <c r="F2491" s="10"/>
      <c r="G2491" s="26" t="s">
        <v>13062</v>
      </c>
      <c r="H2491" s="26" t="s">
        <v>13063</v>
      </c>
      <c r="I2491" s="26" t="b">
        <v>1</v>
      </c>
      <c r="J2491" s="26" t="s">
        <v>8596</v>
      </c>
      <c r="K2491" s="10"/>
      <c r="L2491" s="10"/>
      <c r="M2491" s="10"/>
      <c r="N2491" s="10"/>
      <c r="O2491" s="26">
        <v>12.0</v>
      </c>
      <c r="P2491" s="29" t="s">
        <v>13064</v>
      </c>
      <c r="Q2491" s="26" t="b">
        <v>1</v>
      </c>
      <c r="R2491" s="10"/>
    </row>
    <row r="2492">
      <c r="A2492" s="26" t="s">
        <v>12026</v>
      </c>
      <c r="B2492" s="26" t="s">
        <v>35</v>
      </c>
      <c r="C2492" s="150">
        <v>46205.0</v>
      </c>
      <c r="D2492" s="26" t="s">
        <v>11765</v>
      </c>
      <c r="E2492" s="26" t="s">
        <v>13065</v>
      </c>
      <c r="F2492" s="10"/>
      <c r="G2492" s="26" t="s">
        <v>13066</v>
      </c>
      <c r="H2492" s="26" t="s">
        <v>195</v>
      </c>
      <c r="I2492" s="26" t="b">
        <v>0</v>
      </c>
      <c r="J2492" s="26" t="s">
        <v>8596</v>
      </c>
      <c r="K2492" s="10"/>
      <c r="L2492" s="26" t="s">
        <v>13067</v>
      </c>
      <c r="M2492" s="10"/>
      <c r="N2492" s="10"/>
      <c r="O2492" s="26">
        <v>360.16</v>
      </c>
      <c r="P2492" s="10"/>
      <c r="Q2492" s="26" t="b">
        <v>1</v>
      </c>
      <c r="R2492" s="10"/>
    </row>
    <row r="2493">
      <c r="A2493" s="26">
        <v>12276.0</v>
      </c>
      <c r="B2493" s="26" t="s">
        <v>35</v>
      </c>
      <c r="C2493" s="150">
        <v>46205.0</v>
      </c>
      <c r="D2493" s="10"/>
      <c r="E2493" s="10"/>
      <c r="F2493" s="26" t="s">
        <v>8658</v>
      </c>
      <c r="G2493" s="10"/>
      <c r="H2493" s="26" t="s">
        <v>8658</v>
      </c>
      <c r="I2493" s="10"/>
      <c r="J2493" s="26" t="s">
        <v>539</v>
      </c>
      <c r="K2493" s="26" t="s">
        <v>227</v>
      </c>
      <c r="L2493" s="10"/>
      <c r="M2493" s="10"/>
      <c r="N2493" s="10"/>
      <c r="O2493" s="30">
        <v>288.01</v>
      </c>
      <c r="P2493" s="10"/>
      <c r="Q2493" s="26" t="b">
        <v>1</v>
      </c>
      <c r="R2493" s="26" t="b">
        <v>0</v>
      </c>
    </row>
    <row r="2494">
      <c r="A2494" s="26">
        <v>12277.0</v>
      </c>
      <c r="B2494" s="26" t="s">
        <v>35</v>
      </c>
      <c r="C2494" s="150">
        <v>46205.0</v>
      </c>
      <c r="D2494" s="10"/>
      <c r="E2494" s="10"/>
      <c r="F2494" s="26" t="s">
        <v>8658</v>
      </c>
      <c r="G2494" s="10"/>
      <c r="H2494" s="26" t="s">
        <v>8658</v>
      </c>
      <c r="I2494" s="10"/>
      <c r="J2494" s="26" t="s">
        <v>539</v>
      </c>
      <c r="K2494" s="26" t="s">
        <v>117</v>
      </c>
      <c r="L2494" s="10"/>
      <c r="M2494" s="10"/>
      <c r="N2494" s="10"/>
      <c r="O2494" s="30">
        <v>1156.51</v>
      </c>
      <c r="P2494" s="10"/>
      <c r="Q2494" s="26" t="b">
        <v>1</v>
      </c>
      <c r="R2494" s="26" t="b">
        <v>0</v>
      </c>
    </row>
    <row r="2495">
      <c r="A2495" s="26">
        <v>12278.0</v>
      </c>
      <c r="B2495" s="26" t="s">
        <v>35</v>
      </c>
      <c r="C2495" s="150">
        <v>46205.0</v>
      </c>
      <c r="D2495" s="10"/>
      <c r="E2495" s="10"/>
      <c r="F2495" s="26" t="s">
        <v>8658</v>
      </c>
      <c r="G2495" s="10"/>
      <c r="H2495" s="26" t="s">
        <v>8658</v>
      </c>
      <c r="I2495" s="10"/>
      <c r="J2495" s="26" t="s">
        <v>539</v>
      </c>
      <c r="K2495" s="26" t="s">
        <v>218</v>
      </c>
      <c r="L2495" s="10"/>
      <c r="M2495" s="10"/>
      <c r="N2495" s="10"/>
      <c r="O2495" s="30">
        <v>3698.78</v>
      </c>
      <c r="P2495" s="10"/>
      <c r="Q2495" s="26" t="b">
        <v>1</v>
      </c>
      <c r="R2495" s="26" t="b">
        <v>0</v>
      </c>
    </row>
    <row r="2496">
      <c r="A2496" s="26">
        <v>12279.0</v>
      </c>
      <c r="B2496" s="26" t="s">
        <v>35</v>
      </c>
      <c r="C2496" s="150">
        <v>46205.0</v>
      </c>
      <c r="D2496" s="10"/>
      <c r="E2496" s="10"/>
      <c r="F2496" s="26" t="s">
        <v>8658</v>
      </c>
      <c r="G2496" s="10"/>
      <c r="H2496" s="26" t="s">
        <v>8658</v>
      </c>
      <c r="I2496" s="10"/>
      <c r="J2496" s="26" t="s">
        <v>539</v>
      </c>
      <c r="K2496" s="26" t="s">
        <v>336</v>
      </c>
      <c r="L2496" s="10"/>
      <c r="M2496" s="10"/>
      <c r="N2496" s="10"/>
      <c r="O2496" s="30">
        <v>1583.25</v>
      </c>
      <c r="P2496" s="10"/>
      <c r="Q2496" s="26" t="b">
        <v>1</v>
      </c>
      <c r="R2496" s="26" t="b">
        <v>0</v>
      </c>
    </row>
    <row r="2497">
      <c r="A2497" s="26" t="s">
        <v>12005</v>
      </c>
      <c r="B2497" s="26" t="s">
        <v>35</v>
      </c>
      <c r="C2497" s="150">
        <v>46203.0</v>
      </c>
      <c r="D2497" s="26" t="s">
        <v>9260</v>
      </c>
      <c r="E2497" s="10"/>
      <c r="F2497" s="26" t="s">
        <v>13068</v>
      </c>
      <c r="G2497" s="10"/>
      <c r="H2497" s="26" t="s">
        <v>13068</v>
      </c>
      <c r="I2497" s="10"/>
      <c r="J2497" s="26" t="s">
        <v>539</v>
      </c>
      <c r="K2497" s="10"/>
      <c r="L2497" s="10"/>
      <c r="M2497" s="10"/>
      <c r="N2497" s="10"/>
      <c r="O2497" s="30">
        <v>105.0</v>
      </c>
      <c r="P2497" s="10"/>
      <c r="Q2497" s="26" t="b">
        <v>1</v>
      </c>
      <c r="R2497" s="26" t="b">
        <v>0</v>
      </c>
    </row>
    <row r="2498">
      <c r="A2498" s="26" t="s">
        <v>12050</v>
      </c>
      <c r="B2498" s="26" t="s">
        <v>35</v>
      </c>
      <c r="C2498" s="150">
        <v>46204.0</v>
      </c>
      <c r="D2498" s="26" t="s">
        <v>890</v>
      </c>
      <c r="E2498" s="26" t="s">
        <v>13069</v>
      </c>
      <c r="F2498" s="10"/>
      <c r="G2498" s="26" t="s">
        <v>13070</v>
      </c>
      <c r="H2498" s="26" t="s">
        <v>13071</v>
      </c>
      <c r="I2498" s="26" t="b">
        <v>0</v>
      </c>
      <c r="J2498" s="26" t="s">
        <v>8596</v>
      </c>
      <c r="K2498" s="10"/>
      <c r="L2498" s="26" t="s">
        <v>13072</v>
      </c>
      <c r="M2498" s="10"/>
      <c r="N2498" s="10"/>
      <c r="O2498" s="26">
        <v>7361.43</v>
      </c>
      <c r="P2498" s="10"/>
      <c r="Q2498" s="26" t="b">
        <v>1</v>
      </c>
      <c r="R2498" s="10"/>
      <c r="S2498" s="16">
        <v>434.83</v>
      </c>
    </row>
    <row r="2499">
      <c r="A2499" s="29" t="s">
        <v>1717</v>
      </c>
      <c r="B2499" s="26" t="s">
        <v>35</v>
      </c>
      <c r="C2499" s="150">
        <v>46206.0</v>
      </c>
      <c r="D2499" s="26" t="s">
        <v>11449</v>
      </c>
      <c r="E2499" s="26" t="s">
        <v>13073</v>
      </c>
      <c r="F2499" s="10"/>
      <c r="G2499" s="26" t="s">
        <v>13074</v>
      </c>
      <c r="H2499" s="26" t="s">
        <v>11625</v>
      </c>
      <c r="I2499" s="26" t="b">
        <v>1</v>
      </c>
      <c r="J2499" s="26" t="s">
        <v>8596</v>
      </c>
      <c r="K2499" s="10"/>
      <c r="L2499" s="10"/>
      <c r="M2499" s="10"/>
      <c r="N2499" s="10"/>
      <c r="O2499" s="26">
        <v>108.03</v>
      </c>
      <c r="P2499" s="29" t="s">
        <v>13076</v>
      </c>
      <c r="Q2499" s="26" t="b">
        <v>1</v>
      </c>
      <c r="R2499" s="10"/>
    </row>
    <row r="2500">
      <c r="A2500" s="26" t="s">
        <v>12085</v>
      </c>
      <c r="B2500" s="26" t="s">
        <v>35</v>
      </c>
      <c r="C2500" s="150">
        <v>46206.0</v>
      </c>
      <c r="D2500" s="26" t="s">
        <v>112</v>
      </c>
      <c r="E2500" s="26" t="s">
        <v>13077</v>
      </c>
      <c r="F2500" s="10"/>
      <c r="G2500" s="26" t="s">
        <v>13078</v>
      </c>
      <c r="H2500" s="26" t="s">
        <v>157</v>
      </c>
      <c r="I2500" s="26" t="b">
        <v>0</v>
      </c>
      <c r="J2500" s="26" t="s">
        <v>8596</v>
      </c>
      <c r="K2500" s="10"/>
      <c r="L2500" s="10"/>
      <c r="M2500" s="10"/>
      <c r="N2500" s="10"/>
      <c r="O2500" s="26">
        <v>235.9</v>
      </c>
      <c r="P2500" s="10"/>
      <c r="Q2500" s="26" t="b">
        <v>1</v>
      </c>
      <c r="R2500" s="10"/>
    </row>
    <row r="2501">
      <c r="A2501" s="26" t="s">
        <v>1727</v>
      </c>
      <c r="B2501" s="26" t="s">
        <v>35</v>
      </c>
      <c r="C2501" s="150">
        <v>46205.0</v>
      </c>
      <c r="D2501" s="26" t="s">
        <v>2096</v>
      </c>
      <c r="E2501" s="26" t="s">
        <v>13079</v>
      </c>
      <c r="F2501" s="10"/>
      <c r="G2501" s="26" t="s">
        <v>13080</v>
      </c>
      <c r="H2501" s="26" t="s">
        <v>925</v>
      </c>
      <c r="I2501" s="26" t="b">
        <v>1</v>
      </c>
      <c r="J2501" s="26" t="s">
        <v>8596</v>
      </c>
      <c r="K2501" s="10"/>
      <c r="L2501" s="10"/>
      <c r="M2501" s="10"/>
      <c r="N2501" s="10"/>
      <c r="O2501" s="26">
        <v>295.0</v>
      </c>
      <c r="P2501" s="29" t="s">
        <v>13081</v>
      </c>
      <c r="Q2501" s="26" t="b">
        <v>1</v>
      </c>
      <c r="R2501" s="10"/>
    </row>
    <row r="2502">
      <c r="A2502" s="26" t="s">
        <v>12091</v>
      </c>
      <c r="B2502" s="26" t="s">
        <v>35</v>
      </c>
      <c r="C2502" s="150">
        <v>46210.0</v>
      </c>
      <c r="D2502" s="26" t="s">
        <v>1160</v>
      </c>
      <c r="E2502" s="10"/>
      <c r="F2502" s="26" t="s">
        <v>23</v>
      </c>
      <c r="G2502" s="10"/>
      <c r="H2502" s="26" t="s">
        <v>23</v>
      </c>
      <c r="I2502" s="10"/>
      <c r="J2502" s="26" t="s">
        <v>539</v>
      </c>
      <c r="K2502" s="10"/>
      <c r="L2502" s="10"/>
      <c r="M2502" s="10"/>
      <c r="N2502" s="10"/>
      <c r="O2502" s="30">
        <v>940.42</v>
      </c>
      <c r="P2502" s="10"/>
      <c r="Q2502" s="26" t="b">
        <v>1</v>
      </c>
      <c r="R2502" s="26" t="b">
        <v>0</v>
      </c>
    </row>
    <row r="2503">
      <c r="A2503" s="26" t="s">
        <v>12093</v>
      </c>
      <c r="B2503" s="26" t="s">
        <v>35</v>
      </c>
      <c r="C2503" s="150">
        <v>46210.0</v>
      </c>
      <c r="D2503" s="26" t="s">
        <v>890</v>
      </c>
      <c r="E2503" s="10"/>
      <c r="F2503" s="26" t="s">
        <v>13083</v>
      </c>
      <c r="G2503" s="10"/>
      <c r="H2503" s="26" t="s">
        <v>13083</v>
      </c>
      <c r="I2503" s="10"/>
      <c r="J2503" s="26" t="s">
        <v>539</v>
      </c>
      <c r="K2503" s="10"/>
      <c r="L2503" s="10"/>
      <c r="M2503" s="10"/>
      <c r="N2503" s="10"/>
      <c r="O2503" s="30">
        <v>388.36</v>
      </c>
      <c r="P2503" s="10"/>
      <c r="Q2503" s="26" t="b">
        <v>1</v>
      </c>
      <c r="R2503" s="26" t="b">
        <v>0</v>
      </c>
    </row>
    <row r="2504">
      <c r="A2504" s="26">
        <v>12291.0</v>
      </c>
      <c r="B2504" s="26" t="s">
        <v>35</v>
      </c>
      <c r="C2504" s="150">
        <v>46210.0</v>
      </c>
      <c r="D2504" s="26" t="s">
        <v>1036</v>
      </c>
      <c r="E2504" s="10"/>
      <c r="F2504" s="26" t="s">
        <v>9926</v>
      </c>
      <c r="G2504" s="10"/>
      <c r="H2504" s="26" t="s">
        <v>9926</v>
      </c>
      <c r="I2504" s="10"/>
      <c r="J2504" s="26" t="s">
        <v>539</v>
      </c>
      <c r="K2504" s="10"/>
      <c r="L2504" s="10"/>
      <c r="M2504" s="10"/>
      <c r="N2504" s="10"/>
      <c r="O2504" s="30">
        <v>134.83</v>
      </c>
      <c r="P2504" s="10"/>
      <c r="Q2504" s="26" t="b">
        <v>1</v>
      </c>
      <c r="R2504" s="26" t="b">
        <v>0</v>
      </c>
    </row>
    <row r="2505">
      <c r="A2505" s="26">
        <v>12292.0</v>
      </c>
      <c r="B2505" s="26" t="s">
        <v>35</v>
      </c>
      <c r="C2505" s="150">
        <v>46210.0</v>
      </c>
      <c r="D2505" s="26" t="s">
        <v>9929</v>
      </c>
      <c r="E2505" s="10"/>
      <c r="F2505" s="26" t="s">
        <v>9930</v>
      </c>
      <c r="G2505" s="10"/>
      <c r="H2505" s="26" t="s">
        <v>9930</v>
      </c>
      <c r="I2505" s="10"/>
      <c r="J2505" s="26" t="s">
        <v>539</v>
      </c>
      <c r="K2505" s="10"/>
      <c r="L2505" s="10"/>
      <c r="M2505" s="10"/>
      <c r="N2505" s="10"/>
      <c r="O2505" s="30">
        <v>9200.0</v>
      </c>
      <c r="P2505" s="10"/>
      <c r="Q2505" s="26" t="b">
        <v>1</v>
      </c>
      <c r="R2505" s="26" t="b">
        <v>0</v>
      </c>
    </row>
    <row r="2506">
      <c r="A2506" s="26">
        <v>12293.0</v>
      </c>
      <c r="B2506" s="26" t="s">
        <v>35</v>
      </c>
      <c r="C2506" s="150">
        <v>46210.0</v>
      </c>
      <c r="D2506" s="26" t="s">
        <v>3516</v>
      </c>
      <c r="E2506" s="10"/>
      <c r="F2506" s="26" t="s">
        <v>9933</v>
      </c>
      <c r="G2506" s="10"/>
      <c r="H2506" s="26" t="s">
        <v>9933</v>
      </c>
      <c r="I2506" s="10"/>
      <c r="J2506" s="26" t="s">
        <v>539</v>
      </c>
      <c r="K2506" s="10"/>
      <c r="L2506" s="10"/>
      <c r="M2506" s="10"/>
      <c r="N2506" s="10"/>
      <c r="O2506" s="30">
        <v>533.95</v>
      </c>
      <c r="P2506" s="10"/>
      <c r="Q2506" s="26" t="b">
        <v>1</v>
      </c>
      <c r="R2506" s="26" t="b">
        <v>0</v>
      </c>
    </row>
    <row r="2507">
      <c r="A2507" s="26">
        <v>1.17197623E8</v>
      </c>
      <c r="B2507" s="26" t="s">
        <v>35</v>
      </c>
      <c r="C2507" s="150">
        <v>46210.0</v>
      </c>
      <c r="D2507" s="26" t="s">
        <v>890</v>
      </c>
      <c r="E2507" s="10"/>
      <c r="F2507" s="26" t="s">
        <v>13085</v>
      </c>
      <c r="G2507" s="10"/>
      <c r="H2507" s="26" t="s">
        <v>13085</v>
      </c>
      <c r="I2507" s="10"/>
      <c r="J2507" s="26" t="s">
        <v>539</v>
      </c>
      <c r="K2507" s="10"/>
      <c r="L2507" s="10"/>
      <c r="M2507" s="10"/>
      <c r="N2507" s="10"/>
      <c r="O2507" s="30">
        <v>2037.46</v>
      </c>
      <c r="P2507" s="10"/>
      <c r="Q2507" s="26" t="b">
        <v>1</v>
      </c>
      <c r="R2507" s="26" t="b">
        <v>0</v>
      </c>
    </row>
    <row r="2508">
      <c r="A2508" s="26" t="s">
        <v>12099</v>
      </c>
      <c r="B2508" s="26" t="s">
        <v>35</v>
      </c>
      <c r="C2508" s="150">
        <v>46210.0</v>
      </c>
      <c r="D2508" s="26" t="s">
        <v>890</v>
      </c>
      <c r="E2508" s="10"/>
      <c r="F2508" s="26" t="s">
        <v>13087</v>
      </c>
      <c r="G2508" s="10"/>
      <c r="H2508" s="26" t="s">
        <v>13087</v>
      </c>
      <c r="I2508" s="10"/>
      <c r="J2508" s="26" t="s">
        <v>539</v>
      </c>
      <c r="K2508" s="10"/>
      <c r="L2508" s="10"/>
      <c r="M2508" s="10"/>
      <c r="N2508" s="10"/>
      <c r="O2508" s="30">
        <v>441.84</v>
      </c>
      <c r="P2508" s="10"/>
      <c r="Q2508" s="26" t="b">
        <v>1</v>
      </c>
      <c r="R2508" s="26" t="b">
        <v>0</v>
      </c>
    </row>
    <row r="2509">
      <c r="A2509" s="26" t="s">
        <v>12102</v>
      </c>
      <c r="B2509" s="26" t="s">
        <v>35</v>
      </c>
      <c r="C2509" s="150">
        <v>46210.0</v>
      </c>
      <c r="D2509" s="26" t="s">
        <v>890</v>
      </c>
      <c r="E2509" s="10"/>
      <c r="F2509" s="26" t="s">
        <v>13088</v>
      </c>
      <c r="G2509" s="10"/>
      <c r="H2509" s="26" t="s">
        <v>13088</v>
      </c>
      <c r="I2509" s="10"/>
      <c r="J2509" s="26" t="s">
        <v>539</v>
      </c>
      <c r="K2509" s="10"/>
      <c r="L2509" s="10"/>
      <c r="M2509" s="10"/>
      <c r="N2509" s="10"/>
      <c r="O2509" s="30">
        <v>1765.23</v>
      </c>
      <c r="P2509" s="10"/>
      <c r="Q2509" s="26" t="b">
        <v>1</v>
      </c>
      <c r="R2509" s="26" t="b">
        <v>0</v>
      </c>
    </row>
    <row r="2510">
      <c r="A2510" s="26" t="s">
        <v>12104</v>
      </c>
      <c r="B2510" s="26" t="s">
        <v>35</v>
      </c>
      <c r="C2510" s="150">
        <v>46210.0</v>
      </c>
      <c r="D2510" s="26" t="s">
        <v>890</v>
      </c>
      <c r="E2510" s="10"/>
      <c r="F2510" s="26" t="s">
        <v>13089</v>
      </c>
      <c r="G2510" s="10"/>
      <c r="H2510" s="26" t="s">
        <v>13089</v>
      </c>
      <c r="I2510" s="10"/>
      <c r="J2510" s="26" t="s">
        <v>539</v>
      </c>
      <c r="K2510" s="10"/>
      <c r="L2510" s="10"/>
      <c r="M2510" s="10"/>
      <c r="N2510" s="10"/>
      <c r="O2510" s="30">
        <v>55.82</v>
      </c>
      <c r="P2510" s="10"/>
      <c r="Q2510" s="26" t="b">
        <v>1</v>
      </c>
      <c r="R2510" s="26" t="b">
        <v>0</v>
      </c>
    </row>
    <row r="2511">
      <c r="A2511" s="26">
        <v>12303.0</v>
      </c>
      <c r="B2511" s="26" t="s">
        <v>35</v>
      </c>
      <c r="C2511" s="150">
        <v>46210.0</v>
      </c>
      <c r="D2511" s="26" t="s">
        <v>7740</v>
      </c>
      <c r="E2511" s="10"/>
      <c r="F2511" s="26" t="s">
        <v>13090</v>
      </c>
      <c r="G2511" s="10"/>
      <c r="H2511" s="26" t="s">
        <v>13090</v>
      </c>
      <c r="I2511" s="10"/>
      <c r="J2511" s="26" t="s">
        <v>539</v>
      </c>
      <c r="K2511" s="10"/>
      <c r="L2511" s="10"/>
      <c r="M2511" s="10"/>
      <c r="N2511" s="10"/>
      <c r="O2511" s="30">
        <v>0.0</v>
      </c>
      <c r="P2511" s="10"/>
      <c r="Q2511" s="26" t="b">
        <v>1</v>
      </c>
      <c r="R2511" s="26" t="b">
        <v>0</v>
      </c>
    </row>
    <row r="2512">
      <c r="A2512" s="26" t="s">
        <v>12109</v>
      </c>
      <c r="B2512" s="26" t="s">
        <v>35</v>
      </c>
      <c r="C2512" s="150">
        <v>46210.0</v>
      </c>
      <c r="D2512" s="26" t="s">
        <v>890</v>
      </c>
      <c r="E2512" s="10"/>
      <c r="F2512" s="26" t="s">
        <v>13091</v>
      </c>
      <c r="G2512" s="10"/>
      <c r="H2512" s="26" t="s">
        <v>13091</v>
      </c>
      <c r="I2512" s="10"/>
      <c r="J2512" s="26" t="s">
        <v>539</v>
      </c>
      <c r="K2512" s="10"/>
      <c r="L2512" s="10"/>
      <c r="M2512" s="10"/>
      <c r="N2512" s="10"/>
      <c r="O2512" s="30">
        <v>12.11</v>
      </c>
      <c r="P2512" s="10"/>
      <c r="Q2512" s="26" t="b">
        <v>1</v>
      </c>
      <c r="R2512" s="26" t="b">
        <v>0</v>
      </c>
    </row>
    <row r="2513">
      <c r="A2513" s="26" t="s">
        <v>12124</v>
      </c>
      <c r="B2513" s="26" t="s">
        <v>35</v>
      </c>
      <c r="C2513" s="150">
        <v>46211.0</v>
      </c>
      <c r="D2513" s="26" t="s">
        <v>11163</v>
      </c>
      <c r="E2513" s="26" t="s">
        <v>13093</v>
      </c>
      <c r="F2513" s="10"/>
      <c r="G2513" s="26" t="s">
        <v>13094</v>
      </c>
      <c r="H2513" s="26" t="s">
        <v>11734</v>
      </c>
      <c r="I2513" s="26" t="b">
        <v>1</v>
      </c>
      <c r="J2513" s="26" t="s">
        <v>8596</v>
      </c>
      <c r="K2513" s="10"/>
      <c r="L2513" s="10"/>
      <c r="M2513" s="10"/>
      <c r="N2513" s="10"/>
      <c r="O2513" s="26">
        <v>6.57</v>
      </c>
      <c r="P2513" s="29" t="s">
        <v>13095</v>
      </c>
      <c r="Q2513" s="26" t="b">
        <v>1</v>
      </c>
      <c r="R2513" s="10"/>
    </row>
    <row r="2514">
      <c r="A2514" s="26" t="s">
        <v>12111</v>
      </c>
      <c r="B2514" s="26" t="s">
        <v>35</v>
      </c>
      <c r="C2514" s="150">
        <v>46210.0</v>
      </c>
      <c r="D2514" s="26" t="s">
        <v>13096</v>
      </c>
      <c r="E2514" s="26" t="s">
        <v>13097</v>
      </c>
      <c r="F2514" s="10"/>
      <c r="G2514" s="26" t="s">
        <v>13098</v>
      </c>
      <c r="H2514" s="26" t="s">
        <v>13099</v>
      </c>
      <c r="I2514" s="26" t="b">
        <v>1</v>
      </c>
      <c r="J2514" s="26" t="s">
        <v>8596</v>
      </c>
      <c r="K2514" s="10"/>
      <c r="L2514" s="10"/>
      <c r="M2514" s="10"/>
      <c r="N2514" s="10"/>
      <c r="O2514" s="26">
        <v>64.0</v>
      </c>
      <c r="P2514" s="29" t="s">
        <v>13100</v>
      </c>
      <c r="Q2514" s="26" t="b">
        <v>1</v>
      </c>
      <c r="R2514" s="10"/>
    </row>
    <row r="2515">
      <c r="A2515" s="26" t="s">
        <v>12115</v>
      </c>
      <c r="B2515" s="26" t="s">
        <v>35</v>
      </c>
      <c r="C2515" s="150">
        <v>46210.0</v>
      </c>
      <c r="D2515" s="29" t="s">
        <v>12789</v>
      </c>
      <c r="E2515" s="26" t="s">
        <v>13101</v>
      </c>
      <c r="F2515" s="10"/>
      <c r="G2515" s="26" t="s">
        <v>13102</v>
      </c>
      <c r="H2515" s="26" t="s">
        <v>482</v>
      </c>
      <c r="I2515" s="26" t="b">
        <v>1</v>
      </c>
      <c r="J2515" s="26" t="s">
        <v>8596</v>
      </c>
      <c r="K2515" s="10"/>
      <c r="L2515" s="10"/>
      <c r="M2515" s="10"/>
      <c r="N2515" s="10"/>
      <c r="O2515" s="26">
        <v>6.93</v>
      </c>
      <c r="P2515" s="29" t="s">
        <v>13103</v>
      </c>
      <c r="Q2515" s="26" t="b">
        <v>1</v>
      </c>
      <c r="R2515" s="10"/>
    </row>
    <row r="2516">
      <c r="A2516" s="26" t="s">
        <v>12118</v>
      </c>
      <c r="B2516" s="26" t="s">
        <v>35</v>
      </c>
      <c r="C2516" s="150">
        <v>46210.0</v>
      </c>
      <c r="D2516" s="26" t="s">
        <v>13104</v>
      </c>
      <c r="E2516" s="26" t="s">
        <v>13105</v>
      </c>
      <c r="F2516" s="10"/>
      <c r="G2516" s="26" t="s">
        <v>13106</v>
      </c>
      <c r="H2516" s="26" t="s">
        <v>13107</v>
      </c>
      <c r="I2516" s="26" t="b">
        <v>1</v>
      </c>
      <c r="J2516" s="26" t="s">
        <v>8596</v>
      </c>
      <c r="K2516" s="10"/>
      <c r="L2516" s="10"/>
      <c r="M2516" s="10"/>
      <c r="N2516" s="10"/>
      <c r="O2516" s="26">
        <v>7.99</v>
      </c>
      <c r="P2516" s="29" t="s">
        <v>13108</v>
      </c>
      <c r="Q2516" s="26" t="b">
        <v>1</v>
      </c>
      <c r="R2516" s="10"/>
    </row>
    <row r="2517">
      <c r="A2517" s="26" t="s">
        <v>12122</v>
      </c>
      <c r="B2517" s="26" t="s">
        <v>35</v>
      </c>
      <c r="C2517" s="150">
        <v>46210.0</v>
      </c>
      <c r="D2517" s="26" t="s">
        <v>137</v>
      </c>
      <c r="E2517" s="26" t="s">
        <v>13109</v>
      </c>
      <c r="F2517" s="10"/>
      <c r="G2517" s="26" t="s">
        <v>13110</v>
      </c>
      <c r="H2517" s="26" t="s">
        <v>140</v>
      </c>
      <c r="I2517" s="26" t="b">
        <v>0</v>
      </c>
      <c r="J2517" s="26" t="s">
        <v>8596</v>
      </c>
      <c r="K2517" s="10"/>
      <c r="L2517" s="10"/>
      <c r="M2517" s="10"/>
      <c r="N2517" s="10"/>
      <c r="O2517" s="26">
        <v>270.0</v>
      </c>
      <c r="P2517" s="10"/>
      <c r="Q2517" s="26" t="b">
        <v>1</v>
      </c>
      <c r="R2517" s="10"/>
    </row>
    <row r="2518">
      <c r="A2518" s="26" t="s">
        <v>12129</v>
      </c>
      <c r="B2518" s="26" t="s">
        <v>35</v>
      </c>
      <c r="C2518" s="150">
        <v>46202.0</v>
      </c>
      <c r="D2518" s="26" t="s">
        <v>890</v>
      </c>
      <c r="E2518" s="26" t="s">
        <v>13111</v>
      </c>
      <c r="F2518" s="10"/>
      <c r="G2518" s="26" t="s">
        <v>13112</v>
      </c>
      <c r="H2518" s="26" t="s">
        <v>13113</v>
      </c>
      <c r="I2518" s="26" t="b">
        <v>0</v>
      </c>
      <c r="J2518" s="26" t="s">
        <v>8596</v>
      </c>
      <c r="K2518" s="10"/>
      <c r="L2518" s="10"/>
      <c r="M2518" s="10"/>
      <c r="N2518" s="10"/>
      <c r="O2518" s="26">
        <v>2037.46</v>
      </c>
      <c r="P2518" s="10"/>
      <c r="Q2518" s="26" t="b">
        <v>1</v>
      </c>
      <c r="R2518" s="10"/>
    </row>
    <row r="2519">
      <c r="A2519" s="26" t="s">
        <v>12135</v>
      </c>
      <c r="B2519" s="26" t="s">
        <v>35</v>
      </c>
      <c r="C2519" s="150">
        <v>46213.0</v>
      </c>
      <c r="D2519" s="29" t="s">
        <v>12789</v>
      </c>
      <c r="E2519" s="26" t="s">
        <v>13114</v>
      </c>
      <c r="F2519" s="10"/>
      <c r="G2519" s="26" t="s">
        <v>13115</v>
      </c>
      <c r="H2519" s="26" t="s">
        <v>11625</v>
      </c>
      <c r="I2519" s="26" t="b">
        <v>1</v>
      </c>
      <c r="J2519" s="26" t="s">
        <v>8596</v>
      </c>
      <c r="K2519" s="10"/>
      <c r="L2519" s="10"/>
      <c r="M2519" s="10"/>
      <c r="N2519" s="10"/>
      <c r="O2519" s="26">
        <v>58.06</v>
      </c>
      <c r="P2519" s="29" t="s">
        <v>13117</v>
      </c>
      <c r="Q2519" s="26" t="b">
        <v>1</v>
      </c>
      <c r="R2519" s="10"/>
    </row>
    <row r="2520">
      <c r="A2520" s="26" t="s">
        <v>12144</v>
      </c>
      <c r="B2520" s="26" t="s">
        <v>35</v>
      </c>
      <c r="C2520" s="150">
        <v>46213.0</v>
      </c>
      <c r="D2520" s="26" t="s">
        <v>1129</v>
      </c>
      <c r="E2520" s="26" t="s">
        <v>13118</v>
      </c>
      <c r="F2520" s="10"/>
      <c r="G2520" s="26" t="s">
        <v>13119</v>
      </c>
      <c r="H2520" s="26" t="s">
        <v>13120</v>
      </c>
      <c r="I2520" s="26" t="b">
        <v>1</v>
      </c>
      <c r="J2520" s="26" t="s">
        <v>8596</v>
      </c>
      <c r="K2520" s="10"/>
      <c r="L2520" s="10"/>
      <c r="M2520" s="10"/>
      <c r="N2520" s="10"/>
      <c r="O2520" s="26">
        <v>65.0</v>
      </c>
      <c r="P2520" s="29" t="s">
        <v>13121</v>
      </c>
      <c r="Q2520" s="26" t="b">
        <v>1</v>
      </c>
      <c r="R2520" s="10"/>
    </row>
    <row r="2521">
      <c r="A2521" s="26" t="s">
        <v>12154</v>
      </c>
      <c r="B2521" s="26" t="s">
        <v>35</v>
      </c>
      <c r="C2521" s="150">
        <v>46213.0</v>
      </c>
      <c r="D2521" s="26" t="s">
        <v>137</v>
      </c>
      <c r="E2521" s="26" t="s">
        <v>13122</v>
      </c>
      <c r="F2521" s="10"/>
      <c r="G2521" s="26" t="s">
        <v>13123</v>
      </c>
      <c r="H2521" s="26" t="s">
        <v>13124</v>
      </c>
      <c r="I2521" s="26" t="b">
        <v>0</v>
      </c>
      <c r="J2521" s="26" t="s">
        <v>8596</v>
      </c>
      <c r="K2521" s="10"/>
      <c r="L2521" s="10"/>
      <c r="M2521" s="10"/>
      <c r="N2521" s="10"/>
      <c r="O2521" s="26">
        <v>210.0</v>
      </c>
      <c r="P2521" s="10"/>
      <c r="Q2521" s="26" t="b">
        <v>1</v>
      </c>
      <c r="R2521" s="10"/>
    </row>
    <row r="2522">
      <c r="A2522" s="26" t="s">
        <v>12158</v>
      </c>
      <c r="B2522" s="26" t="s">
        <v>35</v>
      </c>
      <c r="C2522" s="150">
        <v>46213.0</v>
      </c>
      <c r="D2522" s="26" t="s">
        <v>112</v>
      </c>
      <c r="E2522" s="26" t="s">
        <v>13125</v>
      </c>
      <c r="F2522" s="10"/>
      <c r="G2522" s="26" t="s">
        <v>13126</v>
      </c>
      <c r="H2522" s="26" t="s">
        <v>157</v>
      </c>
      <c r="I2522" s="26" t="b">
        <v>0</v>
      </c>
      <c r="J2522" s="26" t="s">
        <v>8596</v>
      </c>
      <c r="K2522" s="10"/>
      <c r="L2522" s="10"/>
      <c r="M2522" s="10"/>
      <c r="N2522" s="10"/>
      <c r="O2522" s="26">
        <v>298.18</v>
      </c>
      <c r="P2522" s="10"/>
      <c r="Q2522" s="26" t="b">
        <v>1</v>
      </c>
      <c r="R2522" s="10"/>
    </row>
    <row r="2523">
      <c r="A2523" s="26">
        <v>12314.0</v>
      </c>
      <c r="B2523" s="26" t="s">
        <v>35</v>
      </c>
      <c r="C2523" s="150">
        <v>46216.0</v>
      </c>
      <c r="D2523" s="26" t="s">
        <v>12979</v>
      </c>
      <c r="E2523" s="10"/>
      <c r="F2523" s="26" t="s">
        <v>13127</v>
      </c>
      <c r="G2523" s="10"/>
      <c r="H2523" s="26" t="s">
        <v>13127</v>
      </c>
      <c r="I2523" s="10"/>
      <c r="J2523" s="26" t="s">
        <v>539</v>
      </c>
      <c r="K2523" s="10"/>
      <c r="L2523" s="10"/>
      <c r="M2523" s="10"/>
      <c r="N2523" s="10"/>
      <c r="O2523" s="30">
        <v>863.65</v>
      </c>
      <c r="P2523" s="10"/>
      <c r="Q2523" s="26" t="b">
        <v>1</v>
      </c>
      <c r="R2523" s="26" t="b">
        <v>0</v>
      </c>
    </row>
    <row r="2524">
      <c r="A2524" s="26"/>
      <c r="B2524" s="26"/>
      <c r="C2524" s="150"/>
      <c r="D2524" s="26"/>
      <c r="E2524" s="26"/>
      <c r="F2524" s="10"/>
      <c r="G2524" s="26"/>
      <c r="H2524" s="26"/>
      <c r="I2524" s="26"/>
      <c r="J2524" s="26"/>
      <c r="K2524" s="10"/>
      <c r="L2524" s="10"/>
      <c r="M2524" s="10"/>
      <c r="N2524" s="10"/>
      <c r="O2524" s="10"/>
      <c r="P2524" s="10"/>
      <c r="Q2524" s="26"/>
      <c r="R2524" s="10"/>
    </row>
    <row r="2525">
      <c r="A2525" s="26" t="s">
        <v>12201</v>
      </c>
      <c r="B2525" s="26" t="s">
        <v>35</v>
      </c>
      <c r="C2525" s="150">
        <v>46148.0</v>
      </c>
      <c r="D2525" s="26" t="s">
        <v>941</v>
      </c>
      <c r="E2525" s="26" t="s">
        <v>13128</v>
      </c>
      <c r="F2525" s="10"/>
      <c r="G2525" s="26" t="s">
        <v>13129</v>
      </c>
      <c r="H2525" s="26" t="s">
        <v>2341</v>
      </c>
      <c r="I2525" s="26" t="b">
        <v>0</v>
      </c>
      <c r="J2525" s="26" t="s">
        <v>8596</v>
      </c>
      <c r="K2525" s="10"/>
      <c r="L2525" s="10"/>
      <c r="M2525" s="10"/>
      <c r="N2525" s="10"/>
      <c r="O2525" s="26">
        <v>870.0</v>
      </c>
      <c r="P2525" s="10"/>
      <c r="Q2525" s="26" t="b">
        <v>1</v>
      </c>
      <c r="R2525" s="10"/>
    </row>
    <row r="2526">
      <c r="A2526" s="26" t="s">
        <v>1967</v>
      </c>
      <c r="B2526" s="26" t="s">
        <v>35</v>
      </c>
      <c r="C2526" s="150">
        <v>46217.0</v>
      </c>
      <c r="D2526" s="26" t="s">
        <v>11779</v>
      </c>
      <c r="E2526" s="26" t="s">
        <v>13130</v>
      </c>
      <c r="F2526" s="10"/>
      <c r="G2526" s="26" t="s">
        <v>13131</v>
      </c>
      <c r="H2526" s="26" t="s">
        <v>13025</v>
      </c>
      <c r="I2526" s="26" t="b">
        <v>1</v>
      </c>
      <c r="J2526" s="26" t="s">
        <v>8596</v>
      </c>
      <c r="K2526" s="10"/>
      <c r="L2526" s="10"/>
      <c r="M2526" s="10"/>
      <c r="N2526" s="10"/>
      <c r="O2526" s="26">
        <v>28.39</v>
      </c>
      <c r="P2526" s="29" t="s">
        <v>13133</v>
      </c>
      <c r="Q2526" s="26" t="b">
        <v>1</v>
      </c>
      <c r="R2526" s="10"/>
    </row>
    <row r="2527">
      <c r="A2527" s="26">
        <v>12294.0</v>
      </c>
      <c r="B2527" s="26" t="s">
        <v>35</v>
      </c>
      <c r="C2527" s="150">
        <v>46217.0</v>
      </c>
      <c r="D2527" s="26" t="s">
        <v>2439</v>
      </c>
      <c r="E2527" s="10"/>
      <c r="F2527" s="26" t="s">
        <v>13134</v>
      </c>
      <c r="G2527" s="10"/>
      <c r="H2527" s="26" t="s">
        <v>13134</v>
      </c>
      <c r="I2527" s="10"/>
      <c r="J2527" s="26" t="s">
        <v>539</v>
      </c>
      <c r="K2527" s="10"/>
      <c r="L2527" s="10"/>
      <c r="M2527" s="10"/>
      <c r="N2527" s="10"/>
      <c r="O2527" s="30">
        <v>0.0</v>
      </c>
      <c r="P2527" s="10"/>
      <c r="Q2527" s="26" t="b">
        <v>1</v>
      </c>
      <c r="R2527" s="26" t="b">
        <v>0</v>
      </c>
    </row>
    <row r="2528">
      <c r="A2528" s="26">
        <v>12295.0</v>
      </c>
      <c r="B2528" s="26" t="s">
        <v>35</v>
      </c>
      <c r="C2528" s="150">
        <v>46217.0</v>
      </c>
      <c r="D2528" s="26" t="s">
        <v>10315</v>
      </c>
      <c r="E2528" s="10"/>
      <c r="F2528" s="26" t="s">
        <v>13135</v>
      </c>
      <c r="G2528" s="10"/>
      <c r="H2528" s="26" t="s">
        <v>13135</v>
      </c>
      <c r="I2528" s="10"/>
      <c r="J2528" s="26" t="s">
        <v>539</v>
      </c>
      <c r="K2528" s="10"/>
      <c r="L2528" s="10"/>
      <c r="M2528" s="10"/>
      <c r="N2528" s="10"/>
      <c r="O2528" s="30">
        <v>4521.0</v>
      </c>
      <c r="P2528" s="10"/>
      <c r="Q2528" s="26" t="b">
        <v>1</v>
      </c>
      <c r="R2528" s="26" t="b">
        <v>0</v>
      </c>
    </row>
    <row r="2529">
      <c r="A2529" s="26" t="s">
        <v>12176</v>
      </c>
      <c r="B2529" s="26" t="s">
        <v>35</v>
      </c>
      <c r="C2529" s="150">
        <v>46217.0</v>
      </c>
      <c r="D2529" s="26" t="s">
        <v>890</v>
      </c>
      <c r="E2529" s="10"/>
      <c r="F2529" s="26" t="s">
        <v>13136</v>
      </c>
      <c r="G2529" s="10"/>
      <c r="H2529" s="26" t="s">
        <v>13136</v>
      </c>
      <c r="I2529" s="10"/>
      <c r="J2529" s="26" t="s">
        <v>539</v>
      </c>
      <c r="K2529" s="10"/>
      <c r="L2529" s="10"/>
      <c r="M2529" s="10"/>
      <c r="N2529" s="10"/>
      <c r="O2529" s="30">
        <v>7361.43</v>
      </c>
      <c r="P2529" s="10"/>
      <c r="Q2529" s="26" t="b">
        <v>1</v>
      </c>
      <c r="R2529" s="26" t="b">
        <v>0</v>
      </c>
    </row>
    <row r="2530">
      <c r="A2530" s="26" t="s">
        <v>12179</v>
      </c>
      <c r="B2530" s="26" t="s">
        <v>35</v>
      </c>
      <c r="C2530" s="150">
        <v>46217.0</v>
      </c>
      <c r="D2530" s="26" t="s">
        <v>890</v>
      </c>
      <c r="E2530" s="10"/>
      <c r="F2530" s="26" t="s">
        <v>13137</v>
      </c>
      <c r="G2530" s="10"/>
      <c r="H2530" s="26" t="s">
        <v>13137</v>
      </c>
      <c r="I2530" s="10"/>
      <c r="J2530" s="26" t="s">
        <v>539</v>
      </c>
      <c r="K2530" s="10"/>
      <c r="L2530" s="10"/>
      <c r="M2530" s="10"/>
      <c r="N2530" s="10"/>
      <c r="O2530" s="30">
        <v>1680.6</v>
      </c>
      <c r="P2530" s="10"/>
      <c r="Q2530" s="26" t="b">
        <v>1</v>
      </c>
      <c r="R2530" s="26" t="b">
        <v>0</v>
      </c>
    </row>
    <row r="2531">
      <c r="A2531" s="26">
        <v>12308.0</v>
      </c>
      <c r="B2531" s="26" t="s">
        <v>35</v>
      </c>
      <c r="C2531" s="150">
        <v>46217.0</v>
      </c>
      <c r="D2531" s="26" t="s">
        <v>890</v>
      </c>
      <c r="E2531" s="10"/>
      <c r="F2531" s="26" t="s">
        <v>10085</v>
      </c>
      <c r="G2531" s="10"/>
      <c r="H2531" s="26" t="s">
        <v>10085</v>
      </c>
      <c r="I2531" s="10"/>
      <c r="J2531" s="26" t="s">
        <v>539</v>
      </c>
      <c r="K2531" s="10"/>
      <c r="L2531" s="10"/>
      <c r="M2531" s="10"/>
      <c r="N2531" s="10"/>
      <c r="O2531" s="30">
        <v>1148.0</v>
      </c>
      <c r="P2531" s="10"/>
      <c r="Q2531" s="26" t="b">
        <v>1</v>
      </c>
      <c r="R2531" s="26" t="b">
        <v>0</v>
      </c>
    </row>
    <row r="2532">
      <c r="A2532" s="26">
        <v>12309.0</v>
      </c>
      <c r="B2532" s="26" t="s">
        <v>35</v>
      </c>
      <c r="C2532" s="150">
        <v>46217.0</v>
      </c>
      <c r="D2532" s="26" t="s">
        <v>890</v>
      </c>
      <c r="E2532" s="10"/>
      <c r="F2532" s="26" t="s">
        <v>10089</v>
      </c>
      <c r="G2532" s="10"/>
      <c r="H2532" s="26" t="s">
        <v>10089</v>
      </c>
      <c r="I2532" s="10"/>
      <c r="J2532" s="26" t="s">
        <v>539</v>
      </c>
      <c r="K2532" s="10"/>
      <c r="L2532" s="10"/>
      <c r="M2532" s="10"/>
      <c r="N2532" s="10"/>
      <c r="O2532" s="30">
        <v>1110.0</v>
      </c>
      <c r="P2532" s="10"/>
      <c r="Q2532" s="26" t="b">
        <v>1</v>
      </c>
      <c r="R2532" s="26" t="b">
        <v>0</v>
      </c>
    </row>
    <row r="2533">
      <c r="A2533" s="26">
        <v>12310.0</v>
      </c>
      <c r="B2533" s="26" t="s">
        <v>35</v>
      </c>
      <c r="C2533" s="150">
        <v>46217.0</v>
      </c>
      <c r="D2533" s="26" t="s">
        <v>10092</v>
      </c>
      <c r="E2533" s="10"/>
      <c r="F2533" s="26" t="s">
        <v>10093</v>
      </c>
      <c r="G2533" s="10"/>
      <c r="H2533" s="26" t="s">
        <v>10093</v>
      </c>
      <c r="I2533" s="10"/>
      <c r="J2533" s="26" t="s">
        <v>539</v>
      </c>
      <c r="K2533" s="10"/>
      <c r="L2533" s="10"/>
      <c r="M2533" s="10"/>
      <c r="N2533" s="10"/>
      <c r="O2533" s="30">
        <v>181.37</v>
      </c>
      <c r="P2533" s="10"/>
      <c r="Q2533" s="26" t="b">
        <v>1</v>
      </c>
      <c r="R2533" s="26" t="b">
        <v>0</v>
      </c>
    </row>
    <row r="2534">
      <c r="A2534" s="26">
        <v>12311.0</v>
      </c>
      <c r="B2534" s="26" t="s">
        <v>35</v>
      </c>
      <c r="C2534" s="150">
        <v>46217.0</v>
      </c>
      <c r="D2534" s="26" t="s">
        <v>2280</v>
      </c>
      <c r="E2534" s="10"/>
      <c r="F2534" s="26" t="s">
        <v>10095</v>
      </c>
      <c r="G2534" s="10"/>
      <c r="H2534" s="26" t="s">
        <v>10095</v>
      </c>
      <c r="I2534" s="10"/>
      <c r="J2534" s="26" t="s">
        <v>539</v>
      </c>
      <c r="K2534" s="10"/>
      <c r="L2534" s="10"/>
      <c r="M2534" s="10"/>
      <c r="N2534" s="10"/>
      <c r="O2534" s="30">
        <v>916.44</v>
      </c>
      <c r="P2534" s="10"/>
      <c r="Q2534" s="26" t="b">
        <v>1</v>
      </c>
      <c r="R2534" s="26" t="b">
        <v>0</v>
      </c>
    </row>
    <row r="2535">
      <c r="A2535" s="26">
        <v>12312.0</v>
      </c>
      <c r="B2535" s="26" t="s">
        <v>35</v>
      </c>
      <c r="C2535" s="150">
        <v>46217.0</v>
      </c>
      <c r="D2535" s="26" t="s">
        <v>2248</v>
      </c>
      <c r="E2535" s="10"/>
      <c r="F2535" s="26" t="s">
        <v>8055</v>
      </c>
      <c r="G2535" s="10"/>
      <c r="H2535" s="26" t="s">
        <v>8055</v>
      </c>
      <c r="I2535" s="10"/>
      <c r="J2535" s="26" t="s">
        <v>539</v>
      </c>
      <c r="K2535" s="10"/>
      <c r="L2535" s="10"/>
      <c r="M2535" s="10"/>
      <c r="N2535" s="10"/>
      <c r="O2535" s="30">
        <v>185.0</v>
      </c>
      <c r="P2535" s="10"/>
      <c r="Q2535" s="26" t="b">
        <v>1</v>
      </c>
      <c r="R2535" s="26" t="b">
        <v>0</v>
      </c>
    </row>
    <row r="2536">
      <c r="A2536" s="26">
        <v>12313.0</v>
      </c>
      <c r="B2536" s="26" t="s">
        <v>35</v>
      </c>
      <c r="C2536" s="150">
        <v>46217.0</v>
      </c>
      <c r="D2536" s="26" t="s">
        <v>890</v>
      </c>
      <c r="E2536" s="10"/>
      <c r="F2536" s="26" t="s">
        <v>4010</v>
      </c>
      <c r="G2536" s="10"/>
      <c r="H2536" s="26" t="s">
        <v>4010</v>
      </c>
      <c r="I2536" s="10"/>
      <c r="J2536" s="26" t="s">
        <v>539</v>
      </c>
      <c r="K2536" s="10"/>
      <c r="L2536" s="10"/>
      <c r="M2536" s="10"/>
      <c r="N2536" s="10"/>
      <c r="O2536" s="30">
        <v>396.0</v>
      </c>
      <c r="P2536" s="10"/>
      <c r="Q2536" s="26" t="b">
        <v>1</v>
      </c>
      <c r="R2536" s="26" t="b">
        <v>0</v>
      </c>
    </row>
    <row r="2537">
      <c r="A2537" s="26" t="s">
        <v>12206</v>
      </c>
      <c r="B2537" s="26" t="s">
        <v>35</v>
      </c>
      <c r="C2537" s="150">
        <v>46218.0</v>
      </c>
      <c r="D2537" s="26" t="s">
        <v>1864</v>
      </c>
      <c r="E2537" s="10"/>
      <c r="F2537" s="26" t="s">
        <v>13141</v>
      </c>
      <c r="G2537" s="10"/>
      <c r="H2537" s="26" t="s">
        <v>13141</v>
      </c>
      <c r="I2537" s="10"/>
      <c r="J2537" s="26" t="s">
        <v>539</v>
      </c>
      <c r="K2537" s="10"/>
      <c r="L2537" s="10"/>
      <c r="M2537" s="10"/>
      <c r="N2537" s="10"/>
      <c r="O2537" s="30">
        <v>51.68</v>
      </c>
      <c r="P2537" s="10"/>
      <c r="Q2537" s="26" t="b">
        <v>1</v>
      </c>
      <c r="R2537" s="26" t="b">
        <v>0</v>
      </c>
    </row>
    <row r="2538">
      <c r="A2538" s="26" t="s">
        <v>12209</v>
      </c>
      <c r="B2538" s="26" t="s">
        <v>35</v>
      </c>
      <c r="C2538" s="150">
        <v>46218.0</v>
      </c>
      <c r="D2538" s="10"/>
      <c r="E2538" s="10"/>
      <c r="F2538" s="26" t="s">
        <v>13142</v>
      </c>
      <c r="G2538" s="10"/>
      <c r="H2538" s="26" t="s">
        <v>13142</v>
      </c>
      <c r="I2538" s="10"/>
      <c r="J2538" s="26" t="s">
        <v>539</v>
      </c>
      <c r="K2538" s="26" t="s">
        <v>336</v>
      </c>
      <c r="L2538" s="10"/>
      <c r="M2538" s="10"/>
      <c r="N2538" s="10"/>
      <c r="O2538" s="30">
        <v>500.0</v>
      </c>
      <c r="P2538" s="10"/>
      <c r="Q2538" s="26" t="b">
        <v>1</v>
      </c>
      <c r="R2538" s="26" t="b">
        <v>0</v>
      </c>
    </row>
    <row r="2539">
      <c r="A2539" s="26" t="s">
        <v>12211</v>
      </c>
      <c r="B2539" s="26" t="s">
        <v>35</v>
      </c>
      <c r="C2539" s="150">
        <v>46218.0</v>
      </c>
      <c r="D2539" s="10"/>
      <c r="E2539" s="10"/>
      <c r="F2539" s="26" t="s">
        <v>12766</v>
      </c>
      <c r="G2539" s="10"/>
      <c r="H2539" s="26" t="s">
        <v>12766</v>
      </c>
      <c r="I2539" s="10"/>
      <c r="J2539" s="26" t="s">
        <v>539</v>
      </c>
      <c r="K2539" s="26" t="s">
        <v>218</v>
      </c>
      <c r="L2539" s="10"/>
      <c r="M2539" s="10"/>
      <c r="N2539" s="10"/>
      <c r="O2539" s="30">
        <v>500.0</v>
      </c>
      <c r="P2539" s="10"/>
      <c r="Q2539" s="26" t="b">
        <v>1</v>
      </c>
      <c r="R2539" s="26" t="b">
        <v>0</v>
      </c>
    </row>
    <row r="2540">
      <c r="A2540" s="26" t="s">
        <v>12214</v>
      </c>
      <c r="B2540" s="26" t="s">
        <v>35</v>
      </c>
      <c r="C2540" s="150">
        <v>46218.0</v>
      </c>
      <c r="D2540" s="10"/>
      <c r="E2540" s="10"/>
      <c r="F2540" s="26" t="s">
        <v>12766</v>
      </c>
      <c r="G2540" s="10"/>
      <c r="H2540" s="26" t="s">
        <v>12766</v>
      </c>
      <c r="I2540" s="10"/>
      <c r="J2540" s="26" t="s">
        <v>539</v>
      </c>
      <c r="K2540" s="26" t="s">
        <v>117</v>
      </c>
      <c r="L2540" s="10"/>
      <c r="M2540" s="10"/>
      <c r="N2540" s="10"/>
      <c r="O2540" s="30">
        <v>500.0</v>
      </c>
      <c r="P2540" s="10"/>
      <c r="Q2540" s="26" t="b">
        <v>1</v>
      </c>
      <c r="R2540" s="26" t="b">
        <v>0</v>
      </c>
    </row>
    <row r="2541">
      <c r="A2541" s="26" t="s">
        <v>12216</v>
      </c>
      <c r="B2541" s="26" t="s">
        <v>35</v>
      </c>
      <c r="C2541" s="150">
        <v>46218.0</v>
      </c>
      <c r="D2541" s="10"/>
      <c r="E2541" s="10"/>
      <c r="F2541" s="26" t="s">
        <v>12766</v>
      </c>
      <c r="G2541" s="10"/>
      <c r="H2541" s="26" t="s">
        <v>12766</v>
      </c>
      <c r="I2541" s="10"/>
      <c r="J2541" s="26" t="s">
        <v>539</v>
      </c>
      <c r="K2541" s="26" t="s">
        <v>227</v>
      </c>
      <c r="L2541" s="10"/>
      <c r="M2541" s="10"/>
      <c r="N2541" s="10"/>
      <c r="O2541" s="30">
        <v>500.0</v>
      </c>
      <c r="P2541" s="10"/>
      <c r="Q2541" s="26" t="b">
        <v>1</v>
      </c>
      <c r="R2541" s="26" t="b">
        <v>0</v>
      </c>
    </row>
    <row r="2542">
      <c r="A2542" s="26" t="s">
        <v>12220</v>
      </c>
      <c r="B2542" s="26" t="s">
        <v>35</v>
      </c>
      <c r="C2542" s="150">
        <v>46219.0</v>
      </c>
      <c r="D2542" s="26" t="s">
        <v>11765</v>
      </c>
      <c r="E2542" s="26" t="s">
        <v>13143</v>
      </c>
      <c r="F2542" s="10"/>
      <c r="G2542" s="26" t="s">
        <v>13144</v>
      </c>
      <c r="H2542" s="26" t="s">
        <v>195</v>
      </c>
      <c r="I2542" s="26" t="b">
        <v>0</v>
      </c>
      <c r="J2542" s="26" t="s">
        <v>8596</v>
      </c>
      <c r="K2542" s="10"/>
      <c r="L2542" s="26" t="s">
        <v>13145</v>
      </c>
      <c r="M2542" s="10"/>
      <c r="N2542" s="10"/>
      <c r="O2542" s="26">
        <v>1392.3</v>
      </c>
      <c r="P2542" s="10"/>
      <c r="Q2542" s="26" t="b">
        <v>1</v>
      </c>
      <c r="R2542" s="10"/>
    </row>
    <row r="2543">
      <c r="A2543" s="26" t="s">
        <v>12218</v>
      </c>
      <c r="B2543" s="26" t="s">
        <v>35</v>
      </c>
      <c r="C2543" s="150">
        <v>46218.0</v>
      </c>
      <c r="D2543" s="26" t="s">
        <v>137</v>
      </c>
      <c r="E2543" s="26" t="s">
        <v>13146</v>
      </c>
      <c r="F2543" s="10"/>
      <c r="G2543" s="26" t="s">
        <v>13148</v>
      </c>
      <c r="H2543" s="26" t="s">
        <v>140</v>
      </c>
      <c r="I2543" s="26" t="b">
        <v>0</v>
      </c>
      <c r="J2543" s="26" t="s">
        <v>8596</v>
      </c>
      <c r="K2543" s="10"/>
      <c r="L2543" s="10"/>
      <c r="M2543" s="10"/>
      <c r="N2543" s="10"/>
      <c r="O2543" s="26">
        <v>180.0</v>
      </c>
      <c r="P2543" s="10"/>
      <c r="Q2543" s="26" t="b">
        <v>1</v>
      </c>
      <c r="R2543" s="10"/>
    </row>
    <row r="2544">
      <c r="A2544" s="26" t="s">
        <v>12254</v>
      </c>
      <c r="B2544" s="26" t="s">
        <v>35</v>
      </c>
      <c r="C2544" s="150">
        <v>46220.0</v>
      </c>
      <c r="D2544" s="26" t="s">
        <v>112</v>
      </c>
      <c r="E2544" s="26" t="s">
        <v>13149</v>
      </c>
      <c r="F2544" s="10"/>
      <c r="G2544" s="26" t="s">
        <v>13150</v>
      </c>
      <c r="H2544" s="26" t="s">
        <v>157</v>
      </c>
      <c r="I2544" s="26" t="b">
        <v>0</v>
      </c>
      <c r="J2544" s="26" t="s">
        <v>8596</v>
      </c>
      <c r="K2544" s="10"/>
      <c r="L2544" s="10"/>
      <c r="M2544" s="10"/>
      <c r="N2544" s="10"/>
      <c r="O2544" s="26">
        <v>408.02</v>
      </c>
      <c r="P2544" s="10"/>
      <c r="Q2544" s="26" t="b">
        <v>1</v>
      </c>
      <c r="R2544" s="10"/>
    </row>
    <row r="2545">
      <c r="A2545" s="26" t="s">
        <v>2048</v>
      </c>
      <c r="B2545" s="26" t="s">
        <v>35</v>
      </c>
      <c r="C2545" s="150">
        <v>46220.0</v>
      </c>
      <c r="D2545" s="26" t="s">
        <v>13151</v>
      </c>
      <c r="E2545" s="26" t="s">
        <v>13152</v>
      </c>
      <c r="F2545" s="10"/>
      <c r="G2545" s="26" t="s">
        <v>13153</v>
      </c>
      <c r="H2545" s="26" t="s">
        <v>11625</v>
      </c>
      <c r="I2545" s="26" t="b">
        <v>1</v>
      </c>
      <c r="J2545" s="26" t="s">
        <v>8596</v>
      </c>
      <c r="K2545" s="10"/>
      <c r="L2545" s="10"/>
      <c r="M2545" s="10"/>
      <c r="N2545" s="10"/>
      <c r="O2545" s="26">
        <v>100.27</v>
      </c>
      <c r="P2545" s="29" t="s">
        <v>13154</v>
      </c>
      <c r="Q2545" s="26" t="b">
        <v>1</v>
      </c>
      <c r="R2545" s="10"/>
    </row>
    <row r="2546">
      <c r="A2546" s="26" t="s">
        <v>2044</v>
      </c>
      <c r="B2546" s="26" t="s">
        <v>35</v>
      </c>
      <c r="C2546" s="150">
        <v>46220.0</v>
      </c>
      <c r="D2546" s="26" t="s">
        <v>11784</v>
      </c>
      <c r="E2546" s="26" t="s">
        <v>13155</v>
      </c>
      <c r="F2546" s="10"/>
      <c r="G2546" s="26" t="s">
        <v>13156</v>
      </c>
      <c r="H2546" s="26" t="s">
        <v>147</v>
      </c>
      <c r="I2546" s="26" t="b">
        <v>1</v>
      </c>
      <c r="J2546" s="26" t="s">
        <v>8596</v>
      </c>
      <c r="K2546" s="10"/>
      <c r="L2546" s="10"/>
      <c r="M2546" s="10"/>
      <c r="N2546" s="10"/>
      <c r="O2546" s="26">
        <v>403.0</v>
      </c>
      <c r="P2546" s="29" t="s">
        <v>13157</v>
      </c>
      <c r="Q2546" s="26" t="b">
        <v>1</v>
      </c>
      <c r="R2546" s="10"/>
    </row>
    <row r="2547">
      <c r="A2547" s="26" t="s">
        <v>12248</v>
      </c>
      <c r="B2547" s="26" t="s">
        <v>35</v>
      </c>
      <c r="C2547" s="150">
        <v>46217.0</v>
      </c>
      <c r="D2547" s="26" t="s">
        <v>890</v>
      </c>
      <c r="E2547" s="26" t="s">
        <v>13158</v>
      </c>
      <c r="F2547" s="10"/>
      <c r="G2547" s="26" t="s">
        <v>13159</v>
      </c>
      <c r="H2547" s="26" t="s">
        <v>13160</v>
      </c>
      <c r="I2547" s="26" t="b">
        <v>0</v>
      </c>
      <c r="J2547" s="26" t="s">
        <v>8596</v>
      </c>
      <c r="K2547" s="10"/>
      <c r="L2547" s="26" t="s">
        <v>13161</v>
      </c>
      <c r="M2547" s="10"/>
      <c r="N2547" s="10"/>
      <c r="O2547" s="26">
        <v>6728.9</v>
      </c>
      <c r="P2547" s="10"/>
      <c r="Q2547" s="26" t="b">
        <v>1</v>
      </c>
      <c r="R2547" s="10"/>
    </row>
    <row r="2548">
      <c r="A2548" s="26" t="s">
        <v>12309</v>
      </c>
      <c r="B2548" s="26" t="s">
        <v>35</v>
      </c>
      <c r="C2548" s="150">
        <v>46223.0</v>
      </c>
      <c r="D2548" s="26" t="s">
        <v>137</v>
      </c>
      <c r="E2548" s="26" t="s">
        <v>13162</v>
      </c>
      <c r="F2548" s="10"/>
      <c r="G2548" s="26" t="s">
        <v>13163</v>
      </c>
      <c r="H2548" s="26" t="s">
        <v>140</v>
      </c>
      <c r="I2548" s="26" t="b">
        <v>0</v>
      </c>
      <c r="J2548" s="26" t="s">
        <v>8596</v>
      </c>
      <c r="K2548" s="10"/>
      <c r="L2548" s="10"/>
      <c r="M2548" s="10"/>
      <c r="N2548" s="10"/>
      <c r="O2548" s="26">
        <v>300.0</v>
      </c>
      <c r="P2548" s="10"/>
      <c r="Q2548" s="26" t="b">
        <v>1</v>
      </c>
      <c r="R2548" s="10"/>
    </row>
    <row r="2549">
      <c r="A2549" s="26" t="s">
        <v>12311</v>
      </c>
      <c r="B2549" s="26" t="s">
        <v>35</v>
      </c>
      <c r="C2549" s="150">
        <v>46223.0</v>
      </c>
      <c r="D2549" s="26" t="s">
        <v>112</v>
      </c>
      <c r="E2549" s="26" t="s">
        <v>13164</v>
      </c>
      <c r="F2549" s="10"/>
      <c r="G2549" s="26" t="s">
        <v>13165</v>
      </c>
      <c r="H2549" s="26" t="s">
        <v>157</v>
      </c>
      <c r="I2549" s="26" t="b">
        <v>0</v>
      </c>
      <c r="J2549" s="26" t="s">
        <v>8596</v>
      </c>
      <c r="K2549" s="10"/>
      <c r="L2549" s="10"/>
      <c r="M2549" s="10"/>
      <c r="N2549" s="10"/>
      <c r="O2549" s="26">
        <v>276.95</v>
      </c>
      <c r="P2549" s="10"/>
      <c r="Q2549" s="26" t="b">
        <v>1</v>
      </c>
      <c r="R2549" s="10"/>
    </row>
    <row r="2550">
      <c r="A2550" s="26" t="s">
        <v>12307</v>
      </c>
      <c r="B2550" s="26" t="s">
        <v>35</v>
      </c>
      <c r="C2550" s="150">
        <v>46222.0</v>
      </c>
      <c r="D2550" s="26" t="s">
        <v>11219</v>
      </c>
      <c r="E2550" s="26" t="s">
        <v>13168</v>
      </c>
      <c r="F2550" s="10"/>
      <c r="G2550" s="26" t="s">
        <v>13169</v>
      </c>
      <c r="H2550" s="26" t="s">
        <v>11734</v>
      </c>
      <c r="I2550" s="26" t="b">
        <v>1</v>
      </c>
      <c r="J2550" s="26" t="s">
        <v>8596</v>
      </c>
      <c r="K2550" s="10"/>
      <c r="L2550" s="10"/>
      <c r="M2550" s="10"/>
      <c r="N2550" s="10"/>
      <c r="O2550" s="26">
        <v>7.89</v>
      </c>
      <c r="P2550" s="29" t="s">
        <v>13170</v>
      </c>
      <c r="Q2550" s="26" t="b">
        <v>1</v>
      </c>
      <c r="R2550" s="10"/>
    </row>
    <row r="2551">
      <c r="A2551" s="26">
        <v>12315.0</v>
      </c>
      <c r="B2551" s="26" t="s">
        <v>35</v>
      </c>
      <c r="C2551" s="150">
        <v>46223.0</v>
      </c>
      <c r="D2551" s="26" t="s">
        <v>3516</v>
      </c>
      <c r="E2551" s="10"/>
      <c r="F2551" s="26" t="s">
        <v>10131</v>
      </c>
      <c r="G2551" s="10"/>
      <c r="H2551" s="26" t="s">
        <v>10131</v>
      </c>
      <c r="I2551" s="10"/>
      <c r="J2551" s="26" t="s">
        <v>539</v>
      </c>
      <c r="K2551" s="10"/>
      <c r="L2551" s="10"/>
      <c r="M2551" s="10"/>
      <c r="N2551" s="10"/>
      <c r="O2551" s="30">
        <v>1635.78</v>
      </c>
      <c r="P2551" s="10"/>
      <c r="Q2551" s="26" t="b">
        <v>1</v>
      </c>
      <c r="R2551" s="26" t="b">
        <v>0</v>
      </c>
    </row>
    <row r="2552">
      <c r="A2552" s="26">
        <v>12318.0</v>
      </c>
      <c r="B2552" s="26" t="s">
        <v>35</v>
      </c>
      <c r="C2552" s="150">
        <v>46223.0</v>
      </c>
      <c r="D2552" s="26" t="s">
        <v>3516</v>
      </c>
      <c r="E2552" s="10"/>
      <c r="F2552" s="26" t="s">
        <v>9759</v>
      </c>
      <c r="G2552" s="10"/>
      <c r="H2552" s="26" t="s">
        <v>9759</v>
      </c>
      <c r="I2552" s="10"/>
      <c r="J2552" s="26" t="s">
        <v>539</v>
      </c>
      <c r="K2552" s="10"/>
      <c r="L2552" s="10"/>
      <c r="M2552" s="10"/>
      <c r="N2552" s="10"/>
      <c r="O2552" s="30">
        <v>817.18</v>
      </c>
      <c r="P2552" s="10"/>
      <c r="Q2552" s="26" t="b">
        <v>1</v>
      </c>
      <c r="R2552" s="26" t="b">
        <v>0</v>
      </c>
    </row>
    <row r="2553">
      <c r="A2553" s="26">
        <v>12319.0</v>
      </c>
      <c r="B2553" s="26" t="s">
        <v>35</v>
      </c>
      <c r="C2553" s="150">
        <v>46223.0</v>
      </c>
      <c r="D2553" s="26" t="s">
        <v>3516</v>
      </c>
      <c r="E2553" s="10"/>
      <c r="F2553" s="26" t="s">
        <v>9762</v>
      </c>
      <c r="G2553" s="10"/>
      <c r="H2553" s="26" t="s">
        <v>9762</v>
      </c>
      <c r="I2553" s="10"/>
      <c r="J2553" s="26" t="s">
        <v>539</v>
      </c>
      <c r="K2553" s="10"/>
      <c r="L2553" s="10"/>
      <c r="M2553" s="10"/>
      <c r="N2553" s="10"/>
      <c r="O2553" s="30">
        <v>5626.59</v>
      </c>
      <c r="P2553" s="10"/>
      <c r="Q2553" s="26" t="b">
        <v>1</v>
      </c>
      <c r="R2553" s="26" t="b">
        <v>0</v>
      </c>
    </row>
    <row r="2554">
      <c r="A2554" s="26" t="s">
        <v>12315</v>
      </c>
      <c r="B2554" s="26" t="s">
        <v>35</v>
      </c>
      <c r="C2554" s="150">
        <v>46224.0</v>
      </c>
      <c r="D2554" s="26" t="s">
        <v>10315</v>
      </c>
      <c r="E2554" s="10"/>
      <c r="F2554" s="26" t="s">
        <v>13171</v>
      </c>
      <c r="G2554" s="10"/>
      <c r="H2554" s="26" t="s">
        <v>13171</v>
      </c>
      <c r="I2554" s="10"/>
      <c r="J2554" s="26" t="s">
        <v>539</v>
      </c>
      <c r="K2554" s="10"/>
      <c r="L2554" s="10"/>
      <c r="M2554" s="10"/>
      <c r="N2554" s="10"/>
      <c r="O2554" s="30">
        <v>4740.0</v>
      </c>
      <c r="P2554" s="10"/>
      <c r="Q2554" s="26" t="b">
        <v>1</v>
      </c>
      <c r="R2554" s="26" t="b">
        <v>0</v>
      </c>
    </row>
    <row r="2555">
      <c r="A2555" s="26">
        <v>12330.0</v>
      </c>
      <c r="B2555" s="26" t="s">
        <v>35</v>
      </c>
      <c r="C2555" s="150">
        <v>46224.0</v>
      </c>
      <c r="D2555" s="26" t="s">
        <v>460</v>
      </c>
      <c r="E2555" s="10"/>
      <c r="F2555" s="150">
        <v>46305.0</v>
      </c>
      <c r="G2555" s="10"/>
      <c r="H2555" s="150">
        <v>46305.0</v>
      </c>
      <c r="I2555" s="10"/>
      <c r="J2555" s="26" t="s">
        <v>539</v>
      </c>
      <c r="K2555" s="10"/>
      <c r="L2555" s="10"/>
      <c r="M2555" s="10"/>
      <c r="N2555" s="10"/>
      <c r="O2555" s="30">
        <v>249.23</v>
      </c>
      <c r="P2555" s="10"/>
      <c r="Q2555" s="26" t="b">
        <v>1</v>
      </c>
      <c r="R2555" s="26" t="b">
        <v>0</v>
      </c>
    </row>
    <row r="2556">
      <c r="A2556" s="26" t="s">
        <v>12319</v>
      </c>
      <c r="B2556" s="26" t="s">
        <v>35</v>
      </c>
      <c r="C2556" s="150">
        <v>46224.0</v>
      </c>
      <c r="D2556" s="26" t="s">
        <v>13172</v>
      </c>
      <c r="E2556" s="10"/>
      <c r="F2556" s="26" t="s">
        <v>13173</v>
      </c>
      <c r="G2556" s="10"/>
      <c r="H2556" s="26" t="s">
        <v>13173</v>
      </c>
      <c r="I2556" s="10"/>
      <c r="J2556" s="26" t="s">
        <v>539</v>
      </c>
      <c r="K2556" s="10"/>
      <c r="L2556" s="10"/>
      <c r="M2556" s="10"/>
      <c r="N2556" s="10"/>
      <c r="O2556" s="30">
        <v>672.89</v>
      </c>
      <c r="P2556" s="10"/>
      <c r="Q2556" s="26" t="b">
        <v>1</v>
      </c>
      <c r="R2556" s="26" t="b">
        <v>0</v>
      </c>
    </row>
    <row r="2557">
      <c r="A2557" s="26" t="s">
        <v>2162</v>
      </c>
      <c r="B2557" s="26" t="s">
        <v>35</v>
      </c>
      <c r="C2557" s="150">
        <v>46225.0</v>
      </c>
      <c r="D2557" s="26" t="s">
        <v>11779</v>
      </c>
      <c r="E2557" s="26" t="s">
        <v>13175</v>
      </c>
      <c r="F2557" s="10"/>
      <c r="G2557" s="26" t="s">
        <v>13176</v>
      </c>
      <c r="H2557" s="26" t="s">
        <v>1201</v>
      </c>
      <c r="I2557" s="26" t="b">
        <v>1</v>
      </c>
      <c r="J2557" s="26" t="s">
        <v>8596</v>
      </c>
      <c r="K2557" s="10"/>
      <c r="L2557" s="10"/>
      <c r="M2557" s="10"/>
      <c r="N2557" s="10"/>
      <c r="O2557" s="26">
        <v>16.39</v>
      </c>
      <c r="P2557" s="29" t="s">
        <v>13177</v>
      </c>
      <c r="Q2557" s="26" t="b">
        <v>1</v>
      </c>
      <c r="R2557" s="10"/>
    </row>
    <row r="2558">
      <c r="A2558" s="26" t="s">
        <v>12321</v>
      </c>
      <c r="B2558" s="26" t="s">
        <v>35</v>
      </c>
      <c r="C2558" s="150">
        <v>46219.0</v>
      </c>
      <c r="D2558" s="26" t="s">
        <v>890</v>
      </c>
      <c r="E2558" s="26" t="s">
        <v>13178</v>
      </c>
      <c r="F2558" s="10"/>
      <c r="G2558" s="26" t="s">
        <v>13179</v>
      </c>
      <c r="H2558" s="26" t="s">
        <v>13180</v>
      </c>
      <c r="I2558" s="26" t="b">
        <v>0</v>
      </c>
      <c r="J2558" s="26" t="s">
        <v>8596</v>
      </c>
      <c r="K2558" s="10"/>
      <c r="L2558" s="26" t="s">
        <v>13181</v>
      </c>
      <c r="M2558" s="10"/>
      <c r="N2558" s="10"/>
      <c r="O2558" s="26">
        <v>5612.67</v>
      </c>
      <c r="P2558" s="10"/>
      <c r="Q2558" s="26" t="b">
        <v>1</v>
      </c>
      <c r="R2558" s="10"/>
    </row>
    <row r="2559">
      <c r="A2559" s="26" t="s">
        <v>12327</v>
      </c>
      <c r="B2559" s="26" t="s">
        <v>35</v>
      </c>
      <c r="C2559" s="150">
        <v>46227.0</v>
      </c>
      <c r="D2559" s="26" t="s">
        <v>137</v>
      </c>
      <c r="E2559" s="26" t="s">
        <v>13182</v>
      </c>
      <c r="F2559" s="10"/>
      <c r="G2559" s="26" t="s">
        <v>13183</v>
      </c>
      <c r="H2559" s="26" t="s">
        <v>140</v>
      </c>
      <c r="I2559" s="26" t="b">
        <v>0</v>
      </c>
      <c r="J2559" s="26" t="s">
        <v>8596</v>
      </c>
      <c r="K2559" s="10"/>
      <c r="L2559" s="10"/>
      <c r="M2559" s="10"/>
      <c r="N2559" s="10"/>
      <c r="O2559" s="26">
        <v>330.0</v>
      </c>
      <c r="P2559" s="10"/>
      <c r="Q2559" s="26" t="b">
        <v>1</v>
      </c>
      <c r="R2559" s="10"/>
    </row>
    <row r="2560">
      <c r="A2560" s="26" t="s">
        <v>12329</v>
      </c>
      <c r="B2560" s="26" t="s">
        <v>35</v>
      </c>
      <c r="C2560" s="150">
        <v>46227.0</v>
      </c>
      <c r="D2560" s="26" t="s">
        <v>112</v>
      </c>
      <c r="E2560" s="26" t="s">
        <v>13184</v>
      </c>
      <c r="F2560" s="10"/>
      <c r="G2560" s="26" t="s">
        <v>13185</v>
      </c>
      <c r="H2560" s="26" t="s">
        <v>157</v>
      </c>
      <c r="I2560" s="26" t="b">
        <v>0</v>
      </c>
      <c r="J2560" s="26" t="s">
        <v>8596</v>
      </c>
      <c r="K2560" s="10"/>
      <c r="L2560" s="10"/>
      <c r="M2560" s="10"/>
      <c r="N2560" s="10"/>
      <c r="O2560" s="26">
        <v>338.19</v>
      </c>
      <c r="P2560" s="10"/>
      <c r="Q2560" s="26" t="b">
        <v>1</v>
      </c>
      <c r="R2560" s="10"/>
    </row>
    <row r="2561">
      <c r="A2561" s="26" t="s">
        <v>2225</v>
      </c>
      <c r="B2561" s="26" t="s">
        <v>35</v>
      </c>
      <c r="C2561" s="150">
        <v>46227.0</v>
      </c>
      <c r="D2561" s="26" t="s">
        <v>13151</v>
      </c>
      <c r="E2561" s="26" t="s">
        <v>13187</v>
      </c>
      <c r="F2561" s="10"/>
      <c r="G2561" s="26" t="s">
        <v>13188</v>
      </c>
      <c r="H2561" s="26" t="s">
        <v>11625</v>
      </c>
      <c r="I2561" s="26" t="b">
        <v>1</v>
      </c>
      <c r="J2561" s="26" t="s">
        <v>8596</v>
      </c>
      <c r="K2561" s="10"/>
      <c r="L2561" s="10"/>
      <c r="M2561" s="10"/>
      <c r="N2561" s="10"/>
      <c r="O2561" s="26">
        <v>128.41</v>
      </c>
      <c r="P2561" s="29" t="s">
        <v>13189</v>
      </c>
      <c r="Q2561" s="26" t="b">
        <v>1</v>
      </c>
      <c r="R2561" s="10"/>
    </row>
    <row r="2562">
      <c r="A2562" s="26" t="s">
        <v>2220</v>
      </c>
      <c r="B2562" s="26" t="s">
        <v>35</v>
      </c>
      <c r="C2562" s="150">
        <v>46227.0</v>
      </c>
      <c r="D2562" s="26" t="s">
        <v>13190</v>
      </c>
      <c r="E2562" s="26" t="s">
        <v>13191</v>
      </c>
      <c r="F2562" s="10"/>
      <c r="G2562" s="26" t="s">
        <v>13192</v>
      </c>
      <c r="H2562" s="26" t="s">
        <v>13193</v>
      </c>
      <c r="I2562" s="26" t="b">
        <v>1</v>
      </c>
      <c r="J2562" s="26" t="s">
        <v>8596</v>
      </c>
      <c r="K2562" s="10"/>
      <c r="L2562" s="10"/>
      <c r="M2562" s="10"/>
      <c r="N2562" s="10"/>
      <c r="O2562" s="26">
        <v>37.85</v>
      </c>
      <c r="P2562" s="29" t="s">
        <v>13194</v>
      </c>
      <c r="Q2562" s="26" t="b">
        <v>1</v>
      </c>
      <c r="R2562" s="10"/>
    </row>
    <row r="2563">
      <c r="A2563" s="26" t="s">
        <v>12380</v>
      </c>
      <c r="B2563" s="26" t="s">
        <v>35</v>
      </c>
      <c r="C2563" s="150">
        <v>46225.0</v>
      </c>
      <c r="D2563" s="26" t="s">
        <v>420</v>
      </c>
      <c r="E2563" s="26" t="s">
        <v>13196</v>
      </c>
      <c r="F2563" s="10"/>
      <c r="G2563" s="26" t="s">
        <v>13197</v>
      </c>
      <c r="H2563" s="26" t="s">
        <v>12235</v>
      </c>
      <c r="I2563" s="26" t="b">
        <v>0</v>
      </c>
      <c r="J2563" s="26" t="s">
        <v>8596</v>
      </c>
      <c r="K2563" s="10"/>
      <c r="L2563" s="10"/>
      <c r="M2563" s="10"/>
      <c r="N2563" s="10"/>
      <c r="O2563" s="26">
        <v>1349.94</v>
      </c>
      <c r="P2563" s="10"/>
      <c r="Q2563" s="26" t="b">
        <v>1</v>
      </c>
      <c r="R2563" s="10"/>
    </row>
    <row r="2564">
      <c r="A2564" s="26" t="s">
        <v>12391</v>
      </c>
      <c r="B2564" s="26" t="s">
        <v>35</v>
      </c>
      <c r="C2564" s="150">
        <v>46226.0</v>
      </c>
      <c r="D2564" s="26" t="s">
        <v>11765</v>
      </c>
      <c r="E2564" s="26" t="s">
        <v>13198</v>
      </c>
      <c r="F2564" s="10"/>
      <c r="G2564" s="26" t="s">
        <v>13199</v>
      </c>
      <c r="H2564" s="26" t="s">
        <v>195</v>
      </c>
      <c r="I2564" s="26" t="b">
        <v>0</v>
      </c>
      <c r="J2564" s="26" t="s">
        <v>8596</v>
      </c>
      <c r="K2564" s="10"/>
      <c r="L2564" s="26" t="s">
        <v>13200</v>
      </c>
      <c r="M2564" s="10"/>
      <c r="N2564" s="10"/>
      <c r="O2564" s="26">
        <v>718.35</v>
      </c>
      <c r="P2564" s="10"/>
      <c r="Q2564" s="26" t="b">
        <v>1</v>
      </c>
      <c r="R2564" s="10"/>
    </row>
    <row r="2565">
      <c r="A2565" s="26" t="s">
        <v>12359</v>
      </c>
      <c r="B2565" s="26" t="s">
        <v>35</v>
      </c>
      <c r="C2565" s="150">
        <v>46230.0</v>
      </c>
      <c r="D2565" s="26" t="s">
        <v>890</v>
      </c>
      <c r="E2565" s="26"/>
      <c r="F2565" s="26" t="s">
        <v>13203</v>
      </c>
      <c r="G2565" s="10"/>
      <c r="H2565" s="26" t="s">
        <v>13203</v>
      </c>
      <c r="I2565" s="26"/>
      <c r="J2565" s="26" t="s">
        <v>539</v>
      </c>
      <c r="K2565" s="10"/>
      <c r="L2565" s="10"/>
      <c r="M2565" s="10"/>
      <c r="N2565" s="10"/>
      <c r="O2565" s="30">
        <v>1217.17</v>
      </c>
      <c r="P2565" s="10"/>
      <c r="Q2565" s="26" t="b">
        <v>1</v>
      </c>
      <c r="R2565" s="26" t="b">
        <v>0</v>
      </c>
    </row>
    <row r="2566">
      <c r="A2566" s="26" t="s">
        <v>12361</v>
      </c>
      <c r="B2566" s="26" t="s">
        <v>35</v>
      </c>
      <c r="C2566" s="150">
        <v>46230.0</v>
      </c>
      <c r="D2566" s="26" t="s">
        <v>890</v>
      </c>
      <c r="E2566" s="10"/>
      <c r="F2566" s="26" t="s">
        <v>13204</v>
      </c>
      <c r="G2566" s="10"/>
      <c r="H2566" s="26" t="s">
        <v>13204</v>
      </c>
      <c r="I2566" s="10"/>
      <c r="J2566" s="26" t="s">
        <v>539</v>
      </c>
      <c r="K2566" s="10"/>
      <c r="L2566" s="10"/>
      <c r="M2566" s="10"/>
      <c r="N2566" s="10"/>
      <c r="O2566" s="30">
        <v>1560.0</v>
      </c>
      <c r="P2566" s="10"/>
      <c r="Q2566" s="26" t="b">
        <v>1</v>
      </c>
      <c r="R2566" s="26" t="b">
        <v>0</v>
      </c>
    </row>
    <row r="2567">
      <c r="A2567" s="26">
        <v>12338.0</v>
      </c>
      <c r="B2567" s="26" t="s">
        <v>35</v>
      </c>
      <c r="C2567" s="150">
        <v>46230.0</v>
      </c>
      <c r="D2567" s="26" t="s">
        <v>9825</v>
      </c>
      <c r="E2567" s="10"/>
      <c r="F2567" s="26" t="s">
        <v>9826</v>
      </c>
      <c r="G2567" s="10"/>
      <c r="H2567" s="26" t="s">
        <v>9826</v>
      </c>
      <c r="I2567" s="10"/>
      <c r="J2567" s="26" t="s">
        <v>539</v>
      </c>
      <c r="K2567" s="10"/>
      <c r="L2567" s="10"/>
      <c r="M2567" s="10"/>
      <c r="N2567" s="10"/>
      <c r="O2567" s="30">
        <v>247.73</v>
      </c>
      <c r="P2567" s="10"/>
      <c r="Q2567" s="26" t="b">
        <v>1</v>
      </c>
      <c r="R2567" s="26" t="b">
        <v>0</v>
      </c>
    </row>
    <row r="2568">
      <c r="A2568" s="26">
        <v>12339.0</v>
      </c>
      <c r="B2568" s="26" t="s">
        <v>35</v>
      </c>
      <c r="C2568" s="150">
        <v>46230.0</v>
      </c>
      <c r="D2568" s="26" t="s">
        <v>9825</v>
      </c>
      <c r="E2568" s="10"/>
      <c r="F2568" s="26" t="s">
        <v>9835</v>
      </c>
      <c r="G2568" s="10"/>
      <c r="H2568" s="26" t="s">
        <v>9835</v>
      </c>
      <c r="I2568" s="10"/>
      <c r="J2568" s="26" t="s">
        <v>539</v>
      </c>
      <c r="K2568" s="10"/>
      <c r="L2568" s="10"/>
      <c r="M2568" s="10"/>
      <c r="N2568" s="10"/>
      <c r="O2568" s="30">
        <v>87.68</v>
      </c>
      <c r="P2568" s="10"/>
      <c r="Q2568" s="26" t="b">
        <v>1</v>
      </c>
      <c r="R2568" s="26" t="b">
        <v>0</v>
      </c>
    </row>
    <row r="2569">
      <c r="A2569" s="26">
        <v>12340.0</v>
      </c>
      <c r="B2569" s="26" t="s">
        <v>35</v>
      </c>
      <c r="C2569" s="150">
        <v>46230.0</v>
      </c>
      <c r="D2569" s="26" t="s">
        <v>2294</v>
      </c>
      <c r="E2569" s="10"/>
      <c r="F2569" s="26" t="s">
        <v>13207</v>
      </c>
      <c r="G2569" s="10"/>
      <c r="H2569" s="26" t="s">
        <v>13207</v>
      </c>
      <c r="I2569" s="10"/>
      <c r="J2569" s="26" t="s">
        <v>539</v>
      </c>
      <c r="K2569" s="10"/>
      <c r="L2569" s="10"/>
      <c r="M2569" s="10"/>
      <c r="N2569" s="10"/>
      <c r="O2569" s="30">
        <v>292.83</v>
      </c>
      <c r="P2569" s="10"/>
      <c r="Q2569" s="26" t="b">
        <v>1</v>
      </c>
      <c r="R2569" s="26" t="b">
        <v>0</v>
      </c>
    </row>
    <row r="2570">
      <c r="A2570" s="26">
        <v>12341.0</v>
      </c>
      <c r="B2570" s="26" t="s">
        <v>35</v>
      </c>
      <c r="C2570" s="150">
        <v>46230.0</v>
      </c>
      <c r="D2570" s="26" t="s">
        <v>460</v>
      </c>
      <c r="E2570" s="10"/>
      <c r="F2570" s="26" t="s">
        <v>11326</v>
      </c>
      <c r="G2570" s="10"/>
      <c r="H2570" s="26" t="s">
        <v>11326</v>
      </c>
      <c r="I2570" s="10"/>
      <c r="J2570" s="26" t="s">
        <v>539</v>
      </c>
      <c r="K2570" s="10"/>
      <c r="L2570" s="10"/>
      <c r="M2570" s="10"/>
      <c r="N2570" s="10"/>
      <c r="O2570" s="30">
        <v>72.0</v>
      </c>
      <c r="P2570" s="10"/>
      <c r="Q2570" s="26" t="b">
        <v>1</v>
      </c>
      <c r="R2570" s="26" t="b">
        <v>0</v>
      </c>
    </row>
    <row r="2571">
      <c r="A2571" s="26">
        <v>12347.0</v>
      </c>
      <c r="B2571" s="26" t="s">
        <v>35</v>
      </c>
      <c r="C2571" s="150">
        <v>46230.0</v>
      </c>
      <c r="D2571" s="26" t="s">
        <v>460</v>
      </c>
      <c r="E2571" s="10"/>
      <c r="F2571" s="26" t="s">
        <v>12100</v>
      </c>
      <c r="G2571" s="10"/>
      <c r="H2571" s="26" t="s">
        <v>12100</v>
      </c>
      <c r="I2571" s="10"/>
      <c r="J2571" s="26" t="s">
        <v>539</v>
      </c>
      <c r="K2571" s="10"/>
      <c r="L2571" s="10"/>
      <c r="M2571" s="10"/>
      <c r="N2571" s="10"/>
      <c r="O2571" s="30">
        <v>70.0</v>
      </c>
      <c r="P2571" s="10"/>
      <c r="Q2571" s="26" t="b">
        <v>1</v>
      </c>
      <c r="R2571" s="26" t="b">
        <v>0</v>
      </c>
    </row>
    <row r="2572">
      <c r="A2572" s="26">
        <v>12348.0</v>
      </c>
      <c r="B2572" s="26" t="s">
        <v>35</v>
      </c>
      <c r="C2572" s="150">
        <v>46230.0</v>
      </c>
      <c r="D2572" s="26" t="s">
        <v>460</v>
      </c>
      <c r="E2572" s="10"/>
      <c r="F2572" s="150">
        <v>46298.0</v>
      </c>
      <c r="G2572" s="10"/>
      <c r="H2572" s="150">
        <v>46298.0</v>
      </c>
      <c r="I2572" s="10"/>
      <c r="J2572" s="26" t="s">
        <v>539</v>
      </c>
      <c r="K2572" s="10"/>
      <c r="L2572" s="10"/>
      <c r="M2572" s="10"/>
      <c r="N2572" s="10"/>
      <c r="O2572" s="30">
        <v>855.0</v>
      </c>
      <c r="P2572" s="10"/>
      <c r="Q2572" s="26" t="b">
        <v>1</v>
      </c>
      <c r="R2572" s="26" t="b">
        <v>0</v>
      </c>
    </row>
    <row r="2573">
      <c r="A2573" s="26" t="s">
        <v>12377</v>
      </c>
      <c r="B2573" s="26" t="s">
        <v>35</v>
      </c>
      <c r="C2573" s="150">
        <v>46230.0</v>
      </c>
      <c r="D2573" s="26" t="s">
        <v>890</v>
      </c>
      <c r="E2573" s="10"/>
      <c r="F2573" s="26" t="s">
        <v>23</v>
      </c>
      <c r="G2573" s="10"/>
      <c r="H2573" s="26" t="s">
        <v>23</v>
      </c>
      <c r="I2573" s="10"/>
      <c r="J2573" s="26" t="s">
        <v>539</v>
      </c>
      <c r="K2573" s="10"/>
      <c r="L2573" s="10"/>
      <c r="M2573" s="10"/>
      <c r="N2573" s="10"/>
      <c r="O2573" s="30">
        <v>847.24</v>
      </c>
      <c r="P2573" s="10"/>
      <c r="Q2573" s="26" t="b">
        <v>1</v>
      </c>
      <c r="R2573" s="26" t="b">
        <v>0</v>
      </c>
    </row>
    <row r="2574">
      <c r="A2574" s="26" t="s">
        <v>12429</v>
      </c>
      <c r="B2574" s="26" t="s">
        <v>35</v>
      </c>
      <c r="C2574" s="150">
        <v>46233.0</v>
      </c>
      <c r="D2574" s="26" t="s">
        <v>11765</v>
      </c>
      <c r="E2574" s="26" t="s">
        <v>13211</v>
      </c>
      <c r="F2574" s="10"/>
      <c r="G2574" s="26" t="s">
        <v>13212</v>
      </c>
      <c r="H2574" s="26" t="s">
        <v>195</v>
      </c>
      <c r="I2574" s="26" t="b">
        <v>0</v>
      </c>
      <c r="J2574" s="26" t="s">
        <v>8596</v>
      </c>
      <c r="K2574" s="10"/>
      <c r="L2574" s="26" t="s">
        <v>13213</v>
      </c>
      <c r="M2574" s="10"/>
      <c r="N2574" s="10"/>
      <c r="O2574" s="26">
        <v>1241.29</v>
      </c>
      <c r="P2574" s="10"/>
      <c r="Q2574" s="26" t="b">
        <v>1</v>
      </c>
      <c r="R2574" s="10"/>
    </row>
    <row r="2575">
      <c r="A2575" s="26" t="s">
        <v>12415</v>
      </c>
      <c r="B2575" s="26" t="s">
        <v>35</v>
      </c>
      <c r="C2575" s="150">
        <v>46231.0</v>
      </c>
      <c r="D2575" s="26" t="s">
        <v>11784</v>
      </c>
      <c r="E2575" s="26" t="s">
        <v>13214</v>
      </c>
      <c r="F2575" s="10"/>
      <c r="G2575" s="26" t="s">
        <v>13215</v>
      </c>
      <c r="H2575" s="26" t="s">
        <v>147</v>
      </c>
      <c r="I2575" s="26" t="b">
        <v>1</v>
      </c>
      <c r="J2575" s="26" t="s">
        <v>8596</v>
      </c>
      <c r="K2575" s="10"/>
      <c r="L2575" s="10"/>
      <c r="M2575" s="10"/>
      <c r="N2575" s="10"/>
      <c r="O2575" s="26">
        <v>603.0</v>
      </c>
      <c r="P2575" s="29" t="s">
        <v>13216</v>
      </c>
      <c r="Q2575" s="26" t="b">
        <v>1</v>
      </c>
      <c r="R2575" s="10"/>
    </row>
    <row r="2576">
      <c r="A2576" s="26" t="s">
        <v>12427</v>
      </c>
      <c r="B2576" s="26" t="s">
        <v>35</v>
      </c>
      <c r="C2576" s="150">
        <v>46232.0</v>
      </c>
      <c r="D2576" s="26" t="s">
        <v>137</v>
      </c>
      <c r="E2576" s="26" t="s">
        <v>13217</v>
      </c>
      <c r="F2576" s="10"/>
      <c r="G2576" s="26" t="s">
        <v>13218</v>
      </c>
      <c r="H2576" s="26" t="s">
        <v>140</v>
      </c>
      <c r="I2576" s="26" t="b">
        <v>0</v>
      </c>
      <c r="J2576" s="26" t="s">
        <v>8596</v>
      </c>
      <c r="K2576" s="10"/>
      <c r="L2576" s="10"/>
      <c r="M2576" s="10"/>
      <c r="N2576" s="10"/>
      <c r="O2576" s="26">
        <v>300.0</v>
      </c>
      <c r="P2576" s="10"/>
      <c r="Q2576" s="26" t="b">
        <v>1</v>
      </c>
      <c r="R2576" s="10"/>
    </row>
    <row r="2577">
      <c r="A2577" s="26" t="s">
        <v>12409</v>
      </c>
      <c r="B2577" s="26" t="s">
        <v>35</v>
      </c>
      <c r="C2577" s="150">
        <v>46230.0</v>
      </c>
      <c r="D2577" s="26" t="s">
        <v>112</v>
      </c>
      <c r="E2577" s="26" t="s">
        <v>13220</v>
      </c>
      <c r="F2577" s="10"/>
      <c r="G2577" s="26" t="s">
        <v>13221</v>
      </c>
      <c r="H2577" s="26" t="s">
        <v>157</v>
      </c>
      <c r="I2577" s="26" t="b">
        <v>0</v>
      </c>
      <c r="J2577" s="26" t="s">
        <v>8596</v>
      </c>
      <c r="K2577" s="10"/>
      <c r="L2577" s="10"/>
      <c r="M2577" s="10"/>
      <c r="N2577" s="10"/>
      <c r="O2577" s="26">
        <v>238.42</v>
      </c>
      <c r="P2577" s="10"/>
      <c r="Q2577" s="26" t="b">
        <v>1</v>
      </c>
      <c r="R2577" s="10"/>
    </row>
    <row r="2578">
      <c r="A2578" s="26" t="s">
        <v>2458</v>
      </c>
      <c r="B2578" s="26" t="s">
        <v>35</v>
      </c>
      <c r="C2578" s="150">
        <v>46234.0</v>
      </c>
      <c r="D2578" s="26" t="s">
        <v>13222</v>
      </c>
      <c r="E2578" s="26" t="s">
        <v>13223</v>
      </c>
      <c r="F2578" s="10"/>
      <c r="G2578" s="26" t="s">
        <v>13224</v>
      </c>
      <c r="H2578" s="26" t="s">
        <v>140</v>
      </c>
      <c r="I2578" s="26" t="b">
        <v>1</v>
      </c>
      <c r="J2578" s="26" t="s">
        <v>8596</v>
      </c>
      <c r="K2578" s="10"/>
      <c r="L2578" s="10"/>
      <c r="M2578" s="10"/>
      <c r="N2578" s="10"/>
      <c r="O2578" s="26">
        <v>228.0</v>
      </c>
      <c r="P2578" s="29" t="s">
        <v>13225</v>
      </c>
      <c r="Q2578" s="26" t="b">
        <v>1</v>
      </c>
      <c r="R2578" s="10"/>
    </row>
    <row r="2579">
      <c r="A2579" s="26" t="s">
        <v>12446</v>
      </c>
      <c r="B2579" s="26" t="s">
        <v>35</v>
      </c>
      <c r="C2579" s="150">
        <v>46230.0</v>
      </c>
      <c r="D2579" s="26" t="s">
        <v>13222</v>
      </c>
      <c r="E2579" s="26" t="s">
        <v>13226</v>
      </c>
      <c r="F2579" s="10"/>
      <c r="G2579" s="26" t="s">
        <v>13227</v>
      </c>
      <c r="H2579" s="26" t="s">
        <v>140</v>
      </c>
      <c r="I2579" s="26" t="b">
        <v>1</v>
      </c>
      <c r="J2579" s="26" t="s">
        <v>8596</v>
      </c>
      <c r="K2579" s="10"/>
      <c r="L2579" s="10"/>
      <c r="M2579" s="10"/>
      <c r="N2579" s="10"/>
      <c r="O2579" s="26">
        <v>80.0</v>
      </c>
      <c r="P2579" s="29" t="s">
        <v>13228</v>
      </c>
      <c r="Q2579" s="26" t="b">
        <v>1</v>
      </c>
      <c r="R2579" s="10"/>
    </row>
    <row r="2580">
      <c r="A2580" s="26" t="s">
        <v>2440</v>
      </c>
      <c r="B2580" s="26" t="s">
        <v>35</v>
      </c>
      <c r="C2580" s="150">
        <v>46234.0</v>
      </c>
      <c r="D2580" s="26" t="s">
        <v>11779</v>
      </c>
      <c r="E2580" s="26" t="s">
        <v>13230</v>
      </c>
      <c r="F2580" s="10"/>
      <c r="G2580" s="26" t="s">
        <v>13232</v>
      </c>
      <c r="H2580" s="26" t="s">
        <v>13233</v>
      </c>
      <c r="I2580" s="26" t="b">
        <v>1</v>
      </c>
      <c r="J2580" s="26" t="s">
        <v>8596</v>
      </c>
      <c r="K2580" s="10"/>
      <c r="L2580" s="10"/>
      <c r="M2580" s="10"/>
      <c r="N2580" s="10"/>
      <c r="O2580" s="26">
        <v>119.6</v>
      </c>
      <c r="P2580" s="29" t="s">
        <v>13234</v>
      </c>
      <c r="Q2580" s="26" t="b">
        <v>1</v>
      </c>
      <c r="R2580" s="10"/>
    </row>
    <row r="2581">
      <c r="A2581" s="26" t="s">
        <v>12500</v>
      </c>
      <c r="B2581" s="26" t="s">
        <v>35</v>
      </c>
      <c r="C2581" s="150">
        <v>46237.0</v>
      </c>
      <c r="D2581" s="26" t="s">
        <v>112</v>
      </c>
      <c r="E2581" s="26" t="s">
        <v>13235</v>
      </c>
      <c r="F2581" s="10"/>
      <c r="G2581" s="26" t="s">
        <v>13236</v>
      </c>
      <c r="H2581" s="26" t="s">
        <v>157</v>
      </c>
      <c r="I2581" s="26" t="b">
        <v>0</v>
      </c>
      <c r="J2581" s="26" t="s">
        <v>8596</v>
      </c>
      <c r="K2581" s="10"/>
      <c r="L2581" s="10"/>
      <c r="M2581" s="10"/>
      <c r="N2581" s="10"/>
      <c r="O2581" s="26">
        <v>266.49</v>
      </c>
      <c r="P2581" s="10"/>
      <c r="Q2581" s="26" t="b">
        <v>1</v>
      </c>
      <c r="R2581" s="10"/>
    </row>
    <row r="2582">
      <c r="A2582" s="26" t="s">
        <v>12468</v>
      </c>
      <c r="B2582" s="26" t="s">
        <v>35</v>
      </c>
      <c r="C2582" s="150">
        <v>46234.0</v>
      </c>
      <c r="D2582" s="26" t="s">
        <v>112</v>
      </c>
      <c r="E2582" s="26" t="s">
        <v>13237</v>
      </c>
      <c r="F2582" s="10"/>
      <c r="G2582" s="26" t="s">
        <v>13238</v>
      </c>
      <c r="H2582" s="26" t="s">
        <v>157</v>
      </c>
      <c r="I2582" s="26" t="b">
        <v>0</v>
      </c>
      <c r="J2582" s="26" t="s">
        <v>8596</v>
      </c>
      <c r="K2582" s="10"/>
      <c r="L2582" s="10"/>
      <c r="M2582" s="10"/>
      <c r="N2582" s="10"/>
      <c r="O2582" s="26">
        <v>535.28</v>
      </c>
      <c r="P2582" s="10"/>
      <c r="Q2582" s="26" t="b">
        <v>1</v>
      </c>
      <c r="R2582" s="10"/>
    </row>
    <row r="2583">
      <c r="A2583" s="26" t="s">
        <v>12480</v>
      </c>
      <c r="B2583" s="26" t="s">
        <v>35</v>
      </c>
      <c r="C2583" s="150">
        <v>46234.0</v>
      </c>
      <c r="D2583" s="26" t="s">
        <v>137</v>
      </c>
      <c r="E2583" s="26" t="s">
        <v>13241</v>
      </c>
      <c r="F2583" s="10"/>
      <c r="G2583" s="26" t="s">
        <v>13242</v>
      </c>
      <c r="H2583" s="26" t="s">
        <v>140</v>
      </c>
      <c r="I2583" s="26" t="b">
        <v>0</v>
      </c>
      <c r="J2583" s="26" t="s">
        <v>8596</v>
      </c>
      <c r="K2583" s="10"/>
      <c r="L2583" s="10"/>
      <c r="M2583" s="10"/>
      <c r="N2583" s="10"/>
      <c r="O2583" s="26">
        <v>300.0</v>
      </c>
      <c r="P2583" s="10"/>
      <c r="Q2583" s="26" t="b">
        <v>1</v>
      </c>
      <c r="R2583" s="10"/>
    </row>
    <row r="2584">
      <c r="A2584" s="26" t="s">
        <v>12456</v>
      </c>
      <c r="B2584" s="26" t="s">
        <v>35</v>
      </c>
      <c r="C2584" s="150">
        <v>46231.0</v>
      </c>
      <c r="D2584" s="26" t="s">
        <v>890</v>
      </c>
      <c r="E2584" s="26" t="s">
        <v>13243</v>
      </c>
      <c r="F2584" s="10"/>
      <c r="G2584" s="26" t="s">
        <v>13244</v>
      </c>
      <c r="H2584" s="26" t="s">
        <v>13245</v>
      </c>
      <c r="I2584" s="26" t="b">
        <v>0</v>
      </c>
      <c r="J2584" s="26" t="s">
        <v>8596</v>
      </c>
      <c r="K2584" s="10"/>
      <c r="L2584" s="26" t="s">
        <v>13246</v>
      </c>
      <c r="M2584" s="26" t="s">
        <v>13247</v>
      </c>
      <c r="N2584" s="10"/>
      <c r="O2584" s="26">
        <v>21578.41</v>
      </c>
      <c r="P2584" s="10"/>
      <c r="Q2584" s="26" t="b">
        <v>1</v>
      </c>
      <c r="R2584" s="10"/>
    </row>
    <row r="2585">
      <c r="A2585" s="26" t="s">
        <v>12463</v>
      </c>
      <c r="B2585" s="26" t="s">
        <v>35</v>
      </c>
      <c r="C2585" s="150">
        <v>46231.0</v>
      </c>
      <c r="D2585" s="26" t="s">
        <v>13249</v>
      </c>
      <c r="E2585" s="26" t="s">
        <v>13250</v>
      </c>
      <c r="F2585" s="10"/>
      <c r="G2585" s="26" t="s">
        <v>13251</v>
      </c>
      <c r="H2585" s="26" t="s">
        <v>13252</v>
      </c>
      <c r="I2585" s="26" t="b">
        <v>1</v>
      </c>
      <c r="J2585" s="26" t="s">
        <v>8596</v>
      </c>
      <c r="K2585" s="10"/>
      <c r="L2585" s="10"/>
      <c r="M2585" s="10"/>
      <c r="N2585" s="10"/>
      <c r="O2585" s="26">
        <v>106.29</v>
      </c>
      <c r="P2585" s="29" t="s">
        <v>13253</v>
      </c>
      <c r="Q2585" s="26" t="b">
        <v>1</v>
      </c>
      <c r="R2585" s="10"/>
    </row>
    <row r="2586">
      <c r="A2586" s="26" t="s">
        <v>12482</v>
      </c>
      <c r="B2586" s="26" t="s">
        <v>35</v>
      </c>
      <c r="C2586" s="150">
        <v>46234.0</v>
      </c>
      <c r="D2586" s="29" t="s">
        <v>12789</v>
      </c>
      <c r="E2586" s="26" t="s">
        <v>13254</v>
      </c>
      <c r="F2586" s="10"/>
      <c r="G2586" s="26" t="s">
        <v>13255</v>
      </c>
      <c r="H2586" s="26" t="s">
        <v>11625</v>
      </c>
      <c r="I2586" s="26" t="b">
        <v>1</v>
      </c>
      <c r="J2586" s="26" t="s">
        <v>8596</v>
      </c>
      <c r="K2586" s="10"/>
      <c r="L2586" s="10"/>
      <c r="M2586" s="10"/>
      <c r="N2586" s="10"/>
      <c r="O2586" s="26">
        <v>138.8</v>
      </c>
      <c r="P2586" s="29" t="s">
        <v>13256</v>
      </c>
      <c r="Q2586" s="26" t="b">
        <v>1</v>
      </c>
      <c r="R2586" s="10"/>
    </row>
    <row r="2587">
      <c r="A2587" s="26" t="s">
        <v>12537</v>
      </c>
      <c r="B2587" s="26" t="s">
        <v>35</v>
      </c>
      <c r="C2587" s="150">
        <v>46232.0</v>
      </c>
      <c r="D2587" s="26" t="s">
        <v>890</v>
      </c>
      <c r="E2587" s="26" t="s">
        <v>13257</v>
      </c>
      <c r="F2587" s="10"/>
      <c r="G2587" s="26" t="s">
        <v>13258</v>
      </c>
      <c r="H2587" s="26" t="s">
        <v>13260</v>
      </c>
      <c r="I2587" s="26" t="b">
        <v>0</v>
      </c>
      <c r="J2587" s="26" t="s">
        <v>8596</v>
      </c>
      <c r="K2587" s="10"/>
      <c r="L2587" s="26" t="s">
        <v>13261</v>
      </c>
      <c r="M2587" s="10"/>
      <c r="N2587" s="10"/>
      <c r="O2587" s="26">
        <v>4325.38</v>
      </c>
      <c r="P2587" s="10"/>
      <c r="Q2587" s="26" t="b">
        <v>1</v>
      </c>
      <c r="R2587" s="10"/>
    </row>
    <row r="2588">
      <c r="A2588" s="26" t="s">
        <v>13262</v>
      </c>
      <c r="B2588" s="26" t="s">
        <v>35</v>
      </c>
      <c r="C2588" s="150">
        <v>46231.0</v>
      </c>
      <c r="D2588" s="26" t="s">
        <v>890</v>
      </c>
      <c r="E2588" s="26" t="s">
        <v>13263</v>
      </c>
      <c r="F2588" s="10"/>
      <c r="G2588" s="10"/>
      <c r="H2588" s="26" t="s">
        <v>13264</v>
      </c>
      <c r="I2588" s="26" t="b">
        <v>0</v>
      </c>
      <c r="J2588" s="26" t="s">
        <v>8596</v>
      </c>
      <c r="K2588" s="10"/>
      <c r="L2588" s="10"/>
      <c r="M2588" s="10"/>
      <c r="N2588" s="10"/>
      <c r="O2588" s="10"/>
      <c r="P2588" s="10"/>
      <c r="Q2588" s="26" t="b">
        <v>0</v>
      </c>
      <c r="R2588" s="10"/>
    </row>
    <row r="2589">
      <c r="A2589" s="26" t="s">
        <v>12543</v>
      </c>
      <c r="B2589" s="26" t="s">
        <v>35</v>
      </c>
      <c r="C2589" s="150">
        <v>46237.0</v>
      </c>
      <c r="D2589" s="26" t="s">
        <v>137</v>
      </c>
      <c r="E2589" s="26" t="s">
        <v>13265</v>
      </c>
      <c r="F2589" s="10"/>
      <c r="G2589" s="26" t="s">
        <v>13266</v>
      </c>
      <c r="H2589" s="26" t="s">
        <v>140</v>
      </c>
      <c r="I2589" s="26" t="b">
        <v>0</v>
      </c>
      <c r="J2589" s="26" t="s">
        <v>8596</v>
      </c>
      <c r="K2589" s="10"/>
      <c r="L2589" s="10"/>
      <c r="M2589" s="10"/>
      <c r="N2589" s="10"/>
      <c r="O2589" s="26">
        <v>300.0</v>
      </c>
      <c r="P2589" s="10"/>
      <c r="Q2589" s="26" t="b">
        <v>1</v>
      </c>
      <c r="R2589" s="10"/>
    </row>
    <row r="2590">
      <c r="A2590" s="26"/>
      <c r="B2590" s="26"/>
      <c r="C2590" s="150"/>
      <c r="D2590" s="26"/>
      <c r="E2590" s="26"/>
      <c r="F2590" s="10"/>
      <c r="G2590" s="26"/>
      <c r="H2590" s="26"/>
      <c r="I2590" s="26"/>
      <c r="J2590" s="26"/>
      <c r="K2590" s="10"/>
      <c r="L2590" s="26"/>
      <c r="M2590" s="10"/>
      <c r="N2590" s="10"/>
      <c r="O2590" s="10"/>
      <c r="P2590" s="10"/>
      <c r="Q2590" s="26"/>
      <c r="R2590" s="10"/>
    </row>
    <row r="2591">
      <c r="A2591" s="26">
        <v>12343.0</v>
      </c>
      <c r="B2591" s="26" t="s">
        <v>35</v>
      </c>
      <c r="C2591" s="150">
        <v>46237.0</v>
      </c>
      <c r="D2591" s="10"/>
      <c r="E2591" s="10"/>
      <c r="F2591" s="26" t="s">
        <v>8658</v>
      </c>
      <c r="G2591" s="10"/>
      <c r="H2591" s="26" t="s">
        <v>8658</v>
      </c>
      <c r="I2591" s="10"/>
      <c r="J2591" s="26" t="s">
        <v>539</v>
      </c>
      <c r="K2591" s="26" t="s">
        <v>227</v>
      </c>
      <c r="L2591" s="10"/>
      <c r="M2591" s="10"/>
      <c r="N2591" s="10"/>
      <c r="O2591" s="30">
        <v>1738.22</v>
      </c>
      <c r="P2591" s="10"/>
      <c r="Q2591" s="26" t="b">
        <v>1</v>
      </c>
      <c r="R2591" s="26" t="b">
        <v>0</v>
      </c>
    </row>
    <row r="2592">
      <c r="A2592" s="26">
        <v>12344.0</v>
      </c>
      <c r="B2592" s="26" t="s">
        <v>35</v>
      </c>
      <c r="C2592" s="150">
        <v>46237.0</v>
      </c>
      <c r="D2592" s="10"/>
      <c r="E2592" s="10"/>
      <c r="F2592" s="26" t="s">
        <v>8658</v>
      </c>
      <c r="G2592" s="10"/>
      <c r="H2592" s="26" t="s">
        <v>8658</v>
      </c>
      <c r="I2592" s="10"/>
      <c r="J2592" s="26" t="s">
        <v>539</v>
      </c>
      <c r="K2592" s="26" t="s">
        <v>117</v>
      </c>
      <c r="L2592" s="10"/>
      <c r="M2592" s="10"/>
      <c r="N2592" s="10"/>
      <c r="O2592" s="30">
        <v>1550.22</v>
      </c>
      <c r="P2592" s="10"/>
      <c r="Q2592" s="26" t="b">
        <v>1</v>
      </c>
      <c r="R2592" s="26" t="b">
        <v>0</v>
      </c>
    </row>
    <row r="2593">
      <c r="A2593" s="26">
        <v>12345.0</v>
      </c>
      <c r="B2593" s="26" t="s">
        <v>35</v>
      </c>
      <c r="C2593" s="150">
        <v>46237.0</v>
      </c>
      <c r="D2593" s="10"/>
      <c r="E2593" s="10"/>
      <c r="F2593" s="26" t="s">
        <v>8658</v>
      </c>
      <c r="G2593" s="10"/>
      <c r="H2593" s="26" t="s">
        <v>8658</v>
      </c>
      <c r="I2593" s="10"/>
      <c r="J2593" s="26" t="s">
        <v>539</v>
      </c>
      <c r="K2593" s="26" t="s">
        <v>218</v>
      </c>
      <c r="L2593" s="10"/>
      <c r="M2593" s="10"/>
      <c r="N2593" s="10"/>
      <c r="O2593" s="30">
        <v>3768.65</v>
      </c>
      <c r="P2593" s="10"/>
      <c r="Q2593" s="26" t="b">
        <v>1</v>
      </c>
      <c r="R2593" s="26" t="b">
        <v>0</v>
      </c>
    </row>
    <row r="2594">
      <c r="A2594" s="26">
        <v>12346.0</v>
      </c>
      <c r="B2594" s="26" t="s">
        <v>35</v>
      </c>
      <c r="C2594" s="150">
        <v>46237.0</v>
      </c>
      <c r="D2594" s="10"/>
      <c r="E2594" s="10"/>
      <c r="F2594" s="26" t="s">
        <v>8658</v>
      </c>
      <c r="G2594" s="10"/>
      <c r="H2594" s="26" t="s">
        <v>8658</v>
      </c>
      <c r="I2594" s="10"/>
      <c r="J2594" s="26" t="s">
        <v>539</v>
      </c>
      <c r="K2594" s="26" t="s">
        <v>336</v>
      </c>
      <c r="L2594" s="10"/>
      <c r="M2594" s="10"/>
      <c r="N2594" s="10"/>
      <c r="O2594" s="30">
        <v>1687.94</v>
      </c>
      <c r="P2594" s="10"/>
      <c r="Q2594" s="26" t="b">
        <v>1</v>
      </c>
      <c r="R2594" s="26" t="b">
        <v>0</v>
      </c>
    </row>
    <row r="2595">
      <c r="A2595" s="26" t="s">
        <v>12522</v>
      </c>
      <c r="B2595" s="26" t="s">
        <v>35</v>
      </c>
      <c r="C2595" s="150">
        <v>46237.0</v>
      </c>
      <c r="D2595" s="26" t="s">
        <v>460</v>
      </c>
      <c r="E2595" s="10"/>
      <c r="F2595" s="26" t="s">
        <v>13269</v>
      </c>
      <c r="G2595" s="10"/>
      <c r="H2595" s="26" t="s">
        <v>13269</v>
      </c>
      <c r="I2595" s="10"/>
      <c r="J2595" s="26" t="s">
        <v>539</v>
      </c>
      <c r="K2595" s="10"/>
      <c r="L2595" s="10"/>
      <c r="M2595" s="10"/>
      <c r="N2595" s="10"/>
      <c r="O2595" s="30">
        <v>1295.0</v>
      </c>
      <c r="P2595" s="10"/>
      <c r="Q2595" s="26" t="b">
        <v>1</v>
      </c>
      <c r="R2595" s="26" t="b">
        <v>0</v>
      </c>
    </row>
    <row r="2596">
      <c r="A2596" s="26" t="s">
        <v>12525</v>
      </c>
      <c r="B2596" s="26" t="s">
        <v>35</v>
      </c>
      <c r="C2596" s="150">
        <v>46231.0</v>
      </c>
      <c r="D2596" s="10"/>
      <c r="E2596" s="10"/>
      <c r="F2596" s="26" t="s">
        <v>13270</v>
      </c>
      <c r="G2596" s="10"/>
      <c r="H2596" s="26" t="s">
        <v>13270</v>
      </c>
      <c r="I2596" s="10"/>
      <c r="J2596" s="26" t="s">
        <v>539</v>
      </c>
      <c r="K2596" s="26" t="s">
        <v>13271</v>
      </c>
      <c r="L2596" s="10"/>
      <c r="M2596" s="10"/>
      <c r="N2596" s="10"/>
      <c r="O2596" s="30">
        <v>4058.17</v>
      </c>
      <c r="P2596" s="10"/>
      <c r="Q2596" s="26" t="b">
        <v>1</v>
      </c>
      <c r="R2596" s="26" t="b">
        <v>0</v>
      </c>
    </row>
    <row r="2597">
      <c r="A2597" s="26">
        <v>12376.0</v>
      </c>
      <c r="B2597" s="26" t="s">
        <v>35</v>
      </c>
      <c r="C2597" s="150">
        <v>46237.0</v>
      </c>
      <c r="D2597" s="26" t="s">
        <v>1036</v>
      </c>
      <c r="E2597" s="10"/>
      <c r="F2597" s="26" t="s">
        <v>9926</v>
      </c>
      <c r="G2597" s="10"/>
      <c r="H2597" s="26" t="s">
        <v>9926</v>
      </c>
      <c r="I2597" s="10"/>
      <c r="J2597" s="26" t="s">
        <v>539</v>
      </c>
      <c r="K2597" s="10"/>
      <c r="L2597" s="10"/>
      <c r="M2597" s="10"/>
      <c r="N2597" s="10"/>
      <c r="O2597" s="30">
        <v>134.83</v>
      </c>
      <c r="P2597" s="10"/>
      <c r="Q2597" s="26" t="b">
        <v>1</v>
      </c>
      <c r="R2597" s="26" t="b">
        <v>0</v>
      </c>
    </row>
    <row r="2598">
      <c r="A2598" s="26">
        <v>12377.0</v>
      </c>
      <c r="B2598" s="26" t="s">
        <v>35</v>
      </c>
      <c r="C2598" s="150">
        <v>46237.0</v>
      </c>
      <c r="D2598" s="26" t="s">
        <v>9929</v>
      </c>
      <c r="E2598" s="10"/>
      <c r="F2598" s="26" t="s">
        <v>9930</v>
      </c>
      <c r="G2598" s="10"/>
      <c r="H2598" s="26" t="s">
        <v>9930</v>
      </c>
      <c r="I2598" s="10"/>
      <c r="J2598" s="26" t="s">
        <v>539</v>
      </c>
      <c r="K2598" s="10"/>
      <c r="L2598" s="10"/>
      <c r="M2598" s="10"/>
      <c r="N2598" s="10"/>
      <c r="O2598" s="30">
        <v>9200.0</v>
      </c>
      <c r="P2598" s="10"/>
      <c r="Q2598" s="26" t="b">
        <v>1</v>
      </c>
      <c r="R2598" s="26" t="b">
        <v>0</v>
      </c>
    </row>
    <row r="2599">
      <c r="A2599" s="26">
        <v>12379.0</v>
      </c>
      <c r="B2599" s="26" t="s">
        <v>35</v>
      </c>
      <c r="C2599" s="150">
        <v>46237.0</v>
      </c>
      <c r="D2599" s="26" t="s">
        <v>2439</v>
      </c>
      <c r="E2599" s="10"/>
      <c r="F2599" s="26" t="s">
        <v>13273</v>
      </c>
      <c r="G2599" s="10"/>
      <c r="H2599" s="26" t="s">
        <v>13273</v>
      </c>
      <c r="I2599" s="10"/>
      <c r="J2599" s="26" t="s">
        <v>539</v>
      </c>
      <c r="K2599" s="10"/>
      <c r="L2599" s="10"/>
      <c r="M2599" s="10"/>
      <c r="N2599" s="10"/>
      <c r="O2599" s="30">
        <v>0.0</v>
      </c>
      <c r="P2599" s="10"/>
      <c r="Q2599" s="26" t="b">
        <v>1</v>
      </c>
      <c r="R2599" s="26" t="b">
        <v>0</v>
      </c>
    </row>
    <row r="2600">
      <c r="A2600" s="26">
        <v>12380.0</v>
      </c>
      <c r="B2600" s="26" t="s">
        <v>35</v>
      </c>
      <c r="C2600" s="150">
        <v>46237.0</v>
      </c>
      <c r="D2600" s="26" t="s">
        <v>10315</v>
      </c>
      <c r="E2600" s="10"/>
      <c r="F2600" s="26" t="s">
        <v>13274</v>
      </c>
      <c r="G2600" s="10"/>
      <c r="H2600" s="26" t="s">
        <v>13274</v>
      </c>
      <c r="I2600" s="10"/>
      <c r="J2600" s="26" t="s">
        <v>539</v>
      </c>
      <c r="K2600" s="10"/>
      <c r="L2600" s="10"/>
      <c r="M2600" s="10"/>
      <c r="N2600" s="10"/>
      <c r="O2600" s="30">
        <v>4521.0</v>
      </c>
      <c r="P2600" s="10"/>
      <c r="Q2600" s="26" t="b">
        <v>1</v>
      </c>
      <c r="R2600" s="26" t="b">
        <v>0</v>
      </c>
    </row>
    <row r="2601">
      <c r="A2601" s="26">
        <v>12381.0</v>
      </c>
      <c r="B2601" s="26" t="s">
        <v>35</v>
      </c>
      <c r="C2601" s="150">
        <v>46237.0</v>
      </c>
      <c r="D2601" s="26" t="s">
        <v>7740</v>
      </c>
      <c r="E2601" s="10"/>
      <c r="F2601" s="26" t="s">
        <v>13273</v>
      </c>
      <c r="G2601" s="10"/>
      <c r="H2601" s="26" t="s">
        <v>13273</v>
      </c>
      <c r="I2601" s="10"/>
      <c r="J2601" s="26" t="s">
        <v>539</v>
      </c>
      <c r="K2601" s="10"/>
      <c r="L2601" s="10"/>
      <c r="M2601" s="10"/>
      <c r="N2601" s="10"/>
      <c r="O2601" s="30">
        <v>1.0</v>
      </c>
      <c r="P2601" s="10"/>
      <c r="Q2601" s="26" t="b">
        <v>1</v>
      </c>
      <c r="R2601" s="26" t="b">
        <v>0</v>
      </c>
    </row>
    <row r="2602">
      <c r="A2602" s="10"/>
      <c r="B2602" s="10"/>
      <c r="C2602" s="25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</row>
    <row r="2603">
      <c r="A2603" s="10"/>
      <c r="B2603" s="10"/>
      <c r="C2603" s="25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</row>
    <row r="2604">
      <c r="A2604" s="10"/>
      <c r="B2604" s="10"/>
      <c r="C2604" s="25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</row>
    <row r="2605">
      <c r="A2605" s="10"/>
      <c r="B2605" s="10"/>
      <c r="C2605" s="25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</row>
    <row r="2606">
      <c r="A2606" s="10"/>
      <c r="B2606" s="10"/>
      <c r="C2606" s="25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</row>
    <row r="2607">
      <c r="A2607" s="10"/>
      <c r="B2607" s="10"/>
      <c r="C2607" s="25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</row>
    <row r="2608">
      <c r="A2608" s="10"/>
      <c r="B2608" s="10"/>
      <c r="C2608" s="25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</row>
    <row r="2609">
      <c r="A2609" s="10"/>
      <c r="B2609" s="10"/>
      <c r="C2609" s="25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</row>
    <row r="2610">
      <c r="A2610" s="10"/>
      <c r="B2610" s="10"/>
      <c r="C2610" s="25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</row>
    <row r="2611">
      <c r="A2611" s="10"/>
      <c r="B2611" s="10"/>
      <c r="C2611" s="25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</row>
    <row r="2612">
      <c r="A2612" s="10"/>
      <c r="B2612" s="10"/>
      <c r="C2612" s="25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</row>
    <row r="2613">
      <c r="A2613" s="10"/>
      <c r="B2613" s="10"/>
      <c r="C2613" s="25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</row>
    <row r="2614">
      <c r="A2614" s="10"/>
      <c r="B2614" s="10"/>
      <c r="C2614" s="25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</row>
    <row r="2615">
      <c r="A2615" s="10"/>
      <c r="B2615" s="10"/>
      <c r="C2615" s="25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</row>
    <row r="2616">
      <c r="A2616" s="10"/>
      <c r="B2616" s="10"/>
      <c r="C2616" s="25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</row>
    <row r="2617">
      <c r="A2617" s="10"/>
      <c r="B2617" s="10"/>
      <c r="C2617" s="25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</row>
    <row r="2618">
      <c r="A2618" s="10"/>
      <c r="B2618" s="10"/>
      <c r="C2618" s="25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</row>
    <row r="2619">
      <c r="A2619" s="10"/>
      <c r="B2619" s="10"/>
      <c r="C2619" s="25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</row>
    <row r="2620">
      <c r="A2620" s="10"/>
      <c r="B2620" s="10"/>
      <c r="C2620" s="25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</row>
    <row r="2621">
      <c r="A2621" s="10"/>
      <c r="B2621" s="10"/>
      <c r="C2621" s="25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</row>
    <row r="2622">
      <c r="A2622" s="10"/>
      <c r="B2622" s="10"/>
      <c r="C2622" s="25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</row>
    <row r="2623">
      <c r="A2623" s="10"/>
      <c r="B2623" s="10"/>
      <c r="C2623" s="25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</row>
    <row r="2624">
      <c r="A2624" s="10"/>
      <c r="B2624" s="10"/>
      <c r="C2624" s="25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</row>
    <row r="2625">
      <c r="A2625" s="10"/>
      <c r="B2625" s="10"/>
      <c r="C2625" s="25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</row>
    <row r="2626">
      <c r="A2626" s="10"/>
      <c r="B2626" s="10"/>
      <c r="C2626" s="25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</row>
    <row r="2627">
      <c r="A2627" s="10"/>
      <c r="B2627" s="10"/>
      <c r="C2627" s="25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</row>
    <row r="2628">
      <c r="A2628" s="10"/>
      <c r="B2628" s="10"/>
      <c r="C2628" s="25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</row>
    <row r="2629">
      <c r="A2629" s="10"/>
      <c r="B2629" s="10"/>
      <c r="C2629" s="25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</row>
    <row r="2630">
      <c r="A2630" s="10"/>
      <c r="B2630" s="10"/>
      <c r="C2630" s="25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</row>
    <row r="2631">
      <c r="A2631" s="10"/>
      <c r="B2631" s="10"/>
      <c r="C2631" s="25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</row>
    <row r="2632">
      <c r="A2632" s="10"/>
      <c r="B2632" s="10"/>
      <c r="C2632" s="25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</row>
    <row r="2633">
      <c r="A2633" s="10"/>
      <c r="B2633" s="10"/>
      <c r="C2633" s="25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</row>
    <row r="2634">
      <c r="A2634" s="10"/>
      <c r="B2634" s="10"/>
      <c r="C2634" s="25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</row>
    <row r="2635">
      <c r="A2635" s="10"/>
      <c r="B2635" s="10"/>
      <c r="C2635" s="25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</row>
    <row r="2636">
      <c r="A2636" s="10"/>
      <c r="B2636" s="10"/>
      <c r="C2636" s="25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</row>
    <row r="2637">
      <c r="A2637" s="10"/>
      <c r="B2637" s="10"/>
      <c r="C2637" s="25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</row>
    <row r="2638">
      <c r="A2638" s="10"/>
      <c r="B2638" s="10"/>
      <c r="C2638" s="25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</row>
    <row r="2639">
      <c r="A2639" s="10"/>
      <c r="B2639" s="10"/>
      <c r="C2639" s="25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</row>
    <row r="2640">
      <c r="A2640" s="10"/>
      <c r="B2640" s="10"/>
      <c r="C2640" s="25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</row>
    <row r="2641">
      <c r="A2641" s="10"/>
      <c r="B2641" s="10"/>
      <c r="C2641" s="25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</row>
    <row r="2642">
      <c r="A2642" s="10"/>
      <c r="B2642" s="10"/>
      <c r="C2642" s="25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</row>
    <row r="2643">
      <c r="A2643" s="10"/>
      <c r="B2643" s="10"/>
      <c r="C2643" s="25"/>
      <c r="D2643" s="10"/>
      <c r="E2643" s="10"/>
      <c r="F2643" s="10"/>
      <c r="G2643" s="10"/>
      <c r="H2643" s="25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</row>
    <row r="2644">
      <c r="A2644" s="10"/>
      <c r="B2644" s="10"/>
      <c r="C2644" s="25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</row>
    <row r="2645">
      <c r="A2645" s="10"/>
      <c r="B2645" s="10"/>
      <c r="C2645" s="25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</row>
    <row r="2646">
      <c r="A2646" s="10"/>
      <c r="B2646" s="10"/>
      <c r="C2646" s="25"/>
      <c r="D2646" s="10"/>
      <c r="E2646" s="10"/>
      <c r="F2646" s="10"/>
      <c r="G2646" s="10"/>
      <c r="H2646" s="25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</row>
    <row r="2647">
      <c r="A2647" s="10"/>
      <c r="B2647" s="10"/>
      <c r="C2647" s="25"/>
      <c r="D2647" s="10"/>
      <c r="E2647" s="10"/>
      <c r="F2647" s="10"/>
      <c r="G2647" s="10"/>
      <c r="H2647" s="25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</row>
    <row r="2648">
      <c r="A2648" s="10"/>
      <c r="B2648" s="10"/>
      <c r="C2648" s="25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</row>
    <row r="2649">
      <c r="A2649" s="10"/>
      <c r="B2649" s="10"/>
      <c r="C2649" s="25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</row>
    <row r="2650">
      <c r="A2650" s="10"/>
      <c r="B2650" s="10"/>
      <c r="C2650" s="25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</row>
    <row r="2651">
      <c r="A2651" s="10"/>
      <c r="B2651" s="10"/>
      <c r="C2651" s="25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</row>
    <row r="2652">
      <c r="A2652" s="10"/>
      <c r="B2652" s="10"/>
      <c r="C2652" s="25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</row>
    <row r="2653">
      <c r="A2653" s="10"/>
      <c r="B2653" s="10"/>
      <c r="C2653" s="25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</row>
    <row r="2654">
      <c r="A2654" s="10"/>
      <c r="B2654" s="10"/>
      <c r="C2654" s="25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</row>
    <row r="2655">
      <c r="A2655" s="10"/>
      <c r="B2655" s="10"/>
      <c r="C2655" s="25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</row>
    <row r="2656">
      <c r="A2656" s="10"/>
      <c r="B2656" s="10"/>
      <c r="C2656" s="25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</row>
    <row r="2657">
      <c r="A2657" s="10"/>
      <c r="B2657" s="10"/>
      <c r="C2657" s="25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</row>
    <row r="2658">
      <c r="A2658" s="10"/>
      <c r="B2658" s="10"/>
      <c r="C2658" s="25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</row>
    <row r="2659">
      <c r="A2659" s="10"/>
      <c r="B2659" s="10"/>
      <c r="C2659" s="25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</row>
    <row r="2660">
      <c r="A2660" s="10"/>
      <c r="B2660" s="10"/>
      <c r="C2660" s="25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</row>
    <row r="2661">
      <c r="A2661" s="10"/>
      <c r="B2661" s="10"/>
      <c r="C2661" s="25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</row>
    <row r="2662">
      <c r="A2662" s="10"/>
      <c r="B2662" s="10"/>
      <c r="C2662" s="25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</row>
    <row r="2663">
      <c r="A2663" s="10"/>
      <c r="B2663" s="10"/>
      <c r="C2663" s="25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</row>
    <row r="2664">
      <c r="A2664" s="10"/>
      <c r="B2664" s="10"/>
      <c r="C2664" s="25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</row>
    <row r="2665">
      <c r="A2665" s="10"/>
      <c r="B2665" s="10"/>
      <c r="C2665" s="25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</row>
    <row r="2666">
      <c r="A2666" s="10"/>
      <c r="B2666" s="10"/>
      <c r="C2666" s="25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</row>
    <row r="2667">
      <c r="A2667" s="10"/>
      <c r="B2667" s="10"/>
      <c r="C2667" s="25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</row>
    <row r="2668">
      <c r="A2668" s="10"/>
      <c r="B2668" s="10"/>
      <c r="C2668" s="25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</row>
    <row r="2669">
      <c r="A2669" s="10"/>
      <c r="B2669" s="10"/>
      <c r="C2669" s="25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</row>
    <row r="2670">
      <c r="A2670" s="10"/>
      <c r="B2670" s="10"/>
      <c r="C2670" s="25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</row>
    <row r="2671">
      <c r="A2671" s="10"/>
      <c r="B2671" s="10"/>
      <c r="C2671" s="25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</row>
    <row r="2672">
      <c r="A2672" s="10"/>
      <c r="B2672" s="10"/>
      <c r="C2672" s="25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</row>
    <row r="2673">
      <c r="A2673" s="10"/>
      <c r="B2673" s="10"/>
      <c r="C2673" s="25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</row>
    <row r="2674">
      <c r="A2674" s="10"/>
      <c r="B2674" s="10"/>
      <c r="C2674" s="25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</row>
    <row r="2675">
      <c r="A2675" s="10"/>
      <c r="B2675" s="10"/>
      <c r="C2675" s="25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</row>
    <row r="2676">
      <c r="A2676" s="10"/>
      <c r="B2676" s="10"/>
      <c r="C2676" s="25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</row>
    <row r="2677">
      <c r="A2677" s="10"/>
      <c r="B2677" s="10"/>
      <c r="C2677" s="25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</row>
    <row r="2678">
      <c r="A2678" s="10"/>
      <c r="B2678" s="10"/>
      <c r="C2678" s="25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</row>
    <row r="2679">
      <c r="A2679" s="10"/>
      <c r="B2679" s="10"/>
      <c r="C2679" s="25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</row>
    <row r="2680">
      <c r="A2680" s="10"/>
      <c r="B2680" s="10"/>
      <c r="C2680" s="25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</row>
    <row r="2681">
      <c r="A2681" s="10"/>
      <c r="B2681" s="10"/>
      <c r="C2681" s="25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</row>
    <row r="2682">
      <c r="A2682" s="10"/>
      <c r="B2682" s="10"/>
      <c r="C2682" s="25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</row>
    <row r="2683">
      <c r="A2683" s="10"/>
      <c r="B2683" s="10"/>
      <c r="C2683" s="25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</row>
    <row r="2684">
      <c r="A2684" s="10"/>
      <c r="B2684" s="10"/>
      <c r="C2684" s="25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</row>
    <row r="2685">
      <c r="A2685" s="10"/>
      <c r="B2685" s="10"/>
      <c r="C2685" s="25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</row>
    <row r="2686">
      <c r="A2686" s="10"/>
      <c r="B2686" s="10"/>
      <c r="C2686" s="25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</row>
    <row r="2687">
      <c r="A2687" s="10"/>
      <c r="B2687" s="10"/>
      <c r="C2687" s="25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</row>
    <row r="2688">
      <c r="A2688" s="10"/>
      <c r="B2688" s="10"/>
      <c r="C2688" s="25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</row>
    <row r="2689">
      <c r="A2689" s="10"/>
      <c r="B2689" s="10"/>
      <c r="C2689" s="25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</row>
    <row r="2690">
      <c r="A2690" s="10"/>
      <c r="B2690" s="10"/>
      <c r="C2690" s="25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</row>
    <row r="2691">
      <c r="A2691" s="10"/>
      <c r="B2691" s="10"/>
      <c r="C2691" s="25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</row>
    <row r="2692">
      <c r="A2692" s="10"/>
      <c r="B2692" s="10"/>
      <c r="C2692" s="25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</row>
    <row r="2693">
      <c r="A2693" s="10"/>
      <c r="B2693" s="10"/>
      <c r="C2693" s="25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</row>
    <row r="2694">
      <c r="A2694" s="10"/>
      <c r="B2694" s="10"/>
      <c r="C2694" s="25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</row>
    <row r="2695">
      <c r="A2695" s="10"/>
      <c r="B2695" s="10"/>
      <c r="C2695" s="25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</row>
    <row r="2696">
      <c r="A2696" s="10"/>
      <c r="B2696" s="10"/>
      <c r="C2696" s="25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</row>
    <row r="2697">
      <c r="A2697" s="10"/>
      <c r="B2697" s="10"/>
      <c r="C2697" s="25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</row>
    <row r="2698">
      <c r="A2698" s="10"/>
      <c r="B2698" s="10"/>
      <c r="C2698" s="25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</row>
    <row r="2699">
      <c r="A2699" s="10"/>
      <c r="B2699" s="10"/>
      <c r="C2699" s="25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</row>
    <row r="2700">
      <c r="A2700" s="10"/>
      <c r="B2700" s="10"/>
      <c r="C2700" s="25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</row>
    <row r="2701">
      <c r="A2701" s="10"/>
      <c r="B2701" s="10"/>
      <c r="C2701" s="25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</row>
    <row r="2702">
      <c r="A2702" s="10"/>
      <c r="B2702" s="10"/>
      <c r="C2702" s="25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</row>
    <row r="2703">
      <c r="A2703" s="10"/>
      <c r="B2703" s="10"/>
      <c r="C2703" s="25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</row>
    <row r="2704">
      <c r="A2704" s="10"/>
      <c r="B2704" s="10"/>
      <c r="C2704" s="25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</row>
    <row r="2705">
      <c r="A2705" s="10"/>
      <c r="B2705" s="10"/>
      <c r="C2705" s="25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</row>
    <row r="2706">
      <c r="A2706" s="10"/>
      <c r="B2706" s="10"/>
      <c r="C2706" s="25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</row>
    <row r="2707">
      <c r="A2707" s="10"/>
      <c r="B2707" s="10"/>
      <c r="C2707" s="25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</row>
    <row r="2708">
      <c r="A2708" s="10"/>
      <c r="B2708" s="10"/>
      <c r="C2708" s="25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</row>
    <row r="2709">
      <c r="A2709" s="10"/>
      <c r="B2709" s="10"/>
      <c r="C2709" s="25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</row>
    <row r="2710">
      <c r="A2710" s="10"/>
      <c r="B2710" s="10"/>
      <c r="C2710" s="25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</row>
    <row r="2711">
      <c r="A2711" s="10"/>
      <c r="B2711" s="10"/>
      <c r="C2711" s="25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</row>
    <row r="2712">
      <c r="A2712" s="10"/>
      <c r="B2712" s="10"/>
      <c r="C2712" s="25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</row>
    <row r="2713">
      <c r="A2713" s="10"/>
      <c r="B2713" s="10"/>
      <c r="C2713" s="25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</row>
    <row r="2714">
      <c r="A2714" s="10"/>
      <c r="B2714" s="10"/>
      <c r="C2714" s="25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</row>
    <row r="2715">
      <c r="A2715" s="10"/>
      <c r="B2715" s="10"/>
      <c r="C2715" s="25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</row>
    <row r="2716">
      <c r="A2716" s="10"/>
      <c r="B2716" s="10"/>
      <c r="C2716" s="25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</row>
    <row r="2717">
      <c r="A2717" s="10"/>
      <c r="B2717" s="10"/>
      <c r="C2717" s="25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</row>
    <row r="2718">
      <c r="A2718" s="10"/>
      <c r="B2718" s="10"/>
      <c r="C2718" s="25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</row>
    <row r="2719">
      <c r="A2719" s="10"/>
      <c r="B2719" s="10"/>
      <c r="C2719" s="25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</row>
    <row r="2720">
      <c r="A2720" s="10"/>
      <c r="B2720" s="10"/>
      <c r="C2720" s="25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</row>
    <row r="2721">
      <c r="A2721" s="10"/>
      <c r="B2721" s="10"/>
      <c r="C2721" s="25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</row>
    <row r="2722">
      <c r="A2722" s="10"/>
      <c r="B2722" s="10"/>
      <c r="C2722" s="25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</row>
    <row r="2723">
      <c r="A2723" s="10"/>
      <c r="B2723" s="10"/>
      <c r="C2723" s="25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</row>
    <row r="2724">
      <c r="A2724" s="10"/>
      <c r="B2724" s="10"/>
      <c r="C2724" s="25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</row>
    <row r="2725">
      <c r="A2725" s="10"/>
      <c r="B2725" s="10"/>
      <c r="C2725" s="25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</row>
    <row r="2726">
      <c r="A2726" s="10"/>
      <c r="B2726" s="10"/>
      <c r="C2726" s="25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</row>
    <row r="2727">
      <c r="A2727" s="10"/>
      <c r="B2727" s="10"/>
      <c r="C2727" s="25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</row>
    <row r="2728">
      <c r="A2728" s="10"/>
      <c r="B2728" s="10"/>
      <c r="C2728" s="25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</row>
    <row r="2729">
      <c r="A2729" s="10"/>
      <c r="B2729" s="10"/>
      <c r="C2729" s="25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</row>
    <row r="2730">
      <c r="A2730" s="10"/>
      <c r="B2730" s="10"/>
      <c r="C2730" s="25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</row>
    <row r="2731">
      <c r="A2731" s="10"/>
      <c r="B2731" s="10"/>
      <c r="C2731" s="25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</row>
    <row r="2732">
      <c r="A2732" s="10"/>
      <c r="B2732" s="10"/>
      <c r="C2732" s="25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</row>
    <row r="2733">
      <c r="A2733" s="10"/>
      <c r="B2733" s="10"/>
      <c r="C2733" s="25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</row>
    <row r="2734">
      <c r="A2734" s="10"/>
      <c r="B2734" s="10"/>
      <c r="C2734" s="25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</row>
    <row r="2735">
      <c r="A2735" s="10"/>
      <c r="B2735" s="10"/>
      <c r="C2735" s="25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</row>
    <row r="2736">
      <c r="A2736" s="10"/>
      <c r="B2736" s="10"/>
      <c r="C2736" s="25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</row>
    <row r="2737">
      <c r="A2737" s="10"/>
      <c r="B2737" s="10"/>
      <c r="C2737" s="25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</row>
    <row r="2738">
      <c r="A2738" s="10"/>
      <c r="B2738" s="10"/>
      <c r="C2738" s="25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</row>
    <row r="2739">
      <c r="A2739" s="10"/>
      <c r="B2739" s="10"/>
      <c r="C2739" s="25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</row>
    <row r="2740">
      <c r="A2740" s="10"/>
      <c r="B2740" s="10"/>
      <c r="C2740" s="25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</row>
    <row r="2741">
      <c r="A2741" s="10"/>
      <c r="B2741" s="10"/>
      <c r="C2741" s="25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</row>
    <row r="2742">
      <c r="A2742" s="10"/>
      <c r="B2742" s="10"/>
      <c r="C2742" s="25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</row>
    <row r="2743">
      <c r="A2743" s="10"/>
      <c r="B2743" s="10"/>
      <c r="C2743" s="25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</row>
    <row r="2744">
      <c r="A2744" s="10"/>
      <c r="B2744" s="10"/>
      <c r="C2744" s="25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</row>
    <row r="2745">
      <c r="A2745" s="10"/>
      <c r="B2745" s="10"/>
      <c r="C2745" s="25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</row>
    <row r="2746">
      <c r="A2746" s="10"/>
      <c r="B2746" s="10"/>
      <c r="C2746" s="25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</row>
    <row r="2747">
      <c r="A2747" s="10"/>
      <c r="B2747" s="10"/>
      <c r="C2747" s="25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</row>
    <row r="2748">
      <c r="A2748" s="10"/>
      <c r="B2748" s="10"/>
      <c r="C2748" s="25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</row>
    <row r="2749">
      <c r="A2749" s="10"/>
      <c r="B2749" s="10"/>
      <c r="C2749" s="25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</row>
    <row r="2750">
      <c r="A2750" s="10"/>
      <c r="B2750" s="10"/>
      <c r="C2750" s="25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</row>
    <row r="2751">
      <c r="A2751" s="10"/>
      <c r="B2751" s="10"/>
      <c r="C2751" s="25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</row>
    <row r="2752">
      <c r="A2752" s="10"/>
      <c r="B2752" s="10"/>
      <c r="C2752" s="25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</row>
    <row r="2753">
      <c r="A2753" s="10"/>
      <c r="B2753" s="10"/>
      <c r="C2753" s="25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</row>
    <row r="2754">
      <c r="A2754" s="10"/>
      <c r="B2754" s="10"/>
      <c r="C2754" s="25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</row>
    <row r="2755">
      <c r="A2755" s="10"/>
      <c r="B2755" s="10"/>
      <c r="C2755" s="25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</row>
    <row r="2756">
      <c r="A2756" s="10"/>
      <c r="B2756" s="10"/>
      <c r="C2756" s="25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</row>
    <row r="2757">
      <c r="A2757" s="10"/>
      <c r="B2757" s="10"/>
      <c r="C2757" s="25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</row>
    <row r="2758">
      <c r="A2758" s="10"/>
      <c r="B2758" s="10"/>
      <c r="C2758" s="25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</row>
    <row r="2759">
      <c r="A2759" s="10"/>
      <c r="B2759" s="10"/>
      <c r="C2759" s="25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</row>
    <row r="2760">
      <c r="A2760" s="10"/>
      <c r="B2760" s="10"/>
      <c r="C2760" s="25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</row>
    <row r="2761">
      <c r="A2761" s="10"/>
      <c r="B2761" s="10"/>
      <c r="C2761" s="25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</row>
    <row r="2762">
      <c r="A2762" s="10"/>
      <c r="B2762" s="10"/>
      <c r="C2762" s="25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</row>
    <row r="2763">
      <c r="A2763" s="10"/>
      <c r="B2763" s="10"/>
      <c r="C2763" s="25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</row>
    <row r="2764">
      <c r="A2764" s="10"/>
      <c r="B2764" s="10"/>
      <c r="C2764" s="25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</row>
    <row r="2765">
      <c r="A2765" s="10"/>
      <c r="B2765" s="10"/>
      <c r="C2765" s="25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</row>
    <row r="2766">
      <c r="A2766" s="10"/>
      <c r="B2766" s="10"/>
      <c r="C2766" s="25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</row>
    <row r="2767">
      <c r="A2767" s="10"/>
      <c r="B2767" s="10"/>
      <c r="C2767" s="25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</row>
    <row r="2768">
      <c r="A2768" s="10"/>
      <c r="B2768" s="10"/>
      <c r="C2768" s="25"/>
      <c r="D2768" s="10"/>
      <c r="E2768" s="10"/>
      <c r="F2768" s="10"/>
      <c r="G2768" s="10"/>
      <c r="H2768" s="25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</row>
    <row r="2769">
      <c r="A2769" s="10"/>
      <c r="B2769" s="10"/>
      <c r="C2769" s="25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</row>
    <row r="2770">
      <c r="A2770" s="10"/>
      <c r="B2770" s="10"/>
      <c r="C2770" s="25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</row>
    <row r="2771">
      <c r="A2771" s="10"/>
      <c r="B2771" s="10"/>
      <c r="C2771" s="25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</row>
    <row r="2772">
      <c r="A2772" s="10"/>
      <c r="B2772" s="10"/>
      <c r="C2772" s="25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</row>
    <row r="2773">
      <c r="A2773" s="10"/>
      <c r="B2773" s="10"/>
      <c r="C2773" s="25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</row>
    <row r="2774">
      <c r="A2774" s="10"/>
      <c r="B2774" s="10"/>
      <c r="C2774" s="25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</row>
    <row r="2775">
      <c r="A2775" s="10"/>
      <c r="B2775" s="10"/>
      <c r="C2775" s="25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</row>
    <row r="2776">
      <c r="A2776" s="10"/>
      <c r="B2776" s="10"/>
      <c r="C2776" s="25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</row>
    <row r="2777">
      <c r="A2777" s="10"/>
      <c r="B2777" s="10"/>
      <c r="C2777" s="25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</row>
    <row r="2778">
      <c r="A2778" s="10"/>
      <c r="B2778" s="10"/>
      <c r="C2778" s="25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</row>
    <row r="2779">
      <c r="A2779" s="10"/>
      <c r="B2779" s="10"/>
      <c r="C2779" s="25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</row>
    <row r="2780">
      <c r="A2780" s="10"/>
      <c r="B2780" s="10"/>
      <c r="C2780" s="25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</row>
    <row r="2781">
      <c r="A2781" s="10"/>
      <c r="B2781" s="10"/>
      <c r="C2781" s="25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</row>
    <row r="2782">
      <c r="A2782" s="10"/>
      <c r="B2782" s="10"/>
      <c r="C2782" s="25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</row>
    <row r="2783">
      <c r="A2783" s="10"/>
      <c r="B2783" s="10"/>
      <c r="C2783" s="25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</row>
    <row r="2784">
      <c r="A2784" s="10"/>
      <c r="B2784" s="10"/>
      <c r="C2784" s="25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</row>
    <row r="2785">
      <c r="A2785" s="10"/>
      <c r="B2785" s="10"/>
      <c r="C2785" s="25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</row>
    <row r="2786">
      <c r="A2786" s="10"/>
      <c r="B2786" s="10"/>
      <c r="C2786" s="25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</row>
    <row r="2787">
      <c r="A2787" s="10"/>
      <c r="B2787" s="10"/>
      <c r="C2787" s="25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</row>
    <row r="2788">
      <c r="A2788" s="10"/>
      <c r="B2788" s="10"/>
      <c r="C2788" s="25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</row>
    <row r="2789">
      <c r="A2789" s="10"/>
      <c r="B2789" s="10"/>
      <c r="C2789" s="25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</row>
    <row r="2790">
      <c r="A2790" s="10"/>
      <c r="B2790" s="10"/>
      <c r="C2790" s="25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</row>
    <row r="2791">
      <c r="A2791" s="10"/>
      <c r="B2791" s="10"/>
      <c r="C2791" s="25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</row>
    <row r="2792">
      <c r="A2792" s="10"/>
      <c r="B2792" s="10"/>
      <c r="C2792" s="25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</row>
    <row r="2793">
      <c r="A2793" s="10"/>
      <c r="B2793" s="10"/>
      <c r="C2793" s="25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</row>
    <row r="2794">
      <c r="A2794" s="10"/>
      <c r="B2794" s="10"/>
      <c r="C2794" s="25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</row>
    <row r="2795">
      <c r="A2795" s="10"/>
      <c r="B2795" s="10"/>
      <c r="C2795" s="25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</row>
    <row r="2796">
      <c r="A2796" s="10"/>
      <c r="B2796" s="10"/>
      <c r="C2796" s="25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</row>
    <row r="2797">
      <c r="A2797" s="10"/>
      <c r="B2797" s="10"/>
      <c r="C2797" s="25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</row>
    <row r="2798">
      <c r="A2798" s="10"/>
      <c r="B2798" s="10"/>
      <c r="C2798" s="25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</row>
    <row r="2799">
      <c r="A2799" s="10"/>
      <c r="B2799" s="10"/>
      <c r="C2799" s="25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</row>
    <row r="2800">
      <c r="A2800" s="10"/>
      <c r="B2800" s="10"/>
      <c r="C2800" s="25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</row>
    <row r="2801">
      <c r="A2801" s="10"/>
      <c r="B2801" s="10"/>
      <c r="C2801" s="25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</row>
    <row r="2802">
      <c r="A2802" s="10"/>
      <c r="B2802" s="10"/>
      <c r="C2802" s="25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</row>
    <row r="2803">
      <c r="A2803" s="10"/>
      <c r="B2803" s="10"/>
      <c r="C2803" s="25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</row>
    <row r="2804">
      <c r="A2804" s="10"/>
      <c r="B2804" s="10"/>
      <c r="C2804" s="25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</row>
    <row r="2805">
      <c r="A2805" s="10"/>
      <c r="B2805" s="10"/>
      <c r="C2805" s="25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</row>
    <row r="2806">
      <c r="A2806" s="10"/>
      <c r="B2806" s="10"/>
      <c r="C2806" s="25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</row>
    <row r="2807">
      <c r="A2807" s="10"/>
      <c r="B2807" s="10"/>
      <c r="C2807" s="25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</row>
    <row r="2808">
      <c r="A2808" s="10"/>
      <c r="B2808" s="10"/>
      <c r="C2808" s="25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</row>
    <row r="2809">
      <c r="A2809" s="10"/>
      <c r="B2809" s="10"/>
      <c r="C2809" s="25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</row>
    <row r="2810">
      <c r="A2810" s="10"/>
      <c r="B2810" s="10"/>
      <c r="C2810" s="25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</row>
    <row r="2811">
      <c r="A2811" s="10"/>
      <c r="B2811" s="10"/>
      <c r="C2811" s="25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</row>
    <row r="2812">
      <c r="A2812" s="10"/>
      <c r="B2812" s="10"/>
      <c r="C2812" s="25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</row>
    <row r="2813">
      <c r="A2813" s="10"/>
      <c r="B2813" s="10"/>
      <c r="C2813" s="25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</row>
    <row r="2814">
      <c r="A2814" s="10"/>
      <c r="B2814" s="10"/>
      <c r="C2814" s="25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</row>
    <row r="2815">
      <c r="A2815" s="10"/>
      <c r="B2815" s="10"/>
      <c r="C2815" s="25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</row>
    <row r="2816">
      <c r="A2816" s="10"/>
      <c r="B2816" s="10"/>
      <c r="C2816" s="25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</row>
    <row r="2817">
      <c r="A2817" s="10"/>
      <c r="B2817" s="10"/>
      <c r="C2817" s="25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</row>
    <row r="2818">
      <c r="A2818" s="10"/>
      <c r="B2818" s="10"/>
      <c r="C2818" s="25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</row>
    <row r="2819">
      <c r="A2819" s="10"/>
      <c r="B2819" s="10"/>
      <c r="C2819" s="25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</row>
    <row r="2820">
      <c r="A2820" s="10"/>
      <c r="B2820" s="10"/>
      <c r="C2820" s="25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</row>
    <row r="2821">
      <c r="A2821" s="10"/>
      <c r="B2821" s="10"/>
      <c r="C2821" s="25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</row>
    <row r="2822">
      <c r="A2822" s="10"/>
      <c r="B2822" s="10"/>
      <c r="C2822" s="25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</row>
    <row r="2823">
      <c r="A2823" s="10"/>
      <c r="B2823" s="10"/>
      <c r="C2823" s="25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</row>
    <row r="2824">
      <c r="A2824" s="10"/>
      <c r="B2824" s="10"/>
      <c r="C2824" s="25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</row>
    <row r="2825">
      <c r="A2825" s="10"/>
      <c r="B2825" s="10"/>
      <c r="C2825" s="25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</row>
    <row r="2826">
      <c r="A2826" s="10"/>
      <c r="B2826" s="10"/>
      <c r="C2826" s="25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</row>
    <row r="2827">
      <c r="A2827" s="10"/>
      <c r="B2827" s="10"/>
      <c r="C2827" s="25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</row>
    <row r="2828">
      <c r="A2828" s="10"/>
      <c r="B2828" s="10"/>
      <c r="C2828" s="25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</row>
    <row r="2829">
      <c r="A2829" s="10"/>
      <c r="B2829" s="10"/>
      <c r="C2829" s="25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</row>
    <row r="2830">
      <c r="A2830" s="10"/>
      <c r="B2830" s="10"/>
      <c r="C2830" s="25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</row>
    <row r="2831">
      <c r="A2831" s="10"/>
      <c r="B2831" s="10"/>
      <c r="C2831" s="25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</row>
    <row r="2832">
      <c r="A2832" s="10"/>
      <c r="B2832" s="10"/>
      <c r="C2832" s="25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</row>
    <row r="2833">
      <c r="A2833" s="10"/>
      <c r="B2833" s="10"/>
      <c r="C2833" s="25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</row>
    <row r="2834">
      <c r="A2834" s="10"/>
      <c r="B2834" s="10"/>
      <c r="C2834" s="25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</row>
    <row r="2835">
      <c r="A2835" s="10"/>
      <c r="B2835" s="10"/>
      <c r="C2835" s="25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</row>
    <row r="2836">
      <c r="A2836" s="10"/>
      <c r="B2836" s="10"/>
      <c r="C2836" s="25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</row>
    <row r="2837">
      <c r="A2837" s="10"/>
      <c r="B2837" s="10"/>
      <c r="C2837" s="25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</row>
    <row r="2838">
      <c r="A2838" s="10"/>
      <c r="B2838" s="10"/>
      <c r="C2838" s="25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</row>
    <row r="2839">
      <c r="A2839" s="10"/>
      <c r="B2839" s="10"/>
      <c r="C2839" s="25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</row>
    <row r="2840">
      <c r="A2840" s="10"/>
      <c r="B2840" s="10"/>
      <c r="C2840" s="25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</row>
    <row r="2841">
      <c r="A2841" s="10"/>
      <c r="B2841" s="10"/>
      <c r="C2841" s="25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</row>
    <row r="2842">
      <c r="A2842" s="10"/>
      <c r="B2842" s="10"/>
      <c r="C2842" s="25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</row>
    <row r="2843">
      <c r="A2843" s="10"/>
      <c r="B2843" s="10"/>
      <c r="C2843" s="25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</row>
    <row r="2844">
      <c r="A2844" s="10"/>
      <c r="B2844" s="10"/>
      <c r="C2844" s="25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</row>
    <row r="2845">
      <c r="A2845" s="10"/>
      <c r="B2845" s="10"/>
      <c r="C2845" s="25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</row>
    <row r="2846">
      <c r="A2846" s="10"/>
      <c r="B2846" s="10"/>
      <c r="C2846" s="25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</row>
    <row r="2847">
      <c r="A2847" s="10"/>
      <c r="B2847" s="10"/>
      <c r="C2847" s="25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</row>
    <row r="2848">
      <c r="A2848" s="10"/>
      <c r="B2848" s="10"/>
      <c r="C2848" s="25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</row>
    <row r="2849">
      <c r="A2849" s="10"/>
      <c r="B2849" s="10"/>
      <c r="C2849" s="25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</row>
    <row r="2850">
      <c r="A2850" s="10"/>
      <c r="B2850" s="10"/>
      <c r="C2850" s="25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</row>
    <row r="2851">
      <c r="A2851" s="10"/>
      <c r="B2851" s="10"/>
      <c r="C2851" s="25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</row>
    <row r="2852">
      <c r="A2852" s="10"/>
      <c r="B2852" s="10"/>
      <c r="C2852" s="25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</row>
    <row r="2853">
      <c r="A2853" s="10"/>
      <c r="B2853" s="10"/>
      <c r="C2853" s="25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</row>
    <row r="2854">
      <c r="A2854" s="10"/>
      <c r="B2854" s="10"/>
      <c r="C2854" s="25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</row>
    <row r="2855">
      <c r="A2855" s="10"/>
      <c r="B2855" s="10"/>
      <c r="C2855" s="25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</row>
    <row r="2856">
      <c r="A2856" s="10"/>
      <c r="B2856" s="10"/>
      <c r="C2856" s="25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</row>
    <row r="2857">
      <c r="A2857" s="10"/>
      <c r="B2857" s="10"/>
      <c r="C2857" s="25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</row>
    <row r="2858">
      <c r="A2858" s="10"/>
      <c r="B2858" s="10"/>
      <c r="C2858" s="25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</row>
    <row r="2859">
      <c r="A2859" s="10"/>
      <c r="B2859" s="10"/>
      <c r="C2859" s="25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</row>
    <row r="2860">
      <c r="A2860" s="10"/>
      <c r="B2860" s="10"/>
      <c r="C2860" s="25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</row>
    <row r="2861">
      <c r="A2861" s="10"/>
      <c r="B2861" s="10"/>
      <c r="C2861" s="25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</row>
    <row r="2862">
      <c r="A2862" s="10"/>
      <c r="B2862" s="10"/>
      <c r="C2862" s="25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</row>
    <row r="2863">
      <c r="A2863" s="10"/>
      <c r="B2863" s="10"/>
      <c r="C2863" s="25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</row>
    <row r="2864">
      <c r="A2864" s="10"/>
      <c r="B2864" s="10"/>
      <c r="C2864" s="25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</row>
    <row r="2865">
      <c r="A2865" s="10"/>
      <c r="B2865" s="10"/>
      <c r="C2865" s="25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</row>
    <row r="2866">
      <c r="A2866" s="10"/>
      <c r="B2866" s="10"/>
      <c r="C2866" s="25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</row>
    <row r="2867">
      <c r="A2867" s="10"/>
      <c r="B2867" s="10"/>
      <c r="C2867" s="25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</row>
    <row r="2868">
      <c r="A2868" s="10"/>
      <c r="B2868" s="10"/>
      <c r="C2868" s="25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</row>
    <row r="2869">
      <c r="A2869" s="10"/>
      <c r="B2869" s="10"/>
      <c r="C2869" s="25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</row>
    <row r="2870">
      <c r="A2870" s="10"/>
      <c r="B2870" s="10"/>
      <c r="C2870" s="25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</row>
    <row r="2871">
      <c r="A2871" s="10"/>
      <c r="B2871" s="10"/>
      <c r="C2871" s="25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</row>
    <row r="2872">
      <c r="A2872" s="10"/>
      <c r="B2872" s="10"/>
      <c r="C2872" s="25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</row>
    <row r="2873">
      <c r="A2873" s="10"/>
      <c r="B2873" s="10"/>
      <c r="C2873" s="25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</row>
    <row r="2874">
      <c r="A2874" s="10"/>
      <c r="B2874" s="10"/>
      <c r="C2874" s="25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</row>
    <row r="2875">
      <c r="A2875" s="10"/>
      <c r="B2875" s="10"/>
      <c r="C2875" s="25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</row>
    <row r="2876">
      <c r="A2876" s="10"/>
      <c r="B2876" s="10"/>
      <c r="C2876" s="25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</row>
    <row r="2877">
      <c r="A2877" s="10"/>
      <c r="B2877" s="10"/>
      <c r="C2877" s="25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</row>
    <row r="2878">
      <c r="A2878" s="10"/>
      <c r="B2878" s="10"/>
      <c r="C2878" s="25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</row>
    <row r="2879">
      <c r="A2879" s="10"/>
      <c r="B2879" s="10"/>
      <c r="C2879" s="25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</row>
    <row r="2880">
      <c r="A2880" s="10"/>
      <c r="B2880" s="10"/>
      <c r="C2880" s="25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</row>
    <row r="2881">
      <c r="A2881" s="10"/>
      <c r="B2881" s="10"/>
      <c r="C2881" s="25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</row>
    <row r="2882">
      <c r="A2882" s="10"/>
      <c r="B2882" s="10"/>
      <c r="C2882" s="25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</row>
    <row r="2883">
      <c r="A2883" s="10"/>
      <c r="B2883" s="10"/>
      <c r="C2883" s="25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</row>
    <row r="2884">
      <c r="A2884" s="10"/>
      <c r="B2884" s="10"/>
      <c r="C2884" s="25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</row>
    <row r="2885">
      <c r="A2885" s="10"/>
      <c r="B2885" s="10"/>
      <c r="C2885" s="25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</row>
    <row r="2886">
      <c r="A2886" s="10"/>
      <c r="B2886" s="10"/>
      <c r="C2886" s="25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</row>
    <row r="2887">
      <c r="A2887" s="10"/>
      <c r="B2887" s="10"/>
      <c r="C2887" s="25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</row>
    <row r="2888">
      <c r="A2888" s="10"/>
      <c r="B2888" s="10"/>
      <c r="C2888" s="25"/>
      <c r="D2888" s="10"/>
      <c r="E2888" s="10"/>
      <c r="F2888" s="10"/>
      <c r="G2888" s="10"/>
      <c r="H2888" s="25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</row>
    <row r="2889">
      <c r="A2889" s="10"/>
      <c r="B2889" s="10"/>
      <c r="C2889" s="25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</row>
    <row r="2890">
      <c r="A2890" s="10"/>
      <c r="B2890" s="10"/>
      <c r="C2890" s="25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</row>
    <row r="2891">
      <c r="A2891" s="10"/>
      <c r="B2891" s="10"/>
      <c r="C2891" s="25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</row>
    <row r="2892">
      <c r="A2892" s="10"/>
      <c r="B2892" s="10"/>
      <c r="C2892" s="25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</row>
    <row r="2893">
      <c r="A2893" s="10"/>
      <c r="B2893" s="10"/>
      <c r="C2893" s="25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</row>
    <row r="2894">
      <c r="A2894" s="10"/>
      <c r="B2894" s="10"/>
      <c r="C2894" s="25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</row>
    <row r="2895">
      <c r="A2895" s="10"/>
      <c r="B2895" s="10"/>
      <c r="C2895" s="25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</row>
    <row r="2896">
      <c r="A2896" s="10"/>
      <c r="B2896" s="10"/>
      <c r="C2896" s="25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</row>
    <row r="2897">
      <c r="A2897" s="10"/>
      <c r="B2897" s="10"/>
      <c r="C2897" s="25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</row>
    <row r="2898">
      <c r="A2898" s="10"/>
      <c r="B2898" s="10"/>
      <c r="C2898" s="25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</row>
    <row r="2899">
      <c r="A2899" s="10"/>
      <c r="B2899" s="10"/>
      <c r="C2899" s="25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</row>
    <row r="2900">
      <c r="A2900" s="10"/>
      <c r="B2900" s="10"/>
      <c r="C2900" s="25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</row>
    <row r="2901">
      <c r="A2901" s="10"/>
      <c r="B2901" s="10"/>
      <c r="C2901" s="25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</row>
    <row r="2902">
      <c r="A2902" s="10"/>
      <c r="B2902" s="10"/>
      <c r="C2902" s="25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</row>
    <row r="2903">
      <c r="A2903" s="10"/>
      <c r="B2903" s="10"/>
      <c r="C2903" s="25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</row>
    <row r="2904">
      <c r="A2904" s="10"/>
      <c r="B2904" s="10"/>
      <c r="C2904" s="25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</row>
    <row r="2905">
      <c r="A2905" s="10"/>
      <c r="B2905" s="10"/>
      <c r="C2905" s="25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</row>
    <row r="2906">
      <c r="A2906" s="10"/>
      <c r="B2906" s="10"/>
      <c r="C2906" s="25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</row>
    <row r="2907">
      <c r="A2907" s="10"/>
      <c r="B2907" s="10"/>
      <c r="C2907" s="25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</row>
    <row r="2908">
      <c r="A2908" s="10"/>
      <c r="B2908" s="10"/>
      <c r="C2908" s="25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</row>
    <row r="2909">
      <c r="A2909" s="10"/>
      <c r="B2909" s="10"/>
      <c r="C2909" s="25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</row>
    <row r="2910">
      <c r="A2910" s="10"/>
      <c r="B2910" s="10"/>
      <c r="C2910" s="25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</row>
    <row r="2911">
      <c r="A2911" s="10"/>
      <c r="B2911" s="10"/>
      <c r="C2911" s="25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</row>
    <row r="2912">
      <c r="A2912" s="10"/>
      <c r="B2912" s="10"/>
      <c r="C2912" s="25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</row>
    <row r="2913">
      <c r="A2913" s="10"/>
      <c r="B2913" s="10"/>
      <c r="C2913" s="25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</row>
    <row r="2914">
      <c r="A2914" s="10"/>
      <c r="B2914" s="10"/>
      <c r="C2914" s="25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</row>
    <row r="2915">
      <c r="A2915" s="10"/>
      <c r="B2915" s="10"/>
      <c r="C2915" s="25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</row>
    <row r="2916">
      <c r="A2916" s="10"/>
      <c r="B2916" s="10"/>
      <c r="C2916" s="25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</row>
    <row r="2917">
      <c r="A2917" s="10"/>
      <c r="B2917" s="10"/>
      <c r="C2917" s="25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</row>
    <row r="2918">
      <c r="A2918" s="10"/>
      <c r="B2918" s="10"/>
      <c r="C2918" s="25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</row>
    <row r="2919">
      <c r="A2919" s="10"/>
      <c r="B2919" s="10"/>
      <c r="C2919" s="25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</row>
    <row r="2920">
      <c r="A2920" s="10"/>
      <c r="B2920" s="10"/>
      <c r="C2920" s="25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</row>
    <row r="2921">
      <c r="A2921" s="10"/>
      <c r="B2921" s="10"/>
      <c r="C2921" s="25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</row>
    <row r="2922">
      <c r="A2922" s="10"/>
      <c r="B2922" s="10"/>
      <c r="C2922" s="25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</row>
    <row r="2923">
      <c r="A2923" s="10"/>
      <c r="B2923" s="10"/>
      <c r="C2923" s="25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</row>
    <row r="2924">
      <c r="A2924" s="10"/>
      <c r="B2924" s="10"/>
      <c r="C2924" s="25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</row>
    <row r="2925">
      <c r="A2925" s="10"/>
      <c r="B2925" s="10"/>
      <c r="C2925" s="25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</row>
    <row r="2926">
      <c r="A2926" s="10"/>
      <c r="B2926" s="10"/>
      <c r="C2926" s="25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</row>
    <row r="2927">
      <c r="A2927" s="10"/>
      <c r="B2927" s="10"/>
      <c r="C2927" s="25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</row>
    <row r="2928">
      <c r="A2928" s="10"/>
      <c r="B2928" s="10"/>
      <c r="C2928" s="25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</row>
    <row r="2929">
      <c r="A2929" s="10"/>
      <c r="B2929" s="10"/>
      <c r="C2929" s="25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</row>
    <row r="2930">
      <c r="A2930" s="10"/>
      <c r="B2930" s="10"/>
      <c r="C2930" s="25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</row>
    <row r="2931">
      <c r="A2931" s="10"/>
      <c r="B2931" s="10"/>
      <c r="C2931" s="25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</row>
    <row r="2932">
      <c r="A2932" s="10"/>
      <c r="B2932" s="10"/>
      <c r="C2932" s="25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</row>
    <row r="2933">
      <c r="A2933" s="10"/>
      <c r="B2933" s="10"/>
      <c r="C2933" s="25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</row>
    <row r="2934">
      <c r="A2934" s="10"/>
      <c r="B2934" s="10"/>
      <c r="C2934" s="25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</row>
    <row r="2935">
      <c r="A2935" s="10"/>
      <c r="B2935" s="10"/>
      <c r="C2935" s="25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</row>
    <row r="2936">
      <c r="A2936" s="10"/>
      <c r="B2936" s="10"/>
      <c r="C2936" s="25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</row>
    <row r="2937">
      <c r="A2937" s="10"/>
      <c r="B2937" s="10"/>
      <c r="C2937" s="25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</row>
    <row r="2938">
      <c r="A2938" s="10"/>
      <c r="B2938" s="10"/>
      <c r="C2938" s="25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</row>
    <row r="2939">
      <c r="A2939" s="10"/>
      <c r="B2939" s="10"/>
      <c r="C2939" s="25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</row>
    <row r="2940">
      <c r="A2940" s="10"/>
      <c r="B2940" s="10"/>
      <c r="C2940" s="25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</row>
    <row r="2941">
      <c r="A2941" s="10"/>
      <c r="B2941" s="10"/>
      <c r="C2941" s="25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</row>
    <row r="2942">
      <c r="A2942" s="10"/>
      <c r="B2942" s="10"/>
      <c r="C2942" s="25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</row>
    <row r="2943">
      <c r="A2943" s="10"/>
      <c r="B2943" s="10"/>
      <c r="C2943" s="25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</row>
    <row r="2944">
      <c r="A2944" s="10"/>
      <c r="B2944" s="10"/>
      <c r="C2944" s="25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</row>
    <row r="2945">
      <c r="A2945" s="10"/>
      <c r="B2945" s="10"/>
      <c r="C2945" s="25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</row>
    <row r="2946">
      <c r="A2946" s="10"/>
      <c r="B2946" s="10"/>
      <c r="C2946" s="25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</row>
    <row r="2947">
      <c r="A2947" s="10"/>
      <c r="B2947" s="10"/>
      <c r="C2947" s="25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</row>
    <row r="2948">
      <c r="A2948" s="10"/>
      <c r="B2948" s="10"/>
      <c r="C2948" s="25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</row>
    <row r="2949">
      <c r="A2949" s="10"/>
      <c r="B2949" s="10"/>
      <c r="C2949" s="25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</row>
    <row r="2950">
      <c r="A2950" s="10"/>
      <c r="B2950" s="10"/>
      <c r="C2950" s="25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</row>
    <row r="2951">
      <c r="A2951" s="10"/>
      <c r="B2951" s="10"/>
      <c r="C2951" s="25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</row>
    <row r="2952">
      <c r="A2952" s="10"/>
      <c r="B2952" s="10"/>
      <c r="C2952" s="25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</row>
    <row r="2953">
      <c r="A2953" s="10"/>
      <c r="B2953" s="10"/>
      <c r="C2953" s="25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</row>
    <row r="2954">
      <c r="A2954" s="10"/>
      <c r="B2954" s="10"/>
      <c r="C2954" s="25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</row>
    <row r="2955">
      <c r="A2955" s="10"/>
      <c r="B2955" s="10"/>
      <c r="C2955" s="25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</row>
    <row r="2956">
      <c r="A2956" s="10"/>
      <c r="B2956" s="10"/>
      <c r="C2956" s="25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</row>
    <row r="2957">
      <c r="A2957" s="10"/>
      <c r="B2957" s="10"/>
      <c r="C2957" s="25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</row>
    <row r="2958">
      <c r="A2958" s="10"/>
      <c r="B2958" s="10"/>
      <c r="C2958" s="25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</row>
    <row r="2959">
      <c r="A2959" s="10"/>
      <c r="B2959" s="10"/>
      <c r="C2959" s="25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</row>
    <row r="2960">
      <c r="A2960" s="10"/>
      <c r="B2960" s="10"/>
      <c r="C2960" s="25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</row>
    <row r="2961">
      <c r="A2961" s="10"/>
      <c r="B2961" s="10"/>
      <c r="C2961" s="25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</row>
    <row r="2962">
      <c r="A2962" s="10"/>
      <c r="B2962" s="10"/>
      <c r="C2962" s="25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</row>
    <row r="2963">
      <c r="A2963" s="10"/>
      <c r="B2963" s="10"/>
      <c r="C2963" s="25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</row>
    <row r="2964">
      <c r="A2964" s="10"/>
      <c r="B2964" s="10"/>
      <c r="C2964" s="25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</row>
    <row r="2965">
      <c r="A2965" s="10"/>
      <c r="B2965" s="10"/>
      <c r="C2965" s="25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</row>
    <row r="2966">
      <c r="A2966" s="10"/>
      <c r="B2966" s="10"/>
      <c r="C2966" s="25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</row>
    <row r="2967">
      <c r="A2967" s="10"/>
      <c r="B2967" s="10"/>
      <c r="C2967" s="25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</row>
    <row r="2968">
      <c r="A2968" s="10"/>
      <c r="B2968" s="10"/>
      <c r="C2968" s="25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</row>
    <row r="2969">
      <c r="A2969" s="10"/>
      <c r="B2969" s="10"/>
      <c r="C2969" s="25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</row>
    <row r="2970">
      <c r="A2970" s="10"/>
      <c r="B2970" s="10"/>
      <c r="C2970" s="25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</row>
    <row r="2971">
      <c r="A2971" s="10"/>
      <c r="B2971" s="10"/>
      <c r="C2971" s="25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</row>
    <row r="2972">
      <c r="A2972" s="10"/>
      <c r="B2972" s="10"/>
      <c r="C2972" s="25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</row>
    <row r="2973">
      <c r="A2973" s="10"/>
      <c r="B2973" s="10"/>
      <c r="C2973" s="25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</row>
    <row r="2974">
      <c r="A2974" s="10"/>
      <c r="B2974" s="10"/>
      <c r="C2974" s="25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</row>
    <row r="2975">
      <c r="A2975" s="10"/>
      <c r="B2975" s="10"/>
      <c r="C2975" s="25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</row>
    <row r="2976">
      <c r="A2976" s="10"/>
      <c r="B2976" s="10"/>
      <c r="C2976" s="25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</row>
    <row r="2977">
      <c r="A2977" s="10"/>
      <c r="B2977" s="10"/>
      <c r="C2977" s="25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</row>
    <row r="2978">
      <c r="A2978" s="10"/>
      <c r="B2978" s="10"/>
      <c r="C2978" s="25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</row>
    <row r="2979">
      <c r="A2979" s="10"/>
      <c r="B2979" s="10"/>
      <c r="C2979" s="25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</row>
    <row r="2980">
      <c r="A2980" s="10"/>
      <c r="B2980" s="10"/>
      <c r="C2980" s="25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</row>
    <row r="2981">
      <c r="A2981" s="10"/>
      <c r="B2981" s="10"/>
      <c r="C2981" s="25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</row>
    <row r="2982">
      <c r="A2982" s="10"/>
      <c r="B2982" s="10"/>
      <c r="C2982" s="25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</row>
    <row r="2983">
      <c r="A2983" s="10"/>
      <c r="B2983" s="10"/>
      <c r="C2983" s="25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</row>
    <row r="2984">
      <c r="A2984" s="10"/>
      <c r="B2984" s="10"/>
      <c r="C2984" s="25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</row>
    <row r="2985">
      <c r="A2985" s="10"/>
      <c r="B2985" s="10"/>
      <c r="C2985" s="25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</row>
    <row r="2986">
      <c r="A2986" s="10"/>
      <c r="B2986" s="10"/>
      <c r="C2986" s="25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</row>
    <row r="2987">
      <c r="A2987" s="10"/>
      <c r="B2987" s="10"/>
      <c r="C2987" s="25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</row>
    <row r="2988">
      <c r="A2988" s="10"/>
      <c r="B2988" s="10"/>
      <c r="C2988" s="25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</row>
    <row r="2989">
      <c r="A2989" s="10"/>
      <c r="B2989" s="10"/>
      <c r="C2989" s="25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</row>
    <row r="2990">
      <c r="A2990" s="10"/>
      <c r="B2990" s="10"/>
      <c r="C2990" s="25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</row>
    <row r="2991">
      <c r="A2991" s="10"/>
      <c r="B2991" s="10"/>
      <c r="C2991" s="25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</row>
    <row r="2992">
      <c r="A2992" s="10"/>
      <c r="B2992" s="10"/>
      <c r="C2992" s="25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</row>
    <row r="2993">
      <c r="A2993" s="10"/>
      <c r="B2993" s="10"/>
      <c r="C2993" s="25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</row>
    <row r="2994">
      <c r="A2994" s="10"/>
      <c r="B2994" s="10"/>
      <c r="C2994" s="25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</row>
    <row r="2995">
      <c r="A2995" s="10"/>
      <c r="B2995" s="10"/>
      <c r="C2995" s="25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</row>
    <row r="2996">
      <c r="A2996" s="10"/>
      <c r="B2996" s="10"/>
      <c r="C2996" s="25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</row>
    <row r="2997">
      <c r="A2997" s="10"/>
      <c r="B2997" s="10"/>
      <c r="C2997" s="25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</row>
    <row r="2998">
      <c r="A2998" s="10"/>
      <c r="B2998" s="10"/>
      <c r="C2998" s="25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</row>
    <row r="2999">
      <c r="A2999" s="10"/>
      <c r="B2999" s="10"/>
      <c r="C2999" s="25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</row>
    <row r="3000">
      <c r="A3000" s="10"/>
      <c r="B3000" s="10"/>
      <c r="C3000" s="25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</row>
    <row r="3001">
      <c r="A3001" s="10"/>
      <c r="B3001" s="10"/>
      <c r="C3001" s="25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</row>
    <row r="3002">
      <c r="A3002" s="10"/>
      <c r="B3002" s="10"/>
      <c r="C3002" s="25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</row>
    <row r="3003">
      <c r="A3003" s="10"/>
      <c r="B3003" s="10"/>
      <c r="C3003" s="25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</row>
    <row r="3004">
      <c r="A3004" s="10"/>
      <c r="B3004" s="10"/>
      <c r="C3004" s="25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</row>
    <row r="3005">
      <c r="A3005" s="10"/>
      <c r="B3005" s="10"/>
      <c r="C3005" s="25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</row>
    <row r="3006">
      <c r="A3006" s="10"/>
      <c r="B3006" s="10"/>
      <c r="C3006" s="25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</row>
    <row r="3007">
      <c r="A3007" s="10"/>
      <c r="B3007" s="10"/>
      <c r="C3007" s="25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</row>
    <row r="3008">
      <c r="A3008" s="10"/>
      <c r="B3008" s="10"/>
      <c r="C3008" s="25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</row>
    <row r="3009">
      <c r="A3009" s="10"/>
      <c r="B3009" s="10"/>
      <c r="C3009" s="25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</row>
    <row r="3010">
      <c r="A3010" s="10"/>
      <c r="B3010" s="10"/>
      <c r="C3010" s="25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</row>
    <row r="3011">
      <c r="A3011" s="10"/>
      <c r="B3011" s="10"/>
      <c r="C3011" s="25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</row>
    <row r="3012">
      <c r="A3012" s="10"/>
      <c r="B3012" s="10"/>
      <c r="C3012" s="25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</row>
    <row r="3013">
      <c r="A3013" s="10"/>
      <c r="B3013" s="10"/>
      <c r="C3013" s="25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</row>
    <row r="3014">
      <c r="A3014" s="10"/>
      <c r="B3014" s="10"/>
      <c r="C3014" s="25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</row>
    <row r="3015">
      <c r="A3015" s="10"/>
      <c r="B3015" s="10"/>
      <c r="C3015" s="25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</row>
    <row r="3016">
      <c r="A3016" s="10"/>
      <c r="B3016" s="10"/>
      <c r="C3016" s="25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</row>
    <row r="3017">
      <c r="A3017" s="10"/>
      <c r="B3017" s="10"/>
      <c r="C3017" s="25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</row>
    <row r="3018">
      <c r="A3018" s="10"/>
      <c r="B3018" s="10"/>
      <c r="C3018" s="25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</row>
    <row r="3019">
      <c r="A3019" s="10"/>
      <c r="B3019" s="10"/>
      <c r="C3019" s="25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</row>
    <row r="3020">
      <c r="A3020" s="10"/>
      <c r="B3020" s="10"/>
      <c r="C3020" s="25"/>
      <c r="D3020" s="10"/>
      <c r="E3020" s="10"/>
      <c r="F3020" s="10"/>
      <c r="G3020" s="10"/>
      <c r="H3020" s="25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</row>
    <row r="3021">
      <c r="A3021" s="10"/>
      <c r="B3021" s="10"/>
      <c r="C3021" s="25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</row>
    <row r="3022">
      <c r="A3022" s="10"/>
      <c r="B3022" s="10"/>
      <c r="C3022" s="25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</row>
    <row r="3023">
      <c r="A3023" s="10"/>
      <c r="B3023" s="10"/>
      <c r="C3023" s="25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</row>
    <row r="3024">
      <c r="A3024" s="10"/>
      <c r="B3024" s="10"/>
      <c r="C3024" s="25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</row>
    <row r="3025">
      <c r="A3025" s="10"/>
      <c r="B3025" s="10"/>
      <c r="C3025" s="25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</row>
    <row r="3026">
      <c r="A3026" s="10"/>
      <c r="B3026" s="10"/>
      <c r="C3026" s="25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</row>
    <row r="3027">
      <c r="A3027" s="10"/>
      <c r="B3027" s="10"/>
      <c r="C3027" s="25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</row>
    <row r="3028">
      <c r="A3028" s="10"/>
      <c r="B3028" s="10"/>
      <c r="C3028" s="25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</row>
    <row r="3029">
      <c r="A3029" s="10"/>
      <c r="B3029" s="10"/>
      <c r="C3029" s="25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</row>
    <row r="3030">
      <c r="A3030" s="10"/>
      <c r="B3030" s="10"/>
      <c r="C3030" s="25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</row>
    <row r="3031">
      <c r="A3031" s="10"/>
      <c r="B3031" s="10"/>
      <c r="C3031" s="25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</row>
    <row r="3032">
      <c r="A3032" s="10"/>
      <c r="B3032" s="10"/>
      <c r="C3032" s="25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</row>
    <row r="3033">
      <c r="A3033" s="10"/>
      <c r="B3033" s="10"/>
      <c r="C3033" s="25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</row>
    <row r="3034">
      <c r="A3034" s="10"/>
      <c r="B3034" s="10"/>
      <c r="C3034" s="25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</row>
    <row r="3035">
      <c r="A3035" s="10"/>
      <c r="B3035" s="10"/>
      <c r="C3035" s="25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</row>
    <row r="3036">
      <c r="A3036" s="10"/>
      <c r="B3036" s="10"/>
      <c r="C3036" s="25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</row>
    <row r="3037">
      <c r="A3037" s="10"/>
      <c r="B3037" s="10"/>
      <c r="C3037" s="25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</row>
    <row r="3038">
      <c r="A3038" s="10"/>
      <c r="B3038" s="10"/>
      <c r="C3038" s="25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</row>
    <row r="3039">
      <c r="A3039" s="10"/>
      <c r="B3039" s="10"/>
      <c r="C3039" s="25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</row>
    <row r="3040">
      <c r="A3040" s="10"/>
      <c r="B3040" s="10"/>
      <c r="C3040" s="25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</row>
    <row r="3041">
      <c r="A3041" s="10"/>
      <c r="B3041" s="10"/>
      <c r="C3041" s="25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</row>
    <row r="3042">
      <c r="A3042" s="10"/>
      <c r="B3042" s="10"/>
      <c r="C3042" s="25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</row>
    <row r="3043">
      <c r="A3043" s="10"/>
      <c r="B3043" s="10"/>
      <c r="C3043" s="25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</row>
    <row r="3044">
      <c r="A3044" s="10"/>
      <c r="B3044" s="10"/>
      <c r="C3044" s="25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</row>
    <row r="3045">
      <c r="A3045" s="10"/>
      <c r="B3045" s="10"/>
      <c r="C3045" s="25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</row>
    <row r="3046">
      <c r="A3046" s="10"/>
      <c r="B3046" s="10"/>
      <c r="C3046" s="25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</row>
    <row r="3047">
      <c r="A3047" s="10"/>
      <c r="B3047" s="10"/>
      <c r="C3047" s="25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</row>
    <row r="3048">
      <c r="A3048" s="10"/>
      <c r="B3048" s="10"/>
      <c r="C3048" s="25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</row>
    <row r="3049">
      <c r="A3049" s="10"/>
      <c r="B3049" s="10"/>
      <c r="C3049" s="25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</row>
    <row r="3050">
      <c r="A3050" s="10"/>
      <c r="B3050" s="10"/>
      <c r="C3050" s="25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</row>
    <row r="3051">
      <c r="A3051" s="10"/>
      <c r="B3051" s="10"/>
      <c r="C3051" s="25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</row>
    <row r="3052">
      <c r="A3052" s="10"/>
      <c r="B3052" s="10"/>
      <c r="C3052" s="25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</row>
    <row r="3053">
      <c r="A3053" s="10"/>
      <c r="B3053" s="10"/>
      <c r="C3053" s="25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</row>
    <row r="3054">
      <c r="A3054" s="10"/>
      <c r="B3054" s="10"/>
      <c r="C3054" s="25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</row>
    <row r="3055">
      <c r="A3055" s="10"/>
      <c r="B3055" s="10"/>
      <c r="C3055" s="25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</row>
    <row r="3056">
      <c r="A3056" s="10"/>
      <c r="B3056" s="10"/>
      <c r="C3056" s="25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</row>
    <row r="3057">
      <c r="A3057" s="10"/>
      <c r="B3057" s="10"/>
      <c r="C3057" s="25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</row>
    <row r="3058">
      <c r="A3058" s="10"/>
      <c r="B3058" s="10"/>
      <c r="C3058" s="25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</row>
    <row r="3059">
      <c r="A3059" s="10"/>
      <c r="B3059" s="10"/>
      <c r="C3059" s="25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</row>
    <row r="3060">
      <c r="A3060" s="10"/>
      <c r="B3060" s="10"/>
      <c r="C3060" s="25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</row>
    <row r="3061">
      <c r="A3061" s="10"/>
      <c r="B3061" s="10"/>
      <c r="C3061" s="25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</row>
    <row r="3062">
      <c r="A3062" s="10"/>
      <c r="B3062" s="10"/>
      <c r="C3062" s="25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</row>
    <row r="3063">
      <c r="A3063" s="10"/>
      <c r="B3063" s="10"/>
      <c r="C3063" s="25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</row>
    <row r="3064">
      <c r="A3064" s="10"/>
      <c r="B3064" s="10"/>
      <c r="C3064" s="25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</row>
    <row r="3065">
      <c r="A3065" s="10"/>
      <c r="B3065" s="10"/>
      <c r="C3065" s="25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</row>
    <row r="3066">
      <c r="A3066" s="10"/>
      <c r="B3066" s="10"/>
      <c r="C3066" s="25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</row>
    <row r="3067">
      <c r="A3067" s="10"/>
      <c r="B3067" s="10"/>
      <c r="C3067" s="25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</row>
    <row r="3068">
      <c r="A3068" s="10"/>
      <c r="B3068" s="10"/>
      <c r="C3068" s="25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</row>
    <row r="3069">
      <c r="A3069" s="10"/>
      <c r="B3069" s="10"/>
      <c r="C3069" s="25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</row>
    <row r="3070">
      <c r="A3070" s="10"/>
      <c r="B3070" s="10"/>
      <c r="C3070" s="25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</row>
    <row r="3071">
      <c r="A3071" s="10"/>
      <c r="B3071" s="10"/>
      <c r="C3071" s="25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</row>
    <row r="3072">
      <c r="A3072" s="10"/>
      <c r="B3072" s="10"/>
      <c r="C3072" s="25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</row>
    <row r="3073">
      <c r="A3073" s="10"/>
      <c r="B3073" s="10"/>
      <c r="C3073" s="25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</row>
    <row r="3074">
      <c r="A3074" s="10"/>
      <c r="B3074" s="10"/>
      <c r="C3074" s="25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</row>
    <row r="3075">
      <c r="A3075" s="10"/>
      <c r="B3075" s="10"/>
      <c r="C3075" s="25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</row>
    <row r="3076">
      <c r="A3076" s="10"/>
      <c r="B3076" s="10"/>
      <c r="C3076" s="25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</row>
    <row r="3077">
      <c r="A3077" s="10"/>
      <c r="B3077" s="10"/>
      <c r="C3077" s="25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</row>
    <row r="3078">
      <c r="A3078" s="10"/>
      <c r="B3078" s="10"/>
      <c r="C3078" s="25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</row>
    <row r="3079">
      <c r="A3079" s="10"/>
      <c r="B3079" s="10"/>
      <c r="C3079" s="25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</row>
    <row r="3080">
      <c r="A3080" s="10"/>
      <c r="B3080" s="10"/>
      <c r="C3080" s="25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</row>
    <row r="3081">
      <c r="A3081" s="10"/>
      <c r="B3081" s="10"/>
      <c r="C3081" s="25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</row>
    <row r="3082">
      <c r="A3082" s="10"/>
      <c r="B3082" s="10"/>
      <c r="C3082" s="25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</row>
    <row r="3083">
      <c r="A3083" s="10"/>
      <c r="B3083" s="10"/>
      <c r="C3083" s="25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</row>
    <row r="3084">
      <c r="A3084" s="10"/>
      <c r="B3084" s="10"/>
      <c r="C3084" s="25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</row>
    <row r="3085">
      <c r="A3085" s="10"/>
      <c r="B3085" s="10"/>
      <c r="C3085" s="25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</row>
    <row r="3086">
      <c r="A3086" s="10"/>
      <c r="B3086" s="10"/>
      <c r="C3086" s="25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</row>
    <row r="3087">
      <c r="A3087" s="10"/>
      <c r="B3087" s="10"/>
      <c r="C3087" s="25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</row>
    <row r="3088">
      <c r="A3088" s="10"/>
      <c r="B3088" s="10"/>
      <c r="C3088" s="25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</row>
    <row r="3089">
      <c r="A3089" s="10"/>
      <c r="B3089" s="10"/>
      <c r="C3089" s="25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</row>
    <row r="3090">
      <c r="A3090" s="10"/>
      <c r="B3090" s="10"/>
      <c r="C3090" s="25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</row>
    <row r="3091">
      <c r="A3091" s="10"/>
      <c r="B3091" s="10"/>
      <c r="C3091" s="25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</row>
    <row r="3092">
      <c r="A3092" s="10"/>
      <c r="B3092" s="10"/>
      <c r="C3092" s="25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</row>
    <row r="3093">
      <c r="A3093" s="10"/>
      <c r="B3093" s="10"/>
      <c r="C3093" s="25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</row>
    <row r="3094">
      <c r="A3094" s="10"/>
      <c r="B3094" s="10"/>
      <c r="C3094" s="25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</row>
    <row r="3095">
      <c r="A3095" s="10"/>
      <c r="B3095" s="10"/>
      <c r="C3095" s="25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</row>
    <row r="3096">
      <c r="A3096" s="10"/>
      <c r="B3096" s="10"/>
      <c r="C3096" s="25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</row>
    <row r="3097">
      <c r="A3097" s="10"/>
      <c r="B3097" s="10"/>
      <c r="C3097" s="25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</row>
    <row r="3098">
      <c r="A3098" s="10"/>
      <c r="B3098" s="10"/>
      <c r="C3098" s="25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</row>
    <row r="3099">
      <c r="A3099" s="10"/>
      <c r="B3099" s="10"/>
      <c r="C3099" s="25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</row>
    <row r="3100">
      <c r="A3100" s="10"/>
      <c r="B3100" s="10"/>
      <c r="C3100" s="25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</row>
    <row r="3101">
      <c r="A3101" s="10"/>
      <c r="B3101" s="10"/>
      <c r="C3101" s="25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</row>
    <row r="3102">
      <c r="A3102" s="10"/>
      <c r="B3102" s="10"/>
      <c r="C3102" s="25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</row>
    <row r="3103">
      <c r="A3103" s="10"/>
      <c r="B3103" s="10"/>
      <c r="C3103" s="25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</row>
    <row r="3104">
      <c r="A3104" s="10"/>
      <c r="B3104" s="10"/>
      <c r="C3104" s="25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</row>
    <row r="3105">
      <c r="A3105" s="10"/>
      <c r="B3105" s="10"/>
      <c r="C3105" s="25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</row>
    <row r="3106">
      <c r="A3106" s="10"/>
      <c r="B3106" s="10"/>
      <c r="C3106" s="25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</row>
    <row r="3107">
      <c r="A3107" s="10"/>
      <c r="B3107" s="10"/>
      <c r="C3107" s="25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</row>
    <row r="3108">
      <c r="A3108" s="10"/>
      <c r="B3108" s="10"/>
      <c r="C3108" s="25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</row>
    <row r="3109">
      <c r="A3109" s="10"/>
      <c r="B3109" s="10"/>
      <c r="C3109" s="25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</row>
    <row r="3110">
      <c r="A3110" s="10"/>
      <c r="B3110" s="10"/>
      <c r="C3110" s="25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</row>
    <row r="3111">
      <c r="A3111" s="10"/>
      <c r="B3111" s="10"/>
      <c r="C3111" s="25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</row>
    <row r="3112">
      <c r="A3112" s="10"/>
      <c r="B3112" s="10"/>
      <c r="C3112" s="25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</row>
    <row r="3113">
      <c r="A3113" s="10"/>
      <c r="B3113" s="10"/>
      <c r="C3113" s="25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</row>
    <row r="3114">
      <c r="A3114" s="10"/>
      <c r="B3114" s="10"/>
      <c r="C3114" s="25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</row>
    <row r="3115">
      <c r="A3115" s="10"/>
      <c r="B3115" s="10"/>
      <c r="C3115" s="25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</row>
    <row r="3116">
      <c r="A3116" s="10"/>
      <c r="B3116" s="10"/>
      <c r="C3116" s="25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</row>
    <row r="3117">
      <c r="A3117" s="10"/>
      <c r="B3117" s="10"/>
      <c r="C3117" s="25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</row>
    <row r="3118">
      <c r="A3118" s="10"/>
      <c r="B3118" s="10"/>
      <c r="C3118" s="25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</row>
    <row r="3119">
      <c r="A3119" s="10"/>
      <c r="B3119" s="10"/>
      <c r="C3119" s="25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</row>
    <row r="3120">
      <c r="A3120" s="10"/>
      <c r="B3120" s="10"/>
      <c r="C3120" s="25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</row>
    <row r="3121">
      <c r="A3121" s="10"/>
      <c r="B3121" s="10"/>
      <c r="C3121" s="25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</row>
    <row r="3122">
      <c r="A3122" s="10"/>
      <c r="B3122" s="10"/>
      <c r="C3122" s="25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</row>
    <row r="3123">
      <c r="A3123" s="10"/>
      <c r="B3123" s="10"/>
      <c r="C3123" s="25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</row>
    <row r="3124">
      <c r="A3124" s="10"/>
      <c r="B3124" s="10"/>
      <c r="C3124" s="25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</row>
    <row r="3125">
      <c r="A3125" s="10"/>
      <c r="B3125" s="10"/>
      <c r="C3125" s="25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</row>
    <row r="3126">
      <c r="A3126" s="10"/>
      <c r="B3126" s="10"/>
      <c r="C3126" s="25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</row>
    <row r="3127">
      <c r="A3127" s="10"/>
      <c r="B3127" s="10"/>
      <c r="C3127" s="25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</row>
    <row r="3128">
      <c r="A3128" s="10"/>
      <c r="B3128" s="10"/>
      <c r="C3128" s="25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</row>
    <row r="3129">
      <c r="A3129" s="10"/>
      <c r="B3129" s="10"/>
      <c r="C3129" s="25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</row>
    <row r="3130">
      <c r="A3130" s="10"/>
      <c r="B3130" s="10"/>
      <c r="C3130" s="25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</row>
    <row r="3131">
      <c r="A3131" s="10"/>
      <c r="B3131" s="10"/>
      <c r="C3131" s="25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</row>
    <row r="3132">
      <c r="A3132" s="10"/>
      <c r="B3132" s="10"/>
      <c r="C3132" s="25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</row>
    <row r="3133">
      <c r="A3133" s="10"/>
      <c r="B3133" s="10"/>
      <c r="C3133" s="25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</row>
    <row r="3134">
      <c r="A3134" s="10"/>
      <c r="B3134" s="10"/>
      <c r="C3134" s="25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</row>
    <row r="3135">
      <c r="A3135" s="10"/>
      <c r="B3135" s="10"/>
      <c r="C3135" s="25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</row>
    <row r="3136">
      <c r="A3136" s="10"/>
      <c r="B3136" s="10"/>
      <c r="C3136" s="25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</row>
    <row r="3137">
      <c r="A3137" s="10"/>
      <c r="B3137" s="10"/>
      <c r="C3137" s="25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</row>
    <row r="3138">
      <c r="A3138" s="10"/>
      <c r="B3138" s="10"/>
      <c r="C3138" s="25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</row>
    <row r="3139">
      <c r="A3139" s="10"/>
      <c r="B3139" s="10"/>
      <c r="C3139" s="25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</row>
    <row r="3140">
      <c r="A3140" s="10"/>
      <c r="B3140" s="10"/>
      <c r="C3140" s="25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</row>
    <row r="3141">
      <c r="A3141" s="10"/>
      <c r="B3141" s="10"/>
      <c r="C3141" s="25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</row>
    <row r="3142">
      <c r="A3142" s="10"/>
      <c r="B3142" s="10"/>
      <c r="C3142" s="25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</row>
    <row r="3143">
      <c r="A3143" s="10"/>
      <c r="B3143" s="10"/>
      <c r="C3143" s="25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</row>
    <row r="3144">
      <c r="A3144" s="10"/>
      <c r="B3144" s="10"/>
      <c r="C3144" s="25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</row>
    <row r="3145">
      <c r="A3145" s="10"/>
      <c r="B3145" s="10"/>
      <c r="C3145" s="25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</row>
    <row r="3146">
      <c r="A3146" s="10"/>
      <c r="B3146" s="10"/>
      <c r="C3146" s="25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</row>
    <row r="3147">
      <c r="A3147" s="10"/>
      <c r="B3147" s="10"/>
      <c r="C3147" s="25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</row>
    <row r="3148">
      <c r="A3148" s="10"/>
      <c r="B3148" s="10"/>
      <c r="C3148" s="25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</row>
    <row r="3149">
      <c r="A3149" s="10"/>
      <c r="B3149" s="10"/>
      <c r="C3149" s="25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</row>
    <row r="3150">
      <c r="A3150" s="10"/>
      <c r="B3150" s="10"/>
      <c r="C3150" s="25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</row>
    <row r="3151">
      <c r="A3151" s="10"/>
      <c r="B3151" s="10"/>
      <c r="C3151" s="25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</row>
    <row r="3152">
      <c r="A3152" s="10"/>
      <c r="B3152" s="10"/>
      <c r="C3152" s="25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</row>
    <row r="3153">
      <c r="A3153" s="10"/>
      <c r="B3153" s="10"/>
      <c r="C3153" s="25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</row>
    <row r="3154">
      <c r="A3154" s="10"/>
      <c r="B3154" s="10"/>
      <c r="C3154" s="25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</row>
    <row r="3155">
      <c r="A3155" s="10"/>
      <c r="B3155" s="10"/>
      <c r="C3155" s="25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</row>
    <row r="3156">
      <c r="A3156" s="10"/>
      <c r="B3156" s="10"/>
      <c r="C3156" s="25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</row>
    <row r="3157">
      <c r="A3157" s="10"/>
      <c r="B3157" s="10"/>
      <c r="C3157" s="25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</row>
    <row r="3158">
      <c r="A3158" s="10"/>
      <c r="B3158" s="10"/>
      <c r="C3158" s="25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</row>
    <row r="3159">
      <c r="A3159" s="10"/>
      <c r="B3159" s="10"/>
      <c r="C3159" s="25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</row>
    <row r="3160">
      <c r="A3160" s="10"/>
      <c r="B3160" s="10"/>
      <c r="C3160" s="25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</row>
    <row r="3161">
      <c r="A3161" s="10"/>
      <c r="B3161" s="10"/>
      <c r="C3161" s="25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</row>
    <row r="3162">
      <c r="A3162" s="10"/>
      <c r="B3162" s="10"/>
      <c r="C3162" s="25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</row>
    <row r="3163">
      <c r="A3163" s="10"/>
      <c r="B3163" s="10"/>
      <c r="C3163" s="25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</row>
    <row r="3164">
      <c r="A3164" s="10"/>
      <c r="B3164" s="10"/>
      <c r="C3164" s="25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</row>
    <row r="3165">
      <c r="A3165" s="10"/>
      <c r="B3165" s="10"/>
      <c r="C3165" s="25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</row>
    <row r="3166">
      <c r="A3166" s="10"/>
      <c r="B3166" s="10"/>
      <c r="C3166" s="25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</row>
    <row r="3167">
      <c r="A3167" s="10"/>
      <c r="B3167" s="10"/>
      <c r="C3167" s="25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</row>
    <row r="3168">
      <c r="A3168" s="10"/>
      <c r="B3168" s="10"/>
      <c r="C3168" s="25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</row>
    <row r="3169">
      <c r="A3169" s="10"/>
      <c r="B3169" s="10"/>
      <c r="C3169" s="25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</row>
    <row r="3170">
      <c r="A3170" s="10"/>
      <c r="B3170" s="10"/>
      <c r="C3170" s="25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</row>
    <row r="3171">
      <c r="A3171" s="10"/>
      <c r="B3171" s="10"/>
      <c r="C3171" s="25"/>
      <c r="D3171" s="10"/>
      <c r="E3171" s="10"/>
      <c r="F3171" s="10"/>
      <c r="G3171" s="10"/>
      <c r="H3171" s="25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</row>
    <row r="3172">
      <c r="A3172" s="10"/>
      <c r="B3172" s="10"/>
      <c r="C3172" s="25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</row>
    <row r="3173">
      <c r="A3173" s="10"/>
      <c r="B3173" s="10"/>
      <c r="C3173" s="25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</row>
    <row r="3174">
      <c r="A3174" s="10"/>
      <c r="B3174" s="10"/>
      <c r="C3174" s="25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</row>
    <row r="3175">
      <c r="A3175" s="10"/>
      <c r="B3175" s="10"/>
      <c r="C3175" s="25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</row>
    <row r="3176">
      <c r="A3176" s="10"/>
      <c r="B3176" s="10"/>
      <c r="C3176" s="25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</row>
    <row r="3177">
      <c r="A3177" s="10"/>
      <c r="B3177" s="10"/>
      <c r="C3177" s="25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</row>
    <row r="3178">
      <c r="A3178" s="10"/>
      <c r="B3178" s="10"/>
      <c r="C3178" s="25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</row>
    <row r="3179">
      <c r="A3179" s="10"/>
      <c r="B3179" s="10"/>
      <c r="C3179" s="25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</row>
    <row r="3180">
      <c r="A3180" s="10"/>
      <c r="B3180" s="10"/>
      <c r="C3180" s="25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</row>
    <row r="3181">
      <c r="A3181" s="10"/>
      <c r="B3181" s="10"/>
      <c r="C3181" s="25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</row>
    <row r="3182">
      <c r="A3182" s="10"/>
      <c r="B3182" s="10"/>
      <c r="C3182" s="25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</row>
    <row r="3183">
      <c r="A3183" s="10"/>
      <c r="B3183" s="10"/>
      <c r="C3183" s="25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</row>
    <row r="3184">
      <c r="A3184" s="10"/>
      <c r="B3184" s="10"/>
      <c r="C3184" s="25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</row>
    <row r="3185">
      <c r="A3185" s="10"/>
      <c r="B3185" s="10"/>
      <c r="C3185" s="25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</row>
    <row r="3186">
      <c r="A3186" s="10"/>
      <c r="B3186" s="10"/>
      <c r="C3186" s="25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</row>
    <row r="3187">
      <c r="A3187" s="10"/>
      <c r="B3187" s="10"/>
      <c r="C3187" s="25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</row>
    <row r="3188">
      <c r="A3188" s="10"/>
      <c r="B3188" s="10"/>
      <c r="C3188" s="25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</row>
    <row r="3189">
      <c r="A3189" s="10"/>
      <c r="B3189" s="10"/>
      <c r="C3189" s="25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</row>
    <row r="3190">
      <c r="A3190" s="10"/>
      <c r="B3190" s="10"/>
      <c r="C3190" s="25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</row>
    <row r="3191">
      <c r="A3191" s="10"/>
      <c r="B3191" s="10"/>
      <c r="C3191" s="25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</row>
    <row r="3192">
      <c r="A3192" s="10"/>
      <c r="B3192" s="10"/>
      <c r="C3192" s="25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</row>
    <row r="3193">
      <c r="A3193" s="10"/>
      <c r="B3193" s="10"/>
      <c r="C3193" s="25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</row>
    <row r="3194">
      <c r="A3194" s="10"/>
      <c r="B3194" s="10"/>
      <c r="C3194" s="25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</row>
    <row r="3195">
      <c r="A3195" s="10"/>
      <c r="B3195" s="10"/>
      <c r="C3195" s="25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</row>
    <row r="3196">
      <c r="A3196" s="10"/>
      <c r="B3196" s="10"/>
      <c r="C3196" s="25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</row>
    <row r="3197">
      <c r="A3197" s="10"/>
      <c r="B3197" s="10"/>
      <c r="C3197" s="25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</row>
    <row r="3198">
      <c r="A3198" s="10"/>
      <c r="B3198" s="10"/>
      <c r="C3198" s="25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</row>
    <row r="3199">
      <c r="A3199" s="10"/>
      <c r="B3199" s="10"/>
      <c r="C3199" s="25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</row>
    <row r="3200">
      <c r="A3200" s="10"/>
      <c r="B3200" s="10"/>
      <c r="C3200" s="25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</row>
    <row r="3201">
      <c r="A3201" s="10"/>
      <c r="B3201" s="10"/>
      <c r="C3201" s="25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</row>
    <row r="3202">
      <c r="A3202" s="10"/>
      <c r="B3202" s="10"/>
      <c r="C3202" s="25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</row>
    <row r="3203">
      <c r="A3203" s="10"/>
      <c r="B3203" s="10"/>
      <c r="C3203" s="25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</row>
    <row r="3204">
      <c r="A3204" s="10"/>
      <c r="B3204" s="10"/>
      <c r="C3204" s="25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</row>
    <row r="3205">
      <c r="A3205" s="10"/>
      <c r="B3205" s="10"/>
      <c r="C3205" s="25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</row>
    <row r="3206">
      <c r="A3206" s="10"/>
      <c r="B3206" s="10"/>
      <c r="C3206" s="25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</row>
    <row r="3207">
      <c r="A3207" s="10"/>
      <c r="B3207" s="10"/>
      <c r="C3207" s="25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</row>
    <row r="3208">
      <c r="A3208" s="10"/>
      <c r="B3208" s="10"/>
      <c r="C3208" s="25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</row>
    <row r="3209">
      <c r="A3209" s="10"/>
      <c r="B3209" s="10"/>
      <c r="C3209" s="25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</row>
    <row r="3210">
      <c r="A3210" s="10"/>
      <c r="B3210" s="10"/>
      <c r="C3210" s="25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</row>
    <row r="3211">
      <c r="A3211" s="10"/>
      <c r="B3211" s="10"/>
      <c r="C3211" s="25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</row>
    <row r="3212">
      <c r="A3212" s="10"/>
      <c r="B3212" s="10"/>
      <c r="C3212" s="25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</row>
    <row r="3213">
      <c r="A3213" s="10"/>
      <c r="B3213" s="10"/>
      <c r="C3213" s="25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</row>
    <row r="3214">
      <c r="A3214" s="10"/>
      <c r="B3214" s="10"/>
      <c r="C3214" s="25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</row>
    <row r="3215">
      <c r="A3215" s="10"/>
      <c r="B3215" s="10"/>
      <c r="C3215" s="25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</row>
    <row r="3216">
      <c r="A3216" s="10"/>
      <c r="B3216" s="10"/>
      <c r="C3216" s="25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</row>
    <row r="3217">
      <c r="A3217" s="10"/>
      <c r="B3217" s="10"/>
      <c r="C3217" s="25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</row>
    <row r="3218">
      <c r="A3218" s="10"/>
      <c r="B3218" s="10"/>
      <c r="C3218" s="25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</row>
    <row r="3219">
      <c r="A3219" s="10"/>
      <c r="B3219" s="10"/>
      <c r="C3219" s="25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</row>
    <row r="3220">
      <c r="A3220" s="10"/>
      <c r="B3220" s="10"/>
      <c r="C3220" s="25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</row>
    <row r="3221">
      <c r="A3221" s="10"/>
      <c r="B3221" s="10"/>
      <c r="C3221" s="25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</row>
    <row r="3222">
      <c r="A3222" s="10"/>
      <c r="B3222" s="10"/>
      <c r="C3222" s="25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</row>
    <row r="3223">
      <c r="A3223" s="10"/>
      <c r="B3223" s="10"/>
      <c r="C3223" s="25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</row>
    <row r="3224">
      <c r="A3224" s="10"/>
      <c r="B3224" s="10"/>
      <c r="C3224" s="25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</row>
    <row r="3225">
      <c r="A3225" s="10"/>
      <c r="B3225" s="10"/>
      <c r="C3225" s="25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</row>
    <row r="3226">
      <c r="A3226" s="10"/>
      <c r="B3226" s="10"/>
      <c r="C3226" s="25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</row>
    <row r="3227">
      <c r="A3227" s="10"/>
      <c r="B3227" s="10"/>
      <c r="C3227" s="25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</row>
    <row r="3228">
      <c r="A3228" s="10"/>
      <c r="B3228" s="10"/>
      <c r="C3228" s="25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</row>
    <row r="3229">
      <c r="A3229" s="10"/>
      <c r="B3229" s="10"/>
      <c r="C3229" s="25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</row>
    <row r="3230">
      <c r="A3230" s="10"/>
      <c r="B3230" s="10"/>
      <c r="C3230" s="25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</row>
    <row r="3231">
      <c r="A3231" s="10"/>
      <c r="B3231" s="10"/>
      <c r="C3231" s="25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</row>
    <row r="3232">
      <c r="A3232" s="10"/>
      <c r="B3232" s="10"/>
      <c r="C3232" s="25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</row>
    <row r="3233">
      <c r="A3233" s="10"/>
      <c r="B3233" s="10"/>
      <c r="C3233" s="25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</row>
    <row r="3234">
      <c r="A3234" s="10"/>
      <c r="B3234" s="10"/>
      <c r="C3234" s="25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</row>
    <row r="3235">
      <c r="A3235" s="10"/>
      <c r="B3235" s="10"/>
      <c r="C3235" s="25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</row>
    <row r="3236">
      <c r="A3236" s="10"/>
      <c r="B3236" s="10"/>
      <c r="C3236" s="25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5</v>
      </c>
      <c r="C1" s="1" t="s">
        <v>2543</v>
      </c>
      <c r="D1" s="1" t="s">
        <v>2544</v>
      </c>
      <c r="E1" s="1" t="s">
        <v>17</v>
      </c>
      <c r="F1" s="1" t="s">
        <v>2545</v>
      </c>
    </row>
    <row r="2">
      <c r="A2" s="6" t="s">
        <v>2546</v>
      </c>
      <c r="B2" s="6" t="s">
        <v>28</v>
      </c>
      <c r="C2" s="6" t="s">
        <v>150</v>
      </c>
      <c r="D2" s="18">
        <v>7.0</v>
      </c>
      <c r="E2" s="18">
        <v>7.0</v>
      </c>
      <c r="F2" s="18">
        <v>49.0</v>
      </c>
    </row>
    <row r="3">
      <c r="A3" s="6" t="s">
        <v>2548</v>
      </c>
      <c r="B3" s="6" t="s">
        <v>28</v>
      </c>
      <c r="C3" s="6" t="s">
        <v>152</v>
      </c>
      <c r="D3" s="18">
        <v>1.0</v>
      </c>
      <c r="E3" s="18">
        <v>16.83</v>
      </c>
      <c r="F3" s="18">
        <v>16.83</v>
      </c>
    </row>
    <row r="4">
      <c r="A4" s="6" t="s">
        <v>2550</v>
      </c>
      <c r="B4" s="6" t="s">
        <v>28</v>
      </c>
      <c r="C4" s="6" t="s">
        <v>154</v>
      </c>
      <c r="D4" s="18">
        <v>10.0</v>
      </c>
      <c r="E4" s="18">
        <v>25.0</v>
      </c>
      <c r="F4" s="18">
        <v>250.0</v>
      </c>
    </row>
    <row r="5">
      <c r="A5" s="6" t="s">
        <v>2553</v>
      </c>
      <c r="B5" s="6" t="s">
        <v>28</v>
      </c>
      <c r="C5" s="6" t="s">
        <v>155</v>
      </c>
      <c r="D5" s="18">
        <v>5.0</v>
      </c>
      <c r="E5" s="18">
        <v>4.0</v>
      </c>
      <c r="F5" s="18">
        <v>20.0</v>
      </c>
    </row>
    <row r="6">
      <c r="A6" s="6" t="s">
        <v>2556</v>
      </c>
      <c r="B6" s="6" t="s">
        <v>28</v>
      </c>
      <c r="C6" s="6" t="s">
        <v>159</v>
      </c>
      <c r="D6" s="18">
        <v>15.0</v>
      </c>
      <c r="E6" s="18">
        <v>11.0</v>
      </c>
      <c r="F6" s="18">
        <v>165.0</v>
      </c>
    </row>
    <row r="7">
      <c r="A7" s="6" t="s">
        <v>2557</v>
      </c>
      <c r="B7" s="6" t="s">
        <v>53</v>
      </c>
      <c r="C7" s="6" t="s">
        <v>169</v>
      </c>
      <c r="D7" s="18">
        <v>11.0</v>
      </c>
      <c r="E7" s="18">
        <v>20.0</v>
      </c>
      <c r="F7" s="18">
        <v>220.0</v>
      </c>
    </row>
    <row r="8">
      <c r="A8" s="6" t="s">
        <v>2560</v>
      </c>
      <c r="B8" s="6" t="s">
        <v>81</v>
      </c>
      <c r="C8" s="18">
        <v>9.0980848E7</v>
      </c>
      <c r="D8" s="18">
        <v>1.0</v>
      </c>
      <c r="E8" s="18">
        <v>22.9</v>
      </c>
      <c r="F8" s="18">
        <v>22.9</v>
      </c>
    </row>
    <row r="9">
      <c r="A9" s="6" t="s">
        <v>2562</v>
      </c>
      <c r="B9" s="6" t="s">
        <v>81</v>
      </c>
      <c r="C9" s="6" t="s">
        <v>182</v>
      </c>
      <c r="D9" s="18">
        <v>1.0</v>
      </c>
      <c r="E9" s="18">
        <v>10.9</v>
      </c>
      <c r="F9" s="18">
        <v>10.9</v>
      </c>
    </row>
    <row r="10">
      <c r="A10" s="6" t="s">
        <v>2564</v>
      </c>
      <c r="B10" s="6" t="s">
        <v>81</v>
      </c>
      <c r="C10" s="6" t="s">
        <v>183</v>
      </c>
      <c r="D10" s="18">
        <v>1.0</v>
      </c>
      <c r="E10" s="18">
        <v>15.9</v>
      </c>
      <c r="F10" s="18">
        <v>15.9</v>
      </c>
    </row>
    <row r="11">
      <c r="A11" s="6" t="s">
        <v>2567</v>
      </c>
      <c r="B11" s="6" t="s">
        <v>81</v>
      </c>
      <c r="C11" s="6" t="s">
        <v>185</v>
      </c>
      <c r="D11" s="18">
        <v>1.0</v>
      </c>
      <c r="E11" s="18">
        <v>59.9</v>
      </c>
      <c r="F11" s="18">
        <v>59.9</v>
      </c>
    </row>
    <row r="12">
      <c r="A12" s="6" t="s">
        <v>2569</v>
      </c>
      <c r="B12" s="6" t="s">
        <v>81</v>
      </c>
      <c r="C12" s="6" t="s">
        <v>186</v>
      </c>
      <c r="D12" s="18">
        <v>2.0</v>
      </c>
      <c r="E12" s="18">
        <v>9.9</v>
      </c>
      <c r="F12" s="18">
        <v>19.8</v>
      </c>
    </row>
    <row r="13">
      <c r="A13" s="6" t="s">
        <v>2571</v>
      </c>
      <c r="B13" s="6" t="s">
        <v>81</v>
      </c>
      <c r="C13" s="6" t="s">
        <v>188</v>
      </c>
      <c r="D13" s="18">
        <v>2.0</v>
      </c>
      <c r="E13" s="18">
        <v>13.9</v>
      </c>
      <c r="F13" s="18">
        <v>27.8</v>
      </c>
    </row>
    <row r="14">
      <c r="A14" s="6" t="s">
        <v>2574</v>
      </c>
      <c r="B14" s="6" t="s">
        <v>81</v>
      </c>
      <c r="C14" s="6" t="s">
        <v>189</v>
      </c>
      <c r="D14" s="18">
        <v>1.0</v>
      </c>
      <c r="E14" s="18">
        <v>3.99</v>
      </c>
      <c r="F14" s="18">
        <v>3.99</v>
      </c>
    </row>
    <row r="15">
      <c r="A15" s="6" t="s">
        <v>2576</v>
      </c>
      <c r="B15" s="6" t="s">
        <v>81</v>
      </c>
      <c r="C15" s="6" t="s">
        <v>192</v>
      </c>
      <c r="D15" s="18">
        <v>5.0</v>
      </c>
      <c r="E15" s="18">
        <v>9.9</v>
      </c>
      <c r="F15" s="18">
        <v>49.5</v>
      </c>
    </row>
    <row r="16">
      <c r="A16" s="6" t="s">
        <v>2578</v>
      </c>
      <c r="B16" s="6" t="s">
        <v>81</v>
      </c>
      <c r="C16" s="6" t="s">
        <v>196</v>
      </c>
      <c r="D16" s="18">
        <v>4.0</v>
      </c>
      <c r="E16" s="18">
        <v>12.5</v>
      </c>
      <c r="F16" s="18">
        <v>50.0</v>
      </c>
    </row>
    <row r="17">
      <c r="A17" s="6" t="s">
        <v>2581</v>
      </c>
      <c r="B17" s="6" t="s">
        <v>81</v>
      </c>
      <c r="C17" s="6" t="s">
        <v>198</v>
      </c>
      <c r="D17" s="18">
        <v>1.0</v>
      </c>
      <c r="E17" s="18">
        <v>14.9</v>
      </c>
      <c r="F17" s="18">
        <v>14.9</v>
      </c>
    </row>
    <row r="18">
      <c r="A18" s="6" t="s">
        <v>2582</v>
      </c>
      <c r="B18" s="6" t="s">
        <v>81</v>
      </c>
      <c r="C18" s="6" t="s">
        <v>192</v>
      </c>
      <c r="D18" s="18">
        <v>1.0</v>
      </c>
      <c r="E18" s="18">
        <v>14.9</v>
      </c>
      <c r="F18" s="18">
        <v>14.9</v>
      </c>
    </row>
    <row r="19">
      <c r="A19" s="6" t="s">
        <v>2585</v>
      </c>
      <c r="B19" s="6" t="s">
        <v>81</v>
      </c>
      <c r="C19" s="6" t="s">
        <v>203</v>
      </c>
      <c r="D19" s="18">
        <v>1.0</v>
      </c>
      <c r="E19" s="18">
        <v>12.9</v>
      </c>
      <c r="F19" s="18">
        <v>12.0</v>
      </c>
    </row>
    <row r="20">
      <c r="A20" s="6" t="s">
        <v>2587</v>
      </c>
      <c r="B20" s="6" t="s">
        <v>81</v>
      </c>
      <c r="C20" s="6" t="s">
        <v>206</v>
      </c>
      <c r="D20" s="18">
        <v>6.0</v>
      </c>
      <c r="E20" s="18">
        <v>13.9</v>
      </c>
      <c r="F20" s="18">
        <v>83.4</v>
      </c>
    </row>
    <row r="21">
      <c r="A21" s="6" t="s">
        <v>2589</v>
      </c>
      <c r="B21" s="6" t="s">
        <v>81</v>
      </c>
      <c r="C21" s="6" t="s">
        <v>206</v>
      </c>
      <c r="D21" s="18">
        <v>2.0</v>
      </c>
      <c r="E21" s="18">
        <v>37.15</v>
      </c>
      <c r="F21" s="18">
        <v>74.3</v>
      </c>
    </row>
    <row r="22">
      <c r="A22" s="6" t="s">
        <v>2592</v>
      </c>
      <c r="B22" s="6" t="s">
        <v>93</v>
      </c>
      <c r="C22" s="6" t="s">
        <v>216</v>
      </c>
      <c r="D22" s="18">
        <v>1.0</v>
      </c>
      <c r="E22" s="18">
        <v>127.08</v>
      </c>
      <c r="F22" s="18">
        <v>127.08</v>
      </c>
    </row>
    <row r="23">
      <c r="A23" s="6" t="s">
        <v>2594</v>
      </c>
      <c r="B23" s="6" t="s">
        <v>108</v>
      </c>
      <c r="C23" s="6" t="s">
        <v>226</v>
      </c>
      <c r="D23" s="18">
        <v>5.0</v>
      </c>
      <c r="E23" s="18">
        <v>7.8</v>
      </c>
      <c r="F23" s="18">
        <v>39.0</v>
      </c>
    </row>
    <row r="24">
      <c r="A24" s="6" t="s">
        <v>2595</v>
      </c>
      <c r="B24" s="6" t="s">
        <v>108</v>
      </c>
      <c r="C24" s="6" t="s">
        <v>152</v>
      </c>
      <c r="D24" s="18">
        <v>2.73</v>
      </c>
      <c r="E24" s="18">
        <v>3.4</v>
      </c>
      <c r="F24" s="18">
        <v>9.28</v>
      </c>
    </row>
    <row r="25">
      <c r="A25" s="6" t="s">
        <v>2596</v>
      </c>
      <c r="B25" s="6" t="s">
        <v>108</v>
      </c>
      <c r="C25" s="6" t="s">
        <v>230</v>
      </c>
      <c r="D25" s="18">
        <v>6.15</v>
      </c>
      <c r="E25" s="18">
        <v>26.0</v>
      </c>
      <c r="F25" s="18">
        <v>159.9</v>
      </c>
    </row>
    <row r="26">
      <c r="A26" s="6" t="s">
        <v>2597</v>
      </c>
      <c r="B26" s="6" t="s">
        <v>108</v>
      </c>
      <c r="C26" s="6" t="s">
        <v>155</v>
      </c>
      <c r="D26" s="18">
        <v>5.82</v>
      </c>
      <c r="E26" s="18">
        <v>4.9</v>
      </c>
      <c r="F26" s="18">
        <v>28.52</v>
      </c>
    </row>
    <row r="27">
      <c r="A27" s="6" t="s">
        <v>2600</v>
      </c>
      <c r="B27" s="6" t="s">
        <v>108</v>
      </c>
      <c r="C27" s="6" t="s">
        <v>159</v>
      </c>
      <c r="D27" s="18">
        <v>12.0</v>
      </c>
      <c r="E27" s="18">
        <v>12.0</v>
      </c>
      <c r="F27" s="18">
        <v>144.0</v>
      </c>
    </row>
    <row r="28">
      <c r="A28" s="6" t="s">
        <v>2601</v>
      </c>
      <c r="B28" s="6" t="s">
        <v>120</v>
      </c>
      <c r="C28" s="6" t="s">
        <v>238</v>
      </c>
      <c r="D28" s="18">
        <v>12.0</v>
      </c>
      <c r="E28" s="18">
        <v>4.4</v>
      </c>
      <c r="F28" s="18">
        <v>52.800000000000004</v>
      </c>
    </row>
    <row r="29">
      <c r="A29" s="6" t="s">
        <v>2603</v>
      </c>
      <c r="B29" s="6" t="s">
        <v>120</v>
      </c>
      <c r="C29" s="6" t="s">
        <v>240</v>
      </c>
      <c r="D29" s="18">
        <v>6.0</v>
      </c>
      <c r="E29" s="18">
        <v>4.4</v>
      </c>
      <c r="F29" s="18">
        <v>26.4</v>
      </c>
    </row>
    <row r="30">
      <c r="A30" s="6" t="s">
        <v>2605</v>
      </c>
      <c r="B30" s="6" t="s">
        <v>120</v>
      </c>
      <c r="C30" s="6" t="s">
        <v>242</v>
      </c>
      <c r="D30" s="18">
        <v>6.0</v>
      </c>
      <c r="E30" s="18">
        <v>4.4</v>
      </c>
      <c r="F30" s="18">
        <v>26.4</v>
      </c>
    </row>
    <row r="31">
      <c r="A31" s="6" t="s">
        <v>2607</v>
      </c>
      <c r="B31" s="6" t="s">
        <v>120</v>
      </c>
      <c r="C31" s="6" t="s">
        <v>243</v>
      </c>
      <c r="D31" s="18">
        <v>6.0</v>
      </c>
      <c r="E31" s="18">
        <v>4.4</v>
      </c>
      <c r="F31" s="18">
        <v>26.4</v>
      </c>
    </row>
    <row r="32">
      <c r="A32" s="6" t="s">
        <v>2611</v>
      </c>
      <c r="B32" s="6" t="s">
        <v>128</v>
      </c>
      <c r="C32" s="6" t="s">
        <v>247</v>
      </c>
      <c r="D32" s="18">
        <v>20.0</v>
      </c>
      <c r="E32" s="18">
        <v>0.99</v>
      </c>
      <c r="F32" s="18">
        <v>19.8</v>
      </c>
    </row>
    <row r="33">
      <c r="A33" s="6" t="s">
        <v>2612</v>
      </c>
      <c r="B33" s="6" t="s">
        <v>128</v>
      </c>
      <c r="C33" s="6" t="s">
        <v>249</v>
      </c>
      <c r="D33" s="18">
        <v>2.0</v>
      </c>
      <c r="E33" s="18">
        <v>10.59</v>
      </c>
      <c r="F33" s="18">
        <v>21.18</v>
      </c>
    </row>
    <row r="34">
      <c r="A34" s="6" t="s">
        <v>2615</v>
      </c>
      <c r="B34" s="6" t="s">
        <v>135</v>
      </c>
      <c r="C34" s="18">
        <v>1.2539885E7</v>
      </c>
      <c r="D34" s="18">
        <v>14.0</v>
      </c>
      <c r="E34" s="18">
        <v>25.0</v>
      </c>
      <c r="F34" s="18">
        <v>350.0</v>
      </c>
    </row>
    <row r="35">
      <c r="A35" s="6" t="s">
        <v>2618</v>
      </c>
      <c r="B35" s="6" t="s">
        <v>143</v>
      </c>
      <c r="C35" s="6" t="s">
        <v>262</v>
      </c>
      <c r="D35" s="18">
        <v>4.0</v>
      </c>
      <c r="E35" s="18">
        <v>22.0</v>
      </c>
      <c r="F35" s="18">
        <v>88.0</v>
      </c>
    </row>
    <row r="36">
      <c r="A36" s="6" t="s">
        <v>2620</v>
      </c>
      <c r="B36" s="6" t="s">
        <v>143</v>
      </c>
      <c r="C36" s="6" t="s">
        <v>264</v>
      </c>
      <c r="D36" s="18">
        <v>4.0</v>
      </c>
      <c r="E36" s="18">
        <v>20.0</v>
      </c>
      <c r="F36" s="18">
        <v>80.0</v>
      </c>
    </row>
    <row r="37">
      <c r="A37" s="6" t="s">
        <v>2625</v>
      </c>
      <c r="B37" s="6" t="s">
        <v>143</v>
      </c>
      <c r="C37" s="6" t="s">
        <v>266</v>
      </c>
      <c r="D37" s="18">
        <v>2.0</v>
      </c>
      <c r="E37" s="18">
        <v>18.0</v>
      </c>
      <c r="F37" s="18">
        <v>36.0</v>
      </c>
    </row>
    <row r="38">
      <c r="A38" s="6" t="s">
        <v>2626</v>
      </c>
      <c r="B38" s="6" t="s">
        <v>143</v>
      </c>
      <c r="C38" s="18">
        <v>7.9788768E7</v>
      </c>
      <c r="D38" s="18">
        <v>1.0</v>
      </c>
      <c r="E38" s="18">
        <v>30.0</v>
      </c>
      <c r="F38" s="18">
        <v>30.0</v>
      </c>
    </row>
    <row r="39">
      <c r="A39" s="6" t="s">
        <v>2628</v>
      </c>
      <c r="B39" s="6" t="s">
        <v>153</v>
      </c>
      <c r="C39" s="6" t="s">
        <v>226</v>
      </c>
      <c r="D39" s="18">
        <v>5.0</v>
      </c>
      <c r="E39" s="18">
        <v>6.8</v>
      </c>
      <c r="F39" s="18">
        <v>34.0</v>
      </c>
    </row>
    <row r="40">
      <c r="A40" s="6" t="s">
        <v>2630</v>
      </c>
      <c r="B40" s="6" t="s">
        <v>153</v>
      </c>
      <c r="C40" s="6" t="s">
        <v>230</v>
      </c>
      <c r="D40" s="18">
        <v>1.0</v>
      </c>
      <c r="E40" s="18">
        <v>201.37</v>
      </c>
      <c r="F40" s="18">
        <v>201.37</v>
      </c>
    </row>
    <row r="41">
      <c r="A41" s="6" t="s">
        <v>2631</v>
      </c>
      <c r="B41" s="6" t="s">
        <v>153</v>
      </c>
      <c r="C41" s="6" t="s">
        <v>155</v>
      </c>
      <c r="D41" s="18">
        <v>1.0</v>
      </c>
      <c r="E41" s="18">
        <v>25.53</v>
      </c>
      <c r="F41" s="18">
        <v>25.53</v>
      </c>
    </row>
    <row r="42">
      <c r="A42" s="6" t="s">
        <v>2633</v>
      </c>
      <c r="B42" s="6" t="s">
        <v>153</v>
      </c>
      <c r="C42" s="6" t="s">
        <v>159</v>
      </c>
      <c r="D42" s="18">
        <v>15.0</v>
      </c>
      <c r="E42" s="18">
        <v>12.5</v>
      </c>
      <c r="F42" s="18">
        <v>187.5</v>
      </c>
    </row>
    <row r="43">
      <c r="A43" s="6" t="s">
        <v>2635</v>
      </c>
      <c r="B43" s="6" t="s">
        <v>162</v>
      </c>
      <c r="C43" s="6" t="s">
        <v>226</v>
      </c>
      <c r="D43" s="18">
        <v>5.0</v>
      </c>
      <c r="E43" s="18">
        <v>6.8</v>
      </c>
      <c r="F43" s="18">
        <v>34.0</v>
      </c>
    </row>
    <row r="44">
      <c r="A44" s="6" t="s">
        <v>2637</v>
      </c>
      <c r="B44" s="6" t="s">
        <v>162</v>
      </c>
      <c r="C44" s="6" t="s">
        <v>152</v>
      </c>
      <c r="D44" s="18">
        <v>1.0</v>
      </c>
      <c r="E44" s="18">
        <v>13.32</v>
      </c>
      <c r="F44" s="18">
        <v>13.32</v>
      </c>
    </row>
    <row r="45">
      <c r="A45" s="6" t="s">
        <v>2640</v>
      </c>
      <c r="B45" s="6" t="s">
        <v>162</v>
      </c>
      <c r="C45" s="6" t="s">
        <v>230</v>
      </c>
      <c r="D45" s="18">
        <v>8.0</v>
      </c>
      <c r="E45" s="18">
        <v>25.0</v>
      </c>
      <c r="F45" s="18">
        <v>200.0</v>
      </c>
    </row>
    <row r="46">
      <c r="A46" s="6" t="s">
        <v>2641</v>
      </c>
      <c r="B46" s="6" t="s">
        <v>162</v>
      </c>
      <c r="C46" s="6" t="s">
        <v>155</v>
      </c>
      <c r="D46" s="18">
        <v>1.0</v>
      </c>
      <c r="E46" s="18">
        <v>23.78</v>
      </c>
      <c r="F46" s="18">
        <v>23.78</v>
      </c>
    </row>
    <row r="47">
      <c r="A47" s="6" t="s">
        <v>2643</v>
      </c>
      <c r="B47" s="6" t="s">
        <v>162</v>
      </c>
      <c r="C47" s="18">
        <v>1.2539885E7</v>
      </c>
      <c r="D47" s="18">
        <v>10.0</v>
      </c>
      <c r="E47" s="18">
        <v>8.0</v>
      </c>
      <c r="F47" s="18">
        <v>80.0</v>
      </c>
    </row>
    <row r="48">
      <c r="A48" s="6" t="s">
        <v>2647</v>
      </c>
      <c r="B48" s="6" t="s">
        <v>162</v>
      </c>
      <c r="C48" s="6" t="s">
        <v>159</v>
      </c>
      <c r="D48" s="18">
        <v>15.0</v>
      </c>
      <c r="E48" s="18">
        <v>12.5</v>
      </c>
      <c r="F48" s="18">
        <v>187.5</v>
      </c>
    </row>
    <row r="49">
      <c r="A49" s="6" t="s">
        <v>2648</v>
      </c>
      <c r="B49" s="6" t="s">
        <v>166</v>
      </c>
      <c r="C49" s="18">
        <v>1.2539885E7</v>
      </c>
      <c r="D49" s="18">
        <v>18.0</v>
      </c>
      <c r="E49" s="18">
        <v>25.0</v>
      </c>
      <c r="F49" s="18">
        <v>450.0</v>
      </c>
    </row>
    <row r="50">
      <c r="A50" s="6" t="s">
        <v>2649</v>
      </c>
      <c r="B50" s="6" t="s">
        <v>174</v>
      </c>
      <c r="C50" s="6" t="s">
        <v>305</v>
      </c>
      <c r="D50" s="18">
        <v>1.0</v>
      </c>
      <c r="E50" s="18">
        <v>94.4</v>
      </c>
      <c r="F50" s="18">
        <v>94.4</v>
      </c>
    </row>
    <row r="51">
      <c r="A51" s="6" t="s">
        <v>2651</v>
      </c>
      <c r="B51" s="6" t="s">
        <v>180</v>
      </c>
      <c r="C51" s="18">
        <v>1.2539885E7</v>
      </c>
      <c r="D51" s="18">
        <v>16.0</v>
      </c>
      <c r="E51" s="18">
        <v>8.79</v>
      </c>
      <c r="F51" s="18">
        <v>140.64</v>
      </c>
    </row>
    <row r="52">
      <c r="A52" s="6" t="s">
        <v>2654</v>
      </c>
      <c r="B52" s="6" t="s">
        <v>180</v>
      </c>
      <c r="C52" s="6" t="s">
        <v>226</v>
      </c>
      <c r="D52" s="18">
        <v>5.0</v>
      </c>
      <c r="E52" s="18">
        <v>9.98</v>
      </c>
      <c r="F52" s="18">
        <v>49.9</v>
      </c>
    </row>
    <row r="53">
      <c r="A53" s="6" t="s">
        <v>2655</v>
      </c>
      <c r="B53" s="6" t="s">
        <v>180</v>
      </c>
      <c r="C53" s="6" t="s">
        <v>155</v>
      </c>
      <c r="D53" s="18">
        <v>1.0</v>
      </c>
      <c r="E53" s="18">
        <v>20.52</v>
      </c>
      <c r="F53" s="18">
        <v>20.52</v>
      </c>
    </row>
    <row r="54">
      <c r="A54" s="6" t="s">
        <v>2657</v>
      </c>
      <c r="B54" s="6" t="s">
        <v>180</v>
      </c>
      <c r="C54" s="6" t="s">
        <v>230</v>
      </c>
      <c r="D54" s="18">
        <v>1.0</v>
      </c>
      <c r="E54" s="18">
        <v>120.65</v>
      </c>
      <c r="F54" s="18">
        <v>120.65</v>
      </c>
    </row>
    <row r="55">
      <c r="A55" s="6" t="s">
        <v>2659</v>
      </c>
      <c r="B55" s="6" t="s">
        <v>190</v>
      </c>
      <c r="C55" s="6" t="s">
        <v>335</v>
      </c>
      <c r="D55" s="18">
        <v>1.0</v>
      </c>
      <c r="E55" s="18">
        <v>39.84</v>
      </c>
      <c r="F55" s="18">
        <v>39.84</v>
      </c>
    </row>
    <row r="56">
      <c r="A56" s="6" t="s">
        <v>2661</v>
      </c>
      <c r="B56" s="6" t="s">
        <v>190</v>
      </c>
      <c r="C56" s="6" t="s">
        <v>338</v>
      </c>
      <c r="D56" s="18">
        <v>2.0</v>
      </c>
      <c r="E56" s="18">
        <v>28.89</v>
      </c>
      <c r="F56" s="18">
        <v>57.78</v>
      </c>
    </row>
    <row r="57">
      <c r="A57" s="6" t="s">
        <v>2663</v>
      </c>
      <c r="B57" s="6" t="s">
        <v>190</v>
      </c>
      <c r="C57" s="6" t="s">
        <v>338</v>
      </c>
      <c r="D57" s="18">
        <v>2.0</v>
      </c>
      <c r="E57" s="18">
        <v>28.88</v>
      </c>
      <c r="F57" s="18">
        <v>57.76</v>
      </c>
    </row>
    <row r="58">
      <c r="A58" s="6" t="s">
        <v>2665</v>
      </c>
      <c r="B58" s="6" t="s">
        <v>190</v>
      </c>
      <c r="C58" s="6" t="s">
        <v>335</v>
      </c>
      <c r="D58" s="18">
        <v>2.0</v>
      </c>
      <c r="E58" s="18">
        <v>40.22</v>
      </c>
      <c r="F58" s="18">
        <v>80.44</v>
      </c>
    </row>
    <row r="59">
      <c r="A59" s="6" t="s">
        <v>2667</v>
      </c>
      <c r="B59" s="6" t="s">
        <v>190</v>
      </c>
      <c r="C59" s="6" t="s">
        <v>338</v>
      </c>
      <c r="D59" s="18">
        <v>4.0</v>
      </c>
      <c r="E59" s="18">
        <v>43.32</v>
      </c>
      <c r="F59" s="18">
        <v>173.28</v>
      </c>
    </row>
    <row r="60">
      <c r="A60" s="6" t="s">
        <v>2669</v>
      </c>
      <c r="B60" s="6" t="s">
        <v>200</v>
      </c>
      <c r="C60" s="18">
        <v>1.2539885E7</v>
      </c>
      <c r="D60" s="18">
        <v>25.0</v>
      </c>
      <c r="E60" s="18">
        <v>28.0</v>
      </c>
      <c r="F60" s="18">
        <v>700.0</v>
      </c>
    </row>
    <row r="61">
      <c r="A61" s="6" t="s">
        <v>2670</v>
      </c>
      <c r="B61" s="6" t="s">
        <v>209</v>
      </c>
      <c r="C61" s="6" t="s">
        <v>226</v>
      </c>
      <c r="D61" s="18">
        <v>5.0</v>
      </c>
      <c r="E61" s="18">
        <v>6.3</v>
      </c>
      <c r="F61" s="18">
        <v>31.5</v>
      </c>
    </row>
    <row r="62">
      <c r="A62" s="6" t="s">
        <v>2671</v>
      </c>
      <c r="B62" s="6" t="s">
        <v>209</v>
      </c>
      <c r="C62" s="6" t="s">
        <v>152</v>
      </c>
      <c r="D62" s="18">
        <v>1.0</v>
      </c>
      <c r="E62" s="18">
        <v>10.32</v>
      </c>
      <c r="F62" s="18">
        <v>10.32</v>
      </c>
    </row>
    <row r="63">
      <c r="A63" s="6" t="s">
        <v>2673</v>
      </c>
      <c r="B63" s="6" t="s">
        <v>209</v>
      </c>
      <c r="C63" s="6" t="s">
        <v>155</v>
      </c>
      <c r="D63" s="18">
        <v>1.0</v>
      </c>
      <c r="E63" s="18">
        <v>12.65</v>
      </c>
      <c r="F63" s="18">
        <v>12.65</v>
      </c>
    </row>
    <row r="64">
      <c r="A64" s="6" t="s">
        <v>2675</v>
      </c>
      <c r="B64" s="6" t="s">
        <v>214</v>
      </c>
      <c r="C64" s="6" t="s">
        <v>226</v>
      </c>
      <c r="D64" s="18">
        <v>5.0</v>
      </c>
      <c r="E64" s="18">
        <v>8.3</v>
      </c>
      <c r="F64" s="18">
        <v>41.5</v>
      </c>
    </row>
    <row r="65">
      <c r="A65" s="6" t="s">
        <v>2677</v>
      </c>
      <c r="B65" s="6" t="s">
        <v>214</v>
      </c>
      <c r="C65" s="6" t="s">
        <v>152</v>
      </c>
      <c r="D65" s="18">
        <v>1.0</v>
      </c>
      <c r="E65" s="18">
        <v>10.88</v>
      </c>
      <c r="F65" s="18">
        <v>10.88</v>
      </c>
    </row>
    <row r="66">
      <c r="A66" s="6" t="s">
        <v>2678</v>
      </c>
      <c r="B66" s="6" t="s">
        <v>214</v>
      </c>
      <c r="C66" s="6" t="s">
        <v>230</v>
      </c>
      <c r="D66" s="18">
        <v>1.0</v>
      </c>
      <c r="E66" s="18">
        <v>132.6</v>
      </c>
      <c r="F66" s="18">
        <v>132.6</v>
      </c>
    </row>
    <row r="67">
      <c r="A67" s="6" t="s">
        <v>2679</v>
      </c>
      <c r="B67" s="6" t="s">
        <v>214</v>
      </c>
      <c r="C67" s="6" t="s">
        <v>155</v>
      </c>
      <c r="D67" s="18">
        <v>1.0</v>
      </c>
      <c r="E67" s="18">
        <v>18.52</v>
      </c>
      <c r="F67" s="18">
        <v>18.52</v>
      </c>
    </row>
    <row r="68">
      <c r="A68" s="6" t="s">
        <v>2681</v>
      </c>
      <c r="B68" s="6" t="s">
        <v>214</v>
      </c>
      <c r="C68" s="6" t="s">
        <v>159</v>
      </c>
      <c r="D68" s="18">
        <v>8.0</v>
      </c>
      <c r="E68" s="18">
        <v>12.0</v>
      </c>
      <c r="F68" s="18">
        <v>96.0</v>
      </c>
    </row>
    <row r="69">
      <c r="A69" s="6" t="s">
        <v>2682</v>
      </c>
      <c r="B69" s="6" t="s">
        <v>220</v>
      </c>
      <c r="C69" s="18">
        <v>1.2539885E7</v>
      </c>
      <c r="D69" s="18">
        <v>10.0</v>
      </c>
      <c r="E69" s="18">
        <v>25.0</v>
      </c>
      <c r="F69" s="18">
        <v>250.0</v>
      </c>
    </row>
    <row r="70">
      <c r="A70" s="6" t="s">
        <v>2684</v>
      </c>
      <c r="B70" s="6" t="s">
        <v>224</v>
      </c>
      <c r="C70" s="6" t="s">
        <v>226</v>
      </c>
      <c r="D70" s="18">
        <v>7.0</v>
      </c>
      <c r="E70" s="18">
        <v>7.8</v>
      </c>
      <c r="F70" s="18">
        <v>54.6</v>
      </c>
    </row>
    <row r="71">
      <c r="A71" s="6" t="s">
        <v>2686</v>
      </c>
      <c r="B71" s="6" t="s">
        <v>224</v>
      </c>
      <c r="C71" s="6" t="s">
        <v>152</v>
      </c>
      <c r="D71" s="18">
        <v>1.0</v>
      </c>
      <c r="E71" s="18">
        <v>15.04</v>
      </c>
      <c r="F71" s="18">
        <v>15.04</v>
      </c>
    </row>
    <row r="72">
      <c r="A72" s="6" t="s">
        <v>2688</v>
      </c>
      <c r="B72" s="6" t="s">
        <v>224</v>
      </c>
      <c r="C72" s="6" t="s">
        <v>230</v>
      </c>
      <c r="D72" s="18">
        <v>8.0</v>
      </c>
      <c r="E72" s="18">
        <v>26.0</v>
      </c>
      <c r="F72" s="18">
        <v>208.0</v>
      </c>
    </row>
    <row r="73">
      <c r="A73" s="6" t="s">
        <v>2690</v>
      </c>
      <c r="B73" s="6" t="s">
        <v>224</v>
      </c>
      <c r="C73" s="6" t="s">
        <v>155</v>
      </c>
      <c r="D73" s="18">
        <v>1.0</v>
      </c>
      <c r="E73" s="18">
        <v>43.36</v>
      </c>
      <c r="F73" s="18">
        <v>43.36</v>
      </c>
    </row>
    <row r="74">
      <c r="A74" s="6" t="s">
        <v>2691</v>
      </c>
      <c r="B74" s="6" t="s">
        <v>224</v>
      </c>
      <c r="C74" s="6" t="s">
        <v>159</v>
      </c>
      <c r="D74" s="18">
        <v>15.0</v>
      </c>
      <c r="E74" s="18">
        <v>12.0</v>
      </c>
      <c r="F74" s="18">
        <v>180.0</v>
      </c>
    </row>
    <row r="75">
      <c r="A75" s="6" t="s">
        <v>2693</v>
      </c>
      <c r="B75" s="6" t="s">
        <v>232</v>
      </c>
      <c r="C75" s="6" t="s">
        <v>305</v>
      </c>
      <c r="D75" s="18">
        <v>1.0</v>
      </c>
      <c r="E75" s="18">
        <v>108.16</v>
      </c>
      <c r="F75" s="18">
        <v>108.16</v>
      </c>
    </row>
    <row r="76">
      <c r="A76" s="6" t="s">
        <v>2695</v>
      </c>
      <c r="B76" s="6" t="s">
        <v>241</v>
      </c>
      <c r="C76" s="18">
        <v>1.2539885E7</v>
      </c>
      <c r="D76" s="18">
        <v>20.0</v>
      </c>
      <c r="E76" s="18">
        <v>25.0</v>
      </c>
      <c r="F76" s="18">
        <v>500.0</v>
      </c>
    </row>
    <row r="77">
      <c r="A77" s="6" t="s">
        <v>2697</v>
      </c>
      <c r="B77" s="6" t="s">
        <v>248</v>
      </c>
      <c r="C77" s="6" t="s">
        <v>226</v>
      </c>
      <c r="D77" s="18">
        <v>4.0</v>
      </c>
      <c r="E77" s="18">
        <v>7.3</v>
      </c>
      <c r="F77" s="18">
        <v>29.2</v>
      </c>
    </row>
    <row r="78">
      <c r="A78" s="6" t="s">
        <v>2699</v>
      </c>
      <c r="B78" s="6" t="s">
        <v>248</v>
      </c>
      <c r="C78" s="6" t="s">
        <v>155</v>
      </c>
      <c r="D78" s="18">
        <v>1.0</v>
      </c>
      <c r="E78" s="18">
        <v>19.3</v>
      </c>
      <c r="F78" s="18">
        <v>19.3</v>
      </c>
    </row>
    <row r="79">
      <c r="A79" s="6" t="s">
        <v>2700</v>
      </c>
      <c r="B79" s="6" t="s">
        <v>248</v>
      </c>
      <c r="C79" s="6" t="s">
        <v>159</v>
      </c>
      <c r="D79" s="18">
        <v>10.0</v>
      </c>
      <c r="E79" s="18">
        <v>12.0</v>
      </c>
      <c r="F79" s="18">
        <v>120.0</v>
      </c>
    </row>
    <row r="80">
      <c r="A80" s="6" t="s">
        <v>2702</v>
      </c>
      <c r="B80" s="6" t="s">
        <v>254</v>
      </c>
      <c r="C80" s="6" t="s">
        <v>226</v>
      </c>
      <c r="D80" s="18">
        <v>1.0</v>
      </c>
      <c r="E80" s="18">
        <v>23.4</v>
      </c>
      <c r="F80" s="18">
        <v>23.4</v>
      </c>
    </row>
    <row r="81">
      <c r="A81" s="6" t="s">
        <v>2703</v>
      </c>
      <c r="B81" s="6" t="s">
        <v>254</v>
      </c>
      <c r="C81" s="6" t="s">
        <v>152</v>
      </c>
      <c r="D81" s="18">
        <v>1.0</v>
      </c>
      <c r="E81" s="18">
        <v>10.52</v>
      </c>
      <c r="F81" s="18">
        <v>10.52</v>
      </c>
    </row>
    <row r="82">
      <c r="A82" s="6" t="s">
        <v>2704</v>
      </c>
      <c r="B82" s="6" t="s">
        <v>254</v>
      </c>
      <c r="C82" s="6" t="s">
        <v>230</v>
      </c>
      <c r="D82" s="18">
        <v>1.0</v>
      </c>
      <c r="E82" s="18">
        <v>211.64</v>
      </c>
      <c r="F82" s="18">
        <v>211.64</v>
      </c>
    </row>
    <row r="83">
      <c r="A83" s="6" t="s">
        <v>2706</v>
      </c>
      <c r="B83" s="6" t="s">
        <v>254</v>
      </c>
      <c r="C83" s="6" t="s">
        <v>155</v>
      </c>
      <c r="D83" s="18">
        <v>1.0</v>
      </c>
      <c r="E83" s="18">
        <v>29.15</v>
      </c>
      <c r="F83" s="18">
        <v>29.15</v>
      </c>
    </row>
    <row r="84">
      <c r="A84" s="6" t="s">
        <v>2707</v>
      </c>
      <c r="B84" s="6" t="s">
        <v>254</v>
      </c>
      <c r="C84" s="6" t="s">
        <v>159</v>
      </c>
      <c r="D84" s="18">
        <v>1.0</v>
      </c>
      <c r="E84" s="18">
        <v>125.0</v>
      </c>
      <c r="F84" s="18">
        <v>125.0</v>
      </c>
    </row>
    <row r="85">
      <c r="A85" s="6" t="s">
        <v>2708</v>
      </c>
      <c r="B85" s="6" t="s">
        <v>261</v>
      </c>
      <c r="C85" s="6" t="s">
        <v>226</v>
      </c>
      <c r="D85" s="18">
        <v>1.0</v>
      </c>
      <c r="E85" s="18">
        <v>54.6</v>
      </c>
      <c r="F85" s="18">
        <v>54.6</v>
      </c>
    </row>
    <row r="86">
      <c r="A86" s="6" t="s">
        <v>2709</v>
      </c>
      <c r="B86" s="6" t="s">
        <v>261</v>
      </c>
      <c r="C86" s="6" t="s">
        <v>152</v>
      </c>
      <c r="D86" s="18">
        <v>1.0</v>
      </c>
      <c r="E86" s="18">
        <v>13.6</v>
      </c>
      <c r="F86" s="18">
        <v>13.6</v>
      </c>
    </row>
    <row r="87">
      <c r="A87" s="6" t="s">
        <v>2711</v>
      </c>
      <c r="B87" s="6" t="s">
        <v>261</v>
      </c>
      <c r="C87" s="6" t="s">
        <v>230</v>
      </c>
      <c r="D87" s="18">
        <v>1.0</v>
      </c>
      <c r="E87" s="18">
        <v>159.51</v>
      </c>
      <c r="F87" s="18">
        <v>159.51</v>
      </c>
    </row>
    <row r="88">
      <c r="A88" s="6" t="s">
        <v>2712</v>
      </c>
      <c r="B88" s="6" t="s">
        <v>261</v>
      </c>
      <c r="C88" s="6" t="s">
        <v>155</v>
      </c>
      <c r="D88" s="18">
        <v>1.0</v>
      </c>
      <c r="E88" s="18">
        <v>41.3</v>
      </c>
      <c r="F88" s="18">
        <v>41.3</v>
      </c>
    </row>
    <row r="89">
      <c r="A89" s="6" t="s">
        <v>2714</v>
      </c>
      <c r="B89" s="6" t="s">
        <v>261</v>
      </c>
      <c r="C89" s="6" t="s">
        <v>159</v>
      </c>
      <c r="D89" s="18">
        <v>1.0</v>
      </c>
      <c r="E89" s="18">
        <v>187.5</v>
      </c>
      <c r="F89" s="18">
        <v>187.5</v>
      </c>
    </row>
    <row r="90">
      <c r="A90" s="6" t="s">
        <v>2717</v>
      </c>
      <c r="B90" s="6" t="s">
        <v>268</v>
      </c>
      <c r="C90" s="18">
        <v>1.2539885E7</v>
      </c>
      <c r="D90" s="18">
        <v>22.0</v>
      </c>
      <c r="E90" s="18">
        <v>25.0</v>
      </c>
      <c r="F90" s="18">
        <v>550.0</v>
      </c>
    </row>
    <row r="91">
      <c r="A91" s="6" t="s">
        <v>2721</v>
      </c>
      <c r="B91" s="6" t="s">
        <v>277</v>
      </c>
      <c r="C91" s="6" t="s">
        <v>226</v>
      </c>
      <c r="D91" s="18">
        <v>1.0</v>
      </c>
      <c r="E91" s="18">
        <v>39.06</v>
      </c>
      <c r="F91" s="18">
        <v>39.06</v>
      </c>
    </row>
    <row r="92">
      <c r="A92" s="6" t="s">
        <v>2723</v>
      </c>
      <c r="B92" s="6" t="s">
        <v>277</v>
      </c>
      <c r="C92" s="6" t="s">
        <v>230</v>
      </c>
      <c r="D92" s="18">
        <v>1.0</v>
      </c>
      <c r="E92" s="18">
        <v>151.13</v>
      </c>
      <c r="F92" s="18">
        <v>151.13</v>
      </c>
    </row>
    <row r="93">
      <c r="A93" s="6" t="s">
        <v>2724</v>
      </c>
      <c r="B93" s="6" t="s">
        <v>277</v>
      </c>
      <c r="C93" s="6" t="s">
        <v>155</v>
      </c>
      <c r="D93" s="18">
        <v>1.0</v>
      </c>
      <c r="E93" s="18">
        <v>29.15</v>
      </c>
      <c r="F93" s="18">
        <v>29.15</v>
      </c>
    </row>
    <row r="94">
      <c r="A94" s="6" t="s">
        <v>2726</v>
      </c>
      <c r="B94" s="6" t="s">
        <v>284</v>
      </c>
      <c r="C94" s="6" t="s">
        <v>570</v>
      </c>
      <c r="D94" s="18">
        <v>1.0</v>
      </c>
      <c r="E94" s="18">
        <v>11.98</v>
      </c>
      <c r="F94" s="18">
        <v>11.98</v>
      </c>
    </row>
    <row r="95">
      <c r="A95" s="6" t="s">
        <v>2728</v>
      </c>
      <c r="B95" s="6" t="s">
        <v>292</v>
      </c>
      <c r="C95" s="6" t="s">
        <v>580</v>
      </c>
      <c r="D95" s="18">
        <v>1.0</v>
      </c>
      <c r="E95" s="18">
        <v>130.0</v>
      </c>
      <c r="F95" s="18">
        <v>130.0</v>
      </c>
    </row>
    <row r="96">
      <c r="A96" s="6" t="s">
        <v>2729</v>
      </c>
      <c r="B96" s="6" t="s">
        <v>300</v>
      </c>
      <c r="C96" s="6" t="s">
        <v>226</v>
      </c>
      <c r="D96" s="18">
        <v>5.0</v>
      </c>
      <c r="E96" s="18">
        <v>9.8</v>
      </c>
      <c r="F96" s="18">
        <v>49.0</v>
      </c>
    </row>
    <row r="97">
      <c r="A97" s="6" t="s">
        <v>2731</v>
      </c>
      <c r="B97" s="6" t="s">
        <v>300</v>
      </c>
      <c r="C97" s="6" t="s">
        <v>230</v>
      </c>
      <c r="D97" s="18">
        <v>1.0</v>
      </c>
      <c r="E97" s="18">
        <v>216.0</v>
      </c>
      <c r="F97" s="18">
        <v>216.0</v>
      </c>
    </row>
    <row r="98">
      <c r="A98" s="6" t="s">
        <v>2733</v>
      </c>
      <c r="B98" s="6" t="s">
        <v>300</v>
      </c>
      <c r="C98" s="6" t="s">
        <v>155</v>
      </c>
      <c r="D98" s="18">
        <v>1.0</v>
      </c>
      <c r="E98" s="18">
        <v>31.39</v>
      </c>
      <c r="F98" s="18">
        <v>31.39</v>
      </c>
    </row>
    <row r="99">
      <c r="A99" s="6" t="s">
        <v>2734</v>
      </c>
      <c r="B99" s="6" t="s">
        <v>300</v>
      </c>
      <c r="C99" s="18">
        <v>1.2539885E7</v>
      </c>
      <c r="D99" s="18">
        <v>1.0</v>
      </c>
      <c r="E99" s="18">
        <v>98.0</v>
      </c>
      <c r="F99" s="18">
        <v>98.0</v>
      </c>
    </row>
    <row r="100">
      <c r="A100" s="6" t="s">
        <v>2737</v>
      </c>
      <c r="B100" s="6" t="s">
        <v>304</v>
      </c>
      <c r="C100" s="6" t="s">
        <v>606</v>
      </c>
      <c r="D100" s="18">
        <v>1.0</v>
      </c>
      <c r="E100" s="18">
        <v>16.9</v>
      </c>
      <c r="F100" s="18">
        <v>16.9</v>
      </c>
    </row>
    <row r="101">
      <c r="A101" s="6" t="s">
        <v>2738</v>
      </c>
      <c r="B101" s="6" t="s">
        <v>314</v>
      </c>
      <c r="C101" s="6" t="s">
        <v>238</v>
      </c>
      <c r="D101" s="18">
        <v>12.0</v>
      </c>
      <c r="E101" s="18">
        <v>4.4</v>
      </c>
      <c r="F101" s="18">
        <v>52.800000000000004</v>
      </c>
    </row>
    <row r="102">
      <c r="A102" s="6" t="s">
        <v>2741</v>
      </c>
      <c r="B102" s="6" t="s">
        <v>314</v>
      </c>
      <c r="C102" s="6" t="s">
        <v>242</v>
      </c>
      <c r="D102" s="18">
        <v>12.0</v>
      </c>
      <c r="E102" s="18">
        <v>4.4</v>
      </c>
      <c r="F102" s="18">
        <v>52.8</v>
      </c>
    </row>
    <row r="103">
      <c r="A103" s="6" t="s">
        <v>2742</v>
      </c>
      <c r="B103" s="6" t="s">
        <v>314</v>
      </c>
      <c r="C103" s="6" t="s">
        <v>243</v>
      </c>
      <c r="D103" s="18">
        <v>12.0</v>
      </c>
      <c r="E103" s="18">
        <v>4.4</v>
      </c>
      <c r="F103" s="18">
        <v>52.8</v>
      </c>
    </row>
    <row r="104">
      <c r="A104" s="6" t="s">
        <v>2744</v>
      </c>
      <c r="B104" s="6" t="s">
        <v>323</v>
      </c>
      <c r="C104" s="6" t="s">
        <v>226</v>
      </c>
      <c r="D104" s="18">
        <v>1.0</v>
      </c>
      <c r="E104" s="18">
        <v>66.5</v>
      </c>
      <c r="F104" s="18">
        <v>66.5</v>
      </c>
    </row>
    <row r="105">
      <c r="A105" s="6" t="s">
        <v>2746</v>
      </c>
      <c r="B105" s="6" t="s">
        <v>323</v>
      </c>
      <c r="C105" s="6" t="s">
        <v>230</v>
      </c>
      <c r="D105" s="18">
        <v>1.0</v>
      </c>
      <c r="E105" s="18">
        <v>130.0</v>
      </c>
      <c r="F105" s="18">
        <v>130.0</v>
      </c>
    </row>
    <row r="106">
      <c r="A106" s="6" t="s">
        <v>2747</v>
      </c>
      <c r="B106" s="6" t="s">
        <v>323</v>
      </c>
      <c r="C106" s="6" t="s">
        <v>155</v>
      </c>
      <c r="D106" s="18">
        <v>1.0</v>
      </c>
      <c r="E106" s="18">
        <v>27.6</v>
      </c>
      <c r="F106" s="18">
        <v>27.6</v>
      </c>
    </row>
    <row r="107">
      <c r="A107" s="6" t="s">
        <v>2749</v>
      </c>
      <c r="B107" s="6" t="s">
        <v>323</v>
      </c>
      <c r="C107" s="6" t="s">
        <v>159</v>
      </c>
      <c r="D107" s="18">
        <v>1.0</v>
      </c>
      <c r="E107" s="18">
        <v>195.0</v>
      </c>
      <c r="F107" s="18">
        <v>195.0</v>
      </c>
    </row>
    <row r="108">
      <c r="A108" s="6" t="s">
        <v>2751</v>
      </c>
      <c r="B108" s="6" t="s">
        <v>330</v>
      </c>
      <c r="C108" s="18">
        <v>1.2539885E7</v>
      </c>
      <c r="D108" s="18">
        <v>20.0</v>
      </c>
      <c r="E108" s="18">
        <v>25.0</v>
      </c>
      <c r="F108" s="18">
        <v>500.0</v>
      </c>
    </row>
    <row r="109">
      <c r="A109" s="6" t="s">
        <v>2752</v>
      </c>
      <c r="B109" s="6" t="s">
        <v>340</v>
      </c>
      <c r="C109" s="6" t="s">
        <v>305</v>
      </c>
      <c r="D109" s="18">
        <v>1.0</v>
      </c>
      <c r="E109" s="18">
        <v>154.29</v>
      </c>
      <c r="F109" s="18">
        <v>154.29</v>
      </c>
    </row>
    <row r="110">
      <c r="A110" s="6" t="s">
        <v>2754</v>
      </c>
      <c r="B110" s="6" t="s">
        <v>347</v>
      </c>
      <c r="C110" s="18">
        <v>1.2539885E7</v>
      </c>
      <c r="D110" s="18">
        <v>30.0</v>
      </c>
      <c r="E110" s="18">
        <v>20.0</v>
      </c>
      <c r="F110" s="18">
        <v>600.0</v>
      </c>
    </row>
    <row r="111">
      <c r="A111" s="6" t="s">
        <v>2756</v>
      </c>
      <c r="B111" s="6" t="s">
        <v>351</v>
      </c>
      <c r="C111" s="6" t="s">
        <v>661</v>
      </c>
      <c r="D111" s="18">
        <v>1.0</v>
      </c>
      <c r="E111" s="18">
        <v>144.89</v>
      </c>
      <c r="F111" s="18">
        <v>144.89</v>
      </c>
    </row>
    <row r="112">
      <c r="A112" s="6" t="s">
        <v>2758</v>
      </c>
      <c r="B112" s="6" t="s">
        <v>359</v>
      </c>
      <c r="C112" s="6" t="s">
        <v>670</v>
      </c>
      <c r="D112" s="18">
        <v>1.0</v>
      </c>
      <c r="E112" s="18">
        <v>1378.0</v>
      </c>
      <c r="F112" s="18">
        <v>1378.0</v>
      </c>
    </row>
    <row r="113">
      <c r="A113" s="6" t="s">
        <v>2760</v>
      </c>
      <c r="B113" s="6" t="s">
        <v>366</v>
      </c>
      <c r="C113" s="6" t="s">
        <v>678</v>
      </c>
      <c r="D113" s="18">
        <v>2.0</v>
      </c>
      <c r="E113" s="18">
        <v>3.29</v>
      </c>
      <c r="F113" s="18">
        <v>6.58</v>
      </c>
    </row>
    <row r="114">
      <c r="A114" s="6" t="s">
        <v>2762</v>
      </c>
      <c r="B114" s="6" t="s">
        <v>366</v>
      </c>
      <c r="C114" s="6" t="s">
        <v>679</v>
      </c>
      <c r="D114" s="18">
        <v>1.0</v>
      </c>
      <c r="E114" s="18">
        <v>15.99</v>
      </c>
      <c r="F114" s="18">
        <v>15.99</v>
      </c>
    </row>
    <row r="115">
      <c r="A115" s="6" t="s">
        <v>2763</v>
      </c>
      <c r="B115" s="6" t="s">
        <v>366</v>
      </c>
      <c r="C115" s="6" t="s">
        <v>683</v>
      </c>
      <c r="D115" s="18">
        <v>1.0</v>
      </c>
      <c r="E115" s="18">
        <v>12.99</v>
      </c>
      <c r="F115" s="18">
        <v>12.99</v>
      </c>
    </row>
    <row r="116">
      <c r="A116" s="6" t="s">
        <v>2765</v>
      </c>
      <c r="B116" s="6" t="s">
        <v>366</v>
      </c>
      <c r="C116" s="6" t="s">
        <v>685</v>
      </c>
      <c r="D116" s="18">
        <v>1.0</v>
      </c>
      <c r="E116" s="18">
        <v>6.99</v>
      </c>
      <c r="F116" s="18">
        <v>6.99</v>
      </c>
    </row>
    <row r="117">
      <c r="A117" s="6" t="s">
        <v>2766</v>
      </c>
      <c r="B117" s="6" t="s">
        <v>366</v>
      </c>
      <c r="C117" s="6" t="s">
        <v>688</v>
      </c>
      <c r="D117" s="18">
        <v>12.0</v>
      </c>
      <c r="E117" s="18">
        <v>4.29</v>
      </c>
      <c r="F117" s="18">
        <v>51.48</v>
      </c>
    </row>
    <row r="118">
      <c r="A118" s="6" t="s">
        <v>2767</v>
      </c>
      <c r="B118" s="6" t="s">
        <v>366</v>
      </c>
      <c r="C118" s="6" t="s">
        <v>691</v>
      </c>
      <c r="D118" s="18">
        <v>12.0</v>
      </c>
      <c r="E118" s="18">
        <v>10.99</v>
      </c>
      <c r="F118" s="18">
        <v>131.88</v>
      </c>
    </row>
    <row r="119">
      <c r="A119" s="6" t="s">
        <v>2769</v>
      </c>
      <c r="B119" s="6" t="s">
        <v>366</v>
      </c>
      <c r="C119" s="6" t="s">
        <v>693</v>
      </c>
      <c r="D119" s="18">
        <v>1.0</v>
      </c>
      <c r="E119" s="18">
        <v>38.99</v>
      </c>
      <c r="F119" s="18">
        <v>38.99</v>
      </c>
    </row>
    <row r="120">
      <c r="A120" s="6" t="s">
        <v>2771</v>
      </c>
      <c r="B120" s="6" t="s">
        <v>366</v>
      </c>
      <c r="C120" s="6" t="s">
        <v>247</v>
      </c>
      <c r="D120" s="18">
        <v>15.0</v>
      </c>
      <c r="E120" s="18">
        <v>1.29</v>
      </c>
      <c r="F120" s="18">
        <v>19.35</v>
      </c>
    </row>
    <row r="121">
      <c r="A121" s="6" t="s">
        <v>2773</v>
      </c>
      <c r="B121" s="6" t="s">
        <v>373</v>
      </c>
      <c r="C121" s="6" t="s">
        <v>226</v>
      </c>
      <c r="D121" s="18">
        <v>1.0</v>
      </c>
      <c r="E121" s="18">
        <v>48.8</v>
      </c>
      <c r="F121" s="18">
        <v>48.8</v>
      </c>
    </row>
    <row r="122">
      <c r="A122" s="6" t="s">
        <v>2776</v>
      </c>
      <c r="B122" s="6" t="s">
        <v>373</v>
      </c>
      <c r="C122" s="6" t="s">
        <v>152</v>
      </c>
      <c r="D122" s="18">
        <v>1.0</v>
      </c>
      <c r="E122" s="18">
        <v>9.0</v>
      </c>
      <c r="F122" s="18">
        <v>9.0</v>
      </c>
    </row>
    <row r="123">
      <c r="A123" s="6" t="s">
        <v>2779</v>
      </c>
      <c r="B123" s="6" t="s">
        <v>373</v>
      </c>
      <c r="C123" s="6" t="s">
        <v>230</v>
      </c>
      <c r="D123" s="18">
        <v>1.0</v>
      </c>
      <c r="E123" s="18">
        <v>211.12</v>
      </c>
      <c r="F123" s="18">
        <v>211.12</v>
      </c>
    </row>
    <row r="124">
      <c r="A124" s="6" t="s">
        <v>2781</v>
      </c>
      <c r="B124" s="6" t="s">
        <v>373</v>
      </c>
      <c r="C124" s="6" t="s">
        <v>155</v>
      </c>
      <c r="D124" s="18">
        <v>1.0</v>
      </c>
      <c r="E124" s="18">
        <v>26.97</v>
      </c>
      <c r="F124" s="18">
        <v>26.97</v>
      </c>
    </row>
    <row r="125">
      <c r="A125" s="6" t="s">
        <v>2782</v>
      </c>
      <c r="B125" s="6" t="s">
        <v>380</v>
      </c>
      <c r="C125" s="6" t="s">
        <v>712</v>
      </c>
      <c r="D125" s="18">
        <v>1.0</v>
      </c>
      <c r="E125" s="18">
        <v>26.9</v>
      </c>
      <c r="F125" s="18">
        <v>26.9</v>
      </c>
    </row>
    <row r="126">
      <c r="A126" s="6" t="s">
        <v>2784</v>
      </c>
      <c r="B126" s="6" t="s">
        <v>380</v>
      </c>
      <c r="C126" s="6" t="s">
        <v>714</v>
      </c>
      <c r="D126" s="18">
        <v>1.0</v>
      </c>
      <c r="E126" s="18">
        <v>38.9</v>
      </c>
      <c r="F126" s="18">
        <v>38.9</v>
      </c>
    </row>
    <row r="127">
      <c r="A127" s="6" t="s">
        <v>2786</v>
      </c>
      <c r="B127" s="6" t="s">
        <v>380</v>
      </c>
      <c r="C127" s="6" t="s">
        <v>717</v>
      </c>
      <c r="D127" s="18">
        <v>1.0</v>
      </c>
      <c r="E127" s="18">
        <v>12.9</v>
      </c>
      <c r="F127" s="18">
        <v>12.9</v>
      </c>
    </row>
    <row r="128">
      <c r="A128" s="6" t="s">
        <v>2788</v>
      </c>
      <c r="B128" s="6" t="s">
        <v>380</v>
      </c>
      <c r="C128" s="6" t="s">
        <v>717</v>
      </c>
      <c r="D128" s="18">
        <v>1.0</v>
      </c>
      <c r="E128" s="18">
        <v>12.5</v>
      </c>
      <c r="F128" s="18">
        <v>12.5</v>
      </c>
    </row>
    <row r="129">
      <c r="A129" s="6" t="s">
        <v>2790</v>
      </c>
      <c r="B129" s="6" t="s">
        <v>380</v>
      </c>
      <c r="C129" s="6" t="s">
        <v>719</v>
      </c>
      <c r="D129" s="18">
        <v>1.0</v>
      </c>
      <c r="E129" s="18">
        <v>74.9</v>
      </c>
      <c r="F129" s="18">
        <v>74.9</v>
      </c>
    </row>
    <row r="130">
      <c r="A130" s="6" t="s">
        <v>2791</v>
      </c>
      <c r="B130" s="6" t="s">
        <v>389</v>
      </c>
      <c r="C130" s="6" t="s">
        <v>226</v>
      </c>
      <c r="D130" s="18">
        <v>4.0</v>
      </c>
      <c r="E130" s="18">
        <v>9.3</v>
      </c>
      <c r="F130" s="18">
        <v>37.2</v>
      </c>
    </row>
    <row r="131">
      <c r="A131" s="6" t="s">
        <v>2793</v>
      </c>
      <c r="B131" s="6" t="s">
        <v>389</v>
      </c>
      <c r="C131" s="6" t="s">
        <v>152</v>
      </c>
      <c r="D131" s="18">
        <v>1.0</v>
      </c>
      <c r="E131" s="18">
        <v>9.3</v>
      </c>
      <c r="F131" s="18">
        <v>9.3</v>
      </c>
    </row>
    <row r="132">
      <c r="A132" s="6" t="s">
        <v>2795</v>
      </c>
      <c r="B132" s="6" t="s">
        <v>389</v>
      </c>
      <c r="C132" s="6" t="s">
        <v>155</v>
      </c>
      <c r="D132" s="18">
        <v>6.0</v>
      </c>
      <c r="E132" s="18">
        <v>6.3</v>
      </c>
      <c r="F132" s="18">
        <v>37.8</v>
      </c>
    </row>
    <row r="133">
      <c r="A133" s="6" t="s">
        <v>2797</v>
      </c>
      <c r="B133" s="6" t="s">
        <v>389</v>
      </c>
      <c r="C133" s="6" t="s">
        <v>159</v>
      </c>
      <c r="D133" s="18">
        <v>12.0</v>
      </c>
      <c r="E133" s="18">
        <v>13.5</v>
      </c>
      <c r="F133" s="18">
        <v>162.0</v>
      </c>
    </row>
    <row r="134">
      <c r="A134" s="6" t="s">
        <v>2799</v>
      </c>
      <c r="B134" s="6" t="s">
        <v>395</v>
      </c>
      <c r="C134" s="6" t="s">
        <v>152</v>
      </c>
      <c r="D134" s="18">
        <v>1.0</v>
      </c>
      <c r="E134" s="18">
        <v>7.51</v>
      </c>
      <c r="F134" s="18">
        <v>7.51</v>
      </c>
    </row>
    <row r="135">
      <c r="A135" s="6" t="s">
        <v>2800</v>
      </c>
      <c r="B135" s="6" t="s">
        <v>395</v>
      </c>
      <c r="C135" s="6" t="s">
        <v>230</v>
      </c>
      <c r="D135" s="18">
        <v>8.1</v>
      </c>
      <c r="E135" s="18">
        <v>24.0</v>
      </c>
      <c r="F135" s="18">
        <v>194.4</v>
      </c>
    </row>
    <row r="136">
      <c r="A136" s="6" t="s">
        <v>2802</v>
      </c>
      <c r="B136" s="6" t="s">
        <v>395</v>
      </c>
      <c r="C136" s="6" t="s">
        <v>155</v>
      </c>
      <c r="D136" s="18">
        <v>5.0</v>
      </c>
      <c r="E136" s="18">
        <v>7.5</v>
      </c>
      <c r="F136" s="18">
        <v>37.5</v>
      </c>
    </row>
    <row r="137">
      <c r="A137" s="6" t="s">
        <v>2803</v>
      </c>
      <c r="B137" s="6" t="s">
        <v>395</v>
      </c>
      <c r="C137" s="6" t="s">
        <v>159</v>
      </c>
      <c r="D137" s="18">
        <v>10.0</v>
      </c>
      <c r="E137" s="18">
        <v>13.0</v>
      </c>
      <c r="F137" s="18">
        <v>130.0</v>
      </c>
    </row>
    <row r="138">
      <c r="A138" s="6" t="s">
        <v>2804</v>
      </c>
      <c r="B138" s="6" t="s">
        <v>402</v>
      </c>
      <c r="C138" s="6" t="s">
        <v>305</v>
      </c>
      <c r="D138" s="18">
        <v>1.0</v>
      </c>
      <c r="E138" s="18">
        <v>161.89</v>
      </c>
      <c r="F138" s="18">
        <v>161.89</v>
      </c>
    </row>
    <row r="139">
      <c r="A139" s="6" t="s">
        <v>2807</v>
      </c>
      <c r="B139" s="6" t="s">
        <v>412</v>
      </c>
      <c r="C139" s="18">
        <v>1.2539885E7</v>
      </c>
      <c r="D139" s="18">
        <v>20.0</v>
      </c>
      <c r="E139" s="18">
        <v>30.0</v>
      </c>
      <c r="F139" s="18">
        <v>600.0</v>
      </c>
    </row>
    <row r="140">
      <c r="A140" s="6" t="s">
        <v>2809</v>
      </c>
      <c r="B140" s="6" t="s">
        <v>418</v>
      </c>
      <c r="C140" s="6" t="s">
        <v>789</v>
      </c>
      <c r="D140" s="18">
        <v>3.0</v>
      </c>
      <c r="E140" s="18">
        <v>59.44</v>
      </c>
      <c r="F140" s="18">
        <v>178.32</v>
      </c>
    </row>
    <row r="141">
      <c r="A141" s="6" t="s">
        <v>2813</v>
      </c>
      <c r="B141" s="6" t="s">
        <v>418</v>
      </c>
      <c r="C141" s="6" t="s">
        <v>249</v>
      </c>
      <c r="D141" s="18">
        <v>24.0</v>
      </c>
      <c r="E141" s="18">
        <v>5.76</v>
      </c>
      <c r="F141" s="18">
        <v>138.24</v>
      </c>
    </row>
    <row r="142">
      <c r="A142" s="6" t="s">
        <v>2815</v>
      </c>
      <c r="B142" s="6" t="s">
        <v>418</v>
      </c>
      <c r="C142" s="6" t="s">
        <v>249</v>
      </c>
      <c r="D142" s="18">
        <v>24.0</v>
      </c>
      <c r="E142" s="18">
        <v>5.54</v>
      </c>
      <c r="F142" s="18">
        <v>132.96</v>
      </c>
    </row>
    <row r="143">
      <c r="A143" s="6" t="s">
        <v>2819</v>
      </c>
      <c r="B143" s="6" t="s">
        <v>418</v>
      </c>
      <c r="C143" s="6" t="s">
        <v>794</v>
      </c>
      <c r="D143" s="18">
        <v>3.0</v>
      </c>
      <c r="E143" s="18">
        <v>18.49</v>
      </c>
      <c r="F143" s="18">
        <v>55.47</v>
      </c>
    </row>
    <row r="144">
      <c r="A144" s="6" t="s">
        <v>2820</v>
      </c>
      <c r="B144" s="6" t="s">
        <v>418</v>
      </c>
      <c r="C144" s="6" t="s">
        <v>794</v>
      </c>
      <c r="D144" s="18">
        <v>3.0</v>
      </c>
      <c r="E144" s="18">
        <v>18.41</v>
      </c>
      <c r="F144" s="18">
        <v>55.23</v>
      </c>
    </row>
    <row r="145">
      <c r="A145" s="6" t="s">
        <v>2822</v>
      </c>
      <c r="B145" s="6" t="s">
        <v>418</v>
      </c>
      <c r="C145" s="6" t="s">
        <v>797</v>
      </c>
      <c r="D145" s="18">
        <v>10.0</v>
      </c>
      <c r="E145" s="18">
        <v>4.67</v>
      </c>
      <c r="F145" s="18">
        <v>46.7</v>
      </c>
    </row>
    <row r="146">
      <c r="A146" s="6" t="s">
        <v>2825</v>
      </c>
      <c r="B146" s="6" t="s">
        <v>418</v>
      </c>
      <c r="C146" s="6" t="s">
        <v>797</v>
      </c>
      <c r="D146" s="18">
        <v>10.0</v>
      </c>
      <c r="E146" s="18">
        <v>5.17</v>
      </c>
      <c r="F146" s="18">
        <v>51.7</v>
      </c>
    </row>
    <row r="147">
      <c r="A147" s="6" t="s">
        <v>2830</v>
      </c>
      <c r="B147" s="6" t="s">
        <v>418</v>
      </c>
      <c r="C147" s="6" t="s">
        <v>802</v>
      </c>
      <c r="D147" s="18">
        <v>24.0</v>
      </c>
      <c r="E147" s="18">
        <v>12.37</v>
      </c>
      <c r="F147" s="18">
        <v>296.88</v>
      </c>
    </row>
    <row r="148">
      <c r="A148" s="6" t="s">
        <v>2832</v>
      </c>
      <c r="B148" s="6" t="s">
        <v>427</v>
      </c>
      <c r="C148" s="6" t="s">
        <v>812</v>
      </c>
      <c r="D148" s="18">
        <v>1.0</v>
      </c>
      <c r="E148" s="18">
        <v>10.0</v>
      </c>
      <c r="F148" s="18">
        <v>10.0</v>
      </c>
    </row>
    <row r="149">
      <c r="A149" s="6" t="s">
        <v>2835</v>
      </c>
      <c r="B149" s="6" t="s">
        <v>434</v>
      </c>
      <c r="C149" s="6" t="s">
        <v>226</v>
      </c>
      <c r="D149" s="18">
        <v>5.0</v>
      </c>
      <c r="E149" s="18">
        <v>7.3</v>
      </c>
      <c r="F149" s="18">
        <v>36.5</v>
      </c>
    </row>
    <row r="150">
      <c r="A150" s="6" t="s">
        <v>2837</v>
      </c>
      <c r="B150" s="6" t="s">
        <v>434</v>
      </c>
      <c r="C150" s="6" t="s">
        <v>152</v>
      </c>
      <c r="D150" s="18">
        <v>1.0</v>
      </c>
      <c r="E150" s="18">
        <v>12.0</v>
      </c>
      <c r="F150" s="18">
        <v>12.0</v>
      </c>
    </row>
    <row r="151">
      <c r="A151" s="6" t="s">
        <v>2840</v>
      </c>
      <c r="B151" s="6" t="s">
        <v>434</v>
      </c>
      <c r="C151" s="6" t="s">
        <v>230</v>
      </c>
      <c r="D151" s="18">
        <v>1.0</v>
      </c>
      <c r="E151" s="18">
        <v>144.48</v>
      </c>
      <c r="F151" s="18">
        <v>144.48</v>
      </c>
    </row>
    <row r="152">
      <c r="A152" s="6" t="s">
        <v>2841</v>
      </c>
      <c r="B152" s="6" t="s">
        <v>434</v>
      </c>
      <c r="C152" s="6" t="s">
        <v>155</v>
      </c>
      <c r="D152" s="18">
        <v>1.0</v>
      </c>
      <c r="E152" s="18">
        <v>47.99</v>
      </c>
      <c r="F152" s="18">
        <v>47.99</v>
      </c>
    </row>
    <row r="153">
      <c r="A153" s="6" t="s">
        <v>2843</v>
      </c>
      <c r="B153" s="6" t="s">
        <v>434</v>
      </c>
      <c r="C153" s="6" t="s">
        <v>159</v>
      </c>
      <c r="D153" s="18">
        <v>10.0</v>
      </c>
      <c r="E153" s="18">
        <v>13.5</v>
      </c>
      <c r="F153" s="18">
        <v>135.0</v>
      </c>
    </row>
    <row r="154">
      <c r="A154" s="6" t="s">
        <v>2847</v>
      </c>
      <c r="B154" s="6" t="s">
        <v>441</v>
      </c>
      <c r="C154" s="18">
        <v>1.2539885E7</v>
      </c>
      <c r="D154" s="18">
        <v>15.0</v>
      </c>
      <c r="E154" s="18">
        <v>20.0</v>
      </c>
      <c r="F154" s="18">
        <v>300.0</v>
      </c>
    </row>
    <row r="155">
      <c r="A155" s="6" t="s">
        <v>2849</v>
      </c>
      <c r="B155" s="6" t="s">
        <v>446</v>
      </c>
      <c r="C155" s="6" t="s">
        <v>249</v>
      </c>
      <c r="D155" s="18">
        <v>1.0</v>
      </c>
      <c r="E155" s="18">
        <v>47.94</v>
      </c>
      <c r="F155" s="18">
        <v>47.94</v>
      </c>
    </row>
    <row r="156">
      <c r="A156" s="6" t="s">
        <v>2851</v>
      </c>
      <c r="B156" s="6" t="s">
        <v>453</v>
      </c>
      <c r="C156" s="6" t="s">
        <v>854</v>
      </c>
      <c r="D156" s="18">
        <v>1.0</v>
      </c>
      <c r="E156" s="18">
        <v>21.0</v>
      </c>
      <c r="F156" s="18">
        <v>21.0</v>
      </c>
    </row>
    <row r="157">
      <c r="A157" s="6" t="s">
        <v>2853</v>
      </c>
      <c r="B157" s="6" t="s">
        <v>459</v>
      </c>
      <c r="C157" s="6" t="s">
        <v>862</v>
      </c>
      <c r="D157" s="18">
        <v>1.0</v>
      </c>
      <c r="E157" s="18">
        <v>320.0</v>
      </c>
      <c r="F157" s="18">
        <v>320.0</v>
      </c>
    </row>
    <row r="158">
      <c r="A158" s="6" t="s">
        <v>2854</v>
      </c>
      <c r="B158" s="6" t="s">
        <v>464</v>
      </c>
      <c r="C158" s="6" t="s">
        <v>873</v>
      </c>
      <c r="D158" s="18">
        <v>1.0</v>
      </c>
      <c r="E158" s="18">
        <v>390.0</v>
      </c>
      <c r="F158" s="18">
        <v>390.0</v>
      </c>
    </row>
    <row r="159">
      <c r="A159" s="6" t="s">
        <v>2856</v>
      </c>
      <c r="B159" s="6" t="s">
        <v>470</v>
      </c>
      <c r="C159" s="6" t="s">
        <v>789</v>
      </c>
      <c r="D159" s="18">
        <v>2.0</v>
      </c>
      <c r="E159" s="18">
        <v>73.29</v>
      </c>
      <c r="F159" s="18">
        <v>146.58</v>
      </c>
    </row>
    <row r="160">
      <c r="A160" s="6" t="s">
        <v>2859</v>
      </c>
      <c r="B160" s="6" t="s">
        <v>470</v>
      </c>
      <c r="C160" s="6" t="s">
        <v>887</v>
      </c>
      <c r="D160" s="18">
        <v>1.0</v>
      </c>
      <c r="E160" s="18">
        <v>85.85</v>
      </c>
      <c r="F160" s="18">
        <v>85.85</v>
      </c>
    </row>
    <row r="161">
      <c r="A161" s="6" t="s">
        <v>2860</v>
      </c>
      <c r="B161" s="6" t="s">
        <v>470</v>
      </c>
      <c r="C161" s="6" t="s">
        <v>249</v>
      </c>
      <c r="D161" s="18">
        <v>24.0</v>
      </c>
      <c r="E161" s="18">
        <v>5.76</v>
      </c>
      <c r="F161" s="18">
        <v>138.24</v>
      </c>
    </row>
    <row r="162">
      <c r="A162" s="6" t="s">
        <v>2862</v>
      </c>
      <c r="B162" s="6" t="s">
        <v>470</v>
      </c>
      <c r="C162" s="6" t="s">
        <v>249</v>
      </c>
      <c r="D162" s="18">
        <v>24.0</v>
      </c>
      <c r="E162" s="18">
        <v>5.54</v>
      </c>
      <c r="F162" s="18">
        <v>132.96</v>
      </c>
    </row>
    <row r="163">
      <c r="A163" s="6" t="s">
        <v>2864</v>
      </c>
      <c r="B163" s="6" t="s">
        <v>470</v>
      </c>
      <c r="C163" s="6" t="s">
        <v>249</v>
      </c>
      <c r="D163" s="18">
        <v>12.0</v>
      </c>
      <c r="E163" s="18">
        <v>11.27</v>
      </c>
      <c r="F163" s="18">
        <v>135.24</v>
      </c>
    </row>
    <row r="164">
      <c r="A164" s="6" t="s">
        <v>2867</v>
      </c>
      <c r="B164" s="6" t="s">
        <v>470</v>
      </c>
      <c r="C164" s="6" t="s">
        <v>794</v>
      </c>
      <c r="D164" s="18">
        <v>2.0</v>
      </c>
      <c r="E164" s="18">
        <v>18.41</v>
      </c>
      <c r="F164" s="18">
        <v>36.82</v>
      </c>
    </row>
    <row r="165">
      <c r="A165" s="6" t="s">
        <v>2869</v>
      </c>
      <c r="B165" s="6" t="s">
        <v>470</v>
      </c>
      <c r="C165" s="6" t="s">
        <v>794</v>
      </c>
      <c r="D165" s="18">
        <v>2.0</v>
      </c>
      <c r="E165" s="18">
        <v>18.19</v>
      </c>
      <c r="F165" s="18">
        <v>36.38</v>
      </c>
    </row>
    <row r="166">
      <c r="A166" s="6" t="s">
        <v>2873</v>
      </c>
      <c r="B166" s="6" t="s">
        <v>474</v>
      </c>
      <c r="C166" s="6" t="s">
        <v>226</v>
      </c>
      <c r="D166" s="18">
        <v>1.0</v>
      </c>
      <c r="E166" s="18">
        <v>61.75</v>
      </c>
      <c r="F166" s="18">
        <v>61.75</v>
      </c>
    </row>
    <row r="167">
      <c r="A167" s="6" t="s">
        <v>2876</v>
      </c>
      <c r="B167" s="6" t="s">
        <v>474</v>
      </c>
      <c r="C167" s="6" t="s">
        <v>230</v>
      </c>
      <c r="D167" s="18">
        <v>1.0</v>
      </c>
      <c r="E167" s="18">
        <v>121.25</v>
      </c>
      <c r="F167" s="18">
        <v>121.25</v>
      </c>
    </row>
    <row r="168">
      <c r="A168" s="6" t="s">
        <v>2878</v>
      </c>
      <c r="B168" s="6" t="s">
        <v>474</v>
      </c>
      <c r="C168" s="6" t="s">
        <v>155</v>
      </c>
      <c r="D168" s="18">
        <v>1.0</v>
      </c>
      <c r="E168" s="18">
        <v>28.41</v>
      </c>
      <c r="F168" s="18">
        <v>28.41</v>
      </c>
    </row>
    <row r="169">
      <c r="A169" s="6" t="s">
        <v>2882</v>
      </c>
      <c r="B169" s="6" t="s">
        <v>474</v>
      </c>
      <c r="C169" s="18">
        <v>1.2539885E7</v>
      </c>
      <c r="D169" s="18">
        <v>1.0</v>
      </c>
      <c r="E169" s="18">
        <v>92.8</v>
      </c>
      <c r="F169" s="18">
        <v>92.8</v>
      </c>
    </row>
    <row r="170">
      <c r="A170" s="6" t="s">
        <v>2883</v>
      </c>
      <c r="B170" s="6" t="s">
        <v>474</v>
      </c>
      <c r="C170" s="6" t="s">
        <v>159</v>
      </c>
      <c r="D170" s="18">
        <v>8.0</v>
      </c>
      <c r="E170" s="18">
        <v>13.5</v>
      </c>
      <c r="F170" s="18">
        <v>108.0</v>
      </c>
    </row>
    <row r="171">
      <c r="A171" s="6" t="s">
        <v>2885</v>
      </c>
      <c r="B171" s="6" t="s">
        <v>474</v>
      </c>
      <c r="C171" s="6" t="s">
        <v>226</v>
      </c>
      <c r="D171" s="18">
        <v>6.0</v>
      </c>
      <c r="E171" s="18">
        <v>7.5</v>
      </c>
      <c r="F171" s="18">
        <v>45.0</v>
      </c>
    </row>
    <row r="172">
      <c r="A172" s="6" t="s">
        <v>2888</v>
      </c>
      <c r="B172" s="6" t="s">
        <v>474</v>
      </c>
      <c r="C172" s="6" t="s">
        <v>152</v>
      </c>
      <c r="D172" s="18">
        <v>1.0</v>
      </c>
      <c r="E172" s="18">
        <v>9.49</v>
      </c>
      <c r="F172" s="18">
        <v>9.49</v>
      </c>
    </row>
    <row r="173">
      <c r="A173" s="6" t="s">
        <v>2889</v>
      </c>
      <c r="B173" s="6" t="s">
        <v>474</v>
      </c>
      <c r="C173" s="6" t="s">
        <v>230</v>
      </c>
      <c r="D173" s="18">
        <v>8.0</v>
      </c>
      <c r="E173" s="18">
        <v>25.0</v>
      </c>
      <c r="F173" s="18">
        <v>200.0</v>
      </c>
    </row>
    <row r="174">
      <c r="A174" s="6" t="s">
        <v>2892</v>
      </c>
      <c r="B174" s="6" t="s">
        <v>474</v>
      </c>
      <c r="C174" s="6" t="s">
        <v>155</v>
      </c>
      <c r="D174" s="18">
        <v>1.0</v>
      </c>
      <c r="E174" s="18">
        <v>45.85</v>
      </c>
      <c r="F174" s="18">
        <v>45.85</v>
      </c>
    </row>
    <row r="175">
      <c r="A175" s="6" t="s">
        <v>2895</v>
      </c>
      <c r="B175" s="6" t="s">
        <v>474</v>
      </c>
      <c r="C175" s="6" t="s">
        <v>159</v>
      </c>
      <c r="D175" s="18">
        <v>12.0</v>
      </c>
      <c r="E175" s="18">
        <v>13.5</v>
      </c>
      <c r="F175" s="18">
        <v>162.0</v>
      </c>
    </row>
    <row r="176">
      <c r="A176" s="6" t="s">
        <v>2897</v>
      </c>
      <c r="B176" s="6" t="s">
        <v>479</v>
      </c>
      <c r="C176" s="6" t="s">
        <v>238</v>
      </c>
      <c r="D176" s="18">
        <v>12.0</v>
      </c>
      <c r="E176" s="18">
        <v>4.4</v>
      </c>
      <c r="F176" s="18">
        <v>52.800000000000004</v>
      </c>
    </row>
    <row r="177">
      <c r="A177" s="6" t="s">
        <v>2900</v>
      </c>
      <c r="B177" s="6" t="s">
        <v>479</v>
      </c>
      <c r="C177" s="6" t="s">
        <v>927</v>
      </c>
      <c r="D177" s="18">
        <v>6.0</v>
      </c>
      <c r="E177" s="18">
        <v>4.4</v>
      </c>
      <c r="F177" s="18">
        <v>26.4</v>
      </c>
    </row>
    <row r="178">
      <c r="A178" s="6" t="s">
        <v>2902</v>
      </c>
      <c r="B178" s="6" t="s">
        <v>479</v>
      </c>
      <c r="C178" s="6" t="s">
        <v>242</v>
      </c>
      <c r="D178" s="18">
        <v>6.0</v>
      </c>
      <c r="E178" s="18">
        <v>4.4</v>
      </c>
      <c r="F178" s="18">
        <v>26.4</v>
      </c>
    </row>
    <row r="179">
      <c r="A179" s="6" t="s">
        <v>2904</v>
      </c>
      <c r="B179" s="6" t="s">
        <v>484</v>
      </c>
      <c r="C179" s="6" t="s">
        <v>305</v>
      </c>
      <c r="D179" s="18">
        <v>1.0</v>
      </c>
      <c r="E179" s="18">
        <v>19.75</v>
      </c>
      <c r="F179" s="18">
        <v>19.75</v>
      </c>
    </row>
    <row r="180">
      <c r="A180" s="6" t="s">
        <v>2907</v>
      </c>
      <c r="B180" s="6" t="s">
        <v>484</v>
      </c>
      <c r="C180" s="6" t="s">
        <v>305</v>
      </c>
      <c r="D180" s="18">
        <v>1.0</v>
      </c>
      <c r="E180" s="18">
        <v>24.99</v>
      </c>
      <c r="F180" s="18">
        <v>24.99</v>
      </c>
    </row>
    <row r="181">
      <c r="A181" s="6" t="s">
        <v>2909</v>
      </c>
      <c r="B181" s="6" t="s">
        <v>489</v>
      </c>
      <c r="C181" s="6" t="s">
        <v>226</v>
      </c>
      <c r="D181" s="18">
        <v>8.0</v>
      </c>
      <c r="E181" s="18">
        <v>9.0</v>
      </c>
      <c r="F181" s="18">
        <v>72.0</v>
      </c>
    </row>
    <row r="182">
      <c r="A182" s="6" t="s">
        <v>2911</v>
      </c>
      <c r="B182" s="6" t="s">
        <v>489</v>
      </c>
      <c r="C182" s="6" t="s">
        <v>152</v>
      </c>
      <c r="D182" s="18">
        <v>1.0</v>
      </c>
      <c r="E182" s="18">
        <v>13.02</v>
      </c>
      <c r="F182" s="18">
        <v>13.02</v>
      </c>
    </row>
    <row r="183">
      <c r="A183" s="6" t="s">
        <v>2913</v>
      </c>
      <c r="B183" s="6" t="s">
        <v>489</v>
      </c>
      <c r="C183" s="6" t="s">
        <v>230</v>
      </c>
      <c r="D183" s="18">
        <v>6.0</v>
      </c>
      <c r="E183" s="18">
        <v>24.0</v>
      </c>
      <c r="F183" s="18">
        <v>144.0</v>
      </c>
    </row>
    <row r="184">
      <c r="A184" s="6" t="s">
        <v>2916</v>
      </c>
      <c r="B184" s="6" t="s">
        <v>489</v>
      </c>
      <c r="C184" s="6" t="s">
        <v>155</v>
      </c>
      <c r="D184" s="18">
        <v>1.0</v>
      </c>
      <c r="E184" s="18">
        <v>28.14</v>
      </c>
      <c r="F184" s="18">
        <v>28.14</v>
      </c>
    </row>
    <row r="185">
      <c r="A185" s="6" t="s">
        <v>2918</v>
      </c>
      <c r="B185" s="6" t="s">
        <v>489</v>
      </c>
      <c r="C185" s="6" t="s">
        <v>159</v>
      </c>
      <c r="D185" s="18">
        <v>15.0</v>
      </c>
      <c r="E185" s="18">
        <v>13.5</v>
      </c>
      <c r="F185" s="18">
        <v>202.5</v>
      </c>
    </row>
    <row r="186">
      <c r="A186" s="6" t="s">
        <v>2922</v>
      </c>
      <c r="B186" s="6" t="s">
        <v>493</v>
      </c>
      <c r="C186" s="18">
        <v>1.2539885E7</v>
      </c>
      <c r="D186" s="18">
        <v>45.0</v>
      </c>
      <c r="E186" s="18">
        <v>20.0</v>
      </c>
      <c r="F186" s="18">
        <v>900.0</v>
      </c>
    </row>
    <row r="187">
      <c r="A187" s="6" t="s">
        <v>2923</v>
      </c>
      <c r="B187" s="6" t="s">
        <v>498</v>
      </c>
      <c r="C187" s="6" t="s">
        <v>238</v>
      </c>
      <c r="D187" s="18">
        <v>10.0</v>
      </c>
      <c r="E187" s="18">
        <v>4.4</v>
      </c>
      <c r="F187" s="18">
        <v>44.0</v>
      </c>
    </row>
    <row r="188">
      <c r="A188" s="6" t="s">
        <v>2925</v>
      </c>
      <c r="B188" s="6" t="s">
        <v>498</v>
      </c>
      <c r="C188" s="6" t="s">
        <v>240</v>
      </c>
      <c r="D188" s="18">
        <v>6.0</v>
      </c>
      <c r="E188" s="18">
        <v>4.4</v>
      </c>
      <c r="F188" s="18">
        <v>26.4</v>
      </c>
    </row>
    <row r="189">
      <c r="A189" s="6" t="s">
        <v>2929</v>
      </c>
      <c r="B189" s="6" t="s">
        <v>498</v>
      </c>
      <c r="C189" s="6" t="s">
        <v>242</v>
      </c>
      <c r="D189" s="18">
        <v>6.0</v>
      </c>
      <c r="E189" s="18">
        <v>4.4</v>
      </c>
      <c r="F189" s="18">
        <v>26.4</v>
      </c>
    </row>
    <row r="190">
      <c r="A190" s="6" t="s">
        <v>2930</v>
      </c>
      <c r="B190" s="6" t="s">
        <v>498</v>
      </c>
      <c r="C190" s="6" t="s">
        <v>243</v>
      </c>
      <c r="D190" s="18">
        <v>6.0</v>
      </c>
      <c r="E190" s="18">
        <v>4.4</v>
      </c>
      <c r="F190" s="18">
        <v>26.4</v>
      </c>
    </row>
    <row r="191">
      <c r="A191" s="6" t="s">
        <v>2932</v>
      </c>
      <c r="B191" s="6" t="s">
        <v>503</v>
      </c>
      <c r="C191" s="6" t="s">
        <v>981</v>
      </c>
      <c r="D191" s="18">
        <v>6.0</v>
      </c>
      <c r="E191" s="18">
        <v>4.35</v>
      </c>
      <c r="F191" s="18">
        <v>26.099999999999998</v>
      </c>
    </row>
    <row r="192">
      <c r="A192" s="6" t="s">
        <v>2935</v>
      </c>
      <c r="B192" s="6" t="s">
        <v>509</v>
      </c>
      <c r="C192" s="18">
        <v>1.2539885E7</v>
      </c>
      <c r="D192" s="18">
        <v>30.0</v>
      </c>
      <c r="E192" s="18">
        <v>20.0</v>
      </c>
      <c r="F192" s="18">
        <v>600.0</v>
      </c>
    </row>
    <row r="193">
      <c r="A193" s="6" t="s">
        <v>2937</v>
      </c>
      <c r="B193" s="6" t="s">
        <v>514</v>
      </c>
      <c r="C193" s="6" t="s">
        <v>226</v>
      </c>
      <c r="D193" s="18">
        <v>5.0</v>
      </c>
      <c r="E193" s="18">
        <v>9.0</v>
      </c>
      <c r="F193" s="18">
        <v>45.0</v>
      </c>
    </row>
    <row r="194">
      <c r="A194" s="6" t="s">
        <v>2939</v>
      </c>
      <c r="B194" s="6" t="s">
        <v>514</v>
      </c>
      <c r="C194" s="6" t="s">
        <v>152</v>
      </c>
      <c r="D194" s="18">
        <v>1.0</v>
      </c>
      <c r="E194" s="18">
        <v>10.17</v>
      </c>
      <c r="F194" s="18">
        <v>10.17</v>
      </c>
    </row>
    <row r="195">
      <c r="A195" s="6" t="s">
        <v>2941</v>
      </c>
      <c r="B195" s="6" t="s">
        <v>514</v>
      </c>
      <c r="C195" s="6" t="s">
        <v>230</v>
      </c>
      <c r="D195" s="18">
        <v>1.0</v>
      </c>
      <c r="E195" s="18">
        <v>125.28</v>
      </c>
      <c r="F195" s="18">
        <v>125.28</v>
      </c>
    </row>
    <row r="196">
      <c r="A196" s="6" t="s">
        <v>2943</v>
      </c>
      <c r="B196" s="6" t="s">
        <v>514</v>
      </c>
      <c r="C196" s="6" t="s">
        <v>155</v>
      </c>
      <c r="D196" s="18">
        <v>1.0</v>
      </c>
      <c r="E196" s="18">
        <v>34.56</v>
      </c>
      <c r="F196" s="18">
        <v>34.56</v>
      </c>
    </row>
    <row r="197">
      <c r="A197" s="6" t="s">
        <v>2945</v>
      </c>
      <c r="B197" s="6" t="s">
        <v>514</v>
      </c>
      <c r="C197" s="6" t="s">
        <v>159</v>
      </c>
      <c r="D197" s="18">
        <v>10.0</v>
      </c>
      <c r="E197" s="18">
        <v>13.5</v>
      </c>
      <c r="F197" s="18">
        <v>135.0</v>
      </c>
    </row>
    <row r="198">
      <c r="A198" s="6" t="s">
        <v>2948</v>
      </c>
      <c r="B198" s="6" t="s">
        <v>517</v>
      </c>
      <c r="C198" s="6" t="s">
        <v>226</v>
      </c>
      <c r="D198" s="18">
        <v>5.0</v>
      </c>
      <c r="E198" s="18">
        <v>8.0</v>
      </c>
      <c r="F198" s="18">
        <v>40.0</v>
      </c>
    </row>
    <row r="199">
      <c r="A199" s="6" t="s">
        <v>2949</v>
      </c>
      <c r="B199" s="6" t="s">
        <v>517</v>
      </c>
      <c r="C199" s="6" t="s">
        <v>152</v>
      </c>
      <c r="D199" s="18">
        <v>1.0</v>
      </c>
      <c r="E199" s="18">
        <v>13.87</v>
      </c>
      <c r="F199" s="18">
        <v>13.87</v>
      </c>
    </row>
    <row r="200">
      <c r="A200" s="6" t="s">
        <v>2951</v>
      </c>
      <c r="B200" s="6" t="s">
        <v>517</v>
      </c>
      <c r="C200" s="6" t="s">
        <v>155</v>
      </c>
      <c r="D200" s="18">
        <v>1.0</v>
      </c>
      <c r="E200" s="18">
        <v>34.82</v>
      </c>
      <c r="F200" s="18">
        <v>34.82</v>
      </c>
    </row>
    <row r="201">
      <c r="A201" s="6" t="s">
        <v>2954</v>
      </c>
      <c r="B201" s="6" t="s">
        <v>517</v>
      </c>
      <c r="C201" s="6" t="s">
        <v>159</v>
      </c>
      <c r="D201" s="18">
        <v>10.0</v>
      </c>
      <c r="E201" s="18">
        <v>13.7</v>
      </c>
      <c r="F201" s="18">
        <v>137.0</v>
      </c>
    </row>
    <row r="202">
      <c r="A202" s="6" t="s">
        <v>2956</v>
      </c>
      <c r="B202" s="6" t="s">
        <v>520</v>
      </c>
      <c r="C202" s="6" t="s">
        <v>1022</v>
      </c>
      <c r="D202" s="18">
        <v>1.0</v>
      </c>
      <c r="E202" s="18">
        <v>225.0</v>
      </c>
      <c r="F202" s="18">
        <v>225.0</v>
      </c>
    </row>
    <row r="203">
      <c r="A203" s="6" t="s">
        <v>2960</v>
      </c>
      <c r="B203" s="6" t="s">
        <v>525</v>
      </c>
      <c r="C203" s="6" t="s">
        <v>247</v>
      </c>
      <c r="D203" s="18">
        <v>15.0</v>
      </c>
      <c r="E203" s="18">
        <v>0.99</v>
      </c>
      <c r="F203" s="18">
        <v>14.85</v>
      </c>
    </row>
    <row r="204">
      <c r="A204" s="6" t="s">
        <v>2961</v>
      </c>
      <c r="B204" s="6" t="s">
        <v>525</v>
      </c>
      <c r="C204" s="6" t="s">
        <v>305</v>
      </c>
      <c r="D204" s="18">
        <v>1.0</v>
      </c>
      <c r="E204" s="18">
        <v>126.69</v>
      </c>
      <c r="F204" s="18">
        <v>126.69</v>
      </c>
    </row>
    <row r="205">
      <c r="A205" s="6" t="s">
        <v>2963</v>
      </c>
      <c r="B205" s="6" t="s">
        <v>530</v>
      </c>
      <c r="C205" s="6" t="s">
        <v>1041</v>
      </c>
      <c r="D205" s="18">
        <v>1.0</v>
      </c>
      <c r="E205" s="18">
        <v>9.99</v>
      </c>
      <c r="F205" s="18">
        <v>9.99</v>
      </c>
    </row>
    <row r="206">
      <c r="A206" s="6" t="s">
        <v>2965</v>
      </c>
      <c r="B206" s="6" t="s">
        <v>530</v>
      </c>
      <c r="C206" s="6" t="s">
        <v>1043</v>
      </c>
      <c r="D206" s="18">
        <v>2.0</v>
      </c>
      <c r="E206" s="18">
        <v>12.99</v>
      </c>
      <c r="F206" s="18">
        <v>25.98</v>
      </c>
    </row>
    <row r="207">
      <c r="A207" s="6" t="s">
        <v>2967</v>
      </c>
      <c r="B207" s="6" t="s">
        <v>530</v>
      </c>
      <c r="C207" s="6" t="s">
        <v>1046</v>
      </c>
      <c r="D207" s="18">
        <v>2.0</v>
      </c>
      <c r="E207" s="18">
        <v>4.99</v>
      </c>
      <c r="F207" s="18">
        <v>9.98</v>
      </c>
    </row>
    <row r="208">
      <c r="A208" s="6" t="s">
        <v>2968</v>
      </c>
      <c r="B208" s="6" t="s">
        <v>530</v>
      </c>
      <c r="C208" s="6" t="s">
        <v>1047</v>
      </c>
      <c r="D208" s="18">
        <v>1.0</v>
      </c>
      <c r="E208" s="18">
        <v>129.81</v>
      </c>
      <c r="F208" s="18">
        <v>129.81</v>
      </c>
    </row>
    <row r="209">
      <c r="A209" s="6" t="s">
        <v>2969</v>
      </c>
      <c r="B209" s="6" t="s">
        <v>536</v>
      </c>
      <c r="C209" s="6" t="s">
        <v>1054</v>
      </c>
      <c r="D209" s="18">
        <v>1.0</v>
      </c>
      <c r="E209" s="18">
        <v>5123.2</v>
      </c>
      <c r="F209" s="18">
        <v>5123.2</v>
      </c>
    </row>
    <row r="210">
      <c r="A210" s="6" t="s">
        <v>2971</v>
      </c>
      <c r="B210" s="6" t="s">
        <v>542</v>
      </c>
      <c r="C210" s="18">
        <v>1.2539885E7</v>
      </c>
      <c r="D210" s="18">
        <v>16.0</v>
      </c>
      <c r="E210" s="18">
        <v>20.0</v>
      </c>
      <c r="F210" s="18">
        <v>320.0</v>
      </c>
    </row>
    <row r="211">
      <c r="A211" s="6" t="s">
        <v>2972</v>
      </c>
      <c r="B211" s="6" t="s">
        <v>547</v>
      </c>
      <c r="C211" s="6" t="s">
        <v>717</v>
      </c>
      <c r="D211" s="18">
        <v>4.0</v>
      </c>
      <c r="E211" s="18">
        <v>12.0</v>
      </c>
      <c r="F211" s="18">
        <v>48.0</v>
      </c>
    </row>
    <row r="212">
      <c r="A212" s="6" t="s">
        <v>2974</v>
      </c>
      <c r="B212" s="6" t="s">
        <v>553</v>
      </c>
      <c r="C212" s="6" t="s">
        <v>226</v>
      </c>
      <c r="D212" s="18">
        <v>5.0</v>
      </c>
      <c r="E212" s="18">
        <v>8.0</v>
      </c>
      <c r="F212" s="18">
        <v>40.0</v>
      </c>
    </row>
    <row r="213">
      <c r="A213" s="6" t="s">
        <v>2975</v>
      </c>
      <c r="B213" s="6" t="s">
        <v>553</v>
      </c>
      <c r="C213" s="6" t="s">
        <v>152</v>
      </c>
      <c r="D213" s="18">
        <v>1.0</v>
      </c>
      <c r="E213" s="18">
        <v>10.3</v>
      </c>
      <c r="F213" s="18">
        <v>10.3</v>
      </c>
    </row>
    <row r="214">
      <c r="A214" s="6" t="s">
        <v>2977</v>
      </c>
      <c r="B214" s="6" t="s">
        <v>553</v>
      </c>
      <c r="C214" s="6" t="s">
        <v>230</v>
      </c>
      <c r="D214" s="18">
        <v>1.0</v>
      </c>
      <c r="E214" s="18">
        <v>128.4</v>
      </c>
      <c r="F214" s="18">
        <v>128.4</v>
      </c>
    </row>
    <row r="215">
      <c r="A215" s="6" t="s">
        <v>2978</v>
      </c>
      <c r="B215" s="6" t="s">
        <v>553</v>
      </c>
      <c r="C215" s="6" t="s">
        <v>155</v>
      </c>
      <c r="D215" s="18">
        <v>1.0</v>
      </c>
      <c r="E215" s="18">
        <v>31.13</v>
      </c>
      <c r="F215" s="18">
        <v>31.13</v>
      </c>
    </row>
    <row r="216">
      <c r="A216" s="6" t="s">
        <v>2981</v>
      </c>
      <c r="B216" s="6" t="s">
        <v>553</v>
      </c>
      <c r="C216" s="6" t="s">
        <v>159</v>
      </c>
      <c r="D216" s="18">
        <v>12.0</v>
      </c>
      <c r="E216" s="18">
        <v>12.5</v>
      </c>
      <c r="F216" s="18">
        <v>150.0</v>
      </c>
    </row>
    <row r="217">
      <c r="A217" s="6" t="s">
        <v>2983</v>
      </c>
      <c r="B217" s="6" t="s">
        <v>558</v>
      </c>
      <c r="C217" s="6" t="s">
        <v>1073</v>
      </c>
      <c r="D217" s="18">
        <v>2.0</v>
      </c>
      <c r="E217" s="18">
        <v>17.5</v>
      </c>
      <c r="F217" s="18">
        <v>35.0</v>
      </c>
    </row>
    <row r="218">
      <c r="A218" s="6" t="s">
        <v>2985</v>
      </c>
      <c r="B218" s="6" t="s">
        <v>558</v>
      </c>
      <c r="C218" s="6" t="s">
        <v>1074</v>
      </c>
      <c r="D218" s="18">
        <v>6.0</v>
      </c>
      <c r="E218" s="18">
        <v>34.0</v>
      </c>
      <c r="F218" s="18">
        <v>204.0</v>
      </c>
    </row>
    <row r="219">
      <c r="A219" s="6" t="s">
        <v>2987</v>
      </c>
      <c r="B219" s="6" t="s">
        <v>558</v>
      </c>
      <c r="C219" s="6" t="s">
        <v>1075</v>
      </c>
      <c r="D219" s="18">
        <v>2.0</v>
      </c>
      <c r="E219" s="18">
        <v>17.5</v>
      </c>
      <c r="F219" s="18">
        <v>35.0</v>
      </c>
    </row>
    <row r="220">
      <c r="A220" s="6" t="s">
        <v>2988</v>
      </c>
      <c r="B220" s="6" t="s">
        <v>558</v>
      </c>
      <c r="C220" s="6" t="s">
        <v>1077</v>
      </c>
      <c r="D220" s="18">
        <v>3.0</v>
      </c>
      <c r="E220" s="18">
        <v>24.0</v>
      </c>
      <c r="F220" s="18">
        <v>72.0</v>
      </c>
    </row>
    <row r="221">
      <c r="A221" s="6" t="s">
        <v>2989</v>
      </c>
      <c r="B221" s="6" t="s">
        <v>558</v>
      </c>
      <c r="C221" s="6" t="s">
        <v>1079</v>
      </c>
      <c r="D221" s="18">
        <v>25.0</v>
      </c>
      <c r="E221" s="18">
        <v>15.0</v>
      </c>
      <c r="F221" s="18">
        <v>375.0</v>
      </c>
    </row>
    <row r="222">
      <c r="A222" s="6" t="s">
        <v>2992</v>
      </c>
      <c r="B222" s="6" t="s">
        <v>558</v>
      </c>
      <c r="C222" s="6" t="s">
        <v>1080</v>
      </c>
      <c r="D222" s="18">
        <v>15.0</v>
      </c>
      <c r="E222" s="18">
        <v>15.0</v>
      </c>
      <c r="F222" s="18">
        <v>225.0</v>
      </c>
    </row>
    <row r="223">
      <c r="A223" s="6" t="s">
        <v>2993</v>
      </c>
      <c r="B223" s="6" t="s">
        <v>558</v>
      </c>
      <c r="C223" s="6" t="s">
        <v>1081</v>
      </c>
      <c r="D223" s="18">
        <v>2.0</v>
      </c>
      <c r="E223" s="18">
        <v>44.0</v>
      </c>
      <c r="F223" s="18">
        <v>88.0</v>
      </c>
    </row>
    <row r="224">
      <c r="A224" s="6" t="s">
        <v>2995</v>
      </c>
      <c r="B224" s="6" t="s">
        <v>558</v>
      </c>
      <c r="C224" s="6" t="s">
        <v>1083</v>
      </c>
      <c r="D224" s="18">
        <v>2.0</v>
      </c>
      <c r="E224" s="18">
        <v>16.0</v>
      </c>
      <c r="F224" s="18">
        <v>32.0</v>
      </c>
    </row>
    <row r="225">
      <c r="A225" s="6" t="s">
        <v>2996</v>
      </c>
      <c r="B225" s="6" t="s">
        <v>558</v>
      </c>
      <c r="C225" s="6" t="s">
        <v>1085</v>
      </c>
      <c r="D225" s="18">
        <v>2.0</v>
      </c>
      <c r="E225" s="18">
        <v>34.0</v>
      </c>
      <c r="F225" s="18">
        <v>68.0</v>
      </c>
    </row>
    <row r="226">
      <c r="A226" s="6" t="s">
        <v>2997</v>
      </c>
      <c r="B226" s="6" t="s">
        <v>562</v>
      </c>
      <c r="C226" s="6" t="s">
        <v>1077</v>
      </c>
      <c r="D226" s="18">
        <v>1.0</v>
      </c>
      <c r="E226" s="18">
        <v>24.0</v>
      </c>
      <c r="F226" s="18">
        <v>24.0</v>
      </c>
    </row>
    <row r="227">
      <c r="A227" s="6" t="s">
        <v>2998</v>
      </c>
      <c r="B227" s="6" t="s">
        <v>562</v>
      </c>
      <c r="C227" s="6" t="s">
        <v>1091</v>
      </c>
      <c r="D227" s="18">
        <v>1.0</v>
      </c>
      <c r="E227" s="18">
        <v>30.0</v>
      </c>
      <c r="F227" s="18">
        <v>30.0</v>
      </c>
    </row>
    <row r="228">
      <c r="A228" s="6" t="s">
        <v>2999</v>
      </c>
      <c r="B228" s="6" t="s">
        <v>566</v>
      </c>
      <c r="C228" s="6" t="s">
        <v>1098</v>
      </c>
      <c r="D228" s="18">
        <v>1.0</v>
      </c>
      <c r="E228" s="18">
        <v>17.82</v>
      </c>
      <c r="F228" s="18">
        <v>17.82</v>
      </c>
    </row>
    <row r="229">
      <c r="A229" s="6" t="s">
        <v>3001</v>
      </c>
      <c r="B229" s="6" t="s">
        <v>571</v>
      </c>
      <c r="C229" s="18">
        <v>1.2539885E7</v>
      </c>
      <c r="D229" s="18">
        <v>14.0</v>
      </c>
      <c r="E229" s="18">
        <v>20.0</v>
      </c>
      <c r="F229" s="18">
        <v>280.0</v>
      </c>
    </row>
    <row r="230">
      <c r="A230" s="6" t="s">
        <v>3002</v>
      </c>
      <c r="B230" s="6" t="s">
        <v>575</v>
      </c>
      <c r="C230" s="6" t="s">
        <v>226</v>
      </c>
      <c r="D230" s="18">
        <v>6.0</v>
      </c>
      <c r="E230" s="18">
        <v>8.0</v>
      </c>
      <c r="F230" s="18">
        <v>48.0</v>
      </c>
    </row>
    <row r="231">
      <c r="A231" s="6" t="s">
        <v>3004</v>
      </c>
      <c r="B231" s="6" t="s">
        <v>575</v>
      </c>
      <c r="C231" s="6" t="s">
        <v>152</v>
      </c>
      <c r="D231" s="18">
        <v>1.0</v>
      </c>
      <c r="E231" s="18">
        <v>13.32</v>
      </c>
      <c r="F231" s="18">
        <v>13.32</v>
      </c>
    </row>
    <row r="232">
      <c r="A232" s="6" t="s">
        <v>3008</v>
      </c>
      <c r="B232" s="6" t="s">
        <v>575</v>
      </c>
      <c r="C232" s="6" t="s">
        <v>230</v>
      </c>
      <c r="D232" s="18">
        <v>1.0</v>
      </c>
      <c r="E232" s="18">
        <v>146.4</v>
      </c>
      <c r="F232" s="18">
        <v>146.4</v>
      </c>
    </row>
    <row r="233">
      <c r="A233" s="6" t="s">
        <v>3009</v>
      </c>
      <c r="B233" s="6" t="s">
        <v>575</v>
      </c>
      <c r="C233" s="6" t="s">
        <v>155</v>
      </c>
      <c r="D233" s="18">
        <v>1.0</v>
      </c>
      <c r="E233" s="18">
        <v>37.97</v>
      </c>
      <c r="F233" s="18">
        <v>37.97</v>
      </c>
    </row>
    <row r="234">
      <c r="A234" s="6" t="s">
        <v>3012</v>
      </c>
      <c r="B234" s="6" t="s">
        <v>575</v>
      </c>
      <c r="C234" s="6" t="s">
        <v>159</v>
      </c>
      <c r="D234" s="18">
        <v>15.0</v>
      </c>
      <c r="E234" s="18">
        <v>12.5</v>
      </c>
      <c r="F234" s="18">
        <v>187.5</v>
      </c>
    </row>
    <row r="235">
      <c r="A235" s="6" t="s">
        <v>3015</v>
      </c>
      <c r="B235" s="6" t="s">
        <v>579</v>
      </c>
      <c r="C235" s="6" t="s">
        <v>305</v>
      </c>
      <c r="D235" s="18">
        <v>1.0</v>
      </c>
      <c r="E235" s="18">
        <v>122.5</v>
      </c>
      <c r="F235" s="18">
        <v>122.5</v>
      </c>
    </row>
    <row r="236">
      <c r="A236" s="6" t="s">
        <v>3017</v>
      </c>
      <c r="B236" s="6" t="s">
        <v>583</v>
      </c>
      <c r="C236" s="6" t="s">
        <v>1121</v>
      </c>
      <c r="D236" s="18">
        <v>1.0</v>
      </c>
      <c r="E236" s="18">
        <v>459.4</v>
      </c>
      <c r="F236" s="18">
        <v>459.4</v>
      </c>
    </row>
    <row r="237">
      <c r="A237" s="6" t="s">
        <v>3020</v>
      </c>
      <c r="B237" s="6" t="s">
        <v>587</v>
      </c>
      <c r="C237" s="6" t="s">
        <v>1126</v>
      </c>
      <c r="D237" s="18">
        <v>1.0</v>
      </c>
      <c r="E237" s="18">
        <v>30.0</v>
      </c>
      <c r="F237" s="18">
        <v>30.0</v>
      </c>
    </row>
    <row r="238">
      <c r="A238" s="6" t="s">
        <v>3021</v>
      </c>
      <c r="B238" s="6" t="s">
        <v>592</v>
      </c>
      <c r="C238" s="18">
        <v>1.2539885E7</v>
      </c>
      <c r="D238" s="18">
        <v>13.0</v>
      </c>
      <c r="E238" s="18">
        <v>20.0</v>
      </c>
      <c r="F238" s="18">
        <v>260.0</v>
      </c>
    </row>
    <row r="239">
      <c r="A239" s="6" t="s">
        <v>3024</v>
      </c>
      <c r="B239" s="6" t="s">
        <v>594</v>
      </c>
      <c r="C239" s="6" t="s">
        <v>1136</v>
      </c>
      <c r="D239" s="18">
        <v>1.0</v>
      </c>
      <c r="E239" s="18">
        <v>130.0</v>
      </c>
      <c r="F239" s="18">
        <v>130.0</v>
      </c>
    </row>
    <row r="240">
      <c r="A240" s="6" t="s">
        <v>3027</v>
      </c>
      <c r="B240" s="6" t="s">
        <v>601</v>
      </c>
      <c r="C240" s="6" t="s">
        <v>1145</v>
      </c>
      <c r="D240" s="18">
        <v>1.0</v>
      </c>
      <c r="E240" s="18">
        <v>2496.99</v>
      </c>
      <c r="F240" s="18">
        <v>2496.99</v>
      </c>
    </row>
    <row r="241">
      <c r="A241" s="6" t="s">
        <v>3029</v>
      </c>
      <c r="B241" s="6" t="s">
        <v>608</v>
      </c>
      <c r="C241" s="6" t="s">
        <v>1152</v>
      </c>
      <c r="D241" s="18">
        <v>1.0</v>
      </c>
      <c r="E241" s="18">
        <v>96.62</v>
      </c>
      <c r="F241" s="18">
        <v>96.62</v>
      </c>
    </row>
    <row r="242">
      <c r="A242" s="6" t="s">
        <v>3032</v>
      </c>
      <c r="B242" s="6" t="s">
        <v>614</v>
      </c>
      <c r="C242" s="6" t="s">
        <v>1159</v>
      </c>
      <c r="D242" s="18">
        <v>1.0</v>
      </c>
      <c r="E242" s="18">
        <v>1189.27</v>
      </c>
      <c r="F242" s="18">
        <v>1189.27</v>
      </c>
    </row>
    <row r="243">
      <c r="A243" s="6" t="s">
        <v>3033</v>
      </c>
      <c r="B243" s="6" t="s">
        <v>618</v>
      </c>
      <c r="C243" s="6" t="s">
        <v>1164</v>
      </c>
      <c r="D243" s="18">
        <v>1.0</v>
      </c>
      <c r="E243" s="18">
        <v>70.0</v>
      </c>
      <c r="F243" s="18">
        <v>70.0</v>
      </c>
    </row>
    <row r="244">
      <c r="A244" s="6" t="s">
        <v>3035</v>
      </c>
      <c r="B244" s="6" t="s">
        <v>621</v>
      </c>
      <c r="C244" s="6" t="s">
        <v>1168</v>
      </c>
      <c r="D244" s="18">
        <v>1.0</v>
      </c>
      <c r="E244" s="18">
        <v>200.0</v>
      </c>
      <c r="F244" s="18">
        <v>200.0</v>
      </c>
    </row>
    <row r="245">
      <c r="A245" s="6" t="s">
        <v>3038</v>
      </c>
      <c r="B245" s="6" t="s">
        <v>625</v>
      </c>
      <c r="C245" s="6" t="s">
        <v>226</v>
      </c>
      <c r="D245" s="18">
        <v>5.0</v>
      </c>
      <c r="E245" s="18">
        <v>8.3</v>
      </c>
      <c r="F245" s="18">
        <v>41.5</v>
      </c>
    </row>
    <row r="246">
      <c r="A246" s="6" t="s">
        <v>3039</v>
      </c>
      <c r="B246" s="6" t="s">
        <v>625</v>
      </c>
      <c r="C246" s="6" t="s">
        <v>152</v>
      </c>
      <c r="D246" s="18">
        <v>1.0</v>
      </c>
      <c r="E246" s="18">
        <v>13.65</v>
      </c>
      <c r="F246" s="18">
        <v>13.65</v>
      </c>
    </row>
    <row r="247">
      <c r="A247" s="6" t="s">
        <v>3041</v>
      </c>
      <c r="B247" s="6" t="s">
        <v>625</v>
      </c>
      <c r="C247" s="6" t="s">
        <v>230</v>
      </c>
      <c r="D247" s="18">
        <v>1.0</v>
      </c>
      <c r="E247" s="18">
        <v>203.0</v>
      </c>
      <c r="F247" s="18">
        <v>203.0</v>
      </c>
    </row>
    <row r="248">
      <c r="A248" s="6" t="s">
        <v>3042</v>
      </c>
      <c r="B248" s="6" t="s">
        <v>625</v>
      </c>
      <c r="C248" s="6" t="s">
        <v>155</v>
      </c>
      <c r="D248" s="18">
        <v>1.0</v>
      </c>
      <c r="E248" s="18">
        <v>37.3</v>
      </c>
      <c r="F248" s="18">
        <v>37.3</v>
      </c>
    </row>
    <row r="249">
      <c r="A249" s="6" t="s">
        <v>3044</v>
      </c>
      <c r="B249" s="6" t="s">
        <v>628</v>
      </c>
      <c r="C249" s="18">
        <v>1.2539885E7</v>
      </c>
      <c r="D249" s="18">
        <v>20.0</v>
      </c>
      <c r="E249" s="18">
        <v>20.0</v>
      </c>
      <c r="F249" s="18">
        <v>400.0</v>
      </c>
    </row>
    <row r="250">
      <c r="A250" s="6" t="s">
        <v>3045</v>
      </c>
      <c r="B250" s="6" t="s">
        <v>632</v>
      </c>
      <c r="C250" s="6" t="s">
        <v>1195</v>
      </c>
      <c r="D250" s="18">
        <v>3.0</v>
      </c>
      <c r="E250" s="18">
        <v>23.0</v>
      </c>
      <c r="F250" s="18">
        <v>69.0</v>
      </c>
    </row>
    <row r="251">
      <c r="A251" s="6" t="s">
        <v>3047</v>
      </c>
      <c r="B251" s="6" t="s">
        <v>632</v>
      </c>
      <c r="C251" s="6" t="s">
        <v>1197</v>
      </c>
      <c r="D251" s="18">
        <v>3.0</v>
      </c>
      <c r="E251" s="18">
        <v>21.0</v>
      </c>
      <c r="F251" s="18">
        <v>63.0</v>
      </c>
    </row>
    <row r="252">
      <c r="A252" s="6" t="s">
        <v>3048</v>
      </c>
      <c r="B252" s="6" t="s">
        <v>632</v>
      </c>
      <c r="C252" s="6" t="s">
        <v>1046</v>
      </c>
      <c r="D252" s="18">
        <v>2.0</v>
      </c>
      <c r="E252" s="18">
        <v>23.0</v>
      </c>
      <c r="F252" s="18">
        <v>46.0</v>
      </c>
    </row>
    <row r="253">
      <c r="A253" s="6" t="s">
        <v>3050</v>
      </c>
      <c r="B253" s="6" t="s">
        <v>632</v>
      </c>
      <c r="C253" s="6" t="s">
        <v>797</v>
      </c>
      <c r="D253" s="18">
        <v>1.0</v>
      </c>
      <c r="E253" s="18">
        <v>23.0</v>
      </c>
      <c r="F253" s="18">
        <v>23.0</v>
      </c>
    </row>
    <row r="254">
      <c r="A254" s="6" t="s">
        <v>3051</v>
      </c>
      <c r="B254" s="6" t="s">
        <v>632</v>
      </c>
      <c r="C254" s="6" t="s">
        <v>266</v>
      </c>
      <c r="D254" s="18">
        <v>1.0</v>
      </c>
      <c r="E254" s="18">
        <v>19.0</v>
      </c>
      <c r="F254" s="18">
        <v>19.0</v>
      </c>
    </row>
    <row r="255">
      <c r="A255" s="6" t="s">
        <v>3053</v>
      </c>
      <c r="B255" s="6" t="s">
        <v>636</v>
      </c>
      <c r="C255" s="6" t="s">
        <v>226</v>
      </c>
      <c r="D255" s="18">
        <v>8.0</v>
      </c>
      <c r="E255" s="18">
        <v>9.5</v>
      </c>
      <c r="F255" s="18">
        <v>76.0</v>
      </c>
    </row>
    <row r="256">
      <c r="A256" s="6" t="s">
        <v>3055</v>
      </c>
      <c r="B256" s="6" t="s">
        <v>636</v>
      </c>
      <c r="C256" s="6" t="s">
        <v>152</v>
      </c>
      <c r="D256" s="18">
        <v>1.0</v>
      </c>
      <c r="E256" s="18">
        <v>13.64</v>
      </c>
      <c r="F256" s="18">
        <v>13.64</v>
      </c>
    </row>
    <row r="257">
      <c r="A257" s="6" t="s">
        <v>3057</v>
      </c>
      <c r="B257" s="6" t="s">
        <v>636</v>
      </c>
      <c r="C257" s="6" t="s">
        <v>230</v>
      </c>
      <c r="D257" s="18">
        <v>8.0</v>
      </c>
      <c r="E257" s="18">
        <v>24.0</v>
      </c>
      <c r="F257" s="18">
        <v>192.0</v>
      </c>
    </row>
    <row r="258">
      <c r="A258" s="6" t="s">
        <v>3059</v>
      </c>
      <c r="B258" s="6" t="s">
        <v>636</v>
      </c>
      <c r="C258" s="6" t="s">
        <v>155</v>
      </c>
      <c r="D258" s="18">
        <v>1.0</v>
      </c>
      <c r="E258" s="18">
        <v>60.17</v>
      </c>
      <c r="F258" s="18">
        <v>60.17</v>
      </c>
    </row>
    <row r="259">
      <c r="A259" s="6" t="s">
        <v>3060</v>
      </c>
      <c r="B259" s="6" t="s">
        <v>636</v>
      </c>
      <c r="C259" s="6" t="s">
        <v>159</v>
      </c>
      <c r="D259" s="18">
        <v>15.0</v>
      </c>
      <c r="E259" s="18">
        <v>12.0</v>
      </c>
      <c r="F259" s="18">
        <v>180.0</v>
      </c>
    </row>
    <row r="260">
      <c r="A260" s="6" t="s">
        <v>3061</v>
      </c>
      <c r="B260" s="18">
        <v>7.98492E7</v>
      </c>
      <c r="C260" s="18">
        <v>1.2539885E7</v>
      </c>
      <c r="D260" s="18">
        <v>10.0</v>
      </c>
      <c r="E260" s="18">
        <v>20.0</v>
      </c>
      <c r="F260" s="18">
        <v>200.0</v>
      </c>
    </row>
    <row r="261">
      <c r="A261" s="6" t="s">
        <v>3063</v>
      </c>
      <c r="B261" s="6" t="s">
        <v>644</v>
      </c>
      <c r="C261" s="6" t="s">
        <v>1239</v>
      </c>
      <c r="D261" s="18">
        <v>1.0</v>
      </c>
      <c r="E261" s="18">
        <v>2547.13</v>
      </c>
      <c r="F261" s="18">
        <v>2547.13</v>
      </c>
    </row>
    <row r="262">
      <c r="A262" s="6" t="s">
        <v>3066</v>
      </c>
      <c r="B262" s="6" t="s">
        <v>646</v>
      </c>
      <c r="C262" s="6" t="s">
        <v>1239</v>
      </c>
      <c r="D262" s="18">
        <v>1.0</v>
      </c>
      <c r="E262" s="18">
        <v>1720.89</v>
      </c>
      <c r="F262" s="18">
        <v>1720.89</v>
      </c>
    </row>
    <row r="263">
      <c r="A263" s="6" t="s">
        <v>3067</v>
      </c>
      <c r="B263" s="6" t="s">
        <v>650</v>
      </c>
      <c r="C263" s="6" t="s">
        <v>1239</v>
      </c>
      <c r="D263" s="18">
        <v>1.0</v>
      </c>
      <c r="E263" s="18">
        <v>266.13</v>
      </c>
      <c r="F263" s="18">
        <v>266.13</v>
      </c>
    </row>
    <row r="264">
      <c r="A264" s="6" t="s">
        <v>3069</v>
      </c>
      <c r="B264" s="6" t="s">
        <v>653</v>
      </c>
      <c r="C264" s="6" t="s">
        <v>1259</v>
      </c>
      <c r="D264" s="18">
        <v>1.0</v>
      </c>
      <c r="E264" s="18">
        <v>3089.49</v>
      </c>
      <c r="F264" s="18">
        <v>3089.49</v>
      </c>
    </row>
    <row r="265">
      <c r="A265" s="6" t="s">
        <v>3079</v>
      </c>
      <c r="B265" s="6" t="s">
        <v>657</v>
      </c>
      <c r="C265" s="6" t="s">
        <v>1239</v>
      </c>
      <c r="D265" s="18">
        <v>1.0</v>
      </c>
      <c r="E265" s="18">
        <v>894.23</v>
      </c>
      <c r="F265" s="18">
        <v>894.23</v>
      </c>
    </row>
    <row r="266">
      <c r="A266" s="6" t="s">
        <v>3085</v>
      </c>
      <c r="B266" s="6" t="s">
        <v>660</v>
      </c>
      <c r="C266" s="6" t="s">
        <v>1239</v>
      </c>
      <c r="D266" s="18">
        <v>1.0</v>
      </c>
      <c r="E266" s="18">
        <v>678.45</v>
      </c>
      <c r="F266" s="18">
        <v>678.45</v>
      </c>
    </row>
    <row r="267">
      <c r="A267" s="6" t="s">
        <v>3087</v>
      </c>
      <c r="B267" s="6" t="s">
        <v>665</v>
      </c>
      <c r="C267" s="6" t="s">
        <v>1270</v>
      </c>
      <c r="D267" s="18">
        <v>1.0</v>
      </c>
      <c r="E267" s="18">
        <v>10000.0</v>
      </c>
      <c r="F267" s="18">
        <v>10000.0</v>
      </c>
    </row>
    <row r="268">
      <c r="A268" s="6" t="s">
        <v>3089</v>
      </c>
      <c r="B268" s="6" t="s">
        <v>669</v>
      </c>
      <c r="C268" s="6" t="s">
        <v>1270</v>
      </c>
      <c r="D268" s="18">
        <v>1.0</v>
      </c>
      <c r="E268" s="18">
        <v>10000.0</v>
      </c>
      <c r="F268" s="18">
        <v>10000.0</v>
      </c>
    </row>
    <row r="269">
      <c r="A269" s="6" t="s">
        <v>3092</v>
      </c>
      <c r="B269" s="6" t="s">
        <v>672</v>
      </c>
      <c r="C269" s="6" t="s">
        <v>1280</v>
      </c>
      <c r="D269" s="18">
        <v>1.0</v>
      </c>
      <c r="E269" s="18">
        <v>828.94</v>
      </c>
      <c r="F269" s="18">
        <v>828.94</v>
      </c>
    </row>
    <row r="270">
      <c r="A270" s="6" t="s">
        <v>3094</v>
      </c>
      <c r="B270" s="6" t="s">
        <v>677</v>
      </c>
      <c r="C270" s="6" t="s">
        <v>1270</v>
      </c>
      <c r="D270" s="18">
        <v>1.0</v>
      </c>
      <c r="E270" s="18">
        <v>10000.0</v>
      </c>
      <c r="F270" s="18">
        <v>10000.0</v>
      </c>
    </row>
    <row r="271">
      <c r="A271" s="6" t="s">
        <v>3096</v>
      </c>
      <c r="B271" s="6" t="s">
        <v>687</v>
      </c>
      <c r="C271" s="6" t="s">
        <v>1152</v>
      </c>
      <c r="D271" s="18">
        <v>1.0</v>
      </c>
      <c r="E271" s="18">
        <v>136.72</v>
      </c>
      <c r="F271" s="18">
        <v>136.72</v>
      </c>
    </row>
    <row r="272">
      <c r="A272" s="6" t="s">
        <v>3100</v>
      </c>
      <c r="B272" s="6" t="s">
        <v>694</v>
      </c>
      <c r="C272" s="6" t="s">
        <v>1291</v>
      </c>
      <c r="D272" s="18">
        <v>1.0</v>
      </c>
      <c r="E272" s="18">
        <v>45.87</v>
      </c>
      <c r="F272" s="18">
        <v>45.87</v>
      </c>
    </row>
    <row r="273">
      <c r="A273" s="6" t="s">
        <v>3103</v>
      </c>
      <c r="B273" s="6" t="s">
        <v>696</v>
      </c>
      <c r="C273" s="6" t="s">
        <v>226</v>
      </c>
      <c r="D273" s="18">
        <v>8.0</v>
      </c>
      <c r="E273" s="18">
        <v>9.5</v>
      </c>
      <c r="F273" s="18">
        <v>76.0</v>
      </c>
    </row>
    <row r="274">
      <c r="A274" s="6" t="s">
        <v>3106</v>
      </c>
      <c r="B274" s="6" t="s">
        <v>696</v>
      </c>
      <c r="C274" s="6" t="s">
        <v>152</v>
      </c>
      <c r="D274" s="18">
        <v>1.0</v>
      </c>
      <c r="E274" s="18">
        <v>13.64</v>
      </c>
      <c r="F274" s="18">
        <v>13.64</v>
      </c>
    </row>
    <row r="275">
      <c r="A275" s="6" t="s">
        <v>3110</v>
      </c>
      <c r="B275" s="6" t="s">
        <v>696</v>
      </c>
      <c r="C275" s="6" t="s">
        <v>230</v>
      </c>
      <c r="D275" s="18">
        <v>8.0</v>
      </c>
      <c r="E275" s="18">
        <v>24.0</v>
      </c>
      <c r="F275" s="18">
        <v>192.0</v>
      </c>
    </row>
    <row r="276">
      <c r="A276" s="6" t="s">
        <v>3114</v>
      </c>
      <c r="B276" s="6" t="s">
        <v>696</v>
      </c>
      <c r="C276" s="6" t="s">
        <v>155</v>
      </c>
      <c r="D276" s="18">
        <v>1.0</v>
      </c>
      <c r="E276" s="18">
        <v>60.17</v>
      </c>
      <c r="F276" s="18">
        <v>60.17</v>
      </c>
    </row>
    <row r="277">
      <c r="A277" s="6" t="s">
        <v>3117</v>
      </c>
      <c r="B277" s="6" t="s">
        <v>696</v>
      </c>
      <c r="C277" s="6" t="s">
        <v>159</v>
      </c>
      <c r="D277" s="18">
        <v>15.0</v>
      </c>
      <c r="E277" s="18">
        <v>12.0</v>
      </c>
      <c r="F277" s="18">
        <v>180.0</v>
      </c>
    </row>
    <row r="278">
      <c r="A278" s="6" t="s">
        <v>3121</v>
      </c>
      <c r="B278" s="6" t="s">
        <v>701</v>
      </c>
      <c r="C278" s="6" t="s">
        <v>247</v>
      </c>
      <c r="D278" s="18">
        <v>12.0</v>
      </c>
      <c r="E278" s="18">
        <v>0.99</v>
      </c>
      <c r="F278" s="18">
        <v>11.879999999999999</v>
      </c>
    </row>
    <row r="279">
      <c r="A279" s="6" t="s">
        <v>3122</v>
      </c>
      <c r="B279" s="6" t="s">
        <v>701</v>
      </c>
      <c r="C279" s="6" t="s">
        <v>691</v>
      </c>
      <c r="D279" s="18">
        <v>4.0</v>
      </c>
      <c r="E279" s="18">
        <v>7.69</v>
      </c>
      <c r="F279" s="18">
        <v>30.76</v>
      </c>
    </row>
    <row r="280">
      <c r="A280" s="6" t="s">
        <v>3126</v>
      </c>
      <c r="B280" s="6" t="s">
        <v>701</v>
      </c>
      <c r="C280" s="6" t="s">
        <v>305</v>
      </c>
      <c r="D280" s="18">
        <v>1.0</v>
      </c>
      <c r="E280" s="18">
        <v>250.75</v>
      </c>
      <c r="F280" s="18">
        <v>250.75</v>
      </c>
    </row>
    <row r="281">
      <c r="A281" s="6" t="s">
        <v>3130</v>
      </c>
      <c r="B281" s="6" t="s">
        <v>706</v>
      </c>
      <c r="C281" s="6" t="s">
        <v>226</v>
      </c>
      <c r="D281" s="18">
        <v>6.0</v>
      </c>
      <c r="E281" s="18">
        <v>9.3</v>
      </c>
      <c r="F281" s="18">
        <v>55.800000000000004</v>
      </c>
    </row>
    <row r="282">
      <c r="A282" s="6" t="s">
        <v>3133</v>
      </c>
      <c r="B282" s="6" t="s">
        <v>706</v>
      </c>
      <c r="C282" s="6" t="s">
        <v>230</v>
      </c>
      <c r="D282" s="18">
        <v>1.0</v>
      </c>
      <c r="E282" s="18">
        <v>100.2</v>
      </c>
      <c r="F282" s="18">
        <v>100.2</v>
      </c>
    </row>
    <row r="283">
      <c r="A283" s="6" t="s">
        <v>3135</v>
      </c>
      <c r="B283" s="6" t="s">
        <v>706</v>
      </c>
      <c r="C283" s="6" t="s">
        <v>155</v>
      </c>
      <c r="D283" s="18">
        <v>1.0</v>
      </c>
      <c r="E283" s="18">
        <v>61.46</v>
      </c>
      <c r="F283" s="18">
        <v>61.46</v>
      </c>
    </row>
    <row r="284">
      <c r="A284" s="6" t="s">
        <v>3138</v>
      </c>
      <c r="B284" s="6" t="s">
        <v>706</v>
      </c>
      <c r="C284" s="6" t="s">
        <v>159</v>
      </c>
      <c r="D284" s="18">
        <v>15.0</v>
      </c>
      <c r="E284" s="18">
        <v>12.0</v>
      </c>
      <c r="F284" s="18">
        <v>180.0</v>
      </c>
    </row>
    <row r="285">
      <c r="A285" s="6" t="s">
        <v>3141</v>
      </c>
      <c r="B285" s="6" t="s">
        <v>711</v>
      </c>
      <c r="C285" s="18">
        <v>1.2539885E7</v>
      </c>
      <c r="D285" s="18">
        <v>1.0</v>
      </c>
      <c r="E285" s="18">
        <v>400.0</v>
      </c>
      <c r="F285" s="18">
        <v>400.0</v>
      </c>
    </row>
    <row r="286">
      <c r="A286" s="6" t="s">
        <v>3143</v>
      </c>
      <c r="B286" s="6" t="s">
        <v>720</v>
      </c>
      <c r="C286" s="6" t="s">
        <v>1327</v>
      </c>
      <c r="D286" s="18">
        <v>1.0</v>
      </c>
      <c r="E286" s="18">
        <v>74.97</v>
      </c>
      <c r="F286" s="18">
        <v>74.97</v>
      </c>
    </row>
    <row r="287">
      <c r="A287" s="6" t="s">
        <v>3146</v>
      </c>
      <c r="B287" s="6" t="s">
        <v>725</v>
      </c>
      <c r="C287" s="6" t="s">
        <v>226</v>
      </c>
      <c r="D287" s="18">
        <v>8.0</v>
      </c>
      <c r="E287" s="18">
        <v>6.5</v>
      </c>
      <c r="F287" s="18">
        <v>52.0</v>
      </c>
    </row>
    <row r="288">
      <c r="A288" s="6" t="s">
        <v>3147</v>
      </c>
      <c r="B288" s="6" t="s">
        <v>725</v>
      </c>
      <c r="C288" s="6" t="s">
        <v>152</v>
      </c>
      <c r="D288" s="18">
        <v>1.0</v>
      </c>
      <c r="E288" s="18">
        <v>16.38</v>
      </c>
      <c r="F288" s="18">
        <v>16.38</v>
      </c>
    </row>
    <row r="289">
      <c r="A289" s="6" t="s">
        <v>3150</v>
      </c>
      <c r="B289" s="6" t="s">
        <v>725</v>
      </c>
      <c r="C289" s="6" t="s">
        <v>230</v>
      </c>
      <c r="D289" s="18">
        <v>8.0</v>
      </c>
      <c r="E289" s="18">
        <v>24.0</v>
      </c>
      <c r="F289" s="18">
        <v>192.0</v>
      </c>
    </row>
    <row r="290">
      <c r="A290" s="6" t="s">
        <v>3152</v>
      </c>
      <c r="B290" s="6" t="s">
        <v>725</v>
      </c>
      <c r="C290" s="6" t="s">
        <v>155</v>
      </c>
      <c r="D290" s="18">
        <v>1.0</v>
      </c>
      <c r="E290" s="18">
        <v>65.44</v>
      </c>
      <c r="F290" s="18">
        <v>65.44</v>
      </c>
    </row>
    <row r="291">
      <c r="A291" s="6" t="s">
        <v>3153</v>
      </c>
      <c r="B291" s="6" t="s">
        <v>725</v>
      </c>
      <c r="C291" s="6" t="s">
        <v>159</v>
      </c>
      <c r="D291" s="18">
        <v>15.0</v>
      </c>
      <c r="E291" s="18">
        <v>12.0</v>
      </c>
      <c r="F291" s="18">
        <v>180.0</v>
      </c>
    </row>
    <row r="292">
      <c r="A292" s="6" t="s">
        <v>3157</v>
      </c>
      <c r="B292" s="6" t="s">
        <v>731</v>
      </c>
      <c r="C292" s="6" t="s">
        <v>1343</v>
      </c>
      <c r="D292" s="18">
        <v>25.0</v>
      </c>
      <c r="E292" s="18">
        <v>4.94</v>
      </c>
      <c r="F292" s="18">
        <v>123.50000000000001</v>
      </c>
    </row>
    <row r="293">
      <c r="A293" s="6" t="s">
        <v>3159</v>
      </c>
      <c r="B293" s="6" t="s">
        <v>731</v>
      </c>
      <c r="C293" s="6" t="s">
        <v>794</v>
      </c>
      <c r="D293" s="18">
        <v>1.0</v>
      </c>
      <c r="E293" s="18">
        <v>184.5</v>
      </c>
      <c r="F293" s="18">
        <v>184.5</v>
      </c>
    </row>
    <row r="294">
      <c r="A294" s="6" t="s">
        <v>3161</v>
      </c>
      <c r="B294" s="6" t="s">
        <v>731</v>
      </c>
      <c r="C294" s="6" t="s">
        <v>1346</v>
      </c>
      <c r="D294" s="18">
        <v>1.0</v>
      </c>
      <c r="E294" s="18">
        <v>78.64</v>
      </c>
      <c r="F294" s="18">
        <v>78.64</v>
      </c>
    </row>
    <row r="295">
      <c r="A295" s="6" t="s">
        <v>3165</v>
      </c>
      <c r="B295" s="6" t="s">
        <v>731</v>
      </c>
      <c r="C295" s="6" t="s">
        <v>249</v>
      </c>
      <c r="D295" s="18">
        <v>1.0</v>
      </c>
      <c r="E295" s="18">
        <v>567.84</v>
      </c>
      <c r="F295" s="18">
        <v>567.84</v>
      </c>
    </row>
    <row r="296">
      <c r="A296" s="6" t="s">
        <v>3166</v>
      </c>
      <c r="B296" s="6" t="s">
        <v>731</v>
      </c>
      <c r="C296" s="6" t="s">
        <v>1350</v>
      </c>
      <c r="D296" s="18">
        <v>1.0</v>
      </c>
      <c r="E296" s="18">
        <v>64.5</v>
      </c>
      <c r="F296" s="18">
        <v>64.5</v>
      </c>
    </row>
    <row r="297">
      <c r="A297" s="6" t="s">
        <v>3170</v>
      </c>
      <c r="B297" s="6" t="s">
        <v>739</v>
      </c>
      <c r="C297" s="18">
        <v>1.2539885E7</v>
      </c>
      <c r="D297" s="18">
        <v>1.0</v>
      </c>
      <c r="E297" s="18">
        <v>400.0</v>
      </c>
      <c r="F297" s="18">
        <v>400.0</v>
      </c>
    </row>
    <row r="298">
      <c r="A298" s="6" t="s">
        <v>3172</v>
      </c>
      <c r="B298" s="6" t="s">
        <v>745</v>
      </c>
      <c r="C298" s="6" t="s">
        <v>1239</v>
      </c>
      <c r="D298" s="18">
        <v>1.0</v>
      </c>
      <c r="E298" s="18">
        <v>559.51</v>
      </c>
      <c r="F298" s="18">
        <v>559.51</v>
      </c>
    </row>
    <row r="299">
      <c r="A299" s="6" t="s">
        <v>3175</v>
      </c>
      <c r="B299" s="6" t="s">
        <v>752</v>
      </c>
      <c r="C299" s="6" t="s">
        <v>226</v>
      </c>
      <c r="D299" s="18">
        <v>8.0</v>
      </c>
      <c r="E299" s="18">
        <v>6.5</v>
      </c>
      <c r="F299" s="18">
        <v>52.0</v>
      </c>
    </row>
    <row r="300">
      <c r="A300" s="6" t="s">
        <v>3177</v>
      </c>
      <c r="B300" s="6" t="s">
        <v>752</v>
      </c>
      <c r="C300" s="6" t="s">
        <v>152</v>
      </c>
      <c r="D300" s="18">
        <v>1.0</v>
      </c>
      <c r="E300" s="18">
        <v>15.6</v>
      </c>
      <c r="F300" s="18">
        <v>15.6</v>
      </c>
    </row>
    <row r="301">
      <c r="A301" s="6" t="s">
        <v>3182</v>
      </c>
      <c r="B301" s="6" t="s">
        <v>752</v>
      </c>
      <c r="C301" s="6" t="s">
        <v>230</v>
      </c>
      <c r="D301" s="18">
        <v>5.0</v>
      </c>
      <c r="E301" s="18">
        <v>23.0</v>
      </c>
      <c r="F301" s="18">
        <v>115.0</v>
      </c>
    </row>
    <row r="302">
      <c r="A302" s="6" t="s">
        <v>3183</v>
      </c>
      <c r="B302" s="6" t="s">
        <v>752</v>
      </c>
      <c r="C302" s="6" t="s">
        <v>155</v>
      </c>
      <c r="D302" s="18">
        <v>1.0</v>
      </c>
      <c r="E302" s="18">
        <v>39.1</v>
      </c>
      <c r="F302" s="18">
        <v>39.1</v>
      </c>
    </row>
    <row r="303">
      <c r="A303" s="6" t="s">
        <v>3185</v>
      </c>
      <c r="B303" s="6" t="s">
        <v>752</v>
      </c>
      <c r="C303" s="6" t="s">
        <v>159</v>
      </c>
      <c r="D303" s="18">
        <v>10.0</v>
      </c>
      <c r="E303" s="18">
        <v>12.0</v>
      </c>
      <c r="F303" s="18">
        <v>120.0</v>
      </c>
    </row>
    <row r="304">
      <c r="A304" s="6" t="s">
        <v>3190</v>
      </c>
      <c r="B304" s="6" t="s">
        <v>757</v>
      </c>
      <c r="C304" s="6" t="s">
        <v>305</v>
      </c>
      <c r="D304" s="18">
        <v>1.0</v>
      </c>
      <c r="E304" s="18">
        <v>116.62</v>
      </c>
      <c r="F304" s="18">
        <v>116.62</v>
      </c>
    </row>
    <row r="305">
      <c r="A305" s="6" t="s">
        <v>3193</v>
      </c>
      <c r="B305" s="6" t="s">
        <v>762</v>
      </c>
      <c r="C305" s="6" t="s">
        <v>1073</v>
      </c>
      <c r="D305" s="18">
        <v>2.0</v>
      </c>
      <c r="E305" s="18">
        <v>18.24</v>
      </c>
      <c r="F305" s="18">
        <v>36.48</v>
      </c>
    </row>
    <row r="306">
      <c r="A306" s="6" t="s">
        <v>3195</v>
      </c>
      <c r="B306" s="6" t="s">
        <v>762</v>
      </c>
      <c r="C306" s="6" t="s">
        <v>1384</v>
      </c>
      <c r="D306" s="18">
        <v>1.0</v>
      </c>
      <c r="E306" s="18">
        <v>17.7</v>
      </c>
      <c r="F306" s="18">
        <v>17.7</v>
      </c>
    </row>
    <row r="307">
      <c r="A307" s="6" t="s">
        <v>3199</v>
      </c>
      <c r="B307" s="6" t="s">
        <v>762</v>
      </c>
      <c r="C307" s="6" t="s">
        <v>1074</v>
      </c>
      <c r="D307" s="18">
        <v>2.0</v>
      </c>
      <c r="E307" s="18">
        <v>34.0</v>
      </c>
      <c r="F307" s="18">
        <v>68.0</v>
      </c>
    </row>
    <row r="308">
      <c r="A308" s="6" t="s">
        <v>3201</v>
      </c>
      <c r="B308" s="6" t="s">
        <v>762</v>
      </c>
      <c r="C308" s="6" t="s">
        <v>1387</v>
      </c>
      <c r="D308" s="18">
        <v>1.0</v>
      </c>
      <c r="E308" s="18">
        <v>42.0</v>
      </c>
      <c r="F308" s="18">
        <v>42.0</v>
      </c>
    </row>
    <row r="309">
      <c r="A309" s="6" t="s">
        <v>3206</v>
      </c>
      <c r="B309" s="6" t="s">
        <v>762</v>
      </c>
      <c r="C309" s="6" t="s">
        <v>1075</v>
      </c>
      <c r="D309" s="18">
        <v>2.0</v>
      </c>
      <c r="E309" s="18">
        <v>17.5</v>
      </c>
      <c r="F309" s="18">
        <v>35.0</v>
      </c>
    </row>
    <row r="310">
      <c r="A310" s="6" t="s">
        <v>3209</v>
      </c>
      <c r="B310" s="6" t="s">
        <v>762</v>
      </c>
      <c r="C310" s="6" t="s">
        <v>1077</v>
      </c>
      <c r="D310" s="18">
        <v>3.0</v>
      </c>
      <c r="E310" s="18">
        <v>24.0</v>
      </c>
      <c r="F310" s="18">
        <v>72.0</v>
      </c>
    </row>
    <row r="311">
      <c r="A311" s="6" t="s">
        <v>3213</v>
      </c>
      <c r="B311" s="6" t="s">
        <v>762</v>
      </c>
      <c r="C311" s="6" t="s">
        <v>1079</v>
      </c>
      <c r="D311" s="18">
        <v>5.0</v>
      </c>
      <c r="E311" s="18">
        <v>15.0</v>
      </c>
      <c r="F311" s="18">
        <v>75.0</v>
      </c>
    </row>
    <row r="312">
      <c r="A312" s="6" t="s">
        <v>3216</v>
      </c>
      <c r="B312" s="6" t="s">
        <v>762</v>
      </c>
      <c r="C312" s="6" t="s">
        <v>1085</v>
      </c>
      <c r="D312" s="18">
        <v>3.0</v>
      </c>
      <c r="E312" s="18">
        <v>34.0</v>
      </c>
      <c r="F312" s="18">
        <v>102.0</v>
      </c>
    </row>
    <row r="313">
      <c r="A313" s="6" t="s">
        <v>3219</v>
      </c>
      <c r="B313" s="6" t="s">
        <v>768</v>
      </c>
      <c r="C313" s="6" t="s">
        <v>1145</v>
      </c>
      <c r="D313" s="18">
        <v>1.0</v>
      </c>
      <c r="E313" s="18">
        <v>1550.5</v>
      </c>
      <c r="F313" s="18">
        <v>1550.5</v>
      </c>
    </row>
    <row r="314">
      <c r="A314" s="6" t="s">
        <v>3221</v>
      </c>
      <c r="B314" s="6" t="s">
        <v>768</v>
      </c>
      <c r="C314" s="6" t="s">
        <v>1394</v>
      </c>
      <c r="D314" s="18">
        <v>1.0</v>
      </c>
      <c r="E314" s="18">
        <v>1550.59</v>
      </c>
      <c r="F314" s="18">
        <v>1550.59</v>
      </c>
    </row>
    <row r="315">
      <c r="A315" s="6" t="s">
        <v>3223</v>
      </c>
      <c r="B315" s="6" t="s">
        <v>773</v>
      </c>
      <c r="C315" s="18">
        <v>1.2539885E7</v>
      </c>
      <c r="D315" s="18">
        <v>1.0</v>
      </c>
      <c r="E315" s="18">
        <v>300.0</v>
      </c>
      <c r="F315" s="18">
        <v>300.0</v>
      </c>
    </row>
    <row r="316">
      <c r="A316" s="6" t="s">
        <v>3224</v>
      </c>
      <c r="B316" s="6" t="s">
        <v>778</v>
      </c>
      <c r="C316" s="6" t="s">
        <v>1073</v>
      </c>
      <c r="D316" s="18">
        <v>4.0</v>
      </c>
      <c r="E316" s="18">
        <v>18.34</v>
      </c>
      <c r="F316" s="18">
        <v>73.36</v>
      </c>
    </row>
    <row r="317">
      <c r="A317" s="6" t="s">
        <v>3228</v>
      </c>
      <c r="B317" s="6" t="s">
        <v>778</v>
      </c>
      <c r="C317" s="6" t="s">
        <v>1384</v>
      </c>
      <c r="D317" s="18">
        <v>1.0</v>
      </c>
      <c r="E317" s="18">
        <v>25.6</v>
      </c>
      <c r="F317" s="18">
        <v>25.6</v>
      </c>
    </row>
    <row r="318">
      <c r="A318" s="6" t="s">
        <v>3231</v>
      </c>
      <c r="B318" s="6" t="s">
        <v>778</v>
      </c>
      <c r="C318" s="6" t="s">
        <v>1404</v>
      </c>
      <c r="D318" s="18">
        <v>1.0</v>
      </c>
      <c r="E318" s="18">
        <v>16.0</v>
      </c>
      <c r="F318" s="18">
        <v>16.0</v>
      </c>
    </row>
    <row r="319">
      <c r="A319" s="6" t="s">
        <v>3233</v>
      </c>
      <c r="B319" s="6" t="s">
        <v>778</v>
      </c>
      <c r="C319" s="6" t="s">
        <v>1074</v>
      </c>
      <c r="D319" s="18">
        <v>7.0</v>
      </c>
      <c r="E319" s="18">
        <v>34.0</v>
      </c>
      <c r="F319" s="18">
        <v>238.0</v>
      </c>
    </row>
    <row r="320">
      <c r="A320" s="6" t="s">
        <v>3236</v>
      </c>
      <c r="B320" s="6" t="s">
        <v>778</v>
      </c>
      <c r="C320" s="6" t="s">
        <v>1075</v>
      </c>
      <c r="D320" s="18">
        <v>4.0</v>
      </c>
      <c r="E320" s="18">
        <v>17.0</v>
      </c>
      <c r="F320" s="18">
        <v>68.0</v>
      </c>
    </row>
    <row r="321">
      <c r="A321" s="6" t="s">
        <v>3237</v>
      </c>
      <c r="B321" s="6" t="s">
        <v>778</v>
      </c>
      <c r="C321" s="6" t="s">
        <v>1077</v>
      </c>
      <c r="D321" s="18">
        <v>4.0</v>
      </c>
      <c r="E321" s="18">
        <v>24.0</v>
      </c>
      <c r="F321" s="18">
        <v>96.0</v>
      </c>
    </row>
    <row r="322">
      <c r="A322" s="6" t="s">
        <v>3240</v>
      </c>
      <c r="B322" s="6" t="s">
        <v>778</v>
      </c>
      <c r="C322" s="6" t="s">
        <v>1079</v>
      </c>
      <c r="D322" s="18">
        <v>40.0</v>
      </c>
      <c r="E322" s="18">
        <v>15.0</v>
      </c>
      <c r="F322" s="18">
        <v>600.0</v>
      </c>
    </row>
    <row r="323">
      <c r="A323" s="6" t="s">
        <v>3242</v>
      </c>
      <c r="B323" s="6" t="s">
        <v>778</v>
      </c>
      <c r="C323" s="6" t="s">
        <v>1081</v>
      </c>
      <c r="D323" s="18">
        <v>2.0</v>
      </c>
      <c r="E323" s="18">
        <v>45.0</v>
      </c>
      <c r="F323" s="18">
        <v>90.0</v>
      </c>
    </row>
    <row r="324">
      <c r="A324" s="6" t="s">
        <v>3244</v>
      </c>
      <c r="B324" s="6" t="s">
        <v>778</v>
      </c>
      <c r="C324" s="6" t="s">
        <v>1074</v>
      </c>
      <c r="D324" s="18">
        <v>10.0</v>
      </c>
      <c r="E324" s="18">
        <v>34.0</v>
      </c>
      <c r="F324" s="18">
        <v>340.0</v>
      </c>
    </row>
    <row r="325">
      <c r="A325" s="6" t="s">
        <v>3247</v>
      </c>
      <c r="B325" s="6" t="s">
        <v>787</v>
      </c>
      <c r="C325" s="6" t="s">
        <v>226</v>
      </c>
      <c r="D325" s="18">
        <v>9.0</v>
      </c>
      <c r="E325" s="18">
        <v>7.0</v>
      </c>
      <c r="F325" s="18">
        <v>63.0</v>
      </c>
    </row>
    <row r="326">
      <c r="A326" s="6" t="s">
        <v>3248</v>
      </c>
      <c r="B326" s="6" t="s">
        <v>787</v>
      </c>
      <c r="C326" s="6" t="s">
        <v>152</v>
      </c>
      <c r="D326" s="18">
        <v>1.0</v>
      </c>
      <c r="E326" s="18">
        <v>13.08</v>
      </c>
      <c r="F326" s="18">
        <v>13.08</v>
      </c>
    </row>
    <row r="327">
      <c r="A327" s="6" t="s">
        <v>3252</v>
      </c>
      <c r="B327" s="6" t="s">
        <v>787</v>
      </c>
      <c r="C327" s="6" t="s">
        <v>230</v>
      </c>
      <c r="D327" s="18">
        <v>1.0</v>
      </c>
      <c r="E327" s="18">
        <v>122.4</v>
      </c>
      <c r="F327" s="18">
        <v>122.4</v>
      </c>
    </row>
    <row r="328">
      <c r="A328" s="6" t="s">
        <v>3253</v>
      </c>
      <c r="B328" s="6" t="s">
        <v>787</v>
      </c>
      <c r="C328" s="6" t="s">
        <v>159</v>
      </c>
      <c r="D328" s="18">
        <v>12.0</v>
      </c>
      <c r="E328" s="18">
        <v>13.0</v>
      </c>
      <c r="F328" s="18">
        <v>156.0</v>
      </c>
    </row>
    <row r="329">
      <c r="A329" s="6" t="s">
        <v>3254</v>
      </c>
      <c r="B329" s="6" t="s">
        <v>795</v>
      </c>
      <c r="C329" s="6" t="s">
        <v>238</v>
      </c>
      <c r="D329" s="18">
        <v>36.0</v>
      </c>
      <c r="E329" s="18">
        <v>5.4</v>
      </c>
      <c r="F329" s="18">
        <v>194.4</v>
      </c>
    </row>
    <row r="330">
      <c r="A330" s="6" t="s">
        <v>3256</v>
      </c>
      <c r="B330" s="6" t="s">
        <v>806</v>
      </c>
      <c r="C330" s="6" t="s">
        <v>1425</v>
      </c>
      <c r="D330" s="18">
        <v>20.0</v>
      </c>
      <c r="E330" s="18">
        <v>12.36</v>
      </c>
      <c r="F330" s="18">
        <v>247.2</v>
      </c>
    </row>
    <row r="331">
      <c r="A331" s="6" t="s">
        <v>3259</v>
      </c>
      <c r="B331" s="6" t="s">
        <v>806</v>
      </c>
      <c r="C331" s="6" t="s">
        <v>1426</v>
      </c>
      <c r="D331" s="18">
        <v>2.0</v>
      </c>
      <c r="E331" s="18">
        <v>32.4</v>
      </c>
      <c r="F331" s="18">
        <v>64.8</v>
      </c>
    </row>
    <row r="332">
      <c r="A332" s="6" t="s">
        <v>3260</v>
      </c>
      <c r="B332" s="6" t="s">
        <v>806</v>
      </c>
      <c r="C332" s="6" t="s">
        <v>1427</v>
      </c>
      <c r="D332" s="18">
        <v>2.0</v>
      </c>
      <c r="E332" s="18">
        <v>32.4</v>
      </c>
      <c r="F332" s="18">
        <v>64.8</v>
      </c>
    </row>
    <row r="333">
      <c r="A333" s="6" t="s">
        <v>3263</v>
      </c>
      <c r="B333" s="6" t="s">
        <v>806</v>
      </c>
      <c r="C333" s="6" t="s">
        <v>338</v>
      </c>
      <c r="D333" s="18">
        <v>9.0</v>
      </c>
      <c r="E333" s="18">
        <v>7.95</v>
      </c>
      <c r="F333" s="18">
        <v>71.55</v>
      </c>
    </row>
    <row r="334">
      <c r="A334" s="6" t="s">
        <v>3265</v>
      </c>
      <c r="B334" s="6" t="s">
        <v>814</v>
      </c>
      <c r="C334" s="6" t="s">
        <v>1434</v>
      </c>
      <c r="D334" s="18">
        <v>1.0</v>
      </c>
      <c r="E334" s="18">
        <v>204.0</v>
      </c>
      <c r="F334" s="18">
        <v>204.0</v>
      </c>
    </row>
    <row r="335">
      <c r="A335" s="6" t="s">
        <v>3268</v>
      </c>
      <c r="B335" s="6" t="s">
        <v>819</v>
      </c>
      <c r="C335" s="18">
        <v>1.2539885E7</v>
      </c>
      <c r="D335" s="18">
        <v>1.0</v>
      </c>
      <c r="E335" s="18">
        <v>200.0</v>
      </c>
      <c r="F335" s="18">
        <v>200.0</v>
      </c>
    </row>
    <row r="336">
      <c r="A336" s="6" t="s">
        <v>3271</v>
      </c>
      <c r="B336" s="6" t="s">
        <v>824</v>
      </c>
      <c r="C336" s="18">
        <v>1.2539885E7</v>
      </c>
      <c r="D336" s="18">
        <v>1.0</v>
      </c>
      <c r="E336" s="18">
        <v>380.0</v>
      </c>
      <c r="F336" s="18">
        <v>380.0</v>
      </c>
    </row>
    <row r="337">
      <c r="A337" s="6" t="s">
        <v>3273</v>
      </c>
      <c r="B337" s="6" t="s">
        <v>833</v>
      </c>
      <c r="C337" s="6" t="s">
        <v>1022</v>
      </c>
      <c r="D337" s="18">
        <v>1.0</v>
      </c>
      <c r="E337" s="18">
        <v>50.0</v>
      </c>
      <c r="F337" s="18">
        <v>50.0</v>
      </c>
    </row>
    <row r="338">
      <c r="A338" s="6" t="s">
        <v>3276</v>
      </c>
      <c r="B338" s="6" t="s">
        <v>838</v>
      </c>
      <c r="C338" s="6" t="s">
        <v>1022</v>
      </c>
      <c r="D338" s="18">
        <v>1.0</v>
      </c>
      <c r="E338" s="18">
        <v>25.0</v>
      </c>
      <c r="F338" s="18">
        <v>25.0</v>
      </c>
    </row>
    <row r="339">
      <c r="A339" s="6" t="s">
        <v>3277</v>
      </c>
      <c r="B339" s="6" t="s">
        <v>844</v>
      </c>
      <c r="C339" s="18">
        <v>1.2539885E7</v>
      </c>
      <c r="D339" s="18">
        <v>1.0</v>
      </c>
      <c r="E339" s="18">
        <v>200.0</v>
      </c>
      <c r="F339" s="18">
        <v>200.0</v>
      </c>
    </row>
    <row r="340">
      <c r="A340" s="6" t="s">
        <v>3280</v>
      </c>
      <c r="B340" s="6" t="s">
        <v>850</v>
      </c>
      <c r="C340" s="6" t="s">
        <v>226</v>
      </c>
      <c r="D340" s="18">
        <v>5.0</v>
      </c>
      <c r="E340" s="18">
        <v>7.3</v>
      </c>
      <c r="F340" s="18">
        <v>36.5</v>
      </c>
    </row>
    <row r="341">
      <c r="A341" s="6" t="s">
        <v>3282</v>
      </c>
      <c r="B341" s="6" t="s">
        <v>850</v>
      </c>
      <c r="C341" s="6" t="s">
        <v>230</v>
      </c>
      <c r="D341" s="18">
        <v>1.0</v>
      </c>
      <c r="E341" s="18">
        <v>123.24</v>
      </c>
      <c r="F341" s="18">
        <v>123.24</v>
      </c>
    </row>
    <row r="342">
      <c r="A342" s="6" t="s">
        <v>3285</v>
      </c>
      <c r="B342" s="6" t="s">
        <v>850</v>
      </c>
      <c r="C342" s="6" t="s">
        <v>155</v>
      </c>
      <c r="D342" s="18">
        <v>1.0</v>
      </c>
      <c r="E342" s="18">
        <v>42.74</v>
      </c>
      <c r="F342" s="18">
        <v>42.74</v>
      </c>
    </row>
    <row r="343">
      <c r="A343" s="6" t="s">
        <v>3287</v>
      </c>
      <c r="B343" s="6" t="s">
        <v>850</v>
      </c>
      <c r="C343" s="6" t="s">
        <v>159</v>
      </c>
      <c r="D343" s="18">
        <v>10.0</v>
      </c>
      <c r="E343" s="18">
        <v>13.0</v>
      </c>
      <c r="F343" s="18">
        <v>130.0</v>
      </c>
    </row>
    <row r="344">
      <c r="A344" s="6" t="s">
        <v>3289</v>
      </c>
      <c r="B344" s="6" t="s">
        <v>856</v>
      </c>
      <c r="C344" s="6" t="s">
        <v>1478</v>
      </c>
      <c r="D344" s="18">
        <v>1.0</v>
      </c>
      <c r="E344" s="18">
        <v>658.96</v>
      </c>
      <c r="F344" s="18">
        <v>658.96</v>
      </c>
    </row>
    <row r="345">
      <c r="A345" s="6" t="s">
        <v>3292</v>
      </c>
      <c r="B345" s="6" t="s">
        <v>864</v>
      </c>
      <c r="C345" s="6" t="s">
        <v>226</v>
      </c>
      <c r="D345" s="18">
        <v>5.0</v>
      </c>
      <c r="E345" s="18">
        <v>8.0</v>
      </c>
      <c r="F345" s="18">
        <v>40.0</v>
      </c>
    </row>
    <row r="346">
      <c r="A346" s="6" t="s">
        <v>3293</v>
      </c>
      <c r="B346" s="6" t="s">
        <v>864</v>
      </c>
      <c r="C346" s="6" t="s">
        <v>152</v>
      </c>
      <c r="D346" s="18">
        <v>1.0</v>
      </c>
      <c r="E346" s="18">
        <v>17.2</v>
      </c>
      <c r="F346" s="18">
        <v>17.2</v>
      </c>
    </row>
    <row r="347">
      <c r="A347" s="6" t="s">
        <v>3296</v>
      </c>
      <c r="B347" s="6" t="s">
        <v>864</v>
      </c>
      <c r="C347" s="6" t="s">
        <v>230</v>
      </c>
      <c r="D347" s="18">
        <v>1.0</v>
      </c>
      <c r="E347" s="18">
        <v>122.4</v>
      </c>
      <c r="F347" s="18">
        <v>122.4</v>
      </c>
    </row>
    <row r="348">
      <c r="A348" s="6" t="s">
        <v>3298</v>
      </c>
      <c r="B348" s="6" t="s">
        <v>864</v>
      </c>
      <c r="C348" s="6" t="s">
        <v>155</v>
      </c>
      <c r="D348" s="18">
        <v>1.0</v>
      </c>
      <c r="E348" s="18">
        <v>27.8</v>
      </c>
      <c r="F348" s="18">
        <v>27.8</v>
      </c>
    </row>
    <row r="349">
      <c r="A349" s="6" t="s">
        <v>3300</v>
      </c>
      <c r="B349" s="6" t="s">
        <v>870</v>
      </c>
      <c r="C349" s="6" t="s">
        <v>226</v>
      </c>
      <c r="D349" s="18">
        <v>5.0</v>
      </c>
      <c r="E349" s="18">
        <v>8.0</v>
      </c>
      <c r="F349" s="18">
        <v>40.0</v>
      </c>
    </row>
    <row r="350">
      <c r="A350" s="6" t="s">
        <v>3301</v>
      </c>
      <c r="B350" s="6" t="s">
        <v>870</v>
      </c>
      <c r="C350" s="6" t="s">
        <v>152</v>
      </c>
      <c r="D350" s="18">
        <v>1.0</v>
      </c>
      <c r="E350" s="18">
        <v>15.48</v>
      </c>
      <c r="F350" s="18">
        <v>15.48</v>
      </c>
    </row>
    <row r="351">
      <c r="A351" s="6" t="s">
        <v>3303</v>
      </c>
      <c r="B351" s="6" t="s">
        <v>870</v>
      </c>
      <c r="C351" s="6" t="s">
        <v>230</v>
      </c>
      <c r="D351" s="18">
        <v>1.0</v>
      </c>
      <c r="E351" s="18">
        <v>151.2</v>
      </c>
      <c r="F351" s="18">
        <v>151.2</v>
      </c>
    </row>
    <row r="352">
      <c r="A352" s="6" t="s">
        <v>3305</v>
      </c>
      <c r="B352" s="6" t="s">
        <v>870</v>
      </c>
      <c r="C352" s="6" t="s">
        <v>155</v>
      </c>
      <c r="D352" s="18">
        <v>1.0</v>
      </c>
      <c r="E352" s="18">
        <v>57.26</v>
      </c>
      <c r="F352" s="18">
        <v>57.26</v>
      </c>
    </row>
    <row r="353">
      <c r="A353" s="6" t="s">
        <v>3308</v>
      </c>
      <c r="B353" s="6" t="s">
        <v>870</v>
      </c>
      <c r="C353" s="6" t="s">
        <v>159</v>
      </c>
      <c r="D353" s="18">
        <v>12.0</v>
      </c>
      <c r="E353" s="18">
        <v>14.0</v>
      </c>
      <c r="F353" s="18">
        <v>168.0</v>
      </c>
    </row>
    <row r="354">
      <c r="A354" s="6" t="s">
        <v>3310</v>
      </c>
      <c r="B354" s="6" t="s">
        <v>880</v>
      </c>
      <c r="C354" s="6" t="s">
        <v>1022</v>
      </c>
      <c r="D354" s="18">
        <v>1.0</v>
      </c>
      <c r="E354" s="18">
        <v>200.0</v>
      </c>
      <c r="F354" s="18">
        <v>200.0</v>
      </c>
    </row>
    <row r="355">
      <c r="A355" s="6" t="s">
        <v>3313</v>
      </c>
      <c r="B355" s="6" t="s">
        <v>888</v>
      </c>
      <c r="C355" s="6" t="s">
        <v>1510</v>
      </c>
      <c r="D355" s="18">
        <v>1.0</v>
      </c>
      <c r="E355" s="18">
        <v>14405.48</v>
      </c>
      <c r="F355" s="18">
        <v>14405.48</v>
      </c>
    </row>
    <row r="356">
      <c r="A356" s="6" t="s">
        <v>3317</v>
      </c>
      <c r="B356" s="6" t="s">
        <v>895</v>
      </c>
      <c r="C356" s="6" t="s">
        <v>1517</v>
      </c>
      <c r="D356" s="18">
        <v>1.0</v>
      </c>
      <c r="E356" s="18">
        <v>11251.78</v>
      </c>
      <c r="F356" s="18">
        <v>11251.78</v>
      </c>
    </row>
    <row r="357">
      <c r="A357" s="6" t="s">
        <v>3321</v>
      </c>
      <c r="B357" s="6" t="s">
        <v>902</v>
      </c>
      <c r="C357" s="6" t="s">
        <v>1517</v>
      </c>
      <c r="D357" s="18">
        <v>1.0</v>
      </c>
      <c r="E357" s="18">
        <v>10983.67</v>
      </c>
      <c r="F357" s="18">
        <v>10983.67</v>
      </c>
    </row>
    <row r="358">
      <c r="A358" s="6" t="s">
        <v>3323</v>
      </c>
      <c r="B358" s="6" t="s">
        <v>909</v>
      </c>
      <c r="C358" s="6" t="s">
        <v>1510</v>
      </c>
      <c r="D358" s="18">
        <v>1.0</v>
      </c>
      <c r="E358" s="18">
        <v>26388.57</v>
      </c>
      <c r="F358" s="18">
        <v>26388.57</v>
      </c>
    </row>
    <row r="359">
      <c r="A359" s="6" t="s">
        <v>3326</v>
      </c>
      <c r="B359" s="6" t="s">
        <v>915</v>
      </c>
      <c r="C359" s="18">
        <v>1.2539885E7</v>
      </c>
      <c r="D359" s="18">
        <v>1.0</v>
      </c>
      <c r="E359" s="18">
        <v>180.0</v>
      </c>
      <c r="F359" s="18">
        <v>180.0</v>
      </c>
    </row>
    <row r="360">
      <c r="A360" s="6" t="s">
        <v>3331</v>
      </c>
      <c r="B360" s="6" t="s">
        <v>923</v>
      </c>
      <c r="C360" s="6" t="s">
        <v>1536</v>
      </c>
      <c r="D360" s="18">
        <v>1.0</v>
      </c>
      <c r="E360" s="18">
        <v>60.0</v>
      </c>
      <c r="F360" s="18">
        <v>60.0</v>
      </c>
    </row>
    <row r="361">
      <c r="A361" s="6" t="s">
        <v>3334</v>
      </c>
      <c r="B361" s="6" t="s">
        <v>929</v>
      </c>
      <c r="C361" s="6" t="s">
        <v>1126</v>
      </c>
      <c r="D361" s="18">
        <v>1.0</v>
      </c>
      <c r="E361" s="18">
        <v>30.0</v>
      </c>
      <c r="F361" s="18">
        <v>30.0</v>
      </c>
    </row>
    <row r="362">
      <c r="A362" s="6" t="s">
        <v>3336</v>
      </c>
      <c r="B362" s="6" t="s">
        <v>934</v>
      </c>
      <c r="C362" s="6" t="s">
        <v>1168</v>
      </c>
      <c r="D362" s="18">
        <v>1.0</v>
      </c>
      <c r="E362" s="18">
        <v>200.0</v>
      </c>
      <c r="F362" s="18">
        <v>200.0</v>
      </c>
    </row>
    <row r="363">
      <c r="A363" s="6" t="s">
        <v>3340</v>
      </c>
      <c r="B363" s="6" t="s">
        <v>939</v>
      </c>
      <c r="C363" s="6" t="s">
        <v>1552</v>
      </c>
      <c r="D363" s="18">
        <v>1.0</v>
      </c>
      <c r="E363" s="18">
        <v>156.0</v>
      </c>
      <c r="F363" s="18">
        <v>156.0</v>
      </c>
    </row>
    <row r="364">
      <c r="A364" s="6" t="s">
        <v>3342</v>
      </c>
      <c r="B364" s="6" t="s">
        <v>945</v>
      </c>
      <c r="C364" s="6" t="s">
        <v>159</v>
      </c>
      <c r="D364" s="18">
        <v>12.0</v>
      </c>
      <c r="E364" s="18">
        <v>14.0</v>
      </c>
      <c r="F364" s="18">
        <v>168.0</v>
      </c>
    </row>
    <row r="365">
      <c r="A365" s="6" t="s">
        <v>3345</v>
      </c>
      <c r="B365" s="6" t="s">
        <v>945</v>
      </c>
      <c r="C365" s="6" t="s">
        <v>155</v>
      </c>
      <c r="D365" s="18">
        <v>1.0</v>
      </c>
      <c r="E365" s="18">
        <v>57.26</v>
      </c>
      <c r="F365" s="18">
        <v>57.26</v>
      </c>
    </row>
    <row r="366">
      <c r="A366" s="6" t="s">
        <v>3347</v>
      </c>
      <c r="B366" s="6" t="s">
        <v>945</v>
      </c>
      <c r="C366" s="6" t="s">
        <v>230</v>
      </c>
      <c r="D366" s="18">
        <v>1.0</v>
      </c>
      <c r="E366" s="18">
        <v>151.2</v>
      </c>
      <c r="F366" s="18">
        <v>151.2</v>
      </c>
    </row>
    <row r="367">
      <c r="A367" s="6" t="s">
        <v>3350</v>
      </c>
      <c r="B367" s="6" t="s">
        <v>945</v>
      </c>
      <c r="C367" s="6" t="s">
        <v>152</v>
      </c>
      <c r="D367" s="18">
        <v>1.0</v>
      </c>
      <c r="E367" s="18">
        <v>15.48</v>
      </c>
      <c r="F367" s="18">
        <v>15.48</v>
      </c>
    </row>
    <row r="368">
      <c r="A368" s="6" t="s">
        <v>3352</v>
      </c>
      <c r="B368" s="6" t="s">
        <v>945</v>
      </c>
      <c r="C368" s="6" t="s">
        <v>226</v>
      </c>
      <c r="D368" s="18">
        <v>5.0</v>
      </c>
      <c r="E368" s="18">
        <v>8.0</v>
      </c>
      <c r="F368" s="18">
        <v>40.0</v>
      </c>
    </row>
    <row r="369">
      <c r="A369" s="6" t="s">
        <v>3358</v>
      </c>
      <c r="B369" s="6" t="s">
        <v>951</v>
      </c>
      <c r="C369" s="6" t="s">
        <v>226</v>
      </c>
      <c r="D369" s="18">
        <v>3.0</v>
      </c>
      <c r="E369" s="18">
        <v>8.0</v>
      </c>
      <c r="F369" s="18">
        <v>24.0</v>
      </c>
    </row>
    <row r="370">
      <c r="A370" s="6" t="s">
        <v>3361</v>
      </c>
      <c r="B370" s="6" t="s">
        <v>951</v>
      </c>
      <c r="C370" s="6" t="s">
        <v>230</v>
      </c>
      <c r="D370" s="18">
        <v>1.0</v>
      </c>
      <c r="E370" s="18">
        <v>92.0</v>
      </c>
      <c r="F370" s="18">
        <v>92.0</v>
      </c>
    </row>
    <row r="371">
      <c r="A371" s="6" t="s">
        <v>3363</v>
      </c>
      <c r="B371" s="6" t="s">
        <v>951</v>
      </c>
      <c r="C371" s="6" t="s">
        <v>155</v>
      </c>
      <c r="D371" s="18">
        <v>1.0</v>
      </c>
      <c r="E371" s="18">
        <v>39.2</v>
      </c>
      <c r="F371" s="18">
        <v>39.2</v>
      </c>
    </row>
    <row r="372">
      <c r="A372" s="6" t="s">
        <v>3366</v>
      </c>
      <c r="B372" s="6" t="s">
        <v>956</v>
      </c>
      <c r="C372" s="6" t="s">
        <v>717</v>
      </c>
      <c r="D372" s="18">
        <v>1.0</v>
      </c>
      <c r="E372" s="18">
        <v>20.0</v>
      </c>
      <c r="F372" s="18">
        <v>20.0</v>
      </c>
    </row>
    <row r="373">
      <c r="A373" s="6" t="s">
        <v>3370</v>
      </c>
      <c r="B373" s="6" t="s">
        <v>962</v>
      </c>
      <c r="C373" s="6" t="s">
        <v>230</v>
      </c>
      <c r="D373" s="18">
        <v>5.0</v>
      </c>
      <c r="E373" s="18">
        <v>24.0</v>
      </c>
      <c r="F373" s="18">
        <v>120.0</v>
      </c>
    </row>
    <row r="374">
      <c r="A374" s="6" t="s">
        <v>3372</v>
      </c>
      <c r="B374" s="6" t="s">
        <v>962</v>
      </c>
      <c r="C374" s="6" t="s">
        <v>152</v>
      </c>
      <c r="D374" s="18">
        <v>1.0</v>
      </c>
      <c r="E374" s="18">
        <v>13.2</v>
      </c>
      <c r="F374" s="18">
        <v>13.2</v>
      </c>
    </row>
    <row r="375">
      <c r="A375" s="6" t="s">
        <v>3376</v>
      </c>
      <c r="B375" s="6" t="s">
        <v>962</v>
      </c>
      <c r="C375" s="6" t="s">
        <v>226</v>
      </c>
      <c r="D375" s="18">
        <v>5.0</v>
      </c>
      <c r="E375" s="18">
        <v>8.0</v>
      </c>
      <c r="F375" s="18">
        <v>40.0</v>
      </c>
    </row>
    <row r="376">
      <c r="A376" s="6" t="s">
        <v>3380</v>
      </c>
      <c r="B376" s="6" t="s">
        <v>969</v>
      </c>
      <c r="C376" s="6" t="s">
        <v>1073</v>
      </c>
      <c r="D376" s="18">
        <v>1.0</v>
      </c>
      <c r="E376" s="18">
        <v>35.3</v>
      </c>
      <c r="F376" s="18">
        <v>35.3</v>
      </c>
    </row>
    <row r="377">
      <c r="A377" s="6" t="s">
        <v>3381</v>
      </c>
      <c r="B377" s="6" t="s">
        <v>969</v>
      </c>
      <c r="C377" s="6" t="s">
        <v>1404</v>
      </c>
      <c r="D377" s="18">
        <v>2.0</v>
      </c>
      <c r="E377" s="18">
        <v>16.0</v>
      </c>
      <c r="F377" s="18">
        <v>32.0</v>
      </c>
    </row>
    <row r="378">
      <c r="A378" s="6" t="s">
        <v>3384</v>
      </c>
      <c r="B378" s="6" t="s">
        <v>969</v>
      </c>
      <c r="C378" s="6" t="s">
        <v>1074</v>
      </c>
      <c r="D378" s="18">
        <v>7.0</v>
      </c>
      <c r="E378" s="18">
        <v>32.0</v>
      </c>
      <c r="F378" s="18">
        <v>224.0</v>
      </c>
    </row>
    <row r="379">
      <c r="A379" s="6" t="s">
        <v>3386</v>
      </c>
      <c r="B379" s="6" t="s">
        <v>969</v>
      </c>
      <c r="C379" s="6" t="s">
        <v>1075</v>
      </c>
      <c r="D379" s="18">
        <v>4.0</v>
      </c>
      <c r="E379" s="18">
        <v>17.0</v>
      </c>
      <c r="F379" s="18">
        <v>68.0</v>
      </c>
    </row>
    <row r="380">
      <c r="A380" s="6" t="s">
        <v>3387</v>
      </c>
      <c r="B380" s="6" t="s">
        <v>969</v>
      </c>
      <c r="C380" s="6" t="s">
        <v>1079</v>
      </c>
      <c r="D380" s="18">
        <v>20.0</v>
      </c>
      <c r="E380" s="18">
        <v>16.2</v>
      </c>
      <c r="F380" s="18">
        <v>324.0</v>
      </c>
    </row>
    <row r="381">
      <c r="A381" s="6" t="s">
        <v>3388</v>
      </c>
      <c r="B381" s="6" t="s">
        <v>969</v>
      </c>
      <c r="C381" s="6" t="s">
        <v>1080</v>
      </c>
      <c r="D381" s="18">
        <v>7.0</v>
      </c>
      <c r="E381" s="18">
        <v>16.3</v>
      </c>
      <c r="F381" s="18">
        <v>114.1</v>
      </c>
    </row>
    <row r="382">
      <c r="A382" s="6" t="s">
        <v>3390</v>
      </c>
      <c r="B382" s="6" t="s">
        <v>969</v>
      </c>
      <c r="C382" s="6" t="s">
        <v>1081</v>
      </c>
      <c r="D382" s="18">
        <v>2.0</v>
      </c>
      <c r="E382" s="18">
        <v>45.0</v>
      </c>
      <c r="F382" s="18">
        <v>90.0</v>
      </c>
    </row>
    <row r="383">
      <c r="A383" s="6" t="s">
        <v>3393</v>
      </c>
      <c r="B383" s="6" t="s">
        <v>969</v>
      </c>
      <c r="C383" s="6" t="s">
        <v>1083</v>
      </c>
      <c r="D383" s="18">
        <v>2.0</v>
      </c>
      <c r="E383" s="18">
        <v>16.0</v>
      </c>
      <c r="F383" s="18">
        <v>32.0</v>
      </c>
    </row>
    <row r="384">
      <c r="A384" s="6" t="s">
        <v>3398</v>
      </c>
      <c r="B384" s="6" t="s">
        <v>969</v>
      </c>
      <c r="C384" s="6" t="s">
        <v>1085</v>
      </c>
      <c r="D384" s="18">
        <v>2.0</v>
      </c>
      <c r="E384" s="18">
        <v>34.0</v>
      </c>
      <c r="F384" s="18">
        <v>68.0</v>
      </c>
    </row>
    <row r="385">
      <c r="A385" s="6" t="s">
        <v>3400</v>
      </c>
      <c r="B385" s="6" t="s">
        <v>976</v>
      </c>
      <c r="C385" s="6" t="s">
        <v>226</v>
      </c>
      <c r="D385" s="18">
        <v>6.0</v>
      </c>
      <c r="E385" s="18">
        <v>8.0</v>
      </c>
      <c r="F385" s="18">
        <v>48.0</v>
      </c>
    </row>
    <row r="386">
      <c r="A386" s="6" t="s">
        <v>3403</v>
      </c>
      <c r="B386" s="6" t="s">
        <v>976</v>
      </c>
      <c r="C386" s="6" t="s">
        <v>152</v>
      </c>
      <c r="D386" s="18">
        <v>3.0</v>
      </c>
      <c r="E386" s="18">
        <v>4.4</v>
      </c>
      <c r="F386" s="18">
        <v>13.2</v>
      </c>
    </row>
    <row r="387">
      <c r="A387" s="6" t="s">
        <v>3407</v>
      </c>
      <c r="B387" s="6" t="s">
        <v>976</v>
      </c>
      <c r="C387" s="6" t="s">
        <v>230</v>
      </c>
      <c r="D387" s="18">
        <v>5.0</v>
      </c>
      <c r="E387" s="18">
        <v>24.0</v>
      </c>
      <c r="F387" s="18">
        <v>120.0</v>
      </c>
    </row>
    <row r="388">
      <c r="A388" s="6" t="s">
        <v>3410</v>
      </c>
      <c r="B388" s="6" t="s">
        <v>976</v>
      </c>
      <c r="C388" s="6" t="s">
        <v>155</v>
      </c>
      <c r="D388" s="18">
        <v>1.0</v>
      </c>
      <c r="E388" s="18">
        <v>36.52</v>
      </c>
      <c r="F388" s="18">
        <v>36.52</v>
      </c>
    </row>
    <row r="389">
      <c r="A389" s="6" t="s">
        <v>3412</v>
      </c>
      <c r="B389" s="6" t="s">
        <v>976</v>
      </c>
      <c r="C389" s="6" t="s">
        <v>159</v>
      </c>
      <c r="D389" s="18">
        <v>12.0</v>
      </c>
      <c r="E389" s="18">
        <v>14.0</v>
      </c>
      <c r="F389" s="18">
        <v>168.0</v>
      </c>
    </row>
    <row r="390">
      <c r="A390" s="6" t="s">
        <v>3414</v>
      </c>
      <c r="B390" s="6" t="s">
        <v>982</v>
      </c>
      <c r="C390" s="18">
        <v>1.2539885E7</v>
      </c>
      <c r="D390" s="18">
        <v>15.0</v>
      </c>
      <c r="E390" s="18">
        <v>20.0</v>
      </c>
      <c r="F390" s="18">
        <v>300.0</v>
      </c>
    </row>
    <row r="391">
      <c r="A391" s="6" t="s">
        <v>3417</v>
      </c>
      <c r="B391" s="6" t="s">
        <v>989</v>
      </c>
      <c r="C391" s="6" t="s">
        <v>1022</v>
      </c>
      <c r="D391" s="18">
        <v>1.0</v>
      </c>
      <c r="E391" s="18">
        <v>225.0</v>
      </c>
      <c r="F391" s="18">
        <v>225.0</v>
      </c>
    </row>
    <row r="392">
      <c r="A392" s="6" t="s">
        <v>3421</v>
      </c>
      <c r="B392" s="6" t="s">
        <v>996</v>
      </c>
      <c r="C392" s="6" t="s">
        <v>226</v>
      </c>
      <c r="D392" s="18">
        <v>8.0</v>
      </c>
      <c r="E392" s="18">
        <v>7.5</v>
      </c>
      <c r="F392" s="18">
        <v>60.0</v>
      </c>
    </row>
    <row r="393">
      <c r="A393" s="6" t="s">
        <v>3423</v>
      </c>
      <c r="B393" s="6" t="s">
        <v>996</v>
      </c>
      <c r="C393" s="6" t="s">
        <v>152</v>
      </c>
      <c r="D393" s="18">
        <v>4.0</v>
      </c>
      <c r="E393" s="18">
        <v>4.2</v>
      </c>
      <c r="F393" s="18">
        <v>16.8</v>
      </c>
    </row>
    <row r="394">
      <c r="A394" s="6" t="s">
        <v>3425</v>
      </c>
      <c r="B394" s="6" t="s">
        <v>996</v>
      </c>
      <c r="C394" s="6" t="s">
        <v>230</v>
      </c>
      <c r="D394" s="18">
        <v>7.0</v>
      </c>
      <c r="E394" s="18">
        <v>23.0</v>
      </c>
      <c r="F394" s="18">
        <v>161.0</v>
      </c>
    </row>
    <row r="395">
      <c r="A395" s="6" t="s">
        <v>3431</v>
      </c>
      <c r="B395" s="6" t="s">
        <v>996</v>
      </c>
      <c r="C395" s="6" t="s">
        <v>159</v>
      </c>
      <c r="D395" s="18">
        <v>4.0</v>
      </c>
      <c r="E395" s="18">
        <v>14.5</v>
      </c>
      <c r="F395" s="18">
        <v>58.0</v>
      </c>
    </row>
    <row r="396">
      <c r="A396" s="6" t="s">
        <v>3434</v>
      </c>
      <c r="B396" s="6" t="s">
        <v>1001</v>
      </c>
      <c r="C396" s="6" t="s">
        <v>249</v>
      </c>
      <c r="D396" s="18">
        <v>1.0</v>
      </c>
      <c r="E396" s="18">
        <v>24.99</v>
      </c>
      <c r="F396" s="18">
        <v>24.99</v>
      </c>
    </row>
    <row r="397">
      <c r="A397" s="6" t="s">
        <v>3437</v>
      </c>
      <c r="B397" s="6" t="s">
        <v>1008</v>
      </c>
      <c r="C397" s="18">
        <v>1.2539885E7</v>
      </c>
      <c r="D397" s="18">
        <v>5.0</v>
      </c>
      <c r="E397" s="18">
        <v>20.0</v>
      </c>
      <c r="F397" s="18">
        <v>100.0</v>
      </c>
    </row>
    <row r="398">
      <c r="A398" s="6" t="s">
        <v>3441</v>
      </c>
      <c r="B398" s="6" t="s">
        <v>1015</v>
      </c>
      <c r="C398" s="6" t="s">
        <v>1648</v>
      </c>
      <c r="D398" s="18">
        <v>1.0</v>
      </c>
      <c r="E398" s="18">
        <v>152.69</v>
      </c>
      <c r="F398" s="18">
        <v>152.69</v>
      </c>
    </row>
    <row r="399">
      <c r="A399" s="6" t="s">
        <v>3446</v>
      </c>
      <c r="B399" s="6" t="s">
        <v>1023</v>
      </c>
      <c r="C399" s="6" t="s">
        <v>1653</v>
      </c>
      <c r="D399" s="18">
        <v>1.0</v>
      </c>
      <c r="E399" s="18">
        <v>81.96</v>
      </c>
      <c r="F399" s="18">
        <v>81.96</v>
      </c>
    </row>
    <row r="400">
      <c r="A400" s="6" t="s">
        <v>3450</v>
      </c>
      <c r="B400" s="6" t="s">
        <v>1029</v>
      </c>
      <c r="C400" s="6" t="s">
        <v>230</v>
      </c>
      <c r="D400" s="18">
        <v>5.0</v>
      </c>
      <c r="E400" s="18">
        <v>24.0</v>
      </c>
      <c r="F400" s="18">
        <v>120.0</v>
      </c>
    </row>
    <row r="401">
      <c r="A401" s="6" t="s">
        <v>3453</v>
      </c>
      <c r="B401" s="6" t="s">
        <v>1029</v>
      </c>
      <c r="C401" s="6" t="s">
        <v>155</v>
      </c>
      <c r="D401" s="18">
        <v>4.0</v>
      </c>
      <c r="E401" s="18">
        <v>7.5</v>
      </c>
      <c r="F401" s="18">
        <v>30.0</v>
      </c>
    </row>
    <row r="402">
      <c r="A402" s="6" t="s">
        <v>3456</v>
      </c>
      <c r="B402" s="6" t="s">
        <v>1029</v>
      </c>
      <c r="C402" s="6" t="s">
        <v>159</v>
      </c>
      <c r="D402" s="18">
        <v>10.0</v>
      </c>
      <c r="E402" s="18">
        <v>14.0</v>
      </c>
      <c r="F402" s="18">
        <v>140.0</v>
      </c>
    </row>
    <row r="403">
      <c r="A403" s="6" t="s">
        <v>3459</v>
      </c>
      <c r="B403" s="6" t="s">
        <v>1035</v>
      </c>
      <c r="C403" s="6" t="s">
        <v>1668</v>
      </c>
      <c r="D403" s="18">
        <v>1.0</v>
      </c>
      <c r="E403" s="18">
        <v>106.7</v>
      </c>
      <c r="F403" s="18">
        <v>106.7</v>
      </c>
    </row>
    <row r="404">
      <c r="A404" s="6" t="s">
        <v>3462</v>
      </c>
      <c r="B404" s="6" t="s">
        <v>1044</v>
      </c>
      <c r="C404" s="6" t="s">
        <v>1145</v>
      </c>
      <c r="D404" s="18">
        <v>1.0</v>
      </c>
      <c r="E404" s="18">
        <v>1553.92</v>
      </c>
      <c r="F404" s="18">
        <v>1553.92</v>
      </c>
    </row>
    <row r="405">
      <c r="A405" s="6" t="s">
        <v>3464</v>
      </c>
      <c r="B405" s="6" t="s">
        <v>1052</v>
      </c>
      <c r="C405" s="6" t="s">
        <v>1195</v>
      </c>
      <c r="D405" s="18">
        <v>3.0</v>
      </c>
      <c r="E405" s="18">
        <v>23.0</v>
      </c>
      <c r="F405" s="18">
        <v>69.0</v>
      </c>
    </row>
    <row r="406">
      <c r="A406" s="6" t="s">
        <v>3467</v>
      </c>
      <c r="B406" s="6" t="s">
        <v>1052</v>
      </c>
      <c r="C406" s="6" t="s">
        <v>1197</v>
      </c>
      <c r="D406" s="18">
        <v>4.0</v>
      </c>
      <c r="E406" s="18">
        <v>21.0</v>
      </c>
      <c r="F406" s="18">
        <v>84.0</v>
      </c>
    </row>
    <row r="407">
      <c r="A407" s="6" t="s">
        <v>3471</v>
      </c>
      <c r="B407" s="6" t="s">
        <v>1052</v>
      </c>
      <c r="C407" s="6" t="s">
        <v>1683</v>
      </c>
      <c r="D407" s="18">
        <v>1.0</v>
      </c>
      <c r="E407" s="18">
        <v>23.0</v>
      </c>
      <c r="F407" s="18">
        <v>23.0</v>
      </c>
    </row>
    <row r="408">
      <c r="A408" s="6" t="s">
        <v>3474</v>
      </c>
      <c r="B408" s="6" t="s">
        <v>1052</v>
      </c>
      <c r="C408" s="18">
        <v>7.9788768E7</v>
      </c>
      <c r="D408" s="18">
        <v>3.0</v>
      </c>
      <c r="E408" s="18">
        <v>4.5</v>
      </c>
      <c r="F408" s="18">
        <v>13.5</v>
      </c>
    </row>
    <row r="409">
      <c r="A409" s="6" t="s">
        <v>3477</v>
      </c>
      <c r="B409" s="6" t="s">
        <v>1059</v>
      </c>
      <c r="C409" s="6" t="s">
        <v>1145</v>
      </c>
      <c r="D409" s="18">
        <v>1.0</v>
      </c>
      <c r="E409" s="18">
        <v>530.57</v>
      </c>
      <c r="F409" s="18">
        <v>530.57</v>
      </c>
    </row>
    <row r="410">
      <c r="A410" s="6" t="s">
        <v>3480</v>
      </c>
      <c r="B410" s="6" t="s">
        <v>1059</v>
      </c>
      <c r="C410" s="6" t="s">
        <v>1690</v>
      </c>
      <c r="D410" s="18">
        <v>1.0</v>
      </c>
      <c r="E410" s="18">
        <v>530.57</v>
      </c>
      <c r="F410" s="18">
        <v>530.57</v>
      </c>
    </row>
    <row r="411">
      <c r="A411" s="6" t="s">
        <v>3482</v>
      </c>
      <c r="B411" s="6" t="s">
        <v>1059</v>
      </c>
      <c r="C411" s="6" t="s">
        <v>1145</v>
      </c>
      <c r="D411" s="18">
        <v>1.0</v>
      </c>
      <c r="E411" s="18">
        <v>530.57</v>
      </c>
      <c r="F411" s="18">
        <v>530.57</v>
      </c>
    </row>
    <row r="412">
      <c r="A412" s="6" t="s">
        <v>3484</v>
      </c>
      <c r="B412" s="6" t="s">
        <v>1059</v>
      </c>
      <c r="C412" s="6" t="s">
        <v>1394</v>
      </c>
      <c r="D412" s="18">
        <v>1.0</v>
      </c>
      <c r="E412" s="18">
        <v>530.57</v>
      </c>
      <c r="F412" s="18">
        <v>530.57</v>
      </c>
    </row>
    <row r="413">
      <c r="A413" s="6" t="s">
        <v>3487</v>
      </c>
      <c r="B413" s="6" t="s">
        <v>1065</v>
      </c>
      <c r="C413" s="6" t="s">
        <v>1239</v>
      </c>
      <c r="D413" s="18">
        <v>1.0</v>
      </c>
      <c r="E413" s="18">
        <v>1451.01</v>
      </c>
      <c r="F413" s="18">
        <v>1451.01</v>
      </c>
    </row>
    <row r="414">
      <c r="A414" s="6" t="s">
        <v>3491</v>
      </c>
      <c r="B414" s="6" t="s">
        <v>1069</v>
      </c>
      <c r="C414" s="6" t="s">
        <v>1239</v>
      </c>
      <c r="D414" s="18">
        <v>1.0</v>
      </c>
      <c r="E414" s="18">
        <v>1505.62</v>
      </c>
      <c r="F414" s="18">
        <v>1505.62</v>
      </c>
    </row>
    <row r="415">
      <c r="A415" s="6" t="s">
        <v>3497</v>
      </c>
      <c r="B415" s="6" t="s">
        <v>1072</v>
      </c>
      <c r="C415" s="6" t="s">
        <v>1168</v>
      </c>
      <c r="D415" s="18">
        <v>1.0</v>
      </c>
      <c r="E415" s="18">
        <v>500.0</v>
      </c>
      <c r="F415" s="18">
        <v>500.0</v>
      </c>
    </row>
    <row r="416">
      <c r="A416" s="6" t="s">
        <v>3500</v>
      </c>
      <c r="B416" s="6" t="s">
        <v>1082</v>
      </c>
      <c r="C416" s="6" t="s">
        <v>1239</v>
      </c>
      <c r="D416" s="18">
        <v>1.0</v>
      </c>
      <c r="E416" s="18">
        <v>1427.41</v>
      </c>
      <c r="F416" s="18">
        <v>1427.41</v>
      </c>
    </row>
    <row r="417">
      <c r="A417" s="6" t="s">
        <v>3502</v>
      </c>
      <c r="B417" s="6" t="s">
        <v>1089</v>
      </c>
      <c r="C417" s="6" t="s">
        <v>1239</v>
      </c>
      <c r="D417" s="18">
        <v>1.0</v>
      </c>
      <c r="E417" s="18">
        <v>2575.76</v>
      </c>
      <c r="F417" s="18">
        <v>2575.76</v>
      </c>
    </row>
    <row r="418">
      <c r="A418" s="6" t="s">
        <v>3507</v>
      </c>
      <c r="B418" s="6" t="s">
        <v>1095</v>
      </c>
      <c r="C418" s="6" t="s">
        <v>1239</v>
      </c>
      <c r="D418" s="18">
        <v>1.0</v>
      </c>
      <c r="E418" s="18">
        <v>1194.23</v>
      </c>
      <c r="F418" s="18">
        <v>1194.23</v>
      </c>
    </row>
    <row r="419">
      <c r="A419" s="6" t="s">
        <v>3510</v>
      </c>
      <c r="B419" s="6" t="s">
        <v>1103</v>
      </c>
      <c r="C419" s="6" t="s">
        <v>1239</v>
      </c>
      <c r="D419" s="18">
        <v>1.0</v>
      </c>
      <c r="E419" s="18">
        <v>2056.01</v>
      </c>
      <c r="F419" s="18">
        <v>2056.01</v>
      </c>
    </row>
    <row r="420">
      <c r="A420" s="6" t="s">
        <v>3511</v>
      </c>
      <c r="B420" s="6" t="s">
        <v>1108</v>
      </c>
      <c r="C420" s="6" t="s">
        <v>1164</v>
      </c>
      <c r="D420" s="18">
        <v>1.0</v>
      </c>
      <c r="E420" s="18">
        <v>987.0</v>
      </c>
      <c r="F420" s="18">
        <v>987.0</v>
      </c>
    </row>
    <row r="421">
      <c r="A421" s="6" t="s">
        <v>3514</v>
      </c>
      <c r="B421" s="6" t="s">
        <v>1113</v>
      </c>
      <c r="C421" s="6" t="s">
        <v>1648</v>
      </c>
      <c r="D421" s="18">
        <v>1.0</v>
      </c>
      <c r="E421" s="18">
        <v>70.65</v>
      </c>
      <c r="F421" s="18">
        <v>70.65</v>
      </c>
    </row>
    <row r="422">
      <c r="A422" s="6" t="s">
        <v>3518</v>
      </c>
      <c r="B422" s="6" t="s">
        <v>1120</v>
      </c>
      <c r="C422" s="18">
        <v>1.2539885E7</v>
      </c>
      <c r="D422" s="18">
        <v>1.0</v>
      </c>
      <c r="E422" s="18">
        <v>260.0</v>
      </c>
      <c r="F422" s="18">
        <v>260.0</v>
      </c>
    </row>
    <row r="423">
      <c r="A423" s="6" t="s">
        <v>3520</v>
      </c>
      <c r="B423" s="6" t="s">
        <v>1127</v>
      </c>
      <c r="C423" s="6" t="s">
        <v>1725</v>
      </c>
      <c r="D423" s="18">
        <v>1.0</v>
      </c>
      <c r="E423" s="18">
        <v>216.0</v>
      </c>
      <c r="F423" s="18">
        <v>216.0</v>
      </c>
    </row>
    <row r="424">
      <c r="A424" s="6" t="s">
        <v>3523</v>
      </c>
      <c r="B424" s="6" t="s">
        <v>1127</v>
      </c>
      <c r="C424" s="6" t="s">
        <v>1728</v>
      </c>
      <c r="D424" s="18">
        <v>1.0</v>
      </c>
      <c r="E424" s="18">
        <v>216.0</v>
      </c>
      <c r="F424" s="18">
        <v>216.0</v>
      </c>
    </row>
    <row r="425">
      <c r="A425" s="6" t="s">
        <v>3526</v>
      </c>
      <c r="B425" s="6" t="s">
        <v>1135</v>
      </c>
      <c r="C425" s="6" t="s">
        <v>1728</v>
      </c>
      <c r="D425" s="18">
        <v>1.0</v>
      </c>
      <c r="E425" s="18">
        <v>90.0</v>
      </c>
      <c r="F425" s="18">
        <v>90.0</v>
      </c>
    </row>
    <row r="426">
      <c r="A426" s="6" t="s">
        <v>3529</v>
      </c>
      <c r="B426" s="6" t="s">
        <v>1143</v>
      </c>
      <c r="C426" s="6" t="s">
        <v>1164</v>
      </c>
      <c r="D426" s="18">
        <v>1.0</v>
      </c>
      <c r="E426" s="18">
        <v>150.0</v>
      </c>
      <c r="F426" s="18">
        <v>150.0</v>
      </c>
    </row>
    <row r="427">
      <c r="A427" s="6" t="s">
        <v>3532</v>
      </c>
      <c r="B427" s="6" t="s">
        <v>1150</v>
      </c>
      <c r="C427" s="6" t="s">
        <v>305</v>
      </c>
      <c r="D427" s="18">
        <v>1.0</v>
      </c>
      <c r="E427" s="18">
        <v>75.85</v>
      </c>
      <c r="F427" s="18">
        <v>75.85</v>
      </c>
    </row>
    <row r="428">
      <c r="A428" s="6" t="s">
        <v>3535</v>
      </c>
      <c r="B428" s="6" t="s">
        <v>1157</v>
      </c>
      <c r="C428" s="6" t="s">
        <v>1653</v>
      </c>
      <c r="D428" s="18">
        <v>1.0</v>
      </c>
      <c r="E428" s="18">
        <v>1223.0</v>
      </c>
      <c r="F428" s="18">
        <v>1223.0</v>
      </c>
    </row>
    <row r="429">
      <c r="A429" s="6" t="s">
        <v>3539</v>
      </c>
      <c r="B429" s="6" t="s">
        <v>1163</v>
      </c>
      <c r="C429" s="6" t="s">
        <v>1164</v>
      </c>
      <c r="D429" s="18">
        <v>1.0</v>
      </c>
      <c r="E429" s="18">
        <v>1191.3</v>
      </c>
      <c r="F429" s="18">
        <v>1191.3</v>
      </c>
    </row>
    <row r="430">
      <c r="A430" s="6" t="s">
        <v>3541</v>
      </c>
      <c r="B430" s="6" t="s">
        <v>1170</v>
      </c>
      <c r="C430" s="6" t="s">
        <v>1152</v>
      </c>
      <c r="D430" s="18">
        <v>1.0</v>
      </c>
      <c r="E430" s="18">
        <v>205.08</v>
      </c>
      <c r="F430" s="18">
        <v>205.08</v>
      </c>
    </row>
    <row r="431">
      <c r="A431" s="6" t="s">
        <v>3542</v>
      </c>
      <c r="B431" s="6" t="s">
        <v>1173</v>
      </c>
      <c r="C431" s="6" t="s">
        <v>1510</v>
      </c>
      <c r="D431" s="18">
        <v>1.0</v>
      </c>
      <c r="E431" s="18">
        <v>11878.45</v>
      </c>
      <c r="F431" s="18">
        <v>11878.45</v>
      </c>
    </row>
    <row r="432">
      <c r="A432" s="6" t="s">
        <v>3546</v>
      </c>
      <c r="B432" s="6" t="s">
        <v>1181</v>
      </c>
      <c r="C432" s="6" t="s">
        <v>1517</v>
      </c>
      <c r="D432" s="18">
        <v>1.0</v>
      </c>
      <c r="E432" s="18">
        <v>9226.02</v>
      </c>
      <c r="F432" s="18">
        <v>9226.02</v>
      </c>
    </row>
    <row r="433">
      <c r="A433" s="6" t="s">
        <v>3549</v>
      </c>
      <c r="B433" s="6" t="s">
        <v>1186</v>
      </c>
      <c r="C433" s="6" t="s">
        <v>1757</v>
      </c>
      <c r="D433" s="18">
        <v>1.0</v>
      </c>
      <c r="E433" s="18">
        <v>27.0</v>
      </c>
      <c r="F433" s="18">
        <v>27.0</v>
      </c>
    </row>
    <row r="434">
      <c r="A434" s="6" t="s">
        <v>3552</v>
      </c>
      <c r="B434" s="6" t="s">
        <v>1194</v>
      </c>
      <c r="C434" s="6" t="s">
        <v>249</v>
      </c>
      <c r="D434" s="18">
        <v>5.0</v>
      </c>
      <c r="E434" s="18">
        <v>4.99</v>
      </c>
      <c r="F434" s="18">
        <v>24.950000000000003</v>
      </c>
    </row>
    <row r="435">
      <c r="A435" s="6" t="s">
        <v>3554</v>
      </c>
      <c r="B435" s="6" t="s">
        <v>1194</v>
      </c>
      <c r="C435" s="6" t="s">
        <v>1764</v>
      </c>
      <c r="D435" s="18">
        <v>4.0</v>
      </c>
      <c r="E435" s="18">
        <v>7.99</v>
      </c>
      <c r="F435" s="18">
        <v>31.96</v>
      </c>
    </row>
    <row r="436">
      <c r="A436" s="6" t="s">
        <v>3556</v>
      </c>
      <c r="B436" s="6" t="s">
        <v>1205</v>
      </c>
      <c r="C436" s="18">
        <v>1.2539885E7</v>
      </c>
      <c r="D436" s="18">
        <v>1.0</v>
      </c>
      <c r="E436" s="18">
        <v>120.0</v>
      </c>
      <c r="F436" s="18">
        <v>120.0</v>
      </c>
    </row>
    <row r="437">
      <c r="A437" s="6" t="s">
        <v>3558</v>
      </c>
      <c r="B437" s="6" t="s">
        <v>1212</v>
      </c>
      <c r="C437" s="6" t="s">
        <v>338</v>
      </c>
      <c r="D437" s="18">
        <v>3.0</v>
      </c>
      <c r="E437" s="18">
        <v>28.88</v>
      </c>
      <c r="F437" s="18">
        <v>86.64</v>
      </c>
    </row>
    <row r="438">
      <c r="A438" s="6" t="s">
        <v>3560</v>
      </c>
      <c r="B438" s="6" t="s">
        <v>1212</v>
      </c>
      <c r="C438" s="6" t="s">
        <v>335</v>
      </c>
      <c r="D438" s="18">
        <v>2.0</v>
      </c>
      <c r="E438" s="18">
        <v>39.84</v>
      </c>
      <c r="F438" s="18">
        <v>79.68</v>
      </c>
    </row>
    <row r="439">
      <c r="A439" s="6" t="s">
        <v>3564</v>
      </c>
      <c r="B439" s="6" t="s">
        <v>1212</v>
      </c>
      <c r="C439" s="6" t="s">
        <v>1777</v>
      </c>
      <c r="D439" s="18">
        <v>2.0</v>
      </c>
      <c r="E439" s="18">
        <v>29.88</v>
      </c>
      <c r="F439" s="18">
        <v>59.76</v>
      </c>
    </row>
    <row r="440">
      <c r="A440" s="6" t="s">
        <v>3569</v>
      </c>
      <c r="B440" s="6" t="s">
        <v>1212</v>
      </c>
      <c r="C440" s="6" t="s">
        <v>335</v>
      </c>
      <c r="D440" s="18">
        <v>3.0</v>
      </c>
      <c r="E440" s="18">
        <v>39.84</v>
      </c>
      <c r="F440" s="18">
        <v>119.52</v>
      </c>
    </row>
    <row r="441">
      <c r="A441" s="6" t="s">
        <v>3571</v>
      </c>
      <c r="B441" s="6" t="s">
        <v>1212</v>
      </c>
      <c r="C441" s="6" t="s">
        <v>338</v>
      </c>
      <c r="D441" s="18">
        <v>3.0</v>
      </c>
      <c r="E441" s="18">
        <v>43.32</v>
      </c>
      <c r="F441" s="18">
        <v>129.96</v>
      </c>
    </row>
    <row r="442">
      <c r="A442" s="6" t="s">
        <v>3576</v>
      </c>
      <c r="B442" s="6" t="s">
        <v>1220</v>
      </c>
      <c r="C442" s="6" t="s">
        <v>1728</v>
      </c>
      <c r="D442" s="18">
        <v>1.0</v>
      </c>
      <c r="E442" s="18">
        <v>119.9</v>
      </c>
      <c r="F442" s="18">
        <v>119.9</v>
      </c>
    </row>
    <row r="443">
      <c r="A443" s="6" t="s">
        <v>3580</v>
      </c>
      <c r="B443" s="6" t="s">
        <v>1220</v>
      </c>
      <c r="C443" s="6" t="s">
        <v>1787</v>
      </c>
      <c r="D443" s="18">
        <v>1.0</v>
      </c>
      <c r="E443" s="18">
        <v>28.9</v>
      </c>
      <c r="F443" s="18">
        <v>28.9</v>
      </c>
    </row>
    <row r="444">
      <c r="A444" s="6" t="s">
        <v>3581</v>
      </c>
      <c r="B444" s="6" t="s">
        <v>1220</v>
      </c>
      <c r="C444" s="6" t="s">
        <v>1787</v>
      </c>
      <c r="D444" s="18">
        <v>1.0</v>
      </c>
      <c r="E444" s="18">
        <v>89.9</v>
      </c>
      <c r="F444" s="18">
        <v>89.9</v>
      </c>
    </row>
    <row r="445">
      <c r="A445" s="6" t="s">
        <v>3583</v>
      </c>
      <c r="B445" s="6" t="s">
        <v>1227</v>
      </c>
      <c r="C445" s="6" t="s">
        <v>1792</v>
      </c>
      <c r="D445" s="18">
        <v>1.0</v>
      </c>
      <c r="E445" s="18">
        <v>62.18</v>
      </c>
      <c r="F445" s="18">
        <v>62.18</v>
      </c>
    </row>
    <row r="446">
      <c r="A446" s="6" t="s">
        <v>3587</v>
      </c>
      <c r="B446" s="6" t="s">
        <v>1232</v>
      </c>
      <c r="C446" s="18">
        <v>1.2539885E7</v>
      </c>
      <c r="D446" s="18">
        <v>1.0</v>
      </c>
      <c r="E446" s="18">
        <v>120.0</v>
      </c>
      <c r="F446" s="18">
        <v>120.0</v>
      </c>
    </row>
    <row r="447">
      <c r="A447" s="6" t="s">
        <v>3588</v>
      </c>
      <c r="B447" s="6" t="s">
        <v>1238</v>
      </c>
      <c r="C447" s="18">
        <v>1.2539885E7</v>
      </c>
      <c r="D447" s="18">
        <v>1.0</v>
      </c>
      <c r="E447" s="18">
        <v>440.0</v>
      </c>
      <c r="F447" s="18">
        <v>440.0</v>
      </c>
    </row>
    <row r="448">
      <c r="A448" s="6" t="s">
        <v>3590</v>
      </c>
      <c r="B448" s="6" t="s">
        <v>1245</v>
      </c>
      <c r="C448" s="6" t="s">
        <v>1757</v>
      </c>
      <c r="D448" s="18">
        <v>1.0</v>
      </c>
      <c r="E448" s="18">
        <v>27.0</v>
      </c>
      <c r="F448" s="18">
        <v>27.0</v>
      </c>
    </row>
    <row r="449">
      <c r="A449" s="6" t="s">
        <v>3593</v>
      </c>
      <c r="B449" s="6" t="s">
        <v>1254</v>
      </c>
      <c r="C449" s="6" t="s">
        <v>226</v>
      </c>
      <c r="D449" s="18">
        <v>6.0</v>
      </c>
      <c r="E449" s="18">
        <v>9.0</v>
      </c>
      <c r="F449" s="18">
        <v>54.0</v>
      </c>
    </row>
    <row r="450">
      <c r="A450" s="6" t="s">
        <v>3595</v>
      </c>
      <c r="B450" s="6" t="s">
        <v>1254</v>
      </c>
      <c r="C450" s="6" t="s">
        <v>152</v>
      </c>
      <c r="D450" s="18">
        <v>3.0</v>
      </c>
      <c r="E450" s="18">
        <v>4.4</v>
      </c>
      <c r="F450" s="18">
        <v>13.2</v>
      </c>
    </row>
    <row r="451">
      <c r="A451" s="6" t="s">
        <v>3598</v>
      </c>
      <c r="B451" s="6" t="s">
        <v>1254</v>
      </c>
      <c r="C451" s="6" t="s">
        <v>230</v>
      </c>
      <c r="D451" s="18">
        <v>4.0</v>
      </c>
      <c r="E451" s="18">
        <v>25.0</v>
      </c>
      <c r="F451" s="18">
        <v>100.0</v>
      </c>
    </row>
    <row r="452">
      <c r="A452" s="6" t="s">
        <v>3599</v>
      </c>
      <c r="B452" s="6" t="s">
        <v>1254</v>
      </c>
      <c r="C452" s="6" t="s">
        <v>155</v>
      </c>
      <c r="D452" s="18">
        <v>1.0</v>
      </c>
      <c r="E452" s="18">
        <v>33.82</v>
      </c>
      <c r="F452" s="18">
        <v>33.82</v>
      </c>
    </row>
    <row r="453">
      <c r="A453" s="6" t="s">
        <v>3601</v>
      </c>
      <c r="B453" s="6" t="s">
        <v>1254</v>
      </c>
      <c r="C453" s="6" t="s">
        <v>159</v>
      </c>
      <c r="D453" s="18">
        <v>10.0</v>
      </c>
      <c r="E453" s="18">
        <v>14.0</v>
      </c>
      <c r="F453" s="18">
        <v>140.0</v>
      </c>
    </row>
    <row r="454">
      <c r="A454" s="6" t="s">
        <v>3605</v>
      </c>
      <c r="B454" s="6" t="s">
        <v>1260</v>
      </c>
      <c r="C454" s="6" t="s">
        <v>155</v>
      </c>
      <c r="D454" s="18">
        <v>1.0</v>
      </c>
      <c r="E454" s="18">
        <v>39.07</v>
      </c>
      <c r="F454" s="18">
        <v>39.07</v>
      </c>
    </row>
    <row r="455">
      <c r="A455" s="6" t="s">
        <v>3608</v>
      </c>
      <c r="B455" s="6" t="s">
        <v>1260</v>
      </c>
      <c r="C455" s="6" t="s">
        <v>230</v>
      </c>
      <c r="D455" s="18">
        <v>4.0</v>
      </c>
      <c r="E455" s="18">
        <v>24.0</v>
      </c>
      <c r="F455" s="18">
        <v>96.0</v>
      </c>
    </row>
    <row r="456">
      <c r="A456" s="6" t="s">
        <v>3611</v>
      </c>
      <c r="B456" s="6" t="s">
        <v>1260</v>
      </c>
      <c r="C456" s="6" t="s">
        <v>152</v>
      </c>
      <c r="D456" s="18">
        <v>1.0</v>
      </c>
      <c r="E456" s="18">
        <v>13.53</v>
      </c>
      <c r="F456" s="18">
        <v>13.53</v>
      </c>
    </row>
    <row r="457">
      <c r="A457" s="6" t="s">
        <v>3613</v>
      </c>
      <c r="B457" s="6" t="s">
        <v>1260</v>
      </c>
      <c r="C457" s="6" t="s">
        <v>226</v>
      </c>
      <c r="D457" s="18">
        <v>5.0</v>
      </c>
      <c r="E457" s="18">
        <v>7.0</v>
      </c>
      <c r="F457" s="18">
        <v>35.0</v>
      </c>
    </row>
    <row r="458">
      <c r="A458" s="6" t="s">
        <v>3614</v>
      </c>
      <c r="B458" s="6" t="s">
        <v>1265</v>
      </c>
      <c r="C458" s="6" t="s">
        <v>1848</v>
      </c>
      <c r="D458" s="18">
        <v>1.0</v>
      </c>
      <c r="E458" s="18">
        <v>100.0</v>
      </c>
      <c r="F458" s="18">
        <v>100.0</v>
      </c>
    </row>
    <row r="459">
      <c r="A459" s="6" t="s">
        <v>3619</v>
      </c>
      <c r="B459" s="6" t="s">
        <v>1273</v>
      </c>
      <c r="C459" s="6" t="s">
        <v>1854</v>
      </c>
      <c r="D459" s="18">
        <v>1.0</v>
      </c>
      <c r="E459" s="18">
        <v>550.0</v>
      </c>
      <c r="F459" s="18">
        <v>550.0</v>
      </c>
    </row>
    <row r="460">
      <c r="A460" s="6" t="s">
        <v>3620</v>
      </c>
      <c r="B460" s="6" t="s">
        <v>1278</v>
      </c>
      <c r="C460" s="6" t="s">
        <v>1757</v>
      </c>
      <c r="D460" s="18">
        <v>1.0</v>
      </c>
      <c r="E460" s="18">
        <v>27.0</v>
      </c>
      <c r="F460" s="18">
        <v>27.0</v>
      </c>
    </row>
    <row r="461">
      <c r="A461" s="6" t="s">
        <v>3621</v>
      </c>
      <c r="B461" s="6" t="s">
        <v>1286</v>
      </c>
      <c r="C461" s="6" t="s">
        <v>1757</v>
      </c>
      <c r="D461" s="18">
        <v>1.0</v>
      </c>
      <c r="E461" s="18">
        <v>27.0</v>
      </c>
      <c r="F461" s="18">
        <v>27.0</v>
      </c>
    </row>
    <row r="462">
      <c r="A462" s="6" t="s">
        <v>3622</v>
      </c>
      <c r="B462" s="6" t="s">
        <v>1293</v>
      </c>
      <c r="C462" s="6" t="s">
        <v>305</v>
      </c>
      <c r="D462" s="18">
        <v>1.0</v>
      </c>
      <c r="E462" s="18">
        <v>47.64</v>
      </c>
      <c r="F462" s="18">
        <v>47.64</v>
      </c>
    </row>
    <row r="463">
      <c r="A463" s="6" t="s">
        <v>3624</v>
      </c>
      <c r="B463" s="6" t="s">
        <v>1300</v>
      </c>
      <c r="C463" s="6" t="s">
        <v>1889</v>
      </c>
      <c r="D463" s="18">
        <v>1.0</v>
      </c>
      <c r="E463" s="18">
        <v>64.95</v>
      </c>
      <c r="F463" s="18">
        <v>64.95</v>
      </c>
    </row>
    <row r="464">
      <c r="A464" s="6" t="s">
        <v>3628</v>
      </c>
      <c r="B464" s="6" t="s">
        <v>1308</v>
      </c>
      <c r="C464" s="6" t="s">
        <v>1787</v>
      </c>
      <c r="D464" s="18">
        <v>1.0</v>
      </c>
      <c r="E464" s="18">
        <v>35.6</v>
      </c>
      <c r="F464" s="18">
        <v>35.6</v>
      </c>
    </row>
    <row r="465">
      <c r="A465" s="6" t="s">
        <v>3630</v>
      </c>
      <c r="B465" s="6" t="s">
        <v>1318</v>
      </c>
      <c r="C465" s="6" t="s">
        <v>1904</v>
      </c>
      <c r="D465" s="18">
        <v>1.0</v>
      </c>
      <c r="E465" s="18">
        <v>96.0</v>
      </c>
      <c r="F465" s="18">
        <v>96.0</v>
      </c>
    </row>
    <row r="466">
      <c r="A466" s="6" t="s">
        <v>3633</v>
      </c>
      <c r="B466" s="6" t="s">
        <v>1326</v>
      </c>
      <c r="C466" s="6" t="s">
        <v>1168</v>
      </c>
      <c r="D466" s="18">
        <v>1.0</v>
      </c>
      <c r="E466" s="18">
        <v>100.0</v>
      </c>
      <c r="F466" s="18">
        <v>100.0</v>
      </c>
    </row>
    <row r="467">
      <c r="A467" s="6" t="s">
        <v>3635</v>
      </c>
      <c r="B467" s="6" t="s">
        <v>1334</v>
      </c>
      <c r="C467" s="6" t="s">
        <v>226</v>
      </c>
      <c r="D467" s="18">
        <v>5.0</v>
      </c>
      <c r="E467" s="18">
        <v>7.5</v>
      </c>
      <c r="F467" s="18">
        <v>37.5</v>
      </c>
    </row>
    <row r="468">
      <c r="A468" s="6" t="s">
        <v>3637</v>
      </c>
      <c r="B468" s="6" t="s">
        <v>1334</v>
      </c>
      <c r="C468" s="6" t="s">
        <v>152</v>
      </c>
      <c r="D468" s="18">
        <v>1.0</v>
      </c>
      <c r="E468" s="18">
        <v>19.95</v>
      </c>
      <c r="F468" s="18">
        <v>19.95</v>
      </c>
    </row>
    <row r="469">
      <c r="A469" s="6" t="s">
        <v>3640</v>
      </c>
      <c r="B469" s="6" t="s">
        <v>1334</v>
      </c>
      <c r="C469" s="6" t="s">
        <v>230</v>
      </c>
      <c r="D469" s="18">
        <v>1.0</v>
      </c>
      <c r="E469" s="18">
        <v>196.2</v>
      </c>
      <c r="F469" s="18">
        <v>196.2</v>
      </c>
    </row>
    <row r="470">
      <c r="A470" s="6" t="s">
        <v>3642</v>
      </c>
      <c r="B470" s="6" t="s">
        <v>1334</v>
      </c>
      <c r="C470" s="6" t="s">
        <v>155</v>
      </c>
      <c r="D470" s="18">
        <v>1.0</v>
      </c>
      <c r="E470" s="18">
        <v>62.59</v>
      </c>
      <c r="F470" s="18">
        <v>62.59</v>
      </c>
    </row>
    <row r="471">
      <c r="A471" s="6" t="s">
        <v>3646</v>
      </c>
      <c r="B471" s="6" t="s">
        <v>1334</v>
      </c>
      <c r="C471" s="6" t="s">
        <v>159</v>
      </c>
      <c r="D471" s="18">
        <v>1.0</v>
      </c>
      <c r="E471" s="18">
        <v>210.0</v>
      </c>
      <c r="F471" s="18">
        <v>210.0</v>
      </c>
    </row>
    <row r="472">
      <c r="A472" s="6" t="s">
        <v>3647</v>
      </c>
      <c r="B472" s="6" t="s">
        <v>1338</v>
      </c>
      <c r="C472" s="6" t="s">
        <v>789</v>
      </c>
      <c r="D472" s="18">
        <v>3.0</v>
      </c>
      <c r="E472" s="18">
        <v>73.09</v>
      </c>
      <c r="F472" s="18">
        <v>219.27</v>
      </c>
    </row>
    <row r="473">
      <c r="A473" s="6" t="s">
        <v>3649</v>
      </c>
      <c r="B473" s="6" t="s">
        <v>1338</v>
      </c>
      <c r="C473" s="6" t="s">
        <v>794</v>
      </c>
      <c r="D473" s="18">
        <v>6.0</v>
      </c>
      <c r="E473" s="18">
        <v>21.02</v>
      </c>
      <c r="F473" s="18">
        <v>126.12</v>
      </c>
    </row>
    <row r="474">
      <c r="A474" s="6" t="s">
        <v>3651</v>
      </c>
      <c r="B474" s="6" t="s">
        <v>1338</v>
      </c>
      <c r="C474" s="6" t="s">
        <v>249</v>
      </c>
      <c r="D474" s="18">
        <v>60.0</v>
      </c>
      <c r="E474" s="18">
        <v>11.27</v>
      </c>
      <c r="F474" s="18">
        <v>676.2</v>
      </c>
    </row>
    <row r="475">
      <c r="A475" s="6" t="s">
        <v>3653</v>
      </c>
      <c r="B475" s="6" t="s">
        <v>1338</v>
      </c>
      <c r="C475" s="6" t="s">
        <v>249</v>
      </c>
      <c r="D475" s="18">
        <v>20.0</v>
      </c>
      <c r="E475" s="18">
        <v>5.72</v>
      </c>
      <c r="F475" s="18">
        <v>114.4</v>
      </c>
    </row>
    <row r="476">
      <c r="A476" s="6" t="s">
        <v>3654</v>
      </c>
      <c r="B476" s="6" t="s">
        <v>1338</v>
      </c>
      <c r="C476" s="6" t="s">
        <v>693</v>
      </c>
      <c r="D476" s="18">
        <v>12.0</v>
      </c>
      <c r="E476" s="18">
        <v>4.92</v>
      </c>
      <c r="F476" s="18">
        <v>59.04</v>
      </c>
    </row>
    <row r="477">
      <c r="A477" s="6" t="s">
        <v>3656</v>
      </c>
      <c r="B477" s="6" t="s">
        <v>1338</v>
      </c>
      <c r="C477" s="6" t="s">
        <v>693</v>
      </c>
      <c r="D477" s="18">
        <v>1.0</v>
      </c>
      <c r="E477" s="18">
        <v>0.6</v>
      </c>
      <c r="F477" s="18">
        <v>0.6</v>
      </c>
    </row>
    <row r="478">
      <c r="A478" s="6" t="s">
        <v>3657</v>
      </c>
      <c r="B478" s="6" t="s">
        <v>1345</v>
      </c>
      <c r="C478" s="6" t="s">
        <v>159</v>
      </c>
      <c r="D478" s="18">
        <v>10.0</v>
      </c>
      <c r="E478" s="18">
        <v>14.0</v>
      </c>
      <c r="F478" s="18">
        <v>140.0</v>
      </c>
    </row>
    <row r="479">
      <c r="A479" s="6" t="s">
        <v>3659</v>
      </c>
      <c r="B479" s="6" t="s">
        <v>1345</v>
      </c>
      <c r="C479" s="6" t="s">
        <v>155</v>
      </c>
      <c r="D479" s="18">
        <v>5.0</v>
      </c>
      <c r="E479" s="18">
        <v>8.0</v>
      </c>
      <c r="F479" s="18">
        <v>40.0</v>
      </c>
    </row>
    <row r="480">
      <c r="A480" s="6" t="s">
        <v>3661</v>
      </c>
      <c r="B480" s="6" t="s">
        <v>1345</v>
      </c>
      <c r="C480" s="6" t="s">
        <v>230</v>
      </c>
      <c r="D480" s="18">
        <v>4.0</v>
      </c>
      <c r="E480" s="18">
        <v>24.0</v>
      </c>
      <c r="F480" s="18">
        <v>96.0</v>
      </c>
    </row>
    <row r="481">
      <c r="A481" s="6" t="s">
        <v>3662</v>
      </c>
      <c r="B481" s="6" t="s">
        <v>1345</v>
      </c>
      <c r="C481" s="6" t="s">
        <v>226</v>
      </c>
      <c r="D481" s="18">
        <v>4.0</v>
      </c>
      <c r="E481" s="18">
        <v>7.5</v>
      </c>
      <c r="F481" s="18">
        <v>30.0</v>
      </c>
    </row>
    <row r="482">
      <c r="A482" s="6" t="s">
        <v>3663</v>
      </c>
      <c r="B482" s="6" t="s">
        <v>1354</v>
      </c>
      <c r="C482" s="6" t="s">
        <v>230</v>
      </c>
      <c r="D482" s="18">
        <v>1.0</v>
      </c>
      <c r="E482" s="18">
        <v>74.76</v>
      </c>
      <c r="F482" s="18">
        <v>74.76</v>
      </c>
    </row>
    <row r="483">
      <c r="A483" s="6" t="s">
        <v>3665</v>
      </c>
      <c r="B483" s="6" t="s">
        <v>1354</v>
      </c>
      <c r="C483" s="6" t="s">
        <v>152</v>
      </c>
      <c r="D483" s="18">
        <v>1.0</v>
      </c>
      <c r="E483" s="18">
        <v>13.64</v>
      </c>
      <c r="F483" s="18">
        <v>13.64</v>
      </c>
    </row>
    <row r="484">
      <c r="A484" s="6" t="s">
        <v>3666</v>
      </c>
      <c r="B484" s="6" t="s">
        <v>1354</v>
      </c>
      <c r="C484" s="6" t="s">
        <v>226</v>
      </c>
      <c r="D484" s="18">
        <v>5.0</v>
      </c>
      <c r="E484" s="18">
        <v>7.0</v>
      </c>
      <c r="F484" s="18">
        <v>35.0</v>
      </c>
    </row>
    <row r="485">
      <c r="A485" s="6" t="s">
        <v>3668</v>
      </c>
      <c r="B485" s="6" t="s">
        <v>1362</v>
      </c>
      <c r="C485" s="6" t="s">
        <v>1145</v>
      </c>
      <c r="D485" s="18">
        <v>1.0</v>
      </c>
      <c r="E485" s="18">
        <v>3582.4</v>
      </c>
      <c r="F485" s="18">
        <v>3582.4</v>
      </c>
    </row>
    <row r="486">
      <c r="A486" s="6" t="s">
        <v>3669</v>
      </c>
      <c r="B486" s="6" t="s">
        <v>1362</v>
      </c>
      <c r="C486" s="6" t="s">
        <v>1394</v>
      </c>
      <c r="D486" s="18">
        <v>1.0</v>
      </c>
      <c r="E486" s="18">
        <v>3582.39</v>
      </c>
      <c r="F486" s="18">
        <v>3582.39</v>
      </c>
    </row>
    <row r="487">
      <c r="A487" s="6" t="s">
        <v>3671</v>
      </c>
      <c r="B487" s="6" t="s">
        <v>1367</v>
      </c>
      <c r="C487" s="6" t="s">
        <v>338</v>
      </c>
      <c r="D487" s="18">
        <v>9.0</v>
      </c>
      <c r="E487" s="18">
        <v>28.88</v>
      </c>
      <c r="F487" s="18">
        <v>259.92</v>
      </c>
    </row>
    <row r="488">
      <c r="A488" s="6" t="s">
        <v>3673</v>
      </c>
      <c r="B488" s="6" t="s">
        <v>1367</v>
      </c>
      <c r="C488" s="6" t="s">
        <v>1777</v>
      </c>
      <c r="D488" s="18">
        <v>2.0</v>
      </c>
      <c r="E488" s="18">
        <v>27.64</v>
      </c>
      <c r="F488" s="18">
        <v>55.28</v>
      </c>
    </row>
    <row r="489">
      <c r="A489" s="6" t="s">
        <v>3675</v>
      </c>
      <c r="B489" s="6" t="s">
        <v>1367</v>
      </c>
      <c r="C489" s="6" t="s">
        <v>335</v>
      </c>
      <c r="D489" s="18">
        <v>4.0</v>
      </c>
      <c r="E489" s="18">
        <v>39.84</v>
      </c>
      <c r="F489" s="18">
        <v>159.36</v>
      </c>
    </row>
    <row r="490">
      <c r="A490" s="6" t="s">
        <v>3677</v>
      </c>
      <c r="B490" s="6" t="s">
        <v>1367</v>
      </c>
      <c r="C490" s="6" t="s">
        <v>338</v>
      </c>
      <c r="D490" s="18">
        <v>3.0</v>
      </c>
      <c r="E490" s="18">
        <v>43.32</v>
      </c>
      <c r="F490" s="18">
        <v>129.96</v>
      </c>
    </row>
    <row r="491">
      <c r="A491" s="6" t="s">
        <v>3679</v>
      </c>
      <c r="B491" s="6" t="s">
        <v>1367</v>
      </c>
      <c r="C491" s="6" t="s">
        <v>1777</v>
      </c>
      <c r="D491" s="18">
        <v>2.0</v>
      </c>
      <c r="E491" s="18">
        <v>28.39</v>
      </c>
      <c r="F491" s="18">
        <v>56.78</v>
      </c>
    </row>
    <row r="492">
      <c r="A492" s="6" t="s">
        <v>3682</v>
      </c>
      <c r="B492" s="6" t="s">
        <v>1367</v>
      </c>
      <c r="C492" s="6" t="s">
        <v>1777</v>
      </c>
      <c r="D492" s="18">
        <v>1.0</v>
      </c>
      <c r="E492" s="18">
        <v>25.4</v>
      </c>
      <c r="F492" s="18">
        <v>25.4</v>
      </c>
    </row>
    <row r="493">
      <c r="A493" s="6" t="s">
        <v>3686</v>
      </c>
      <c r="B493" s="6" t="s">
        <v>1375</v>
      </c>
      <c r="C493" s="6" t="s">
        <v>1384</v>
      </c>
      <c r="D493" s="18">
        <v>1.0</v>
      </c>
      <c r="E493" s="18">
        <v>18.0</v>
      </c>
      <c r="F493" s="18">
        <v>18.0</v>
      </c>
    </row>
    <row r="494">
      <c r="A494" s="6" t="s">
        <v>3690</v>
      </c>
      <c r="B494" s="6" t="s">
        <v>1375</v>
      </c>
      <c r="C494" s="6" t="s">
        <v>1074</v>
      </c>
      <c r="D494" s="18">
        <v>4.0</v>
      </c>
      <c r="E494" s="18">
        <v>36.0</v>
      </c>
      <c r="F494" s="18">
        <v>144.0</v>
      </c>
    </row>
    <row r="495">
      <c r="A495" s="6" t="s">
        <v>3693</v>
      </c>
      <c r="B495" s="6" t="s">
        <v>1375</v>
      </c>
      <c r="C495" s="6" t="s">
        <v>1387</v>
      </c>
      <c r="D495" s="18">
        <v>1.0</v>
      </c>
      <c r="E495" s="18">
        <v>45.0</v>
      </c>
      <c r="F495" s="18">
        <v>45.0</v>
      </c>
    </row>
    <row r="496">
      <c r="A496" s="6" t="s">
        <v>3696</v>
      </c>
      <c r="B496" s="6" t="s">
        <v>1375</v>
      </c>
      <c r="C496" s="6" t="s">
        <v>1075</v>
      </c>
      <c r="D496" s="18">
        <v>2.0</v>
      </c>
      <c r="E496" s="18">
        <v>18.0</v>
      </c>
      <c r="F496" s="18">
        <v>36.0</v>
      </c>
    </row>
    <row r="497">
      <c r="A497" s="6" t="s">
        <v>3700</v>
      </c>
      <c r="B497" s="6" t="s">
        <v>1375</v>
      </c>
      <c r="C497" s="6" t="s">
        <v>1077</v>
      </c>
      <c r="D497" s="18">
        <v>3.0</v>
      </c>
      <c r="E497" s="18">
        <v>25.0</v>
      </c>
      <c r="F497" s="18">
        <v>75.0</v>
      </c>
    </row>
    <row r="498">
      <c r="A498" s="6" t="s">
        <v>3704</v>
      </c>
      <c r="B498" s="6" t="s">
        <v>1375</v>
      </c>
      <c r="C498" s="6" t="s">
        <v>1079</v>
      </c>
      <c r="D498" s="18">
        <v>25.0</v>
      </c>
      <c r="E498" s="18">
        <v>16.2</v>
      </c>
      <c r="F498" s="18">
        <v>405.0</v>
      </c>
    </row>
    <row r="499">
      <c r="A499" s="6" t="s">
        <v>3706</v>
      </c>
      <c r="B499" s="6" t="s">
        <v>1375</v>
      </c>
      <c r="C499" s="6" t="s">
        <v>1080</v>
      </c>
      <c r="D499" s="18">
        <v>15.0</v>
      </c>
      <c r="E499" s="18">
        <v>16.25</v>
      </c>
      <c r="F499" s="18">
        <v>243.75</v>
      </c>
    </row>
    <row r="500">
      <c r="A500" s="6" t="s">
        <v>3710</v>
      </c>
      <c r="B500" s="6" t="s">
        <v>1375</v>
      </c>
      <c r="C500" s="6" t="s">
        <v>1085</v>
      </c>
      <c r="D500" s="18">
        <v>3.0</v>
      </c>
      <c r="E500" s="18">
        <v>36.0</v>
      </c>
      <c r="F500" s="18">
        <v>108.0</v>
      </c>
    </row>
    <row r="501">
      <c r="A501" s="6" t="s">
        <v>3714</v>
      </c>
      <c r="B501" s="6" t="s">
        <v>1375</v>
      </c>
      <c r="C501" s="6" t="s">
        <v>1077</v>
      </c>
      <c r="D501" s="18">
        <v>1.0</v>
      </c>
      <c r="E501" s="18">
        <v>25.0</v>
      </c>
      <c r="F501" s="18">
        <v>25.0</v>
      </c>
    </row>
    <row r="502">
      <c r="A502" s="6" t="s">
        <v>3719</v>
      </c>
      <c r="B502" s="6" t="s">
        <v>1375</v>
      </c>
      <c r="C502" s="6" t="s">
        <v>1074</v>
      </c>
      <c r="D502" s="18">
        <v>1.0</v>
      </c>
      <c r="E502" s="18">
        <v>33.0</v>
      </c>
      <c r="F502" s="18">
        <v>33.0</v>
      </c>
    </row>
    <row r="503">
      <c r="A503" s="6" t="s">
        <v>3721</v>
      </c>
      <c r="B503" s="6" t="s">
        <v>1382</v>
      </c>
      <c r="C503" s="6" t="s">
        <v>1653</v>
      </c>
      <c r="D503" s="18">
        <v>1.0</v>
      </c>
      <c r="E503" s="18">
        <v>190.0</v>
      </c>
      <c r="F503" s="18">
        <v>190.0</v>
      </c>
    </row>
    <row r="504">
      <c r="A504" s="6" t="s">
        <v>3724</v>
      </c>
      <c r="B504" s="6" t="s">
        <v>1388</v>
      </c>
      <c r="C504" s="6" t="s">
        <v>2003</v>
      </c>
      <c r="D504" s="18">
        <v>1.0</v>
      </c>
      <c r="E504" s="18">
        <v>360.0</v>
      </c>
      <c r="F504" s="18">
        <v>360.0</v>
      </c>
    </row>
    <row r="505">
      <c r="A505" s="6" t="s">
        <v>3728</v>
      </c>
      <c r="B505" s="6" t="s">
        <v>1392</v>
      </c>
      <c r="C505" s="6" t="s">
        <v>1889</v>
      </c>
      <c r="D505" s="18">
        <v>1.0</v>
      </c>
      <c r="E505" s="18">
        <v>40.0</v>
      </c>
      <c r="F505" s="18">
        <v>40.0</v>
      </c>
    </row>
    <row r="506">
      <c r="A506" s="6" t="s">
        <v>3730</v>
      </c>
      <c r="B506" s="6" t="s">
        <v>1397</v>
      </c>
      <c r="C506" s="6" t="s">
        <v>2012</v>
      </c>
      <c r="D506" s="18">
        <v>1.0</v>
      </c>
      <c r="E506" s="18">
        <v>599.7</v>
      </c>
      <c r="F506" s="18">
        <v>599.7</v>
      </c>
    </row>
    <row r="507">
      <c r="A507" s="6" t="s">
        <v>3732</v>
      </c>
      <c r="B507" s="6" t="s">
        <v>1401</v>
      </c>
      <c r="C507" s="6" t="s">
        <v>1291</v>
      </c>
      <c r="D507" s="18">
        <v>1.0</v>
      </c>
      <c r="E507" s="18">
        <v>55.0</v>
      </c>
      <c r="F507" s="18">
        <v>55.0</v>
      </c>
    </row>
    <row r="508">
      <c r="A508" s="6" t="s">
        <v>3736</v>
      </c>
      <c r="B508" s="6" t="s">
        <v>1406</v>
      </c>
      <c r="C508" s="6" t="s">
        <v>2020</v>
      </c>
      <c r="D508" s="18">
        <v>1.0</v>
      </c>
      <c r="E508" s="18">
        <v>156.0</v>
      </c>
      <c r="F508" s="18">
        <v>156.0</v>
      </c>
    </row>
    <row r="509">
      <c r="A509" s="6" t="s">
        <v>3740</v>
      </c>
      <c r="B509" s="18">
        <v>1.48789602E8</v>
      </c>
      <c r="C509" s="6" t="s">
        <v>2023</v>
      </c>
      <c r="D509" s="18">
        <v>1.0</v>
      </c>
      <c r="E509" s="18">
        <v>3313.0</v>
      </c>
      <c r="F509" s="18">
        <v>3313.0</v>
      </c>
    </row>
    <row r="510">
      <c r="A510" s="6" t="s">
        <v>3744</v>
      </c>
      <c r="B510" s="6" t="s">
        <v>1413</v>
      </c>
      <c r="C510" s="6" t="s">
        <v>1757</v>
      </c>
      <c r="D510" s="18">
        <v>1.0</v>
      </c>
      <c r="E510" s="18">
        <v>50.0</v>
      </c>
      <c r="F510" s="18">
        <v>50.0</v>
      </c>
    </row>
    <row r="511">
      <c r="A511" s="6" t="s">
        <v>3747</v>
      </c>
      <c r="B511" s="18">
        <v>1.1579572E7</v>
      </c>
      <c r="C511" s="6" t="s">
        <v>1757</v>
      </c>
      <c r="D511" s="18">
        <v>1.0</v>
      </c>
      <c r="E511" s="18">
        <v>50.0</v>
      </c>
      <c r="F511" s="18">
        <v>50.0</v>
      </c>
    </row>
    <row r="512">
      <c r="A512" s="6" t="s">
        <v>3750</v>
      </c>
      <c r="B512" s="6" t="s">
        <v>1429</v>
      </c>
      <c r="C512" s="6" t="s">
        <v>1757</v>
      </c>
      <c r="D512" s="18">
        <v>1.0</v>
      </c>
      <c r="E512" s="18">
        <v>51.0</v>
      </c>
      <c r="F512" s="18">
        <v>51.0</v>
      </c>
    </row>
    <row r="513">
      <c r="A513" s="6" t="s">
        <v>3754</v>
      </c>
      <c r="B513" s="6" t="s">
        <v>1435</v>
      </c>
      <c r="C513" s="6" t="s">
        <v>159</v>
      </c>
      <c r="D513" s="18">
        <v>10.0</v>
      </c>
      <c r="E513" s="18">
        <v>14.0</v>
      </c>
      <c r="F513" s="18">
        <v>140.0</v>
      </c>
    </row>
    <row r="514">
      <c r="A514" s="6" t="s">
        <v>3760</v>
      </c>
      <c r="B514" s="6" t="s">
        <v>1435</v>
      </c>
      <c r="C514" s="6" t="s">
        <v>230</v>
      </c>
      <c r="D514" s="18">
        <v>5.0</v>
      </c>
      <c r="E514" s="18">
        <v>24.0</v>
      </c>
      <c r="F514" s="18">
        <v>120.0</v>
      </c>
    </row>
    <row r="515">
      <c r="A515" s="6" t="s">
        <v>3765</v>
      </c>
      <c r="B515" s="6" t="s">
        <v>1435</v>
      </c>
      <c r="C515" s="6" t="s">
        <v>152</v>
      </c>
      <c r="D515" s="18">
        <v>2.0</v>
      </c>
      <c r="E515" s="18">
        <v>4.4</v>
      </c>
      <c r="F515" s="18">
        <v>8.8</v>
      </c>
    </row>
    <row r="516">
      <c r="A516" s="6" t="s">
        <v>3769</v>
      </c>
      <c r="B516" s="6" t="s">
        <v>1435</v>
      </c>
      <c r="C516" s="6" t="s">
        <v>226</v>
      </c>
      <c r="D516" s="18">
        <v>5.0</v>
      </c>
      <c r="E516" s="18">
        <v>7.0</v>
      </c>
      <c r="F516" s="18">
        <v>35.0</v>
      </c>
    </row>
    <row r="517">
      <c r="A517" s="6" t="s">
        <v>3773</v>
      </c>
      <c r="B517" s="6" t="s">
        <v>1441</v>
      </c>
      <c r="C517" s="6" t="s">
        <v>1168</v>
      </c>
      <c r="D517" s="18">
        <v>1.0</v>
      </c>
      <c r="E517" s="18">
        <v>100.0</v>
      </c>
      <c r="F517" s="18">
        <v>100.0</v>
      </c>
    </row>
    <row r="518">
      <c r="A518" s="6" t="s">
        <v>3780</v>
      </c>
      <c r="B518" s="6" t="s">
        <v>1444</v>
      </c>
      <c r="C518" s="18">
        <v>1.2539885E7</v>
      </c>
      <c r="D518" s="18">
        <v>1.0</v>
      </c>
      <c r="E518" s="18">
        <v>790.0</v>
      </c>
      <c r="F518" s="18">
        <v>790.0</v>
      </c>
    </row>
    <row r="519">
      <c r="A519" s="6" t="s">
        <v>3782</v>
      </c>
      <c r="B519" s="6" t="s">
        <v>1450</v>
      </c>
      <c r="C519" s="6" t="s">
        <v>1197</v>
      </c>
      <c r="D519" s="18">
        <v>5.0</v>
      </c>
      <c r="E519" s="18">
        <v>4.59</v>
      </c>
      <c r="F519" s="18">
        <v>22.95</v>
      </c>
    </row>
    <row r="520">
      <c r="A520" s="6" t="s">
        <v>3787</v>
      </c>
      <c r="B520" s="6" t="s">
        <v>1450</v>
      </c>
      <c r="C520" s="6" t="s">
        <v>691</v>
      </c>
      <c r="D520" s="18">
        <v>1.0</v>
      </c>
      <c r="E520" s="18">
        <v>40.25</v>
      </c>
      <c r="F520" s="18">
        <v>40.25</v>
      </c>
    </row>
    <row r="521">
      <c r="A521" s="6" t="s">
        <v>3789</v>
      </c>
      <c r="B521" s="6" t="s">
        <v>1450</v>
      </c>
      <c r="C521" s="6" t="s">
        <v>1041</v>
      </c>
      <c r="D521" s="18">
        <v>1.0</v>
      </c>
      <c r="E521" s="18">
        <v>19.9</v>
      </c>
      <c r="F521" s="18">
        <v>19.9</v>
      </c>
    </row>
    <row r="522">
      <c r="A522" s="6" t="s">
        <v>3791</v>
      </c>
      <c r="B522" s="6" t="s">
        <v>1450</v>
      </c>
      <c r="C522" s="6" t="s">
        <v>2073</v>
      </c>
      <c r="D522" s="18">
        <v>1.0</v>
      </c>
      <c r="E522" s="18">
        <v>12.99</v>
      </c>
      <c r="F522" s="18">
        <v>12.99</v>
      </c>
    </row>
    <row r="523">
      <c r="A523" s="6" t="s">
        <v>3793</v>
      </c>
      <c r="B523" s="6" t="s">
        <v>1450</v>
      </c>
      <c r="C523" s="6" t="s">
        <v>1683</v>
      </c>
      <c r="D523" s="18">
        <v>1.0</v>
      </c>
      <c r="E523" s="18">
        <v>36.08</v>
      </c>
      <c r="F523" s="18">
        <v>36.08</v>
      </c>
    </row>
    <row r="524">
      <c r="A524" s="6" t="s">
        <v>3796</v>
      </c>
      <c r="B524" s="6" t="s">
        <v>1460</v>
      </c>
      <c r="C524" s="6" t="s">
        <v>1074</v>
      </c>
      <c r="D524" s="18">
        <v>4.0</v>
      </c>
      <c r="E524" s="18">
        <v>35.0</v>
      </c>
      <c r="F524" s="18">
        <v>140.0</v>
      </c>
    </row>
    <row r="525">
      <c r="A525" s="6" t="s">
        <v>3799</v>
      </c>
      <c r="B525" s="6" t="s">
        <v>1460</v>
      </c>
      <c r="C525" s="6" t="s">
        <v>1075</v>
      </c>
      <c r="D525" s="18">
        <v>2.0</v>
      </c>
      <c r="E525" s="18">
        <v>17.5</v>
      </c>
      <c r="F525" s="18">
        <v>35.0</v>
      </c>
    </row>
    <row r="526">
      <c r="A526" s="6" t="s">
        <v>3802</v>
      </c>
      <c r="B526" s="6" t="s">
        <v>1460</v>
      </c>
      <c r="C526" s="6" t="s">
        <v>1077</v>
      </c>
      <c r="D526" s="18">
        <v>3.0</v>
      </c>
      <c r="E526" s="18">
        <v>25.0</v>
      </c>
      <c r="F526" s="18">
        <v>75.0</v>
      </c>
    </row>
    <row r="527">
      <c r="A527" s="6" t="s">
        <v>3806</v>
      </c>
      <c r="B527" s="6" t="s">
        <v>1460</v>
      </c>
      <c r="C527" s="6" t="s">
        <v>1079</v>
      </c>
      <c r="D527" s="18">
        <v>10.0</v>
      </c>
      <c r="E527" s="18">
        <v>16.2</v>
      </c>
      <c r="F527" s="18">
        <v>162.0</v>
      </c>
    </row>
    <row r="528">
      <c r="A528" s="6" t="s">
        <v>3809</v>
      </c>
      <c r="B528" s="6" t="s">
        <v>1460</v>
      </c>
      <c r="C528" s="6" t="s">
        <v>1080</v>
      </c>
      <c r="D528" s="18">
        <v>5.0</v>
      </c>
      <c r="E528" s="18">
        <v>16.2</v>
      </c>
      <c r="F528" s="18">
        <v>81.0</v>
      </c>
    </row>
    <row r="529">
      <c r="A529" s="6" t="s">
        <v>3814</v>
      </c>
      <c r="B529" s="6" t="s">
        <v>1460</v>
      </c>
      <c r="C529" s="6" t="s">
        <v>1081</v>
      </c>
      <c r="D529" s="18">
        <v>2.0</v>
      </c>
      <c r="E529" s="18">
        <v>45.0</v>
      </c>
      <c r="F529" s="18">
        <v>90.0</v>
      </c>
    </row>
    <row r="530">
      <c r="A530" s="6" t="s">
        <v>3818</v>
      </c>
      <c r="B530" s="6" t="s">
        <v>1460</v>
      </c>
      <c r="C530" s="6" t="s">
        <v>1085</v>
      </c>
      <c r="D530" s="18">
        <v>2.0</v>
      </c>
      <c r="E530" s="18">
        <v>35.0</v>
      </c>
      <c r="F530" s="18">
        <v>70.0</v>
      </c>
    </row>
    <row r="531">
      <c r="A531" s="6" t="s">
        <v>3823</v>
      </c>
      <c r="B531" s="6" t="s">
        <v>1466</v>
      </c>
      <c r="C531" s="6" t="s">
        <v>238</v>
      </c>
      <c r="D531" s="18">
        <v>12.0</v>
      </c>
      <c r="E531" s="18">
        <v>5.4</v>
      </c>
      <c r="F531" s="18">
        <v>64.80000000000001</v>
      </c>
    </row>
    <row r="532">
      <c r="A532" s="6" t="s">
        <v>3827</v>
      </c>
      <c r="B532" s="6" t="s">
        <v>1466</v>
      </c>
      <c r="C532" s="6" t="s">
        <v>240</v>
      </c>
      <c r="D532" s="18">
        <v>6.0</v>
      </c>
      <c r="E532" s="18">
        <v>5.4</v>
      </c>
      <c r="F532" s="18">
        <v>32.4</v>
      </c>
    </row>
    <row r="533">
      <c r="A533" s="6" t="s">
        <v>3831</v>
      </c>
      <c r="B533" s="6" t="s">
        <v>1466</v>
      </c>
      <c r="C533" s="6" t="s">
        <v>242</v>
      </c>
      <c r="D533" s="18">
        <v>6.0</v>
      </c>
      <c r="E533" s="18">
        <v>5.4</v>
      </c>
      <c r="F533" s="18">
        <v>32.4</v>
      </c>
    </row>
    <row r="534">
      <c r="A534" s="6" t="s">
        <v>3835</v>
      </c>
      <c r="B534" s="6" t="s">
        <v>1466</v>
      </c>
      <c r="C534" s="6" t="s">
        <v>243</v>
      </c>
      <c r="D534" s="18">
        <v>12.0</v>
      </c>
      <c r="E534" s="18">
        <v>5.6</v>
      </c>
      <c r="F534" s="18">
        <v>67.2</v>
      </c>
    </row>
    <row r="535">
      <c r="A535" s="6" t="s">
        <v>3838</v>
      </c>
      <c r="B535" s="6" t="s">
        <v>1473</v>
      </c>
      <c r="C535" s="6" t="s">
        <v>1728</v>
      </c>
      <c r="D535" s="18">
        <v>1.0</v>
      </c>
      <c r="E535" s="18">
        <v>69.9</v>
      </c>
      <c r="F535" s="18">
        <v>69.9</v>
      </c>
    </row>
    <row r="536">
      <c r="A536" s="6" t="s">
        <v>3841</v>
      </c>
      <c r="B536" s="6" t="s">
        <v>1480</v>
      </c>
      <c r="C536" s="6" t="s">
        <v>247</v>
      </c>
      <c r="D536" s="18">
        <v>18.0</v>
      </c>
      <c r="E536" s="18">
        <v>1.19</v>
      </c>
      <c r="F536" s="18">
        <v>21.419999999999998</v>
      </c>
    </row>
    <row r="537">
      <c r="A537" s="6" t="s">
        <v>3845</v>
      </c>
      <c r="B537" s="6" t="s">
        <v>1480</v>
      </c>
      <c r="C537" s="6" t="s">
        <v>305</v>
      </c>
      <c r="D537" s="18">
        <v>1.0</v>
      </c>
      <c r="E537" s="18">
        <v>59.92</v>
      </c>
      <c r="F537" s="18">
        <v>59.92</v>
      </c>
    </row>
    <row r="538">
      <c r="A538" s="6" t="s">
        <v>3848</v>
      </c>
      <c r="B538" s="6" t="s">
        <v>1486</v>
      </c>
      <c r="C538" s="6" t="s">
        <v>1164</v>
      </c>
      <c r="D538" s="18">
        <v>1.0</v>
      </c>
      <c r="E538" s="18">
        <v>250.0</v>
      </c>
      <c r="F538" s="18">
        <v>250.0</v>
      </c>
    </row>
    <row r="539">
      <c r="A539" s="6" t="s">
        <v>3850</v>
      </c>
      <c r="B539" s="6" t="s">
        <v>1491</v>
      </c>
      <c r="C539" s="6" t="s">
        <v>1510</v>
      </c>
      <c r="D539" s="18">
        <v>1.0</v>
      </c>
      <c r="E539" s="18">
        <v>18389.62</v>
      </c>
      <c r="F539" s="18">
        <v>18389.62</v>
      </c>
    </row>
    <row r="540">
      <c r="A540" s="6" t="s">
        <v>3853</v>
      </c>
      <c r="B540" s="6" t="s">
        <v>1499</v>
      </c>
      <c r="C540" s="6" t="s">
        <v>1145</v>
      </c>
      <c r="D540" s="18">
        <v>1.0</v>
      </c>
      <c r="E540" s="18">
        <v>1148.18</v>
      </c>
      <c r="F540" s="18">
        <v>1148.18</v>
      </c>
    </row>
    <row r="541">
      <c r="A541" s="6" t="s">
        <v>3857</v>
      </c>
      <c r="B541" s="6" t="s">
        <v>1506</v>
      </c>
      <c r="C541" s="6" t="s">
        <v>1517</v>
      </c>
      <c r="D541" s="18">
        <v>1.0</v>
      </c>
      <c r="E541" s="18">
        <v>4484.26</v>
      </c>
      <c r="F541" s="18">
        <v>4484.26</v>
      </c>
    </row>
    <row r="542">
      <c r="A542" s="6" t="s">
        <v>3861</v>
      </c>
      <c r="B542" s="6" t="s">
        <v>1513</v>
      </c>
      <c r="C542" s="6" t="s">
        <v>159</v>
      </c>
      <c r="D542" s="18">
        <v>10.0</v>
      </c>
      <c r="E542" s="18">
        <v>13.5</v>
      </c>
      <c r="F542" s="18">
        <v>135.0</v>
      </c>
    </row>
    <row r="543">
      <c r="A543" s="6" t="s">
        <v>3865</v>
      </c>
      <c r="B543" s="6" t="s">
        <v>1513</v>
      </c>
      <c r="C543" s="6" t="s">
        <v>155</v>
      </c>
      <c r="D543" s="18">
        <v>4.5</v>
      </c>
      <c r="E543" s="18">
        <v>7.7</v>
      </c>
      <c r="F543" s="18">
        <v>34.65</v>
      </c>
    </row>
    <row r="544">
      <c r="A544" s="6" t="s">
        <v>3867</v>
      </c>
      <c r="B544" s="6" t="s">
        <v>1513</v>
      </c>
      <c r="C544" s="6" t="s">
        <v>230</v>
      </c>
      <c r="D544" s="18">
        <v>5.5</v>
      </c>
      <c r="E544" s="18">
        <v>22.0</v>
      </c>
      <c r="F544" s="18">
        <v>121.0</v>
      </c>
    </row>
    <row r="545">
      <c r="A545" s="6" t="s">
        <v>3872</v>
      </c>
      <c r="B545" s="6" t="s">
        <v>1513</v>
      </c>
      <c r="C545" s="6" t="s">
        <v>226</v>
      </c>
      <c r="D545" s="18">
        <v>6.0</v>
      </c>
      <c r="E545" s="18">
        <v>7.8</v>
      </c>
      <c r="F545" s="18">
        <v>46.8</v>
      </c>
    </row>
    <row r="546">
      <c r="A546" s="6" t="s">
        <v>3874</v>
      </c>
      <c r="B546" s="6" t="s">
        <v>1513</v>
      </c>
      <c r="C546" s="6" t="s">
        <v>152</v>
      </c>
      <c r="D546" s="18">
        <v>1.0</v>
      </c>
      <c r="E546" s="18">
        <v>423.12</v>
      </c>
      <c r="F546" s="18">
        <v>423.12</v>
      </c>
    </row>
    <row r="547">
      <c r="A547" s="6" t="s">
        <v>3879</v>
      </c>
      <c r="B547" s="6" t="s">
        <v>1519</v>
      </c>
      <c r="C547" s="6" t="s">
        <v>238</v>
      </c>
      <c r="D547" s="18">
        <v>1.0</v>
      </c>
      <c r="E547" s="18">
        <v>196.8</v>
      </c>
      <c r="F547" s="18">
        <v>196.8</v>
      </c>
    </row>
    <row r="548">
      <c r="A548" s="6" t="s">
        <v>3883</v>
      </c>
      <c r="B548" s="6" t="s">
        <v>1523</v>
      </c>
      <c r="C548" s="6" t="s">
        <v>1126</v>
      </c>
      <c r="D548" s="18">
        <v>1.0</v>
      </c>
      <c r="E548" s="18">
        <v>30.0</v>
      </c>
      <c r="F548" s="18">
        <v>30.0</v>
      </c>
    </row>
    <row r="549">
      <c r="A549" s="6" t="s">
        <v>3885</v>
      </c>
      <c r="B549" s="6" t="s">
        <v>1526</v>
      </c>
      <c r="C549" s="6" t="s">
        <v>1168</v>
      </c>
      <c r="D549" s="18">
        <v>1.0</v>
      </c>
      <c r="E549" s="18">
        <v>200.0</v>
      </c>
      <c r="F549" s="18">
        <v>200.0</v>
      </c>
    </row>
    <row r="550">
      <c r="A550" s="6" t="s">
        <v>3891</v>
      </c>
      <c r="B550" s="6" t="s">
        <v>1529</v>
      </c>
      <c r="C550" s="6" t="s">
        <v>1270</v>
      </c>
      <c r="D550" s="18">
        <v>1.0</v>
      </c>
      <c r="E550" s="18">
        <v>500.0</v>
      </c>
      <c r="F550" s="18">
        <v>500.0</v>
      </c>
    </row>
    <row r="551">
      <c r="A551" s="6" t="s">
        <v>3895</v>
      </c>
      <c r="B551" s="6" t="s">
        <v>1535</v>
      </c>
      <c r="C551" s="6" t="s">
        <v>226</v>
      </c>
      <c r="D551" s="18">
        <v>5.0</v>
      </c>
      <c r="E551" s="18">
        <v>7.5</v>
      </c>
      <c r="F551" s="18">
        <v>37.5</v>
      </c>
    </row>
    <row r="552">
      <c r="A552" s="6" t="s">
        <v>3899</v>
      </c>
      <c r="B552" s="6" t="s">
        <v>1535</v>
      </c>
      <c r="C552" s="6" t="s">
        <v>152</v>
      </c>
      <c r="D552" s="18">
        <v>1.0</v>
      </c>
      <c r="E552" s="18">
        <v>10.25</v>
      </c>
      <c r="F552" s="18">
        <v>10.25</v>
      </c>
    </row>
    <row r="553">
      <c r="A553" s="6" t="s">
        <v>3904</v>
      </c>
      <c r="B553" s="6" t="s">
        <v>1535</v>
      </c>
      <c r="C553" s="6" t="s">
        <v>230</v>
      </c>
      <c r="D553" s="18">
        <v>1.0</v>
      </c>
      <c r="E553" s="18">
        <v>92.95</v>
      </c>
      <c r="F553" s="18">
        <v>92.95</v>
      </c>
    </row>
    <row r="554">
      <c r="A554" s="6" t="s">
        <v>3908</v>
      </c>
      <c r="B554" s="6" t="s">
        <v>1535</v>
      </c>
      <c r="C554" s="6" t="s">
        <v>155</v>
      </c>
      <c r="D554" s="18">
        <v>1.0</v>
      </c>
      <c r="E554" s="18">
        <v>37.63</v>
      </c>
      <c r="F554" s="18">
        <v>37.63</v>
      </c>
    </row>
    <row r="555">
      <c r="A555" s="6" t="s">
        <v>3910</v>
      </c>
      <c r="B555" s="6" t="s">
        <v>1547</v>
      </c>
      <c r="C555" s="6" t="s">
        <v>2206</v>
      </c>
      <c r="D555" s="18">
        <v>4.0</v>
      </c>
      <c r="E555" s="18">
        <v>16.0</v>
      </c>
      <c r="F555" s="18">
        <v>64.0</v>
      </c>
    </row>
    <row r="556">
      <c r="A556" s="6" t="s">
        <v>3915</v>
      </c>
      <c r="B556" s="6" t="s">
        <v>1547</v>
      </c>
      <c r="C556" s="6" t="s">
        <v>2208</v>
      </c>
      <c r="D556" s="18">
        <v>1.0</v>
      </c>
      <c r="E556" s="18">
        <v>20.0</v>
      </c>
      <c r="F556" s="18">
        <v>20.0</v>
      </c>
    </row>
    <row r="557">
      <c r="A557" s="6" t="s">
        <v>3917</v>
      </c>
      <c r="B557" s="6" t="s">
        <v>1556</v>
      </c>
      <c r="C557" s="6" t="s">
        <v>1047</v>
      </c>
      <c r="D557" s="18">
        <v>1.0</v>
      </c>
      <c r="E557" s="18">
        <v>110.0</v>
      </c>
      <c r="F557" s="18">
        <v>110.0</v>
      </c>
    </row>
    <row r="558">
      <c r="A558" s="6" t="s">
        <v>3919</v>
      </c>
      <c r="B558" s="6" t="s">
        <v>1564</v>
      </c>
      <c r="C558" s="6" t="s">
        <v>1668</v>
      </c>
      <c r="D558" s="18">
        <v>1.0</v>
      </c>
      <c r="E558" s="18">
        <v>118.0</v>
      </c>
      <c r="F558" s="18">
        <v>118.0</v>
      </c>
    </row>
    <row r="559">
      <c r="A559" s="6" t="s">
        <v>3921</v>
      </c>
      <c r="B559" s="6" t="s">
        <v>1571</v>
      </c>
      <c r="C559" s="18">
        <v>1.2539885E7</v>
      </c>
      <c r="D559" s="18">
        <v>1.0</v>
      </c>
      <c r="E559" s="18">
        <v>220.0</v>
      </c>
      <c r="F559" s="18">
        <v>220.0</v>
      </c>
    </row>
    <row r="560">
      <c r="A560" s="6" t="s">
        <v>3923</v>
      </c>
      <c r="B560" s="6" t="s">
        <v>1579</v>
      </c>
      <c r="C560" s="6" t="s">
        <v>1648</v>
      </c>
      <c r="D560" s="18">
        <v>1.0</v>
      </c>
      <c r="E560" s="18">
        <v>140.97</v>
      </c>
      <c r="F560" s="18">
        <v>140.97</v>
      </c>
    </row>
    <row r="561">
      <c r="A561" s="6" t="s">
        <v>3927</v>
      </c>
      <c r="B561" s="6" t="s">
        <v>1587</v>
      </c>
      <c r="C561" s="6" t="s">
        <v>1648</v>
      </c>
      <c r="D561" s="18">
        <v>1.0</v>
      </c>
      <c r="E561" s="18">
        <v>70.65</v>
      </c>
      <c r="F561" s="18">
        <v>70.65</v>
      </c>
    </row>
    <row r="562">
      <c r="A562" s="6" t="s">
        <v>3928</v>
      </c>
      <c r="B562" s="6" t="s">
        <v>1592</v>
      </c>
      <c r="C562" s="6" t="s">
        <v>305</v>
      </c>
      <c r="D562" s="18">
        <v>1.0</v>
      </c>
      <c r="E562" s="18">
        <v>49.75</v>
      </c>
      <c r="F562" s="18">
        <v>49.75</v>
      </c>
    </row>
    <row r="563">
      <c r="A563" s="6" t="s">
        <v>3930</v>
      </c>
      <c r="B563" s="6" t="s">
        <v>1599</v>
      </c>
      <c r="C563" s="6" t="s">
        <v>305</v>
      </c>
      <c r="D563" s="18">
        <v>1.0</v>
      </c>
      <c r="E563" s="18">
        <v>139.46</v>
      </c>
      <c r="F563" s="18">
        <v>139.46</v>
      </c>
    </row>
    <row r="564">
      <c r="A564" s="6" t="s">
        <v>3933</v>
      </c>
      <c r="B564" s="6" t="s">
        <v>1605</v>
      </c>
      <c r="C564" s="6" t="s">
        <v>159</v>
      </c>
      <c r="D564" s="18">
        <v>10.0</v>
      </c>
      <c r="E564" s="18">
        <v>12.5</v>
      </c>
      <c r="F564" s="18">
        <v>125.0</v>
      </c>
    </row>
    <row r="565">
      <c r="A565" s="6" t="s">
        <v>3935</v>
      </c>
      <c r="B565" s="6" t="s">
        <v>1605</v>
      </c>
      <c r="C565" s="6" t="s">
        <v>155</v>
      </c>
      <c r="D565" s="18">
        <v>1.0</v>
      </c>
      <c r="E565" s="18">
        <v>43.68</v>
      </c>
      <c r="F565" s="18">
        <v>43.68</v>
      </c>
    </row>
    <row r="566">
      <c r="A566" s="6" t="s">
        <v>3938</v>
      </c>
      <c r="B566" s="6" t="s">
        <v>1605</v>
      </c>
      <c r="C566" s="6" t="s">
        <v>230</v>
      </c>
      <c r="D566" s="18">
        <v>1.0</v>
      </c>
      <c r="E566" s="18">
        <v>118.8</v>
      </c>
      <c r="F566" s="18">
        <v>118.8</v>
      </c>
    </row>
    <row r="567">
      <c r="A567" s="6" t="s">
        <v>3942</v>
      </c>
      <c r="B567" s="6" t="s">
        <v>1605</v>
      </c>
      <c r="C567" s="6" t="s">
        <v>152</v>
      </c>
      <c r="D567" s="18">
        <v>1.0</v>
      </c>
      <c r="E567" s="18">
        <v>37.5</v>
      </c>
      <c r="F567" s="18">
        <v>37.5</v>
      </c>
    </row>
    <row r="568">
      <c r="A568" s="6" t="s">
        <v>3944</v>
      </c>
      <c r="B568" s="6" t="s">
        <v>1611</v>
      </c>
      <c r="C568" s="6" t="s">
        <v>854</v>
      </c>
      <c r="D568" s="18">
        <v>1.0</v>
      </c>
      <c r="E568" s="18">
        <v>39.97</v>
      </c>
      <c r="F568" s="18">
        <v>39.97</v>
      </c>
    </row>
    <row r="569">
      <c r="A569" s="6" t="s">
        <v>3947</v>
      </c>
      <c r="B569" s="6" t="s">
        <v>1620</v>
      </c>
      <c r="C569" s="6" t="s">
        <v>1022</v>
      </c>
      <c r="D569" s="18">
        <v>1.0</v>
      </c>
      <c r="E569" s="18">
        <v>225.0</v>
      </c>
      <c r="F569" s="18">
        <v>225.0</v>
      </c>
    </row>
    <row r="570">
      <c r="A570" s="6" t="s">
        <v>3951</v>
      </c>
      <c r="B570" s="6" t="s">
        <v>1628</v>
      </c>
      <c r="C570" s="6" t="s">
        <v>1197</v>
      </c>
      <c r="D570" s="18">
        <v>4.0</v>
      </c>
      <c r="E570" s="18">
        <v>21.0</v>
      </c>
      <c r="F570" s="18">
        <v>84.0</v>
      </c>
    </row>
    <row r="571">
      <c r="A571" s="6" t="s">
        <v>3955</v>
      </c>
      <c r="B571" s="6" t="s">
        <v>1628</v>
      </c>
      <c r="C571" s="6" t="s">
        <v>1195</v>
      </c>
      <c r="D571" s="18">
        <v>3.0</v>
      </c>
      <c r="E571" s="18">
        <v>23.0</v>
      </c>
      <c r="F571" s="18">
        <v>69.0</v>
      </c>
    </row>
    <row r="572">
      <c r="A572" s="6" t="s">
        <v>3957</v>
      </c>
      <c r="B572" s="6" t="s">
        <v>1628</v>
      </c>
      <c r="C572" s="6" t="s">
        <v>2305</v>
      </c>
      <c r="D572" s="18">
        <v>2.0</v>
      </c>
      <c r="E572" s="18">
        <v>31.0</v>
      </c>
      <c r="F572" s="18">
        <v>62.0</v>
      </c>
    </row>
    <row r="573">
      <c r="A573" s="6" t="s">
        <v>3959</v>
      </c>
      <c r="B573" s="6" t="s">
        <v>1628</v>
      </c>
      <c r="C573" s="6" t="s">
        <v>797</v>
      </c>
      <c r="D573" s="18">
        <v>1.0</v>
      </c>
      <c r="E573" s="18">
        <v>23.0</v>
      </c>
      <c r="F573" s="18">
        <v>23.0</v>
      </c>
    </row>
    <row r="574">
      <c r="A574" s="6" t="s">
        <v>3960</v>
      </c>
      <c r="B574" s="6" t="s">
        <v>1628</v>
      </c>
      <c r="C574" s="6" t="s">
        <v>266</v>
      </c>
      <c r="D574" s="18">
        <v>2.0</v>
      </c>
      <c r="E574" s="18">
        <v>18.5</v>
      </c>
      <c r="F574" s="18">
        <v>37.0</v>
      </c>
    </row>
    <row r="575">
      <c r="A575" s="6" t="s">
        <v>3964</v>
      </c>
      <c r="B575" s="6" t="s">
        <v>1628</v>
      </c>
      <c r="C575" s="18">
        <v>7.9788768E7</v>
      </c>
      <c r="D575" s="18">
        <v>1.0</v>
      </c>
      <c r="E575" s="18">
        <v>31.0</v>
      </c>
      <c r="F575" s="18">
        <v>31.0</v>
      </c>
    </row>
    <row r="576">
      <c r="A576" s="6" t="s">
        <v>3967</v>
      </c>
      <c r="B576" s="6" t="s">
        <v>1628</v>
      </c>
      <c r="C576" s="6" t="s">
        <v>1041</v>
      </c>
      <c r="D576" s="18">
        <v>7.0</v>
      </c>
      <c r="E576" s="18">
        <v>4.5</v>
      </c>
      <c r="F576" s="18">
        <v>31.5</v>
      </c>
    </row>
    <row r="577">
      <c r="A577" s="6" t="s">
        <v>3970</v>
      </c>
      <c r="B577" s="6" t="s">
        <v>1638</v>
      </c>
      <c r="C577" s="6" t="s">
        <v>1022</v>
      </c>
      <c r="D577" s="18">
        <v>1.0</v>
      </c>
      <c r="E577" s="18">
        <v>225.0</v>
      </c>
      <c r="F577" s="18">
        <v>225.0</v>
      </c>
    </row>
    <row r="578">
      <c r="A578" s="6" t="s">
        <v>3973</v>
      </c>
      <c r="B578" s="6" t="s">
        <v>1643</v>
      </c>
      <c r="C578" s="6" t="s">
        <v>691</v>
      </c>
      <c r="D578" s="18">
        <v>1.0</v>
      </c>
      <c r="E578" s="18">
        <v>104.68</v>
      </c>
      <c r="F578" s="18">
        <v>104.68</v>
      </c>
    </row>
    <row r="579">
      <c r="A579" s="6" t="s">
        <v>3977</v>
      </c>
      <c r="B579" s="6" t="s">
        <v>1643</v>
      </c>
      <c r="C579" s="6" t="s">
        <v>1536</v>
      </c>
      <c r="D579" s="18">
        <v>10.0</v>
      </c>
      <c r="E579" s="18">
        <v>5.99</v>
      </c>
      <c r="F579" s="18">
        <v>59.9</v>
      </c>
    </row>
    <row r="580">
      <c r="A580" s="6" t="s">
        <v>3981</v>
      </c>
      <c r="B580" s="6" t="s">
        <v>1643</v>
      </c>
      <c r="C580" s="6" t="s">
        <v>2348</v>
      </c>
      <c r="D580" s="18">
        <v>1.0</v>
      </c>
      <c r="E580" s="18">
        <v>69.99</v>
      </c>
      <c r="F580" s="18">
        <v>69.99</v>
      </c>
    </row>
    <row r="581">
      <c r="A581" s="6" t="s">
        <v>3983</v>
      </c>
      <c r="B581" s="6" t="s">
        <v>1643</v>
      </c>
      <c r="C581" s="6" t="s">
        <v>2351</v>
      </c>
      <c r="D581" s="18">
        <v>1.0</v>
      </c>
      <c r="E581" s="18">
        <v>144.95</v>
      </c>
      <c r="F581" s="18">
        <v>144.95</v>
      </c>
    </row>
    <row r="582">
      <c r="A582" s="6" t="s">
        <v>3985</v>
      </c>
      <c r="B582" s="6" t="s">
        <v>1651</v>
      </c>
      <c r="C582" s="6" t="s">
        <v>2208</v>
      </c>
      <c r="D582" s="18">
        <v>1.0</v>
      </c>
      <c r="E582" s="18">
        <v>12.0</v>
      </c>
      <c r="F582" s="18">
        <v>12.0</v>
      </c>
    </row>
    <row r="583">
      <c r="A583" s="6" t="s">
        <v>3988</v>
      </c>
      <c r="B583" s="6" t="s">
        <v>1651</v>
      </c>
      <c r="C583" s="6" t="s">
        <v>2368</v>
      </c>
      <c r="D583" s="18">
        <v>2.0</v>
      </c>
      <c r="E583" s="18">
        <v>15.0</v>
      </c>
      <c r="F583" s="18">
        <v>30.0</v>
      </c>
    </row>
    <row r="584">
      <c r="A584" s="6" t="s">
        <v>3990</v>
      </c>
      <c r="B584" s="6" t="s">
        <v>1651</v>
      </c>
      <c r="C584" s="6" t="s">
        <v>1121</v>
      </c>
      <c r="D584" s="18">
        <v>1.0</v>
      </c>
      <c r="E584" s="18">
        <v>88.0</v>
      </c>
      <c r="F584" s="18">
        <v>88.0</v>
      </c>
    </row>
    <row r="585">
      <c r="A585" s="6" t="s">
        <v>3993</v>
      </c>
      <c r="B585" s="6" t="s">
        <v>1660</v>
      </c>
      <c r="C585" s="6" t="s">
        <v>1904</v>
      </c>
      <c r="D585" s="18">
        <v>1.0</v>
      </c>
      <c r="E585" s="18">
        <v>4.0</v>
      </c>
      <c r="F585" s="18">
        <v>4.0</v>
      </c>
    </row>
    <row r="586">
      <c r="A586" s="6" t="s">
        <v>3995</v>
      </c>
      <c r="B586" s="6" t="s">
        <v>1667</v>
      </c>
      <c r="C586" s="18">
        <v>1.2539885E7</v>
      </c>
      <c r="D586" s="18">
        <v>1.0</v>
      </c>
      <c r="E586" s="18">
        <v>620.0</v>
      </c>
      <c r="F586" s="18">
        <v>620.0</v>
      </c>
    </row>
    <row r="587">
      <c r="A587" s="6" t="s">
        <v>3997</v>
      </c>
      <c r="B587" s="6" t="s">
        <v>1674</v>
      </c>
      <c r="C587" s="6" t="s">
        <v>1904</v>
      </c>
      <c r="D587" s="18">
        <v>1.0</v>
      </c>
      <c r="E587" s="18">
        <v>1.0</v>
      </c>
      <c r="F587" s="18">
        <v>1.0</v>
      </c>
    </row>
    <row r="588">
      <c r="A588" s="6" t="s">
        <v>3998</v>
      </c>
      <c r="B588" s="6" t="s">
        <v>1685</v>
      </c>
      <c r="C588" s="6" t="s">
        <v>155</v>
      </c>
      <c r="D588" s="18">
        <v>1.0</v>
      </c>
      <c r="E588" s="18">
        <v>37.26</v>
      </c>
      <c r="F588" s="18">
        <v>37.26</v>
      </c>
    </row>
    <row r="589">
      <c r="A589" s="6" t="s">
        <v>4000</v>
      </c>
      <c r="B589" s="6" t="s">
        <v>1685</v>
      </c>
      <c r="C589" s="6" t="s">
        <v>230</v>
      </c>
      <c r="D589" s="18">
        <v>1.0</v>
      </c>
      <c r="E589" s="18">
        <v>110.0</v>
      </c>
      <c r="F589" s="18">
        <v>110.0</v>
      </c>
    </row>
    <row r="590">
      <c r="A590" s="6" t="s">
        <v>4002</v>
      </c>
      <c r="B590" s="6" t="s">
        <v>1685</v>
      </c>
      <c r="C590" s="6" t="s">
        <v>226</v>
      </c>
      <c r="D590" s="18">
        <v>6.0</v>
      </c>
      <c r="E590" s="18">
        <v>7.8</v>
      </c>
      <c r="F590" s="18">
        <v>46.8</v>
      </c>
    </row>
    <row r="591">
      <c r="A591" s="6" t="s">
        <v>4005</v>
      </c>
      <c r="B591" s="6" t="s">
        <v>1691</v>
      </c>
      <c r="C591" s="6" t="s">
        <v>1904</v>
      </c>
      <c r="D591" s="18">
        <v>1.0</v>
      </c>
      <c r="E591" s="18">
        <v>2.0</v>
      </c>
      <c r="F591" s="18">
        <v>2.0</v>
      </c>
    </row>
    <row r="592">
      <c r="A592" s="6" t="s">
        <v>4007</v>
      </c>
      <c r="B592" s="6" t="s">
        <v>1698</v>
      </c>
      <c r="C592" s="6" t="s">
        <v>1054</v>
      </c>
      <c r="D592" s="18">
        <v>1.0</v>
      </c>
      <c r="E592" s="18">
        <v>4549.1</v>
      </c>
      <c r="F592" s="18">
        <v>4549.1</v>
      </c>
    </row>
    <row r="593">
      <c r="A593" s="6" t="s">
        <v>4009</v>
      </c>
      <c r="B593" s="6" t="s">
        <v>1703</v>
      </c>
      <c r="C593" s="6" t="s">
        <v>2448</v>
      </c>
      <c r="D593" s="18">
        <v>1.0</v>
      </c>
      <c r="E593" s="18">
        <v>644.71</v>
      </c>
      <c r="F593" s="18">
        <v>644.71</v>
      </c>
    </row>
    <row r="594">
      <c r="A594" s="6" t="s">
        <v>4011</v>
      </c>
      <c r="B594" s="6" t="s">
        <v>1709</v>
      </c>
      <c r="C594" s="6" t="s">
        <v>1239</v>
      </c>
      <c r="D594" s="18">
        <v>1.0</v>
      </c>
      <c r="E594" s="18">
        <v>1812.88</v>
      </c>
      <c r="F594" s="18">
        <v>1812.88</v>
      </c>
    </row>
    <row r="595">
      <c r="A595" s="6" t="s">
        <v>4013</v>
      </c>
      <c r="B595" s="6" t="s">
        <v>1715</v>
      </c>
      <c r="C595" s="6" t="s">
        <v>1239</v>
      </c>
      <c r="D595" s="18">
        <v>1.0</v>
      </c>
      <c r="E595" s="18">
        <v>455.34</v>
      </c>
      <c r="F595" s="18">
        <v>455.34</v>
      </c>
    </row>
    <row r="596">
      <c r="A596" s="6" t="s">
        <v>4014</v>
      </c>
      <c r="B596" s="6" t="s">
        <v>1718</v>
      </c>
      <c r="C596" s="6" t="s">
        <v>1239</v>
      </c>
      <c r="D596" s="18">
        <v>1.0</v>
      </c>
      <c r="E596" s="18">
        <v>1239.11</v>
      </c>
      <c r="F596" s="18">
        <v>1239.11</v>
      </c>
    </row>
    <row r="597">
      <c r="A597" s="6" t="s">
        <v>4016</v>
      </c>
      <c r="B597" s="6" t="s">
        <v>1721</v>
      </c>
      <c r="C597" s="6" t="s">
        <v>1239</v>
      </c>
      <c r="D597" s="18">
        <v>1.0</v>
      </c>
      <c r="E597" s="18">
        <v>1869.66</v>
      </c>
      <c r="F597" s="18">
        <v>1869.66</v>
      </c>
    </row>
    <row r="598">
      <c r="A598" s="6" t="s">
        <v>4019</v>
      </c>
      <c r="B598" s="6" t="s">
        <v>1726</v>
      </c>
      <c r="C598" s="6" t="s">
        <v>1239</v>
      </c>
      <c r="D598" s="18">
        <v>1.0</v>
      </c>
      <c r="E598" s="18">
        <v>1869.66</v>
      </c>
      <c r="F598" s="18">
        <v>1869.66</v>
      </c>
    </row>
    <row r="599">
      <c r="A599" s="6" t="s">
        <v>4021</v>
      </c>
      <c r="B599" s="18">
        <v>1.1762011E8</v>
      </c>
      <c r="C599" s="6" t="s">
        <v>1239</v>
      </c>
      <c r="D599" s="18">
        <v>1.0</v>
      </c>
      <c r="E599" s="18">
        <v>2256.7</v>
      </c>
      <c r="F599" s="18">
        <v>2256.7</v>
      </c>
    </row>
    <row r="600">
      <c r="A600" s="6" t="s">
        <v>4024</v>
      </c>
      <c r="B600" s="6" t="s">
        <v>1734</v>
      </c>
      <c r="C600" s="6" t="s">
        <v>1091</v>
      </c>
      <c r="D600" s="18">
        <v>1.0</v>
      </c>
      <c r="E600" s="18">
        <v>318.0</v>
      </c>
      <c r="F600" s="18">
        <v>318.0</v>
      </c>
    </row>
    <row r="601">
      <c r="A601" s="6" t="s">
        <v>4027</v>
      </c>
      <c r="B601" s="6" t="s">
        <v>1739</v>
      </c>
      <c r="C601" s="6" t="s">
        <v>1510</v>
      </c>
      <c r="D601" s="18">
        <v>1.0</v>
      </c>
      <c r="E601" s="18">
        <v>12514.97</v>
      </c>
      <c r="F601" s="18">
        <v>12514.97</v>
      </c>
    </row>
    <row r="602">
      <c r="A602" s="6" t="s">
        <v>4031</v>
      </c>
      <c r="B602" s="6" t="s">
        <v>1745</v>
      </c>
      <c r="C602" s="6" t="s">
        <v>1517</v>
      </c>
      <c r="D602" s="18">
        <v>1.0</v>
      </c>
      <c r="E602" s="18">
        <v>10035.66</v>
      </c>
      <c r="F602" s="18">
        <v>10035.66</v>
      </c>
    </row>
    <row r="603">
      <c r="A603" s="6" t="s">
        <v>4035</v>
      </c>
      <c r="B603" s="6" t="s">
        <v>1750</v>
      </c>
      <c r="C603" s="6" t="s">
        <v>1904</v>
      </c>
      <c r="D603" s="18">
        <v>1.0</v>
      </c>
      <c r="E603" s="18">
        <v>2.0</v>
      </c>
      <c r="F603" s="18">
        <v>2.0</v>
      </c>
    </row>
    <row r="604">
      <c r="A604" s="6" t="s">
        <v>4038</v>
      </c>
      <c r="B604" s="6" t="s">
        <v>1756</v>
      </c>
      <c r="C604" s="6" t="s">
        <v>1904</v>
      </c>
      <c r="D604" s="18">
        <v>1.0</v>
      </c>
      <c r="E604" s="18">
        <v>4.0</v>
      </c>
      <c r="F604" s="18">
        <v>4.0</v>
      </c>
    </row>
    <row r="605">
      <c r="A605" s="6" t="s">
        <v>4043</v>
      </c>
      <c r="B605" s="6" t="s">
        <v>1763</v>
      </c>
      <c r="C605" s="6" t="s">
        <v>305</v>
      </c>
      <c r="D605" s="18">
        <v>1.0</v>
      </c>
      <c r="E605" s="18">
        <v>47.47</v>
      </c>
      <c r="F605" s="18">
        <v>47.47</v>
      </c>
    </row>
    <row r="606">
      <c r="A606" s="6" t="s">
        <v>4046</v>
      </c>
      <c r="B606" s="6" t="s">
        <v>1770</v>
      </c>
      <c r="C606" s="18">
        <v>1.2539885E7</v>
      </c>
      <c r="D606" s="18">
        <v>20.0</v>
      </c>
      <c r="E606" s="18">
        <v>20.0</v>
      </c>
      <c r="F606" s="18">
        <v>400.0</v>
      </c>
    </row>
    <row r="607">
      <c r="A607" s="6" t="s">
        <v>4051</v>
      </c>
      <c r="B607" s="6" t="s">
        <v>1776</v>
      </c>
      <c r="C607" s="6" t="s">
        <v>338</v>
      </c>
      <c r="D607" s="18">
        <v>1.0</v>
      </c>
      <c r="E607" s="18">
        <v>225.52</v>
      </c>
      <c r="F607" s="18">
        <v>225.52</v>
      </c>
    </row>
    <row r="608">
      <c r="A608" s="6" t="s">
        <v>4054</v>
      </c>
      <c r="B608" s="6" t="s">
        <v>1782</v>
      </c>
      <c r="C608" s="6" t="s">
        <v>854</v>
      </c>
      <c r="D608" s="18">
        <v>1.0</v>
      </c>
      <c r="E608" s="18">
        <v>14.97</v>
      </c>
      <c r="F608" s="18">
        <v>14.97</v>
      </c>
    </row>
    <row r="609">
      <c r="A609" s="6" t="s">
        <v>4059</v>
      </c>
      <c r="B609" s="6" t="s">
        <v>1789</v>
      </c>
      <c r="C609" s="6" t="s">
        <v>1239</v>
      </c>
      <c r="D609" s="18">
        <v>1.0</v>
      </c>
      <c r="E609" s="18">
        <v>2191.99</v>
      </c>
      <c r="F609" s="18">
        <v>2191.99</v>
      </c>
    </row>
    <row r="610">
      <c r="A610" s="6" t="s">
        <v>4064</v>
      </c>
      <c r="B610" s="6" t="s">
        <v>1796</v>
      </c>
      <c r="C610" s="6" t="s">
        <v>159</v>
      </c>
      <c r="D610" s="18">
        <v>1.0</v>
      </c>
      <c r="E610" s="18">
        <v>141.18</v>
      </c>
      <c r="F610" s="18">
        <v>141.18</v>
      </c>
    </row>
    <row r="611">
      <c r="A611" s="6" t="s">
        <v>4066</v>
      </c>
      <c r="B611" s="6" t="s">
        <v>1796</v>
      </c>
      <c r="C611" s="6" t="s">
        <v>155</v>
      </c>
      <c r="D611" s="18">
        <v>1.0</v>
      </c>
      <c r="E611" s="18">
        <v>141.18</v>
      </c>
      <c r="F611" s="18">
        <v>141.18</v>
      </c>
    </row>
    <row r="612">
      <c r="A612" s="6" t="s">
        <v>4069</v>
      </c>
      <c r="B612" s="6" t="s">
        <v>1796</v>
      </c>
      <c r="C612" s="6" t="s">
        <v>230</v>
      </c>
      <c r="D612" s="18">
        <v>1.0</v>
      </c>
      <c r="E612" s="18">
        <v>141.19</v>
      </c>
      <c r="F612" s="18">
        <v>141.19</v>
      </c>
    </row>
    <row r="613">
      <c r="A613" s="6" t="s">
        <v>4075</v>
      </c>
      <c r="B613" s="6" t="s">
        <v>1805</v>
      </c>
      <c r="C613" s="6" t="s">
        <v>305</v>
      </c>
      <c r="D613" s="18">
        <v>1.0</v>
      </c>
      <c r="E613" s="18">
        <v>110.51</v>
      </c>
      <c r="F613" s="18">
        <v>110.51</v>
      </c>
    </row>
    <row r="614">
      <c r="A614" s="6" t="s">
        <v>4079</v>
      </c>
      <c r="B614" s="6" t="s">
        <v>1812</v>
      </c>
      <c r="C614" s="6" t="s">
        <v>305</v>
      </c>
      <c r="D614" s="18">
        <v>1.0</v>
      </c>
      <c r="E614" s="18">
        <v>23.97</v>
      </c>
      <c r="F614" s="18">
        <v>23.97</v>
      </c>
    </row>
    <row r="615">
      <c r="A615" s="6" t="s">
        <v>4083</v>
      </c>
      <c r="B615" s="6" t="s">
        <v>1818</v>
      </c>
      <c r="C615" s="6" t="s">
        <v>226</v>
      </c>
      <c r="D615" s="18">
        <v>6.0</v>
      </c>
      <c r="E615" s="18">
        <v>7.5</v>
      </c>
      <c r="F615" s="18">
        <v>45.0</v>
      </c>
    </row>
    <row r="616">
      <c r="A616" s="6" t="s">
        <v>4085</v>
      </c>
      <c r="B616" s="6" t="s">
        <v>1818</v>
      </c>
      <c r="C616" s="6" t="s">
        <v>152</v>
      </c>
      <c r="D616" s="18">
        <v>1.0</v>
      </c>
      <c r="E616" s="18">
        <v>7.7</v>
      </c>
      <c r="F616" s="18">
        <v>7.7</v>
      </c>
    </row>
    <row r="617">
      <c r="A617" s="6" t="s">
        <v>4088</v>
      </c>
      <c r="B617" s="6" t="s">
        <v>1818</v>
      </c>
      <c r="C617" s="6" t="s">
        <v>230</v>
      </c>
      <c r="D617" s="18">
        <v>3.0</v>
      </c>
      <c r="E617" s="18">
        <v>23.0</v>
      </c>
      <c r="F617" s="18">
        <v>69.0</v>
      </c>
    </row>
    <row r="618">
      <c r="A618" s="6" t="s">
        <v>4092</v>
      </c>
      <c r="B618" s="6" t="s">
        <v>1818</v>
      </c>
      <c r="C618" s="6" t="s">
        <v>155</v>
      </c>
      <c r="D618" s="18">
        <v>1.0</v>
      </c>
      <c r="E618" s="18">
        <v>59.13</v>
      </c>
      <c r="F618" s="18">
        <v>59.13</v>
      </c>
    </row>
    <row r="619">
      <c r="A619" s="6" t="s">
        <v>4096</v>
      </c>
      <c r="B619" s="6" t="s">
        <v>1824</v>
      </c>
      <c r="C619" s="6" t="s">
        <v>1085</v>
      </c>
      <c r="D619" s="18">
        <v>1.0</v>
      </c>
      <c r="E619" s="18">
        <v>148.29</v>
      </c>
      <c r="F619" s="18">
        <v>148.29</v>
      </c>
    </row>
    <row r="620">
      <c r="A620" s="6" t="s">
        <v>4098</v>
      </c>
      <c r="B620" s="6" t="s">
        <v>1824</v>
      </c>
      <c r="C620" s="6" t="s">
        <v>1074</v>
      </c>
      <c r="D620" s="18">
        <v>1.0</v>
      </c>
      <c r="E620" s="18">
        <v>148.28</v>
      </c>
      <c r="F620" s="18">
        <v>148.28</v>
      </c>
    </row>
    <row r="621">
      <c r="A621" s="6" t="s">
        <v>4103</v>
      </c>
      <c r="B621" s="6" t="s">
        <v>1824</v>
      </c>
      <c r="C621" s="6" t="s">
        <v>1384</v>
      </c>
      <c r="D621" s="18">
        <v>1.0</v>
      </c>
      <c r="E621" s="18">
        <v>148.28</v>
      </c>
      <c r="F621" s="18">
        <v>148.28</v>
      </c>
    </row>
    <row r="622">
      <c r="A622" s="6" t="s">
        <v>4108</v>
      </c>
      <c r="B622" s="6" t="s">
        <v>1824</v>
      </c>
      <c r="C622" s="6" t="s">
        <v>1404</v>
      </c>
      <c r="D622" s="18">
        <v>2.0</v>
      </c>
      <c r="E622" s="18">
        <v>148.28</v>
      </c>
      <c r="F622" s="18">
        <v>296.56</v>
      </c>
    </row>
    <row r="623">
      <c r="A623" s="6" t="s">
        <v>4110</v>
      </c>
      <c r="B623" s="6" t="s">
        <v>1824</v>
      </c>
      <c r="C623" s="6" t="s">
        <v>1387</v>
      </c>
      <c r="D623" s="18">
        <v>1.0</v>
      </c>
      <c r="E623" s="18">
        <v>148.28</v>
      </c>
      <c r="F623" s="18">
        <v>148.28</v>
      </c>
    </row>
    <row r="624">
      <c r="A624" s="6" t="s">
        <v>4114</v>
      </c>
      <c r="B624" s="6" t="s">
        <v>1824</v>
      </c>
      <c r="C624" s="6" t="s">
        <v>1075</v>
      </c>
      <c r="D624" s="18">
        <v>1.0</v>
      </c>
      <c r="E624" s="18">
        <v>148.31</v>
      </c>
      <c r="F624" s="18">
        <v>148.31</v>
      </c>
    </row>
    <row r="625">
      <c r="A625" s="6" t="s">
        <v>4118</v>
      </c>
      <c r="B625" s="6" t="s">
        <v>1831</v>
      </c>
      <c r="C625" s="6" t="s">
        <v>1653</v>
      </c>
      <c r="D625" s="18">
        <v>1.0</v>
      </c>
      <c r="E625" s="18">
        <v>225.0</v>
      </c>
      <c r="F625" s="18">
        <v>225.0</v>
      </c>
    </row>
    <row r="626">
      <c r="A626" s="6" t="s">
        <v>4122</v>
      </c>
      <c r="B626" s="6" t="s">
        <v>1834</v>
      </c>
      <c r="C626" s="6" t="s">
        <v>1079</v>
      </c>
      <c r="D626" s="18">
        <v>1.0</v>
      </c>
      <c r="E626" s="18">
        <v>225.52</v>
      </c>
      <c r="F626" s="18">
        <v>225.52</v>
      </c>
    </row>
    <row r="627">
      <c r="A627" s="6" t="s">
        <v>4127</v>
      </c>
      <c r="B627" s="6" t="s">
        <v>1837</v>
      </c>
      <c r="C627" s="6" t="s">
        <v>2622</v>
      </c>
      <c r="D627" s="18">
        <v>1.0</v>
      </c>
      <c r="E627" s="18">
        <v>27.0</v>
      </c>
      <c r="F627" s="18">
        <v>27.0</v>
      </c>
    </row>
    <row r="628">
      <c r="A628" s="6" t="s">
        <v>4129</v>
      </c>
      <c r="B628" s="6" t="s">
        <v>1843</v>
      </c>
      <c r="C628" s="18">
        <v>1.2539885E7</v>
      </c>
      <c r="D628" s="18">
        <v>1.0</v>
      </c>
      <c r="E628" s="18">
        <v>500.0</v>
      </c>
      <c r="F628" s="18">
        <v>500.0</v>
      </c>
    </row>
    <row r="629">
      <c r="A629" s="6" t="s">
        <v>4132</v>
      </c>
      <c r="B629" s="6" t="s">
        <v>1849</v>
      </c>
      <c r="C629" s="6" t="s">
        <v>159</v>
      </c>
      <c r="D629" s="18">
        <v>15.0</v>
      </c>
      <c r="E629" s="18">
        <v>12.0</v>
      </c>
      <c r="F629" s="18">
        <v>180.0</v>
      </c>
    </row>
    <row r="630">
      <c r="A630" s="6" t="s">
        <v>4136</v>
      </c>
      <c r="B630" s="6" t="s">
        <v>1849</v>
      </c>
      <c r="C630" s="6" t="s">
        <v>155</v>
      </c>
      <c r="D630" s="18">
        <v>5.5</v>
      </c>
      <c r="E630" s="18">
        <v>6.5</v>
      </c>
      <c r="F630" s="18">
        <v>35.75</v>
      </c>
    </row>
    <row r="631">
      <c r="A631" s="6" t="s">
        <v>4140</v>
      </c>
      <c r="B631" s="6" t="s">
        <v>1849</v>
      </c>
      <c r="C631" s="6" t="s">
        <v>230</v>
      </c>
      <c r="D631" s="18">
        <v>1.0</v>
      </c>
      <c r="E631" s="18">
        <v>114.4</v>
      </c>
      <c r="F631" s="18">
        <v>114.4</v>
      </c>
    </row>
    <row r="632">
      <c r="A632" s="6" t="s">
        <v>4144</v>
      </c>
      <c r="B632" s="6" t="s">
        <v>1849</v>
      </c>
      <c r="C632" s="6" t="s">
        <v>152</v>
      </c>
      <c r="D632" s="18">
        <v>1.0</v>
      </c>
      <c r="E632" s="18">
        <v>11.55</v>
      </c>
      <c r="F632" s="18">
        <v>11.55</v>
      </c>
    </row>
    <row r="633">
      <c r="A633" s="6" t="s">
        <v>4148</v>
      </c>
      <c r="B633" s="6" t="s">
        <v>1849</v>
      </c>
      <c r="C633" s="6" t="s">
        <v>226</v>
      </c>
      <c r="D633" s="18">
        <v>10.0</v>
      </c>
      <c r="E633" s="18">
        <v>7.5</v>
      </c>
      <c r="F633" s="18">
        <v>75.0</v>
      </c>
    </row>
    <row r="634">
      <c r="A634" s="6" t="s">
        <v>4151</v>
      </c>
      <c r="B634" s="6" t="s">
        <v>1856</v>
      </c>
      <c r="C634" s="6" t="s">
        <v>305</v>
      </c>
      <c r="D634" s="18">
        <v>1.0</v>
      </c>
      <c r="E634" s="18">
        <v>127.55</v>
      </c>
      <c r="F634" s="18">
        <v>127.55</v>
      </c>
    </row>
    <row r="635">
      <c r="A635" s="6" t="s">
        <v>4155</v>
      </c>
      <c r="B635" s="6" t="s">
        <v>1862</v>
      </c>
      <c r="C635" s="6" t="s">
        <v>2662</v>
      </c>
      <c r="D635" s="18">
        <v>1.0</v>
      </c>
      <c r="E635" s="18">
        <v>405.58</v>
      </c>
      <c r="F635" s="18">
        <v>405.58</v>
      </c>
    </row>
    <row r="636">
      <c r="A636" s="6" t="s">
        <v>4157</v>
      </c>
      <c r="B636" s="6" t="s">
        <v>1868</v>
      </c>
      <c r="C636" s="6" t="s">
        <v>159</v>
      </c>
      <c r="D636" s="18">
        <v>10.0</v>
      </c>
      <c r="E636" s="18">
        <v>13.9</v>
      </c>
      <c r="F636" s="18">
        <v>139.0</v>
      </c>
    </row>
    <row r="637">
      <c r="A637" s="6" t="s">
        <v>4160</v>
      </c>
      <c r="B637" s="6" t="s">
        <v>1868</v>
      </c>
      <c r="C637" s="6" t="s">
        <v>155</v>
      </c>
      <c r="D637" s="18">
        <v>5.0</v>
      </c>
      <c r="E637" s="18">
        <v>7.0</v>
      </c>
      <c r="F637" s="18">
        <v>35.0</v>
      </c>
    </row>
    <row r="638">
      <c r="A638" s="6" t="s">
        <v>4162</v>
      </c>
      <c r="B638" s="6" t="s">
        <v>1868</v>
      </c>
      <c r="C638" s="6" t="s">
        <v>230</v>
      </c>
      <c r="D638" s="18">
        <v>1.0</v>
      </c>
      <c r="E638" s="18">
        <v>126.15</v>
      </c>
      <c r="F638" s="18">
        <v>126.15</v>
      </c>
    </row>
    <row r="639">
      <c r="A639" s="6" t="s">
        <v>4166</v>
      </c>
      <c r="B639" s="6" t="s">
        <v>1868</v>
      </c>
      <c r="C639" s="6" t="s">
        <v>152</v>
      </c>
      <c r="D639" s="18">
        <v>1.0</v>
      </c>
      <c r="E639" s="18">
        <v>9.9</v>
      </c>
      <c r="F639" s="18">
        <v>9.9</v>
      </c>
    </row>
    <row r="640">
      <c r="A640" s="6" t="s">
        <v>4169</v>
      </c>
      <c r="B640" s="6" t="s">
        <v>1868</v>
      </c>
      <c r="C640" s="6" t="s">
        <v>226</v>
      </c>
      <c r="D640" s="18">
        <v>1.0</v>
      </c>
      <c r="E640" s="18">
        <v>37.5</v>
      </c>
      <c r="F640" s="18">
        <v>37.5</v>
      </c>
    </row>
    <row r="641">
      <c r="A641" s="6" t="s">
        <v>4171</v>
      </c>
      <c r="B641" s="6" t="s">
        <v>1872</v>
      </c>
      <c r="C641" s="6" t="s">
        <v>1757</v>
      </c>
      <c r="D641" s="18">
        <v>1.0</v>
      </c>
      <c r="E641" s="18">
        <v>50.0</v>
      </c>
      <c r="F641" s="18">
        <v>50.0</v>
      </c>
    </row>
    <row r="642">
      <c r="A642" s="6" t="s">
        <v>4175</v>
      </c>
      <c r="B642" s="6" t="s">
        <v>1877</v>
      </c>
      <c r="C642" s="18">
        <v>1.2539885E7</v>
      </c>
      <c r="D642" s="18">
        <v>1.0</v>
      </c>
      <c r="E642" s="18">
        <v>500.0</v>
      </c>
      <c r="F642" s="18">
        <v>500.0</v>
      </c>
    </row>
    <row r="643">
      <c r="A643" s="6" t="s">
        <v>4178</v>
      </c>
      <c r="B643" s="6" t="s">
        <v>1883</v>
      </c>
      <c r="C643" s="6" t="s">
        <v>2692</v>
      </c>
      <c r="D643" s="18">
        <v>1.0</v>
      </c>
      <c r="E643" s="18">
        <v>100.0</v>
      </c>
      <c r="F643" s="18">
        <v>100.0</v>
      </c>
    </row>
    <row r="644">
      <c r="A644" s="6" t="s">
        <v>4180</v>
      </c>
      <c r="B644" s="6" t="s">
        <v>1890</v>
      </c>
      <c r="C644" s="6" t="s">
        <v>159</v>
      </c>
      <c r="D644" s="18">
        <v>5.0</v>
      </c>
      <c r="E644" s="18">
        <v>13.5</v>
      </c>
      <c r="F644" s="18">
        <v>67.5</v>
      </c>
    </row>
    <row r="645">
      <c r="A645" s="6" t="s">
        <v>4181</v>
      </c>
      <c r="B645" s="6" t="s">
        <v>1890</v>
      </c>
      <c r="C645" s="6" t="s">
        <v>155</v>
      </c>
      <c r="D645" s="18">
        <v>1.0</v>
      </c>
      <c r="E645" s="18">
        <v>71.2</v>
      </c>
      <c r="F645" s="18">
        <v>71.2</v>
      </c>
    </row>
    <row r="646">
      <c r="A646" s="6" t="s">
        <v>4183</v>
      </c>
      <c r="B646" s="6" t="s">
        <v>1890</v>
      </c>
      <c r="C646" s="6" t="s">
        <v>230</v>
      </c>
      <c r="D646" s="18">
        <v>1.0</v>
      </c>
      <c r="E646" s="18">
        <v>158.6</v>
      </c>
      <c r="F646" s="18">
        <v>158.6</v>
      </c>
    </row>
    <row r="647">
      <c r="A647" s="6" t="s">
        <v>4184</v>
      </c>
      <c r="B647" s="6" t="s">
        <v>1890</v>
      </c>
      <c r="C647" s="6" t="s">
        <v>152</v>
      </c>
      <c r="D647" s="18">
        <v>1.0</v>
      </c>
      <c r="E647" s="18">
        <v>3.7</v>
      </c>
      <c r="F647" s="18">
        <v>3.7</v>
      </c>
    </row>
    <row r="648">
      <c r="A648" s="6" t="s">
        <v>4186</v>
      </c>
      <c r="B648" s="6" t="s">
        <v>1890</v>
      </c>
      <c r="C648" s="6" t="s">
        <v>226</v>
      </c>
      <c r="D648" s="18">
        <v>15.0</v>
      </c>
      <c r="E648" s="18">
        <v>7.5</v>
      </c>
      <c r="F648" s="18">
        <v>112.5</v>
      </c>
    </row>
    <row r="649">
      <c r="A649" s="6" t="s">
        <v>4187</v>
      </c>
      <c r="B649" s="6" t="s">
        <v>1895</v>
      </c>
      <c r="C649" s="6" t="s">
        <v>1510</v>
      </c>
      <c r="D649" s="18">
        <v>1.0</v>
      </c>
      <c r="E649" s="18">
        <v>15389.41</v>
      </c>
      <c r="F649" s="18">
        <v>15389.41</v>
      </c>
    </row>
    <row r="650">
      <c r="A650" s="6" t="s">
        <v>4188</v>
      </c>
      <c r="B650" s="6" t="s">
        <v>1901</v>
      </c>
      <c r="C650" s="6" t="s">
        <v>2715</v>
      </c>
      <c r="D650" s="18">
        <v>1.0</v>
      </c>
      <c r="E650" s="18">
        <v>1299.91</v>
      </c>
      <c r="F650" s="18">
        <v>1299.91</v>
      </c>
    </row>
    <row r="651">
      <c r="A651" s="6" t="s">
        <v>4190</v>
      </c>
      <c r="B651" s="6" t="s">
        <v>1905</v>
      </c>
      <c r="C651" s="6" t="s">
        <v>2715</v>
      </c>
      <c r="D651" s="18">
        <v>1.0</v>
      </c>
      <c r="E651" s="18">
        <v>1299.91</v>
      </c>
      <c r="F651" s="18">
        <v>1299.91</v>
      </c>
    </row>
    <row r="652">
      <c r="A652" s="6" t="s">
        <v>4191</v>
      </c>
      <c r="B652" s="6" t="s">
        <v>1909</v>
      </c>
      <c r="C652" s="6" t="s">
        <v>2725</v>
      </c>
      <c r="D652" s="18">
        <v>1.0</v>
      </c>
      <c r="E652" s="18">
        <v>74.27</v>
      </c>
      <c r="F652" s="18">
        <v>74.27</v>
      </c>
    </row>
    <row r="653">
      <c r="A653" s="6" t="s">
        <v>4193</v>
      </c>
      <c r="B653" s="6" t="s">
        <v>1916</v>
      </c>
      <c r="C653" s="6" t="s">
        <v>2735</v>
      </c>
      <c r="D653" s="18">
        <v>1.0</v>
      </c>
      <c r="E653" s="18">
        <v>55.0</v>
      </c>
      <c r="F653" s="18">
        <v>55.0</v>
      </c>
    </row>
    <row r="654">
      <c r="A654" s="6" t="s">
        <v>4194</v>
      </c>
      <c r="B654" s="6" t="s">
        <v>1925</v>
      </c>
      <c r="C654" s="6" t="s">
        <v>305</v>
      </c>
      <c r="D654" s="18">
        <v>1.0</v>
      </c>
      <c r="E654" s="18">
        <v>203.9</v>
      </c>
      <c r="F654" s="18">
        <v>203.9</v>
      </c>
    </row>
    <row r="655">
      <c r="A655" s="6" t="s">
        <v>4195</v>
      </c>
      <c r="B655" s="6" t="s">
        <v>1931</v>
      </c>
      <c r="C655" s="6" t="s">
        <v>683</v>
      </c>
      <c r="D655" s="18">
        <v>1.0</v>
      </c>
      <c r="E655" s="18">
        <v>11.99</v>
      </c>
      <c r="F655" s="18">
        <v>11.99</v>
      </c>
    </row>
    <row r="656">
      <c r="A656" s="6" t="s">
        <v>4197</v>
      </c>
      <c r="B656" s="6" t="s">
        <v>1935</v>
      </c>
      <c r="C656" s="6" t="s">
        <v>1904</v>
      </c>
      <c r="D656" s="18">
        <v>1.0</v>
      </c>
      <c r="E656" s="18">
        <v>6.0</v>
      </c>
      <c r="F656" s="18">
        <v>6.0</v>
      </c>
    </row>
    <row r="657">
      <c r="A657" s="6" t="s">
        <v>4201</v>
      </c>
      <c r="B657" s="18">
        <v>9.0835023E7</v>
      </c>
      <c r="C657" s="6" t="s">
        <v>159</v>
      </c>
      <c r="D657" s="18">
        <v>15.0</v>
      </c>
      <c r="E657" s="18">
        <v>13.5</v>
      </c>
      <c r="F657" s="18">
        <v>202.5</v>
      </c>
    </row>
    <row r="658">
      <c r="A658" s="6" t="s">
        <v>4202</v>
      </c>
      <c r="B658" s="18">
        <v>9.0835023E7</v>
      </c>
      <c r="C658" s="6" t="s">
        <v>155</v>
      </c>
      <c r="D658" s="18">
        <v>1.0</v>
      </c>
      <c r="E658" s="18">
        <v>31.27</v>
      </c>
      <c r="F658" s="18">
        <v>31.27</v>
      </c>
    </row>
    <row r="659">
      <c r="A659" s="6" t="s">
        <v>4203</v>
      </c>
      <c r="B659" s="18">
        <v>9.0835023E7</v>
      </c>
      <c r="C659" s="6" t="s">
        <v>230</v>
      </c>
      <c r="D659" s="18">
        <v>1.0</v>
      </c>
      <c r="E659" s="18">
        <v>160.82</v>
      </c>
      <c r="F659" s="18">
        <v>160.82</v>
      </c>
    </row>
    <row r="660">
      <c r="A660" s="6" t="s">
        <v>4204</v>
      </c>
      <c r="B660" s="18">
        <v>9.0835023E7</v>
      </c>
      <c r="C660" s="6" t="s">
        <v>152</v>
      </c>
      <c r="D660" s="18">
        <v>1.0</v>
      </c>
      <c r="E660" s="18">
        <v>11.94</v>
      </c>
      <c r="F660" s="18">
        <v>11.94</v>
      </c>
    </row>
    <row r="661">
      <c r="A661" s="6" t="s">
        <v>4206</v>
      </c>
      <c r="B661" s="18">
        <v>9.0835023E7</v>
      </c>
      <c r="C661" s="6" t="s">
        <v>226</v>
      </c>
      <c r="D661" s="18">
        <v>1.0</v>
      </c>
      <c r="E661" s="18">
        <v>22.5</v>
      </c>
      <c r="F661" s="18">
        <v>22.5</v>
      </c>
    </row>
    <row r="662">
      <c r="A662" s="6" t="s">
        <v>4207</v>
      </c>
      <c r="B662" s="6" t="s">
        <v>1945</v>
      </c>
      <c r="C662" s="6" t="s">
        <v>2777</v>
      </c>
      <c r="D662" s="18">
        <v>1.0</v>
      </c>
      <c r="E662" s="18">
        <v>61.8</v>
      </c>
      <c r="F662" s="18">
        <v>61.8</v>
      </c>
    </row>
    <row r="663">
      <c r="A663" s="6" t="s">
        <v>4210</v>
      </c>
      <c r="B663" s="6" t="s">
        <v>1952</v>
      </c>
      <c r="C663" s="6" t="s">
        <v>1517</v>
      </c>
      <c r="D663" s="18">
        <v>1.0</v>
      </c>
      <c r="E663" s="18">
        <v>5903.2</v>
      </c>
      <c r="F663" s="18">
        <v>5903.2</v>
      </c>
    </row>
    <row r="664">
      <c r="A664" s="6" t="s">
        <v>4211</v>
      </c>
      <c r="B664" s="6" t="s">
        <v>1956</v>
      </c>
      <c r="C664" s="6" t="s">
        <v>1668</v>
      </c>
      <c r="D664" s="18">
        <v>1.0</v>
      </c>
      <c r="E664" s="18">
        <v>114.46</v>
      </c>
      <c r="F664" s="18">
        <v>114.46</v>
      </c>
    </row>
    <row r="665">
      <c r="A665" s="6" t="s">
        <v>4213</v>
      </c>
      <c r="B665" s="6" t="s">
        <v>1963</v>
      </c>
      <c r="C665" s="6" t="s">
        <v>1073</v>
      </c>
      <c r="D665" s="18">
        <v>1.0</v>
      </c>
      <c r="E665" s="18">
        <v>81.08</v>
      </c>
      <c r="F665" s="18">
        <v>81.08</v>
      </c>
    </row>
    <row r="666">
      <c r="A666" s="6" t="s">
        <v>4216</v>
      </c>
      <c r="B666" s="6" t="s">
        <v>1963</v>
      </c>
      <c r="C666" s="6" t="s">
        <v>1074</v>
      </c>
      <c r="D666" s="18">
        <v>1.0</v>
      </c>
      <c r="E666" s="18">
        <v>81.08</v>
      </c>
      <c r="F666" s="18">
        <v>81.08</v>
      </c>
    </row>
    <row r="667">
      <c r="A667" s="6" t="s">
        <v>4217</v>
      </c>
      <c r="B667" s="6" t="s">
        <v>1963</v>
      </c>
      <c r="C667" s="6" t="s">
        <v>1075</v>
      </c>
      <c r="D667" s="18">
        <v>1.0</v>
      </c>
      <c r="E667" s="18">
        <v>81.08</v>
      </c>
      <c r="F667" s="18">
        <v>81.08</v>
      </c>
    </row>
    <row r="668">
      <c r="A668" s="6" t="s">
        <v>4219</v>
      </c>
      <c r="B668" s="6" t="s">
        <v>1963</v>
      </c>
      <c r="C668" s="6" t="s">
        <v>1079</v>
      </c>
      <c r="D668" s="18">
        <v>1.0</v>
      </c>
      <c r="E668" s="18">
        <v>81.03</v>
      </c>
      <c r="F668" s="18">
        <v>81.03</v>
      </c>
    </row>
    <row r="669">
      <c r="A669" s="6" t="s">
        <v>4222</v>
      </c>
      <c r="B669" s="6" t="s">
        <v>1963</v>
      </c>
      <c r="C669" s="6" t="s">
        <v>1080</v>
      </c>
      <c r="D669" s="18">
        <v>1.0</v>
      </c>
      <c r="E669" s="18">
        <v>81.08</v>
      </c>
      <c r="F669" s="18">
        <v>81.08</v>
      </c>
    </row>
    <row r="670">
      <c r="A670" s="6" t="s">
        <v>4224</v>
      </c>
      <c r="B670" s="6" t="s">
        <v>1963</v>
      </c>
      <c r="C670" s="6" t="s">
        <v>1081</v>
      </c>
      <c r="D670" s="18">
        <v>1.0</v>
      </c>
      <c r="E670" s="18">
        <v>81.08</v>
      </c>
      <c r="F670" s="18">
        <v>81.08</v>
      </c>
    </row>
    <row r="671">
      <c r="A671" s="6" t="s">
        <v>4226</v>
      </c>
      <c r="B671" s="6" t="s">
        <v>1963</v>
      </c>
      <c r="C671" s="6" t="s">
        <v>1085</v>
      </c>
      <c r="D671" s="18">
        <v>1.0</v>
      </c>
      <c r="E671" s="18">
        <v>81.08</v>
      </c>
      <c r="F671" s="18">
        <v>81.08</v>
      </c>
    </row>
    <row r="672">
      <c r="A672" s="6" t="s">
        <v>4229</v>
      </c>
      <c r="B672" s="6" t="s">
        <v>1963</v>
      </c>
      <c r="C672" s="6" t="s">
        <v>1081</v>
      </c>
      <c r="D672" s="18">
        <v>1.0</v>
      </c>
      <c r="E672" s="18">
        <v>81.08</v>
      </c>
      <c r="F672" s="18">
        <v>81.08</v>
      </c>
    </row>
    <row r="673">
      <c r="A673" s="6" t="s">
        <v>4232</v>
      </c>
      <c r="B673" s="6" t="s">
        <v>1971</v>
      </c>
      <c r="C673" s="6" t="s">
        <v>2816</v>
      </c>
      <c r="D673" s="18">
        <v>1.0</v>
      </c>
      <c r="E673" s="18">
        <v>331.98</v>
      </c>
      <c r="F673" s="18">
        <v>331.98</v>
      </c>
    </row>
    <row r="674">
      <c r="A674" s="6" t="s">
        <v>4234</v>
      </c>
      <c r="B674" s="6" t="s">
        <v>1978</v>
      </c>
      <c r="C674" s="6" t="s">
        <v>159</v>
      </c>
      <c r="D674" s="18">
        <v>1.0</v>
      </c>
      <c r="E674" s="18">
        <v>37.5</v>
      </c>
      <c r="F674" s="18">
        <v>37.5</v>
      </c>
    </row>
    <row r="675">
      <c r="A675" s="6" t="s">
        <v>4237</v>
      </c>
      <c r="B675" s="6" t="s">
        <v>1978</v>
      </c>
      <c r="C675" s="6" t="s">
        <v>155</v>
      </c>
      <c r="D675" s="18">
        <v>8.5</v>
      </c>
      <c r="E675" s="18">
        <v>6.9</v>
      </c>
      <c r="F675" s="18">
        <v>58.65</v>
      </c>
    </row>
    <row r="676">
      <c r="A676" s="6" t="s">
        <v>4238</v>
      </c>
      <c r="B676" s="6" t="s">
        <v>1978</v>
      </c>
      <c r="C676" s="6" t="s">
        <v>230</v>
      </c>
      <c r="D676" s="18">
        <v>6.0</v>
      </c>
      <c r="E676" s="18">
        <v>26.0</v>
      </c>
      <c r="F676" s="18">
        <v>156.0</v>
      </c>
    </row>
    <row r="677">
      <c r="A677" s="6" t="s">
        <v>4242</v>
      </c>
      <c r="B677" s="6" t="s">
        <v>1978</v>
      </c>
      <c r="C677" s="6" t="s">
        <v>152</v>
      </c>
      <c r="D677" s="18">
        <v>3.0</v>
      </c>
      <c r="E677" s="18">
        <v>3.0</v>
      </c>
      <c r="F677" s="18">
        <v>9.0</v>
      </c>
    </row>
    <row r="678">
      <c r="A678" s="6" t="s">
        <v>4243</v>
      </c>
      <c r="B678" s="6" t="s">
        <v>1978</v>
      </c>
      <c r="C678" s="6" t="s">
        <v>226</v>
      </c>
      <c r="D678" s="18">
        <v>10.0</v>
      </c>
      <c r="E678" s="18">
        <v>7.5</v>
      </c>
      <c r="F678" s="18">
        <v>75.0</v>
      </c>
    </row>
    <row r="679">
      <c r="A679" s="6" t="s">
        <v>4245</v>
      </c>
      <c r="B679" s="6" t="s">
        <v>1984</v>
      </c>
      <c r="C679" s="6" t="s">
        <v>1047</v>
      </c>
      <c r="D679" s="18">
        <v>1.0</v>
      </c>
      <c r="E679" s="18">
        <v>110.0</v>
      </c>
      <c r="F679" s="18">
        <v>110.0</v>
      </c>
    </row>
    <row r="680">
      <c r="A680" s="6" t="s">
        <v>4249</v>
      </c>
      <c r="B680" s="6" t="s">
        <v>1991</v>
      </c>
      <c r="C680" s="6" t="s">
        <v>854</v>
      </c>
      <c r="D680" s="18">
        <v>1.0</v>
      </c>
      <c r="E680" s="18">
        <v>15.0</v>
      </c>
      <c r="F680" s="18">
        <v>15.0</v>
      </c>
    </row>
    <row r="681">
      <c r="A681" s="6" t="s">
        <v>4251</v>
      </c>
      <c r="B681" s="6" t="s">
        <v>1998</v>
      </c>
      <c r="C681" s="18">
        <v>1.2539885E7</v>
      </c>
      <c r="D681" s="18">
        <v>1.0</v>
      </c>
      <c r="E681" s="18">
        <v>400.0</v>
      </c>
      <c r="F681" s="18">
        <v>400.0</v>
      </c>
    </row>
    <row r="682">
      <c r="A682" s="6" t="s">
        <v>4253</v>
      </c>
      <c r="B682" s="18">
        <v>9.9066248E7</v>
      </c>
      <c r="C682" s="6" t="s">
        <v>159</v>
      </c>
      <c r="D682" s="18">
        <v>10.0</v>
      </c>
      <c r="E682" s="18">
        <v>12.5</v>
      </c>
      <c r="F682" s="18">
        <v>125.0</v>
      </c>
    </row>
    <row r="683">
      <c r="A683" s="6" t="s">
        <v>4256</v>
      </c>
      <c r="B683" s="18">
        <v>9.9066248E7</v>
      </c>
      <c r="C683" s="6" t="s">
        <v>155</v>
      </c>
      <c r="D683" s="18">
        <v>1.0</v>
      </c>
      <c r="E683" s="18">
        <v>50.05</v>
      </c>
      <c r="F683" s="18">
        <v>50.05</v>
      </c>
    </row>
    <row r="684">
      <c r="A684" s="6" t="s">
        <v>4257</v>
      </c>
      <c r="B684" s="18">
        <v>9.9066248E7</v>
      </c>
      <c r="C684" s="6" t="s">
        <v>230</v>
      </c>
      <c r="D684" s="18">
        <v>1.0</v>
      </c>
      <c r="E684" s="18">
        <v>160.42</v>
      </c>
      <c r="F684" s="18">
        <v>160.42</v>
      </c>
    </row>
    <row r="685">
      <c r="A685" s="6" t="s">
        <v>4259</v>
      </c>
      <c r="B685" s="18">
        <v>9.9066248E7</v>
      </c>
      <c r="C685" s="6" t="s">
        <v>152</v>
      </c>
      <c r="D685" s="18">
        <v>1.0</v>
      </c>
      <c r="E685" s="18">
        <v>9.12</v>
      </c>
      <c r="F685" s="18">
        <v>9.12</v>
      </c>
    </row>
    <row r="686">
      <c r="A686" s="6" t="s">
        <v>4262</v>
      </c>
      <c r="B686" s="6" t="s">
        <v>2010</v>
      </c>
      <c r="C686" s="6" t="s">
        <v>2870</v>
      </c>
      <c r="D686" s="18">
        <v>1.0</v>
      </c>
      <c r="E686" s="18">
        <v>70.65</v>
      </c>
      <c r="F686" s="18">
        <v>70.65</v>
      </c>
    </row>
    <row r="687">
      <c r="A687" s="6" t="s">
        <v>4263</v>
      </c>
      <c r="B687" s="6" t="s">
        <v>2018</v>
      </c>
      <c r="C687" s="6" t="s">
        <v>1126</v>
      </c>
      <c r="D687" s="18">
        <v>1.0</v>
      </c>
      <c r="E687" s="18">
        <v>30.0</v>
      </c>
      <c r="F687" s="18">
        <v>30.0</v>
      </c>
    </row>
    <row r="688">
      <c r="A688" s="6" t="s">
        <v>4267</v>
      </c>
      <c r="B688" s="6" t="s">
        <v>2024</v>
      </c>
      <c r="C688" s="6" t="s">
        <v>1168</v>
      </c>
      <c r="D688" s="18">
        <v>1.0</v>
      </c>
      <c r="E688" s="18">
        <v>200.0</v>
      </c>
      <c r="F688" s="18">
        <v>200.0</v>
      </c>
    </row>
    <row r="689">
      <c r="A689" s="6" t="s">
        <v>4269</v>
      </c>
      <c r="B689" s="6" t="s">
        <v>2029</v>
      </c>
      <c r="C689" s="6" t="s">
        <v>305</v>
      </c>
      <c r="D689" s="18">
        <v>1.0</v>
      </c>
      <c r="E689" s="18">
        <v>43.1</v>
      </c>
      <c r="F689" s="18">
        <v>43.1</v>
      </c>
    </row>
    <row r="690">
      <c r="A690" s="6" t="s">
        <v>4274</v>
      </c>
      <c r="B690" s="6" t="s">
        <v>2037</v>
      </c>
      <c r="C690" s="6" t="s">
        <v>794</v>
      </c>
      <c r="D690" s="18">
        <v>1.0</v>
      </c>
      <c r="E690" s="18">
        <v>235.0</v>
      </c>
      <c r="F690" s="18">
        <v>235.0</v>
      </c>
    </row>
    <row r="691">
      <c r="A691" s="6" t="s">
        <v>4276</v>
      </c>
      <c r="B691" s="6" t="s">
        <v>2047</v>
      </c>
      <c r="C691" s="6" t="s">
        <v>1168</v>
      </c>
      <c r="D691" s="18">
        <v>1.0</v>
      </c>
      <c r="E691" s="18">
        <v>200.0</v>
      </c>
      <c r="F691" s="18">
        <v>200.0</v>
      </c>
    </row>
    <row r="692">
      <c r="A692" s="6" t="s">
        <v>4278</v>
      </c>
      <c r="B692" s="6" t="s">
        <v>2055</v>
      </c>
      <c r="C692" s="6" t="s">
        <v>1168</v>
      </c>
      <c r="D692" s="18">
        <v>1.0</v>
      </c>
      <c r="E692" s="18">
        <v>500.0</v>
      </c>
      <c r="F692" s="18">
        <v>500.0</v>
      </c>
    </row>
    <row r="693">
      <c r="A693" s="6" t="s">
        <v>4280</v>
      </c>
      <c r="B693" s="6" t="s">
        <v>2059</v>
      </c>
      <c r="C693" s="6" t="s">
        <v>1168</v>
      </c>
      <c r="D693" s="18">
        <v>1.0</v>
      </c>
      <c r="E693" s="18">
        <v>500.0</v>
      </c>
      <c r="F693" s="18">
        <v>500.0</v>
      </c>
    </row>
    <row r="694">
      <c r="A694" s="6" t="s">
        <v>4281</v>
      </c>
      <c r="B694" s="6" t="s">
        <v>2061</v>
      </c>
      <c r="C694" s="18">
        <v>1.2539885E7</v>
      </c>
      <c r="D694" s="18">
        <v>1.0</v>
      </c>
      <c r="E694" s="18">
        <v>500.0</v>
      </c>
      <c r="F694" s="18">
        <v>500.0</v>
      </c>
    </row>
    <row r="695">
      <c r="A695" s="6" t="s">
        <v>4283</v>
      </c>
      <c r="B695" s="6" t="s">
        <v>2065</v>
      </c>
      <c r="C695" s="6" t="s">
        <v>226</v>
      </c>
      <c r="D695" s="18">
        <v>5.0</v>
      </c>
      <c r="E695" s="18">
        <v>7.5</v>
      </c>
      <c r="F695" s="18">
        <v>37.5</v>
      </c>
    </row>
    <row r="696">
      <c r="A696" s="6" t="s">
        <v>4285</v>
      </c>
      <c r="B696" s="6" t="s">
        <v>2065</v>
      </c>
      <c r="C696" s="6" t="s">
        <v>152</v>
      </c>
      <c r="D696" s="18">
        <v>1.0</v>
      </c>
      <c r="E696" s="18">
        <v>6.24</v>
      </c>
      <c r="F696" s="18">
        <v>6.24</v>
      </c>
    </row>
    <row r="697">
      <c r="A697" s="6" t="s">
        <v>4286</v>
      </c>
      <c r="B697" s="6" t="s">
        <v>2065</v>
      </c>
      <c r="C697" s="6" t="s">
        <v>230</v>
      </c>
      <c r="D697" s="18">
        <v>1.0</v>
      </c>
      <c r="E697" s="18">
        <v>113.69</v>
      </c>
      <c r="F697" s="18">
        <v>113.69</v>
      </c>
    </row>
    <row r="698">
      <c r="A698" s="6" t="s">
        <v>4288</v>
      </c>
      <c r="B698" s="6" t="s">
        <v>2069</v>
      </c>
      <c r="C698" s="6" t="s">
        <v>1517</v>
      </c>
      <c r="D698" s="18">
        <v>1.0</v>
      </c>
      <c r="E698" s="18">
        <v>6243.33</v>
      </c>
      <c r="F698" s="18">
        <v>6243.33</v>
      </c>
    </row>
    <row r="699">
      <c r="A699" s="6" t="s">
        <v>4290</v>
      </c>
      <c r="B699" s="6" t="s">
        <v>2074</v>
      </c>
      <c r="C699" s="6" t="s">
        <v>1510</v>
      </c>
      <c r="D699" s="18">
        <v>1.0</v>
      </c>
      <c r="E699" s="18">
        <v>8115.29</v>
      </c>
      <c r="F699" s="18">
        <v>8115.29</v>
      </c>
    </row>
    <row r="700">
      <c r="A700" s="6" t="s">
        <v>4292</v>
      </c>
      <c r="B700" s="6" t="s">
        <v>2080</v>
      </c>
      <c r="C700" s="6" t="s">
        <v>2979</v>
      </c>
      <c r="D700" s="18">
        <v>1.0</v>
      </c>
      <c r="E700" s="18">
        <v>29.0</v>
      </c>
      <c r="F700" s="18">
        <v>29.0</v>
      </c>
    </row>
    <row r="701">
      <c r="A701" s="6" t="s">
        <v>4294</v>
      </c>
      <c r="B701" s="6" t="s">
        <v>2080</v>
      </c>
      <c r="C701" s="6" t="s">
        <v>2980</v>
      </c>
      <c r="D701" s="18">
        <v>1.0</v>
      </c>
      <c r="E701" s="18">
        <v>29.0</v>
      </c>
      <c r="F701" s="18">
        <v>29.0</v>
      </c>
    </row>
    <row r="702">
      <c r="A702" s="6" t="s">
        <v>4295</v>
      </c>
      <c r="B702" s="6" t="s">
        <v>2086</v>
      </c>
      <c r="C702" s="6" t="s">
        <v>802</v>
      </c>
      <c r="D702" s="18">
        <v>1.0</v>
      </c>
      <c r="E702" s="18">
        <v>46.4</v>
      </c>
      <c r="F702" s="18">
        <v>46.4</v>
      </c>
    </row>
    <row r="703">
      <c r="A703" s="6" t="s">
        <v>4299</v>
      </c>
      <c r="B703" s="6" t="s">
        <v>2086</v>
      </c>
      <c r="C703" s="6" t="s">
        <v>249</v>
      </c>
      <c r="D703" s="18">
        <v>1.0</v>
      </c>
      <c r="E703" s="18">
        <v>77.5</v>
      </c>
      <c r="F703" s="18">
        <v>77.5</v>
      </c>
    </row>
    <row r="704">
      <c r="A704" s="6" t="s">
        <v>4301</v>
      </c>
      <c r="B704" s="6" t="s">
        <v>2086</v>
      </c>
      <c r="C704" s="6" t="s">
        <v>2990</v>
      </c>
      <c r="D704" s="18">
        <v>1.0</v>
      </c>
      <c r="E704" s="18">
        <v>29.95</v>
      </c>
      <c r="F704" s="18">
        <v>29.95</v>
      </c>
    </row>
    <row r="705">
      <c r="A705" s="6" t="s">
        <v>4303</v>
      </c>
      <c r="B705" s="6" t="s">
        <v>2086</v>
      </c>
      <c r="C705" s="6" t="s">
        <v>691</v>
      </c>
      <c r="D705" s="18">
        <v>1.0</v>
      </c>
      <c r="E705" s="18">
        <v>86.29</v>
      </c>
      <c r="F705" s="18">
        <v>86.29</v>
      </c>
    </row>
    <row r="706">
      <c r="A706" s="6" t="s">
        <v>4306</v>
      </c>
      <c r="B706" s="6" t="s">
        <v>2090</v>
      </c>
      <c r="C706" s="6" t="s">
        <v>1073</v>
      </c>
      <c r="D706" s="18">
        <v>1.0</v>
      </c>
      <c r="E706" s="18">
        <v>273.91</v>
      </c>
      <c r="F706" s="18">
        <v>273.91</v>
      </c>
    </row>
    <row r="707">
      <c r="A707" s="6" t="s">
        <v>4309</v>
      </c>
      <c r="B707" s="6" t="s">
        <v>2090</v>
      </c>
      <c r="C707" s="18">
        <v>7.5375964E7</v>
      </c>
      <c r="D707" s="18">
        <v>1.0</v>
      </c>
      <c r="E707" s="18">
        <v>273.91</v>
      </c>
      <c r="F707" s="18">
        <v>273.91</v>
      </c>
    </row>
    <row r="708">
      <c r="A708" s="6" t="s">
        <v>4311</v>
      </c>
      <c r="B708" s="6" t="s">
        <v>2090</v>
      </c>
      <c r="C708" s="6" t="s">
        <v>1384</v>
      </c>
      <c r="D708" s="18">
        <v>1.0</v>
      </c>
      <c r="E708" s="18">
        <v>273.91</v>
      </c>
      <c r="F708" s="18">
        <v>273.91</v>
      </c>
    </row>
    <row r="709">
      <c r="A709" s="6" t="s">
        <v>4313</v>
      </c>
      <c r="B709" s="6" t="s">
        <v>2090</v>
      </c>
      <c r="C709" s="6" t="s">
        <v>1404</v>
      </c>
      <c r="D709" s="18">
        <v>1.0</v>
      </c>
      <c r="E709" s="18">
        <v>273.91</v>
      </c>
      <c r="F709" s="18">
        <v>273.91</v>
      </c>
    </row>
    <row r="710">
      <c r="A710" s="6" t="s">
        <v>4315</v>
      </c>
      <c r="B710" s="6" t="s">
        <v>2090</v>
      </c>
      <c r="C710" s="6" t="s">
        <v>1074</v>
      </c>
      <c r="D710" s="18">
        <v>1.0</v>
      </c>
      <c r="E710" s="18">
        <v>273.91</v>
      </c>
      <c r="F710" s="18">
        <v>273.91</v>
      </c>
    </row>
    <row r="711">
      <c r="A711" s="6" t="s">
        <v>4316</v>
      </c>
      <c r="B711" s="6" t="s">
        <v>2090</v>
      </c>
      <c r="C711" s="6" t="s">
        <v>1387</v>
      </c>
      <c r="D711" s="18">
        <v>1.0</v>
      </c>
      <c r="E711" s="18">
        <v>273.91</v>
      </c>
      <c r="F711" s="18">
        <v>273.91</v>
      </c>
    </row>
    <row r="712">
      <c r="A712" s="6" t="s">
        <v>4318</v>
      </c>
      <c r="B712" s="6" t="s">
        <v>2090</v>
      </c>
      <c r="C712" s="6" t="s">
        <v>1075</v>
      </c>
      <c r="D712" s="18">
        <v>1.0</v>
      </c>
      <c r="E712" s="18">
        <v>273.96</v>
      </c>
      <c r="F712" s="18">
        <v>273.96</v>
      </c>
    </row>
    <row r="713">
      <c r="A713" s="6" t="s">
        <v>4321</v>
      </c>
      <c r="B713" s="6" t="s">
        <v>2095</v>
      </c>
      <c r="C713" s="6" t="s">
        <v>1536</v>
      </c>
      <c r="D713" s="18">
        <v>1.0</v>
      </c>
      <c r="E713" s="18">
        <v>45.0</v>
      </c>
      <c r="F713" s="18">
        <v>45.0</v>
      </c>
    </row>
    <row r="714">
      <c r="A714" s="6" t="s">
        <v>4322</v>
      </c>
      <c r="B714" s="6" t="s">
        <v>2100</v>
      </c>
      <c r="C714" s="6" t="s">
        <v>1168</v>
      </c>
      <c r="D714" s="18">
        <v>1.0</v>
      </c>
      <c r="E714" s="18">
        <v>100.0</v>
      </c>
      <c r="F714" s="18">
        <v>100.0</v>
      </c>
    </row>
    <row r="715">
      <c r="A715" s="6" t="s">
        <v>4323</v>
      </c>
      <c r="B715" s="6" t="s">
        <v>2103</v>
      </c>
      <c r="C715" s="6" t="s">
        <v>1239</v>
      </c>
      <c r="D715" s="18">
        <v>1.0</v>
      </c>
      <c r="E715" s="18">
        <v>444.85</v>
      </c>
      <c r="F715" s="18">
        <v>444.85</v>
      </c>
    </row>
    <row r="716">
      <c r="A716" s="6" t="s">
        <v>4324</v>
      </c>
      <c r="B716" s="6" t="s">
        <v>2106</v>
      </c>
      <c r="C716" s="6" t="s">
        <v>1239</v>
      </c>
      <c r="D716" s="18">
        <v>1.0</v>
      </c>
      <c r="E716" s="18">
        <v>1300.02</v>
      </c>
      <c r="F716" s="18">
        <v>1300.02</v>
      </c>
    </row>
    <row r="717">
      <c r="A717" s="6" t="s">
        <v>4326</v>
      </c>
      <c r="B717" s="6" t="s">
        <v>2109</v>
      </c>
      <c r="C717" s="6" t="s">
        <v>1239</v>
      </c>
      <c r="D717" s="18">
        <v>1.0</v>
      </c>
      <c r="E717" s="18">
        <v>2136.87</v>
      </c>
      <c r="F717" s="18">
        <v>2136.87</v>
      </c>
    </row>
    <row r="718">
      <c r="A718" s="6" t="s">
        <v>4329</v>
      </c>
      <c r="B718" s="6" t="s">
        <v>2113</v>
      </c>
      <c r="C718" s="6" t="s">
        <v>1239</v>
      </c>
      <c r="D718" s="18">
        <v>1.0</v>
      </c>
      <c r="E718" s="18">
        <v>1375.62</v>
      </c>
      <c r="F718" s="18">
        <v>1375.62</v>
      </c>
    </row>
    <row r="719">
      <c r="A719" s="6" t="s">
        <v>4330</v>
      </c>
      <c r="B719" s="6" t="s">
        <v>2118</v>
      </c>
      <c r="C719" s="6" t="s">
        <v>1239</v>
      </c>
      <c r="D719" s="18">
        <v>1.0</v>
      </c>
      <c r="E719" s="18">
        <v>1545.31</v>
      </c>
      <c r="F719" s="18">
        <v>1545.31</v>
      </c>
    </row>
    <row r="720">
      <c r="A720" s="6" t="s">
        <v>4332</v>
      </c>
      <c r="B720" s="6" t="s">
        <v>2122</v>
      </c>
      <c r="C720" s="6" t="s">
        <v>159</v>
      </c>
      <c r="D720" s="18">
        <v>10.0</v>
      </c>
      <c r="E720" s="18">
        <v>13.5</v>
      </c>
      <c r="F720" s="18">
        <v>135.0</v>
      </c>
    </row>
    <row r="721">
      <c r="A721" s="6" t="s">
        <v>4336</v>
      </c>
      <c r="B721" s="6" t="s">
        <v>2122</v>
      </c>
      <c r="C721" s="6" t="s">
        <v>155</v>
      </c>
      <c r="D721" s="18">
        <v>1.0</v>
      </c>
      <c r="E721" s="18">
        <v>43.02</v>
      </c>
      <c r="F721" s="18">
        <v>43.02</v>
      </c>
    </row>
    <row r="722">
      <c r="A722" s="6" t="s">
        <v>4338</v>
      </c>
      <c r="B722" s="6" t="s">
        <v>2122</v>
      </c>
      <c r="C722" s="6" t="s">
        <v>230</v>
      </c>
      <c r="D722" s="18">
        <v>8.0</v>
      </c>
      <c r="E722" s="18">
        <v>22.0</v>
      </c>
      <c r="F722" s="18">
        <v>176.0</v>
      </c>
    </row>
    <row r="723">
      <c r="A723" s="6" t="s">
        <v>4339</v>
      </c>
      <c r="B723" s="6" t="s">
        <v>2122</v>
      </c>
      <c r="C723" s="6" t="s">
        <v>152</v>
      </c>
      <c r="D723" s="18">
        <v>1.0</v>
      </c>
      <c r="E723" s="18">
        <v>15.03</v>
      </c>
      <c r="F723" s="18">
        <v>15.03</v>
      </c>
    </row>
    <row r="724">
      <c r="A724" s="6" t="s">
        <v>4340</v>
      </c>
      <c r="B724" s="6" t="s">
        <v>2122</v>
      </c>
      <c r="C724" s="6" t="s">
        <v>226</v>
      </c>
      <c r="D724" s="18">
        <v>1.0</v>
      </c>
      <c r="E724" s="18">
        <v>112.5</v>
      </c>
      <c r="F724" s="18">
        <v>112.5</v>
      </c>
    </row>
    <row r="725">
      <c r="A725" s="6" t="s">
        <v>4342</v>
      </c>
      <c r="B725" s="6" t="s">
        <v>2127</v>
      </c>
      <c r="C725" s="6" t="s">
        <v>305</v>
      </c>
      <c r="D725" s="18">
        <v>1.0</v>
      </c>
      <c r="E725" s="18">
        <v>147.35</v>
      </c>
      <c r="F725" s="18">
        <v>147.35</v>
      </c>
    </row>
    <row r="726">
      <c r="A726" s="6" t="s">
        <v>4345</v>
      </c>
      <c r="B726" s="6" t="s">
        <v>2135</v>
      </c>
      <c r="C726" s="18">
        <v>1.2539885E7</v>
      </c>
      <c r="D726" s="18">
        <v>1.0</v>
      </c>
      <c r="E726" s="18">
        <v>300.0</v>
      </c>
      <c r="F726" s="18">
        <v>300.0</v>
      </c>
    </row>
    <row r="727">
      <c r="A727" s="6" t="s">
        <v>4347</v>
      </c>
      <c r="B727" s="6" t="s">
        <v>2140</v>
      </c>
      <c r="C727" s="6" t="s">
        <v>159</v>
      </c>
      <c r="D727" s="18">
        <v>15.0</v>
      </c>
      <c r="E727" s="18">
        <v>13.5</v>
      </c>
      <c r="F727" s="18">
        <v>202.5</v>
      </c>
    </row>
    <row r="728">
      <c r="A728" s="6" t="s">
        <v>4348</v>
      </c>
      <c r="B728" s="6" t="s">
        <v>2140</v>
      </c>
      <c r="C728" s="6" t="s">
        <v>155</v>
      </c>
      <c r="D728" s="18">
        <v>1.0</v>
      </c>
      <c r="E728" s="18">
        <v>70.2</v>
      </c>
      <c r="F728" s="18">
        <v>70.2</v>
      </c>
    </row>
    <row r="729">
      <c r="A729" s="6" t="s">
        <v>4349</v>
      </c>
      <c r="B729" s="6" t="s">
        <v>2140</v>
      </c>
      <c r="C729" s="6" t="s">
        <v>3090</v>
      </c>
      <c r="D729" s="18">
        <v>1.0</v>
      </c>
      <c r="E729" s="18">
        <v>3.56</v>
      </c>
      <c r="F729" s="18">
        <v>3.56</v>
      </c>
    </row>
    <row r="730">
      <c r="A730" s="6" t="s">
        <v>4351</v>
      </c>
      <c r="B730" s="6" t="s">
        <v>2140</v>
      </c>
      <c r="C730" s="6" t="s">
        <v>230</v>
      </c>
      <c r="D730" s="18">
        <v>1.0</v>
      </c>
      <c r="E730" s="18">
        <v>159.12</v>
      </c>
      <c r="F730" s="18">
        <v>159.12</v>
      </c>
    </row>
    <row r="731">
      <c r="A731" s="6" t="s">
        <v>4352</v>
      </c>
      <c r="B731" s="6" t="s">
        <v>2140</v>
      </c>
      <c r="C731" s="6" t="s">
        <v>226</v>
      </c>
      <c r="D731" s="18">
        <v>15.0</v>
      </c>
      <c r="E731" s="18">
        <v>7.5</v>
      </c>
      <c r="F731" s="18">
        <v>112.5</v>
      </c>
    </row>
    <row r="732">
      <c r="A732" s="6" t="s">
        <v>4354</v>
      </c>
      <c r="B732" s="6" t="s">
        <v>2146</v>
      </c>
      <c r="C732" s="6" t="s">
        <v>1517</v>
      </c>
      <c r="D732" s="18">
        <v>1.0</v>
      </c>
      <c r="E732" s="18">
        <v>10216.38</v>
      </c>
      <c r="F732" s="18">
        <v>10216.38</v>
      </c>
    </row>
    <row r="733">
      <c r="A733" s="6" t="s">
        <v>4356</v>
      </c>
      <c r="B733" s="6" t="s">
        <v>2150</v>
      </c>
      <c r="C733" s="6" t="s">
        <v>1270</v>
      </c>
      <c r="D733" s="18">
        <v>1.0</v>
      </c>
      <c r="E733" s="18">
        <v>7000.0</v>
      </c>
      <c r="F733" s="18">
        <v>7000.0</v>
      </c>
    </row>
    <row r="734">
      <c r="A734" s="6" t="s">
        <v>4357</v>
      </c>
      <c r="B734" s="6" t="s">
        <v>2153</v>
      </c>
      <c r="C734" s="6" t="s">
        <v>1270</v>
      </c>
      <c r="D734" s="18">
        <v>1.0</v>
      </c>
      <c r="E734" s="18">
        <v>7000.0</v>
      </c>
      <c r="F734" s="18">
        <v>7000.0</v>
      </c>
    </row>
    <row r="735">
      <c r="A735" s="6" t="s">
        <v>4358</v>
      </c>
      <c r="B735" s="6" t="s">
        <v>2155</v>
      </c>
      <c r="C735" s="6" t="s">
        <v>1270</v>
      </c>
      <c r="D735" s="18">
        <v>1.0</v>
      </c>
      <c r="E735" s="18">
        <v>7000.0</v>
      </c>
      <c r="F735" s="18">
        <v>7000.0</v>
      </c>
    </row>
    <row r="736">
      <c r="A736" s="6" t="s">
        <v>4360</v>
      </c>
      <c r="B736" s="6" t="s">
        <v>2157</v>
      </c>
      <c r="C736" s="6" t="s">
        <v>797</v>
      </c>
      <c r="D736" s="18">
        <v>1.0</v>
      </c>
      <c r="E736" s="18">
        <v>93.5</v>
      </c>
      <c r="F736" s="18">
        <v>93.5</v>
      </c>
    </row>
    <row r="737">
      <c r="A737" s="6" t="s">
        <v>4361</v>
      </c>
      <c r="B737" s="6" t="s">
        <v>2157</v>
      </c>
      <c r="C737" s="6" t="s">
        <v>802</v>
      </c>
      <c r="D737" s="18">
        <v>1.0</v>
      </c>
      <c r="E737" s="18">
        <v>80.95</v>
      </c>
      <c r="F737" s="18">
        <v>80.95</v>
      </c>
    </row>
    <row r="738">
      <c r="A738" s="6" t="s">
        <v>4362</v>
      </c>
      <c r="B738" s="6" t="s">
        <v>2164</v>
      </c>
      <c r="C738" s="6" t="s">
        <v>802</v>
      </c>
      <c r="D738" s="18">
        <v>1.0</v>
      </c>
      <c r="E738" s="18">
        <v>331.92</v>
      </c>
      <c r="F738" s="18">
        <v>331.92</v>
      </c>
    </row>
    <row r="739">
      <c r="A739" s="6" t="s">
        <v>4363</v>
      </c>
      <c r="B739" s="6" t="s">
        <v>2170</v>
      </c>
      <c r="C739" s="6" t="s">
        <v>3131</v>
      </c>
      <c r="D739" s="18">
        <v>1.0</v>
      </c>
      <c r="E739" s="18">
        <v>229.88</v>
      </c>
      <c r="F739" s="18">
        <v>229.88</v>
      </c>
    </row>
    <row r="740">
      <c r="A740" s="6" t="s">
        <v>4366</v>
      </c>
      <c r="B740" s="6" t="s">
        <v>2170</v>
      </c>
      <c r="C740" s="6" t="s">
        <v>794</v>
      </c>
      <c r="D740" s="18">
        <v>1.0</v>
      </c>
      <c r="E740" s="18">
        <v>229.88</v>
      </c>
      <c r="F740" s="18">
        <v>229.88</v>
      </c>
    </row>
    <row r="741">
      <c r="A741" s="6" t="s">
        <v>4367</v>
      </c>
      <c r="B741" s="6" t="s">
        <v>2170</v>
      </c>
      <c r="C741" s="6" t="s">
        <v>249</v>
      </c>
      <c r="D741" s="18">
        <v>1.0</v>
      </c>
      <c r="E741" s="18">
        <v>229.88</v>
      </c>
      <c r="F741" s="18">
        <v>229.88</v>
      </c>
    </row>
    <row r="742">
      <c r="A742" s="6" t="s">
        <v>4368</v>
      </c>
      <c r="B742" s="6" t="s">
        <v>2170</v>
      </c>
      <c r="C742" s="6" t="s">
        <v>2777</v>
      </c>
      <c r="D742" s="18">
        <v>1.0</v>
      </c>
      <c r="E742" s="18">
        <v>229.88</v>
      </c>
      <c r="F742" s="18">
        <v>229.88</v>
      </c>
    </row>
    <row r="743">
      <c r="A743" s="6" t="s">
        <v>4369</v>
      </c>
      <c r="B743" s="6" t="s">
        <v>2174</v>
      </c>
      <c r="C743" s="6" t="s">
        <v>1195</v>
      </c>
      <c r="D743" s="18">
        <v>3.0</v>
      </c>
      <c r="E743" s="18">
        <v>23.0</v>
      </c>
      <c r="F743" s="18">
        <v>69.0</v>
      </c>
    </row>
    <row r="744">
      <c r="A744" s="6" t="s">
        <v>4371</v>
      </c>
      <c r="B744" s="6" t="s">
        <v>2174</v>
      </c>
      <c r="C744" s="6" t="s">
        <v>1197</v>
      </c>
      <c r="D744" s="18">
        <v>4.0</v>
      </c>
      <c r="E744" s="18">
        <v>21.0</v>
      </c>
      <c r="F744" s="18">
        <v>84.0</v>
      </c>
    </row>
    <row r="745">
      <c r="A745" s="6" t="s">
        <v>4373</v>
      </c>
      <c r="B745" s="6" t="s">
        <v>2174</v>
      </c>
      <c r="C745" s="6" t="s">
        <v>266</v>
      </c>
      <c r="D745" s="18">
        <v>2.0</v>
      </c>
      <c r="E745" s="18">
        <v>23.0</v>
      </c>
      <c r="F745" s="18">
        <v>46.0</v>
      </c>
    </row>
    <row r="746">
      <c r="A746" s="6" t="s">
        <v>4375</v>
      </c>
      <c r="B746" s="6" t="s">
        <v>2174</v>
      </c>
      <c r="C746" s="6" t="s">
        <v>1046</v>
      </c>
      <c r="D746" s="18">
        <v>2.0</v>
      </c>
      <c r="E746" s="18">
        <v>31.0</v>
      </c>
      <c r="F746" s="18">
        <v>62.0</v>
      </c>
    </row>
    <row r="747">
      <c r="A747" s="6" t="s">
        <v>4376</v>
      </c>
      <c r="B747" s="6" t="s">
        <v>2174</v>
      </c>
      <c r="C747" s="18">
        <v>7.9788768E7</v>
      </c>
      <c r="D747" s="18">
        <v>5.0</v>
      </c>
      <c r="E747" s="18">
        <v>4.5</v>
      </c>
      <c r="F747" s="18">
        <v>22.5</v>
      </c>
    </row>
    <row r="748">
      <c r="A748" s="6" t="s">
        <v>4377</v>
      </c>
      <c r="B748" s="6" t="s">
        <v>2181</v>
      </c>
      <c r="C748" s="6" t="s">
        <v>1022</v>
      </c>
      <c r="D748" s="18">
        <v>1.0</v>
      </c>
      <c r="E748" s="18">
        <v>225.0</v>
      </c>
      <c r="F748" s="18">
        <v>225.0</v>
      </c>
    </row>
    <row r="749">
      <c r="A749" s="6" t="s">
        <v>4378</v>
      </c>
      <c r="B749" s="6" t="s">
        <v>2186</v>
      </c>
      <c r="C749" s="6" t="s">
        <v>159</v>
      </c>
      <c r="D749" s="18">
        <v>10.0</v>
      </c>
      <c r="E749" s="18">
        <v>13.5</v>
      </c>
      <c r="F749" s="18">
        <v>135.0</v>
      </c>
    </row>
    <row r="750">
      <c r="A750" s="6" t="s">
        <v>4380</v>
      </c>
      <c r="B750" s="6" t="s">
        <v>2186</v>
      </c>
      <c r="C750" s="6" t="s">
        <v>155</v>
      </c>
      <c r="D750" s="18">
        <v>1.0</v>
      </c>
      <c r="E750" s="18">
        <v>61.88</v>
      </c>
      <c r="F750" s="18">
        <v>61.88</v>
      </c>
    </row>
    <row r="751">
      <c r="A751" s="6" t="s">
        <v>4381</v>
      </c>
      <c r="B751" s="6" t="s">
        <v>2186</v>
      </c>
      <c r="C751" s="6" t="s">
        <v>230</v>
      </c>
      <c r="D751" s="18">
        <v>1.0</v>
      </c>
      <c r="E751" s="18">
        <v>209.17</v>
      </c>
      <c r="F751" s="18">
        <v>209.17</v>
      </c>
    </row>
    <row r="752">
      <c r="A752" s="6" t="s">
        <v>4384</v>
      </c>
      <c r="B752" s="6" t="s">
        <v>2186</v>
      </c>
      <c r="C752" s="6" t="s">
        <v>152</v>
      </c>
      <c r="D752" s="18">
        <v>1.0</v>
      </c>
      <c r="E752" s="18">
        <v>11.59</v>
      </c>
      <c r="F752" s="18">
        <v>11.59</v>
      </c>
    </row>
    <row r="753">
      <c r="A753" s="6" t="s">
        <v>4385</v>
      </c>
      <c r="B753" s="6" t="s">
        <v>2191</v>
      </c>
      <c r="C753" s="6" t="s">
        <v>3162</v>
      </c>
      <c r="D753" s="18">
        <v>1.0</v>
      </c>
      <c r="E753" s="18">
        <v>370.0</v>
      </c>
      <c r="F753" s="18">
        <v>370.0</v>
      </c>
    </row>
    <row r="754">
      <c r="A754" s="6" t="s">
        <v>4387</v>
      </c>
      <c r="B754" s="6" t="s">
        <v>2196</v>
      </c>
      <c r="C754" s="6" t="s">
        <v>305</v>
      </c>
      <c r="D754" s="18">
        <v>1.0</v>
      </c>
      <c r="E754" s="18">
        <v>32.98</v>
      </c>
      <c r="F754" s="18">
        <v>32.98</v>
      </c>
    </row>
    <row r="755">
      <c r="A755" s="6" t="s">
        <v>4388</v>
      </c>
      <c r="B755" s="6" t="s">
        <v>2203</v>
      </c>
      <c r="C755" s="18">
        <v>1.2539885E7</v>
      </c>
      <c r="D755" s="18">
        <v>1.0</v>
      </c>
      <c r="E755" s="18">
        <v>200.0</v>
      </c>
      <c r="F755" s="18">
        <v>200.0</v>
      </c>
    </row>
    <row r="756">
      <c r="A756" s="6" t="s">
        <v>4390</v>
      </c>
      <c r="B756" s="6" t="s">
        <v>2209</v>
      </c>
      <c r="C756" s="6" t="s">
        <v>159</v>
      </c>
      <c r="D756" s="18">
        <v>10.0</v>
      </c>
      <c r="E756" s="18">
        <v>13.5</v>
      </c>
      <c r="F756" s="18">
        <v>135.0</v>
      </c>
    </row>
    <row r="757">
      <c r="A757" s="6" t="s">
        <v>4392</v>
      </c>
      <c r="B757" s="6" t="s">
        <v>2209</v>
      </c>
      <c r="C757" s="6" t="s">
        <v>155</v>
      </c>
      <c r="D757" s="18">
        <v>1.0</v>
      </c>
      <c r="E757" s="18">
        <v>47.22</v>
      </c>
      <c r="F757" s="18">
        <v>47.22</v>
      </c>
    </row>
    <row r="758">
      <c r="A758" s="6" t="s">
        <v>4394</v>
      </c>
      <c r="B758" s="6" t="s">
        <v>2209</v>
      </c>
      <c r="C758" s="6" t="s">
        <v>230</v>
      </c>
      <c r="D758" s="18">
        <v>1.0</v>
      </c>
      <c r="E758" s="18">
        <v>180.84</v>
      </c>
      <c r="F758" s="18">
        <v>180.84</v>
      </c>
    </row>
    <row r="759">
      <c r="A759" s="6" t="s">
        <v>4395</v>
      </c>
      <c r="B759" s="6" t="s">
        <v>2209</v>
      </c>
      <c r="C759" s="6" t="s">
        <v>226</v>
      </c>
      <c r="D759" s="18">
        <v>10.0</v>
      </c>
      <c r="E759" s="18">
        <v>7.5</v>
      </c>
      <c r="F759" s="18">
        <v>75.0</v>
      </c>
    </row>
    <row r="760">
      <c r="A760" s="6" t="s">
        <v>4396</v>
      </c>
      <c r="B760" s="6" t="s">
        <v>2214</v>
      </c>
      <c r="C760" s="6" t="s">
        <v>2351</v>
      </c>
      <c r="D760" s="18">
        <v>1.0</v>
      </c>
      <c r="E760" s="18">
        <v>144.95</v>
      </c>
      <c r="F760" s="18">
        <v>144.95</v>
      </c>
    </row>
    <row r="761">
      <c r="A761" s="6" t="s">
        <v>4397</v>
      </c>
      <c r="B761" s="6" t="s">
        <v>2214</v>
      </c>
      <c r="C761" s="6" t="s">
        <v>1343</v>
      </c>
      <c r="D761" s="18">
        <v>1.0</v>
      </c>
      <c r="E761" s="18">
        <v>171.0</v>
      </c>
      <c r="F761" s="18">
        <v>171.0</v>
      </c>
    </row>
    <row r="762">
      <c r="A762" s="6" t="s">
        <v>4399</v>
      </c>
      <c r="B762" s="6" t="s">
        <v>2222</v>
      </c>
      <c r="C762" s="6" t="s">
        <v>1510</v>
      </c>
      <c r="D762" s="18">
        <v>1.0</v>
      </c>
      <c r="E762" s="18">
        <v>3145.0</v>
      </c>
      <c r="F762" s="18">
        <v>3145.0</v>
      </c>
    </row>
    <row r="763">
      <c r="A763" s="6" t="s">
        <v>4401</v>
      </c>
      <c r="B763" s="6" t="s">
        <v>2227</v>
      </c>
      <c r="C763" s="6" t="s">
        <v>1164</v>
      </c>
      <c r="D763" s="18">
        <v>1.0</v>
      </c>
      <c r="E763" s="18">
        <v>314.12</v>
      </c>
      <c r="F763" s="18">
        <v>314.12</v>
      </c>
    </row>
    <row r="764">
      <c r="A764" s="6" t="s">
        <v>4404</v>
      </c>
      <c r="B764" s="6" t="s">
        <v>2230</v>
      </c>
      <c r="C764" s="6" t="s">
        <v>305</v>
      </c>
      <c r="D764" s="18">
        <v>1.0</v>
      </c>
      <c r="E764" s="18">
        <v>112.0</v>
      </c>
      <c r="F764" s="18">
        <v>112.0</v>
      </c>
    </row>
    <row r="765">
      <c r="A765" s="6" t="s">
        <v>4405</v>
      </c>
      <c r="B765" s="6" t="s">
        <v>2234</v>
      </c>
      <c r="C765" s="6" t="s">
        <v>230</v>
      </c>
      <c r="D765" s="18">
        <v>1.0</v>
      </c>
      <c r="E765" s="18">
        <v>107.9</v>
      </c>
      <c r="F765" s="18">
        <v>107.9</v>
      </c>
    </row>
    <row r="766">
      <c r="A766" s="6" t="s">
        <v>4407</v>
      </c>
      <c r="B766" s="6" t="s">
        <v>2234</v>
      </c>
      <c r="C766" s="6" t="s">
        <v>152</v>
      </c>
      <c r="D766" s="18">
        <v>1.0</v>
      </c>
      <c r="E766" s="18">
        <v>9.43</v>
      </c>
      <c r="F766" s="18">
        <v>9.43</v>
      </c>
    </row>
    <row r="767">
      <c r="A767" s="6" t="s">
        <v>4408</v>
      </c>
      <c r="B767" s="6" t="s">
        <v>2239</v>
      </c>
      <c r="C767" s="6" t="s">
        <v>1517</v>
      </c>
      <c r="D767" s="18">
        <v>1.0</v>
      </c>
      <c r="E767" s="18">
        <v>8147.36</v>
      </c>
      <c r="F767" s="18">
        <v>8147.36</v>
      </c>
    </row>
    <row r="768">
      <c r="A768" s="6" t="s">
        <v>4410</v>
      </c>
      <c r="B768" s="6" t="s">
        <v>2243</v>
      </c>
      <c r="C768" s="6" t="s">
        <v>1510</v>
      </c>
      <c r="D768" s="18">
        <v>1.0</v>
      </c>
      <c r="E768" s="18">
        <v>21718.71</v>
      </c>
      <c r="F768" s="18">
        <v>21718.71</v>
      </c>
    </row>
    <row r="769">
      <c r="A769" s="6" t="s">
        <v>4412</v>
      </c>
      <c r="B769" s="6" t="s">
        <v>2247</v>
      </c>
      <c r="C769" s="6" t="s">
        <v>3218</v>
      </c>
      <c r="D769" s="18">
        <v>1.0</v>
      </c>
      <c r="E769" s="18">
        <v>352.97</v>
      </c>
      <c r="F769" s="18">
        <v>352.97</v>
      </c>
    </row>
    <row r="770">
      <c r="A770" s="6" t="s">
        <v>4414</v>
      </c>
      <c r="B770" s="6" t="s">
        <v>2251</v>
      </c>
      <c r="C770" s="18">
        <v>1.2539885E7</v>
      </c>
      <c r="D770" s="18">
        <v>25.0</v>
      </c>
      <c r="E770" s="18">
        <v>10.0</v>
      </c>
      <c r="F770" s="18">
        <v>250.0</v>
      </c>
    </row>
    <row r="771">
      <c r="A771" s="6" t="s">
        <v>4415</v>
      </c>
      <c r="B771" s="6" t="s">
        <v>2254</v>
      </c>
      <c r="C771" s="6" t="s">
        <v>3225</v>
      </c>
      <c r="D771" s="18">
        <v>1.0</v>
      </c>
      <c r="E771" s="18">
        <v>15.0</v>
      </c>
      <c r="F771" s="18">
        <v>15.0</v>
      </c>
    </row>
    <row r="772">
      <c r="A772" s="6" t="s">
        <v>4416</v>
      </c>
      <c r="B772" s="6" t="s">
        <v>2260</v>
      </c>
      <c r="C772" s="6" t="s">
        <v>159</v>
      </c>
      <c r="D772" s="18">
        <v>10.0</v>
      </c>
      <c r="E772" s="18">
        <v>13.5</v>
      </c>
      <c r="F772" s="18">
        <v>135.0</v>
      </c>
    </row>
    <row r="773">
      <c r="A773" s="6" t="s">
        <v>4418</v>
      </c>
      <c r="B773" s="6" t="s">
        <v>2260</v>
      </c>
      <c r="C773" s="6" t="s">
        <v>155</v>
      </c>
      <c r="D773" s="18">
        <v>1.0</v>
      </c>
      <c r="E773" s="18">
        <v>62.87</v>
      </c>
      <c r="F773" s="18">
        <v>62.87</v>
      </c>
    </row>
    <row r="774">
      <c r="A774" s="6" t="s">
        <v>4420</v>
      </c>
      <c r="B774" s="6" t="s">
        <v>2260</v>
      </c>
      <c r="C774" s="6" t="s">
        <v>230</v>
      </c>
      <c r="D774" s="18">
        <v>1.0</v>
      </c>
      <c r="E774" s="18">
        <v>159.12</v>
      </c>
      <c r="F774" s="18">
        <v>159.12</v>
      </c>
    </row>
    <row r="775">
      <c r="A775" s="6" t="s">
        <v>4423</v>
      </c>
      <c r="B775" s="6" t="s">
        <v>2260</v>
      </c>
      <c r="C775" s="6" t="s">
        <v>152</v>
      </c>
      <c r="D775" s="18">
        <v>1.0</v>
      </c>
      <c r="E775" s="18">
        <v>9.14</v>
      </c>
      <c r="F775" s="18">
        <v>9.14</v>
      </c>
    </row>
    <row r="776">
      <c r="A776" s="6" t="s">
        <v>4424</v>
      </c>
      <c r="B776" s="6" t="s">
        <v>2260</v>
      </c>
      <c r="C776" s="6" t="s">
        <v>226</v>
      </c>
      <c r="D776" s="18">
        <v>15.0</v>
      </c>
      <c r="E776" s="18">
        <v>7.5</v>
      </c>
      <c r="F776" s="18">
        <v>112.5</v>
      </c>
    </row>
    <row r="777">
      <c r="A777" s="6" t="s">
        <v>4425</v>
      </c>
      <c r="B777" s="6" t="s">
        <v>2265</v>
      </c>
      <c r="C777" s="6" t="s">
        <v>305</v>
      </c>
      <c r="D777" s="18">
        <v>1.0</v>
      </c>
      <c r="E777" s="18">
        <v>325.98</v>
      </c>
      <c r="F777" s="18">
        <v>325.98</v>
      </c>
    </row>
    <row r="778">
      <c r="A778" s="6" t="s">
        <v>4427</v>
      </c>
      <c r="B778" s="6" t="s">
        <v>2270</v>
      </c>
      <c r="C778" s="18">
        <v>1.2539885E7</v>
      </c>
      <c r="D778" s="18">
        <v>10.0</v>
      </c>
      <c r="E778" s="18">
        <v>25.0</v>
      </c>
      <c r="F778" s="18">
        <v>250.0</v>
      </c>
    </row>
    <row r="779">
      <c r="A779" s="6" t="s">
        <v>4429</v>
      </c>
      <c r="B779" s="6" t="s">
        <v>2275</v>
      </c>
      <c r="C779" s="6" t="s">
        <v>1073</v>
      </c>
      <c r="D779" s="18">
        <v>1.0</v>
      </c>
      <c r="E779" s="18">
        <v>239.33</v>
      </c>
      <c r="F779" s="18">
        <v>239.33</v>
      </c>
    </row>
    <row r="780">
      <c r="A780" s="6" t="s">
        <v>4432</v>
      </c>
      <c r="B780" s="6" t="s">
        <v>2275</v>
      </c>
      <c r="C780" s="6" t="s">
        <v>1085</v>
      </c>
      <c r="D780" s="18">
        <v>1.0</v>
      </c>
      <c r="E780" s="18">
        <v>239.33</v>
      </c>
      <c r="F780" s="18">
        <v>239.33</v>
      </c>
    </row>
    <row r="781">
      <c r="A781" s="6" t="s">
        <v>4433</v>
      </c>
      <c r="B781" s="6" t="s">
        <v>2275</v>
      </c>
      <c r="C781" s="6" t="s">
        <v>1384</v>
      </c>
      <c r="D781" s="18">
        <v>1.0</v>
      </c>
      <c r="E781" s="18">
        <v>239.33</v>
      </c>
      <c r="F781" s="18">
        <v>239.33</v>
      </c>
    </row>
    <row r="782">
      <c r="A782" s="6" t="s">
        <v>4435</v>
      </c>
      <c r="B782" s="6" t="s">
        <v>2275</v>
      </c>
      <c r="C782" s="6" t="s">
        <v>1404</v>
      </c>
      <c r="D782" s="18">
        <v>1.0</v>
      </c>
      <c r="E782" s="18">
        <v>239.33</v>
      </c>
      <c r="F782" s="18">
        <v>239.33</v>
      </c>
    </row>
    <row r="783">
      <c r="A783" s="6" t="s">
        <v>4436</v>
      </c>
      <c r="B783" s="6" t="s">
        <v>2275</v>
      </c>
      <c r="C783" s="6" t="s">
        <v>1074</v>
      </c>
      <c r="D783" s="18">
        <v>1.0</v>
      </c>
      <c r="E783" s="18">
        <v>239.33</v>
      </c>
      <c r="F783" s="18">
        <v>239.33</v>
      </c>
    </row>
    <row r="784">
      <c r="A784" s="6" t="s">
        <v>4438</v>
      </c>
      <c r="B784" s="6" t="s">
        <v>2275</v>
      </c>
      <c r="C784" s="6" t="s">
        <v>1075</v>
      </c>
      <c r="D784" s="18">
        <v>1.0</v>
      </c>
      <c r="E784" s="18">
        <v>239.33</v>
      </c>
      <c r="F784" s="18">
        <v>239.33</v>
      </c>
    </row>
    <row r="785">
      <c r="A785" s="6" t="s">
        <v>4440</v>
      </c>
      <c r="B785" s="6" t="s">
        <v>2275</v>
      </c>
      <c r="C785" s="6" t="s">
        <v>1077</v>
      </c>
      <c r="D785" s="18">
        <v>1.0</v>
      </c>
      <c r="E785" s="18">
        <v>239.33</v>
      </c>
      <c r="F785" s="18">
        <v>239.33</v>
      </c>
    </row>
    <row r="786">
      <c r="A786" s="6" t="s">
        <v>4443</v>
      </c>
      <c r="B786" s="6" t="s">
        <v>2275</v>
      </c>
      <c r="C786" s="6" t="s">
        <v>1077</v>
      </c>
      <c r="D786" s="18">
        <v>1.0</v>
      </c>
      <c r="E786" s="18">
        <v>239.33</v>
      </c>
      <c r="F786" s="18">
        <v>239.33</v>
      </c>
    </row>
    <row r="787">
      <c r="A787" s="6" t="s">
        <v>4444</v>
      </c>
      <c r="B787" s="6" t="s">
        <v>2275</v>
      </c>
      <c r="C787" s="6" t="s">
        <v>1077</v>
      </c>
      <c r="D787" s="18">
        <v>1.0</v>
      </c>
      <c r="E787" s="18">
        <v>239.36</v>
      </c>
      <c r="F787" s="18">
        <v>239.36</v>
      </c>
    </row>
    <row r="788">
      <c r="A788" s="6" t="s">
        <v>4445</v>
      </c>
      <c r="B788" s="6" t="s">
        <v>2279</v>
      </c>
      <c r="C788" s="6" t="s">
        <v>3267</v>
      </c>
      <c r="D788" s="18">
        <v>1.0</v>
      </c>
      <c r="E788" s="18">
        <v>838.07</v>
      </c>
      <c r="F788" s="18">
        <v>838.07</v>
      </c>
    </row>
    <row r="789">
      <c r="A789" s="6" t="s">
        <v>4447</v>
      </c>
      <c r="B789" s="6" t="s">
        <v>2287</v>
      </c>
      <c r="C789" s="18">
        <v>1.2539885E7</v>
      </c>
      <c r="D789" s="18">
        <v>1.0</v>
      </c>
      <c r="E789" s="18">
        <v>250.0</v>
      </c>
      <c r="F789" s="18">
        <v>250.0</v>
      </c>
    </row>
    <row r="790">
      <c r="A790" s="6" t="s">
        <v>4449</v>
      </c>
      <c r="B790" s="6" t="s">
        <v>2293</v>
      </c>
      <c r="C790" s="6" t="s">
        <v>1239</v>
      </c>
      <c r="D790" s="18">
        <v>1.0</v>
      </c>
      <c r="E790" s="18">
        <v>1000.0</v>
      </c>
      <c r="F790" s="18">
        <v>1000.0</v>
      </c>
    </row>
    <row r="791">
      <c r="A791" s="6" t="s">
        <v>4451</v>
      </c>
      <c r="B791" s="6" t="s">
        <v>2297</v>
      </c>
      <c r="C791" s="6" t="s">
        <v>159</v>
      </c>
      <c r="D791" s="18">
        <v>1.0</v>
      </c>
      <c r="E791" s="18">
        <v>202.5</v>
      </c>
      <c r="F791" s="18">
        <v>202.5</v>
      </c>
    </row>
    <row r="792">
      <c r="A792" s="6" t="s">
        <v>4453</v>
      </c>
      <c r="B792" s="6" t="s">
        <v>2297</v>
      </c>
      <c r="C792" s="6" t="s">
        <v>155</v>
      </c>
      <c r="D792" s="18">
        <v>1.0</v>
      </c>
      <c r="E792" s="18">
        <v>60.1</v>
      </c>
      <c r="F792" s="18">
        <v>60.1</v>
      </c>
    </row>
    <row r="793">
      <c r="A793" s="6" t="s">
        <v>4454</v>
      </c>
      <c r="B793" s="6" t="s">
        <v>2297</v>
      </c>
      <c r="C793" s="6" t="s">
        <v>230</v>
      </c>
      <c r="D793" s="18">
        <v>1.0</v>
      </c>
      <c r="E793" s="18">
        <v>161.13</v>
      </c>
      <c r="F793" s="18">
        <v>161.13</v>
      </c>
    </row>
    <row r="794">
      <c r="A794" s="6" t="s">
        <v>4455</v>
      </c>
      <c r="B794" s="6" t="s">
        <v>2297</v>
      </c>
      <c r="C794" s="6" t="s">
        <v>152</v>
      </c>
      <c r="D794" s="18">
        <v>1.0</v>
      </c>
      <c r="E794" s="18">
        <v>15.07</v>
      </c>
      <c r="F794" s="18">
        <v>15.07</v>
      </c>
    </row>
    <row r="795">
      <c r="A795" s="6" t="s">
        <v>4457</v>
      </c>
      <c r="B795" s="6" t="s">
        <v>2297</v>
      </c>
      <c r="C795" s="6" t="s">
        <v>226</v>
      </c>
      <c r="D795" s="18">
        <v>1.0</v>
      </c>
      <c r="E795" s="18">
        <v>112.5</v>
      </c>
      <c r="F795" s="18">
        <v>112.5</v>
      </c>
    </row>
    <row r="796">
      <c r="A796" s="6" t="s">
        <v>4458</v>
      </c>
      <c r="B796" s="6" t="s">
        <v>2301</v>
      </c>
      <c r="C796" s="6" t="s">
        <v>1168</v>
      </c>
      <c r="D796" s="18">
        <v>1.0</v>
      </c>
      <c r="E796" s="18">
        <v>100.0</v>
      </c>
      <c r="F796" s="18">
        <v>100.0</v>
      </c>
    </row>
    <row r="797">
      <c r="A797" s="6" t="s">
        <v>4459</v>
      </c>
      <c r="B797" s="6" t="s">
        <v>2304</v>
      </c>
      <c r="C797" s="6" t="s">
        <v>1728</v>
      </c>
      <c r="D797" s="18">
        <v>1.0</v>
      </c>
      <c r="E797" s="18">
        <v>15.0</v>
      </c>
      <c r="F797" s="18">
        <v>15.0</v>
      </c>
    </row>
    <row r="798">
      <c r="A798" s="6" t="s">
        <v>4461</v>
      </c>
      <c r="B798" s="6" t="s">
        <v>2311</v>
      </c>
      <c r="C798" s="6" t="s">
        <v>305</v>
      </c>
      <c r="D798" s="18">
        <v>1.0</v>
      </c>
      <c r="E798" s="18">
        <v>74.14</v>
      </c>
      <c r="F798" s="18">
        <v>74.14</v>
      </c>
    </row>
    <row r="799">
      <c r="A799" s="6" t="s">
        <v>4463</v>
      </c>
      <c r="B799" s="6" t="s">
        <v>2318</v>
      </c>
      <c r="C799" s="6" t="s">
        <v>1536</v>
      </c>
      <c r="D799" s="18">
        <v>1.0</v>
      </c>
      <c r="E799" s="18">
        <v>70.0</v>
      </c>
      <c r="F799" s="18">
        <v>70.0</v>
      </c>
    </row>
    <row r="800">
      <c r="A800" s="6" t="s">
        <v>4465</v>
      </c>
      <c r="B800" s="6" t="s">
        <v>2324</v>
      </c>
      <c r="C800" s="6" t="s">
        <v>305</v>
      </c>
      <c r="D800" s="18">
        <v>1.0</v>
      </c>
      <c r="E800" s="18">
        <v>70.0</v>
      </c>
      <c r="F800" s="18">
        <v>70.0</v>
      </c>
    </row>
    <row r="801">
      <c r="A801" s="6" t="s">
        <v>4466</v>
      </c>
      <c r="B801" s="6" t="s">
        <v>2330</v>
      </c>
      <c r="C801" s="18">
        <v>1.2539885E7</v>
      </c>
      <c r="D801" s="18">
        <v>1.0</v>
      </c>
      <c r="E801" s="18">
        <v>500.0</v>
      </c>
      <c r="F801" s="18">
        <v>500.0</v>
      </c>
    </row>
    <row r="802">
      <c r="A802" s="6" t="s">
        <v>4467</v>
      </c>
      <c r="B802" s="6" t="s">
        <v>2336</v>
      </c>
      <c r="C802" s="6" t="s">
        <v>1047</v>
      </c>
      <c r="D802" s="18">
        <v>1.0</v>
      </c>
      <c r="E802" s="18">
        <v>110.0</v>
      </c>
      <c r="F802" s="18">
        <v>110.0</v>
      </c>
    </row>
    <row r="803">
      <c r="A803" s="6" t="s">
        <v>4469</v>
      </c>
      <c r="B803" s="6" t="s">
        <v>2340</v>
      </c>
      <c r="C803" s="6" t="s">
        <v>1552</v>
      </c>
      <c r="D803" s="18">
        <v>1.0</v>
      </c>
      <c r="E803" s="18">
        <v>680.0</v>
      </c>
      <c r="F803" s="18">
        <v>680.0</v>
      </c>
    </row>
    <row r="804">
      <c r="A804" s="6" t="s">
        <v>4470</v>
      </c>
      <c r="B804" s="6" t="s">
        <v>2344</v>
      </c>
      <c r="C804" s="6" t="s">
        <v>3338</v>
      </c>
      <c r="D804" s="18">
        <v>3.0</v>
      </c>
      <c r="E804" s="18">
        <v>3.0</v>
      </c>
      <c r="F804" s="18">
        <v>9.0</v>
      </c>
    </row>
    <row r="805">
      <c r="A805" s="6" t="s">
        <v>4471</v>
      </c>
      <c r="B805" s="6" t="s">
        <v>2352</v>
      </c>
      <c r="C805" s="6" t="s">
        <v>1653</v>
      </c>
      <c r="D805" s="18">
        <v>1.0</v>
      </c>
      <c r="E805" s="18">
        <v>200.0</v>
      </c>
      <c r="F805" s="18">
        <v>200.0</v>
      </c>
    </row>
    <row r="806">
      <c r="A806" s="6" t="s">
        <v>4473</v>
      </c>
      <c r="B806" s="6" t="s">
        <v>2356</v>
      </c>
      <c r="C806" s="6" t="s">
        <v>1168</v>
      </c>
      <c r="D806" s="18">
        <v>1.0</v>
      </c>
      <c r="E806" s="18">
        <v>200.0</v>
      </c>
      <c r="F806" s="18">
        <v>200.0</v>
      </c>
    </row>
    <row r="807">
      <c r="A807" s="6" t="s">
        <v>4475</v>
      </c>
      <c r="B807" s="6" t="s">
        <v>2360</v>
      </c>
      <c r="C807" s="6" t="s">
        <v>1126</v>
      </c>
      <c r="D807" s="18">
        <v>1.0</v>
      </c>
      <c r="E807" s="18">
        <v>30.0</v>
      </c>
      <c r="F807" s="18">
        <v>30.0</v>
      </c>
    </row>
    <row r="808">
      <c r="A808" s="6" t="s">
        <v>4476</v>
      </c>
      <c r="B808" s="6" t="s">
        <v>2362</v>
      </c>
      <c r="C808" s="6" t="s">
        <v>2725</v>
      </c>
      <c r="D808" s="18">
        <v>1.0</v>
      </c>
      <c r="E808" s="18">
        <v>60.0</v>
      </c>
      <c r="F808" s="18">
        <v>60.0</v>
      </c>
    </row>
    <row r="809">
      <c r="A809" s="6" t="s">
        <v>4477</v>
      </c>
      <c r="B809" s="6" t="s">
        <v>2370</v>
      </c>
      <c r="C809" s="6" t="s">
        <v>1668</v>
      </c>
      <c r="D809" s="18">
        <v>1.0</v>
      </c>
      <c r="E809" s="18">
        <v>114.46</v>
      </c>
      <c r="F809" s="18">
        <v>114.46</v>
      </c>
    </row>
    <row r="810">
      <c r="A810" s="6" t="s">
        <v>4479</v>
      </c>
      <c r="B810" s="6" t="s">
        <v>2376</v>
      </c>
      <c r="C810" s="6" t="s">
        <v>305</v>
      </c>
      <c r="D810" s="18">
        <v>1.0</v>
      </c>
      <c r="E810" s="18">
        <v>79.0</v>
      </c>
      <c r="F810" s="18">
        <v>79.0</v>
      </c>
    </row>
    <row r="811">
      <c r="A811" s="6" t="s">
        <v>4480</v>
      </c>
      <c r="B811" s="6" t="s">
        <v>2382</v>
      </c>
      <c r="C811" s="6" t="s">
        <v>305</v>
      </c>
      <c r="D811" s="18">
        <v>1.0</v>
      </c>
      <c r="E811" s="18">
        <v>178.95</v>
      </c>
      <c r="F811" s="18">
        <v>178.95</v>
      </c>
    </row>
    <row r="812">
      <c r="A812" s="6" t="s">
        <v>4481</v>
      </c>
      <c r="B812" s="6" t="s">
        <v>2387</v>
      </c>
      <c r="C812" s="18">
        <v>1.2539885E7</v>
      </c>
      <c r="D812" s="18">
        <v>1.0</v>
      </c>
      <c r="E812" s="18">
        <v>200.0</v>
      </c>
      <c r="F812" s="18">
        <v>200.0</v>
      </c>
    </row>
    <row r="813">
      <c r="A813" s="6" t="s">
        <v>4482</v>
      </c>
      <c r="B813" s="6" t="s">
        <v>2391</v>
      </c>
      <c r="C813" s="6" t="s">
        <v>1168</v>
      </c>
      <c r="D813" s="18">
        <v>1.0</v>
      </c>
      <c r="E813" s="18">
        <v>500.0</v>
      </c>
      <c r="F813" s="18">
        <v>500.0</v>
      </c>
    </row>
    <row r="814">
      <c r="A814" s="6" t="s">
        <v>4483</v>
      </c>
      <c r="B814" s="6" t="s">
        <v>2395</v>
      </c>
      <c r="C814" s="6" t="s">
        <v>1168</v>
      </c>
      <c r="D814" s="18">
        <v>1.0</v>
      </c>
      <c r="E814" s="18">
        <v>500.0</v>
      </c>
      <c r="F814" s="18">
        <v>500.0</v>
      </c>
    </row>
    <row r="815">
      <c r="A815" s="6" t="s">
        <v>4485</v>
      </c>
      <c r="B815" s="6" t="s">
        <v>2398</v>
      </c>
      <c r="C815" s="6" t="s">
        <v>226</v>
      </c>
      <c r="D815" s="18">
        <v>5.0</v>
      </c>
      <c r="E815" s="18">
        <v>7.5</v>
      </c>
      <c r="F815" s="18">
        <v>37.5</v>
      </c>
    </row>
    <row r="816">
      <c r="A816" s="6" t="s">
        <v>4486</v>
      </c>
      <c r="B816" s="6" t="s">
        <v>2398</v>
      </c>
      <c r="C816" s="6" t="s">
        <v>230</v>
      </c>
      <c r="D816" s="18">
        <v>1.0</v>
      </c>
      <c r="E816" s="18">
        <v>108.4</v>
      </c>
      <c r="F816" s="18">
        <v>108.4</v>
      </c>
    </row>
    <row r="817">
      <c r="A817" s="6" t="s">
        <v>4489</v>
      </c>
      <c r="B817" s="6" t="s">
        <v>2398</v>
      </c>
      <c r="C817" s="6" t="s">
        <v>155</v>
      </c>
      <c r="D817" s="18">
        <v>1.0</v>
      </c>
      <c r="E817" s="18">
        <v>39.44</v>
      </c>
      <c r="F817" s="18">
        <v>39.44</v>
      </c>
    </row>
    <row r="818">
      <c r="A818" s="6" t="s">
        <v>4490</v>
      </c>
      <c r="B818" s="6" t="s">
        <v>2398</v>
      </c>
      <c r="C818" s="6" t="s">
        <v>159</v>
      </c>
      <c r="D818" s="18">
        <v>1.0</v>
      </c>
      <c r="E818" s="18">
        <v>67.5</v>
      </c>
      <c r="F818" s="18">
        <v>67.5</v>
      </c>
    </row>
    <row r="819">
      <c r="A819" s="6" t="s">
        <v>4491</v>
      </c>
      <c r="B819" s="6" t="s">
        <v>2402</v>
      </c>
      <c r="C819" s="6" t="s">
        <v>1517</v>
      </c>
      <c r="D819" s="18">
        <v>1.0</v>
      </c>
      <c r="E819" s="18">
        <v>3841.92</v>
      </c>
      <c r="F819" s="18">
        <v>3841.92</v>
      </c>
    </row>
    <row r="820">
      <c r="A820" s="6" t="s">
        <v>4493</v>
      </c>
      <c r="B820" s="6" t="s">
        <v>2406</v>
      </c>
      <c r="C820" s="6" t="s">
        <v>1510</v>
      </c>
      <c r="D820" s="18">
        <v>1.0</v>
      </c>
      <c r="E820" s="18">
        <v>5746.38</v>
      </c>
      <c r="F820" s="18">
        <v>5746.38</v>
      </c>
    </row>
    <row r="821">
      <c r="A821" s="6" t="s">
        <v>4495</v>
      </c>
      <c r="B821" s="6" t="s">
        <v>2410</v>
      </c>
      <c r="C821" s="6" t="s">
        <v>3447</v>
      </c>
      <c r="D821" s="18">
        <v>1.0</v>
      </c>
      <c r="E821" s="18">
        <v>50.0</v>
      </c>
      <c r="F821" s="18">
        <v>50.0</v>
      </c>
    </row>
    <row r="822">
      <c r="A822" s="6" t="s">
        <v>4498</v>
      </c>
      <c r="B822" s="6" t="s">
        <v>2416</v>
      </c>
      <c r="C822" s="6" t="s">
        <v>3447</v>
      </c>
      <c r="D822" s="18">
        <v>1.0</v>
      </c>
      <c r="E822" s="18">
        <v>24.4</v>
      </c>
      <c r="F822" s="18">
        <v>24.4</v>
      </c>
    </row>
    <row r="823">
      <c r="A823" s="6" t="s">
        <v>4499</v>
      </c>
      <c r="B823" s="6" t="s">
        <v>2422</v>
      </c>
      <c r="C823" s="18">
        <v>1.2539885E7</v>
      </c>
      <c r="D823" s="18">
        <v>1.0</v>
      </c>
      <c r="E823" s="18">
        <v>200.0</v>
      </c>
      <c r="F823" s="18">
        <v>200.0</v>
      </c>
    </row>
    <row r="824">
      <c r="A824" s="6" t="s">
        <v>4501</v>
      </c>
      <c r="B824" s="6" t="s">
        <v>2426</v>
      </c>
      <c r="C824" s="6" t="s">
        <v>159</v>
      </c>
      <c r="D824" s="18">
        <v>5.0</v>
      </c>
      <c r="E824" s="18">
        <v>13.5</v>
      </c>
      <c r="F824" s="18">
        <v>67.5</v>
      </c>
    </row>
    <row r="825">
      <c r="A825" s="6" t="s">
        <v>4502</v>
      </c>
      <c r="B825" s="6" t="s">
        <v>2426</v>
      </c>
      <c r="C825" s="6" t="s">
        <v>155</v>
      </c>
      <c r="D825" s="18">
        <v>1.0</v>
      </c>
      <c r="E825" s="18">
        <v>36.97</v>
      </c>
      <c r="F825" s="18">
        <v>36.97</v>
      </c>
    </row>
    <row r="826">
      <c r="A826" s="6" t="s">
        <v>4504</v>
      </c>
      <c r="B826" s="6" t="s">
        <v>2426</v>
      </c>
      <c r="C826" s="6" t="s">
        <v>230</v>
      </c>
      <c r="D826" s="18">
        <v>1.0</v>
      </c>
      <c r="E826" s="18">
        <v>118.41</v>
      </c>
      <c r="F826" s="18">
        <v>118.41</v>
      </c>
    </row>
    <row r="827">
      <c r="A827" s="6" t="s">
        <v>4505</v>
      </c>
      <c r="B827" s="6" t="s">
        <v>2426</v>
      </c>
      <c r="C827" s="6" t="s">
        <v>152</v>
      </c>
      <c r="D827" s="18">
        <v>1.0</v>
      </c>
      <c r="E827" s="18">
        <v>14.28</v>
      </c>
      <c r="F827" s="18">
        <v>14.28</v>
      </c>
    </row>
    <row r="828">
      <c r="A828" s="6" t="s">
        <v>4507</v>
      </c>
      <c r="B828" s="6" t="s">
        <v>2430</v>
      </c>
      <c r="C828" s="18">
        <v>1.2539885E7</v>
      </c>
      <c r="D828" s="18">
        <v>1.0</v>
      </c>
      <c r="E828" s="18">
        <v>200.0</v>
      </c>
      <c r="F828" s="18">
        <v>200.0</v>
      </c>
    </row>
    <row r="829">
      <c r="A829" s="6" t="s">
        <v>4508</v>
      </c>
      <c r="B829" s="6" t="s">
        <v>2438</v>
      </c>
      <c r="C829" s="6" t="s">
        <v>3496</v>
      </c>
      <c r="D829" s="18">
        <v>1.0</v>
      </c>
      <c r="E829" s="18">
        <v>168.49</v>
      </c>
      <c r="F829" s="18">
        <v>168.49</v>
      </c>
    </row>
    <row r="830">
      <c r="A830" s="6" t="s">
        <v>4510</v>
      </c>
      <c r="B830" s="6" t="s">
        <v>2445</v>
      </c>
      <c r="C830" s="6" t="s">
        <v>1239</v>
      </c>
      <c r="D830" s="18">
        <v>1.0</v>
      </c>
      <c r="E830" s="18">
        <v>1162.92</v>
      </c>
      <c r="F830" s="18">
        <v>1162.92</v>
      </c>
    </row>
    <row r="831">
      <c r="A831" s="6" t="s">
        <v>4511</v>
      </c>
      <c r="B831" s="6" t="s">
        <v>2450</v>
      </c>
      <c r="C831" s="6" t="s">
        <v>1239</v>
      </c>
      <c r="D831" s="18">
        <v>1.0</v>
      </c>
      <c r="E831" s="18">
        <v>1394.54</v>
      </c>
      <c r="F831" s="18">
        <v>1394.54</v>
      </c>
    </row>
    <row r="832">
      <c r="A832" s="6" t="s">
        <v>4513</v>
      </c>
      <c r="B832" s="6" t="s">
        <v>2453</v>
      </c>
      <c r="C832" s="6" t="s">
        <v>1239</v>
      </c>
      <c r="D832" s="18">
        <v>1.0</v>
      </c>
      <c r="E832" s="18">
        <v>1199.4</v>
      </c>
      <c r="F832" s="18">
        <v>1199.4</v>
      </c>
    </row>
    <row r="833">
      <c r="A833" s="6" t="s">
        <v>4514</v>
      </c>
      <c r="B833" s="6" t="s">
        <v>2456</v>
      </c>
      <c r="C833" s="6" t="s">
        <v>1239</v>
      </c>
      <c r="D833" s="18">
        <v>1.0</v>
      </c>
      <c r="E833" s="18">
        <v>1390.9</v>
      </c>
      <c r="F833" s="18">
        <v>1390.9</v>
      </c>
    </row>
    <row r="834">
      <c r="A834" s="6" t="s">
        <v>4515</v>
      </c>
      <c r="B834" s="6" t="s">
        <v>2460</v>
      </c>
      <c r="C834" s="6" t="s">
        <v>1239</v>
      </c>
      <c r="D834" s="18">
        <v>1.0</v>
      </c>
      <c r="E834" s="18">
        <v>1908.64</v>
      </c>
      <c r="F834" s="18">
        <v>1908.64</v>
      </c>
    </row>
    <row r="835">
      <c r="A835" s="6" t="s">
        <v>4516</v>
      </c>
      <c r="B835" s="6" t="s">
        <v>2462</v>
      </c>
      <c r="C835" s="6" t="s">
        <v>1239</v>
      </c>
      <c r="D835" s="18">
        <v>1.0</v>
      </c>
      <c r="E835" s="18">
        <v>2034.4</v>
      </c>
      <c r="F835" s="18">
        <v>2034.4</v>
      </c>
    </row>
    <row r="836">
      <c r="A836" s="6" t="s">
        <v>4517</v>
      </c>
      <c r="B836" s="6" t="s">
        <v>2465</v>
      </c>
      <c r="C836" s="6" t="s">
        <v>159</v>
      </c>
      <c r="D836" s="18">
        <v>1.0</v>
      </c>
      <c r="E836" s="18">
        <v>27.0</v>
      </c>
      <c r="F836" s="18">
        <v>27.0</v>
      </c>
    </row>
    <row r="837">
      <c r="A837" s="6" t="s">
        <v>4519</v>
      </c>
      <c r="B837" s="6" t="s">
        <v>2465</v>
      </c>
      <c r="C837" s="6" t="s">
        <v>155</v>
      </c>
      <c r="D837" s="18">
        <v>1.0</v>
      </c>
      <c r="E837" s="18">
        <v>42.43</v>
      </c>
      <c r="F837" s="18">
        <v>42.43</v>
      </c>
    </row>
    <row r="838">
      <c r="A838" s="6" t="s">
        <v>4520</v>
      </c>
      <c r="B838" s="6" t="s">
        <v>2465</v>
      </c>
      <c r="C838" s="6" t="s">
        <v>226</v>
      </c>
      <c r="D838" s="18">
        <v>1.0</v>
      </c>
      <c r="E838" s="18">
        <v>114.0</v>
      </c>
      <c r="F838" s="18">
        <v>114.0</v>
      </c>
    </row>
    <row r="839">
      <c r="A839" s="6" t="s">
        <v>4521</v>
      </c>
      <c r="B839" s="6" t="s">
        <v>2470</v>
      </c>
      <c r="C839" s="6" t="s">
        <v>1350</v>
      </c>
      <c r="D839" s="18">
        <v>1.0</v>
      </c>
      <c r="E839" s="18">
        <v>55.0</v>
      </c>
      <c r="F839" s="18">
        <v>55.0</v>
      </c>
    </row>
    <row r="840">
      <c r="A840" s="6" t="s">
        <v>4522</v>
      </c>
      <c r="B840" s="6" t="s">
        <v>2476</v>
      </c>
      <c r="C840" s="6" t="s">
        <v>1197</v>
      </c>
      <c r="D840" s="18">
        <v>4.0</v>
      </c>
      <c r="E840" s="18">
        <v>21.0</v>
      </c>
      <c r="F840" s="18">
        <v>84.0</v>
      </c>
    </row>
    <row r="841">
      <c r="A841" s="6" t="s">
        <v>4524</v>
      </c>
      <c r="B841" s="6" t="s">
        <v>2476</v>
      </c>
      <c r="C841" s="6" t="s">
        <v>1195</v>
      </c>
      <c r="D841" s="18">
        <v>4.0</v>
      </c>
      <c r="E841" s="18">
        <v>23.0</v>
      </c>
      <c r="F841" s="18">
        <v>92.0</v>
      </c>
    </row>
    <row r="842">
      <c r="A842" s="6" t="s">
        <v>4525</v>
      </c>
      <c r="B842" s="6" t="s">
        <v>2476</v>
      </c>
      <c r="C842" s="6" t="s">
        <v>3547</v>
      </c>
      <c r="D842" s="18">
        <v>1.0</v>
      </c>
      <c r="E842" s="18">
        <v>30.0</v>
      </c>
      <c r="F842" s="18">
        <v>30.0</v>
      </c>
    </row>
    <row r="843">
      <c r="A843" s="6" t="s">
        <v>4527</v>
      </c>
      <c r="B843" s="6" t="s">
        <v>2476</v>
      </c>
      <c r="C843" s="6" t="s">
        <v>266</v>
      </c>
      <c r="D843" s="18">
        <v>3.0</v>
      </c>
      <c r="E843" s="18">
        <v>18.0</v>
      </c>
      <c r="F843" s="18">
        <v>54.0</v>
      </c>
    </row>
    <row r="844">
      <c r="A844" s="6" t="s">
        <v>4529</v>
      </c>
      <c r="B844" s="6" t="s">
        <v>2482</v>
      </c>
      <c r="C844" s="6" t="s">
        <v>2870</v>
      </c>
      <c r="D844" s="18">
        <v>1.0</v>
      </c>
      <c r="E844" s="18">
        <v>70.65</v>
      </c>
      <c r="F844" s="18">
        <v>70.65</v>
      </c>
    </row>
    <row r="845">
      <c r="A845" s="6" t="s">
        <v>4531</v>
      </c>
      <c r="B845" s="6" t="s">
        <v>2490</v>
      </c>
      <c r="C845" s="6" t="s">
        <v>1145</v>
      </c>
      <c r="D845" s="18">
        <v>1.0</v>
      </c>
      <c r="E845" s="18">
        <v>2481.75</v>
      </c>
      <c r="F845" s="18">
        <v>2481.75</v>
      </c>
    </row>
    <row r="846">
      <c r="A846" s="6" t="s">
        <v>4533</v>
      </c>
      <c r="B846" s="6" t="s">
        <v>2495</v>
      </c>
      <c r="C846" s="6" t="s">
        <v>3565</v>
      </c>
      <c r="D846" s="18">
        <v>1.0</v>
      </c>
      <c r="E846" s="18">
        <v>50.1</v>
      </c>
      <c r="F846" s="18">
        <v>50.1</v>
      </c>
    </row>
    <row r="847">
      <c r="A847" s="6" t="s">
        <v>4535</v>
      </c>
      <c r="B847" s="6" t="s">
        <v>2502</v>
      </c>
      <c r="C847" s="6" t="s">
        <v>1168</v>
      </c>
      <c r="D847" s="18">
        <v>1.0</v>
      </c>
      <c r="E847" s="18">
        <v>300.0</v>
      </c>
      <c r="F847" s="18">
        <v>300.0</v>
      </c>
    </row>
    <row r="848">
      <c r="A848" s="6" t="s">
        <v>4536</v>
      </c>
      <c r="B848" s="6" t="s">
        <v>2507</v>
      </c>
      <c r="C848" s="6" t="s">
        <v>159</v>
      </c>
      <c r="D848" s="18">
        <v>15.0</v>
      </c>
      <c r="E848" s="18">
        <v>13.0</v>
      </c>
      <c r="F848" s="18">
        <v>195.0</v>
      </c>
    </row>
    <row r="849">
      <c r="A849" s="6" t="s">
        <v>4537</v>
      </c>
      <c r="B849" s="6" t="s">
        <v>2507</v>
      </c>
      <c r="C849" s="6" t="s">
        <v>3090</v>
      </c>
      <c r="D849" s="18">
        <v>1.0</v>
      </c>
      <c r="E849" s="18">
        <v>2.27</v>
      </c>
      <c r="F849" s="18">
        <v>2.27</v>
      </c>
    </row>
    <row r="850">
      <c r="A850" s="6" t="s">
        <v>4539</v>
      </c>
      <c r="B850" s="6" t="s">
        <v>2507</v>
      </c>
      <c r="C850" s="6" t="s">
        <v>155</v>
      </c>
      <c r="D850" s="18">
        <v>1.0</v>
      </c>
      <c r="E850" s="18">
        <v>56.87</v>
      </c>
      <c r="F850" s="18">
        <v>56.87</v>
      </c>
    </row>
    <row r="851">
      <c r="A851" s="6" t="s">
        <v>4541</v>
      </c>
      <c r="B851" s="6" t="s">
        <v>2507</v>
      </c>
      <c r="C851" s="6" t="s">
        <v>152</v>
      </c>
      <c r="D851" s="18">
        <v>1.0</v>
      </c>
      <c r="E851" s="18">
        <v>11.25</v>
      </c>
      <c r="F851" s="18">
        <v>11.25</v>
      </c>
    </row>
    <row r="852">
      <c r="A852" s="6" t="s">
        <v>4543</v>
      </c>
      <c r="B852" s="6" t="s">
        <v>2507</v>
      </c>
      <c r="C852" s="6" t="s">
        <v>226</v>
      </c>
      <c r="D852" s="18">
        <v>15.0</v>
      </c>
      <c r="E852" s="18">
        <v>7.6</v>
      </c>
      <c r="F852" s="18">
        <v>114.0</v>
      </c>
    </row>
    <row r="853">
      <c r="A853" s="6" t="s">
        <v>4544</v>
      </c>
      <c r="B853" s="6" t="s">
        <v>2511</v>
      </c>
      <c r="C853" s="18">
        <v>1.2539885E7</v>
      </c>
      <c r="D853" s="18">
        <v>1.0</v>
      </c>
      <c r="E853" s="18">
        <v>250.0</v>
      </c>
      <c r="F853" s="18">
        <v>250.0</v>
      </c>
    </row>
    <row r="854">
      <c r="A854" s="6" t="s">
        <v>4545</v>
      </c>
      <c r="B854" s="6" t="s">
        <v>2515</v>
      </c>
      <c r="C854" s="6" t="s">
        <v>3338</v>
      </c>
      <c r="D854" s="18">
        <v>1.0</v>
      </c>
      <c r="E854" s="18">
        <v>20.0</v>
      </c>
      <c r="F854" s="18">
        <v>20.0</v>
      </c>
    </row>
    <row r="855">
      <c r="A855" s="6" t="s">
        <v>4547</v>
      </c>
      <c r="B855" s="6" t="s">
        <v>2521</v>
      </c>
      <c r="C855" s="6" t="s">
        <v>305</v>
      </c>
      <c r="D855" s="18">
        <v>1.0</v>
      </c>
      <c r="E855" s="18">
        <v>240.41</v>
      </c>
      <c r="F855" s="18">
        <v>240.41</v>
      </c>
    </row>
    <row r="856">
      <c r="A856" s="6" t="s">
        <v>4549</v>
      </c>
      <c r="B856" s="6" t="s">
        <v>2525</v>
      </c>
      <c r="C856" s="6" t="s">
        <v>3606</v>
      </c>
      <c r="D856" s="18">
        <v>1.0</v>
      </c>
      <c r="E856" s="18">
        <v>19.9</v>
      </c>
      <c r="F856" s="18">
        <v>19.9</v>
      </c>
    </row>
    <row r="857">
      <c r="A857" s="6" t="s">
        <v>4551</v>
      </c>
      <c r="B857" s="6" t="s">
        <v>2525</v>
      </c>
      <c r="C857" s="6" t="s">
        <v>3607</v>
      </c>
      <c r="D857" s="18">
        <v>1.0</v>
      </c>
      <c r="E857" s="18">
        <v>22.9</v>
      </c>
      <c r="F857" s="18">
        <v>22.9</v>
      </c>
    </row>
    <row r="858">
      <c r="A858" s="6" t="s">
        <v>4552</v>
      </c>
      <c r="B858" s="6" t="s">
        <v>2530</v>
      </c>
      <c r="C858" s="6" t="s">
        <v>789</v>
      </c>
      <c r="D858" s="18">
        <v>1.0</v>
      </c>
      <c r="E858" s="18">
        <v>146.58</v>
      </c>
      <c r="F858" s="18">
        <v>146.58</v>
      </c>
    </row>
    <row r="859">
      <c r="A859" s="6" t="s">
        <v>4553</v>
      </c>
      <c r="B859" s="6" t="s">
        <v>2530</v>
      </c>
      <c r="C859" s="6" t="s">
        <v>794</v>
      </c>
      <c r="D859" s="18">
        <v>1.0</v>
      </c>
      <c r="E859" s="18">
        <v>67.44</v>
      </c>
      <c r="F859" s="18">
        <v>67.44</v>
      </c>
    </row>
    <row r="860">
      <c r="A860" s="6" t="s">
        <v>4555</v>
      </c>
      <c r="B860" s="6" t="s">
        <v>2530</v>
      </c>
      <c r="C860" s="6" t="s">
        <v>1346</v>
      </c>
      <c r="D860" s="18">
        <v>1.0</v>
      </c>
      <c r="E860" s="18">
        <v>38.32</v>
      </c>
      <c r="F860" s="18">
        <v>38.32</v>
      </c>
    </row>
    <row r="861">
      <c r="A861" s="6" t="s">
        <v>4557</v>
      </c>
      <c r="B861" s="6" t="s">
        <v>2530</v>
      </c>
      <c r="C861" s="6" t="s">
        <v>249</v>
      </c>
      <c r="D861" s="18">
        <v>1.0</v>
      </c>
      <c r="E861" s="18">
        <v>135.24</v>
      </c>
      <c r="F861" s="18">
        <v>135.24</v>
      </c>
    </row>
    <row r="862">
      <c r="A862" s="6" t="s">
        <v>4559</v>
      </c>
      <c r="B862" s="6" t="s">
        <v>2530</v>
      </c>
      <c r="C862" s="6" t="s">
        <v>3616</v>
      </c>
      <c r="D862" s="18">
        <v>1.0</v>
      </c>
      <c r="E862" s="18">
        <v>128.76</v>
      </c>
      <c r="F862" s="18">
        <v>128.76</v>
      </c>
    </row>
    <row r="863">
      <c r="A863" s="6" t="s">
        <v>4560</v>
      </c>
      <c r="B863" s="6" t="s">
        <v>2530</v>
      </c>
      <c r="C863" s="6" t="s">
        <v>789</v>
      </c>
      <c r="D863" s="18">
        <v>1.0</v>
      </c>
      <c r="E863" s="18">
        <v>62.41</v>
      </c>
      <c r="F863" s="18">
        <v>62.41</v>
      </c>
    </row>
    <row r="864">
      <c r="A864" s="6" t="s">
        <v>4561</v>
      </c>
      <c r="B864" s="6" t="s">
        <v>2530</v>
      </c>
      <c r="C864" s="6" t="s">
        <v>794</v>
      </c>
      <c r="D864" s="18">
        <v>1.0</v>
      </c>
      <c r="E864" s="18">
        <v>278.0</v>
      </c>
      <c r="F864" s="18">
        <v>278.0</v>
      </c>
    </row>
    <row r="865">
      <c r="A865" s="6" t="s">
        <v>4563</v>
      </c>
      <c r="B865" s="6" t="s">
        <v>2530</v>
      </c>
      <c r="C865" s="6" t="s">
        <v>802</v>
      </c>
      <c r="D865" s="18">
        <v>1.0</v>
      </c>
      <c r="E865" s="18">
        <v>414.9</v>
      </c>
      <c r="F865" s="18">
        <v>414.9</v>
      </c>
    </row>
    <row r="866">
      <c r="A866" s="6" t="s">
        <v>4565</v>
      </c>
      <c r="B866" s="6" t="s">
        <v>2530</v>
      </c>
      <c r="C866" s="6" t="s">
        <v>794</v>
      </c>
      <c r="D866" s="18">
        <v>1.0</v>
      </c>
      <c r="E866" s="18">
        <v>9.04</v>
      </c>
      <c r="F866" s="18">
        <v>9.04</v>
      </c>
    </row>
    <row r="867">
      <c r="A867" s="6" t="s">
        <v>4567</v>
      </c>
      <c r="B867" s="6" t="s">
        <v>2534</v>
      </c>
      <c r="C867" s="6" t="s">
        <v>1648</v>
      </c>
      <c r="D867" s="18">
        <v>1.0</v>
      </c>
      <c r="E867" s="18">
        <v>70.65</v>
      </c>
      <c r="F867" s="18">
        <v>70.65</v>
      </c>
    </row>
    <row r="868">
      <c r="A868" s="6" t="s">
        <v>4569</v>
      </c>
      <c r="B868" s="6" t="s">
        <v>2538</v>
      </c>
      <c r="C868" s="6" t="s">
        <v>1648</v>
      </c>
      <c r="D868" s="18">
        <v>1.0</v>
      </c>
      <c r="E868" s="18">
        <v>94.09</v>
      </c>
      <c r="F868" s="18">
        <v>94.09</v>
      </c>
    </row>
    <row r="869">
      <c r="A869" s="6" t="s">
        <v>4571</v>
      </c>
      <c r="B869" s="18">
        <v>6.4159874E7</v>
      </c>
      <c r="C869" s="6" t="s">
        <v>159</v>
      </c>
      <c r="D869" s="18">
        <v>15.0</v>
      </c>
      <c r="E869" s="18">
        <v>13.5</v>
      </c>
      <c r="F869" s="18">
        <v>202.5</v>
      </c>
    </row>
    <row r="870">
      <c r="A870" s="6" t="s">
        <v>4572</v>
      </c>
      <c r="B870" s="18">
        <v>6.4159874E7</v>
      </c>
      <c r="C870" s="6" t="s">
        <v>155</v>
      </c>
      <c r="D870" s="18">
        <v>1.0</v>
      </c>
      <c r="E870" s="18">
        <v>34.56</v>
      </c>
      <c r="F870" s="18">
        <v>34.56</v>
      </c>
    </row>
    <row r="871">
      <c r="A871" s="6" t="s">
        <v>4573</v>
      </c>
      <c r="B871" s="18">
        <v>6.4159874E7</v>
      </c>
      <c r="C871" s="6" t="s">
        <v>152</v>
      </c>
      <c r="D871" s="18">
        <v>1.0</v>
      </c>
      <c r="E871" s="18">
        <v>9.74</v>
      </c>
      <c r="F871" s="18">
        <v>9.74</v>
      </c>
    </row>
    <row r="872">
      <c r="A872" s="6" t="s">
        <v>4574</v>
      </c>
      <c r="B872" s="6" t="s">
        <v>2542</v>
      </c>
      <c r="C872" s="6" t="s">
        <v>1168</v>
      </c>
      <c r="D872" s="18">
        <v>1.0</v>
      </c>
      <c r="E872" s="18">
        <v>300.0</v>
      </c>
      <c r="F872" s="18">
        <v>300.0</v>
      </c>
    </row>
    <row r="873">
      <c r="A873" s="6" t="s">
        <v>4575</v>
      </c>
      <c r="B873" s="6" t="s">
        <v>2547</v>
      </c>
      <c r="C873" s="6" t="s">
        <v>3218</v>
      </c>
      <c r="D873" s="18">
        <v>1.0</v>
      </c>
      <c r="E873" s="18">
        <v>355.96</v>
      </c>
      <c r="F873" s="18">
        <v>355.96</v>
      </c>
    </row>
    <row r="874">
      <c r="A874" s="6" t="s">
        <v>4577</v>
      </c>
      <c r="B874" s="6" t="s">
        <v>2551</v>
      </c>
      <c r="C874" s="18">
        <v>1.2539885E7</v>
      </c>
      <c r="D874" s="18">
        <v>1.0</v>
      </c>
      <c r="E874" s="18">
        <v>325.0</v>
      </c>
      <c r="F874" s="18">
        <v>325.0</v>
      </c>
    </row>
    <row r="875">
      <c r="A875" s="6" t="s">
        <v>4578</v>
      </c>
      <c r="B875" s="6" t="s">
        <v>2558</v>
      </c>
      <c r="C875" s="6" t="s">
        <v>159</v>
      </c>
      <c r="D875" s="18">
        <v>20.0</v>
      </c>
      <c r="E875" s="18">
        <v>13.5</v>
      </c>
      <c r="F875" s="18">
        <v>270.0</v>
      </c>
    </row>
    <row r="876">
      <c r="A876" s="6" t="s">
        <v>4580</v>
      </c>
      <c r="B876" s="6" t="s">
        <v>2558</v>
      </c>
      <c r="C876" s="6" t="s">
        <v>155</v>
      </c>
      <c r="D876" s="18">
        <v>1.0</v>
      </c>
      <c r="E876" s="18">
        <v>89.3</v>
      </c>
      <c r="F876" s="18">
        <v>89.3</v>
      </c>
    </row>
    <row r="877">
      <c r="A877" s="6" t="s">
        <v>4581</v>
      </c>
      <c r="B877" s="6" t="s">
        <v>2558</v>
      </c>
      <c r="C877" s="6" t="s">
        <v>152</v>
      </c>
      <c r="D877" s="18">
        <v>1.0</v>
      </c>
      <c r="E877" s="18">
        <v>9.0</v>
      </c>
      <c r="F877" s="18">
        <v>9.0</v>
      </c>
    </row>
    <row r="878">
      <c r="A878" s="6" t="s">
        <v>4583</v>
      </c>
      <c r="B878" s="6" t="s">
        <v>2558</v>
      </c>
      <c r="C878" s="6" t="s">
        <v>226</v>
      </c>
      <c r="D878" s="18">
        <v>1.0</v>
      </c>
      <c r="E878" s="18">
        <v>15.8</v>
      </c>
      <c r="F878" s="18">
        <v>15.8</v>
      </c>
    </row>
    <row r="879">
      <c r="A879" s="6" t="s">
        <v>4584</v>
      </c>
      <c r="B879" s="6" t="s">
        <v>2563</v>
      </c>
      <c r="C879" s="6" t="s">
        <v>1346</v>
      </c>
      <c r="D879" s="18">
        <v>1.0</v>
      </c>
      <c r="E879" s="18">
        <v>27.5</v>
      </c>
      <c r="F879" s="18">
        <v>27.5</v>
      </c>
    </row>
    <row r="880">
      <c r="A880" s="6" t="s">
        <v>4586</v>
      </c>
      <c r="B880" s="6" t="s">
        <v>2570</v>
      </c>
      <c r="C880" s="6" t="s">
        <v>305</v>
      </c>
      <c r="D880" s="18">
        <v>1.0</v>
      </c>
      <c r="E880" s="18">
        <v>205.06</v>
      </c>
      <c r="F880" s="18">
        <v>205.06</v>
      </c>
    </row>
    <row r="881">
      <c r="A881" s="6" t="s">
        <v>4587</v>
      </c>
      <c r="B881" s="6" t="s">
        <v>2577</v>
      </c>
      <c r="C881" s="18">
        <v>1.2539885E7</v>
      </c>
      <c r="D881" s="18">
        <v>1.0</v>
      </c>
      <c r="E881" s="18">
        <v>300.0</v>
      </c>
      <c r="F881" s="18">
        <v>300.0</v>
      </c>
    </row>
    <row r="882">
      <c r="A882" s="6" t="s">
        <v>4588</v>
      </c>
      <c r="B882" s="6" t="s">
        <v>2583</v>
      </c>
      <c r="C882" s="6" t="s">
        <v>1164</v>
      </c>
      <c r="D882" s="18">
        <v>1.0</v>
      </c>
      <c r="E882" s="18">
        <v>223.58</v>
      </c>
      <c r="F882" s="18">
        <v>223.58</v>
      </c>
    </row>
    <row r="883">
      <c r="A883" s="6" t="s">
        <v>4590</v>
      </c>
      <c r="B883" s="6" t="s">
        <v>2588</v>
      </c>
      <c r="C883" s="6" t="s">
        <v>1510</v>
      </c>
      <c r="D883" s="18">
        <v>1.0</v>
      </c>
      <c r="E883" s="18">
        <v>6372.86</v>
      </c>
      <c r="F883" s="18">
        <v>6372.86</v>
      </c>
    </row>
    <row r="884">
      <c r="A884" s="6" t="s">
        <v>4591</v>
      </c>
      <c r="B884" s="6" t="s">
        <v>2593</v>
      </c>
      <c r="C884" s="6" t="s">
        <v>1081</v>
      </c>
      <c r="D884" s="18">
        <v>2.0</v>
      </c>
      <c r="E884" s="18">
        <v>45.0</v>
      </c>
      <c r="F884" s="18">
        <v>90.0</v>
      </c>
    </row>
    <row r="885">
      <c r="A885" s="6" t="s">
        <v>4592</v>
      </c>
      <c r="B885" s="6" t="s">
        <v>2602</v>
      </c>
      <c r="C885" s="6" t="s">
        <v>1073</v>
      </c>
      <c r="D885" s="18">
        <v>1.0</v>
      </c>
      <c r="E885" s="18">
        <v>100.75</v>
      </c>
      <c r="F885" s="18">
        <v>100.75</v>
      </c>
    </row>
    <row r="886">
      <c r="A886" s="6" t="s">
        <v>4593</v>
      </c>
      <c r="B886" s="6" t="s">
        <v>2602</v>
      </c>
      <c r="C886" s="6" t="s">
        <v>1404</v>
      </c>
      <c r="D886" s="18">
        <v>1.0</v>
      </c>
      <c r="E886" s="18">
        <v>100.75</v>
      </c>
      <c r="F886" s="18">
        <v>100.75</v>
      </c>
    </row>
    <row r="887">
      <c r="A887" s="6" t="s">
        <v>4594</v>
      </c>
      <c r="B887" s="6" t="s">
        <v>2602</v>
      </c>
      <c r="C887" s="6" t="s">
        <v>1074</v>
      </c>
      <c r="D887" s="18">
        <v>1.0</v>
      </c>
      <c r="E887" s="18">
        <v>100.75</v>
      </c>
      <c r="F887" s="18">
        <v>100.75</v>
      </c>
    </row>
    <row r="888">
      <c r="A888" s="6" t="s">
        <v>4596</v>
      </c>
      <c r="B888" s="6" t="s">
        <v>2602</v>
      </c>
      <c r="C888" s="6" t="s">
        <v>1083</v>
      </c>
      <c r="D888" s="18">
        <v>1.0</v>
      </c>
      <c r="E888" s="18">
        <v>100.75</v>
      </c>
      <c r="F888" s="18">
        <v>100.75</v>
      </c>
    </row>
    <row r="889">
      <c r="A889" s="6" t="s">
        <v>4597</v>
      </c>
      <c r="B889" s="6" t="s">
        <v>2606</v>
      </c>
      <c r="C889" s="6" t="s">
        <v>152</v>
      </c>
      <c r="D889" s="18">
        <v>1.0</v>
      </c>
      <c r="E889" s="18">
        <v>8.21</v>
      </c>
      <c r="F889" s="18">
        <v>8.21</v>
      </c>
    </row>
    <row r="890">
      <c r="A890" s="6" t="s">
        <v>4598</v>
      </c>
      <c r="B890" s="18">
        <v>5.4355018E7</v>
      </c>
      <c r="C890" s="6" t="s">
        <v>238</v>
      </c>
      <c r="D890" s="18">
        <v>24.0</v>
      </c>
      <c r="E890" s="18">
        <v>5.4</v>
      </c>
      <c r="F890" s="18">
        <v>129.60000000000002</v>
      </c>
    </row>
    <row r="891">
      <c r="A891" s="6" t="s">
        <v>4599</v>
      </c>
      <c r="B891" s="6" t="s">
        <v>2619</v>
      </c>
      <c r="C891" s="18">
        <v>1.2539885E7</v>
      </c>
      <c r="D891" s="18">
        <v>1.0</v>
      </c>
      <c r="E891" s="18">
        <v>200.0</v>
      </c>
      <c r="F891" s="18">
        <v>200.0</v>
      </c>
    </row>
    <row r="892">
      <c r="A892" s="6" t="s">
        <v>4601</v>
      </c>
      <c r="B892" s="6" t="s">
        <v>2627</v>
      </c>
      <c r="C892" s="6" t="s">
        <v>1054</v>
      </c>
      <c r="D892" s="18">
        <v>1.0</v>
      </c>
      <c r="E892" s="18">
        <v>1855.19</v>
      </c>
      <c r="F892" s="18">
        <v>1855.19</v>
      </c>
    </row>
    <row r="893">
      <c r="A893" s="6" t="s">
        <v>4603</v>
      </c>
      <c r="B893" s="6" t="s">
        <v>2632</v>
      </c>
      <c r="C893" s="6" t="s">
        <v>1164</v>
      </c>
      <c r="D893" s="18">
        <v>1.0</v>
      </c>
      <c r="E893" s="18">
        <v>125.0</v>
      </c>
      <c r="F893" s="18">
        <v>125.0</v>
      </c>
    </row>
    <row r="894">
      <c r="A894" s="6" t="s">
        <v>4605</v>
      </c>
      <c r="B894" s="6" t="s">
        <v>2636</v>
      </c>
      <c r="C894" s="6" t="s">
        <v>159</v>
      </c>
      <c r="D894" s="18">
        <v>15.0</v>
      </c>
      <c r="E894" s="18">
        <v>13.5</v>
      </c>
      <c r="F894" s="18">
        <v>202.5</v>
      </c>
    </row>
    <row r="895">
      <c r="A895" s="6" t="s">
        <v>4607</v>
      </c>
      <c r="B895" s="6" t="s">
        <v>2636</v>
      </c>
      <c r="C895" s="6" t="s">
        <v>155</v>
      </c>
      <c r="D895" s="18">
        <v>10.0</v>
      </c>
      <c r="E895" s="18">
        <v>9.9</v>
      </c>
      <c r="F895" s="18">
        <v>99.0</v>
      </c>
    </row>
    <row r="896">
      <c r="A896" s="6" t="s">
        <v>4608</v>
      </c>
      <c r="B896" s="6" t="s">
        <v>2636</v>
      </c>
      <c r="C896" s="6" t="s">
        <v>152</v>
      </c>
      <c r="D896" s="18">
        <v>1.0</v>
      </c>
      <c r="E896" s="18">
        <v>10.71</v>
      </c>
      <c r="F896" s="18">
        <v>10.71</v>
      </c>
    </row>
    <row r="897">
      <c r="A897" s="6" t="s">
        <v>4610</v>
      </c>
      <c r="B897" s="6" t="s">
        <v>2636</v>
      </c>
      <c r="C897" s="6" t="s">
        <v>226</v>
      </c>
      <c r="D897" s="18">
        <v>10.0</v>
      </c>
      <c r="E897" s="18">
        <v>8.5</v>
      </c>
      <c r="F897" s="18">
        <v>85.0</v>
      </c>
    </row>
    <row r="898">
      <c r="A898" s="6" t="s">
        <v>4612</v>
      </c>
      <c r="B898" s="6" t="s">
        <v>2642</v>
      </c>
      <c r="C898" s="6" t="s">
        <v>1074</v>
      </c>
      <c r="D898" s="18">
        <v>1.0</v>
      </c>
      <c r="E898" s="18">
        <v>78.1</v>
      </c>
      <c r="F898" s="18">
        <v>78.1</v>
      </c>
    </row>
    <row r="899">
      <c r="A899" s="6" t="s">
        <v>4615</v>
      </c>
      <c r="B899" s="6" t="s">
        <v>2642</v>
      </c>
      <c r="C899" s="6" t="s">
        <v>1075</v>
      </c>
      <c r="D899" s="18">
        <v>1.0</v>
      </c>
      <c r="E899" s="18">
        <v>78.1</v>
      </c>
      <c r="F899" s="18">
        <v>78.1</v>
      </c>
    </row>
    <row r="900">
      <c r="A900" s="6" t="s">
        <v>4616</v>
      </c>
      <c r="B900" s="6" t="s">
        <v>2642</v>
      </c>
      <c r="C900" s="6" t="s">
        <v>1077</v>
      </c>
      <c r="D900" s="18">
        <v>1.0</v>
      </c>
      <c r="E900" s="18">
        <v>78.1</v>
      </c>
      <c r="F900" s="18">
        <v>78.1</v>
      </c>
    </row>
    <row r="901">
      <c r="A901" s="6" t="s">
        <v>4617</v>
      </c>
      <c r="B901" s="6" t="s">
        <v>2642</v>
      </c>
      <c r="C901" s="6" t="s">
        <v>1081</v>
      </c>
      <c r="D901" s="18">
        <v>1.0</v>
      </c>
      <c r="E901" s="18">
        <v>78.1</v>
      </c>
      <c r="F901" s="18">
        <v>78.1</v>
      </c>
    </row>
    <row r="902">
      <c r="A902" s="6" t="s">
        <v>4619</v>
      </c>
      <c r="B902" s="6" t="s">
        <v>2642</v>
      </c>
      <c r="C902" s="6" t="s">
        <v>1073</v>
      </c>
      <c r="D902" s="18">
        <v>1.0</v>
      </c>
      <c r="E902" s="18">
        <v>78.1</v>
      </c>
      <c r="F902" s="18">
        <v>78.1</v>
      </c>
    </row>
    <row r="903">
      <c r="A903" s="6" t="s">
        <v>4620</v>
      </c>
      <c r="B903" s="6" t="s">
        <v>2650</v>
      </c>
      <c r="C903" s="6" t="s">
        <v>1517</v>
      </c>
      <c r="D903" s="18">
        <v>1.0</v>
      </c>
      <c r="E903" s="18">
        <v>6349.78</v>
      </c>
      <c r="F903" s="18">
        <v>6349.78</v>
      </c>
    </row>
    <row r="904">
      <c r="A904" s="6" t="s">
        <v>4623</v>
      </c>
      <c r="B904" s="6" t="s">
        <v>2656</v>
      </c>
      <c r="C904" s="6" t="s">
        <v>1145</v>
      </c>
      <c r="D904" s="18">
        <v>1.0</v>
      </c>
      <c r="E904" s="18">
        <v>2334.47</v>
      </c>
      <c r="F904" s="18">
        <v>2334.47</v>
      </c>
    </row>
    <row r="905">
      <c r="A905" s="6" t="s">
        <v>4624</v>
      </c>
      <c r="B905" s="6" t="s">
        <v>2664</v>
      </c>
      <c r="C905" s="6" t="s">
        <v>1168</v>
      </c>
      <c r="D905" s="18">
        <v>1.0</v>
      </c>
      <c r="E905" s="18">
        <v>400.0</v>
      </c>
      <c r="F905" s="18">
        <v>400.0</v>
      </c>
    </row>
    <row r="906">
      <c r="A906" s="6" t="s">
        <v>4625</v>
      </c>
      <c r="B906" s="6" t="s">
        <v>2668</v>
      </c>
      <c r="C906" s="6" t="s">
        <v>3768</v>
      </c>
      <c r="D906" s="18">
        <v>1.0</v>
      </c>
      <c r="E906" s="18">
        <v>219.28</v>
      </c>
      <c r="F906" s="18">
        <v>219.28</v>
      </c>
    </row>
    <row r="907">
      <c r="A907" s="6" t="s">
        <v>4627</v>
      </c>
      <c r="B907" s="6" t="s">
        <v>2672</v>
      </c>
      <c r="C907" s="6" t="s">
        <v>1653</v>
      </c>
      <c r="D907" s="18">
        <v>1.0</v>
      </c>
      <c r="E907" s="18">
        <v>827.55</v>
      </c>
      <c r="F907" s="18">
        <v>827.55</v>
      </c>
    </row>
    <row r="908">
      <c r="A908" s="6" t="s">
        <v>4629</v>
      </c>
      <c r="B908" s="6" t="s">
        <v>2676</v>
      </c>
      <c r="C908" s="6" t="s">
        <v>1653</v>
      </c>
      <c r="D908" s="18">
        <v>1.0</v>
      </c>
      <c r="E908" s="18">
        <v>827.25</v>
      </c>
      <c r="F908" s="18">
        <v>827.25</v>
      </c>
    </row>
    <row r="909">
      <c r="A909" s="6" t="s">
        <v>4631</v>
      </c>
      <c r="B909" s="6" t="s">
        <v>2680</v>
      </c>
      <c r="C909" s="6" t="s">
        <v>1126</v>
      </c>
      <c r="D909" s="18">
        <v>1.0</v>
      </c>
      <c r="E909" s="18">
        <v>30.0</v>
      </c>
      <c r="F909" s="18">
        <v>30.0</v>
      </c>
    </row>
    <row r="910">
      <c r="A910" s="6" t="s">
        <v>4632</v>
      </c>
      <c r="B910" s="6" t="s">
        <v>2683</v>
      </c>
      <c r="C910" s="6" t="s">
        <v>1152</v>
      </c>
      <c r="D910" s="18">
        <v>1.0</v>
      </c>
      <c r="E910" s="18">
        <v>379.89</v>
      </c>
      <c r="F910" s="18">
        <v>379.89</v>
      </c>
    </row>
    <row r="911">
      <c r="A911" s="6" t="s">
        <v>4633</v>
      </c>
      <c r="B911" s="6" t="s">
        <v>2689</v>
      </c>
      <c r="C911" s="6" t="s">
        <v>1152</v>
      </c>
      <c r="D911" s="18">
        <v>1.0</v>
      </c>
      <c r="E911" s="18">
        <v>405.27</v>
      </c>
      <c r="F911" s="18">
        <v>405.27</v>
      </c>
    </row>
    <row r="912">
      <c r="A912" s="6" t="s">
        <v>4635</v>
      </c>
      <c r="B912" s="6" t="s">
        <v>2694</v>
      </c>
      <c r="C912" s="6" t="s">
        <v>1239</v>
      </c>
      <c r="D912" s="18">
        <v>1.0</v>
      </c>
      <c r="E912" s="18">
        <v>1722.44</v>
      </c>
      <c r="F912" s="18">
        <v>1722.44</v>
      </c>
    </row>
    <row r="913">
      <c r="A913" s="6" t="s">
        <v>4636</v>
      </c>
      <c r="B913" s="6" t="s">
        <v>2698</v>
      </c>
      <c r="C913" s="6" t="s">
        <v>1239</v>
      </c>
      <c r="D913" s="18">
        <v>1.0</v>
      </c>
      <c r="E913" s="18">
        <v>1633.73</v>
      </c>
      <c r="F913" s="18">
        <v>1633.73</v>
      </c>
    </row>
    <row r="914">
      <c r="A914" s="6" t="s">
        <v>4640</v>
      </c>
      <c r="B914" s="6" t="s">
        <v>2701</v>
      </c>
      <c r="C914" s="6" t="s">
        <v>1239</v>
      </c>
      <c r="D914" s="18">
        <v>1.0</v>
      </c>
      <c r="E914" s="18">
        <v>2012.26</v>
      </c>
      <c r="F914" s="18">
        <v>2012.26</v>
      </c>
    </row>
    <row r="915">
      <c r="A915" s="6" t="s">
        <v>4641</v>
      </c>
      <c r="B915" s="6" t="s">
        <v>2705</v>
      </c>
      <c r="C915" s="6" t="s">
        <v>1239</v>
      </c>
      <c r="D915" s="18">
        <v>1.0</v>
      </c>
      <c r="E915" s="18">
        <v>2933.29</v>
      </c>
      <c r="F915" s="18">
        <v>2933.29</v>
      </c>
    </row>
    <row r="916">
      <c r="A916" s="6" t="s">
        <v>4642</v>
      </c>
      <c r="B916" s="18">
        <v>1.20267703E8</v>
      </c>
      <c r="C916" s="6" t="s">
        <v>1239</v>
      </c>
      <c r="D916" s="18">
        <v>1.0</v>
      </c>
      <c r="E916" s="18">
        <v>2977.6</v>
      </c>
      <c r="F916" s="18">
        <v>2977.6</v>
      </c>
    </row>
    <row r="917">
      <c r="A917" s="6" t="s">
        <v>4644</v>
      </c>
      <c r="B917" s="6" t="s">
        <v>2710</v>
      </c>
      <c r="C917" s="6" t="s">
        <v>1239</v>
      </c>
      <c r="D917" s="18">
        <v>1.0</v>
      </c>
      <c r="E917" s="18">
        <v>1434.35</v>
      </c>
      <c r="F917" s="18">
        <v>1434.35</v>
      </c>
    </row>
    <row r="918">
      <c r="A918" s="6" t="s">
        <v>4645</v>
      </c>
      <c r="B918" s="6" t="s">
        <v>2716</v>
      </c>
      <c r="C918" s="6" t="s">
        <v>873</v>
      </c>
      <c r="D918" s="18">
        <v>1.0</v>
      </c>
      <c r="E918" s="18">
        <v>151.88</v>
      </c>
      <c r="F918" s="18">
        <v>151.88</v>
      </c>
    </row>
    <row r="919">
      <c r="A919" s="6" t="s">
        <v>4648</v>
      </c>
      <c r="B919" s="6" t="s">
        <v>2722</v>
      </c>
      <c r="C919" s="6" t="s">
        <v>3822</v>
      </c>
      <c r="D919" s="18">
        <v>1.0</v>
      </c>
      <c r="E919" s="18">
        <v>353.75</v>
      </c>
      <c r="F919" s="18">
        <v>353.75</v>
      </c>
    </row>
    <row r="920">
      <c r="A920" s="6" t="s">
        <v>4650</v>
      </c>
      <c r="B920" s="6" t="s">
        <v>2727</v>
      </c>
      <c r="C920" s="6" t="s">
        <v>3768</v>
      </c>
      <c r="D920" s="18">
        <v>1.0</v>
      </c>
      <c r="E920" s="18">
        <v>803.42</v>
      </c>
      <c r="F920" s="18">
        <v>803.42</v>
      </c>
    </row>
    <row r="921">
      <c r="A921" s="6" t="s">
        <v>4651</v>
      </c>
      <c r="B921" s="6" t="s">
        <v>2730</v>
      </c>
      <c r="C921" s="6" t="s">
        <v>3833</v>
      </c>
      <c r="D921" s="18">
        <v>1.0</v>
      </c>
      <c r="E921" s="18">
        <v>10500.53</v>
      </c>
      <c r="F921" s="18">
        <v>10500.53</v>
      </c>
    </row>
    <row r="922">
      <c r="A922" s="6" t="s">
        <v>4653</v>
      </c>
      <c r="B922" s="6" t="s">
        <v>2736</v>
      </c>
      <c r="C922" s="6" t="s">
        <v>3833</v>
      </c>
      <c r="D922" s="18">
        <v>1.0</v>
      </c>
      <c r="E922" s="18">
        <v>24093.85</v>
      </c>
      <c r="F922" s="18">
        <v>24093.85</v>
      </c>
    </row>
    <row r="923">
      <c r="A923" s="6" t="s">
        <v>4654</v>
      </c>
      <c r="B923" s="6" t="s">
        <v>2739</v>
      </c>
      <c r="C923" s="6" t="s">
        <v>1047</v>
      </c>
      <c r="D923" s="18">
        <v>1.0</v>
      </c>
      <c r="E923" s="18">
        <v>110.0</v>
      </c>
      <c r="F923" s="18">
        <v>110.0</v>
      </c>
    </row>
    <row r="924">
      <c r="A924" s="6" t="s">
        <v>4657</v>
      </c>
      <c r="B924" s="6" t="s">
        <v>2743</v>
      </c>
      <c r="C924" s="6" t="s">
        <v>1653</v>
      </c>
      <c r="D924" s="18">
        <v>1.0</v>
      </c>
      <c r="E924" s="18">
        <v>827.55</v>
      </c>
      <c r="F924" s="18">
        <v>827.55</v>
      </c>
    </row>
    <row r="925">
      <c r="A925" s="6" t="s">
        <v>4658</v>
      </c>
      <c r="B925" s="6" t="s">
        <v>2748</v>
      </c>
      <c r="C925" s="6" t="s">
        <v>1653</v>
      </c>
      <c r="D925" s="18">
        <v>1.0</v>
      </c>
      <c r="E925" s="18">
        <v>827.25</v>
      </c>
      <c r="F925" s="18">
        <v>827.25</v>
      </c>
    </row>
    <row r="926">
      <c r="A926" s="6" t="s">
        <v>4660</v>
      </c>
      <c r="B926" s="6" t="s">
        <v>2753</v>
      </c>
      <c r="C926" s="6" t="s">
        <v>3822</v>
      </c>
      <c r="D926" s="18">
        <v>1.0</v>
      </c>
      <c r="E926" s="18">
        <v>5182.0</v>
      </c>
      <c r="F926" s="18">
        <v>5182.0</v>
      </c>
    </row>
    <row r="927">
      <c r="A927" s="6" t="s">
        <v>4661</v>
      </c>
      <c r="B927" s="6" t="s">
        <v>2757</v>
      </c>
      <c r="C927" s="6" t="s">
        <v>1536</v>
      </c>
      <c r="D927" s="18">
        <v>1.0</v>
      </c>
      <c r="E927" s="18">
        <v>35.0</v>
      </c>
      <c r="F927" s="18">
        <v>35.0</v>
      </c>
    </row>
    <row r="928">
      <c r="A928" s="6" t="s">
        <v>4662</v>
      </c>
      <c r="B928" s="6" t="s">
        <v>2761</v>
      </c>
      <c r="C928" s="6" t="s">
        <v>3218</v>
      </c>
      <c r="D928" s="18">
        <v>1.0</v>
      </c>
      <c r="E928" s="18">
        <v>351.24</v>
      </c>
      <c r="F928" s="18">
        <v>351.24</v>
      </c>
    </row>
    <row r="929">
      <c r="A929" s="6" t="s">
        <v>4663</v>
      </c>
      <c r="B929" s="6" t="s">
        <v>2764</v>
      </c>
      <c r="C929" s="6" t="s">
        <v>1552</v>
      </c>
      <c r="D929" s="18">
        <v>1.0</v>
      </c>
      <c r="E929" s="18">
        <v>340.0</v>
      </c>
      <c r="F929" s="18">
        <v>340.0</v>
      </c>
    </row>
    <row r="930">
      <c r="A930" s="6" t="s">
        <v>4665</v>
      </c>
      <c r="B930" s="6" t="s">
        <v>2768</v>
      </c>
      <c r="C930" s="6" t="s">
        <v>1168</v>
      </c>
      <c r="D930" s="18">
        <v>1.0</v>
      </c>
      <c r="E930" s="18">
        <v>110.0</v>
      </c>
      <c r="F930" s="18">
        <v>110.0</v>
      </c>
    </row>
    <row r="931">
      <c r="A931" s="6" t="s">
        <v>4668</v>
      </c>
      <c r="B931" s="6" t="s">
        <v>2772</v>
      </c>
      <c r="C931" s="6" t="s">
        <v>1510</v>
      </c>
      <c r="D931" s="18">
        <v>1.0</v>
      </c>
      <c r="E931" s="18">
        <v>757.0</v>
      </c>
      <c r="F931" s="18">
        <v>757.0</v>
      </c>
    </row>
    <row r="932">
      <c r="A932" s="6" t="s">
        <v>4669</v>
      </c>
      <c r="B932" s="6" t="s">
        <v>2778</v>
      </c>
      <c r="C932" s="6" t="s">
        <v>3873</v>
      </c>
      <c r="D932" s="18">
        <v>1.0</v>
      </c>
      <c r="E932" s="18">
        <v>45.6</v>
      </c>
      <c r="F932" s="18">
        <v>45.6</v>
      </c>
    </row>
    <row r="933">
      <c r="A933" s="6" t="s">
        <v>4670</v>
      </c>
      <c r="B933" s="6" t="s">
        <v>2783</v>
      </c>
      <c r="C933" s="6" t="s">
        <v>305</v>
      </c>
      <c r="D933" s="18">
        <v>1.0</v>
      </c>
      <c r="E933" s="18">
        <v>117.0</v>
      </c>
      <c r="F933" s="18">
        <v>117.0</v>
      </c>
    </row>
    <row r="934">
      <c r="A934" s="6" t="s">
        <v>4672</v>
      </c>
      <c r="B934" s="6" t="s">
        <v>2787</v>
      </c>
      <c r="C934" s="6" t="s">
        <v>249</v>
      </c>
      <c r="D934" s="18">
        <v>1.0</v>
      </c>
      <c r="E934" s="18">
        <v>115.0</v>
      </c>
      <c r="F934" s="18">
        <v>115.0</v>
      </c>
    </row>
    <row r="935">
      <c r="A935" s="6" t="s">
        <v>4673</v>
      </c>
      <c r="B935" s="6" t="s">
        <v>2792</v>
      </c>
      <c r="C935" s="6" t="s">
        <v>1079</v>
      </c>
      <c r="D935" s="18">
        <v>1.0</v>
      </c>
      <c r="E935" s="18">
        <v>145.0</v>
      </c>
      <c r="F935" s="18">
        <v>145.0</v>
      </c>
    </row>
    <row r="936">
      <c r="A936" s="6" t="s">
        <v>4676</v>
      </c>
      <c r="B936" s="6" t="s">
        <v>2796</v>
      </c>
      <c r="C936" s="6" t="s">
        <v>3889</v>
      </c>
      <c r="D936" s="18">
        <v>1.0</v>
      </c>
      <c r="E936" s="18">
        <v>1445.0</v>
      </c>
      <c r="F936" s="18">
        <v>1445.0</v>
      </c>
    </row>
    <row r="937">
      <c r="A937" s="6" t="s">
        <v>4678</v>
      </c>
      <c r="B937" s="6" t="s">
        <v>2801</v>
      </c>
      <c r="C937" s="6" t="s">
        <v>1126</v>
      </c>
      <c r="D937" s="18">
        <v>1.0</v>
      </c>
      <c r="E937" s="18">
        <v>30.0</v>
      </c>
      <c r="F937" s="18">
        <v>30.0</v>
      </c>
    </row>
    <row r="938">
      <c r="A938" s="6" t="s">
        <v>4679</v>
      </c>
      <c r="B938" s="6" t="s">
        <v>2805</v>
      </c>
      <c r="C938" s="6" t="s">
        <v>1517</v>
      </c>
      <c r="D938" s="18">
        <v>1.0</v>
      </c>
      <c r="E938" s="18">
        <v>1075.67</v>
      </c>
      <c r="F938" s="18">
        <v>1075.67</v>
      </c>
    </row>
    <row r="939">
      <c r="A939" s="6" t="s">
        <v>4681</v>
      </c>
      <c r="B939" s="6" t="s">
        <v>2810</v>
      </c>
      <c r="C939" s="6" t="s">
        <v>1517</v>
      </c>
      <c r="D939" s="18">
        <v>1.0</v>
      </c>
      <c r="E939" s="18">
        <v>7110.17</v>
      </c>
      <c r="F939" s="18">
        <v>7110.17</v>
      </c>
    </row>
    <row r="940">
      <c r="A940" s="6" t="s">
        <v>4682</v>
      </c>
      <c r="B940" s="6" t="s">
        <v>2814</v>
      </c>
      <c r="C940" s="6" t="s">
        <v>226</v>
      </c>
      <c r="D940" s="18">
        <v>15.0</v>
      </c>
      <c r="E940" s="18">
        <v>7.5</v>
      </c>
      <c r="F940" s="18">
        <v>112.5</v>
      </c>
    </row>
    <row r="941">
      <c r="A941" s="6" t="s">
        <v>4685</v>
      </c>
      <c r="B941" s="6" t="s">
        <v>2814</v>
      </c>
      <c r="C941" s="6" t="s">
        <v>152</v>
      </c>
      <c r="D941" s="18">
        <v>1.0</v>
      </c>
      <c r="E941" s="18">
        <v>8.13</v>
      </c>
      <c r="F941" s="18">
        <v>8.13</v>
      </c>
    </row>
    <row r="942">
      <c r="A942" s="6" t="s">
        <v>4686</v>
      </c>
      <c r="B942" s="6" t="s">
        <v>2814</v>
      </c>
      <c r="C942" s="6" t="s">
        <v>155</v>
      </c>
      <c r="D942" s="18">
        <v>1.0</v>
      </c>
      <c r="E942" s="18">
        <v>70.11</v>
      </c>
      <c r="F942" s="18">
        <v>70.11</v>
      </c>
    </row>
    <row r="943">
      <c r="A943" s="6" t="s">
        <v>4687</v>
      </c>
      <c r="B943" s="6" t="s">
        <v>2821</v>
      </c>
      <c r="C943" s="6" t="s">
        <v>3924</v>
      </c>
      <c r="D943" s="18">
        <v>1.0</v>
      </c>
      <c r="E943" s="18">
        <v>1161.66</v>
      </c>
      <c r="F943" s="18">
        <v>1161.66</v>
      </c>
    </row>
    <row r="944">
      <c r="A944" s="6" t="s">
        <v>4689</v>
      </c>
      <c r="B944" s="6" t="s">
        <v>2821</v>
      </c>
      <c r="C944" s="6" t="s">
        <v>1145</v>
      </c>
      <c r="D944" s="18">
        <v>1.0</v>
      </c>
      <c r="E944" s="18">
        <v>1161.66</v>
      </c>
      <c r="F944" s="18">
        <v>1161.66</v>
      </c>
    </row>
    <row r="945">
      <c r="A945" s="6" t="s">
        <v>4691</v>
      </c>
      <c r="B945" s="6" t="s">
        <v>2826</v>
      </c>
      <c r="C945" s="6" t="s">
        <v>1668</v>
      </c>
      <c r="D945" s="18">
        <v>1.0</v>
      </c>
      <c r="E945" s="18">
        <v>118.0</v>
      </c>
      <c r="F945" s="18">
        <v>118.0</v>
      </c>
    </row>
    <row r="946">
      <c r="A946" s="6" t="s">
        <v>4693</v>
      </c>
      <c r="B946" s="6" t="s">
        <v>2831</v>
      </c>
      <c r="C946" s="6" t="s">
        <v>1075</v>
      </c>
      <c r="D946" s="18">
        <v>1.0</v>
      </c>
      <c r="E946" s="18">
        <v>106.25</v>
      </c>
      <c r="F946" s="18">
        <v>106.25</v>
      </c>
    </row>
    <row r="947">
      <c r="A947" s="6" t="s">
        <v>4695</v>
      </c>
      <c r="B947" s="6" t="s">
        <v>2831</v>
      </c>
      <c r="C947" s="6" t="s">
        <v>1079</v>
      </c>
      <c r="D947" s="18">
        <v>1.0</v>
      </c>
      <c r="E947" s="18">
        <v>106.25</v>
      </c>
      <c r="F947" s="18">
        <v>106.25</v>
      </c>
    </row>
    <row r="948">
      <c r="A948" s="6" t="s">
        <v>4696</v>
      </c>
      <c r="B948" s="6" t="s">
        <v>2836</v>
      </c>
      <c r="C948" s="6" t="s">
        <v>1517</v>
      </c>
      <c r="D948" s="18">
        <v>1.0</v>
      </c>
      <c r="E948" s="18">
        <v>4385.79</v>
      </c>
      <c r="F948" s="18">
        <v>4385.79</v>
      </c>
    </row>
    <row r="949">
      <c r="A949" s="6" t="s">
        <v>4697</v>
      </c>
      <c r="B949" s="6" t="s">
        <v>2842</v>
      </c>
      <c r="C949" s="18">
        <v>1.2539885E7</v>
      </c>
      <c r="D949" s="18">
        <v>1.0</v>
      </c>
      <c r="E949" s="18">
        <v>480.0</v>
      </c>
      <c r="F949" s="18">
        <v>480.0</v>
      </c>
    </row>
    <row r="950">
      <c r="A950" s="6" t="s">
        <v>4699</v>
      </c>
      <c r="B950" s="6" t="s">
        <v>2848</v>
      </c>
      <c r="C950" s="6" t="s">
        <v>1074</v>
      </c>
      <c r="D950" s="18">
        <v>1.0</v>
      </c>
      <c r="E950" s="18">
        <v>131.57</v>
      </c>
      <c r="F950" s="18">
        <v>131.57</v>
      </c>
    </row>
    <row r="951">
      <c r="A951" s="6" t="s">
        <v>4701</v>
      </c>
      <c r="B951" s="6" t="s">
        <v>2848</v>
      </c>
      <c r="C951" s="6" t="s">
        <v>1075</v>
      </c>
      <c r="D951" s="18">
        <v>1.0</v>
      </c>
      <c r="E951" s="18">
        <v>131.57</v>
      </c>
      <c r="F951" s="18">
        <v>131.57</v>
      </c>
    </row>
    <row r="952">
      <c r="A952" s="6" t="s">
        <v>4702</v>
      </c>
      <c r="B952" s="6" t="s">
        <v>2848</v>
      </c>
      <c r="C952" s="6" t="s">
        <v>1077</v>
      </c>
      <c r="D952" s="18">
        <v>1.0</v>
      </c>
      <c r="E952" s="18">
        <v>131.57</v>
      </c>
      <c r="F952" s="18">
        <v>131.57</v>
      </c>
    </row>
    <row r="953">
      <c r="A953" s="6" t="s">
        <v>4703</v>
      </c>
      <c r="B953" s="6" t="s">
        <v>2848</v>
      </c>
      <c r="C953" s="6" t="s">
        <v>1079</v>
      </c>
      <c r="D953" s="18">
        <v>1.0</v>
      </c>
      <c r="E953" s="18">
        <v>131.57</v>
      </c>
      <c r="F953" s="18">
        <v>131.57</v>
      </c>
    </row>
    <row r="954">
      <c r="A954" s="6" t="s">
        <v>4705</v>
      </c>
      <c r="B954" s="6" t="s">
        <v>2848</v>
      </c>
      <c r="C954" s="6" t="s">
        <v>1080</v>
      </c>
      <c r="D954" s="18">
        <v>1.0</v>
      </c>
      <c r="E954" s="18">
        <v>131.57</v>
      </c>
      <c r="F954" s="18">
        <v>131.57</v>
      </c>
    </row>
    <row r="955">
      <c r="A955" s="6" t="s">
        <v>4706</v>
      </c>
      <c r="B955" s="6" t="s">
        <v>2848</v>
      </c>
      <c r="C955" s="6" t="s">
        <v>1081</v>
      </c>
      <c r="D955" s="18">
        <v>1.0</v>
      </c>
      <c r="E955" s="18">
        <v>131.57</v>
      </c>
      <c r="F955" s="18">
        <v>131.57</v>
      </c>
    </row>
    <row r="956">
      <c r="A956" s="6" t="s">
        <v>4707</v>
      </c>
      <c r="B956" s="6" t="s">
        <v>2848</v>
      </c>
      <c r="C956" s="6" t="s">
        <v>1091</v>
      </c>
      <c r="D956" s="18">
        <v>1.0</v>
      </c>
      <c r="E956" s="18">
        <v>131.58</v>
      </c>
      <c r="F956" s="18">
        <v>131.58</v>
      </c>
    </row>
    <row r="957">
      <c r="A957" s="6" t="s">
        <v>4708</v>
      </c>
      <c r="B957" s="6" t="s">
        <v>2855</v>
      </c>
      <c r="C957" s="6" t="s">
        <v>226</v>
      </c>
      <c r="D957" s="18">
        <v>10.0</v>
      </c>
      <c r="E957" s="18">
        <v>8.5</v>
      </c>
      <c r="F957" s="18">
        <v>85.0</v>
      </c>
    </row>
    <row r="958">
      <c r="A958" s="6" t="s">
        <v>4709</v>
      </c>
      <c r="B958" s="6" t="s">
        <v>2855</v>
      </c>
      <c r="C958" s="6" t="s">
        <v>152</v>
      </c>
      <c r="D958" s="18">
        <v>1.0</v>
      </c>
      <c r="E958" s="18">
        <v>11.84</v>
      </c>
      <c r="F958" s="18">
        <v>11.84</v>
      </c>
    </row>
    <row r="959">
      <c r="A959" s="6" t="s">
        <v>4711</v>
      </c>
      <c r="B959" s="6" t="s">
        <v>2861</v>
      </c>
      <c r="C959" s="6" t="s">
        <v>1047</v>
      </c>
      <c r="D959" s="18">
        <v>1.0</v>
      </c>
      <c r="E959" s="18">
        <v>110.0</v>
      </c>
      <c r="F959" s="18">
        <v>110.0</v>
      </c>
    </row>
    <row r="960">
      <c r="A960" s="6" t="s">
        <v>4712</v>
      </c>
      <c r="B960" s="6" t="s">
        <v>2868</v>
      </c>
      <c r="C960" s="6" t="s">
        <v>3987</v>
      </c>
      <c r="D960" s="18">
        <v>1.0</v>
      </c>
      <c r="E960" s="18">
        <v>114.0</v>
      </c>
      <c r="F960" s="18">
        <v>114.0</v>
      </c>
    </row>
    <row r="961">
      <c r="A961" s="6" t="s">
        <v>4713</v>
      </c>
      <c r="B961" s="6" t="s">
        <v>2877</v>
      </c>
      <c r="C961" s="18">
        <v>1.2539885E7</v>
      </c>
      <c r="D961" s="18">
        <v>1.0</v>
      </c>
      <c r="E961" s="18">
        <v>450.0</v>
      </c>
      <c r="F961" s="18">
        <v>450.0</v>
      </c>
    </row>
    <row r="962">
      <c r="A962" s="6" t="s">
        <v>4714</v>
      </c>
      <c r="B962" s="6" t="s">
        <v>2884</v>
      </c>
      <c r="C962" s="6" t="s">
        <v>159</v>
      </c>
      <c r="D962" s="18">
        <v>1.0</v>
      </c>
      <c r="E962" s="18">
        <v>337.5</v>
      </c>
      <c r="F962" s="18">
        <v>337.5</v>
      </c>
    </row>
    <row r="963">
      <c r="A963" s="6" t="s">
        <v>4715</v>
      </c>
      <c r="B963" s="6" t="s">
        <v>2884</v>
      </c>
      <c r="C963" s="6" t="s">
        <v>155</v>
      </c>
      <c r="D963" s="18">
        <v>1.0</v>
      </c>
      <c r="E963" s="18">
        <v>120.7</v>
      </c>
      <c r="F963" s="18">
        <v>120.7</v>
      </c>
    </row>
    <row r="964">
      <c r="A964" s="6" t="s">
        <v>4717</v>
      </c>
      <c r="B964" s="6" t="s">
        <v>2884</v>
      </c>
      <c r="C964" s="6" t="s">
        <v>152</v>
      </c>
      <c r="D964" s="18">
        <v>1.0</v>
      </c>
      <c r="E964" s="18">
        <v>8.4</v>
      </c>
      <c r="F964" s="18">
        <v>8.4</v>
      </c>
    </row>
    <row r="965">
      <c r="A965" s="6" t="s">
        <v>4718</v>
      </c>
      <c r="B965" s="6" t="s">
        <v>2884</v>
      </c>
      <c r="C965" s="6" t="s">
        <v>226</v>
      </c>
      <c r="D965" s="18">
        <v>1.0</v>
      </c>
      <c r="E965" s="18">
        <v>212.5</v>
      </c>
      <c r="F965" s="18">
        <v>212.5</v>
      </c>
    </row>
    <row r="966">
      <c r="A966" s="6" t="s">
        <v>4719</v>
      </c>
      <c r="B966" s="6" t="s">
        <v>2890</v>
      </c>
      <c r="C966" s="6" t="s">
        <v>1510</v>
      </c>
      <c r="D966" s="18">
        <v>1.0</v>
      </c>
      <c r="E966" s="18">
        <v>11767.14</v>
      </c>
      <c r="F966" s="18">
        <v>11767.14</v>
      </c>
    </row>
    <row r="967">
      <c r="A967" s="6" t="s">
        <v>4720</v>
      </c>
      <c r="B967" s="6" t="s">
        <v>2896</v>
      </c>
      <c r="C967" s="6" t="s">
        <v>1054</v>
      </c>
      <c r="D967" s="18">
        <v>1.0</v>
      </c>
      <c r="E967" s="18">
        <v>516.15</v>
      </c>
      <c r="F967" s="18">
        <v>516.15</v>
      </c>
    </row>
    <row r="968">
      <c r="A968" s="6" t="s">
        <v>4722</v>
      </c>
      <c r="B968" s="6" t="s">
        <v>2903</v>
      </c>
      <c r="C968" s="6" t="s">
        <v>3987</v>
      </c>
      <c r="D968" s="18">
        <v>1.0</v>
      </c>
      <c r="E968" s="18">
        <v>64.6</v>
      </c>
      <c r="F968" s="18">
        <v>64.6</v>
      </c>
    </row>
    <row r="969">
      <c r="A969" s="6" t="s">
        <v>4723</v>
      </c>
      <c r="B969" s="6" t="s">
        <v>2910</v>
      </c>
      <c r="C969" s="6" t="s">
        <v>3987</v>
      </c>
      <c r="D969" s="18">
        <v>1.0</v>
      </c>
      <c r="E969" s="18">
        <v>96.0</v>
      </c>
      <c r="F969" s="18">
        <v>96.0</v>
      </c>
    </row>
    <row r="970">
      <c r="A970" s="6" t="s">
        <v>4724</v>
      </c>
      <c r="B970" s="6" t="s">
        <v>2917</v>
      </c>
      <c r="C970" s="18">
        <v>1.2539885E7</v>
      </c>
      <c r="D970" s="18">
        <v>1.0</v>
      </c>
      <c r="E970" s="18">
        <v>330.0</v>
      </c>
      <c r="F970" s="18">
        <v>330.0</v>
      </c>
    </row>
    <row r="971">
      <c r="A971" s="6" t="s">
        <v>4725</v>
      </c>
      <c r="B971" s="6" t="s">
        <v>2924</v>
      </c>
      <c r="C971" s="6" t="s">
        <v>794</v>
      </c>
      <c r="D971" s="18">
        <v>1.0</v>
      </c>
      <c r="E971" s="18">
        <v>403.82</v>
      </c>
      <c r="F971" s="18">
        <v>403.82</v>
      </c>
    </row>
    <row r="972">
      <c r="A972" s="6" t="s">
        <v>4726</v>
      </c>
      <c r="B972" s="6" t="s">
        <v>2924</v>
      </c>
      <c r="C972" s="6" t="s">
        <v>691</v>
      </c>
      <c r="D972" s="18">
        <v>1.0</v>
      </c>
      <c r="E972" s="18">
        <v>403.83</v>
      </c>
      <c r="F972" s="18">
        <v>403.83</v>
      </c>
    </row>
    <row r="973">
      <c r="A973" s="6" t="s">
        <v>4728</v>
      </c>
      <c r="B973" s="6" t="s">
        <v>2931</v>
      </c>
      <c r="C973" s="6" t="s">
        <v>1517</v>
      </c>
      <c r="D973" s="18">
        <v>1.0</v>
      </c>
      <c r="E973" s="18">
        <v>806.68</v>
      </c>
      <c r="F973" s="18">
        <v>806.68</v>
      </c>
    </row>
    <row r="974">
      <c r="A974" s="6" t="s">
        <v>4729</v>
      </c>
      <c r="B974" s="6" t="s">
        <v>2936</v>
      </c>
      <c r="C974" s="6" t="s">
        <v>1510</v>
      </c>
      <c r="D974" s="18">
        <v>1.0</v>
      </c>
      <c r="E974" s="18">
        <v>4595.16</v>
      </c>
      <c r="F974" s="18">
        <v>4595.16</v>
      </c>
    </row>
    <row r="975">
      <c r="A975" s="6" t="s">
        <v>4730</v>
      </c>
      <c r="B975" s="6" t="s">
        <v>2942</v>
      </c>
      <c r="C975" s="6" t="s">
        <v>4071</v>
      </c>
      <c r="D975" s="18">
        <v>1.0</v>
      </c>
      <c r="E975" s="18">
        <v>21.89</v>
      </c>
      <c r="F975" s="18">
        <v>21.89</v>
      </c>
    </row>
    <row r="976">
      <c r="A976" s="6" t="s">
        <v>4731</v>
      </c>
      <c r="B976" s="6" t="s">
        <v>2942</v>
      </c>
      <c r="C976" s="6" t="s">
        <v>4073</v>
      </c>
      <c r="D976" s="18">
        <v>1.0</v>
      </c>
      <c r="E976" s="18">
        <v>21.89</v>
      </c>
      <c r="F976" s="18">
        <v>21.89</v>
      </c>
    </row>
    <row r="977">
      <c r="A977" s="6" t="s">
        <v>4733</v>
      </c>
      <c r="B977" s="6" t="s">
        <v>2950</v>
      </c>
      <c r="C977" s="6" t="s">
        <v>152</v>
      </c>
      <c r="D977" s="18">
        <v>1.0</v>
      </c>
      <c r="E977" s="18">
        <v>8.28</v>
      </c>
      <c r="F977" s="18">
        <v>8.28</v>
      </c>
    </row>
    <row r="978">
      <c r="A978" s="6" t="s">
        <v>4734</v>
      </c>
      <c r="B978" s="6" t="s">
        <v>2955</v>
      </c>
      <c r="C978" s="6" t="s">
        <v>159</v>
      </c>
      <c r="D978" s="18">
        <v>20.0</v>
      </c>
      <c r="E978" s="18">
        <v>13.5</v>
      </c>
      <c r="F978" s="18">
        <v>270.0</v>
      </c>
    </row>
    <row r="979">
      <c r="A979" s="6" t="s">
        <v>4736</v>
      </c>
      <c r="B979" s="6" t="s">
        <v>2955</v>
      </c>
      <c r="C979" s="6" t="s">
        <v>155</v>
      </c>
      <c r="D979" s="18">
        <v>1.0</v>
      </c>
      <c r="E979" s="18">
        <v>52.14</v>
      </c>
      <c r="F979" s="18">
        <v>52.14</v>
      </c>
    </row>
    <row r="980">
      <c r="A980" s="6" t="s">
        <v>4737</v>
      </c>
      <c r="B980" s="6" t="s">
        <v>2955</v>
      </c>
      <c r="C980" s="6" t="s">
        <v>152</v>
      </c>
      <c r="D980" s="18">
        <v>1.0</v>
      </c>
      <c r="E980" s="18">
        <v>7.96</v>
      </c>
      <c r="F980" s="18">
        <v>7.96</v>
      </c>
    </row>
    <row r="981">
      <c r="A981" s="6" t="s">
        <v>4738</v>
      </c>
      <c r="B981" s="6" t="s">
        <v>2962</v>
      </c>
      <c r="C981" s="6" t="s">
        <v>1239</v>
      </c>
      <c r="D981" s="18">
        <v>1.0</v>
      </c>
      <c r="E981" s="18">
        <v>2848.92</v>
      </c>
      <c r="F981" s="18">
        <v>2848.92</v>
      </c>
    </row>
    <row r="982">
      <c r="A982" s="6" t="s">
        <v>4740</v>
      </c>
      <c r="B982" s="6" t="s">
        <v>2966</v>
      </c>
      <c r="C982" s="6" t="s">
        <v>1239</v>
      </c>
      <c r="D982" s="18">
        <v>1.0</v>
      </c>
      <c r="E982" s="18">
        <v>2126.92</v>
      </c>
      <c r="F982" s="18">
        <v>2126.92</v>
      </c>
    </row>
    <row r="983">
      <c r="A983" s="6" t="s">
        <v>4742</v>
      </c>
      <c r="B983" s="6" t="s">
        <v>2970</v>
      </c>
      <c r="C983" s="6" t="s">
        <v>1239</v>
      </c>
      <c r="D983" s="18">
        <v>1.0</v>
      </c>
      <c r="E983" s="18">
        <v>2009.95</v>
      </c>
      <c r="F983" s="18">
        <v>2009.95</v>
      </c>
    </row>
    <row r="984">
      <c r="A984" s="6" t="s">
        <v>4743</v>
      </c>
      <c r="B984" s="6" t="s">
        <v>2973</v>
      </c>
      <c r="C984" s="6" t="s">
        <v>1239</v>
      </c>
      <c r="D984" s="18">
        <v>1.0</v>
      </c>
      <c r="E984" s="18">
        <v>1823.89</v>
      </c>
      <c r="F984" s="18">
        <v>1823.89</v>
      </c>
    </row>
    <row r="985">
      <c r="A985" s="6" t="s">
        <v>4744</v>
      </c>
      <c r="B985" s="6" t="s">
        <v>2976</v>
      </c>
      <c r="C985" s="6" t="s">
        <v>1239</v>
      </c>
      <c r="D985" s="18">
        <v>1.0</v>
      </c>
      <c r="E985" s="18">
        <v>2149.57</v>
      </c>
      <c r="F985" s="18">
        <v>2149.57</v>
      </c>
    </row>
    <row r="986">
      <c r="A986" s="6" t="s">
        <v>4746</v>
      </c>
      <c r="B986" s="6" t="s">
        <v>2982</v>
      </c>
      <c r="C986" s="6" t="s">
        <v>1239</v>
      </c>
      <c r="D986" s="18">
        <v>1.0</v>
      </c>
      <c r="E986" s="18">
        <v>765.6</v>
      </c>
      <c r="F986" s="18">
        <v>765.6</v>
      </c>
    </row>
    <row r="987">
      <c r="A987" s="6" t="s">
        <v>4747</v>
      </c>
      <c r="B987" s="6" t="s">
        <v>2986</v>
      </c>
      <c r="C987" s="6" t="s">
        <v>4123</v>
      </c>
      <c r="D987" s="18">
        <v>1.0</v>
      </c>
      <c r="E987" s="18">
        <v>94.0</v>
      </c>
      <c r="F987" s="18">
        <v>94.0</v>
      </c>
    </row>
    <row r="988">
      <c r="A988" s="6" t="s">
        <v>4749</v>
      </c>
      <c r="B988" s="6" t="s">
        <v>2991</v>
      </c>
      <c r="C988" s="6" t="s">
        <v>305</v>
      </c>
      <c r="D988" s="18">
        <v>1.0</v>
      </c>
      <c r="E988" s="18">
        <v>145.0</v>
      </c>
      <c r="F988" s="18">
        <v>145.0</v>
      </c>
    </row>
    <row r="989">
      <c r="A989" s="6" t="s">
        <v>4750</v>
      </c>
      <c r="B989" s="6" t="s">
        <v>2994</v>
      </c>
      <c r="C989" s="6" t="s">
        <v>249</v>
      </c>
      <c r="D989" s="18">
        <v>1.0</v>
      </c>
      <c r="E989" s="18">
        <v>226.8</v>
      </c>
      <c r="F989" s="18">
        <v>226.8</v>
      </c>
    </row>
    <row r="990">
      <c r="A990" s="6" t="s">
        <v>4751</v>
      </c>
      <c r="B990" s="6" t="s">
        <v>3000</v>
      </c>
      <c r="C990" s="6" t="s">
        <v>1728</v>
      </c>
      <c r="D990" s="18">
        <v>1.0</v>
      </c>
      <c r="E990" s="18">
        <v>150.0</v>
      </c>
      <c r="F990" s="18">
        <v>150.0</v>
      </c>
    </row>
    <row r="991">
      <c r="A991" s="6" t="s">
        <v>4753</v>
      </c>
      <c r="B991" s="6" t="s">
        <v>3003</v>
      </c>
      <c r="C991" s="18">
        <v>1.2539885E7</v>
      </c>
      <c r="D991" s="18">
        <v>1.0</v>
      </c>
      <c r="E991" s="18">
        <v>450.0</v>
      </c>
      <c r="F991" s="18">
        <v>450.0</v>
      </c>
    </row>
    <row r="992">
      <c r="A992" s="6" t="s">
        <v>4755</v>
      </c>
      <c r="B992" s="6" t="s">
        <v>3010</v>
      </c>
      <c r="C992" s="18">
        <v>1.2539885E7</v>
      </c>
      <c r="D992" s="18">
        <v>1.0</v>
      </c>
      <c r="E992" s="18">
        <v>360.0</v>
      </c>
      <c r="F992" s="18">
        <v>360.0</v>
      </c>
    </row>
    <row r="993">
      <c r="A993" s="6" t="s">
        <v>4756</v>
      </c>
      <c r="B993" s="6" t="s">
        <v>3016</v>
      </c>
      <c r="C993" s="6" t="s">
        <v>159</v>
      </c>
      <c r="D993" s="18">
        <v>15.0</v>
      </c>
      <c r="E993" s="18">
        <v>13.5</v>
      </c>
      <c r="F993" s="18">
        <v>202.5</v>
      </c>
    </row>
    <row r="994">
      <c r="A994" s="6" t="s">
        <v>4757</v>
      </c>
      <c r="B994" s="6" t="s">
        <v>3016</v>
      </c>
      <c r="C994" s="6" t="s">
        <v>155</v>
      </c>
      <c r="D994" s="18">
        <v>1.0</v>
      </c>
      <c r="E994" s="18">
        <v>73.08</v>
      </c>
      <c r="F994" s="18">
        <v>73.08</v>
      </c>
    </row>
    <row r="995">
      <c r="A995" s="6" t="s">
        <v>4759</v>
      </c>
      <c r="B995" s="6" t="s">
        <v>3016</v>
      </c>
      <c r="C995" s="6" t="s">
        <v>152</v>
      </c>
      <c r="D995" s="18">
        <v>1.0</v>
      </c>
      <c r="E995" s="18">
        <v>12.71</v>
      </c>
      <c r="F995" s="18">
        <v>12.71</v>
      </c>
    </row>
    <row r="996">
      <c r="A996" s="6" t="s">
        <v>4760</v>
      </c>
      <c r="B996" s="6" t="s">
        <v>3016</v>
      </c>
      <c r="C996" s="6" t="s">
        <v>226</v>
      </c>
      <c r="D996" s="18">
        <v>1.0</v>
      </c>
      <c r="E996" s="18">
        <v>127.5</v>
      </c>
      <c r="F996" s="18">
        <v>127.5</v>
      </c>
    </row>
    <row r="997">
      <c r="A997" s="6" t="s">
        <v>4762</v>
      </c>
      <c r="B997" s="6" t="s">
        <v>3022</v>
      </c>
      <c r="C997" s="6" t="s">
        <v>4176</v>
      </c>
      <c r="D997" s="18">
        <v>1.0</v>
      </c>
      <c r="E997" s="18">
        <v>70.0</v>
      </c>
      <c r="F997" s="18">
        <v>70.0</v>
      </c>
    </row>
    <row r="998">
      <c r="A998" s="6" t="s">
        <v>4763</v>
      </c>
      <c r="B998" s="6" t="s">
        <v>3028</v>
      </c>
      <c r="C998" s="6" t="s">
        <v>1197</v>
      </c>
      <c r="D998" s="18">
        <v>4.0</v>
      </c>
      <c r="E998" s="18">
        <v>21.0</v>
      </c>
      <c r="F998" s="18">
        <v>84.0</v>
      </c>
    </row>
    <row r="999">
      <c r="A999" s="6" t="s">
        <v>4765</v>
      </c>
      <c r="B999" s="6" t="s">
        <v>3028</v>
      </c>
      <c r="C999" s="6" t="s">
        <v>691</v>
      </c>
      <c r="D999" s="18">
        <v>1.0</v>
      </c>
      <c r="E999" s="18">
        <v>23.0</v>
      </c>
      <c r="F999" s="18">
        <v>23.0</v>
      </c>
    </row>
    <row r="1000">
      <c r="A1000" s="6" t="s">
        <v>4766</v>
      </c>
      <c r="B1000" s="6" t="s">
        <v>3028</v>
      </c>
      <c r="C1000" s="6" t="s">
        <v>266</v>
      </c>
      <c r="D1000" s="18">
        <v>2.0</v>
      </c>
      <c r="E1000" s="18">
        <v>18.0</v>
      </c>
      <c r="F1000" s="18">
        <v>36.0</v>
      </c>
    </row>
    <row r="1001">
      <c r="A1001" s="6" t="s">
        <v>4769</v>
      </c>
      <c r="B1001" s="6" t="s">
        <v>3034</v>
      </c>
      <c r="C1001" s="6" t="s">
        <v>1079</v>
      </c>
      <c r="D1001" s="18">
        <v>1.0</v>
      </c>
      <c r="E1001" s="18">
        <v>160.0</v>
      </c>
      <c r="F1001" s="18">
        <v>160.0</v>
      </c>
    </row>
    <row r="1002">
      <c r="A1002" s="6" t="s">
        <v>4771</v>
      </c>
      <c r="B1002" s="6" t="s">
        <v>3034</v>
      </c>
      <c r="C1002" s="6" t="s">
        <v>1080</v>
      </c>
      <c r="D1002" s="18">
        <v>1.0</v>
      </c>
      <c r="E1002" s="18">
        <v>160.0</v>
      </c>
      <c r="F1002" s="18">
        <v>160.0</v>
      </c>
    </row>
    <row r="1003">
      <c r="A1003" s="6" t="s">
        <v>4772</v>
      </c>
      <c r="B1003" s="6" t="s">
        <v>3040</v>
      </c>
      <c r="C1003" s="6" t="s">
        <v>1757</v>
      </c>
      <c r="D1003" s="18">
        <v>1.0</v>
      </c>
      <c r="E1003" s="18">
        <v>50.0</v>
      </c>
      <c r="F1003" s="18">
        <v>50.0</v>
      </c>
    </row>
    <row r="1004">
      <c r="A1004" s="6" t="s">
        <v>4774</v>
      </c>
      <c r="B1004" s="6" t="s">
        <v>3046</v>
      </c>
      <c r="C1004" s="6" t="s">
        <v>4223</v>
      </c>
      <c r="D1004" s="18">
        <v>1.0</v>
      </c>
      <c r="E1004" s="18">
        <v>20006.0</v>
      </c>
      <c r="F1004" s="18">
        <v>20006.0</v>
      </c>
    </row>
    <row r="1005">
      <c r="A1005" s="6" t="s">
        <v>4776</v>
      </c>
      <c r="B1005" s="6" t="s">
        <v>3052</v>
      </c>
      <c r="C1005" s="6" t="s">
        <v>1074</v>
      </c>
      <c r="D1005" s="18">
        <v>1.0</v>
      </c>
      <c r="E1005" s="18">
        <v>300.92</v>
      </c>
      <c r="F1005" s="18">
        <v>300.92</v>
      </c>
    </row>
    <row r="1006">
      <c r="A1006" s="6" t="s">
        <v>4779</v>
      </c>
      <c r="B1006" s="6" t="s">
        <v>3052</v>
      </c>
      <c r="C1006" s="6" t="s">
        <v>1077</v>
      </c>
      <c r="D1006" s="18">
        <v>1.0</v>
      </c>
      <c r="E1006" s="18">
        <v>300.92</v>
      </c>
      <c r="F1006" s="18">
        <v>300.92</v>
      </c>
    </row>
    <row r="1007">
      <c r="A1007" s="6" t="s">
        <v>4780</v>
      </c>
      <c r="B1007" s="6" t="s">
        <v>3052</v>
      </c>
      <c r="C1007" s="6" t="s">
        <v>1081</v>
      </c>
      <c r="D1007" s="18">
        <v>1.0</v>
      </c>
      <c r="E1007" s="18">
        <v>300.92</v>
      </c>
      <c r="F1007" s="18">
        <v>300.92</v>
      </c>
    </row>
    <row r="1008">
      <c r="A1008" s="6" t="s">
        <v>4781</v>
      </c>
      <c r="B1008" s="6" t="s">
        <v>3052</v>
      </c>
      <c r="C1008" s="6" t="s">
        <v>1075</v>
      </c>
      <c r="D1008" s="18">
        <v>1.0</v>
      </c>
      <c r="E1008" s="18">
        <v>300.92</v>
      </c>
      <c r="F1008" s="18">
        <v>300.92</v>
      </c>
    </row>
    <row r="1009">
      <c r="A1009" s="6" t="s">
        <v>4783</v>
      </c>
      <c r="B1009" s="6" t="s">
        <v>3052</v>
      </c>
      <c r="C1009" s="18">
        <v>7.5375964E7</v>
      </c>
      <c r="D1009" s="18">
        <v>1.0</v>
      </c>
      <c r="E1009" s="18">
        <v>300.92</v>
      </c>
      <c r="F1009" s="18">
        <v>300.92</v>
      </c>
    </row>
    <row r="1010">
      <c r="A1010" s="6" t="s">
        <v>4784</v>
      </c>
      <c r="B1010" s="6" t="s">
        <v>3058</v>
      </c>
      <c r="C1010" s="6" t="s">
        <v>1168</v>
      </c>
      <c r="D1010" s="18">
        <v>1.0</v>
      </c>
      <c r="E1010" s="18">
        <v>150.0</v>
      </c>
      <c r="F1010" s="18">
        <v>150.0</v>
      </c>
    </row>
    <row r="1011">
      <c r="A1011" s="6" t="s">
        <v>4788</v>
      </c>
      <c r="B1011" s="6" t="s">
        <v>3062</v>
      </c>
      <c r="C1011" s="6" t="s">
        <v>305</v>
      </c>
      <c r="D1011" s="18">
        <v>1.0</v>
      </c>
      <c r="E1011" s="18">
        <v>125.64</v>
      </c>
      <c r="F1011" s="18">
        <v>125.64</v>
      </c>
    </row>
    <row r="1012">
      <c r="A1012" s="6" t="s">
        <v>4789</v>
      </c>
      <c r="B1012" s="6" t="s">
        <v>3068</v>
      </c>
      <c r="C1012" s="6" t="s">
        <v>159</v>
      </c>
      <c r="D1012" s="18">
        <v>1.0</v>
      </c>
      <c r="E1012" s="18">
        <v>202.5</v>
      </c>
      <c r="F1012" s="18">
        <v>202.5</v>
      </c>
    </row>
    <row r="1013">
      <c r="A1013" s="6" t="s">
        <v>4790</v>
      </c>
      <c r="B1013" s="6" t="s">
        <v>3068</v>
      </c>
      <c r="C1013" s="6" t="s">
        <v>155</v>
      </c>
      <c r="D1013" s="18">
        <v>1.0</v>
      </c>
      <c r="E1013" s="18">
        <v>69.52</v>
      </c>
      <c r="F1013" s="18">
        <v>69.52</v>
      </c>
    </row>
    <row r="1014">
      <c r="A1014" s="6" t="s">
        <v>4791</v>
      </c>
      <c r="B1014" s="6" t="s">
        <v>3068</v>
      </c>
      <c r="C1014" s="6" t="s">
        <v>152</v>
      </c>
      <c r="D1014" s="18">
        <v>1.0</v>
      </c>
      <c r="E1014" s="18">
        <v>12.36</v>
      </c>
      <c r="F1014" s="18">
        <v>12.36</v>
      </c>
    </row>
    <row r="1015">
      <c r="A1015" s="6" t="s">
        <v>4792</v>
      </c>
      <c r="B1015" s="6" t="s">
        <v>3073</v>
      </c>
      <c r="C1015" s="18">
        <v>1.2539885E7</v>
      </c>
      <c r="D1015" s="18">
        <v>1.0</v>
      </c>
      <c r="E1015" s="18">
        <v>210.0</v>
      </c>
      <c r="F1015" s="18">
        <v>210.0</v>
      </c>
    </row>
    <row r="1016">
      <c r="A1016" s="6" t="s">
        <v>4794</v>
      </c>
      <c r="B1016" s="6" t="s">
        <v>3076</v>
      </c>
      <c r="C1016" s="6" t="s">
        <v>226</v>
      </c>
      <c r="D1016" s="18">
        <v>10.0</v>
      </c>
      <c r="E1016" s="18">
        <v>11.0</v>
      </c>
      <c r="F1016" s="18">
        <v>110.0</v>
      </c>
    </row>
    <row r="1017">
      <c r="A1017" s="6" t="s">
        <v>4795</v>
      </c>
      <c r="B1017" s="6" t="s">
        <v>3076</v>
      </c>
      <c r="C1017" s="6" t="s">
        <v>152</v>
      </c>
      <c r="D1017" s="18">
        <v>1.0</v>
      </c>
      <c r="E1017" s="18">
        <v>7.61</v>
      </c>
      <c r="F1017" s="18">
        <v>7.61</v>
      </c>
    </row>
    <row r="1018">
      <c r="A1018" s="6" t="s">
        <v>4797</v>
      </c>
      <c r="B1018" s="6" t="s">
        <v>3080</v>
      </c>
      <c r="C1018" s="6" t="s">
        <v>243</v>
      </c>
      <c r="D1018" s="18">
        <v>1.0</v>
      </c>
      <c r="E1018" s="18">
        <v>129.6</v>
      </c>
      <c r="F1018" s="18">
        <v>129.6</v>
      </c>
    </row>
    <row r="1019">
      <c r="A1019" s="6" t="s">
        <v>4800</v>
      </c>
      <c r="B1019" s="6" t="s">
        <v>3084</v>
      </c>
      <c r="C1019" s="6" t="s">
        <v>1168</v>
      </c>
      <c r="D1019" s="18">
        <v>1.0</v>
      </c>
      <c r="E1019" s="18">
        <v>250.0</v>
      </c>
      <c r="F1019" s="18">
        <v>250.0</v>
      </c>
    </row>
    <row r="1020">
      <c r="A1020" s="6" t="s">
        <v>4801</v>
      </c>
      <c r="B1020" s="6" t="s">
        <v>3086</v>
      </c>
      <c r="C1020" s="6" t="s">
        <v>1168</v>
      </c>
      <c r="D1020" s="18">
        <v>1.0</v>
      </c>
      <c r="E1020" s="18">
        <v>400.0</v>
      </c>
      <c r="F1020" s="18">
        <v>400.0</v>
      </c>
    </row>
    <row r="1021">
      <c r="A1021" s="6" t="s">
        <v>4804</v>
      </c>
      <c r="B1021" s="6" t="s">
        <v>3088</v>
      </c>
      <c r="C1021" s="6" t="s">
        <v>3218</v>
      </c>
      <c r="D1021" s="18">
        <v>1.0</v>
      </c>
      <c r="E1021" s="18">
        <v>355.52</v>
      </c>
      <c r="F1021" s="18">
        <v>355.52</v>
      </c>
    </row>
    <row r="1022">
      <c r="A1022" s="6" t="s">
        <v>4805</v>
      </c>
      <c r="B1022" s="6" t="s">
        <v>3091</v>
      </c>
      <c r="C1022" s="6" t="s">
        <v>1168</v>
      </c>
      <c r="D1022" s="18">
        <v>1.0</v>
      </c>
      <c r="E1022" s="18">
        <v>430.0</v>
      </c>
      <c r="F1022" s="18">
        <v>430.0</v>
      </c>
    </row>
    <row r="1023">
      <c r="A1023" s="6" t="s">
        <v>4806</v>
      </c>
      <c r="B1023" s="6" t="s">
        <v>3093</v>
      </c>
      <c r="C1023" s="6" t="s">
        <v>1054</v>
      </c>
      <c r="D1023" s="18">
        <v>1.0</v>
      </c>
      <c r="E1023" s="18">
        <v>5313.65</v>
      </c>
      <c r="F1023" s="18">
        <v>5313.65</v>
      </c>
    </row>
    <row r="1024">
      <c r="A1024" s="6" t="s">
        <v>4808</v>
      </c>
      <c r="B1024" s="6" t="s">
        <v>3097</v>
      </c>
      <c r="C1024" s="18">
        <v>1.2539885E7</v>
      </c>
      <c r="D1024" s="18">
        <v>1.0</v>
      </c>
      <c r="E1024" s="18">
        <v>390.0</v>
      </c>
      <c r="F1024" s="18">
        <v>390.0</v>
      </c>
    </row>
    <row r="1025">
      <c r="A1025" s="6" t="s">
        <v>4810</v>
      </c>
      <c r="B1025" s="6" t="s">
        <v>3101</v>
      </c>
      <c r="C1025" s="6" t="s">
        <v>159</v>
      </c>
      <c r="D1025" s="18">
        <v>1.0</v>
      </c>
      <c r="E1025" s="18">
        <v>52.5</v>
      </c>
      <c r="F1025" s="18">
        <v>52.5</v>
      </c>
    </row>
    <row r="1026">
      <c r="A1026" s="6" t="s">
        <v>4811</v>
      </c>
      <c r="B1026" s="6" t="s">
        <v>3101</v>
      </c>
      <c r="C1026" s="6" t="s">
        <v>155</v>
      </c>
      <c r="D1026" s="18">
        <v>1.0</v>
      </c>
      <c r="E1026" s="18">
        <v>79.94</v>
      </c>
      <c r="F1026" s="18">
        <v>79.94</v>
      </c>
    </row>
    <row r="1027">
      <c r="A1027" s="6" t="s">
        <v>4812</v>
      </c>
      <c r="B1027" s="6" t="s">
        <v>3101</v>
      </c>
      <c r="C1027" s="6" t="s">
        <v>152</v>
      </c>
      <c r="D1027" s="18">
        <v>1.0</v>
      </c>
      <c r="E1027" s="18">
        <v>5.6</v>
      </c>
      <c r="F1027" s="18">
        <v>5.6</v>
      </c>
    </row>
    <row r="1028">
      <c r="A1028" s="6" t="s">
        <v>4814</v>
      </c>
      <c r="B1028" s="6" t="s">
        <v>3101</v>
      </c>
      <c r="C1028" s="6" t="s">
        <v>226</v>
      </c>
      <c r="D1028" s="18">
        <v>1.0</v>
      </c>
      <c r="E1028" s="18">
        <v>95.0</v>
      </c>
      <c r="F1028" s="18">
        <v>95.0</v>
      </c>
    </row>
    <row r="1029">
      <c r="A1029" s="6" t="s">
        <v>4816</v>
      </c>
      <c r="B1029" s="6" t="s">
        <v>3105</v>
      </c>
      <c r="C1029" s="6" t="s">
        <v>2208</v>
      </c>
      <c r="D1029" s="18">
        <v>6.0</v>
      </c>
      <c r="E1029" s="18">
        <v>4.49</v>
      </c>
      <c r="F1029" s="18">
        <v>26.94</v>
      </c>
    </row>
    <row r="1030">
      <c r="A1030" s="6" t="s">
        <v>4818</v>
      </c>
      <c r="B1030" s="6" t="s">
        <v>3105</v>
      </c>
      <c r="C1030" s="6" t="s">
        <v>249</v>
      </c>
      <c r="D1030" s="18">
        <v>7.0</v>
      </c>
      <c r="E1030" s="18">
        <v>10.9</v>
      </c>
      <c r="F1030" s="18">
        <v>76.3</v>
      </c>
    </row>
    <row r="1031">
      <c r="A1031" s="6" t="s">
        <v>4819</v>
      </c>
      <c r="B1031" s="6" t="s">
        <v>3105</v>
      </c>
      <c r="C1031" s="6" t="s">
        <v>305</v>
      </c>
      <c r="D1031" s="18">
        <v>1.0</v>
      </c>
      <c r="E1031" s="18">
        <v>133.11</v>
      </c>
      <c r="F1031" s="18">
        <v>133.11</v>
      </c>
    </row>
    <row r="1032">
      <c r="A1032" s="6" t="s">
        <v>4820</v>
      </c>
      <c r="B1032" s="6" t="s">
        <v>3111</v>
      </c>
      <c r="C1032" s="6" t="s">
        <v>1121</v>
      </c>
      <c r="D1032" s="18">
        <v>1.0</v>
      </c>
      <c r="E1032" s="18">
        <v>60.0</v>
      </c>
      <c r="F1032" s="18">
        <v>60.0</v>
      </c>
    </row>
    <row r="1033">
      <c r="A1033" s="6" t="s">
        <v>4822</v>
      </c>
      <c r="B1033" s="6" t="s">
        <v>3116</v>
      </c>
      <c r="C1033" s="6" t="s">
        <v>1904</v>
      </c>
      <c r="D1033" s="18">
        <v>1.0</v>
      </c>
      <c r="E1033" s="18">
        <v>2.0</v>
      </c>
      <c r="F1033" s="18">
        <v>2.0</v>
      </c>
    </row>
    <row r="1034">
      <c r="A1034" s="6" t="s">
        <v>4824</v>
      </c>
      <c r="B1034" s="6" t="s">
        <v>3123</v>
      </c>
      <c r="C1034" s="18">
        <v>1.2539885E7</v>
      </c>
      <c r="D1034" s="18">
        <v>1.0</v>
      </c>
      <c r="E1034" s="18">
        <v>540.0</v>
      </c>
      <c r="F1034" s="18">
        <v>540.0</v>
      </c>
    </row>
    <row r="1035">
      <c r="A1035" s="6" t="s">
        <v>4825</v>
      </c>
      <c r="B1035" s="6" t="s">
        <v>3127</v>
      </c>
      <c r="C1035" s="6" t="s">
        <v>159</v>
      </c>
      <c r="D1035" s="18">
        <v>1.0</v>
      </c>
      <c r="E1035" s="18">
        <v>202.5</v>
      </c>
      <c r="F1035" s="18">
        <v>202.5</v>
      </c>
    </row>
    <row r="1036">
      <c r="A1036" s="6" t="s">
        <v>4826</v>
      </c>
      <c r="B1036" s="6" t="s">
        <v>3127</v>
      </c>
      <c r="C1036" s="6" t="s">
        <v>155</v>
      </c>
      <c r="D1036" s="18">
        <v>1.0</v>
      </c>
      <c r="E1036" s="18">
        <v>72.23</v>
      </c>
      <c r="F1036" s="18">
        <v>72.23</v>
      </c>
    </row>
    <row r="1037">
      <c r="A1037" s="6" t="s">
        <v>4828</v>
      </c>
      <c r="B1037" s="6" t="s">
        <v>3127</v>
      </c>
      <c r="C1037" s="6" t="s">
        <v>152</v>
      </c>
      <c r="D1037" s="18">
        <v>1.0</v>
      </c>
      <c r="E1037" s="18">
        <v>7.92</v>
      </c>
      <c r="F1037" s="18">
        <v>7.92</v>
      </c>
    </row>
    <row r="1038">
      <c r="A1038" s="6" t="s">
        <v>4829</v>
      </c>
      <c r="B1038" s="6" t="s">
        <v>3132</v>
      </c>
      <c r="C1038" s="6" t="s">
        <v>3833</v>
      </c>
      <c r="D1038" s="18">
        <v>1.0</v>
      </c>
      <c r="E1038" s="18">
        <v>18.76</v>
      </c>
      <c r="F1038" s="18">
        <v>18.76</v>
      </c>
    </row>
    <row r="1039">
      <c r="A1039" s="6" t="s">
        <v>4833</v>
      </c>
      <c r="B1039" s="6" t="s">
        <v>3136</v>
      </c>
      <c r="C1039" s="6" t="s">
        <v>2351</v>
      </c>
      <c r="D1039" s="18">
        <v>1.0</v>
      </c>
      <c r="E1039" s="18">
        <v>126.26</v>
      </c>
      <c r="F1039" s="18">
        <v>126.26</v>
      </c>
    </row>
    <row r="1040">
      <c r="A1040" s="6" t="s">
        <v>4834</v>
      </c>
      <c r="B1040" s="6" t="s">
        <v>3136</v>
      </c>
      <c r="C1040" s="6" t="s">
        <v>4406</v>
      </c>
      <c r="D1040" s="18">
        <v>1.0</v>
      </c>
      <c r="E1040" s="18">
        <v>389.97</v>
      </c>
      <c r="F1040" s="18">
        <v>389.97</v>
      </c>
    </row>
    <row r="1041">
      <c r="A1041" s="6" t="s">
        <v>4835</v>
      </c>
      <c r="B1041" s="6" t="s">
        <v>3142</v>
      </c>
      <c r="C1041" s="6" t="s">
        <v>152</v>
      </c>
      <c r="D1041" s="18">
        <v>1.0</v>
      </c>
      <c r="E1041" s="18">
        <v>4.0</v>
      </c>
      <c r="F1041" s="18">
        <v>4.0</v>
      </c>
    </row>
    <row r="1042">
      <c r="A1042" s="6" t="s">
        <v>4837</v>
      </c>
      <c r="B1042" s="6" t="s">
        <v>3142</v>
      </c>
      <c r="C1042" s="6" t="s">
        <v>230</v>
      </c>
      <c r="D1042" s="18">
        <v>1.0</v>
      </c>
      <c r="E1042" s="18">
        <v>115.0</v>
      </c>
      <c r="F1042" s="18">
        <v>115.0</v>
      </c>
    </row>
    <row r="1043">
      <c r="A1043" s="6" t="s">
        <v>4838</v>
      </c>
      <c r="B1043" s="6" t="s">
        <v>3142</v>
      </c>
      <c r="C1043" s="6" t="s">
        <v>159</v>
      </c>
      <c r="D1043" s="18">
        <v>1.0</v>
      </c>
      <c r="E1043" s="18">
        <v>135.0</v>
      </c>
      <c r="F1043" s="18">
        <v>135.0</v>
      </c>
    </row>
    <row r="1044">
      <c r="A1044" s="6" t="s">
        <v>4841</v>
      </c>
      <c r="B1044" s="6" t="s">
        <v>3148</v>
      </c>
      <c r="C1044" s="6" t="s">
        <v>1510</v>
      </c>
      <c r="D1044" s="18">
        <v>1.0</v>
      </c>
      <c r="E1044" s="18">
        <v>21811.15</v>
      </c>
      <c r="F1044" s="18">
        <v>21811.15</v>
      </c>
    </row>
    <row r="1045">
      <c r="A1045" s="6" t="s">
        <v>4842</v>
      </c>
      <c r="B1045" s="6" t="s">
        <v>3154</v>
      </c>
      <c r="C1045" s="6" t="s">
        <v>1668</v>
      </c>
      <c r="D1045" s="18">
        <v>1.0</v>
      </c>
      <c r="E1045" s="18">
        <v>114.46</v>
      </c>
      <c r="F1045" s="18">
        <v>114.46</v>
      </c>
    </row>
    <row r="1046">
      <c r="A1046" s="6" t="s">
        <v>4843</v>
      </c>
      <c r="B1046" s="6" t="s">
        <v>3160</v>
      </c>
      <c r="C1046" s="18">
        <v>1.2539885E7</v>
      </c>
      <c r="D1046" s="18">
        <v>1.0</v>
      </c>
      <c r="E1046" s="18">
        <v>600.0</v>
      </c>
      <c r="F1046" s="18">
        <v>600.0</v>
      </c>
    </row>
    <row r="1047">
      <c r="A1047" s="6" t="s">
        <v>4845</v>
      </c>
      <c r="B1047" s="6" t="s">
        <v>3167</v>
      </c>
      <c r="C1047" s="6" t="s">
        <v>159</v>
      </c>
      <c r="D1047" s="18">
        <v>1.0</v>
      </c>
      <c r="E1047" s="18">
        <v>135.0</v>
      </c>
      <c r="F1047" s="18">
        <v>135.0</v>
      </c>
    </row>
    <row r="1048">
      <c r="A1048" s="6" t="s">
        <v>4846</v>
      </c>
      <c r="B1048" s="6" t="s">
        <v>3167</v>
      </c>
      <c r="C1048" s="6" t="s">
        <v>152</v>
      </c>
      <c r="D1048" s="18">
        <v>1.0</v>
      </c>
      <c r="E1048" s="18">
        <v>5.92</v>
      </c>
      <c r="F1048" s="18">
        <v>5.92</v>
      </c>
    </row>
    <row r="1049">
      <c r="A1049" s="6" t="s">
        <v>4849</v>
      </c>
      <c r="B1049" s="6" t="s">
        <v>3167</v>
      </c>
      <c r="C1049" s="6" t="s">
        <v>226</v>
      </c>
      <c r="D1049" s="18">
        <v>1.0</v>
      </c>
      <c r="E1049" s="18">
        <v>95.0</v>
      </c>
      <c r="F1049" s="18">
        <v>95.0</v>
      </c>
    </row>
    <row r="1050">
      <c r="A1050" s="6" t="s">
        <v>4850</v>
      </c>
      <c r="B1050" s="6" t="s">
        <v>3173</v>
      </c>
      <c r="C1050" s="6" t="s">
        <v>1517</v>
      </c>
      <c r="D1050" s="18">
        <v>1.0</v>
      </c>
      <c r="E1050" s="18">
        <v>9662.23</v>
      </c>
      <c r="F1050" s="18">
        <v>9662.23</v>
      </c>
    </row>
    <row r="1051">
      <c r="A1051" s="6" t="s">
        <v>4851</v>
      </c>
      <c r="B1051" s="6" t="s">
        <v>3178</v>
      </c>
      <c r="C1051" s="6" t="s">
        <v>1904</v>
      </c>
      <c r="D1051" s="18">
        <v>1.0</v>
      </c>
      <c r="E1051" s="18">
        <v>6.0</v>
      </c>
      <c r="F1051" s="18">
        <v>6.0</v>
      </c>
    </row>
    <row r="1052">
      <c r="A1052" s="6" t="s">
        <v>4852</v>
      </c>
      <c r="B1052" s="6" t="s">
        <v>3184</v>
      </c>
      <c r="C1052" s="6" t="s">
        <v>249</v>
      </c>
      <c r="D1052" s="18">
        <v>1.0</v>
      </c>
      <c r="E1052" s="18">
        <v>1401.05</v>
      </c>
      <c r="F1052" s="18">
        <v>1401.05</v>
      </c>
    </row>
    <row r="1053">
      <c r="A1053" s="6" t="s">
        <v>4854</v>
      </c>
      <c r="B1053" s="6" t="s">
        <v>3188</v>
      </c>
      <c r="C1053" s="6" t="s">
        <v>2003</v>
      </c>
      <c r="D1053" s="18">
        <v>1.0</v>
      </c>
      <c r="E1053" s="18">
        <v>636.79</v>
      </c>
      <c r="F1053" s="18">
        <v>636.79</v>
      </c>
    </row>
    <row r="1054">
      <c r="A1054" s="6" t="s">
        <v>4856</v>
      </c>
      <c r="B1054" s="6" t="s">
        <v>3194</v>
      </c>
      <c r="C1054" s="6" t="s">
        <v>305</v>
      </c>
      <c r="D1054" s="18">
        <v>1.0</v>
      </c>
      <c r="E1054" s="18">
        <v>225.27</v>
      </c>
      <c r="F1054" s="18">
        <v>225.27</v>
      </c>
    </row>
    <row r="1055">
      <c r="A1055" s="6" t="s">
        <v>4857</v>
      </c>
      <c r="B1055" s="6" t="s">
        <v>3200</v>
      </c>
      <c r="C1055" s="6" t="s">
        <v>159</v>
      </c>
      <c r="D1055" s="18">
        <v>1.0</v>
      </c>
      <c r="E1055" s="18">
        <v>162.0</v>
      </c>
      <c r="F1055" s="18">
        <v>162.0</v>
      </c>
    </row>
    <row r="1056">
      <c r="A1056" s="6" t="s">
        <v>4858</v>
      </c>
      <c r="B1056" s="6" t="s">
        <v>3200</v>
      </c>
      <c r="C1056" s="6" t="s">
        <v>155</v>
      </c>
      <c r="D1056" s="18">
        <v>1.0</v>
      </c>
      <c r="E1056" s="18">
        <v>48.06</v>
      </c>
      <c r="F1056" s="18">
        <v>48.06</v>
      </c>
    </row>
    <row r="1057">
      <c r="A1057" s="6" t="s">
        <v>4860</v>
      </c>
      <c r="B1057" s="6" t="s">
        <v>3200</v>
      </c>
      <c r="C1057" s="6" t="s">
        <v>230</v>
      </c>
      <c r="D1057" s="18">
        <v>1.0</v>
      </c>
      <c r="E1057" s="18">
        <v>139.15</v>
      </c>
      <c r="F1057" s="18">
        <v>139.15</v>
      </c>
    </row>
    <row r="1058">
      <c r="A1058" s="6" t="s">
        <v>4862</v>
      </c>
      <c r="B1058" s="6" t="s">
        <v>3200</v>
      </c>
      <c r="C1058" s="6" t="s">
        <v>152</v>
      </c>
      <c r="D1058" s="18">
        <v>1.0</v>
      </c>
      <c r="E1058" s="18">
        <v>12.0</v>
      </c>
      <c r="F1058" s="18">
        <v>12.0</v>
      </c>
    </row>
    <row r="1059">
      <c r="A1059" s="6" t="s">
        <v>4864</v>
      </c>
      <c r="B1059" s="6" t="s">
        <v>3204</v>
      </c>
      <c r="C1059" s="6" t="s">
        <v>1054</v>
      </c>
      <c r="D1059" s="18">
        <v>1.0</v>
      </c>
      <c r="E1059" s="18">
        <v>1482.77</v>
      </c>
      <c r="F1059" s="18">
        <v>1482.77</v>
      </c>
    </row>
    <row r="1060">
      <c r="A1060" s="6" t="s">
        <v>4865</v>
      </c>
      <c r="B1060" s="6" t="s">
        <v>3207</v>
      </c>
      <c r="C1060" s="6" t="s">
        <v>1145</v>
      </c>
      <c r="D1060" s="18">
        <v>1.0</v>
      </c>
      <c r="E1060" s="18">
        <v>113.05</v>
      </c>
      <c r="F1060" s="18">
        <v>113.05</v>
      </c>
    </row>
    <row r="1061">
      <c r="A1061" s="6" t="s">
        <v>4866</v>
      </c>
      <c r="B1061" s="6" t="s">
        <v>3212</v>
      </c>
      <c r="C1061" s="6" t="s">
        <v>1074</v>
      </c>
      <c r="D1061" s="18">
        <v>1.0</v>
      </c>
      <c r="E1061" s="18">
        <v>235.0</v>
      </c>
      <c r="F1061" s="18">
        <v>235.0</v>
      </c>
    </row>
    <row r="1062">
      <c r="A1062" s="6" t="s">
        <v>4868</v>
      </c>
      <c r="B1062" s="6" t="s">
        <v>3212</v>
      </c>
      <c r="C1062" s="6" t="s">
        <v>1079</v>
      </c>
      <c r="D1062" s="18">
        <v>1.0</v>
      </c>
      <c r="E1062" s="18">
        <v>235.0</v>
      </c>
      <c r="F1062" s="18">
        <v>235.0</v>
      </c>
    </row>
    <row r="1063">
      <c r="A1063" s="6" t="s">
        <v>4870</v>
      </c>
      <c r="B1063" s="6" t="s">
        <v>3212</v>
      </c>
      <c r="C1063" s="6" t="s">
        <v>1080</v>
      </c>
      <c r="D1063" s="18">
        <v>1.0</v>
      </c>
      <c r="E1063" s="18">
        <v>235.0</v>
      </c>
      <c r="F1063" s="18">
        <v>235.0</v>
      </c>
    </row>
    <row r="1064">
      <c r="A1064" s="6" t="s">
        <v>4872</v>
      </c>
      <c r="B1064" s="6" t="s">
        <v>3212</v>
      </c>
      <c r="C1064" s="6" t="s">
        <v>1081</v>
      </c>
      <c r="D1064" s="18">
        <v>1.0</v>
      </c>
      <c r="E1064" s="18">
        <v>235.0</v>
      </c>
      <c r="F1064" s="18">
        <v>235.0</v>
      </c>
    </row>
    <row r="1065">
      <c r="A1065" s="6" t="s">
        <v>4873</v>
      </c>
      <c r="B1065" s="6" t="s">
        <v>3217</v>
      </c>
      <c r="C1065" s="6" t="s">
        <v>4528</v>
      </c>
      <c r="D1065" s="18">
        <v>1.0</v>
      </c>
      <c r="E1065" s="18">
        <v>807.0</v>
      </c>
      <c r="F1065" s="18">
        <v>807.0</v>
      </c>
    </row>
    <row r="1066">
      <c r="A1066" s="6" t="s">
        <v>4875</v>
      </c>
      <c r="B1066" s="6" t="s">
        <v>3222</v>
      </c>
      <c r="C1066" s="6" t="s">
        <v>1126</v>
      </c>
      <c r="D1066" s="18">
        <v>1.0</v>
      </c>
      <c r="E1066" s="18">
        <v>30.0</v>
      </c>
      <c r="F1066" s="18">
        <v>30.0</v>
      </c>
    </row>
    <row r="1067">
      <c r="A1067" s="6" t="s">
        <v>4877</v>
      </c>
      <c r="B1067" s="6" t="s">
        <v>3226</v>
      </c>
      <c r="C1067" s="6" t="s">
        <v>1047</v>
      </c>
      <c r="D1067" s="18">
        <v>1.0</v>
      </c>
      <c r="E1067" s="18">
        <v>110.0</v>
      </c>
      <c r="F1067" s="18">
        <v>110.0</v>
      </c>
    </row>
    <row r="1068">
      <c r="A1068" s="6" t="s">
        <v>4879</v>
      </c>
      <c r="B1068" s="6" t="s">
        <v>3232</v>
      </c>
      <c r="C1068" s="6" t="s">
        <v>1077</v>
      </c>
      <c r="D1068" s="18">
        <v>1.0</v>
      </c>
      <c r="E1068" s="18">
        <v>22.9</v>
      </c>
      <c r="F1068" s="18">
        <v>22.9</v>
      </c>
    </row>
    <row r="1069">
      <c r="A1069" s="6" t="s">
        <v>4881</v>
      </c>
      <c r="B1069" s="6" t="s">
        <v>3238</v>
      </c>
      <c r="C1069" s="6" t="s">
        <v>1145</v>
      </c>
      <c r="D1069" s="18">
        <v>1.0</v>
      </c>
      <c r="E1069" s="18">
        <v>2088.66</v>
      </c>
      <c r="F1069" s="18">
        <v>2088.66</v>
      </c>
    </row>
    <row r="1070">
      <c r="A1070" s="6" t="s">
        <v>4882</v>
      </c>
      <c r="B1070" s="6" t="s">
        <v>3243</v>
      </c>
      <c r="C1070" s="6" t="s">
        <v>159</v>
      </c>
      <c r="D1070" s="18">
        <v>15.0</v>
      </c>
      <c r="E1070" s="18">
        <v>13.5</v>
      </c>
      <c r="F1070" s="18">
        <v>202.5</v>
      </c>
    </row>
    <row r="1071">
      <c r="A1071" s="6" t="s">
        <v>4884</v>
      </c>
      <c r="B1071" s="6" t="s">
        <v>3243</v>
      </c>
      <c r="C1071" s="6" t="s">
        <v>155</v>
      </c>
      <c r="D1071" s="18">
        <v>1.0</v>
      </c>
      <c r="E1071" s="18">
        <v>60.9</v>
      </c>
      <c r="F1071" s="18">
        <v>60.9</v>
      </c>
    </row>
    <row r="1072">
      <c r="A1072" s="6" t="s">
        <v>4885</v>
      </c>
      <c r="B1072" s="6" t="s">
        <v>3243</v>
      </c>
      <c r="C1072" s="6" t="s">
        <v>152</v>
      </c>
      <c r="D1072" s="18">
        <v>1.0</v>
      </c>
      <c r="E1072" s="18">
        <v>16.88</v>
      </c>
      <c r="F1072" s="18">
        <v>16.88</v>
      </c>
    </row>
    <row r="1073">
      <c r="A1073" s="6" t="s">
        <v>4888</v>
      </c>
      <c r="B1073" s="6" t="s">
        <v>3243</v>
      </c>
      <c r="C1073" s="6" t="s">
        <v>226</v>
      </c>
      <c r="D1073" s="18">
        <v>15.0</v>
      </c>
      <c r="E1073" s="18">
        <v>10.0</v>
      </c>
      <c r="F1073" s="18">
        <v>150.0</v>
      </c>
    </row>
    <row r="1074">
      <c r="A1074" s="6" t="s">
        <v>4889</v>
      </c>
      <c r="B1074" s="6" t="s">
        <v>3249</v>
      </c>
      <c r="C1074" s="6" t="s">
        <v>159</v>
      </c>
      <c r="D1074" s="18">
        <v>1.0</v>
      </c>
      <c r="E1074" s="18">
        <v>135.0</v>
      </c>
      <c r="F1074" s="18">
        <v>135.0</v>
      </c>
    </row>
    <row r="1075">
      <c r="A1075" s="6" t="s">
        <v>4891</v>
      </c>
      <c r="B1075" s="6" t="s">
        <v>3249</v>
      </c>
      <c r="C1075" s="6" t="s">
        <v>155</v>
      </c>
      <c r="D1075" s="18">
        <v>1.0</v>
      </c>
      <c r="E1075" s="18">
        <v>43.35</v>
      </c>
      <c r="F1075" s="18">
        <v>43.35</v>
      </c>
    </row>
    <row r="1076">
      <c r="A1076" s="6" t="s">
        <v>4893</v>
      </c>
      <c r="B1076" s="6" t="s">
        <v>3249</v>
      </c>
      <c r="C1076" s="6" t="s">
        <v>226</v>
      </c>
      <c r="D1076" s="18">
        <v>1.0</v>
      </c>
      <c r="E1076" s="18">
        <v>90.0</v>
      </c>
      <c r="F1076" s="18">
        <v>90.0</v>
      </c>
    </row>
    <row r="1077">
      <c r="A1077" s="6" t="s">
        <v>4895</v>
      </c>
      <c r="B1077" s="6" t="s">
        <v>3255</v>
      </c>
      <c r="C1077" s="18">
        <v>1.2539885E7</v>
      </c>
      <c r="D1077" s="18">
        <v>1.0</v>
      </c>
      <c r="E1077" s="18">
        <v>450.0</v>
      </c>
      <c r="F1077" s="18">
        <v>450.0</v>
      </c>
    </row>
    <row r="1078">
      <c r="A1078" s="6" t="s">
        <v>4897</v>
      </c>
      <c r="B1078" s="6" t="s">
        <v>3261</v>
      </c>
      <c r="C1078" s="6" t="s">
        <v>159</v>
      </c>
      <c r="D1078" s="18">
        <v>1.0</v>
      </c>
      <c r="E1078" s="18">
        <v>156.0</v>
      </c>
      <c r="F1078" s="18">
        <v>156.0</v>
      </c>
    </row>
    <row r="1079">
      <c r="A1079" s="6" t="s">
        <v>4899</v>
      </c>
      <c r="B1079" s="6" t="s">
        <v>3261</v>
      </c>
      <c r="C1079" s="6" t="s">
        <v>155</v>
      </c>
      <c r="D1079" s="18">
        <v>1.0</v>
      </c>
      <c r="E1079" s="18">
        <v>53.84</v>
      </c>
      <c r="F1079" s="18">
        <v>53.84</v>
      </c>
    </row>
    <row r="1080">
      <c r="A1080" s="6" t="s">
        <v>4900</v>
      </c>
      <c r="B1080" s="6" t="s">
        <v>3261</v>
      </c>
      <c r="C1080" s="6" t="s">
        <v>152</v>
      </c>
      <c r="D1080" s="18">
        <v>1.0</v>
      </c>
      <c r="E1080" s="18">
        <v>16.0</v>
      </c>
      <c r="F1080" s="18">
        <v>16.0</v>
      </c>
    </row>
    <row r="1081">
      <c r="A1081" s="6" t="s">
        <v>4901</v>
      </c>
      <c r="B1081" s="6" t="s">
        <v>3261</v>
      </c>
      <c r="C1081" s="6" t="s">
        <v>226</v>
      </c>
      <c r="D1081" s="18">
        <v>1.0</v>
      </c>
      <c r="E1081" s="18">
        <v>45.0</v>
      </c>
      <c r="F1081" s="18">
        <v>45.0</v>
      </c>
    </row>
    <row r="1082">
      <c r="A1082" s="6" t="s">
        <v>4903</v>
      </c>
      <c r="B1082" s="6" t="s">
        <v>3266</v>
      </c>
      <c r="C1082" s="18">
        <v>1.2539885E7</v>
      </c>
      <c r="D1082" s="18">
        <v>10.0</v>
      </c>
      <c r="E1082" s="18">
        <v>30.0</v>
      </c>
      <c r="F1082" s="18">
        <v>300.0</v>
      </c>
    </row>
    <row r="1083">
      <c r="A1083" s="6" t="s">
        <v>4904</v>
      </c>
      <c r="B1083" s="6" t="s">
        <v>3272</v>
      </c>
      <c r="C1083" s="6" t="s">
        <v>335</v>
      </c>
      <c r="D1083" s="18">
        <v>2.0</v>
      </c>
      <c r="E1083" s="18">
        <v>39.84</v>
      </c>
      <c r="F1083" s="18">
        <v>79.68</v>
      </c>
    </row>
    <row r="1084">
      <c r="A1084" s="6" t="s">
        <v>4906</v>
      </c>
      <c r="B1084" s="6" t="s">
        <v>3272</v>
      </c>
      <c r="C1084" s="6" t="s">
        <v>1777</v>
      </c>
      <c r="D1084" s="18">
        <v>2.0</v>
      </c>
      <c r="E1084" s="18">
        <v>29.88</v>
      </c>
      <c r="F1084" s="18">
        <v>59.76</v>
      </c>
    </row>
    <row r="1085">
      <c r="A1085" s="6" t="s">
        <v>4907</v>
      </c>
      <c r="B1085" s="6" t="s">
        <v>3278</v>
      </c>
      <c r="C1085" s="6" t="s">
        <v>1510</v>
      </c>
      <c r="D1085" s="18">
        <v>1.0</v>
      </c>
      <c r="E1085" s="18">
        <v>11706.44</v>
      </c>
      <c r="F1085" s="18">
        <v>11706.44</v>
      </c>
    </row>
    <row r="1086">
      <c r="A1086" s="6" t="s">
        <v>4908</v>
      </c>
      <c r="B1086" s="6" t="s">
        <v>3283</v>
      </c>
      <c r="C1086" s="6" t="s">
        <v>1145</v>
      </c>
      <c r="D1086" s="18">
        <v>1.0</v>
      </c>
      <c r="E1086" s="18">
        <v>1721.55</v>
      </c>
      <c r="F1086" s="18">
        <v>1721.55</v>
      </c>
    </row>
    <row r="1087">
      <c r="A1087" s="6" t="s">
        <v>4910</v>
      </c>
      <c r="B1087" s="6" t="s">
        <v>3288</v>
      </c>
      <c r="C1087" s="6" t="s">
        <v>1510</v>
      </c>
      <c r="D1087" s="18">
        <v>1.0</v>
      </c>
      <c r="E1087" s="18">
        <v>10595.51</v>
      </c>
      <c r="F1087" s="18">
        <v>10595.51</v>
      </c>
    </row>
    <row r="1088">
      <c r="A1088" s="6" t="s">
        <v>4912</v>
      </c>
      <c r="B1088" s="6" t="s">
        <v>3294</v>
      </c>
      <c r="C1088" s="6" t="s">
        <v>1239</v>
      </c>
      <c r="D1088" s="18">
        <v>1.0</v>
      </c>
      <c r="E1088" s="18">
        <v>1573.6</v>
      </c>
      <c r="F1088" s="18">
        <v>1573.6</v>
      </c>
    </row>
    <row r="1089">
      <c r="A1089" s="6" t="s">
        <v>4914</v>
      </c>
      <c r="B1089" s="6" t="s">
        <v>3297</v>
      </c>
      <c r="C1089" s="6" t="s">
        <v>1239</v>
      </c>
      <c r="D1089" s="18">
        <v>1.0</v>
      </c>
      <c r="E1089" s="18">
        <v>1562.76</v>
      </c>
      <c r="F1089" s="18">
        <v>1562.76</v>
      </c>
    </row>
    <row r="1090">
      <c r="A1090" s="6" t="s">
        <v>4915</v>
      </c>
      <c r="B1090" s="6" t="s">
        <v>3299</v>
      </c>
      <c r="C1090" s="6" t="s">
        <v>1239</v>
      </c>
      <c r="D1090" s="18">
        <v>1.0</v>
      </c>
      <c r="E1090" s="18">
        <v>2097.49</v>
      </c>
      <c r="F1090" s="18">
        <v>2097.49</v>
      </c>
    </row>
    <row r="1091">
      <c r="A1091" s="6" t="s">
        <v>4916</v>
      </c>
      <c r="B1091" s="6" t="s">
        <v>3302</v>
      </c>
      <c r="C1091" s="6" t="s">
        <v>1239</v>
      </c>
      <c r="D1091" s="18">
        <v>1.0</v>
      </c>
      <c r="E1091" s="18">
        <v>2529.06</v>
      </c>
      <c r="F1091" s="18">
        <v>2529.06</v>
      </c>
    </row>
    <row r="1092">
      <c r="A1092" s="6" t="s">
        <v>4918</v>
      </c>
      <c r="B1092" s="6" t="s">
        <v>3304</v>
      </c>
      <c r="C1092" s="6" t="s">
        <v>1239</v>
      </c>
      <c r="D1092" s="18">
        <v>1.0</v>
      </c>
      <c r="E1092" s="18">
        <v>1226.93</v>
      </c>
      <c r="F1092" s="18">
        <v>1226.93</v>
      </c>
    </row>
    <row r="1093">
      <c r="A1093" s="6" t="s">
        <v>4920</v>
      </c>
      <c r="B1093" s="6" t="s">
        <v>3307</v>
      </c>
      <c r="C1093" s="6" t="s">
        <v>1239</v>
      </c>
      <c r="D1093" s="18">
        <v>1.0</v>
      </c>
      <c r="E1093" s="18">
        <v>1154.33</v>
      </c>
      <c r="F1093" s="18">
        <v>1154.33</v>
      </c>
    </row>
    <row r="1094">
      <c r="A1094" s="6" t="s">
        <v>4922</v>
      </c>
      <c r="B1094" s="6" t="s">
        <v>3309</v>
      </c>
      <c r="C1094" s="6" t="s">
        <v>1517</v>
      </c>
      <c r="D1094" s="18">
        <v>1.0</v>
      </c>
      <c r="E1094" s="18">
        <v>6145.73</v>
      </c>
      <c r="F1094" s="18">
        <v>6145.73</v>
      </c>
    </row>
    <row r="1095">
      <c r="A1095" s="6" t="s">
        <v>4923</v>
      </c>
      <c r="B1095" s="6" t="s">
        <v>3314</v>
      </c>
      <c r="C1095" s="6" t="s">
        <v>335</v>
      </c>
      <c r="D1095" s="18">
        <v>1.0</v>
      </c>
      <c r="E1095" s="18">
        <v>44.11</v>
      </c>
      <c r="F1095" s="18">
        <v>44.11</v>
      </c>
    </row>
    <row r="1096">
      <c r="A1096" s="6" t="s">
        <v>4924</v>
      </c>
      <c r="B1096" s="6" t="s">
        <v>3314</v>
      </c>
      <c r="C1096" s="6" t="s">
        <v>1777</v>
      </c>
      <c r="D1096" s="18">
        <v>1.0</v>
      </c>
      <c r="E1096" s="18">
        <v>44.11</v>
      </c>
      <c r="F1096" s="18">
        <v>44.11</v>
      </c>
    </row>
    <row r="1097">
      <c r="A1097" s="6" t="s">
        <v>4926</v>
      </c>
      <c r="B1097" s="6" t="s">
        <v>3318</v>
      </c>
      <c r="C1097" s="6" t="s">
        <v>1074</v>
      </c>
      <c r="D1097" s="18">
        <v>1.0</v>
      </c>
      <c r="E1097" s="18">
        <v>158.0</v>
      </c>
      <c r="F1097" s="18">
        <v>158.0</v>
      </c>
    </row>
    <row r="1098">
      <c r="A1098" s="6" t="s">
        <v>4928</v>
      </c>
      <c r="B1098" s="6" t="s">
        <v>3318</v>
      </c>
      <c r="C1098" s="6" t="s">
        <v>1075</v>
      </c>
      <c r="D1098" s="18">
        <v>2.0</v>
      </c>
      <c r="E1098" s="18">
        <v>19.75</v>
      </c>
      <c r="F1098" s="18">
        <v>39.5</v>
      </c>
    </row>
    <row r="1099">
      <c r="A1099" s="6" t="s">
        <v>4930</v>
      </c>
      <c r="B1099" s="6" t="s">
        <v>3322</v>
      </c>
      <c r="C1099" s="6" t="s">
        <v>159</v>
      </c>
      <c r="D1099" s="18">
        <v>1.0</v>
      </c>
      <c r="E1099" s="18">
        <v>260.0</v>
      </c>
      <c r="F1099" s="18">
        <v>260.0</v>
      </c>
    </row>
    <row r="1100">
      <c r="A1100" s="6" t="s">
        <v>4931</v>
      </c>
      <c r="B1100" s="6" t="s">
        <v>3322</v>
      </c>
      <c r="C1100" s="6" t="s">
        <v>152</v>
      </c>
      <c r="D1100" s="18">
        <v>1.0</v>
      </c>
      <c r="E1100" s="18">
        <v>5.5</v>
      </c>
      <c r="F1100" s="18">
        <v>5.5</v>
      </c>
    </row>
    <row r="1101">
      <c r="A1101" s="6" t="s">
        <v>4933</v>
      </c>
      <c r="B1101" s="6" t="s">
        <v>3322</v>
      </c>
      <c r="C1101" s="6" t="s">
        <v>226</v>
      </c>
      <c r="D1101" s="18">
        <v>10.0</v>
      </c>
      <c r="E1101" s="18">
        <v>9.5</v>
      </c>
      <c r="F1101" s="18">
        <v>95.0</v>
      </c>
    </row>
    <row r="1102">
      <c r="A1102" s="6" t="s">
        <v>4934</v>
      </c>
      <c r="B1102" s="6" t="s">
        <v>3327</v>
      </c>
      <c r="C1102" s="6" t="s">
        <v>1195</v>
      </c>
      <c r="D1102" s="18">
        <v>3.0</v>
      </c>
      <c r="E1102" s="18">
        <v>23.0</v>
      </c>
      <c r="F1102" s="18">
        <v>69.0</v>
      </c>
    </row>
    <row r="1103">
      <c r="A1103" s="6" t="s">
        <v>4936</v>
      </c>
      <c r="B1103" s="6" t="s">
        <v>3327</v>
      </c>
      <c r="C1103" s="6" t="s">
        <v>1197</v>
      </c>
      <c r="D1103" s="18">
        <v>4.0</v>
      </c>
      <c r="E1103" s="18">
        <v>21.0</v>
      </c>
      <c r="F1103" s="18">
        <v>84.0</v>
      </c>
    </row>
    <row r="1104">
      <c r="A1104" s="6" t="s">
        <v>4939</v>
      </c>
      <c r="B1104" s="6" t="s">
        <v>3327</v>
      </c>
      <c r="C1104" s="6" t="s">
        <v>1041</v>
      </c>
      <c r="D1104" s="18">
        <v>1.0</v>
      </c>
      <c r="E1104" s="18">
        <v>23.0</v>
      </c>
      <c r="F1104" s="18">
        <v>23.0</v>
      </c>
    </row>
    <row r="1105">
      <c r="A1105" s="6" t="s">
        <v>4941</v>
      </c>
      <c r="B1105" s="6" t="s">
        <v>3327</v>
      </c>
      <c r="C1105" s="6" t="s">
        <v>1046</v>
      </c>
      <c r="D1105" s="18">
        <v>1.0</v>
      </c>
      <c r="E1105" s="18">
        <v>23.0</v>
      </c>
      <c r="F1105" s="18">
        <v>23.0</v>
      </c>
    </row>
    <row r="1106">
      <c r="A1106" s="6" t="s">
        <v>4942</v>
      </c>
      <c r="B1106" s="6" t="s">
        <v>3332</v>
      </c>
      <c r="C1106" s="6" t="s">
        <v>3833</v>
      </c>
      <c r="D1106" s="18">
        <v>1.0</v>
      </c>
      <c r="E1106" s="18">
        <v>19.04</v>
      </c>
      <c r="F1106" s="18">
        <v>19.04</v>
      </c>
    </row>
    <row r="1107">
      <c r="A1107" s="6" t="s">
        <v>4943</v>
      </c>
      <c r="B1107" s="6" t="s">
        <v>3335</v>
      </c>
      <c r="C1107" s="6" t="s">
        <v>3833</v>
      </c>
      <c r="D1107" s="18">
        <v>1.0</v>
      </c>
      <c r="E1107" s="18">
        <v>1853.66</v>
      </c>
      <c r="F1107" s="18">
        <v>1853.66</v>
      </c>
    </row>
    <row r="1108">
      <c r="A1108" s="6" t="s">
        <v>4945</v>
      </c>
      <c r="B1108" s="6" t="s">
        <v>3339</v>
      </c>
      <c r="C1108" s="6" t="s">
        <v>3833</v>
      </c>
      <c r="D1108" s="18">
        <v>1.0</v>
      </c>
      <c r="E1108" s="18">
        <v>6.36</v>
      </c>
      <c r="F1108" s="18">
        <v>6.36</v>
      </c>
    </row>
    <row r="1109">
      <c r="A1109" s="6" t="s">
        <v>4946</v>
      </c>
      <c r="B1109" s="6" t="s">
        <v>3343</v>
      </c>
      <c r="C1109" s="6" t="s">
        <v>3833</v>
      </c>
      <c r="D1109" s="18">
        <v>1.0</v>
      </c>
      <c r="E1109" s="18">
        <v>2.14</v>
      </c>
      <c r="F1109" s="18">
        <v>2.14</v>
      </c>
    </row>
    <row r="1110">
      <c r="A1110" s="6" t="s">
        <v>4948</v>
      </c>
      <c r="B1110" s="6" t="s">
        <v>3346</v>
      </c>
      <c r="C1110" s="6" t="s">
        <v>1168</v>
      </c>
      <c r="D1110" s="18">
        <v>1.0</v>
      </c>
      <c r="E1110" s="18">
        <v>375.0</v>
      </c>
      <c r="F1110" s="18">
        <v>375.0</v>
      </c>
    </row>
    <row r="1111">
      <c r="A1111" s="6" t="s">
        <v>4949</v>
      </c>
      <c r="B1111" s="6" t="s">
        <v>3348</v>
      </c>
      <c r="C1111" s="6" t="s">
        <v>1517</v>
      </c>
      <c r="D1111" s="18">
        <v>1.0</v>
      </c>
      <c r="E1111" s="18">
        <v>7638.23</v>
      </c>
      <c r="F1111" s="18">
        <v>7638.23</v>
      </c>
    </row>
    <row r="1112">
      <c r="A1112" s="6" t="s">
        <v>4950</v>
      </c>
      <c r="B1112" s="6" t="s">
        <v>3353</v>
      </c>
      <c r="C1112" s="6" t="s">
        <v>1854</v>
      </c>
      <c r="D1112" s="18">
        <v>1.0</v>
      </c>
      <c r="E1112" s="18">
        <v>550.0</v>
      </c>
      <c r="F1112" s="18">
        <v>550.0</v>
      </c>
    </row>
    <row r="1113">
      <c r="A1113" s="6" t="s">
        <v>4952</v>
      </c>
      <c r="B1113" s="18">
        <v>4.7954973E7</v>
      </c>
      <c r="C1113" s="6" t="s">
        <v>1404</v>
      </c>
      <c r="D1113" s="18">
        <v>1.0</v>
      </c>
      <c r="E1113" s="18">
        <v>62.0</v>
      </c>
      <c r="F1113" s="18">
        <v>62.0</v>
      </c>
    </row>
    <row r="1114">
      <c r="A1114" s="6" t="s">
        <v>4953</v>
      </c>
      <c r="B1114" s="18">
        <v>4.7954973E7</v>
      </c>
      <c r="C1114" s="6" t="s">
        <v>1074</v>
      </c>
      <c r="D1114" s="18">
        <v>5.0</v>
      </c>
      <c r="E1114" s="18">
        <v>38.0</v>
      </c>
      <c r="F1114" s="18">
        <v>190.0</v>
      </c>
    </row>
    <row r="1115">
      <c r="A1115" s="6" t="s">
        <v>4955</v>
      </c>
      <c r="B1115" s="18">
        <v>4.7954973E7</v>
      </c>
      <c r="C1115" s="6" t="s">
        <v>1079</v>
      </c>
      <c r="D1115" s="18">
        <v>15.0</v>
      </c>
      <c r="E1115" s="18">
        <v>17.0</v>
      </c>
      <c r="F1115" s="18">
        <v>255.0</v>
      </c>
    </row>
    <row r="1116">
      <c r="A1116" s="6" t="s">
        <v>4956</v>
      </c>
      <c r="B1116" s="18">
        <v>4.7954973E7</v>
      </c>
      <c r="C1116" s="6" t="s">
        <v>1080</v>
      </c>
      <c r="D1116" s="18">
        <v>10.0</v>
      </c>
      <c r="E1116" s="18">
        <v>17.0</v>
      </c>
      <c r="F1116" s="18">
        <v>170.0</v>
      </c>
    </row>
    <row r="1117">
      <c r="A1117" s="6" t="s">
        <v>4957</v>
      </c>
      <c r="B1117" s="18">
        <v>4.7954973E7</v>
      </c>
      <c r="C1117" s="6" t="s">
        <v>1075</v>
      </c>
      <c r="D1117" s="18">
        <v>1.0</v>
      </c>
      <c r="E1117" s="18">
        <v>60.0</v>
      </c>
      <c r="F1117" s="18">
        <v>60.0</v>
      </c>
    </row>
    <row r="1118">
      <c r="A1118" s="6" t="s">
        <v>4959</v>
      </c>
      <c r="B1118" s="6" t="s">
        <v>3362</v>
      </c>
      <c r="C1118" s="6" t="s">
        <v>159</v>
      </c>
      <c r="D1118" s="18">
        <v>20.0</v>
      </c>
      <c r="E1118" s="18">
        <v>13.0</v>
      </c>
      <c r="F1118" s="18">
        <v>260.0</v>
      </c>
    </row>
    <row r="1119">
      <c r="A1119" s="6" t="s">
        <v>4960</v>
      </c>
      <c r="B1119" s="6" t="s">
        <v>3362</v>
      </c>
      <c r="C1119" s="6" t="s">
        <v>155</v>
      </c>
      <c r="D1119" s="18">
        <v>10.0</v>
      </c>
      <c r="E1119" s="18">
        <v>7.5</v>
      </c>
      <c r="F1119" s="18">
        <v>75.0</v>
      </c>
    </row>
    <row r="1120">
      <c r="A1120" s="6" t="s">
        <v>4961</v>
      </c>
      <c r="B1120" s="6" t="s">
        <v>3362</v>
      </c>
      <c r="C1120" s="6" t="s">
        <v>152</v>
      </c>
      <c r="D1120" s="18">
        <v>5.0</v>
      </c>
      <c r="E1120" s="18">
        <v>4.0</v>
      </c>
      <c r="F1120" s="18">
        <v>20.0</v>
      </c>
    </row>
    <row r="1121">
      <c r="A1121" s="6" t="s">
        <v>4962</v>
      </c>
      <c r="B1121" s="6" t="s">
        <v>3362</v>
      </c>
      <c r="C1121" s="6" t="s">
        <v>226</v>
      </c>
      <c r="D1121" s="18">
        <v>15.0</v>
      </c>
      <c r="E1121" s="18">
        <v>8.5</v>
      </c>
      <c r="F1121" s="18">
        <v>127.5</v>
      </c>
    </row>
    <row r="1122">
      <c r="A1122" s="6" t="s">
        <v>4963</v>
      </c>
      <c r="B1122" s="6" t="s">
        <v>3367</v>
      </c>
      <c r="C1122" s="18">
        <v>1.2539885E7</v>
      </c>
      <c r="D1122" s="18">
        <v>1.0</v>
      </c>
      <c r="E1122" s="18">
        <v>240.0</v>
      </c>
      <c r="F1122" s="18">
        <v>240.0</v>
      </c>
    </row>
    <row r="1123">
      <c r="A1123" s="6" t="s">
        <v>4965</v>
      </c>
      <c r="B1123" s="6" t="s">
        <v>3371</v>
      </c>
      <c r="C1123" s="6" t="s">
        <v>3496</v>
      </c>
      <c r="D1123" s="18">
        <v>1.0</v>
      </c>
      <c r="E1123" s="18">
        <v>211.0</v>
      </c>
      <c r="F1123" s="18">
        <v>211.0</v>
      </c>
    </row>
    <row r="1124">
      <c r="A1124" s="6" t="s">
        <v>4966</v>
      </c>
      <c r="B1124" s="6" t="s">
        <v>3377</v>
      </c>
      <c r="C1124" s="18">
        <v>1.2539885E7</v>
      </c>
      <c r="D1124" s="18">
        <v>1.0</v>
      </c>
      <c r="E1124" s="18">
        <v>210.0</v>
      </c>
      <c r="F1124" s="18">
        <v>210.0</v>
      </c>
    </row>
    <row r="1125">
      <c r="A1125" s="6" t="s">
        <v>4967</v>
      </c>
      <c r="B1125" s="6" t="s">
        <v>3382</v>
      </c>
      <c r="C1125" s="6" t="s">
        <v>3889</v>
      </c>
      <c r="D1125" s="18">
        <v>1.0</v>
      </c>
      <c r="E1125" s="18">
        <v>1555.0</v>
      </c>
      <c r="F1125" s="18">
        <v>1555.0</v>
      </c>
    </row>
    <row r="1126">
      <c r="A1126" s="6" t="s">
        <v>4968</v>
      </c>
      <c r="B1126" s="6" t="s">
        <v>3385</v>
      </c>
      <c r="C1126" s="6" t="s">
        <v>1168</v>
      </c>
      <c r="D1126" s="18">
        <v>1.0</v>
      </c>
      <c r="E1126" s="18">
        <v>500.0</v>
      </c>
      <c r="F1126" s="18">
        <v>500.0</v>
      </c>
    </row>
    <row r="1127">
      <c r="A1127" s="6" t="s">
        <v>4970</v>
      </c>
      <c r="B1127" s="6" t="s">
        <v>3389</v>
      </c>
      <c r="C1127" s="6" t="s">
        <v>1145</v>
      </c>
      <c r="D1127" s="18">
        <v>1.0</v>
      </c>
      <c r="E1127" s="18">
        <v>1959.6</v>
      </c>
      <c r="F1127" s="18">
        <v>1959.6</v>
      </c>
    </row>
    <row r="1128">
      <c r="A1128" s="6" t="s">
        <v>4971</v>
      </c>
      <c r="B1128" s="6" t="s">
        <v>3394</v>
      </c>
      <c r="C1128" s="6" t="s">
        <v>159</v>
      </c>
      <c r="D1128" s="18">
        <v>1.0</v>
      </c>
      <c r="E1128" s="18">
        <v>162.0</v>
      </c>
      <c r="F1128" s="18">
        <v>162.0</v>
      </c>
    </row>
    <row r="1129">
      <c r="A1129" s="6" t="s">
        <v>4973</v>
      </c>
      <c r="B1129" s="6" t="s">
        <v>3394</v>
      </c>
      <c r="C1129" s="6" t="s">
        <v>152</v>
      </c>
      <c r="D1129" s="18">
        <v>1.0</v>
      </c>
      <c r="E1129" s="18">
        <v>13.1</v>
      </c>
      <c r="F1129" s="18">
        <v>13.1</v>
      </c>
    </row>
    <row r="1130">
      <c r="A1130" s="6" t="s">
        <v>4974</v>
      </c>
      <c r="B1130" s="6" t="s">
        <v>3399</v>
      </c>
      <c r="C1130" s="6" t="s">
        <v>4831</v>
      </c>
      <c r="D1130" s="18">
        <v>1.0</v>
      </c>
      <c r="E1130" s="18">
        <v>250.0</v>
      </c>
      <c r="F1130" s="18">
        <v>250.0</v>
      </c>
    </row>
    <row r="1131">
      <c r="A1131" s="6" t="s">
        <v>4975</v>
      </c>
      <c r="B1131" s="6" t="s">
        <v>3402</v>
      </c>
      <c r="C1131" s="6" t="s">
        <v>238</v>
      </c>
      <c r="D1131" s="18">
        <v>12.0</v>
      </c>
      <c r="E1131" s="18">
        <v>5.9</v>
      </c>
      <c r="F1131" s="18">
        <v>70.80000000000001</v>
      </c>
    </row>
    <row r="1132">
      <c r="A1132" s="6" t="s">
        <v>4977</v>
      </c>
      <c r="B1132" s="6" t="s">
        <v>3408</v>
      </c>
      <c r="C1132" s="6" t="s">
        <v>1239</v>
      </c>
      <c r="D1132" s="18">
        <v>1.0</v>
      </c>
      <c r="E1132" s="18">
        <v>925.6</v>
      </c>
      <c r="F1132" s="18">
        <v>925.6</v>
      </c>
    </row>
    <row r="1133">
      <c r="A1133" s="6" t="s">
        <v>4978</v>
      </c>
      <c r="B1133" s="6" t="s">
        <v>3411</v>
      </c>
      <c r="C1133" s="6" t="s">
        <v>3218</v>
      </c>
      <c r="D1133" s="18">
        <v>1.0</v>
      </c>
      <c r="E1133" s="18">
        <v>353.77</v>
      </c>
      <c r="F1133" s="18">
        <v>353.77</v>
      </c>
    </row>
    <row r="1134">
      <c r="A1134" s="6" t="s">
        <v>4980</v>
      </c>
      <c r="B1134" s="6" t="s">
        <v>3413</v>
      </c>
      <c r="C1134" s="18">
        <v>1.2539885E7</v>
      </c>
      <c r="D1134" s="18">
        <v>1.0</v>
      </c>
      <c r="E1134" s="18">
        <v>400.0</v>
      </c>
      <c r="F1134" s="18">
        <v>400.0</v>
      </c>
    </row>
    <row r="1135">
      <c r="A1135" s="6" t="s">
        <v>4981</v>
      </c>
      <c r="B1135" s="6" t="s">
        <v>3418</v>
      </c>
      <c r="C1135" s="6" t="s">
        <v>159</v>
      </c>
      <c r="D1135" s="18">
        <v>10.0</v>
      </c>
      <c r="E1135" s="18">
        <v>13.5</v>
      </c>
      <c r="F1135" s="18">
        <v>135.0</v>
      </c>
    </row>
    <row r="1136">
      <c r="A1136" s="6" t="s">
        <v>4983</v>
      </c>
      <c r="B1136" s="6" t="s">
        <v>3418</v>
      </c>
      <c r="C1136" s="6" t="s">
        <v>155</v>
      </c>
      <c r="D1136" s="18">
        <v>1.0</v>
      </c>
      <c r="E1136" s="18">
        <v>39.73</v>
      </c>
      <c r="F1136" s="18">
        <v>39.73</v>
      </c>
    </row>
    <row r="1137">
      <c r="A1137" s="6" t="s">
        <v>4985</v>
      </c>
      <c r="B1137" s="6" t="s">
        <v>3418</v>
      </c>
      <c r="C1137" s="6" t="s">
        <v>152</v>
      </c>
      <c r="D1137" s="18">
        <v>1.0</v>
      </c>
      <c r="E1137" s="18">
        <v>5.22</v>
      </c>
      <c r="F1137" s="18">
        <v>5.22</v>
      </c>
    </row>
    <row r="1138">
      <c r="A1138" s="6" t="s">
        <v>4987</v>
      </c>
      <c r="B1138" s="6" t="s">
        <v>3422</v>
      </c>
      <c r="C1138" s="6" t="s">
        <v>230</v>
      </c>
      <c r="D1138" s="18">
        <v>1.0</v>
      </c>
      <c r="E1138" s="18">
        <v>161.0</v>
      </c>
      <c r="F1138" s="18">
        <v>161.0</v>
      </c>
    </row>
    <row r="1139">
      <c r="A1139" s="6" t="s">
        <v>4988</v>
      </c>
      <c r="B1139" s="6" t="s">
        <v>3426</v>
      </c>
      <c r="C1139" s="6" t="s">
        <v>4874</v>
      </c>
      <c r="D1139" s="18">
        <v>1.0</v>
      </c>
      <c r="E1139" s="18">
        <v>1401.15</v>
      </c>
      <c r="F1139" s="18">
        <v>1401.15</v>
      </c>
    </row>
    <row r="1140">
      <c r="A1140" s="6" t="s">
        <v>4990</v>
      </c>
      <c r="B1140" s="6" t="s">
        <v>3432</v>
      </c>
      <c r="C1140" s="6" t="s">
        <v>159</v>
      </c>
      <c r="D1140" s="18">
        <v>1.0</v>
      </c>
      <c r="E1140" s="18">
        <v>99.0</v>
      </c>
      <c r="F1140" s="18">
        <v>99.0</v>
      </c>
    </row>
    <row r="1141">
      <c r="A1141" s="6" t="s">
        <v>4992</v>
      </c>
      <c r="B1141" s="6" t="s">
        <v>3432</v>
      </c>
      <c r="C1141" s="18">
        <v>1.2539885E7</v>
      </c>
      <c r="D1141" s="18">
        <v>1.0</v>
      </c>
      <c r="E1141" s="18">
        <v>120.0</v>
      </c>
      <c r="F1141" s="18">
        <v>120.0</v>
      </c>
    </row>
    <row r="1142">
      <c r="A1142" s="6" t="s">
        <v>4994</v>
      </c>
      <c r="B1142" s="6" t="s">
        <v>3432</v>
      </c>
      <c r="C1142" s="6" t="s">
        <v>155</v>
      </c>
      <c r="D1142" s="18">
        <v>1.0</v>
      </c>
      <c r="E1142" s="18">
        <v>60.75</v>
      </c>
      <c r="F1142" s="18">
        <v>60.75</v>
      </c>
    </row>
    <row r="1143">
      <c r="A1143" s="6" t="s">
        <v>4997</v>
      </c>
      <c r="B1143" s="6" t="s">
        <v>3432</v>
      </c>
      <c r="C1143" s="6" t="s">
        <v>152</v>
      </c>
      <c r="D1143" s="18">
        <v>1.0</v>
      </c>
      <c r="E1143" s="18">
        <v>14.02</v>
      </c>
      <c r="F1143" s="18">
        <v>14.02</v>
      </c>
    </row>
    <row r="1144">
      <c r="A1144" s="6" t="s">
        <v>4998</v>
      </c>
      <c r="B1144" s="6" t="s">
        <v>3432</v>
      </c>
      <c r="C1144" s="6" t="s">
        <v>226</v>
      </c>
      <c r="D1144" s="18">
        <v>1.0</v>
      </c>
      <c r="E1144" s="18">
        <v>74.4</v>
      </c>
      <c r="F1144" s="18">
        <v>74.4</v>
      </c>
    </row>
    <row r="1145">
      <c r="A1145" s="6" t="s">
        <v>5000</v>
      </c>
      <c r="B1145" s="6" t="s">
        <v>3436</v>
      </c>
      <c r="C1145" s="6" t="s">
        <v>1047</v>
      </c>
      <c r="D1145" s="18">
        <v>1.0</v>
      </c>
      <c r="E1145" s="18">
        <v>110.0</v>
      </c>
      <c r="F1145" s="18">
        <v>110.0</v>
      </c>
    </row>
    <row r="1146">
      <c r="A1146" s="6" t="s">
        <v>5001</v>
      </c>
      <c r="B1146" s="6" t="s">
        <v>3442</v>
      </c>
      <c r="C1146" s="6" t="s">
        <v>1757</v>
      </c>
      <c r="D1146" s="18">
        <v>1.0</v>
      </c>
      <c r="E1146" s="18">
        <v>50.0</v>
      </c>
      <c r="F1146" s="18">
        <v>50.0</v>
      </c>
    </row>
    <row r="1147">
      <c r="A1147" s="6" t="s">
        <v>5002</v>
      </c>
      <c r="B1147" s="6" t="s">
        <v>3448</v>
      </c>
      <c r="C1147" s="6" t="s">
        <v>159</v>
      </c>
      <c r="D1147" s="18">
        <v>1.0</v>
      </c>
      <c r="E1147" s="18">
        <v>99.0</v>
      </c>
      <c r="F1147" s="18">
        <v>99.0</v>
      </c>
    </row>
    <row r="1148">
      <c r="A1148" s="6" t="s">
        <v>5003</v>
      </c>
      <c r="B1148" s="6" t="s">
        <v>3448</v>
      </c>
      <c r="C1148" s="6" t="s">
        <v>226</v>
      </c>
      <c r="D1148" s="18">
        <v>1.0</v>
      </c>
      <c r="E1148" s="18">
        <v>76.0</v>
      </c>
      <c r="F1148" s="18">
        <v>76.0</v>
      </c>
    </row>
    <row r="1149">
      <c r="A1149" s="6" t="s">
        <v>5005</v>
      </c>
      <c r="B1149" s="6" t="s">
        <v>3452</v>
      </c>
      <c r="C1149" s="18">
        <v>1.2539885E7</v>
      </c>
      <c r="D1149" s="18">
        <v>1.0</v>
      </c>
      <c r="E1149" s="18">
        <v>120.0</v>
      </c>
      <c r="F1149" s="18">
        <v>120.0</v>
      </c>
    </row>
    <row r="1150">
      <c r="A1150" s="6" t="s">
        <v>5007</v>
      </c>
      <c r="B1150" s="6" t="s">
        <v>3457</v>
      </c>
      <c r="C1150" s="6" t="s">
        <v>335</v>
      </c>
      <c r="D1150" s="18">
        <v>1.0</v>
      </c>
      <c r="E1150" s="18">
        <v>243.24</v>
      </c>
      <c r="F1150" s="18">
        <v>243.24</v>
      </c>
    </row>
    <row r="1151">
      <c r="A1151" s="6" t="s">
        <v>5009</v>
      </c>
      <c r="B1151" s="6" t="s">
        <v>3461</v>
      </c>
      <c r="C1151" s="6" t="s">
        <v>1510</v>
      </c>
      <c r="D1151" s="18">
        <v>1.0</v>
      </c>
      <c r="E1151" s="18">
        <v>3145.0</v>
      </c>
      <c r="F1151" s="18">
        <v>3145.0</v>
      </c>
    </row>
    <row r="1152">
      <c r="A1152" s="6" t="s">
        <v>5010</v>
      </c>
      <c r="B1152" s="6" t="s">
        <v>3465</v>
      </c>
      <c r="C1152" s="6" t="s">
        <v>4937</v>
      </c>
      <c r="D1152" s="18">
        <v>1.0</v>
      </c>
      <c r="E1152" s="18">
        <v>20.0</v>
      </c>
      <c r="F1152" s="18">
        <v>20.0</v>
      </c>
    </row>
    <row r="1153">
      <c r="A1153" s="6" t="s">
        <v>5013</v>
      </c>
      <c r="B1153" s="6" t="s">
        <v>3468</v>
      </c>
      <c r="C1153" s="6" t="s">
        <v>1073</v>
      </c>
      <c r="D1153" s="18">
        <v>1.0</v>
      </c>
      <c r="E1153" s="18">
        <v>19.25</v>
      </c>
      <c r="F1153" s="18">
        <v>19.25</v>
      </c>
    </row>
    <row r="1154">
      <c r="A1154" s="6" t="s">
        <v>5014</v>
      </c>
      <c r="B1154" s="6" t="s">
        <v>3468</v>
      </c>
      <c r="C1154" s="18">
        <v>7.5375964E7</v>
      </c>
      <c r="D1154" s="18">
        <v>1.0</v>
      </c>
      <c r="E1154" s="18">
        <v>17.0</v>
      </c>
      <c r="F1154" s="18">
        <v>17.0</v>
      </c>
    </row>
    <row r="1155">
      <c r="A1155" s="6" t="s">
        <v>5016</v>
      </c>
      <c r="B1155" s="6" t="s">
        <v>3468</v>
      </c>
      <c r="C1155" s="6" t="s">
        <v>1404</v>
      </c>
      <c r="D1155" s="18">
        <v>1.0</v>
      </c>
      <c r="E1155" s="18">
        <v>17.0</v>
      </c>
      <c r="F1155" s="18">
        <v>17.0</v>
      </c>
    </row>
    <row r="1156">
      <c r="A1156" s="6" t="s">
        <v>5017</v>
      </c>
      <c r="B1156" s="6" t="s">
        <v>3468</v>
      </c>
      <c r="C1156" s="6" t="s">
        <v>1074</v>
      </c>
      <c r="D1156" s="18">
        <v>1.0</v>
      </c>
      <c r="E1156" s="18">
        <v>185.0</v>
      </c>
      <c r="F1156" s="18">
        <v>185.0</v>
      </c>
    </row>
    <row r="1157">
      <c r="A1157" s="6" t="s">
        <v>5018</v>
      </c>
      <c r="B1157" s="6" t="s">
        <v>3468</v>
      </c>
      <c r="C1157" s="6" t="s">
        <v>1075</v>
      </c>
      <c r="D1157" s="18">
        <v>1.0</v>
      </c>
      <c r="E1157" s="18">
        <v>38.0</v>
      </c>
      <c r="F1157" s="18">
        <v>38.0</v>
      </c>
    </row>
    <row r="1158">
      <c r="A1158" s="6" t="s">
        <v>5021</v>
      </c>
      <c r="B1158" s="6" t="s">
        <v>3468</v>
      </c>
      <c r="C1158" s="6" t="s">
        <v>1077</v>
      </c>
      <c r="D1158" s="18">
        <v>2.0</v>
      </c>
      <c r="E1158" s="18">
        <v>25.0</v>
      </c>
      <c r="F1158" s="18">
        <v>50.0</v>
      </c>
    </row>
    <row r="1159">
      <c r="A1159" s="6" t="s">
        <v>5022</v>
      </c>
      <c r="B1159" s="6" t="s">
        <v>3468</v>
      </c>
      <c r="C1159" s="6" t="s">
        <v>1079</v>
      </c>
      <c r="D1159" s="18">
        <v>25.0</v>
      </c>
      <c r="E1159" s="18">
        <v>17.5</v>
      </c>
      <c r="F1159" s="18">
        <v>437.5</v>
      </c>
    </row>
    <row r="1160">
      <c r="A1160" s="6" t="s">
        <v>5023</v>
      </c>
      <c r="B1160" s="6" t="s">
        <v>3468</v>
      </c>
      <c r="C1160" s="6" t="s">
        <v>1080</v>
      </c>
      <c r="D1160" s="18">
        <v>1.0</v>
      </c>
      <c r="E1160" s="18">
        <v>262.5</v>
      </c>
      <c r="F1160" s="18">
        <v>262.5</v>
      </c>
    </row>
    <row r="1161">
      <c r="A1161" s="6" t="s">
        <v>5025</v>
      </c>
      <c r="B1161" s="6" t="s">
        <v>3468</v>
      </c>
      <c r="C1161" s="6" t="s">
        <v>1081</v>
      </c>
      <c r="D1161" s="18">
        <v>1.0</v>
      </c>
      <c r="E1161" s="18">
        <v>138.0</v>
      </c>
      <c r="F1161" s="18">
        <v>138.0</v>
      </c>
    </row>
    <row r="1162">
      <c r="A1162" s="6" t="s">
        <v>5026</v>
      </c>
      <c r="B1162" s="6" t="s">
        <v>3468</v>
      </c>
      <c r="C1162" s="6" t="s">
        <v>1074</v>
      </c>
      <c r="D1162" s="18">
        <v>1.0</v>
      </c>
      <c r="E1162" s="18">
        <v>290.0</v>
      </c>
      <c r="F1162" s="18">
        <v>290.0</v>
      </c>
    </row>
    <row r="1163">
      <c r="A1163" s="6" t="s">
        <v>5028</v>
      </c>
      <c r="B1163" s="6" t="s">
        <v>3472</v>
      </c>
      <c r="C1163" s="18">
        <v>2.3273172E7</v>
      </c>
      <c r="D1163" s="18">
        <v>1.0</v>
      </c>
      <c r="E1163" s="18">
        <v>700.0</v>
      </c>
      <c r="F1163" s="18">
        <v>700.0</v>
      </c>
    </row>
    <row r="1164">
      <c r="A1164" s="6" t="s">
        <v>5029</v>
      </c>
      <c r="B1164" s="6" t="s">
        <v>3476</v>
      </c>
      <c r="C1164" s="6" t="s">
        <v>155</v>
      </c>
      <c r="D1164" s="18">
        <v>1.0</v>
      </c>
      <c r="E1164" s="18">
        <v>48.75</v>
      </c>
      <c r="F1164" s="18">
        <v>48.75</v>
      </c>
    </row>
    <row r="1165">
      <c r="A1165" s="6" t="s">
        <v>5030</v>
      </c>
      <c r="B1165" s="6" t="s">
        <v>3476</v>
      </c>
      <c r="C1165" s="6" t="s">
        <v>152</v>
      </c>
      <c r="D1165" s="18">
        <v>1.0</v>
      </c>
      <c r="E1165" s="18">
        <v>4.36</v>
      </c>
      <c r="F1165" s="18">
        <v>4.36</v>
      </c>
    </row>
    <row r="1166">
      <c r="A1166" s="6" t="s">
        <v>5032</v>
      </c>
      <c r="B1166" s="6" t="s">
        <v>3481</v>
      </c>
      <c r="C1166" s="6" t="s">
        <v>1168</v>
      </c>
      <c r="D1166" s="18">
        <v>1.0</v>
      </c>
      <c r="E1166" s="18">
        <v>400.0</v>
      </c>
      <c r="F1166" s="18">
        <v>400.0</v>
      </c>
    </row>
    <row r="1167">
      <c r="A1167" s="6" t="s">
        <v>5033</v>
      </c>
      <c r="B1167" s="6" t="s">
        <v>3483</v>
      </c>
      <c r="C1167" s="6" t="s">
        <v>159</v>
      </c>
      <c r="D1167" s="18">
        <v>15.0</v>
      </c>
      <c r="E1167" s="18">
        <v>11.5</v>
      </c>
      <c r="F1167" s="18">
        <v>172.5</v>
      </c>
    </row>
    <row r="1168">
      <c r="A1168" s="6" t="s">
        <v>5034</v>
      </c>
      <c r="B1168" s="6" t="s">
        <v>3483</v>
      </c>
      <c r="C1168" s="6" t="s">
        <v>155</v>
      </c>
      <c r="D1168" s="18">
        <v>1.0</v>
      </c>
      <c r="E1168" s="18">
        <v>31.85</v>
      </c>
      <c r="F1168" s="18">
        <v>31.85</v>
      </c>
    </row>
    <row r="1169">
      <c r="A1169" s="6" t="s">
        <v>5035</v>
      </c>
      <c r="B1169" s="6" t="s">
        <v>3483</v>
      </c>
      <c r="C1169" s="6" t="s">
        <v>152</v>
      </c>
      <c r="D1169" s="18">
        <v>1.0</v>
      </c>
      <c r="E1169" s="18">
        <v>6.51</v>
      </c>
      <c r="F1169" s="18">
        <v>6.51</v>
      </c>
    </row>
    <row r="1170">
      <c r="A1170" s="6" t="s">
        <v>5036</v>
      </c>
      <c r="B1170" s="6" t="s">
        <v>3483</v>
      </c>
      <c r="C1170" s="6" t="s">
        <v>226</v>
      </c>
      <c r="D1170" s="18">
        <v>10.0</v>
      </c>
      <c r="E1170" s="18">
        <v>8.5</v>
      </c>
      <c r="F1170" s="18">
        <v>85.0</v>
      </c>
    </row>
    <row r="1171">
      <c r="A1171" s="6" t="s">
        <v>5038</v>
      </c>
      <c r="B1171" s="6" t="s">
        <v>3488</v>
      </c>
      <c r="C1171" s="18">
        <v>1.2539885E7</v>
      </c>
      <c r="D1171" s="18">
        <v>1.0</v>
      </c>
      <c r="E1171" s="18">
        <v>150.0</v>
      </c>
      <c r="F1171" s="18">
        <v>150.0</v>
      </c>
    </row>
    <row r="1172">
      <c r="A1172" s="6" t="s">
        <v>5040</v>
      </c>
      <c r="B1172" s="6" t="s">
        <v>3492</v>
      </c>
      <c r="C1172" s="6" t="s">
        <v>305</v>
      </c>
      <c r="D1172" s="18">
        <v>1.0</v>
      </c>
      <c r="E1172" s="18">
        <v>88.27</v>
      </c>
      <c r="F1172" s="18">
        <v>88.27</v>
      </c>
    </row>
    <row r="1173">
      <c r="A1173" s="6" t="s">
        <v>5042</v>
      </c>
      <c r="B1173" s="6" t="s">
        <v>3498</v>
      </c>
      <c r="C1173" s="6" t="s">
        <v>159</v>
      </c>
      <c r="D1173" s="18">
        <v>1.0</v>
      </c>
      <c r="E1173" s="18">
        <v>119.0</v>
      </c>
      <c r="F1173" s="18">
        <v>119.0</v>
      </c>
    </row>
    <row r="1174">
      <c r="A1174" s="6" t="s">
        <v>5043</v>
      </c>
      <c r="B1174" s="6" t="s">
        <v>3498</v>
      </c>
      <c r="C1174" s="6" t="s">
        <v>155</v>
      </c>
      <c r="D1174" s="18">
        <v>1.0</v>
      </c>
      <c r="E1174" s="18">
        <v>44.0</v>
      </c>
      <c r="F1174" s="18">
        <v>44.0</v>
      </c>
    </row>
    <row r="1175">
      <c r="A1175" s="6" t="s">
        <v>5044</v>
      </c>
      <c r="B1175" s="6" t="s">
        <v>3498</v>
      </c>
      <c r="C1175" s="6" t="s">
        <v>152</v>
      </c>
      <c r="D1175" s="18">
        <v>1.0</v>
      </c>
      <c r="E1175" s="18">
        <v>9.12</v>
      </c>
      <c r="F1175" s="18">
        <v>9.12</v>
      </c>
    </row>
    <row r="1176">
      <c r="A1176" s="6" t="s">
        <v>5046</v>
      </c>
      <c r="B1176" s="6" t="s">
        <v>3498</v>
      </c>
      <c r="C1176" s="6" t="s">
        <v>226</v>
      </c>
      <c r="D1176" s="18">
        <v>1.0</v>
      </c>
      <c r="E1176" s="18">
        <v>127.5</v>
      </c>
      <c r="F1176" s="18">
        <v>127.5</v>
      </c>
    </row>
    <row r="1177">
      <c r="A1177" s="6" t="s">
        <v>5049</v>
      </c>
      <c r="B1177" s="6" t="s">
        <v>3503</v>
      </c>
      <c r="C1177" s="6" t="s">
        <v>305</v>
      </c>
      <c r="D1177" s="18">
        <v>1.0</v>
      </c>
      <c r="E1177" s="18">
        <v>12.51</v>
      </c>
      <c r="F1177" s="18">
        <v>12.51</v>
      </c>
    </row>
    <row r="1178">
      <c r="A1178" s="6" t="s">
        <v>5050</v>
      </c>
      <c r="B1178" s="6" t="s">
        <v>3508</v>
      </c>
      <c r="C1178" s="6" t="s">
        <v>3833</v>
      </c>
      <c r="D1178" s="18">
        <v>1.0</v>
      </c>
      <c r="E1178" s="18">
        <v>1978.31</v>
      </c>
      <c r="F1178" s="18">
        <v>1978.31</v>
      </c>
    </row>
    <row r="1179">
      <c r="A1179" s="6" t="s">
        <v>5052</v>
      </c>
      <c r="B1179" s="6" t="s">
        <v>3512</v>
      </c>
      <c r="C1179" s="6" t="s">
        <v>3833</v>
      </c>
      <c r="D1179" s="18">
        <v>1.0</v>
      </c>
      <c r="E1179" s="18">
        <v>2.14</v>
      </c>
      <c r="F1179" s="18">
        <v>2.14</v>
      </c>
    </row>
    <row r="1180">
      <c r="A1180" s="6" t="s">
        <v>5056</v>
      </c>
      <c r="B1180" s="6" t="s">
        <v>3515</v>
      </c>
      <c r="C1180" s="6" t="s">
        <v>5020</v>
      </c>
      <c r="D1180" s="18">
        <v>1.0</v>
      </c>
      <c r="E1180" s="18">
        <v>179.0</v>
      </c>
      <c r="F1180" s="18">
        <v>179.0</v>
      </c>
    </row>
    <row r="1181">
      <c r="A1181" s="6" t="s">
        <v>5058</v>
      </c>
      <c r="B1181" s="6" t="s">
        <v>3519</v>
      </c>
      <c r="C1181" s="18">
        <v>1.2539885E7</v>
      </c>
      <c r="D1181" s="18">
        <v>1.0</v>
      </c>
      <c r="E1181" s="18">
        <v>150.0</v>
      </c>
      <c r="F1181" s="18">
        <v>150.0</v>
      </c>
    </row>
    <row r="1182">
      <c r="A1182" s="6" t="s">
        <v>5059</v>
      </c>
      <c r="B1182" s="18">
        <v>1.2519604E7</v>
      </c>
      <c r="C1182" s="6" t="s">
        <v>1510</v>
      </c>
      <c r="D1182" s="18">
        <v>1.0</v>
      </c>
      <c r="E1182" s="18">
        <v>20854.09</v>
      </c>
      <c r="F1182" s="18">
        <v>20854.09</v>
      </c>
    </row>
    <row r="1183">
      <c r="A1183" s="6" t="s">
        <v>5061</v>
      </c>
      <c r="B1183" s="6" t="s">
        <v>3527</v>
      </c>
      <c r="C1183" s="6" t="s">
        <v>1517</v>
      </c>
      <c r="D1183" s="18">
        <v>1.0</v>
      </c>
      <c r="E1183" s="18">
        <v>10416.43</v>
      </c>
      <c r="F1183" s="18">
        <v>10416.43</v>
      </c>
    </row>
    <row r="1184">
      <c r="A1184" s="6" t="s">
        <v>5063</v>
      </c>
      <c r="B1184" s="6" t="s">
        <v>3531</v>
      </c>
      <c r="C1184" s="6" t="s">
        <v>159</v>
      </c>
      <c r="D1184" s="18">
        <v>15.0</v>
      </c>
      <c r="E1184" s="18">
        <v>11.5</v>
      </c>
      <c r="F1184" s="18">
        <v>172.5</v>
      </c>
    </row>
    <row r="1185">
      <c r="A1185" s="6" t="s">
        <v>5064</v>
      </c>
      <c r="B1185" s="6" t="s">
        <v>3531</v>
      </c>
      <c r="C1185" s="6" t="s">
        <v>155</v>
      </c>
      <c r="D1185" s="18">
        <v>1.0</v>
      </c>
      <c r="E1185" s="18">
        <v>55.27</v>
      </c>
      <c r="F1185" s="18">
        <v>55.27</v>
      </c>
    </row>
    <row r="1186">
      <c r="A1186" s="6" t="s">
        <v>5065</v>
      </c>
      <c r="B1186" s="6" t="s">
        <v>3531</v>
      </c>
      <c r="C1186" s="6" t="s">
        <v>152</v>
      </c>
      <c r="D1186" s="18">
        <v>1.0</v>
      </c>
      <c r="E1186" s="18">
        <v>21.76</v>
      </c>
      <c r="F1186" s="18">
        <v>21.76</v>
      </c>
    </row>
    <row r="1187">
      <c r="A1187" s="6" t="s">
        <v>5068</v>
      </c>
      <c r="B1187" s="6" t="s">
        <v>3536</v>
      </c>
      <c r="C1187" s="6" t="s">
        <v>238</v>
      </c>
      <c r="D1187" s="18">
        <v>12.0</v>
      </c>
      <c r="E1187" s="18">
        <v>5.9</v>
      </c>
      <c r="F1187" s="18">
        <v>70.80000000000001</v>
      </c>
    </row>
    <row r="1188">
      <c r="A1188" s="6" t="s">
        <v>5069</v>
      </c>
      <c r="B1188" s="6" t="s">
        <v>3540</v>
      </c>
      <c r="C1188" s="6" t="s">
        <v>1168</v>
      </c>
      <c r="D1188" s="18">
        <v>1.0</v>
      </c>
      <c r="E1188" s="18">
        <v>200.0</v>
      </c>
      <c r="F1188" s="18">
        <v>200.0</v>
      </c>
    </row>
    <row r="1189">
      <c r="A1189" s="6" t="s">
        <v>5071</v>
      </c>
      <c r="B1189" s="6" t="s">
        <v>3543</v>
      </c>
      <c r="C1189" s="6" t="s">
        <v>159</v>
      </c>
      <c r="D1189" s="18">
        <v>15.0</v>
      </c>
      <c r="E1189" s="18">
        <v>11.5</v>
      </c>
      <c r="F1189" s="18">
        <v>172.5</v>
      </c>
    </row>
    <row r="1190">
      <c r="A1190" s="6" t="s">
        <v>5072</v>
      </c>
      <c r="B1190" s="6" t="s">
        <v>3543</v>
      </c>
      <c r="C1190" s="18">
        <v>1.2539885E7</v>
      </c>
      <c r="D1190" s="18">
        <v>20.0</v>
      </c>
      <c r="E1190" s="18">
        <v>6.0</v>
      </c>
      <c r="F1190" s="18">
        <v>120.0</v>
      </c>
    </row>
    <row r="1191">
      <c r="A1191" s="6" t="s">
        <v>5074</v>
      </c>
      <c r="B1191" s="6" t="s">
        <v>3543</v>
      </c>
      <c r="C1191" s="6" t="s">
        <v>230</v>
      </c>
      <c r="D1191" s="18">
        <v>5.0</v>
      </c>
      <c r="E1191" s="18">
        <v>24.0</v>
      </c>
      <c r="F1191" s="18">
        <v>120.0</v>
      </c>
    </row>
    <row r="1192">
      <c r="A1192" s="6" t="s">
        <v>5076</v>
      </c>
      <c r="B1192" s="6" t="s">
        <v>3548</v>
      </c>
      <c r="C1192" s="6" t="s">
        <v>1074</v>
      </c>
      <c r="D1192" s="18">
        <v>1.0</v>
      </c>
      <c r="E1192" s="18">
        <v>131.5</v>
      </c>
      <c r="F1192" s="18">
        <v>131.5</v>
      </c>
    </row>
    <row r="1193">
      <c r="A1193" s="6" t="s">
        <v>5078</v>
      </c>
      <c r="B1193" s="6" t="s">
        <v>3548</v>
      </c>
      <c r="C1193" s="6" t="s">
        <v>1384</v>
      </c>
      <c r="D1193" s="18">
        <v>1.0</v>
      </c>
      <c r="E1193" s="18">
        <v>131.5</v>
      </c>
      <c r="F1193" s="18">
        <v>131.5</v>
      </c>
    </row>
    <row r="1194">
      <c r="A1194" s="6" t="s">
        <v>5079</v>
      </c>
      <c r="B1194" s="6" t="s">
        <v>3548</v>
      </c>
      <c r="C1194" s="6" t="s">
        <v>1073</v>
      </c>
      <c r="D1194" s="18">
        <v>1.0</v>
      </c>
      <c r="E1194" s="18">
        <v>131.5</v>
      </c>
      <c r="F1194" s="18">
        <v>131.5</v>
      </c>
    </row>
    <row r="1195">
      <c r="A1195" s="6" t="s">
        <v>5080</v>
      </c>
      <c r="B1195" s="6" t="s">
        <v>3548</v>
      </c>
      <c r="C1195" s="6" t="s">
        <v>1075</v>
      </c>
      <c r="D1195" s="18">
        <v>1.0</v>
      </c>
      <c r="E1195" s="18">
        <v>131.5</v>
      </c>
      <c r="F1195" s="18">
        <v>131.5</v>
      </c>
    </row>
    <row r="1196">
      <c r="A1196" s="6" t="s">
        <v>5082</v>
      </c>
      <c r="B1196" s="6" t="s">
        <v>3548</v>
      </c>
      <c r="C1196" s="6" t="s">
        <v>1081</v>
      </c>
      <c r="D1196" s="18">
        <v>1.0</v>
      </c>
      <c r="E1196" s="18">
        <v>131.5</v>
      </c>
      <c r="F1196" s="18">
        <v>131.5</v>
      </c>
    </row>
    <row r="1197">
      <c r="A1197" s="6" t="s">
        <v>5083</v>
      </c>
      <c r="B1197" s="6" t="s">
        <v>3548</v>
      </c>
      <c r="C1197" s="18">
        <v>7.5375964E7</v>
      </c>
      <c r="D1197" s="18">
        <v>1.0</v>
      </c>
      <c r="E1197" s="18">
        <v>131.5</v>
      </c>
      <c r="F1197" s="18">
        <v>131.5</v>
      </c>
    </row>
    <row r="1198">
      <c r="A1198" s="6" t="s">
        <v>5084</v>
      </c>
      <c r="B1198" s="6" t="s">
        <v>3548</v>
      </c>
      <c r="C1198" s="6" t="s">
        <v>1079</v>
      </c>
      <c r="D1198" s="18">
        <v>1.0</v>
      </c>
      <c r="E1198" s="18">
        <v>131.5</v>
      </c>
      <c r="F1198" s="18">
        <v>131.5</v>
      </c>
    </row>
    <row r="1199">
      <c r="A1199" s="6" t="s">
        <v>5085</v>
      </c>
      <c r="B1199" s="6" t="s">
        <v>3548</v>
      </c>
      <c r="C1199" s="6" t="s">
        <v>1080</v>
      </c>
      <c r="D1199" s="18">
        <v>1.0</v>
      </c>
      <c r="E1199" s="18">
        <v>131.5</v>
      </c>
      <c r="F1199" s="18">
        <v>131.5</v>
      </c>
    </row>
    <row r="1200">
      <c r="A1200" s="6" t="s">
        <v>5086</v>
      </c>
      <c r="B1200" s="6" t="s">
        <v>3553</v>
      </c>
      <c r="C1200" s="6" t="s">
        <v>1510</v>
      </c>
      <c r="D1200" s="18">
        <v>1.0</v>
      </c>
      <c r="E1200" s="18">
        <v>1750.0</v>
      </c>
      <c r="F1200" s="18">
        <v>1750.0</v>
      </c>
    </row>
    <row r="1201">
      <c r="A1201" s="6" t="s">
        <v>5089</v>
      </c>
      <c r="B1201" s="6" t="s">
        <v>3557</v>
      </c>
      <c r="C1201" s="6" t="s">
        <v>1126</v>
      </c>
      <c r="D1201" s="18">
        <v>1.0</v>
      </c>
      <c r="E1201" s="18">
        <v>30.0</v>
      </c>
      <c r="F1201" s="18">
        <v>30.0</v>
      </c>
    </row>
    <row r="1202">
      <c r="A1202" s="6" t="s">
        <v>5090</v>
      </c>
      <c r="B1202" s="6" t="s">
        <v>3559</v>
      </c>
      <c r="C1202" s="6" t="s">
        <v>1668</v>
      </c>
      <c r="D1202" s="18">
        <v>1.0</v>
      </c>
      <c r="E1202" s="18">
        <v>114.46</v>
      </c>
      <c r="F1202" s="18">
        <v>114.46</v>
      </c>
    </row>
    <row r="1203">
      <c r="A1203" s="6" t="s">
        <v>5091</v>
      </c>
      <c r="B1203" s="6" t="s">
        <v>3566</v>
      </c>
      <c r="C1203" s="18">
        <v>1.2539885E7</v>
      </c>
      <c r="D1203" s="18">
        <v>1.0</v>
      </c>
      <c r="E1203" s="18">
        <v>500.0</v>
      </c>
      <c r="F1203" s="18">
        <v>500.0</v>
      </c>
    </row>
    <row r="1204">
      <c r="A1204" s="6" t="s">
        <v>5092</v>
      </c>
      <c r="B1204" s="6" t="s">
        <v>3570</v>
      </c>
      <c r="C1204" s="6" t="s">
        <v>305</v>
      </c>
      <c r="D1204" s="18">
        <v>1.0</v>
      </c>
      <c r="E1204" s="18">
        <v>316.78</v>
      </c>
      <c r="F1204" s="18">
        <v>316.78</v>
      </c>
    </row>
    <row r="1205">
      <c r="A1205" s="6" t="s">
        <v>5094</v>
      </c>
      <c r="B1205" s="6" t="s">
        <v>3577</v>
      </c>
      <c r="C1205" s="6" t="s">
        <v>159</v>
      </c>
      <c r="D1205" s="18">
        <v>1.0</v>
      </c>
      <c r="E1205" s="18">
        <v>172.5</v>
      </c>
      <c r="F1205" s="18">
        <v>172.5</v>
      </c>
    </row>
    <row r="1206">
      <c r="A1206" s="6" t="s">
        <v>5097</v>
      </c>
      <c r="B1206" s="6" t="s">
        <v>3577</v>
      </c>
      <c r="C1206" s="6" t="s">
        <v>155</v>
      </c>
      <c r="D1206" s="18">
        <v>1.0</v>
      </c>
      <c r="E1206" s="18">
        <v>52.12</v>
      </c>
      <c r="F1206" s="18">
        <v>52.12</v>
      </c>
    </row>
    <row r="1207">
      <c r="A1207" s="6" t="s">
        <v>5098</v>
      </c>
      <c r="B1207" s="6" t="s">
        <v>3577</v>
      </c>
      <c r="C1207" s="6" t="s">
        <v>152</v>
      </c>
      <c r="D1207" s="18">
        <v>1.0</v>
      </c>
      <c r="E1207" s="18">
        <v>10.32</v>
      </c>
      <c r="F1207" s="18">
        <v>10.32</v>
      </c>
    </row>
    <row r="1208">
      <c r="A1208" s="6" t="s">
        <v>5099</v>
      </c>
      <c r="B1208" s="6" t="s">
        <v>3577</v>
      </c>
      <c r="C1208" s="6" t="s">
        <v>226</v>
      </c>
      <c r="D1208" s="18">
        <v>1.0</v>
      </c>
      <c r="E1208" s="18">
        <v>142.5</v>
      </c>
      <c r="F1208" s="18">
        <v>142.5</v>
      </c>
    </row>
    <row r="1209">
      <c r="A1209" s="6" t="s">
        <v>5101</v>
      </c>
      <c r="B1209" s="6" t="s">
        <v>3582</v>
      </c>
      <c r="C1209" s="6" t="s">
        <v>335</v>
      </c>
      <c r="D1209" s="18">
        <v>1.0</v>
      </c>
      <c r="E1209" s="18">
        <v>99.6</v>
      </c>
      <c r="F1209" s="18">
        <v>99.6</v>
      </c>
    </row>
    <row r="1210">
      <c r="A1210" s="6" t="s">
        <v>5102</v>
      </c>
      <c r="B1210" s="6" t="s">
        <v>3582</v>
      </c>
      <c r="C1210" s="6" t="s">
        <v>1074</v>
      </c>
      <c r="D1210" s="18">
        <v>1.0</v>
      </c>
      <c r="E1210" s="18">
        <v>99.6</v>
      </c>
      <c r="F1210" s="18">
        <v>99.6</v>
      </c>
    </row>
    <row r="1211">
      <c r="A1211" s="6" t="s">
        <v>5105</v>
      </c>
      <c r="B1211" s="6" t="s">
        <v>3589</v>
      </c>
      <c r="C1211" s="6" t="s">
        <v>1145</v>
      </c>
      <c r="D1211" s="18">
        <v>1.0</v>
      </c>
      <c r="E1211" s="18">
        <v>2452.49</v>
      </c>
      <c r="F1211" s="18">
        <v>2452.49</v>
      </c>
    </row>
    <row r="1212">
      <c r="A1212" s="6" t="s">
        <v>5106</v>
      </c>
      <c r="B1212" s="6" t="s">
        <v>3594</v>
      </c>
      <c r="C1212" s="6" t="s">
        <v>159</v>
      </c>
      <c r="D1212" s="18">
        <v>12.0</v>
      </c>
      <c r="E1212" s="18">
        <v>11.5</v>
      </c>
      <c r="F1212" s="18">
        <v>138.0</v>
      </c>
    </row>
    <row r="1213">
      <c r="A1213" s="6" t="s">
        <v>5107</v>
      </c>
      <c r="B1213" s="6" t="s">
        <v>3594</v>
      </c>
      <c r="C1213" s="6" t="s">
        <v>155</v>
      </c>
      <c r="D1213" s="18">
        <v>1.0</v>
      </c>
      <c r="E1213" s="18">
        <v>30.38</v>
      </c>
      <c r="F1213" s="18">
        <v>30.38</v>
      </c>
    </row>
    <row r="1214">
      <c r="A1214" s="6" t="s">
        <v>5108</v>
      </c>
      <c r="B1214" s="6" t="s">
        <v>3594</v>
      </c>
      <c r="C1214" s="6" t="s">
        <v>152</v>
      </c>
      <c r="D1214" s="18">
        <v>1.0</v>
      </c>
      <c r="E1214" s="18">
        <v>21.4</v>
      </c>
      <c r="F1214" s="18">
        <v>21.4</v>
      </c>
    </row>
    <row r="1215">
      <c r="A1215" s="6" t="s">
        <v>5110</v>
      </c>
      <c r="B1215" s="6" t="s">
        <v>3594</v>
      </c>
      <c r="C1215" s="6" t="s">
        <v>226</v>
      </c>
      <c r="D1215" s="18">
        <v>1.0</v>
      </c>
      <c r="E1215" s="18">
        <v>19.0</v>
      </c>
      <c r="F1215" s="18">
        <v>19.0</v>
      </c>
    </row>
    <row r="1216">
      <c r="A1216" s="6" t="s">
        <v>5112</v>
      </c>
      <c r="B1216" s="6" t="s">
        <v>3600</v>
      </c>
      <c r="C1216" s="6" t="s">
        <v>1164</v>
      </c>
      <c r="D1216" s="18">
        <v>1.0</v>
      </c>
      <c r="E1216" s="18">
        <v>410.0</v>
      </c>
      <c r="F1216" s="18">
        <v>410.0</v>
      </c>
    </row>
    <row r="1217">
      <c r="A1217" s="6" t="s">
        <v>5114</v>
      </c>
      <c r="B1217" s="6" t="s">
        <v>3600</v>
      </c>
      <c r="C1217" s="6" t="s">
        <v>1145</v>
      </c>
      <c r="D1217" s="18">
        <v>1.0</v>
      </c>
      <c r="E1217" s="18">
        <v>423.65</v>
      </c>
      <c r="F1217" s="18">
        <v>423.65</v>
      </c>
    </row>
    <row r="1218">
      <c r="A1218" s="6" t="s">
        <v>5115</v>
      </c>
      <c r="B1218" s="6" t="s">
        <v>3609</v>
      </c>
      <c r="C1218" s="6" t="s">
        <v>159</v>
      </c>
      <c r="D1218" s="18">
        <v>1.0</v>
      </c>
      <c r="E1218" s="18">
        <v>165.0</v>
      </c>
      <c r="F1218" s="18">
        <v>165.0</v>
      </c>
    </row>
    <row r="1219">
      <c r="A1219" s="6" t="s">
        <v>5117</v>
      </c>
      <c r="B1219" s="6" t="s">
        <v>3609</v>
      </c>
      <c r="C1219" s="18">
        <v>1.2539885E7</v>
      </c>
      <c r="D1219" s="18">
        <v>1.0</v>
      </c>
      <c r="E1219" s="18">
        <v>60.0</v>
      </c>
      <c r="F1219" s="18">
        <v>60.0</v>
      </c>
    </row>
    <row r="1220">
      <c r="A1220" s="6" t="s">
        <v>5120</v>
      </c>
      <c r="B1220" s="6" t="s">
        <v>3609</v>
      </c>
      <c r="C1220" s="6" t="s">
        <v>155</v>
      </c>
      <c r="D1220" s="18">
        <v>1.0</v>
      </c>
      <c r="E1220" s="18">
        <v>38.08</v>
      </c>
      <c r="F1220" s="18">
        <v>38.08</v>
      </c>
    </row>
    <row r="1221">
      <c r="A1221" s="6" t="s">
        <v>5121</v>
      </c>
      <c r="B1221" s="6" t="s">
        <v>3609</v>
      </c>
      <c r="C1221" s="6" t="s">
        <v>152</v>
      </c>
      <c r="D1221" s="18">
        <v>1.0</v>
      </c>
      <c r="E1221" s="18">
        <v>14.7</v>
      </c>
      <c r="F1221" s="18">
        <v>14.7</v>
      </c>
    </row>
    <row r="1222">
      <c r="A1222" s="6" t="s">
        <v>5122</v>
      </c>
      <c r="B1222" s="6" t="s">
        <v>3609</v>
      </c>
      <c r="C1222" s="6" t="s">
        <v>226</v>
      </c>
      <c r="D1222" s="18">
        <v>1.0</v>
      </c>
      <c r="E1222" s="18">
        <v>42.5</v>
      </c>
      <c r="F1222" s="18">
        <v>42.5</v>
      </c>
    </row>
    <row r="1223">
      <c r="A1223" s="6" t="s">
        <v>5124</v>
      </c>
      <c r="B1223" s="6" t="s">
        <v>3615</v>
      </c>
      <c r="C1223" s="6" t="s">
        <v>238</v>
      </c>
      <c r="D1223" s="18">
        <v>24.0</v>
      </c>
      <c r="E1223" s="18">
        <v>5.9</v>
      </c>
      <c r="F1223" s="18">
        <v>141.60000000000002</v>
      </c>
    </row>
    <row r="1224">
      <c r="A1224" s="6" t="s">
        <v>5125</v>
      </c>
      <c r="B1224" s="18">
        <v>1.27407295E8</v>
      </c>
      <c r="C1224" s="6" t="s">
        <v>1168</v>
      </c>
      <c r="D1224" s="18">
        <v>1.0</v>
      </c>
      <c r="E1224" s="18">
        <v>500.0</v>
      </c>
      <c r="F1224" s="18">
        <v>500.0</v>
      </c>
    </row>
    <row r="1225">
      <c r="A1225" s="6" t="s">
        <v>5128</v>
      </c>
      <c r="B1225" s="6" t="s">
        <v>3623</v>
      </c>
      <c r="C1225" s="6" t="s">
        <v>1195</v>
      </c>
      <c r="D1225" s="18">
        <v>4.0</v>
      </c>
      <c r="E1225" s="18">
        <v>23.0</v>
      </c>
      <c r="F1225" s="18">
        <v>92.0</v>
      </c>
    </row>
    <row r="1226">
      <c r="A1226" s="6" t="s">
        <v>5129</v>
      </c>
      <c r="B1226" s="6" t="s">
        <v>3623</v>
      </c>
      <c r="C1226" s="6" t="s">
        <v>1197</v>
      </c>
      <c r="D1226" s="18">
        <v>4.0</v>
      </c>
      <c r="E1226" s="18">
        <v>21.0</v>
      </c>
      <c r="F1226" s="18">
        <v>84.0</v>
      </c>
    </row>
    <row r="1227">
      <c r="A1227" s="6" t="s">
        <v>5130</v>
      </c>
      <c r="B1227" s="6" t="s">
        <v>3623</v>
      </c>
      <c r="C1227" s="6" t="s">
        <v>1041</v>
      </c>
      <c r="D1227" s="18">
        <v>1.0</v>
      </c>
      <c r="E1227" s="18">
        <v>24.0</v>
      </c>
      <c r="F1227" s="18">
        <v>24.0</v>
      </c>
    </row>
    <row r="1228">
      <c r="A1228" s="6" t="s">
        <v>5132</v>
      </c>
      <c r="B1228" s="6" t="s">
        <v>3629</v>
      </c>
      <c r="C1228" s="6" t="s">
        <v>1904</v>
      </c>
      <c r="D1228" s="18">
        <v>1.0</v>
      </c>
      <c r="E1228" s="18">
        <v>4.0</v>
      </c>
      <c r="F1228" s="18">
        <v>4.0</v>
      </c>
    </row>
    <row r="1229">
      <c r="A1229" s="6" t="s">
        <v>5133</v>
      </c>
      <c r="B1229" s="6" t="s">
        <v>3636</v>
      </c>
      <c r="C1229" s="18">
        <v>1.2539885E7</v>
      </c>
      <c r="D1229" s="18">
        <v>1.0</v>
      </c>
      <c r="E1229" s="18">
        <v>500.0</v>
      </c>
      <c r="F1229" s="18">
        <v>500.0</v>
      </c>
    </row>
    <row r="1230">
      <c r="A1230" s="6" t="s">
        <v>5137</v>
      </c>
      <c r="B1230" s="6" t="s">
        <v>3641</v>
      </c>
      <c r="C1230" s="6" t="s">
        <v>5138</v>
      </c>
      <c r="D1230" s="18">
        <v>1.0</v>
      </c>
      <c r="E1230" s="18">
        <v>185.6</v>
      </c>
      <c r="F1230" s="18">
        <v>185.6</v>
      </c>
    </row>
    <row r="1231">
      <c r="A1231" s="6" t="s">
        <v>5139</v>
      </c>
      <c r="B1231" s="6" t="s">
        <v>3648</v>
      </c>
      <c r="C1231" s="6" t="s">
        <v>1270</v>
      </c>
      <c r="D1231" s="18">
        <v>1.0</v>
      </c>
      <c r="E1231" s="18">
        <v>18000.0</v>
      </c>
      <c r="F1231" s="18">
        <v>18000.0</v>
      </c>
    </row>
    <row r="1232">
      <c r="A1232" s="6" t="s">
        <v>5140</v>
      </c>
      <c r="B1232" s="6" t="s">
        <v>3652</v>
      </c>
      <c r="C1232" s="6" t="s">
        <v>1270</v>
      </c>
      <c r="D1232" s="18">
        <v>1.0</v>
      </c>
      <c r="E1232" s="18">
        <v>18000.0</v>
      </c>
      <c r="F1232" s="18">
        <v>18000.0</v>
      </c>
    </row>
    <row r="1233">
      <c r="A1233" s="6" t="s">
        <v>5142</v>
      </c>
      <c r="B1233" s="6" t="s">
        <v>3655</v>
      </c>
      <c r="C1233" s="6" t="s">
        <v>1270</v>
      </c>
      <c r="D1233" s="18">
        <v>1.0</v>
      </c>
      <c r="E1233" s="18">
        <v>18000.0</v>
      </c>
      <c r="F1233" s="18">
        <v>18000.0</v>
      </c>
    </row>
    <row r="1234">
      <c r="A1234" s="6" t="s">
        <v>5144</v>
      </c>
      <c r="B1234" s="6" t="s">
        <v>3658</v>
      </c>
      <c r="C1234" s="6" t="s">
        <v>1239</v>
      </c>
      <c r="D1234" s="18">
        <v>1.0</v>
      </c>
      <c r="E1234" s="18">
        <v>3806.25</v>
      </c>
      <c r="F1234" s="18">
        <v>3806.25</v>
      </c>
    </row>
    <row r="1235">
      <c r="A1235" s="6" t="s">
        <v>5146</v>
      </c>
      <c r="B1235" s="18">
        <v>1.43348326E8</v>
      </c>
      <c r="C1235" s="6" t="s">
        <v>1054</v>
      </c>
      <c r="D1235" s="18">
        <v>1.0</v>
      </c>
      <c r="E1235" s="18">
        <v>2800.07</v>
      </c>
      <c r="F1235" s="18">
        <v>2800.07</v>
      </c>
    </row>
    <row r="1236">
      <c r="A1236" s="6" t="s">
        <v>5147</v>
      </c>
      <c r="B1236" s="6" t="s">
        <v>3667</v>
      </c>
      <c r="C1236" s="6" t="s">
        <v>1239</v>
      </c>
      <c r="D1236" s="18">
        <v>1.0</v>
      </c>
      <c r="E1236" s="18">
        <v>2338.15</v>
      </c>
      <c r="F1236" s="18">
        <v>2338.15</v>
      </c>
    </row>
    <row r="1237">
      <c r="A1237" s="6" t="s">
        <v>5149</v>
      </c>
      <c r="B1237" s="6" t="s">
        <v>3670</v>
      </c>
      <c r="C1237" s="6" t="s">
        <v>1239</v>
      </c>
      <c r="D1237" s="18">
        <v>1.0</v>
      </c>
      <c r="E1237" s="18">
        <v>1981.02</v>
      </c>
      <c r="F1237" s="18">
        <v>1981.02</v>
      </c>
    </row>
    <row r="1238">
      <c r="A1238" s="6" t="s">
        <v>5150</v>
      </c>
      <c r="B1238" s="6" t="s">
        <v>3672</v>
      </c>
      <c r="C1238" s="6" t="s">
        <v>1239</v>
      </c>
      <c r="D1238" s="18">
        <v>1.0</v>
      </c>
      <c r="E1238" s="18">
        <v>1300.12</v>
      </c>
      <c r="F1238" s="18">
        <v>1300.12</v>
      </c>
    </row>
    <row r="1239">
      <c r="A1239" s="6" t="s">
        <v>5153</v>
      </c>
      <c r="B1239" s="6" t="s">
        <v>3674</v>
      </c>
      <c r="C1239" s="6" t="s">
        <v>1168</v>
      </c>
      <c r="D1239" s="18">
        <v>1.0</v>
      </c>
      <c r="E1239" s="18">
        <v>500.0</v>
      </c>
      <c r="F1239" s="18">
        <v>500.0</v>
      </c>
    </row>
    <row r="1240">
      <c r="A1240" s="6" t="s">
        <v>5154</v>
      </c>
      <c r="B1240" s="6" t="s">
        <v>3678</v>
      </c>
      <c r="C1240" s="6" t="s">
        <v>1073</v>
      </c>
      <c r="D1240" s="18">
        <v>1.0</v>
      </c>
      <c r="E1240" s="18">
        <v>19.25</v>
      </c>
      <c r="F1240" s="18">
        <v>19.25</v>
      </c>
    </row>
    <row r="1241">
      <c r="A1241" s="6" t="s">
        <v>5155</v>
      </c>
      <c r="B1241" s="6" t="s">
        <v>3678</v>
      </c>
      <c r="C1241" s="18">
        <v>7.5375964E7</v>
      </c>
      <c r="D1241" s="18">
        <v>1.0</v>
      </c>
      <c r="E1241" s="18">
        <v>19.0</v>
      </c>
      <c r="F1241" s="18">
        <v>19.0</v>
      </c>
    </row>
    <row r="1242">
      <c r="A1242" s="6" t="s">
        <v>5157</v>
      </c>
      <c r="B1242" s="6" t="s">
        <v>3678</v>
      </c>
      <c r="C1242" s="6" t="s">
        <v>1074</v>
      </c>
      <c r="D1242" s="18">
        <v>3.0</v>
      </c>
      <c r="E1242" s="18">
        <v>38.0</v>
      </c>
      <c r="F1242" s="18">
        <v>114.0</v>
      </c>
    </row>
    <row r="1243">
      <c r="A1243" s="6" t="s">
        <v>5158</v>
      </c>
      <c r="B1243" s="6" t="s">
        <v>3678</v>
      </c>
      <c r="C1243" s="6" t="s">
        <v>1075</v>
      </c>
      <c r="D1243" s="18">
        <v>2.0</v>
      </c>
      <c r="E1243" s="18">
        <v>19.0</v>
      </c>
      <c r="F1243" s="18">
        <v>38.0</v>
      </c>
    </row>
    <row r="1244">
      <c r="A1244" s="6" t="s">
        <v>5160</v>
      </c>
      <c r="B1244" s="6" t="s">
        <v>3678</v>
      </c>
      <c r="C1244" s="6" t="s">
        <v>1077</v>
      </c>
      <c r="D1244" s="18">
        <v>3.0</v>
      </c>
      <c r="E1244" s="18">
        <v>25.0</v>
      </c>
      <c r="F1244" s="18">
        <v>75.0</v>
      </c>
    </row>
    <row r="1245">
      <c r="A1245" s="6" t="s">
        <v>5161</v>
      </c>
      <c r="B1245" s="6" t="s">
        <v>3678</v>
      </c>
      <c r="C1245" s="6" t="s">
        <v>1079</v>
      </c>
      <c r="D1245" s="18">
        <v>10.0</v>
      </c>
      <c r="E1245" s="18">
        <v>17.5</v>
      </c>
      <c r="F1245" s="18">
        <v>175.0</v>
      </c>
    </row>
    <row r="1246">
      <c r="A1246" s="6" t="s">
        <v>5162</v>
      </c>
      <c r="B1246" s="6" t="s">
        <v>3678</v>
      </c>
      <c r="C1246" s="6" t="s">
        <v>1080</v>
      </c>
      <c r="D1246" s="18">
        <v>10.0</v>
      </c>
      <c r="E1246" s="18">
        <v>17.5</v>
      </c>
      <c r="F1246" s="18">
        <v>175.0</v>
      </c>
    </row>
    <row r="1247">
      <c r="A1247" s="6" t="s">
        <v>5164</v>
      </c>
      <c r="B1247" s="6" t="s">
        <v>3678</v>
      </c>
      <c r="C1247" s="6" t="s">
        <v>1081</v>
      </c>
      <c r="D1247" s="18">
        <v>3.0</v>
      </c>
      <c r="E1247" s="18">
        <v>46.0</v>
      </c>
      <c r="F1247" s="18">
        <v>138.0</v>
      </c>
    </row>
    <row r="1248">
      <c r="A1248" s="6" t="s">
        <v>5165</v>
      </c>
      <c r="B1248" s="6" t="s">
        <v>3678</v>
      </c>
      <c r="C1248" s="6" t="s">
        <v>1091</v>
      </c>
      <c r="D1248" s="18">
        <v>1.0</v>
      </c>
      <c r="E1248" s="18">
        <v>58.0</v>
      </c>
      <c r="F1248" s="18">
        <v>58.0</v>
      </c>
    </row>
    <row r="1249">
      <c r="A1249" s="6" t="s">
        <v>5166</v>
      </c>
      <c r="B1249" s="6" t="s">
        <v>3678</v>
      </c>
      <c r="C1249" s="6" t="s">
        <v>1404</v>
      </c>
      <c r="D1249" s="18">
        <v>2.0</v>
      </c>
      <c r="E1249" s="18">
        <v>50.0</v>
      </c>
      <c r="F1249" s="18">
        <v>100.0</v>
      </c>
    </row>
    <row r="1250">
      <c r="A1250" s="6" t="s">
        <v>5167</v>
      </c>
      <c r="B1250" s="6" t="s">
        <v>3678</v>
      </c>
      <c r="C1250" s="6" t="s">
        <v>1384</v>
      </c>
      <c r="D1250" s="18">
        <v>2.0</v>
      </c>
      <c r="E1250" s="18">
        <v>50.0</v>
      </c>
      <c r="F1250" s="18">
        <v>100.0</v>
      </c>
    </row>
    <row r="1251">
      <c r="A1251" s="6" t="s">
        <v>5168</v>
      </c>
      <c r="B1251" s="6" t="s">
        <v>3683</v>
      </c>
      <c r="C1251" s="6" t="s">
        <v>159</v>
      </c>
      <c r="D1251" s="18">
        <v>10.0</v>
      </c>
      <c r="E1251" s="18">
        <v>11.5</v>
      </c>
      <c r="F1251" s="18">
        <v>115.0</v>
      </c>
    </row>
    <row r="1252">
      <c r="A1252" s="6" t="s">
        <v>5170</v>
      </c>
      <c r="B1252" s="6" t="s">
        <v>3683</v>
      </c>
      <c r="C1252" s="6" t="s">
        <v>155</v>
      </c>
      <c r="D1252" s="18">
        <v>1.0</v>
      </c>
      <c r="E1252" s="18">
        <v>28.32</v>
      </c>
      <c r="F1252" s="18">
        <v>28.32</v>
      </c>
    </row>
    <row r="1253">
      <c r="A1253" s="6" t="s">
        <v>5171</v>
      </c>
      <c r="B1253" s="6" t="s">
        <v>3683</v>
      </c>
      <c r="C1253" s="6" t="s">
        <v>152</v>
      </c>
      <c r="D1253" s="18">
        <v>1.0</v>
      </c>
      <c r="E1253" s="18">
        <v>7.12</v>
      </c>
      <c r="F1253" s="18">
        <v>7.12</v>
      </c>
    </row>
    <row r="1254">
      <c r="A1254" s="6" t="s">
        <v>5172</v>
      </c>
      <c r="B1254" s="6" t="s">
        <v>3683</v>
      </c>
      <c r="C1254" s="6" t="s">
        <v>226</v>
      </c>
      <c r="D1254" s="18">
        <v>1.0</v>
      </c>
      <c r="E1254" s="18">
        <v>95.0</v>
      </c>
      <c r="F1254" s="18">
        <v>95.0</v>
      </c>
    </row>
    <row r="1255">
      <c r="A1255" s="6" t="s">
        <v>5173</v>
      </c>
      <c r="B1255" s="6" t="s">
        <v>3687</v>
      </c>
      <c r="C1255" s="6" t="s">
        <v>1648</v>
      </c>
      <c r="D1255" s="18">
        <v>1.0</v>
      </c>
      <c r="E1255" s="18">
        <v>134.47</v>
      </c>
      <c r="F1255" s="18">
        <v>134.47</v>
      </c>
    </row>
    <row r="1256">
      <c r="A1256" s="6" t="s">
        <v>5174</v>
      </c>
      <c r="B1256" s="6" t="s">
        <v>3692</v>
      </c>
      <c r="C1256" s="6" t="s">
        <v>1517</v>
      </c>
      <c r="D1256" s="18">
        <v>1.0</v>
      </c>
      <c r="E1256" s="18">
        <v>5694.51</v>
      </c>
      <c r="F1256" s="18">
        <v>5694.51</v>
      </c>
    </row>
    <row r="1257">
      <c r="A1257" s="6" t="s">
        <v>5175</v>
      </c>
      <c r="B1257" s="6" t="s">
        <v>3697</v>
      </c>
      <c r="C1257" s="18">
        <v>1.2539885E7</v>
      </c>
      <c r="D1257" s="18">
        <v>1.0</v>
      </c>
      <c r="E1257" s="18">
        <v>500.0</v>
      </c>
      <c r="F1257" s="18">
        <v>500.0</v>
      </c>
    </row>
    <row r="1258">
      <c r="A1258" s="6" t="s">
        <v>5176</v>
      </c>
      <c r="B1258" s="6" t="s">
        <v>3701</v>
      </c>
      <c r="C1258" s="6" t="s">
        <v>159</v>
      </c>
      <c r="D1258" s="18">
        <v>1.0</v>
      </c>
      <c r="E1258" s="18">
        <v>138.0</v>
      </c>
      <c r="F1258" s="18">
        <v>138.0</v>
      </c>
    </row>
    <row r="1259">
      <c r="A1259" s="6" t="s">
        <v>5178</v>
      </c>
      <c r="B1259" s="6" t="s">
        <v>3701</v>
      </c>
      <c r="C1259" s="6" t="s">
        <v>155</v>
      </c>
      <c r="D1259" s="18">
        <v>1.0</v>
      </c>
      <c r="E1259" s="18">
        <v>26.77</v>
      </c>
      <c r="F1259" s="18">
        <v>26.77</v>
      </c>
    </row>
    <row r="1260">
      <c r="A1260" s="6" t="s">
        <v>5179</v>
      </c>
      <c r="B1260" s="6" t="s">
        <v>3701</v>
      </c>
      <c r="C1260" s="6" t="s">
        <v>152</v>
      </c>
      <c r="D1260" s="18">
        <v>1.0</v>
      </c>
      <c r="E1260" s="18">
        <v>11.06</v>
      </c>
      <c r="F1260" s="18">
        <v>11.06</v>
      </c>
    </row>
    <row r="1261">
      <c r="A1261" s="6" t="s">
        <v>5180</v>
      </c>
      <c r="B1261" s="6" t="s">
        <v>3701</v>
      </c>
      <c r="C1261" s="6" t="s">
        <v>226</v>
      </c>
      <c r="D1261" s="18">
        <v>1.0</v>
      </c>
      <c r="E1261" s="18">
        <v>28.5</v>
      </c>
      <c r="F1261" s="18">
        <v>28.5</v>
      </c>
    </row>
    <row r="1262">
      <c r="A1262" s="6" t="s">
        <v>5182</v>
      </c>
      <c r="B1262" s="6" t="s">
        <v>3705</v>
      </c>
      <c r="C1262" s="6" t="s">
        <v>3496</v>
      </c>
      <c r="D1262" s="18">
        <v>1.0</v>
      </c>
      <c r="E1262" s="18">
        <v>223.05</v>
      </c>
      <c r="F1262" s="18">
        <v>223.05</v>
      </c>
    </row>
    <row r="1263">
      <c r="A1263" s="6" t="s">
        <v>5183</v>
      </c>
      <c r="B1263" s="6" t="s">
        <v>3711</v>
      </c>
      <c r="C1263" s="6" t="s">
        <v>1510</v>
      </c>
      <c r="D1263" s="18">
        <v>1.0</v>
      </c>
      <c r="E1263" s="18">
        <v>9983.56</v>
      </c>
      <c r="F1263" s="18">
        <v>9983.56</v>
      </c>
    </row>
    <row r="1264">
      <c r="A1264" s="6" t="s">
        <v>5184</v>
      </c>
      <c r="B1264" s="6" t="s">
        <v>3715</v>
      </c>
      <c r="C1264" s="6" t="s">
        <v>1080</v>
      </c>
      <c r="D1264" s="18">
        <v>10.0</v>
      </c>
      <c r="E1264" s="18">
        <v>13.9</v>
      </c>
      <c r="F1264" s="18">
        <v>139.0</v>
      </c>
    </row>
    <row r="1265">
      <c r="A1265" s="6" t="s">
        <v>5186</v>
      </c>
      <c r="B1265" s="6" t="s">
        <v>3715</v>
      </c>
      <c r="C1265" s="6" t="s">
        <v>1427</v>
      </c>
      <c r="D1265" s="18">
        <v>4.0</v>
      </c>
      <c r="E1265" s="18">
        <v>25.9</v>
      </c>
      <c r="F1265" s="18">
        <v>103.6</v>
      </c>
    </row>
    <row r="1266">
      <c r="A1266" s="6" t="s">
        <v>5187</v>
      </c>
      <c r="B1266" s="6" t="s">
        <v>3720</v>
      </c>
      <c r="C1266" s="18">
        <v>1.2539885E7</v>
      </c>
      <c r="D1266" s="18">
        <v>1.0</v>
      </c>
      <c r="E1266" s="18">
        <v>725.0</v>
      </c>
      <c r="F1266" s="18">
        <v>725.0</v>
      </c>
    </row>
    <row r="1267">
      <c r="A1267" s="6" t="s">
        <v>5189</v>
      </c>
      <c r="B1267" s="6" t="s">
        <v>3725</v>
      </c>
      <c r="C1267" s="6" t="s">
        <v>159</v>
      </c>
      <c r="D1267" s="18">
        <v>1.0</v>
      </c>
      <c r="E1267" s="18">
        <v>120.0</v>
      </c>
      <c r="F1267" s="18">
        <v>120.0</v>
      </c>
    </row>
    <row r="1268">
      <c r="A1268" s="6" t="s">
        <v>5190</v>
      </c>
      <c r="B1268" s="6" t="s">
        <v>3725</v>
      </c>
      <c r="C1268" s="6" t="s">
        <v>155</v>
      </c>
      <c r="D1268" s="18">
        <v>1.0</v>
      </c>
      <c r="E1268" s="18">
        <v>26.18</v>
      </c>
      <c r="F1268" s="18">
        <v>26.18</v>
      </c>
    </row>
    <row r="1269">
      <c r="A1269" s="6" t="s">
        <v>5192</v>
      </c>
      <c r="B1269" s="6" t="s">
        <v>3725</v>
      </c>
      <c r="C1269" s="6" t="s">
        <v>226</v>
      </c>
      <c r="D1269" s="18">
        <v>1.0</v>
      </c>
      <c r="E1269" s="18">
        <v>95.0</v>
      </c>
      <c r="F1269" s="18">
        <v>95.0</v>
      </c>
    </row>
    <row r="1270">
      <c r="A1270" s="6" t="s">
        <v>5193</v>
      </c>
      <c r="B1270" s="6" t="s">
        <v>3729</v>
      </c>
      <c r="C1270" s="6" t="s">
        <v>1168</v>
      </c>
      <c r="D1270" s="18">
        <v>1.0</v>
      </c>
      <c r="E1270" s="18">
        <v>400.0</v>
      </c>
      <c r="F1270" s="18">
        <v>400.0</v>
      </c>
    </row>
    <row r="1271">
      <c r="A1271" s="6" t="s">
        <v>5195</v>
      </c>
      <c r="B1271" s="6" t="s">
        <v>3731</v>
      </c>
      <c r="C1271" s="6" t="s">
        <v>1394</v>
      </c>
      <c r="D1271" s="18">
        <v>1.0</v>
      </c>
      <c r="E1271" s="18">
        <v>1942.14</v>
      </c>
      <c r="F1271" s="18">
        <v>1942.14</v>
      </c>
    </row>
    <row r="1272">
      <c r="A1272" s="6" t="s">
        <v>5196</v>
      </c>
      <c r="B1272" s="6" t="s">
        <v>3735</v>
      </c>
      <c r="C1272" s="6" t="s">
        <v>1164</v>
      </c>
      <c r="D1272" s="18">
        <v>1.0</v>
      </c>
      <c r="E1272" s="18">
        <v>110.0</v>
      </c>
      <c r="F1272" s="18">
        <v>110.0</v>
      </c>
    </row>
    <row r="1273">
      <c r="A1273" s="6" t="s">
        <v>5197</v>
      </c>
      <c r="B1273" s="6" t="s">
        <v>3741</v>
      </c>
      <c r="C1273" s="6" t="s">
        <v>1073</v>
      </c>
      <c r="D1273" s="18">
        <v>2.0</v>
      </c>
      <c r="E1273" s="18">
        <v>19.25</v>
      </c>
      <c r="F1273" s="18">
        <v>38.5</v>
      </c>
    </row>
    <row r="1274">
      <c r="A1274" s="6" t="s">
        <v>5199</v>
      </c>
      <c r="B1274" s="6" t="s">
        <v>3741</v>
      </c>
      <c r="C1274" s="18">
        <v>7.5375964E7</v>
      </c>
      <c r="D1274" s="18">
        <v>1.0</v>
      </c>
      <c r="E1274" s="18">
        <v>19.0</v>
      </c>
      <c r="F1274" s="18">
        <v>19.0</v>
      </c>
    </row>
    <row r="1275">
      <c r="A1275" s="6" t="s">
        <v>5200</v>
      </c>
      <c r="B1275" s="6" t="s">
        <v>3741</v>
      </c>
      <c r="C1275" s="6" t="s">
        <v>1384</v>
      </c>
      <c r="D1275" s="18">
        <v>1.0</v>
      </c>
      <c r="E1275" s="18">
        <v>19.0</v>
      </c>
      <c r="F1275" s="18">
        <v>19.0</v>
      </c>
    </row>
    <row r="1276">
      <c r="A1276" s="6" t="s">
        <v>5201</v>
      </c>
      <c r="B1276" s="6" t="s">
        <v>3741</v>
      </c>
      <c r="C1276" s="6" t="s">
        <v>1074</v>
      </c>
      <c r="D1276" s="18">
        <v>4.0</v>
      </c>
      <c r="E1276" s="18">
        <v>38.0</v>
      </c>
      <c r="F1276" s="18">
        <v>152.0</v>
      </c>
    </row>
    <row r="1277">
      <c r="A1277" s="6" t="s">
        <v>5202</v>
      </c>
      <c r="B1277" s="6" t="s">
        <v>3741</v>
      </c>
      <c r="C1277" s="6" t="s">
        <v>1075</v>
      </c>
      <c r="D1277" s="18">
        <v>2.0</v>
      </c>
      <c r="E1277" s="18">
        <v>19.0</v>
      </c>
      <c r="F1277" s="18">
        <v>38.0</v>
      </c>
    </row>
    <row r="1278">
      <c r="A1278" s="6" t="s">
        <v>5203</v>
      </c>
      <c r="B1278" s="6" t="s">
        <v>3741</v>
      </c>
      <c r="C1278" s="6" t="s">
        <v>1077</v>
      </c>
      <c r="D1278" s="18">
        <v>2.0</v>
      </c>
      <c r="E1278" s="18">
        <v>25.0</v>
      </c>
      <c r="F1278" s="18">
        <v>50.0</v>
      </c>
    </row>
    <row r="1279">
      <c r="A1279" s="6" t="s">
        <v>5205</v>
      </c>
      <c r="B1279" s="6" t="s">
        <v>3741</v>
      </c>
      <c r="C1279" s="6" t="s">
        <v>1081</v>
      </c>
      <c r="D1279" s="18">
        <v>2.0</v>
      </c>
      <c r="E1279" s="18">
        <v>46.0</v>
      </c>
      <c r="F1279" s="18">
        <v>92.0</v>
      </c>
    </row>
    <row r="1280">
      <c r="A1280" s="6" t="s">
        <v>5206</v>
      </c>
      <c r="B1280" s="6" t="s">
        <v>3741</v>
      </c>
      <c r="C1280" s="6" t="s">
        <v>1085</v>
      </c>
      <c r="D1280" s="18">
        <v>3.0</v>
      </c>
      <c r="E1280" s="18">
        <v>38.0</v>
      </c>
      <c r="F1280" s="18">
        <v>114.0</v>
      </c>
    </row>
    <row r="1281">
      <c r="A1281" s="6" t="s">
        <v>5207</v>
      </c>
      <c r="B1281" s="6" t="s">
        <v>3741</v>
      </c>
      <c r="C1281" s="6" t="s">
        <v>1091</v>
      </c>
      <c r="D1281" s="18">
        <v>1.0</v>
      </c>
      <c r="E1281" s="18">
        <v>19.0</v>
      </c>
      <c r="F1281" s="18">
        <v>19.0</v>
      </c>
    </row>
    <row r="1282">
      <c r="A1282" s="6" t="s">
        <v>5208</v>
      </c>
      <c r="B1282" s="6" t="s">
        <v>3745</v>
      </c>
      <c r="C1282" s="6" t="s">
        <v>159</v>
      </c>
      <c r="D1282" s="18">
        <v>15.0</v>
      </c>
      <c r="E1282" s="18">
        <v>12.0</v>
      </c>
      <c r="F1282" s="18">
        <v>180.0</v>
      </c>
    </row>
    <row r="1283">
      <c r="A1283" s="6" t="s">
        <v>5209</v>
      </c>
      <c r="B1283" s="6" t="s">
        <v>3745</v>
      </c>
      <c r="C1283" s="6" t="s">
        <v>155</v>
      </c>
      <c r="D1283" s="18">
        <v>1.0</v>
      </c>
      <c r="E1283" s="18">
        <v>34.65</v>
      </c>
      <c r="F1283" s="18">
        <v>34.65</v>
      </c>
    </row>
    <row r="1284">
      <c r="A1284" s="6" t="s">
        <v>5211</v>
      </c>
      <c r="B1284" s="6" t="s">
        <v>3745</v>
      </c>
      <c r="C1284" s="6" t="s">
        <v>226</v>
      </c>
      <c r="D1284" s="18">
        <v>6.0</v>
      </c>
      <c r="E1284" s="18">
        <v>8.5</v>
      </c>
      <c r="F1284" s="18">
        <v>51.0</v>
      </c>
    </row>
    <row r="1285">
      <c r="A1285" s="6" t="s">
        <v>5212</v>
      </c>
      <c r="B1285" s="6" t="s">
        <v>3749</v>
      </c>
      <c r="C1285" s="6" t="s">
        <v>691</v>
      </c>
      <c r="D1285" s="18">
        <v>1.0</v>
      </c>
      <c r="E1285" s="18">
        <v>60.0</v>
      </c>
      <c r="F1285" s="18">
        <v>60.0</v>
      </c>
    </row>
    <row r="1286">
      <c r="A1286" s="6" t="s">
        <v>5213</v>
      </c>
      <c r="B1286" s="6" t="s">
        <v>3749</v>
      </c>
      <c r="C1286" s="6" t="s">
        <v>1683</v>
      </c>
      <c r="D1286" s="18">
        <v>1.0</v>
      </c>
      <c r="E1286" s="18">
        <v>40.0</v>
      </c>
      <c r="F1286" s="18">
        <v>40.0</v>
      </c>
    </row>
    <row r="1287">
      <c r="A1287" s="6" t="s">
        <v>5214</v>
      </c>
      <c r="B1287" s="6" t="s">
        <v>3749</v>
      </c>
      <c r="C1287" s="6" t="s">
        <v>5215</v>
      </c>
      <c r="D1287" s="18">
        <v>1.0</v>
      </c>
      <c r="E1287" s="18">
        <v>9.34</v>
      </c>
      <c r="F1287" s="18">
        <v>9.34</v>
      </c>
    </row>
    <row r="1288">
      <c r="A1288" s="6" t="s">
        <v>5216</v>
      </c>
      <c r="B1288" s="6" t="s">
        <v>3749</v>
      </c>
      <c r="C1288" s="6" t="s">
        <v>1197</v>
      </c>
      <c r="D1288" s="18">
        <v>1.0</v>
      </c>
      <c r="E1288" s="18">
        <v>40.0</v>
      </c>
      <c r="F1288" s="18">
        <v>40.0</v>
      </c>
    </row>
    <row r="1289">
      <c r="A1289" s="6" t="s">
        <v>5218</v>
      </c>
      <c r="B1289" s="6" t="s">
        <v>3749</v>
      </c>
      <c r="C1289" s="6" t="s">
        <v>305</v>
      </c>
      <c r="D1289" s="18">
        <v>1.0</v>
      </c>
      <c r="E1289" s="18">
        <v>200.0</v>
      </c>
      <c r="F1289" s="18">
        <v>200.0</v>
      </c>
    </row>
    <row r="1290">
      <c r="A1290" s="6" t="s">
        <v>5221</v>
      </c>
      <c r="B1290" s="6" t="s">
        <v>3755</v>
      </c>
      <c r="C1290" s="6" t="s">
        <v>5222</v>
      </c>
      <c r="D1290" s="18">
        <v>1.0</v>
      </c>
      <c r="E1290" s="18">
        <v>450.0</v>
      </c>
      <c r="F1290" s="18">
        <v>450.0</v>
      </c>
    </row>
    <row r="1291">
      <c r="A1291" s="6" t="s">
        <v>5223</v>
      </c>
      <c r="B1291" s="6" t="s">
        <v>3761</v>
      </c>
      <c r="C1291" s="6" t="s">
        <v>5225</v>
      </c>
      <c r="D1291" s="18">
        <v>1.0</v>
      </c>
      <c r="E1291" s="18">
        <v>34.4</v>
      </c>
      <c r="F1291" s="18">
        <v>34.4</v>
      </c>
    </row>
    <row r="1292">
      <c r="A1292" s="6" t="s">
        <v>5226</v>
      </c>
      <c r="B1292" s="6" t="s">
        <v>3766</v>
      </c>
      <c r="C1292" s="6" t="s">
        <v>5228</v>
      </c>
      <c r="D1292" s="18">
        <v>1.0</v>
      </c>
      <c r="E1292" s="18">
        <v>23.4</v>
      </c>
      <c r="F1292" s="18">
        <v>23.4</v>
      </c>
    </row>
    <row r="1293">
      <c r="A1293" s="6" t="s">
        <v>5229</v>
      </c>
      <c r="B1293" s="6" t="s">
        <v>3774</v>
      </c>
      <c r="C1293" s="18">
        <v>1.2539885E7</v>
      </c>
      <c r="D1293" s="18">
        <v>1.0</v>
      </c>
      <c r="E1293" s="18">
        <v>400.0</v>
      </c>
      <c r="F1293" s="18">
        <v>400.0</v>
      </c>
    </row>
    <row r="1294">
      <c r="A1294" s="6" t="s">
        <v>5230</v>
      </c>
      <c r="B1294" s="6" t="s">
        <v>3777</v>
      </c>
      <c r="C1294" s="6" t="s">
        <v>159</v>
      </c>
      <c r="D1294" s="18">
        <v>1.0</v>
      </c>
      <c r="E1294" s="18">
        <v>144.0</v>
      </c>
      <c r="F1294" s="18">
        <v>144.0</v>
      </c>
    </row>
    <row r="1295">
      <c r="A1295" s="6" t="s">
        <v>5232</v>
      </c>
      <c r="B1295" s="6" t="s">
        <v>3777</v>
      </c>
      <c r="C1295" s="6" t="s">
        <v>155</v>
      </c>
      <c r="D1295" s="18">
        <v>1.0</v>
      </c>
      <c r="E1295" s="18">
        <v>34.87</v>
      </c>
      <c r="F1295" s="18">
        <v>34.87</v>
      </c>
    </row>
    <row r="1296">
      <c r="A1296" s="6" t="s">
        <v>5233</v>
      </c>
      <c r="B1296" s="6" t="s">
        <v>3777</v>
      </c>
      <c r="C1296" s="6" t="s">
        <v>152</v>
      </c>
      <c r="D1296" s="18">
        <v>1.0</v>
      </c>
      <c r="E1296" s="18">
        <v>20.82</v>
      </c>
      <c r="F1296" s="18">
        <v>20.82</v>
      </c>
    </row>
    <row r="1297">
      <c r="A1297" s="6" t="s">
        <v>5235</v>
      </c>
      <c r="B1297" s="6" t="s">
        <v>3777</v>
      </c>
      <c r="C1297" s="6" t="s">
        <v>226</v>
      </c>
      <c r="D1297" s="18">
        <v>1.0</v>
      </c>
      <c r="E1297" s="18">
        <v>47.5</v>
      </c>
      <c r="F1297" s="18">
        <v>47.5</v>
      </c>
    </row>
    <row r="1298">
      <c r="A1298" s="6" t="s">
        <v>5238</v>
      </c>
      <c r="B1298" s="6" t="s">
        <v>3781</v>
      </c>
      <c r="C1298" s="6" t="s">
        <v>691</v>
      </c>
      <c r="D1298" s="18">
        <v>1.0</v>
      </c>
      <c r="E1298" s="18">
        <v>135.38</v>
      </c>
      <c r="F1298" s="18">
        <v>135.38</v>
      </c>
    </row>
    <row r="1299">
      <c r="A1299" s="6" t="s">
        <v>5239</v>
      </c>
      <c r="B1299" s="6" t="s">
        <v>3786</v>
      </c>
      <c r="C1299" s="6" t="s">
        <v>4831</v>
      </c>
      <c r="D1299" s="18">
        <v>1.0</v>
      </c>
      <c r="E1299" s="18">
        <v>250.0</v>
      </c>
      <c r="F1299" s="18">
        <v>250.0</v>
      </c>
    </row>
    <row r="1300">
      <c r="A1300" s="6" t="s">
        <v>5240</v>
      </c>
      <c r="B1300" s="6" t="s">
        <v>3790</v>
      </c>
      <c r="C1300" s="6" t="s">
        <v>3218</v>
      </c>
      <c r="D1300" s="18">
        <v>1.0</v>
      </c>
      <c r="E1300" s="18">
        <v>352.95</v>
      </c>
      <c r="F1300" s="18">
        <v>352.95</v>
      </c>
    </row>
    <row r="1301">
      <c r="A1301" s="6" t="s">
        <v>5241</v>
      </c>
      <c r="B1301" s="6" t="s">
        <v>3792</v>
      </c>
      <c r="C1301" s="6" t="s">
        <v>1168</v>
      </c>
      <c r="D1301" s="18">
        <v>1.0</v>
      </c>
      <c r="E1301" s="18">
        <v>500.0</v>
      </c>
      <c r="F1301" s="18">
        <v>500.0</v>
      </c>
    </row>
    <row r="1302">
      <c r="A1302" s="6" t="s">
        <v>5244</v>
      </c>
      <c r="B1302" s="6" t="s">
        <v>3794</v>
      </c>
      <c r="C1302" s="6" t="s">
        <v>1168</v>
      </c>
      <c r="D1302" s="18">
        <v>1.0</v>
      </c>
      <c r="E1302" s="18">
        <v>500.0</v>
      </c>
      <c r="F1302" s="18">
        <v>500.0</v>
      </c>
    </row>
    <row r="1303">
      <c r="A1303" s="6" t="s">
        <v>5246</v>
      </c>
      <c r="B1303" s="6" t="s">
        <v>3797</v>
      </c>
      <c r="C1303" s="6" t="s">
        <v>5247</v>
      </c>
      <c r="D1303" s="18">
        <v>1.0</v>
      </c>
      <c r="E1303" s="18">
        <v>1000.0</v>
      </c>
      <c r="F1303" s="18">
        <v>1000.0</v>
      </c>
    </row>
    <row r="1304">
      <c r="A1304" s="6" t="s">
        <v>5248</v>
      </c>
      <c r="B1304" s="6" t="s">
        <v>3800</v>
      </c>
      <c r="C1304" s="6" t="s">
        <v>5249</v>
      </c>
      <c r="D1304" s="18">
        <v>1.0</v>
      </c>
      <c r="E1304" s="18">
        <v>21.8</v>
      </c>
      <c r="F1304" s="18">
        <v>21.8</v>
      </c>
    </row>
    <row r="1305">
      <c r="A1305" s="6" t="s">
        <v>5251</v>
      </c>
      <c r="B1305" s="6" t="s">
        <v>3805</v>
      </c>
      <c r="C1305" s="6" t="s">
        <v>159</v>
      </c>
      <c r="D1305" s="18">
        <v>1.0</v>
      </c>
      <c r="E1305" s="18">
        <v>180.0</v>
      </c>
      <c r="F1305" s="18">
        <v>180.0</v>
      </c>
    </row>
    <row r="1306">
      <c r="A1306" s="6" t="s">
        <v>5254</v>
      </c>
      <c r="B1306" s="6" t="s">
        <v>3805</v>
      </c>
      <c r="C1306" s="6" t="s">
        <v>155</v>
      </c>
      <c r="D1306" s="18">
        <v>1.0</v>
      </c>
      <c r="E1306" s="18">
        <v>25.57</v>
      </c>
      <c r="F1306" s="18">
        <v>25.57</v>
      </c>
    </row>
    <row r="1307">
      <c r="A1307" s="6" t="s">
        <v>5255</v>
      </c>
      <c r="B1307" s="6" t="s">
        <v>3805</v>
      </c>
      <c r="C1307" s="6" t="s">
        <v>226</v>
      </c>
      <c r="D1307" s="18">
        <v>1.0</v>
      </c>
      <c r="E1307" s="18">
        <v>47.5</v>
      </c>
      <c r="F1307" s="18">
        <v>47.5</v>
      </c>
    </row>
    <row r="1308">
      <c r="A1308" s="6" t="s">
        <v>5257</v>
      </c>
      <c r="B1308" s="6" t="s">
        <v>3810</v>
      </c>
      <c r="C1308" s="6" t="s">
        <v>1517</v>
      </c>
      <c r="D1308" s="18">
        <v>1.0</v>
      </c>
      <c r="E1308" s="18">
        <v>9024.49</v>
      </c>
      <c r="F1308" s="18">
        <v>9024.49</v>
      </c>
    </row>
    <row r="1309">
      <c r="A1309" s="6" t="s">
        <v>5260</v>
      </c>
      <c r="B1309" s="6" t="s">
        <v>3815</v>
      </c>
      <c r="C1309" s="6" t="s">
        <v>305</v>
      </c>
      <c r="D1309" s="18">
        <v>1.0</v>
      </c>
      <c r="E1309" s="18">
        <v>59.51</v>
      </c>
      <c r="F1309" s="18">
        <v>59.51</v>
      </c>
    </row>
    <row r="1310">
      <c r="A1310" s="6" t="s">
        <v>5261</v>
      </c>
      <c r="B1310" s="6" t="s">
        <v>3821</v>
      </c>
      <c r="C1310" s="6" t="s">
        <v>305</v>
      </c>
      <c r="D1310" s="18">
        <v>1.0</v>
      </c>
      <c r="E1310" s="18">
        <v>21.98</v>
      </c>
      <c r="F1310" s="18">
        <v>21.98</v>
      </c>
    </row>
    <row r="1311">
      <c r="A1311" s="6" t="s">
        <v>5263</v>
      </c>
      <c r="B1311" s="6" t="s">
        <v>3828</v>
      </c>
      <c r="C1311" s="18">
        <v>1.2539885E7</v>
      </c>
      <c r="D1311" s="18">
        <v>1.0</v>
      </c>
      <c r="E1311" s="18">
        <v>360.0</v>
      </c>
      <c r="F1311" s="18">
        <v>360.0</v>
      </c>
    </row>
    <row r="1312">
      <c r="A1312" s="6" t="s">
        <v>5266</v>
      </c>
      <c r="B1312" s="6" t="s">
        <v>3832</v>
      </c>
      <c r="C1312" s="6" t="s">
        <v>159</v>
      </c>
      <c r="D1312" s="18">
        <v>1.0</v>
      </c>
      <c r="E1312" s="18">
        <v>180.0</v>
      </c>
      <c r="F1312" s="18">
        <v>180.0</v>
      </c>
    </row>
    <row r="1313">
      <c r="A1313" s="6" t="s">
        <v>5267</v>
      </c>
      <c r="B1313" s="6" t="s">
        <v>3832</v>
      </c>
      <c r="C1313" s="6" t="s">
        <v>155</v>
      </c>
      <c r="D1313" s="18">
        <v>1.0</v>
      </c>
      <c r="E1313" s="18">
        <v>58.82</v>
      </c>
      <c r="F1313" s="18">
        <v>58.82</v>
      </c>
    </row>
    <row r="1314">
      <c r="A1314" s="6" t="s">
        <v>5269</v>
      </c>
      <c r="B1314" s="6" t="s">
        <v>3832</v>
      </c>
      <c r="C1314" s="6" t="s">
        <v>152</v>
      </c>
      <c r="D1314" s="18">
        <v>1.0</v>
      </c>
      <c r="E1314" s="18">
        <v>22.56</v>
      </c>
      <c r="F1314" s="18">
        <v>22.56</v>
      </c>
    </row>
    <row r="1315">
      <c r="A1315" s="6" t="s">
        <v>5272</v>
      </c>
      <c r="B1315" s="6" t="s">
        <v>3832</v>
      </c>
      <c r="C1315" s="6" t="s">
        <v>226</v>
      </c>
      <c r="D1315" s="18">
        <v>1.0</v>
      </c>
      <c r="E1315" s="18">
        <v>57.0</v>
      </c>
      <c r="F1315" s="18">
        <v>57.0</v>
      </c>
    </row>
    <row r="1316">
      <c r="A1316" s="6" t="s">
        <v>5273</v>
      </c>
      <c r="B1316" s="6" t="s">
        <v>3837</v>
      </c>
      <c r="C1316" s="6" t="s">
        <v>1510</v>
      </c>
      <c r="D1316" s="18">
        <v>1.0</v>
      </c>
      <c r="E1316" s="18">
        <v>17517.49</v>
      </c>
      <c r="F1316" s="18">
        <v>17517.49</v>
      </c>
    </row>
    <row r="1317">
      <c r="A1317" s="6" t="s">
        <v>5275</v>
      </c>
      <c r="B1317" s="6" t="s">
        <v>3842</v>
      </c>
      <c r="C1317" s="6" t="s">
        <v>335</v>
      </c>
      <c r="D1317" s="18">
        <v>1.0</v>
      </c>
      <c r="E1317" s="18">
        <v>224.08</v>
      </c>
      <c r="F1317" s="18">
        <v>224.08</v>
      </c>
    </row>
    <row r="1318">
      <c r="A1318" s="6" t="s">
        <v>5278</v>
      </c>
      <c r="B1318" s="6" t="s">
        <v>3842</v>
      </c>
      <c r="C1318" s="6" t="s">
        <v>338</v>
      </c>
      <c r="D1318" s="18">
        <v>1.0</v>
      </c>
      <c r="E1318" s="18">
        <v>224.08</v>
      </c>
      <c r="F1318" s="18">
        <v>224.08</v>
      </c>
    </row>
    <row r="1319">
      <c r="A1319" s="6" t="s">
        <v>5280</v>
      </c>
      <c r="B1319" s="6" t="s">
        <v>3842</v>
      </c>
      <c r="C1319" s="6" t="s">
        <v>1777</v>
      </c>
      <c r="D1319" s="18">
        <v>1.0</v>
      </c>
      <c r="E1319" s="18">
        <v>224.08</v>
      </c>
      <c r="F1319" s="18">
        <v>224.08</v>
      </c>
    </row>
    <row r="1320">
      <c r="A1320" s="6" t="s">
        <v>5282</v>
      </c>
      <c r="B1320" s="6" t="s">
        <v>3846</v>
      </c>
      <c r="C1320" s="6" t="s">
        <v>1777</v>
      </c>
      <c r="D1320" s="18">
        <v>1.0</v>
      </c>
      <c r="E1320" s="18">
        <v>29.88</v>
      </c>
      <c r="F1320" s="18">
        <v>29.88</v>
      </c>
    </row>
    <row r="1321">
      <c r="A1321" s="6" t="s">
        <v>5284</v>
      </c>
      <c r="B1321" s="6" t="s">
        <v>3849</v>
      </c>
      <c r="C1321" s="6" t="s">
        <v>794</v>
      </c>
      <c r="D1321" s="18">
        <v>4.0</v>
      </c>
      <c r="E1321" s="18">
        <v>28.7</v>
      </c>
      <c r="F1321" s="18">
        <v>114.8</v>
      </c>
    </row>
    <row r="1322">
      <c r="A1322" s="6" t="s">
        <v>5286</v>
      </c>
      <c r="B1322" s="6" t="s">
        <v>3849</v>
      </c>
      <c r="C1322" s="6" t="s">
        <v>802</v>
      </c>
      <c r="D1322" s="18">
        <v>2.0</v>
      </c>
      <c r="E1322" s="18">
        <v>84.07</v>
      </c>
      <c r="F1322" s="18">
        <v>168.14</v>
      </c>
    </row>
    <row r="1323">
      <c r="A1323" s="6" t="s">
        <v>5287</v>
      </c>
      <c r="B1323" s="6" t="s">
        <v>3849</v>
      </c>
      <c r="C1323" s="6" t="s">
        <v>249</v>
      </c>
      <c r="D1323" s="18">
        <v>48.0</v>
      </c>
      <c r="E1323" s="18">
        <v>5.76</v>
      </c>
      <c r="F1323" s="18">
        <v>276.48</v>
      </c>
    </row>
    <row r="1324">
      <c r="A1324" s="6" t="s">
        <v>5288</v>
      </c>
      <c r="B1324" s="6" t="s">
        <v>3849</v>
      </c>
      <c r="C1324" s="6" t="s">
        <v>249</v>
      </c>
      <c r="D1324" s="18">
        <v>24.0</v>
      </c>
      <c r="E1324" s="18">
        <v>11.27</v>
      </c>
      <c r="F1324" s="18">
        <v>270.48</v>
      </c>
    </row>
    <row r="1325">
      <c r="A1325" s="6" t="s">
        <v>5289</v>
      </c>
      <c r="B1325" s="6" t="s">
        <v>3849</v>
      </c>
      <c r="C1325" s="6" t="s">
        <v>789</v>
      </c>
      <c r="D1325" s="18">
        <v>3.0</v>
      </c>
      <c r="E1325" s="18">
        <v>62.41</v>
      </c>
      <c r="F1325" s="18">
        <v>187.23</v>
      </c>
    </row>
    <row r="1326">
      <c r="A1326" s="6" t="s">
        <v>5291</v>
      </c>
      <c r="B1326" s="6" t="s">
        <v>3854</v>
      </c>
      <c r="C1326" s="6" t="s">
        <v>159</v>
      </c>
      <c r="D1326" s="18">
        <v>1.0</v>
      </c>
      <c r="E1326" s="18">
        <v>144.0</v>
      </c>
      <c r="F1326" s="18">
        <v>144.0</v>
      </c>
    </row>
    <row r="1327">
      <c r="A1327" s="6" t="s">
        <v>5292</v>
      </c>
      <c r="B1327" s="6" t="s">
        <v>3854</v>
      </c>
      <c r="C1327" s="6" t="s">
        <v>155</v>
      </c>
      <c r="D1327" s="18">
        <v>1.0</v>
      </c>
      <c r="E1327" s="18">
        <v>23.59</v>
      </c>
      <c r="F1327" s="18">
        <v>23.59</v>
      </c>
    </row>
    <row r="1328">
      <c r="A1328" s="6" t="s">
        <v>5293</v>
      </c>
      <c r="B1328" s="6" t="s">
        <v>3858</v>
      </c>
      <c r="C1328" s="18">
        <v>1.2539885E7</v>
      </c>
      <c r="D1328" s="18">
        <v>1.0</v>
      </c>
      <c r="E1328" s="18">
        <v>400.0</v>
      </c>
      <c r="F1328" s="18">
        <v>400.0</v>
      </c>
    </row>
    <row r="1329">
      <c r="A1329" s="6" t="s">
        <v>5294</v>
      </c>
      <c r="B1329" s="6" t="s">
        <v>3862</v>
      </c>
      <c r="C1329" s="6" t="s">
        <v>1757</v>
      </c>
      <c r="D1329" s="18">
        <v>1.0</v>
      </c>
      <c r="E1329" s="18">
        <v>50.0</v>
      </c>
      <c r="F1329" s="18">
        <v>50.0</v>
      </c>
    </row>
    <row r="1330">
      <c r="A1330" s="6" t="s">
        <v>5296</v>
      </c>
      <c r="B1330" s="6" t="s">
        <v>3866</v>
      </c>
      <c r="C1330" s="6" t="s">
        <v>1668</v>
      </c>
      <c r="D1330" s="18">
        <v>1.0</v>
      </c>
      <c r="E1330" s="18">
        <v>118.0</v>
      </c>
      <c r="F1330" s="18">
        <v>118.0</v>
      </c>
    </row>
    <row r="1331">
      <c r="A1331" s="6" t="s">
        <v>5298</v>
      </c>
      <c r="B1331" s="6" t="s">
        <v>3871</v>
      </c>
      <c r="C1331" s="6" t="s">
        <v>1168</v>
      </c>
      <c r="D1331" s="18">
        <v>1.0</v>
      </c>
      <c r="E1331" s="18">
        <v>200.0</v>
      </c>
      <c r="F1331" s="18">
        <v>200.0</v>
      </c>
    </row>
    <row r="1332">
      <c r="A1332" s="6" t="s">
        <v>5301</v>
      </c>
      <c r="B1332" s="6" t="s">
        <v>3875</v>
      </c>
      <c r="C1332" s="6" t="s">
        <v>1536</v>
      </c>
      <c r="D1332" s="18">
        <v>1.0</v>
      </c>
      <c r="E1332" s="18">
        <v>165.0</v>
      </c>
      <c r="F1332" s="18">
        <v>165.0</v>
      </c>
    </row>
    <row r="1333">
      <c r="A1333" s="6" t="s">
        <v>5302</v>
      </c>
      <c r="B1333" s="6" t="s">
        <v>3880</v>
      </c>
      <c r="C1333" s="6" t="s">
        <v>1073</v>
      </c>
      <c r="D1333" s="18">
        <v>2.0</v>
      </c>
      <c r="E1333" s="18">
        <v>19.25</v>
      </c>
      <c r="F1333" s="18">
        <v>38.5</v>
      </c>
    </row>
    <row r="1334">
      <c r="A1334" s="6" t="s">
        <v>5304</v>
      </c>
      <c r="B1334" s="6" t="s">
        <v>3880</v>
      </c>
      <c r="C1334" s="6" t="s">
        <v>1074</v>
      </c>
      <c r="D1334" s="18">
        <v>2.0</v>
      </c>
      <c r="E1334" s="18">
        <v>38.0</v>
      </c>
      <c r="F1334" s="18">
        <v>76.0</v>
      </c>
    </row>
    <row r="1335">
      <c r="A1335" s="6" t="s">
        <v>5307</v>
      </c>
      <c r="B1335" s="6" t="s">
        <v>3880</v>
      </c>
      <c r="C1335" s="6" t="s">
        <v>1075</v>
      </c>
      <c r="D1335" s="18">
        <v>2.0</v>
      </c>
      <c r="E1335" s="18">
        <v>19.0</v>
      </c>
      <c r="F1335" s="18">
        <v>38.0</v>
      </c>
    </row>
    <row r="1336">
      <c r="A1336" s="6" t="s">
        <v>5309</v>
      </c>
      <c r="B1336" s="6" t="s">
        <v>3880</v>
      </c>
      <c r="C1336" s="6" t="s">
        <v>1077</v>
      </c>
      <c r="D1336" s="18">
        <v>1.0</v>
      </c>
      <c r="E1336" s="18">
        <v>25.0</v>
      </c>
      <c r="F1336" s="18">
        <v>25.0</v>
      </c>
    </row>
    <row r="1337">
      <c r="A1337" s="6" t="s">
        <v>5310</v>
      </c>
      <c r="B1337" s="6" t="s">
        <v>3880</v>
      </c>
      <c r="C1337" s="6" t="s">
        <v>1079</v>
      </c>
      <c r="D1337" s="18">
        <v>5.0</v>
      </c>
      <c r="E1337" s="18">
        <v>17.5</v>
      </c>
      <c r="F1337" s="18">
        <v>87.5</v>
      </c>
    </row>
    <row r="1338">
      <c r="A1338" s="6" t="s">
        <v>5312</v>
      </c>
      <c r="B1338" s="6" t="s">
        <v>3880</v>
      </c>
      <c r="C1338" s="6" t="s">
        <v>1077</v>
      </c>
      <c r="D1338" s="18">
        <v>1.0</v>
      </c>
      <c r="E1338" s="18">
        <v>25.0</v>
      </c>
      <c r="F1338" s="18">
        <v>25.0</v>
      </c>
    </row>
    <row r="1339">
      <c r="A1339" s="6" t="s">
        <v>5314</v>
      </c>
      <c r="B1339" s="6" t="s">
        <v>3884</v>
      </c>
      <c r="C1339" s="6" t="s">
        <v>3496</v>
      </c>
      <c r="D1339" s="18">
        <v>1.0</v>
      </c>
      <c r="E1339" s="18">
        <v>193.0</v>
      </c>
      <c r="F1339" s="18">
        <v>193.0</v>
      </c>
    </row>
    <row r="1340">
      <c r="A1340" s="6" t="s">
        <v>5316</v>
      </c>
      <c r="B1340" s="6" t="s">
        <v>3890</v>
      </c>
      <c r="C1340" s="6" t="s">
        <v>159</v>
      </c>
      <c r="D1340" s="18">
        <v>1.0</v>
      </c>
      <c r="E1340" s="18">
        <v>240.0</v>
      </c>
      <c r="F1340" s="18">
        <v>240.0</v>
      </c>
    </row>
    <row r="1341">
      <c r="A1341" s="6" t="s">
        <v>5317</v>
      </c>
      <c r="B1341" s="6" t="s">
        <v>3890</v>
      </c>
      <c r="C1341" s="6" t="s">
        <v>155</v>
      </c>
      <c r="D1341" s="18">
        <v>1.0</v>
      </c>
      <c r="E1341" s="18">
        <v>34.96</v>
      </c>
      <c r="F1341" s="18">
        <v>34.96</v>
      </c>
    </row>
    <row r="1342">
      <c r="A1342" s="6" t="s">
        <v>5318</v>
      </c>
      <c r="B1342" s="6" t="s">
        <v>3890</v>
      </c>
      <c r="C1342" s="6" t="s">
        <v>152</v>
      </c>
      <c r="D1342" s="18">
        <v>1.0</v>
      </c>
      <c r="E1342" s="18">
        <v>15.8</v>
      </c>
      <c r="F1342" s="18">
        <v>15.8</v>
      </c>
    </row>
    <row r="1343">
      <c r="A1343" s="6" t="s">
        <v>5320</v>
      </c>
      <c r="B1343" s="6" t="s">
        <v>3890</v>
      </c>
      <c r="C1343" s="6" t="s">
        <v>226</v>
      </c>
      <c r="D1343" s="18">
        <v>1.0</v>
      </c>
      <c r="E1343" s="18">
        <v>47.5</v>
      </c>
      <c r="F1343" s="18">
        <v>47.5</v>
      </c>
    </row>
    <row r="1344">
      <c r="A1344" s="6" t="s">
        <v>5322</v>
      </c>
      <c r="B1344" s="6" t="s">
        <v>3894</v>
      </c>
      <c r="C1344" s="6" t="s">
        <v>305</v>
      </c>
      <c r="D1344" s="18">
        <v>1.0</v>
      </c>
      <c r="E1344" s="18">
        <v>52.73</v>
      </c>
      <c r="F1344" s="18">
        <v>52.73</v>
      </c>
    </row>
    <row r="1345">
      <c r="A1345" s="6" t="s">
        <v>5324</v>
      </c>
      <c r="B1345" s="6" t="s">
        <v>3900</v>
      </c>
      <c r="C1345" s="6" t="s">
        <v>5325</v>
      </c>
      <c r="D1345" s="18">
        <v>1.0</v>
      </c>
      <c r="E1345" s="18">
        <v>110.0</v>
      </c>
      <c r="F1345" s="18">
        <v>110.0</v>
      </c>
    </row>
    <row r="1346">
      <c r="A1346" s="6" t="s">
        <v>5326</v>
      </c>
      <c r="B1346" s="6" t="s">
        <v>3905</v>
      </c>
      <c r="C1346" s="6" t="s">
        <v>159</v>
      </c>
      <c r="D1346" s="18">
        <v>1.0</v>
      </c>
      <c r="E1346" s="18">
        <v>120.0</v>
      </c>
      <c r="F1346" s="18">
        <v>120.0</v>
      </c>
    </row>
    <row r="1347">
      <c r="A1347" s="6" t="s">
        <v>5327</v>
      </c>
      <c r="B1347" s="6" t="s">
        <v>3905</v>
      </c>
      <c r="C1347" s="6" t="s">
        <v>155</v>
      </c>
      <c r="D1347" s="18">
        <v>1.0</v>
      </c>
      <c r="E1347" s="18">
        <v>47.04</v>
      </c>
      <c r="F1347" s="18">
        <v>47.04</v>
      </c>
    </row>
    <row r="1348">
      <c r="A1348" s="6" t="s">
        <v>5329</v>
      </c>
      <c r="B1348" s="6" t="s">
        <v>3905</v>
      </c>
      <c r="C1348" s="6" t="s">
        <v>226</v>
      </c>
      <c r="D1348" s="18">
        <v>1.0</v>
      </c>
      <c r="E1348" s="18">
        <v>76.0</v>
      </c>
      <c r="F1348" s="18">
        <v>76.0</v>
      </c>
    </row>
    <row r="1349">
      <c r="A1349" s="6" t="s">
        <v>5331</v>
      </c>
      <c r="B1349" s="6" t="s">
        <v>3909</v>
      </c>
      <c r="C1349" s="6" t="s">
        <v>305</v>
      </c>
      <c r="D1349" s="18">
        <v>1.0</v>
      </c>
      <c r="E1349" s="18">
        <v>191.92</v>
      </c>
      <c r="F1349" s="18">
        <v>191.92</v>
      </c>
    </row>
    <row r="1350">
      <c r="A1350" s="6" t="s">
        <v>5333</v>
      </c>
      <c r="B1350" s="6" t="s">
        <v>3916</v>
      </c>
      <c r="C1350" s="6" t="s">
        <v>1168</v>
      </c>
      <c r="D1350" s="18">
        <v>1.0</v>
      </c>
      <c r="E1350" s="18">
        <v>100.0</v>
      </c>
      <c r="F1350" s="18">
        <v>100.0</v>
      </c>
    </row>
    <row r="1351">
      <c r="A1351" s="6" t="s">
        <v>5334</v>
      </c>
      <c r="B1351" s="6" t="s">
        <v>3920</v>
      </c>
      <c r="C1351" s="6" t="s">
        <v>1126</v>
      </c>
      <c r="D1351" s="18">
        <v>1.0</v>
      </c>
      <c r="E1351" s="18">
        <v>30.0</v>
      </c>
      <c r="F1351" s="18">
        <v>30.0</v>
      </c>
    </row>
    <row r="1352">
      <c r="A1352" s="6" t="s">
        <v>5335</v>
      </c>
      <c r="B1352" s="6" t="s">
        <v>3922</v>
      </c>
      <c r="C1352" s="6" t="s">
        <v>1080</v>
      </c>
      <c r="D1352" s="18">
        <v>10.0</v>
      </c>
      <c r="E1352" s="18">
        <v>12.9</v>
      </c>
      <c r="F1352" s="18">
        <v>129.0</v>
      </c>
    </row>
    <row r="1353">
      <c r="A1353" s="6" t="s">
        <v>5337</v>
      </c>
      <c r="B1353" s="6" t="s">
        <v>3922</v>
      </c>
      <c r="C1353" s="6" t="s">
        <v>1427</v>
      </c>
      <c r="D1353" s="18">
        <v>1.0</v>
      </c>
      <c r="E1353" s="18">
        <v>77.7</v>
      </c>
      <c r="F1353" s="18">
        <v>77.7</v>
      </c>
    </row>
    <row r="1354">
      <c r="A1354" s="6" t="s">
        <v>5339</v>
      </c>
      <c r="B1354" s="6" t="s">
        <v>3929</v>
      </c>
      <c r="C1354" s="18">
        <v>1.2539885E7</v>
      </c>
      <c r="D1354" s="18">
        <v>1.0</v>
      </c>
      <c r="E1354" s="18">
        <v>400.0</v>
      </c>
      <c r="F1354" s="18">
        <v>400.0</v>
      </c>
    </row>
    <row r="1355">
      <c r="A1355" s="6" t="s">
        <v>5342</v>
      </c>
      <c r="B1355" s="6" t="s">
        <v>3934</v>
      </c>
      <c r="C1355" s="6" t="s">
        <v>981</v>
      </c>
      <c r="D1355" s="18">
        <v>6.0</v>
      </c>
      <c r="E1355" s="18">
        <v>4.59</v>
      </c>
      <c r="F1355" s="18">
        <v>27.54</v>
      </c>
    </row>
    <row r="1356">
      <c r="A1356" s="6" t="s">
        <v>5343</v>
      </c>
      <c r="B1356" s="6" t="s">
        <v>3934</v>
      </c>
      <c r="C1356" s="6" t="s">
        <v>238</v>
      </c>
      <c r="D1356" s="18">
        <v>12.0</v>
      </c>
      <c r="E1356" s="18">
        <v>5.9</v>
      </c>
      <c r="F1356" s="18">
        <v>70.8</v>
      </c>
    </row>
    <row r="1357">
      <c r="A1357" s="6" t="s">
        <v>5344</v>
      </c>
      <c r="B1357" s="6" t="s">
        <v>3934</v>
      </c>
      <c r="C1357" s="6" t="s">
        <v>243</v>
      </c>
      <c r="D1357" s="18">
        <v>9.0</v>
      </c>
      <c r="E1357" s="18">
        <v>7.2</v>
      </c>
      <c r="F1357" s="18">
        <v>64.8</v>
      </c>
    </row>
    <row r="1358">
      <c r="A1358" s="6" t="s">
        <v>5346</v>
      </c>
      <c r="B1358" s="6" t="s">
        <v>3939</v>
      </c>
      <c r="C1358" s="6" t="s">
        <v>159</v>
      </c>
      <c r="D1358" s="18">
        <v>1.0</v>
      </c>
      <c r="E1358" s="18">
        <v>144.0</v>
      </c>
      <c r="F1358" s="18">
        <v>144.0</v>
      </c>
    </row>
    <row r="1359">
      <c r="A1359" s="6" t="s">
        <v>5349</v>
      </c>
      <c r="B1359" s="6" t="s">
        <v>3939</v>
      </c>
      <c r="C1359" s="6" t="s">
        <v>230</v>
      </c>
      <c r="D1359" s="18">
        <v>1.0</v>
      </c>
      <c r="E1359" s="18">
        <v>98.04</v>
      </c>
      <c r="F1359" s="18">
        <v>98.04</v>
      </c>
    </row>
    <row r="1360">
      <c r="A1360" s="6" t="s">
        <v>5350</v>
      </c>
      <c r="B1360" s="6" t="s">
        <v>3939</v>
      </c>
      <c r="C1360" s="6" t="s">
        <v>226</v>
      </c>
      <c r="D1360" s="18">
        <v>1.0</v>
      </c>
      <c r="E1360" s="18">
        <v>66.5</v>
      </c>
      <c r="F1360" s="18">
        <v>66.5</v>
      </c>
    </row>
    <row r="1361">
      <c r="A1361" s="6" t="s">
        <v>5351</v>
      </c>
      <c r="B1361" s="6" t="s">
        <v>3943</v>
      </c>
      <c r="C1361" s="6" t="s">
        <v>155</v>
      </c>
      <c r="D1361" s="18">
        <v>1.0</v>
      </c>
      <c r="E1361" s="18">
        <v>23.27</v>
      </c>
      <c r="F1361" s="18">
        <v>23.27</v>
      </c>
    </row>
    <row r="1362">
      <c r="A1362" s="6" t="s">
        <v>5352</v>
      </c>
      <c r="B1362" s="6" t="s">
        <v>3943</v>
      </c>
      <c r="C1362" s="6" t="s">
        <v>152</v>
      </c>
      <c r="D1362" s="18">
        <v>1.0</v>
      </c>
      <c r="E1362" s="18">
        <v>16.85</v>
      </c>
      <c r="F1362" s="18">
        <v>16.85</v>
      </c>
    </row>
    <row r="1363">
      <c r="A1363" s="6" t="s">
        <v>5354</v>
      </c>
      <c r="B1363" s="6" t="s">
        <v>3943</v>
      </c>
      <c r="C1363" s="6" t="s">
        <v>226</v>
      </c>
      <c r="D1363" s="18">
        <v>1.0</v>
      </c>
      <c r="E1363" s="18">
        <v>38.0</v>
      </c>
      <c r="F1363" s="18">
        <v>38.0</v>
      </c>
    </row>
    <row r="1364">
      <c r="A1364" s="6" t="s">
        <v>5357</v>
      </c>
      <c r="B1364" s="6" t="s">
        <v>3946</v>
      </c>
      <c r="C1364" s="6" t="s">
        <v>249</v>
      </c>
      <c r="D1364" s="18">
        <v>1.0</v>
      </c>
      <c r="E1364" s="18">
        <v>100.0</v>
      </c>
      <c r="F1364" s="18">
        <v>100.0</v>
      </c>
    </row>
    <row r="1365">
      <c r="A1365" s="6" t="s">
        <v>5359</v>
      </c>
      <c r="B1365" s="6" t="s">
        <v>3946</v>
      </c>
      <c r="C1365" s="6" t="s">
        <v>794</v>
      </c>
      <c r="D1365" s="18">
        <v>1.0</v>
      </c>
      <c r="E1365" s="18">
        <v>250.0</v>
      </c>
      <c r="F1365" s="18">
        <v>250.0</v>
      </c>
    </row>
    <row r="1366">
      <c r="A1366" s="6" t="s">
        <v>5360</v>
      </c>
      <c r="B1366" s="6" t="s">
        <v>3946</v>
      </c>
      <c r="C1366" s="6" t="s">
        <v>802</v>
      </c>
      <c r="D1366" s="18">
        <v>1.0</v>
      </c>
      <c r="E1366" s="18">
        <v>60.0</v>
      </c>
      <c r="F1366" s="18">
        <v>60.0</v>
      </c>
    </row>
    <row r="1367">
      <c r="A1367" s="6" t="s">
        <v>5362</v>
      </c>
      <c r="B1367" s="6" t="s">
        <v>3946</v>
      </c>
      <c r="C1367" s="6" t="s">
        <v>789</v>
      </c>
      <c r="D1367" s="18">
        <v>1.0</v>
      </c>
      <c r="E1367" s="18">
        <v>130.14</v>
      </c>
      <c r="F1367" s="18">
        <v>130.14</v>
      </c>
    </row>
    <row r="1368">
      <c r="A1368" s="6" t="s">
        <v>5364</v>
      </c>
      <c r="B1368" s="6" t="s">
        <v>3946</v>
      </c>
      <c r="C1368" s="6" t="s">
        <v>1350</v>
      </c>
      <c r="D1368" s="18">
        <v>1.0</v>
      </c>
      <c r="E1368" s="18">
        <v>70.0</v>
      </c>
      <c r="F1368" s="18">
        <v>70.0</v>
      </c>
    </row>
    <row r="1369">
      <c r="A1369" s="6" t="s">
        <v>5366</v>
      </c>
      <c r="B1369" s="6" t="s">
        <v>3946</v>
      </c>
      <c r="C1369" s="6" t="s">
        <v>797</v>
      </c>
      <c r="D1369" s="18">
        <v>1.0</v>
      </c>
      <c r="E1369" s="18">
        <v>200.0</v>
      </c>
      <c r="F1369" s="18">
        <v>200.0</v>
      </c>
    </row>
    <row r="1370">
      <c r="A1370" s="6" t="s">
        <v>5367</v>
      </c>
      <c r="B1370" s="6" t="s">
        <v>3946</v>
      </c>
      <c r="C1370" s="6" t="s">
        <v>266</v>
      </c>
      <c r="D1370" s="18">
        <v>1.0</v>
      </c>
      <c r="E1370" s="18">
        <v>124.0</v>
      </c>
      <c r="F1370" s="18">
        <v>124.0</v>
      </c>
    </row>
    <row r="1371">
      <c r="A1371" s="6" t="s">
        <v>5368</v>
      </c>
      <c r="B1371" s="6" t="s">
        <v>3946</v>
      </c>
      <c r="C1371" s="18">
        <v>1.6367609E7</v>
      </c>
      <c r="D1371" s="18">
        <v>1.0</v>
      </c>
      <c r="E1371" s="18">
        <v>200.0</v>
      </c>
      <c r="F1371" s="18">
        <v>200.0</v>
      </c>
    </row>
    <row r="1372">
      <c r="A1372" s="6" t="s">
        <v>5371</v>
      </c>
      <c r="B1372" s="6" t="s">
        <v>3952</v>
      </c>
      <c r="C1372" s="6" t="s">
        <v>1074</v>
      </c>
      <c r="D1372" s="18">
        <v>2.0</v>
      </c>
      <c r="E1372" s="18">
        <v>38.0</v>
      </c>
      <c r="F1372" s="18">
        <v>76.0</v>
      </c>
    </row>
    <row r="1373">
      <c r="A1373" s="6" t="s">
        <v>5374</v>
      </c>
      <c r="B1373" s="6" t="s">
        <v>3952</v>
      </c>
      <c r="C1373" s="6" t="s">
        <v>1384</v>
      </c>
      <c r="D1373" s="18">
        <v>1.0</v>
      </c>
      <c r="E1373" s="18">
        <v>18.0</v>
      </c>
      <c r="F1373" s="18">
        <v>18.0</v>
      </c>
    </row>
    <row r="1374">
      <c r="A1374" s="6" t="s">
        <v>5375</v>
      </c>
      <c r="B1374" s="6" t="s">
        <v>3952</v>
      </c>
      <c r="C1374" s="6" t="s">
        <v>1404</v>
      </c>
      <c r="D1374" s="18">
        <v>1.0</v>
      </c>
      <c r="E1374" s="18">
        <v>18.0</v>
      </c>
      <c r="F1374" s="18">
        <v>18.0</v>
      </c>
    </row>
    <row r="1375">
      <c r="A1375" s="6" t="s">
        <v>5377</v>
      </c>
      <c r="B1375" s="6" t="s">
        <v>3952</v>
      </c>
      <c r="C1375" s="6" t="s">
        <v>1075</v>
      </c>
      <c r="D1375" s="18">
        <v>2.0</v>
      </c>
      <c r="E1375" s="18">
        <v>18.0</v>
      </c>
      <c r="F1375" s="18">
        <v>36.0</v>
      </c>
    </row>
    <row r="1376">
      <c r="A1376" s="6" t="s">
        <v>5378</v>
      </c>
      <c r="B1376" s="6" t="s">
        <v>3952</v>
      </c>
      <c r="C1376" s="6" t="s">
        <v>1077</v>
      </c>
      <c r="D1376" s="18">
        <v>1.0</v>
      </c>
      <c r="E1376" s="18">
        <v>25.0</v>
      </c>
      <c r="F1376" s="18">
        <v>25.0</v>
      </c>
    </row>
    <row r="1377">
      <c r="A1377" s="6" t="s">
        <v>5381</v>
      </c>
      <c r="B1377" s="6" t="s">
        <v>3952</v>
      </c>
      <c r="C1377" s="6" t="s">
        <v>1081</v>
      </c>
      <c r="D1377" s="18">
        <v>3.0</v>
      </c>
      <c r="E1377" s="18">
        <v>46.0</v>
      </c>
      <c r="F1377" s="18">
        <v>138.0</v>
      </c>
    </row>
    <row r="1378">
      <c r="A1378" s="6" t="s">
        <v>5383</v>
      </c>
      <c r="B1378" s="6" t="s">
        <v>3952</v>
      </c>
      <c r="C1378" s="6" t="s">
        <v>1085</v>
      </c>
      <c r="D1378" s="18">
        <v>2.0</v>
      </c>
      <c r="E1378" s="18">
        <v>38.0</v>
      </c>
      <c r="F1378" s="18">
        <v>76.0</v>
      </c>
    </row>
    <row r="1379">
      <c r="A1379" s="6" t="s">
        <v>5384</v>
      </c>
      <c r="B1379" s="6" t="s">
        <v>3952</v>
      </c>
      <c r="C1379" s="6" t="s">
        <v>1079</v>
      </c>
      <c r="D1379" s="18">
        <v>25.0</v>
      </c>
      <c r="E1379" s="18">
        <v>17.0</v>
      </c>
      <c r="F1379" s="18">
        <v>425.0</v>
      </c>
    </row>
    <row r="1380">
      <c r="A1380" s="6" t="s">
        <v>5385</v>
      </c>
      <c r="B1380" s="6" t="s">
        <v>3952</v>
      </c>
      <c r="C1380" s="6" t="s">
        <v>1427</v>
      </c>
      <c r="D1380" s="18">
        <v>1.0</v>
      </c>
      <c r="E1380" s="18">
        <v>60.0</v>
      </c>
      <c r="F1380" s="18">
        <v>60.0</v>
      </c>
    </row>
    <row r="1381">
      <c r="A1381" s="6" t="s">
        <v>5387</v>
      </c>
      <c r="B1381" s="6" t="s">
        <v>3952</v>
      </c>
      <c r="C1381" s="6" t="s">
        <v>1083</v>
      </c>
      <c r="D1381" s="18">
        <v>1.0</v>
      </c>
      <c r="E1381" s="18">
        <v>43.0</v>
      </c>
      <c r="F1381" s="18">
        <v>43.0</v>
      </c>
    </row>
    <row r="1382">
      <c r="A1382" s="6" t="s">
        <v>5388</v>
      </c>
      <c r="B1382" s="6" t="s">
        <v>3956</v>
      </c>
      <c r="C1382" s="6" t="s">
        <v>1168</v>
      </c>
      <c r="D1382" s="18">
        <v>1.0</v>
      </c>
      <c r="E1382" s="18">
        <v>500.0</v>
      </c>
      <c r="F1382" s="18">
        <v>500.0</v>
      </c>
    </row>
    <row r="1383">
      <c r="A1383" s="6" t="s">
        <v>5390</v>
      </c>
      <c r="B1383" s="6" t="s">
        <v>3958</v>
      </c>
      <c r="C1383" s="6" t="s">
        <v>1168</v>
      </c>
      <c r="D1383" s="18">
        <v>1.0</v>
      </c>
      <c r="E1383" s="18">
        <v>500.0</v>
      </c>
      <c r="F1383" s="18">
        <v>500.0</v>
      </c>
    </row>
    <row r="1384">
      <c r="A1384" s="6" t="s">
        <v>5391</v>
      </c>
      <c r="B1384" s="6" t="s">
        <v>3961</v>
      </c>
      <c r="C1384" s="6" t="s">
        <v>1517</v>
      </c>
      <c r="D1384" s="18">
        <v>1.0</v>
      </c>
      <c r="E1384" s="18">
        <v>9601.47</v>
      </c>
      <c r="F1384" s="18">
        <v>9601.47</v>
      </c>
    </row>
    <row r="1385">
      <c r="A1385" s="6" t="s">
        <v>5393</v>
      </c>
      <c r="B1385" s="6" t="s">
        <v>3965</v>
      </c>
      <c r="C1385" s="6" t="s">
        <v>1073</v>
      </c>
      <c r="D1385" s="18">
        <v>1.0</v>
      </c>
      <c r="E1385" s="18">
        <v>19.25</v>
      </c>
      <c r="F1385" s="18">
        <v>19.25</v>
      </c>
    </row>
    <row r="1386">
      <c r="A1386" s="6" t="s">
        <v>5394</v>
      </c>
      <c r="B1386" s="6" t="s">
        <v>3965</v>
      </c>
      <c r="C1386" s="6" t="s">
        <v>1384</v>
      </c>
      <c r="D1386" s="18">
        <v>1.0</v>
      </c>
      <c r="E1386" s="18">
        <v>19.0</v>
      </c>
      <c r="F1386" s="18">
        <v>19.0</v>
      </c>
    </row>
    <row r="1387">
      <c r="A1387" s="6" t="s">
        <v>5396</v>
      </c>
      <c r="B1387" s="6" t="s">
        <v>3965</v>
      </c>
      <c r="C1387" s="6" t="s">
        <v>1404</v>
      </c>
      <c r="D1387" s="18">
        <v>1.0</v>
      </c>
      <c r="E1387" s="18">
        <v>19.0</v>
      </c>
      <c r="F1387" s="18">
        <v>19.0</v>
      </c>
    </row>
    <row r="1388">
      <c r="A1388" s="6" t="s">
        <v>5397</v>
      </c>
      <c r="B1388" s="6" t="s">
        <v>3965</v>
      </c>
      <c r="C1388" s="6" t="s">
        <v>1404</v>
      </c>
      <c r="D1388" s="18">
        <v>1.0</v>
      </c>
      <c r="E1388" s="18">
        <v>65.0</v>
      </c>
      <c r="F1388" s="18">
        <v>65.0</v>
      </c>
    </row>
    <row r="1389">
      <c r="A1389" s="6" t="s">
        <v>5398</v>
      </c>
      <c r="B1389" s="6" t="s">
        <v>3965</v>
      </c>
      <c r="C1389" s="6" t="s">
        <v>1074</v>
      </c>
      <c r="D1389" s="18">
        <v>2.0</v>
      </c>
      <c r="E1389" s="18">
        <v>38.0</v>
      </c>
      <c r="F1389" s="18">
        <v>76.0</v>
      </c>
    </row>
    <row r="1390">
      <c r="A1390" s="6" t="s">
        <v>5400</v>
      </c>
      <c r="B1390" s="6" t="s">
        <v>3965</v>
      </c>
      <c r="C1390" s="6" t="s">
        <v>1075</v>
      </c>
      <c r="D1390" s="18">
        <v>2.0</v>
      </c>
      <c r="E1390" s="18">
        <v>19.75</v>
      </c>
      <c r="F1390" s="18">
        <v>39.5</v>
      </c>
    </row>
    <row r="1391">
      <c r="A1391" s="6" t="s">
        <v>5401</v>
      </c>
      <c r="B1391" s="6" t="s">
        <v>3965</v>
      </c>
      <c r="C1391" s="6" t="s">
        <v>1077</v>
      </c>
      <c r="D1391" s="18">
        <v>2.0</v>
      </c>
      <c r="E1391" s="18">
        <v>25.0</v>
      </c>
      <c r="F1391" s="18">
        <v>50.0</v>
      </c>
    </row>
    <row r="1392">
      <c r="A1392" s="6" t="s">
        <v>5403</v>
      </c>
      <c r="B1392" s="6" t="s">
        <v>3965</v>
      </c>
      <c r="C1392" s="6" t="s">
        <v>1079</v>
      </c>
      <c r="D1392" s="18">
        <v>20.0</v>
      </c>
      <c r="E1392" s="18">
        <v>17.0</v>
      </c>
      <c r="F1392" s="18">
        <v>340.0</v>
      </c>
    </row>
    <row r="1393">
      <c r="A1393" s="6" t="s">
        <v>5404</v>
      </c>
      <c r="B1393" s="6" t="s">
        <v>3965</v>
      </c>
      <c r="C1393" s="6" t="s">
        <v>1081</v>
      </c>
      <c r="D1393" s="18">
        <v>1.0</v>
      </c>
      <c r="E1393" s="18">
        <v>61.0</v>
      </c>
      <c r="F1393" s="18">
        <v>61.0</v>
      </c>
    </row>
    <row r="1394">
      <c r="A1394" s="6" t="s">
        <v>5405</v>
      </c>
      <c r="B1394" s="6" t="s">
        <v>3969</v>
      </c>
      <c r="C1394" s="6" t="s">
        <v>1510</v>
      </c>
      <c r="D1394" s="18">
        <v>1.0</v>
      </c>
      <c r="E1394" s="18">
        <v>16679.84</v>
      </c>
      <c r="F1394" s="18">
        <v>16679.84</v>
      </c>
    </row>
    <row r="1395">
      <c r="A1395" s="6" t="s">
        <v>5407</v>
      </c>
      <c r="B1395" s="6" t="s">
        <v>3974</v>
      </c>
      <c r="C1395" s="6" t="s">
        <v>159</v>
      </c>
      <c r="D1395" s="18">
        <v>1.0</v>
      </c>
      <c r="E1395" s="18">
        <v>300.0</v>
      </c>
      <c r="F1395" s="18">
        <v>300.0</v>
      </c>
    </row>
    <row r="1396">
      <c r="A1396" s="6" t="s">
        <v>5408</v>
      </c>
      <c r="B1396" s="6" t="s">
        <v>3974</v>
      </c>
      <c r="C1396" s="6" t="s">
        <v>155</v>
      </c>
      <c r="D1396" s="18">
        <v>1.0</v>
      </c>
      <c r="E1396" s="18">
        <v>53.9</v>
      </c>
      <c r="F1396" s="18">
        <v>53.9</v>
      </c>
    </row>
    <row r="1397">
      <c r="A1397" s="6" t="s">
        <v>5409</v>
      </c>
      <c r="B1397" s="6" t="s">
        <v>3974</v>
      </c>
      <c r="C1397" s="6" t="s">
        <v>152</v>
      </c>
      <c r="D1397" s="18">
        <v>1.0</v>
      </c>
      <c r="E1397" s="18">
        <v>20.58</v>
      </c>
      <c r="F1397" s="18">
        <v>20.58</v>
      </c>
    </row>
    <row r="1398">
      <c r="A1398" s="6" t="s">
        <v>5410</v>
      </c>
      <c r="B1398" s="6" t="s">
        <v>3974</v>
      </c>
      <c r="C1398" s="6" t="s">
        <v>226</v>
      </c>
      <c r="D1398" s="18">
        <v>1.0</v>
      </c>
      <c r="E1398" s="18">
        <v>142.5</v>
      </c>
      <c r="F1398" s="18">
        <v>142.5</v>
      </c>
    </row>
    <row r="1399">
      <c r="A1399" s="6" t="s">
        <v>5411</v>
      </c>
      <c r="B1399" s="6" t="s">
        <v>3978</v>
      </c>
      <c r="C1399" s="18">
        <v>1.2539885E7</v>
      </c>
      <c r="D1399" s="18">
        <v>1.0</v>
      </c>
      <c r="E1399" s="18">
        <v>300.0</v>
      </c>
      <c r="F1399" s="18">
        <v>300.0</v>
      </c>
    </row>
    <row r="1400">
      <c r="A1400" s="6" t="s">
        <v>5413</v>
      </c>
      <c r="B1400" s="6" t="s">
        <v>3982</v>
      </c>
      <c r="C1400" s="6" t="s">
        <v>1168</v>
      </c>
      <c r="D1400" s="18">
        <v>1.0</v>
      </c>
      <c r="E1400" s="18">
        <v>100.0</v>
      </c>
      <c r="F1400" s="18">
        <v>100.0</v>
      </c>
    </row>
    <row r="1401">
      <c r="A1401" s="6" t="s">
        <v>5415</v>
      </c>
      <c r="B1401" s="6" t="s">
        <v>3984</v>
      </c>
      <c r="C1401" s="6" t="s">
        <v>1239</v>
      </c>
      <c r="D1401" s="18">
        <v>1.0</v>
      </c>
      <c r="E1401" s="18">
        <v>1608.09</v>
      </c>
      <c r="F1401" s="18">
        <v>1608.09</v>
      </c>
    </row>
    <row r="1402">
      <c r="A1402" s="6" t="s">
        <v>5417</v>
      </c>
      <c r="B1402" s="6" t="s">
        <v>3989</v>
      </c>
      <c r="C1402" s="6" t="s">
        <v>1653</v>
      </c>
      <c r="D1402" s="18">
        <v>1.0</v>
      </c>
      <c r="E1402" s="18">
        <v>228.0</v>
      </c>
      <c r="F1402" s="18">
        <v>228.0</v>
      </c>
    </row>
    <row r="1403">
      <c r="A1403" s="6" t="s">
        <v>5419</v>
      </c>
      <c r="B1403" s="6" t="s">
        <v>3991</v>
      </c>
      <c r="C1403" s="6" t="s">
        <v>1239</v>
      </c>
      <c r="D1403" s="18">
        <v>1.0</v>
      </c>
      <c r="E1403" s="18">
        <v>2655.18</v>
      </c>
      <c r="F1403" s="18">
        <v>2655.18</v>
      </c>
    </row>
    <row r="1404">
      <c r="A1404" s="6" t="s">
        <v>5421</v>
      </c>
      <c r="B1404" s="6" t="s">
        <v>3994</v>
      </c>
      <c r="C1404" s="6" t="s">
        <v>1239</v>
      </c>
      <c r="D1404" s="18">
        <v>1.0</v>
      </c>
      <c r="E1404" s="18">
        <v>2031.37</v>
      </c>
      <c r="F1404" s="18">
        <v>2031.37</v>
      </c>
    </row>
    <row r="1405">
      <c r="A1405" s="6" t="s">
        <v>5423</v>
      </c>
      <c r="B1405" s="18">
        <v>1.22709868E8</v>
      </c>
      <c r="C1405" s="6" t="s">
        <v>1239</v>
      </c>
      <c r="D1405" s="18">
        <v>1.0</v>
      </c>
      <c r="E1405" s="18">
        <v>1262.4</v>
      </c>
      <c r="F1405" s="18">
        <v>1262.4</v>
      </c>
    </row>
    <row r="1406">
      <c r="A1406" s="6" t="s">
        <v>5425</v>
      </c>
      <c r="B1406" s="6" t="s">
        <v>3999</v>
      </c>
      <c r="C1406" s="6" t="s">
        <v>1239</v>
      </c>
      <c r="D1406" s="18">
        <v>1.0</v>
      </c>
      <c r="E1406" s="18">
        <v>1680.93</v>
      </c>
      <c r="F1406" s="18">
        <v>1680.93</v>
      </c>
    </row>
    <row r="1407">
      <c r="A1407" s="6" t="s">
        <v>5426</v>
      </c>
      <c r="B1407" s="6" t="s">
        <v>4001</v>
      </c>
      <c r="C1407" s="6" t="s">
        <v>3833</v>
      </c>
      <c r="D1407" s="18">
        <v>1.0</v>
      </c>
      <c r="E1407" s="18">
        <v>81.75</v>
      </c>
      <c r="F1407" s="18">
        <v>81.75</v>
      </c>
    </row>
    <row r="1408">
      <c r="A1408" s="6" t="s">
        <v>5427</v>
      </c>
      <c r="B1408" s="6" t="s">
        <v>4004</v>
      </c>
      <c r="C1408" s="6" t="s">
        <v>3833</v>
      </c>
      <c r="D1408" s="18">
        <v>1.0</v>
      </c>
      <c r="E1408" s="18">
        <v>25.0</v>
      </c>
      <c r="F1408" s="18">
        <v>25.0</v>
      </c>
    </row>
    <row r="1409">
      <c r="A1409" s="6" t="s">
        <v>5429</v>
      </c>
      <c r="B1409" s="6" t="s">
        <v>4006</v>
      </c>
      <c r="C1409" s="6" t="s">
        <v>1168</v>
      </c>
      <c r="D1409" s="18">
        <v>1.0</v>
      </c>
      <c r="E1409" s="18">
        <v>700.0</v>
      </c>
      <c r="F1409" s="18">
        <v>700.0</v>
      </c>
    </row>
    <row r="1410">
      <c r="A1410" s="6" t="s">
        <v>5431</v>
      </c>
      <c r="B1410" s="6" t="s">
        <v>4008</v>
      </c>
      <c r="C1410" s="6" t="s">
        <v>4831</v>
      </c>
      <c r="D1410" s="18">
        <v>1.0</v>
      </c>
      <c r="E1410" s="18">
        <v>250.0</v>
      </c>
      <c r="F1410" s="18">
        <v>250.0</v>
      </c>
    </row>
    <row r="1411">
      <c r="A1411" s="6" t="s">
        <v>5434</v>
      </c>
      <c r="B1411" s="6" t="s">
        <v>4012</v>
      </c>
      <c r="C1411" s="6" t="s">
        <v>3218</v>
      </c>
      <c r="D1411" s="18">
        <v>1.0</v>
      </c>
      <c r="E1411" s="18">
        <v>352.26</v>
      </c>
      <c r="F1411" s="18">
        <v>352.26</v>
      </c>
    </row>
    <row r="1412">
      <c r="A1412" s="6" t="s">
        <v>5436</v>
      </c>
      <c r="B1412" s="6" t="s">
        <v>4015</v>
      </c>
      <c r="C1412" s="6" t="s">
        <v>4937</v>
      </c>
      <c r="D1412" s="18">
        <v>1.0</v>
      </c>
      <c r="E1412" s="18">
        <v>20.0</v>
      </c>
      <c r="F1412" s="18">
        <v>20.0</v>
      </c>
    </row>
    <row r="1413">
      <c r="A1413" s="6" t="s">
        <v>5437</v>
      </c>
      <c r="B1413" s="6" t="s">
        <v>4018</v>
      </c>
      <c r="C1413" s="6" t="s">
        <v>1259</v>
      </c>
      <c r="D1413" s="18">
        <v>1.0</v>
      </c>
      <c r="E1413" s="18">
        <v>530.0</v>
      </c>
      <c r="F1413" s="18">
        <v>530.0</v>
      </c>
    </row>
    <row r="1414">
      <c r="A1414" s="6" t="s">
        <v>5439</v>
      </c>
      <c r="B1414" s="6" t="s">
        <v>4022</v>
      </c>
      <c r="C1414" s="6" t="s">
        <v>5440</v>
      </c>
      <c r="D1414" s="18">
        <v>1.0</v>
      </c>
      <c r="E1414" s="18">
        <v>472.8</v>
      </c>
      <c r="F1414" s="18">
        <v>472.8</v>
      </c>
    </row>
    <row r="1415">
      <c r="A1415" s="6" t="s">
        <v>5441</v>
      </c>
      <c r="B1415" s="6" t="s">
        <v>4025</v>
      </c>
      <c r="C1415" s="6" t="s">
        <v>5443</v>
      </c>
      <c r="D1415" s="18">
        <v>1.0</v>
      </c>
      <c r="E1415" s="18">
        <v>325.0</v>
      </c>
      <c r="F1415" s="18">
        <v>325.0</v>
      </c>
    </row>
    <row r="1416">
      <c r="A1416" s="6" t="s">
        <v>5446</v>
      </c>
      <c r="B1416" s="6" t="s">
        <v>4028</v>
      </c>
      <c r="C1416" s="6" t="s">
        <v>1757</v>
      </c>
      <c r="D1416" s="18">
        <v>1.0</v>
      </c>
      <c r="E1416" s="18">
        <v>31.0</v>
      </c>
      <c r="F1416" s="18">
        <v>31.0</v>
      </c>
    </row>
    <row r="1417">
      <c r="A1417" s="6" t="s">
        <v>5447</v>
      </c>
      <c r="B1417" s="6" t="s">
        <v>4034</v>
      </c>
      <c r="C1417" s="6" t="s">
        <v>1145</v>
      </c>
      <c r="D1417" s="18">
        <v>1.0</v>
      </c>
      <c r="E1417" s="18">
        <v>3247.87</v>
      </c>
      <c r="F1417" s="18">
        <v>3247.87</v>
      </c>
    </row>
    <row r="1418">
      <c r="A1418" s="6" t="s">
        <v>5448</v>
      </c>
      <c r="B1418" s="6" t="s">
        <v>4039</v>
      </c>
      <c r="C1418" s="6" t="s">
        <v>3496</v>
      </c>
      <c r="D1418" s="18">
        <v>1.0</v>
      </c>
      <c r="E1418" s="18">
        <v>237.86</v>
      </c>
      <c r="F1418" s="18">
        <v>237.86</v>
      </c>
    </row>
    <row r="1419">
      <c r="A1419" s="6" t="s">
        <v>5450</v>
      </c>
      <c r="B1419" s="6" t="s">
        <v>4044</v>
      </c>
      <c r="C1419" s="6" t="s">
        <v>789</v>
      </c>
      <c r="D1419" s="18">
        <v>1.0</v>
      </c>
      <c r="E1419" s="18">
        <v>191.36</v>
      </c>
      <c r="F1419" s="18">
        <v>191.36</v>
      </c>
    </row>
    <row r="1420">
      <c r="A1420" s="6" t="s">
        <v>5452</v>
      </c>
      <c r="B1420" s="6" t="s">
        <v>4044</v>
      </c>
      <c r="C1420" s="6" t="s">
        <v>4176</v>
      </c>
      <c r="D1420" s="18">
        <v>1.0</v>
      </c>
      <c r="E1420" s="18">
        <v>97.5</v>
      </c>
      <c r="F1420" s="18">
        <v>97.5</v>
      </c>
    </row>
    <row r="1421">
      <c r="A1421" s="6" t="s">
        <v>5454</v>
      </c>
      <c r="B1421" s="6" t="s">
        <v>4050</v>
      </c>
      <c r="C1421" s="6" t="s">
        <v>159</v>
      </c>
      <c r="D1421" s="18">
        <v>1.0</v>
      </c>
      <c r="E1421" s="18">
        <v>144.0</v>
      </c>
      <c r="F1421" s="18">
        <v>144.0</v>
      </c>
    </row>
    <row r="1422">
      <c r="A1422" s="6" t="s">
        <v>5455</v>
      </c>
      <c r="B1422" s="6" t="s">
        <v>4050</v>
      </c>
      <c r="C1422" s="6" t="s">
        <v>155</v>
      </c>
      <c r="D1422" s="18">
        <v>1.0</v>
      </c>
      <c r="E1422" s="18">
        <v>44.1</v>
      </c>
      <c r="F1422" s="18">
        <v>44.1</v>
      </c>
    </row>
    <row r="1423">
      <c r="A1423" s="6" t="s">
        <v>5456</v>
      </c>
      <c r="B1423" s="6" t="s">
        <v>4050</v>
      </c>
      <c r="C1423" s="6" t="s">
        <v>152</v>
      </c>
      <c r="D1423" s="18">
        <v>1.0</v>
      </c>
      <c r="E1423" s="18">
        <v>15.9</v>
      </c>
      <c r="F1423" s="18">
        <v>15.9</v>
      </c>
    </row>
    <row r="1424">
      <c r="A1424" s="6" t="s">
        <v>5458</v>
      </c>
      <c r="B1424" s="6" t="s">
        <v>4050</v>
      </c>
      <c r="C1424" s="6" t="s">
        <v>226</v>
      </c>
      <c r="D1424" s="18">
        <v>1.0</v>
      </c>
      <c r="E1424" s="18">
        <v>42.5</v>
      </c>
      <c r="F1424" s="18">
        <v>42.5</v>
      </c>
    </row>
    <row r="1425">
      <c r="A1425" s="6" t="s">
        <v>5460</v>
      </c>
      <c r="B1425" s="6" t="s">
        <v>4055</v>
      </c>
      <c r="C1425" s="6" t="s">
        <v>1904</v>
      </c>
      <c r="D1425" s="18">
        <v>1.0</v>
      </c>
      <c r="E1425" s="18">
        <v>2.0</v>
      </c>
      <c r="F1425" s="18">
        <v>2.0</v>
      </c>
    </row>
    <row r="1426">
      <c r="A1426" s="6" t="s">
        <v>5462</v>
      </c>
      <c r="B1426" s="6" t="s">
        <v>4060</v>
      </c>
      <c r="C1426" s="6" t="s">
        <v>1757</v>
      </c>
      <c r="D1426" s="18">
        <v>1.0</v>
      </c>
      <c r="E1426" s="18">
        <v>50.0</v>
      </c>
      <c r="F1426" s="18">
        <v>50.0</v>
      </c>
    </row>
    <row r="1427">
      <c r="A1427" s="6" t="s">
        <v>5463</v>
      </c>
      <c r="B1427" s="6" t="s">
        <v>4065</v>
      </c>
      <c r="C1427" s="6" t="s">
        <v>305</v>
      </c>
      <c r="D1427" s="18">
        <v>1.0</v>
      </c>
      <c r="E1427" s="18">
        <v>24.11</v>
      </c>
      <c r="F1427" s="18">
        <v>24.11</v>
      </c>
    </row>
    <row r="1428">
      <c r="A1428" s="6" t="s">
        <v>5464</v>
      </c>
      <c r="B1428" s="6" t="s">
        <v>4070</v>
      </c>
      <c r="C1428" s="6" t="s">
        <v>226</v>
      </c>
      <c r="D1428" s="18">
        <v>1.0</v>
      </c>
      <c r="E1428" s="18">
        <v>95.0</v>
      </c>
      <c r="F1428" s="18">
        <v>95.0</v>
      </c>
    </row>
    <row r="1429">
      <c r="A1429" s="6" t="s">
        <v>5466</v>
      </c>
      <c r="B1429" s="6" t="s">
        <v>4070</v>
      </c>
      <c r="C1429" s="6" t="s">
        <v>152</v>
      </c>
      <c r="D1429" s="18">
        <v>1.0</v>
      </c>
      <c r="E1429" s="18">
        <v>15.21</v>
      </c>
      <c r="F1429" s="18">
        <v>15.21</v>
      </c>
    </row>
    <row r="1430">
      <c r="A1430" s="6" t="s">
        <v>5468</v>
      </c>
      <c r="B1430" s="6" t="s">
        <v>4070</v>
      </c>
      <c r="C1430" s="6" t="s">
        <v>155</v>
      </c>
      <c r="D1430" s="18">
        <v>1.0</v>
      </c>
      <c r="E1430" s="18">
        <v>37.87</v>
      </c>
      <c r="F1430" s="18">
        <v>37.87</v>
      </c>
    </row>
    <row r="1431">
      <c r="A1431" s="6" t="s">
        <v>5470</v>
      </c>
      <c r="B1431" s="6" t="s">
        <v>4070</v>
      </c>
      <c r="C1431" s="6" t="s">
        <v>159</v>
      </c>
      <c r="D1431" s="18">
        <v>1.0</v>
      </c>
      <c r="E1431" s="18">
        <v>240.0</v>
      </c>
      <c r="F1431" s="18">
        <v>240.0</v>
      </c>
    </row>
    <row r="1432">
      <c r="A1432" s="6" t="s">
        <v>5471</v>
      </c>
      <c r="B1432" s="6" t="s">
        <v>4076</v>
      </c>
      <c r="C1432" s="18">
        <v>1.2539885E7</v>
      </c>
      <c r="D1432" s="18">
        <v>1.0</v>
      </c>
      <c r="E1432" s="18">
        <v>200.0</v>
      </c>
      <c r="F1432" s="18">
        <v>200.0</v>
      </c>
    </row>
    <row r="1433">
      <c r="A1433" s="6" t="s">
        <v>5472</v>
      </c>
      <c r="B1433" s="6" t="s">
        <v>4080</v>
      </c>
      <c r="C1433" s="18">
        <v>1.2539885E7</v>
      </c>
      <c r="D1433" s="18">
        <v>1.0</v>
      </c>
      <c r="E1433" s="18">
        <v>400.0</v>
      </c>
      <c r="F1433" s="18">
        <v>400.0</v>
      </c>
    </row>
    <row r="1434">
      <c r="A1434" s="6" t="s">
        <v>5473</v>
      </c>
      <c r="B1434" s="6" t="s">
        <v>4084</v>
      </c>
      <c r="C1434" s="6" t="s">
        <v>981</v>
      </c>
      <c r="D1434" s="18">
        <v>6.0</v>
      </c>
      <c r="E1434" s="18">
        <v>4.59</v>
      </c>
      <c r="F1434" s="18">
        <v>27.54</v>
      </c>
    </row>
    <row r="1435">
      <c r="A1435" s="6" t="s">
        <v>5475</v>
      </c>
      <c r="B1435" s="6" t="s">
        <v>4084</v>
      </c>
      <c r="C1435" s="6" t="s">
        <v>238</v>
      </c>
      <c r="D1435" s="18">
        <v>12.0</v>
      </c>
      <c r="E1435" s="18">
        <v>5.9</v>
      </c>
      <c r="F1435" s="18">
        <v>70.8</v>
      </c>
    </row>
    <row r="1436">
      <c r="A1436" s="6" t="s">
        <v>5477</v>
      </c>
      <c r="B1436" s="6" t="s">
        <v>4084</v>
      </c>
      <c r="C1436" s="6" t="s">
        <v>242</v>
      </c>
      <c r="D1436" s="18">
        <v>6.0</v>
      </c>
      <c r="E1436" s="18">
        <v>5.4</v>
      </c>
      <c r="F1436" s="18">
        <v>32.4</v>
      </c>
    </row>
    <row r="1437">
      <c r="A1437" s="6" t="s">
        <v>5480</v>
      </c>
      <c r="B1437" s="6" t="s">
        <v>4084</v>
      </c>
      <c r="C1437" s="6" t="s">
        <v>243</v>
      </c>
      <c r="D1437" s="18">
        <v>6.0</v>
      </c>
      <c r="E1437" s="18">
        <v>7.2</v>
      </c>
      <c r="F1437" s="18">
        <v>43.2</v>
      </c>
    </row>
    <row r="1438">
      <c r="A1438" s="6" t="s">
        <v>5481</v>
      </c>
      <c r="B1438" s="6" t="s">
        <v>4089</v>
      </c>
      <c r="C1438" s="6" t="s">
        <v>226</v>
      </c>
      <c r="D1438" s="18">
        <v>1.0</v>
      </c>
      <c r="E1438" s="18">
        <v>57.0</v>
      </c>
      <c r="F1438" s="18">
        <v>57.0</v>
      </c>
    </row>
    <row r="1439">
      <c r="A1439" s="6" t="s">
        <v>5482</v>
      </c>
      <c r="B1439" s="6" t="s">
        <v>4089</v>
      </c>
      <c r="C1439" s="6" t="s">
        <v>152</v>
      </c>
      <c r="D1439" s="18">
        <v>1.0</v>
      </c>
      <c r="E1439" s="18">
        <v>14.7</v>
      </c>
      <c r="F1439" s="18">
        <v>14.7</v>
      </c>
    </row>
    <row r="1440">
      <c r="A1440" s="6" t="s">
        <v>5484</v>
      </c>
      <c r="B1440" s="6" t="s">
        <v>4089</v>
      </c>
      <c r="C1440" s="6" t="s">
        <v>155</v>
      </c>
      <c r="D1440" s="18">
        <v>1.0</v>
      </c>
      <c r="E1440" s="18">
        <v>22.54</v>
      </c>
      <c r="F1440" s="18">
        <v>22.54</v>
      </c>
    </row>
    <row r="1441">
      <c r="A1441" s="6" t="s">
        <v>5487</v>
      </c>
      <c r="B1441" s="6" t="s">
        <v>4089</v>
      </c>
      <c r="C1441" s="6" t="s">
        <v>159</v>
      </c>
      <c r="D1441" s="18">
        <v>1.0</v>
      </c>
      <c r="E1441" s="18">
        <v>144.0</v>
      </c>
      <c r="F1441" s="18">
        <v>144.0</v>
      </c>
    </row>
    <row r="1442">
      <c r="A1442" s="6" t="s">
        <v>5489</v>
      </c>
      <c r="B1442" s="6" t="s">
        <v>4093</v>
      </c>
      <c r="C1442" s="6" t="s">
        <v>1145</v>
      </c>
      <c r="D1442" s="18">
        <v>1.0</v>
      </c>
      <c r="E1442" s="18">
        <v>2980.19</v>
      </c>
      <c r="F1442" s="18">
        <v>2980.19</v>
      </c>
    </row>
    <row r="1443">
      <c r="A1443" s="6" t="s">
        <v>5490</v>
      </c>
      <c r="B1443" s="6" t="s">
        <v>4097</v>
      </c>
      <c r="C1443" s="6" t="s">
        <v>1517</v>
      </c>
      <c r="D1443" s="18">
        <v>1.0</v>
      </c>
      <c r="E1443" s="18">
        <v>11688.06</v>
      </c>
      <c r="F1443" s="18">
        <v>11688.06</v>
      </c>
    </row>
    <row r="1444">
      <c r="A1444" s="6" t="s">
        <v>5492</v>
      </c>
      <c r="B1444" s="6" t="s">
        <v>4104</v>
      </c>
      <c r="C1444" s="6" t="s">
        <v>1536</v>
      </c>
      <c r="D1444" s="18">
        <v>1.0</v>
      </c>
      <c r="E1444" s="18">
        <v>30.0</v>
      </c>
      <c r="F1444" s="18">
        <v>30.0</v>
      </c>
    </row>
    <row r="1445">
      <c r="A1445" s="6" t="s">
        <v>5496</v>
      </c>
      <c r="B1445" s="6" t="s">
        <v>4109</v>
      </c>
      <c r="C1445" s="6" t="s">
        <v>1022</v>
      </c>
      <c r="D1445" s="18">
        <v>1.0</v>
      </c>
      <c r="E1445" s="18">
        <v>108.0</v>
      </c>
      <c r="F1445" s="18">
        <v>108.0</v>
      </c>
    </row>
    <row r="1446">
      <c r="A1446" s="6" t="s">
        <v>5498</v>
      </c>
      <c r="B1446" s="6" t="s">
        <v>4115</v>
      </c>
      <c r="C1446" s="6" t="s">
        <v>1197</v>
      </c>
      <c r="D1446" s="18">
        <v>1.0</v>
      </c>
      <c r="E1446" s="18">
        <v>84.0</v>
      </c>
      <c r="F1446" s="18">
        <v>84.0</v>
      </c>
    </row>
    <row r="1447">
      <c r="A1447" s="6" t="s">
        <v>5501</v>
      </c>
      <c r="B1447" s="6" t="s">
        <v>4115</v>
      </c>
      <c r="C1447" s="6" t="s">
        <v>266</v>
      </c>
      <c r="D1447" s="18">
        <v>1.0</v>
      </c>
      <c r="E1447" s="18">
        <v>36.0</v>
      </c>
      <c r="F1447" s="18">
        <v>36.0</v>
      </c>
    </row>
    <row r="1448">
      <c r="A1448" s="6" t="s">
        <v>5504</v>
      </c>
      <c r="B1448" s="6" t="s">
        <v>4119</v>
      </c>
      <c r="C1448" s="6" t="s">
        <v>159</v>
      </c>
      <c r="D1448" s="18">
        <v>1.0</v>
      </c>
      <c r="E1448" s="18">
        <v>144.0</v>
      </c>
      <c r="F1448" s="18">
        <v>144.0</v>
      </c>
    </row>
    <row r="1449">
      <c r="A1449" s="6" t="s">
        <v>5506</v>
      </c>
      <c r="B1449" s="6" t="s">
        <v>4119</v>
      </c>
      <c r="C1449" s="6" t="s">
        <v>155</v>
      </c>
      <c r="D1449" s="18">
        <v>1.0</v>
      </c>
      <c r="E1449" s="18">
        <v>34.3</v>
      </c>
      <c r="F1449" s="18">
        <v>34.3</v>
      </c>
    </row>
    <row r="1450">
      <c r="A1450" s="6" t="s">
        <v>5509</v>
      </c>
      <c r="B1450" s="6" t="s">
        <v>4119</v>
      </c>
      <c r="C1450" s="6" t="s">
        <v>230</v>
      </c>
      <c r="D1450" s="18">
        <v>1.0</v>
      </c>
      <c r="E1450" s="18">
        <v>144.0</v>
      </c>
      <c r="F1450" s="18">
        <v>144.0</v>
      </c>
    </row>
    <row r="1451">
      <c r="A1451" s="6" t="s">
        <v>5511</v>
      </c>
      <c r="B1451" s="6" t="s">
        <v>4119</v>
      </c>
      <c r="C1451" s="6" t="s">
        <v>152</v>
      </c>
      <c r="D1451" s="18">
        <v>1.0</v>
      </c>
      <c r="E1451" s="18">
        <v>15.19</v>
      </c>
      <c r="F1451" s="18">
        <v>15.19</v>
      </c>
    </row>
    <row r="1452">
      <c r="A1452" s="6" t="s">
        <v>5512</v>
      </c>
      <c r="B1452" s="6" t="s">
        <v>4119</v>
      </c>
      <c r="C1452" s="6" t="s">
        <v>226</v>
      </c>
      <c r="D1452" s="18">
        <v>1.0</v>
      </c>
      <c r="E1452" s="18">
        <v>47.5</v>
      </c>
      <c r="F1452" s="18">
        <v>47.5</v>
      </c>
    </row>
    <row r="1453">
      <c r="A1453" s="6" t="s">
        <v>5513</v>
      </c>
      <c r="B1453" s="6" t="s">
        <v>4124</v>
      </c>
      <c r="C1453" s="6" t="s">
        <v>159</v>
      </c>
      <c r="D1453" s="18">
        <v>1.0</v>
      </c>
      <c r="E1453" s="18">
        <v>240.0</v>
      </c>
      <c r="F1453" s="18">
        <v>240.0</v>
      </c>
    </row>
    <row r="1454">
      <c r="A1454" s="6" t="s">
        <v>5515</v>
      </c>
      <c r="B1454" s="6" t="s">
        <v>4124</v>
      </c>
      <c r="C1454" s="6" t="s">
        <v>155</v>
      </c>
      <c r="D1454" s="18">
        <v>1.0</v>
      </c>
      <c r="E1454" s="18">
        <v>43.7</v>
      </c>
      <c r="F1454" s="18">
        <v>43.7</v>
      </c>
    </row>
    <row r="1455">
      <c r="A1455" s="6" t="s">
        <v>5518</v>
      </c>
      <c r="B1455" s="6" t="s">
        <v>4124</v>
      </c>
      <c r="C1455" s="6" t="s">
        <v>226</v>
      </c>
      <c r="D1455" s="18">
        <v>1.0</v>
      </c>
      <c r="E1455" s="18">
        <v>100.0</v>
      </c>
      <c r="F1455" s="18">
        <v>100.0</v>
      </c>
    </row>
    <row r="1456">
      <c r="A1456" s="6" t="s">
        <v>5520</v>
      </c>
      <c r="B1456" s="6" t="s">
        <v>4128</v>
      </c>
      <c r="C1456" s="6" t="s">
        <v>1510</v>
      </c>
      <c r="D1456" s="18">
        <v>1.0</v>
      </c>
      <c r="E1456" s="18">
        <v>17971.6</v>
      </c>
      <c r="F1456" s="18">
        <v>17971.6</v>
      </c>
    </row>
    <row r="1457">
      <c r="A1457" s="6" t="s">
        <v>5522</v>
      </c>
      <c r="B1457" s="18">
        <v>5.21936E7</v>
      </c>
      <c r="C1457" s="6" t="s">
        <v>305</v>
      </c>
      <c r="D1457" s="18">
        <v>1.0</v>
      </c>
      <c r="E1457" s="18">
        <v>190.77</v>
      </c>
      <c r="F1457" s="18">
        <v>190.77</v>
      </c>
    </row>
    <row r="1458">
      <c r="A1458" s="6" t="s">
        <v>5524</v>
      </c>
      <c r="B1458" s="6" t="s">
        <v>4137</v>
      </c>
      <c r="C1458" s="18">
        <v>1.2539885E7</v>
      </c>
      <c r="D1458" s="18">
        <v>1.0</v>
      </c>
      <c r="E1458" s="18">
        <v>250.0</v>
      </c>
      <c r="F1458" s="18">
        <v>250.0</v>
      </c>
    </row>
    <row r="1459">
      <c r="A1459" s="6" t="s">
        <v>5525</v>
      </c>
      <c r="B1459" s="6" t="s">
        <v>4141</v>
      </c>
      <c r="C1459" s="6" t="s">
        <v>305</v>
      </c>
      <c r="D1459" s="18">
        <v>1.0</v>
      </c>
      <c r="E1459" s="18">
        <v>15.74</v>
      </c>
      <c r="F1459" s="18">
        <v>15.74</v>
      </c>
    </row>
    <row r="1460">
      <c r="A1460" s="6" t="s">
        <v>5528</v>
      </c>
      <c r="B1460" s="6" t="s">
        <v>4147</v>
      </c>
      <c r="C1460" s="6" t="s">
        <v>159</v>
      </c>
      <c r="D1460" s="18">
        <v>1.0</v>
      </c>
      <c r="E1460" s="18">
        <v>240.0</v>
      </c>
      <c r="F1460" s="18">
        <v>240.0</v>
      </c>
    </row>
    <row r="1461">
      <c r="A1461" s="6" t="s">
        <v>5529</v>
      </c>
      <c r="B1461" s="6" t="s">
        <v>4147</v>
      </c>
      <c r="C1461" s="6" t="s">
        <v>155</v>
      </c>
      <c r="D1461" s="18">
        <v>1.0</v>
      </c>
      <c r="E1461" s="18">
        <v>46.8</v>
      </c>
      <c r="F1461" s="18">
        <v>46.8</v>
      </c>
    </row>
    <row r="1462">
      <c r="A1462" s="6" t="s">
        <v>5530</v>
      </c>
      <c r="B1462" s="6" t="s">
        <v>4147</v>
      </c>
      <c r="C1462" s="6" t="s">
        <v>152</v>
      </c>
      <c r="D1462" s="18">
        <v>1.0</v>
      </c>
      <c r="E1462" s="18">
        <v>9.8</v>
      </c>
      <c r="F1462" s="18">
        <v>9.8</v>
      </c>
    </row>
    <row r="1463">
      <c r="A1463" s="6" t="s">
        <v>5532</v>
      </c>
      <c r="B1463" s="6" t="s">
        <v>4147</v>
      </c>
      <c r="C1463" s="6" t="s">
        <v>226</v>
      </c>
      <c r="D1463" s="18">
        <v>1.0</v>
      </c>
      <c r="E1463" s="18">
        <v>60.0</v>
      </c>
      <c r="F1463" s="18">
        <v>60.0</v>
      </c>
    </row>
    <row r="1464">
      <c r="A1464" s="6" t="s">
        <v>5534</v>
      </c>
      <c r="B1464" s="6" t="s">
        <v>4152</v>
      </c>
      <c r="C1464" s="6" t="s">
        <v>305</v>
      </c>
      <c r="D1464" s="18">
        <v>1.0</v>
      </c>
      <c r="E1464" s="18">
        <v>24.5</v>
      </c>
      <c r="F1464" s="18">
        <v>24.5</v>
      </c>
    </row>
    <row r="1465">
      <c r="A1465" s="6" t="s">
        <v>5537</v>
      </c>
      <c r="B1465" s="6" t="s">
        <v>4156</v>
      </c>
      <c r="C1465" s="18">
        <v>1.2539885E7</v>
      </c>
      <c r="D1465" s="18">
        <v>1.0</v>
      </c>
      <c r="E1465" s="18">
        <v>475.0</v>
      </c>
      <c r="F1465" s="18">
        <v>475.0</v>
      </c>
    </row>
    <row r="1466">
      <c r="A1466" s="6" t="s">
        <v>5538</v>
      </c>
      <c r="B1466" s="6" t="s">
        <v>4161</v>
      </c>
      <c r="C1466" s="6" t="s">
        <v>4176</v>
      </c>
      <c r="D1466" s="18">
        <v>1.0</v>
      </c>
      <c r="E1466" s="18">
        <v>277.63</v>
      </c>
      <c r="F1466" s="18">
        <v>277.63</v>
      </c>
    </row>
    <row r="1467">
      <c r="A1467" s="6" t="s">
        <v>5539</v>
      </c>
      <c r="B1467" s="6" t="s">
        <v>4167</v>
      </c>
      <c r="C1467" s="18">
        <v>1.2539885E7</v>
      </c>
      <c r="D1467" s="18">
        <v>1.0</v>
      </c>
      <c r="E1467" s="18">
        <v>175.0</v>
      </c>
      <c r="F1467" s="18">
        <v>175.0</v>
      </c>
    </row>
    <row r="1468">
      <c r="A1468" s="6" t="s">
        <v>5541</v>
      </c>
      <c r="B1468" s="6" t="s">
        <v>4172</v>
      </c>
      <c r="C1468" s="6" t="s">
        <v>159</v>
      </c>
      <c r="D1468" s="18">
        <v>1.0</v>
      </c>
      <c r="E1468" s="18">
        <v>240.0</v>
      </c>
      <c r="F1468" s="18">
        <v>240.0</v>
      </c>
    </row>
    <row r="1469">
      <c r="A1469" s="6" t="s">
        <v>5543</v>
      </c>
      <c r="B1469" s="6" t="s">
        <v>4172</v>
      </c>
      <c r="C1469" s="6" t="s">
        <v>155</v>
      </c>
      <c r="D1469" s="18">
        <v>1.0</v>
      </c>
      <c r="E1469" s="18">
        <v>46.04</v>
      </c>
      <c r="F1469" s="18">
        <v>46.04</v>
      </c>
    </row>
    <row r="1470">
      <c r="A1470" s="6" t="s">
        <v>5546</v>
      </c>
      <c r="B1470" s="6" t="s">
        <v>4172</v>
      </c>
      <c r="C1470" s="6" t="s">
        <v>152</v>
      </c>
      <c r="D1470" s="18">
        <v>1.0</v>
      </c>
      <c r="E1470" s="18">
        <v>8.42</v>
      </c>
      <c r="F1470" s="18">
        <v>8.42</v>
      </c>
    </row>
    <row r="1471">
      <c r="A1471" s="6" t="s">
        <v>5547</v>
      </c>
      <c r="B1471" s="6" t="s">
        <v>4177</v>
      </c>
      <c r="C1471" s="6" t="s">
        <v>1239</v>
      </c>
      <c r="D1471" s="18">
        <v>1.0</v>
      </c>
      <c r="E1471" s="18">
        <v>1011.66</v>
      </c>
      <c r="F1471" s="18">
        <v>1011.66</v>
      </c>
    </row>
    <row r="1472">
      <c r="A1472" s="6" t="s">
        <v>5548</v>
      </c>
      <c r="B1472" s="6" t="s">
        <v>4182</v>
      </c>
      <c r="C1472" s="6" t="s">
        <v>1239</v>
      </c>
      <c r="D1472" s="18">
        <v>1.0</v>
      </c>
      <c r="E1472" s="18">
        <v>957.0</v>
      </c>
      <c r="F1472" s="18">
        <v>957.0</v>
      </c>
    </row>
    <row r="1473">
      <c r="A1473" s="6" t="s">
        <v>5550</v>
      </c>
      <c r="B1473" s="6" t="s">
        <v>4185</v>
      </c>
      <c r="C1473" s="6" t="s">
        <v>1239</v>
      </c>
      <c r="D1473" s="18">
        <v>1.0</v>
      </c>
      <c r="E1473" s="18">
        <v>665.11</v>
      </c>
      <c r="F1473" s="18">
        <v>665.11</v>
      </c>
    </row>
    <row r="1474">
      <c r="A1474" s="6" t="s">
        <v>5552</v>
      </c>
      <c r="B1474" s="6" t="s">
        <v>4189</v>
      </c>
      <c r="C1474" s="6" t="s">
        <v>1239</v>
      </c>
      <c r="D1474" s="18">
        <v>1.0</v>
      </c>
      <c r="E1474" s="18">
        <v>345.83</v>
      </c>
      <c r="F1474" s="18">
        <v>345.83</v>
      </c>
    </row>
    <row r="1475">
      <c r="A1475" s="6" t="s">
        <v>5554</v>
      </c>
      <c r="B1475" s="6" t="s">
        <v>4192</v>
      </c>
      <c r="C1475" s="6" t="s">
        <v>1239</v>
      </c>
      <c r="D1475" s="18">
        <v>1.0</v>
      </c>
      <c r="E1475" s="18">
        <v>1872.5</v>
      </c>
      <c r="F1475" s="18">
        <v>1872.5</v>
      </c>
    </row>
    <row r="1476">
      <c r="A1476" s="6" t="s">
        <v>5555</v>
      </c>
      <c r="B1476" s="6" t="s">
        <v>4196</v>
      </c>
      <c r="C1476" s="6" t="s">
        <v>1197</v>
      </c>
      <c r="D1476" s="18">
        <v>1.0</v>
      </c>
      <c r="E1476" s="18">
        <v>40.0</v>
      </c>
      <c r="F1476" s="18">
        <v>40.0</v>
      </c>
    </row>
    <row r="1477">
      <c r="A1477" s="6" t="s">
        <v>5556</v>
      </c>
      <c r="B1477" s="6" t="s">
        <v>4196</v>
      </c>
      <c r="C1477" s="6" t="s">
        <v>1195</v>
      </c>
      <c r="D1477" s="18">
        <v>1.0</v>
      </c>
      <c r="E1477" s="18">
        <v>60.0</v>
      </c>
      <c r="F1477" s="18">
        <v>60.0</v>
      </c>
    </row>
    <row r="1478">
      <c r="A1478" s="6" t="s">
        <v>5558</v>
      </c>
      <c r="B1478" s="6" t="s">
        <v>4196</v>
      </c>
      <c r="C1478" s="6" t="s">
        <v>5215</v>
      </c>
      <c r="D1478" s="18">
        <v>1.0</v>
      </c>
      <c r="E1478" s="18">
        <v>41.88</v>
      </c>
      <c r="F1478" s="18">
        <v>41.88</v>
      </c>
    </row>
    <row r="1479">
      <c r="A1479" s="6" t="s">
        <v>5560</v>
      </c>
      <c r="B1479" s="6" t="s">
        <v>4196</v>
      </c>
      <c r="C1479" s="6" t="s">
        <v>249</v>
      </c>
      <c r="D1479" s="18">
        <v>1.0</v>
      </c>
      <c r="E1479" s="18">
        <v>100.0</v>
      </c>
      <c r="F1479" s="18">
        <v>100.0</v>
      </c>
    </row>
    <row r="1480">
      <c r="A1480" s="6" t="s">
        <v>5562</v>
      </c>
      <c r="B1480" s="6" t="s">
        <v>4196</v>
      </c>
      <c r="C1480" s="6" t="s">
        <v>5563</v>
      </c>
      <c r="D1480" s="18">
        <v>1.0</v>
      </c>
      <c r="E1480" s="18">
        <v>60.47</v>
      </c>
      <c r="F1480" s="18">
        <v>60.47</v>
      </c>
    </row>
    <row r="1481">
      <c r="A1481" s="6" t="s">
        <v>5565</v>
      </c>
      <c r="B1481" s="6" t="s">
        <v>4205</v>
      </c>
      <c r="C1481" s="18">
        <v>7.5375964E7</v>
      </c>
      <c r="D1481" s="18">
        <v>1.0</v>
      </c>
      <c r="E1481" s="18">
        <v>18.0</v>
      </c>
      <c r="F1481" s="18">
        <v>18.0</v>
      </c>
    </row>
    <row r="1482">
      <c r="A1482" s="6" t="s">
        <v>5566</v>
      </c>
      <c r="B1482" s="6" t="s">
        <v>4205</v>
      </c>
      <c r="C1482" s="6" t="s">
        <v>1384</v>
      </c>
      <c r="D1482" s="18">
        <v>1.0</v>
      </c>
      <c r="E1482" s="18">
        <v>18.0</v>
      </c>
      <c r="F1482" s="18">
        <v>18.0</v>
      </c>
    </row>
    <row r="1483">
      <c r="A1483" s="6" t="s">
        <v>5568</v>
      </c>
      <c r="B1483" s="6" t="s">
        <v>4205</v>
      </c>
      <c r="C1483" s="6" t="s">
        <v>1404</v>
      </c>
      <c r="D1483" s="18">
        <v>1.0</v>
      </c>
      <c r="E1483" s="18">
        <v>18.0</v>
      </c>
      <c r="F1483" s="18">
        <v>18.0</v>
      </c>
    </row>
    <row r="1484">
      <c r="A1484" s="6" t="s">
        <v>5570</v>
      </c>
      <c r="B1484" s="6" t="s">
        <v>4205</v>
      </c>
      <c r="C1484" s="6" t="s">
        <v>1074</v>
      </c>
      <c r="D1484" s="18">
        <v>2.0</v>
      </c>
      <c r="E1484" s="18">
        <v>38.0</v>
      </c>
      <c r="F1484" s="18">
        <v>76.0</v>
      </c>
    </row>
    <row r="1485">
      <c r="A1485" s="6" t="s">
        <v>5572</v>
      </c>
      <c r="B1485" s="6" t="s">
        <v>4205</v>
      </c>
      <c r="C1485" s="6" t="s">
        <v>1387</v>
      </c>
      <c r="D1485" s="18">
        <v>1.0</v>
      </c>
      <c r="E1485" s="18">
        <v>45.0</v>
      </c>
      <c r="F1485" s="18">
        <v>45.0</v>
      </c>
    </row>
    <row r="1486">
      <c r="A1486" s="6" t="s">
        <v>5573</v>
      </c>
      <c r="B1486" s="6" t="s">
        <v>4205</v>
      </c>
      <c r="C1486" s="6" t="s">
        <v>1075</v>
      </c>
      <c r="D1486" s="18">
        <v>1.0</v>
      </c>
      <c r="E1486" s="18">
        <v>19.0</v>
      </c>
      <c r="F1486" s="18">
        <v>19.0</v>
      </c>
    </row>
    <row r="1487">
      <c r="A1487" s="6" t="s">
        <v>5575</v>
      </c>
      <c r="B1487" s="6" t="s">
        <v>4205</v>
      </c>
      <c r="C1487" s="6" t="s">
        <v>1077</v>
      </c>
      <c r="D1487" s="18">
        <v>2.0</v>
      </c>
      <c r="E1487" s="18">
        <v>25.0</v>
      </c>
      <c r="F1487" s="18">
        <v>50.0</v>
      </c>
    </row>
    <row r="1488">
      <c r="A1488" s="6" t="s">
        <v>5576</v>
      </c>
      <c r="B1488" s="6" t="s">
        <v>4205</v>
      </c>
      <c r="C1488" s="6" t="s">
        <v>1079</v>
      </c>
      <c r="D1488" s="18">
        <v>25.0</v>
      </c>
      <c r="E1488" s="18">
        <v>17.5</v>
      </c>
      <c r="F1488" s="18">
        <v>437.5</v>
      </c>
    </row>
    <row r="1489">
      <c r="A1489" s="6" t="s">
        <v>5579</v>
      </c>
      <c r="B1489" s="6" t="s">
        <v>4205</v>
      </c>
      <c r="C1489" s="6" t="s">
        <v>1077</v>
      </c>
      <c r="D1489" s="18">
        <v>2.0</v>
      </c>
      <c r="E1489" s="18">
        <v>25.0</v>
      </c>
      <c r="F1489" s="18">
        <v>50.0</v>
      </c>
    </row>
    <row r="1490">
      <c r="A1490" s="6" t="s">
        <v>5582</v>
      </c>
      <c r="B1490" s="6" t="s">
        <v>4205</v>
      </c>
      <c r="C1490" s="6" t="s">
        <v>1081</v>
      </c>
      <c r="D1490" s="18">
        <v>1.0</v>
      </c>
      <c r="E1490" s="18">
        <v>97.0</v>
      </c>
      <c r="F1490" s="18">
        <v>97.0</v>
      </c>
    </row>
    <row r="1491">
      <c r="A1491" s="6" t="s">
        <v>5583</v>
      </c>
      <c r="B1491" s="6" t="s">
        <v>4212</v>
      </c>
      <c r="C1491" s="6" t="s">
        <v>1080</v>
      </c>
      <c r="D1491" s="18">
        <v>1.0</v>
      </c>
      <c r="E1491" s="18">
        <v>278.0</v>
      </c>
      <c r="F1491" s="18">
        <v>278.0</v>
      </c>
    </row>
    <row r="1492">
      <c r="A1492" s="6" t="s">
        <v>5585</v>
      </c>
      <c r="B1492" s="6" t="s">
        <v>4212</v>
      </c>
      <c r="C1492" s="6" t="s">
        <v>1427</v>
      </c>
      <c r="D1492" s="18">
        <v>1.0</v>
      </c>
      <c r="E1492" s="18">
        <v>51.8</v>
      </c>
      <c r="F1492" s="18">
        <v>51.8</v>
      </c>
    </row>
    <row r="1493">
      <c r="A1493" s="6" t="s">
        <v>5587</v>
      </c>
      <c r="B1493" s="6" t="s">
        <v>4218</v>
      </c>
      <c r="C1493" s="6" t="s">
        <v>1073</v>
      </c>
      <c r="D1493" s="18">
        <v>1.0</v>
      </c>
      <c r="E1493" s="18">
        <v>19.25</v>
      </c>
      <c r="F1493" s="18">
        <v>19.25</v>
      </c>
    </row>
    <row r="1494">
      <c r="A1494" s="6" t="s">
        <v>5589</v>
      </c>
      <c r="B1494" s="6" t="s">
        <v>4218</v>
      </c>
      <c r="C1494" s="6" t="s">
        <v>1085</v>
      </c>
      <c r="D1494" s="18">
        <v>1.0</v>
      </c>
      <c r="E1494" s="18">
        <v>18.0</v>
      </c>
      <c r="F1494" s="18">
        <v>18.0</v>
      </c>
    </row>
    <row r="1495">
      <c r="A1495" s="6" t="s">
        <v>5591</v>
      </c>
      <c r="B1495" s="6" t="s">
        <v>4218</v>
      </c>
      <c r="C1495" s="6" t="s">
        <v>1384</v>
      </c>
      <c r="D1495" s="18">
        <v>1.0</v>
      </c>
      <c r="E1495" s="18">
        <v>18.0</v>
      </c>
      <c r="F1495" s="18">
        <v>18.0</v>
      </c>
    </row>
    <row r="1496">
      <c r="A1496" s="6" t="s">
        <v>5593</v>
      </c>
      <c r="B1496" s="6" t="s">
        <v>4218</v>
      </c>
      <c r="C1496" s="6" t="s">
        <v>1074</v>
      </c>
      <c r="D1496" s="18">
        <v>4.0</v>
      </c>
      <c r="E1496" s="18">
        <v>38.0</v>
      </c>
      <c r="F1496" s="18">
        <v>152.0</v>
      </c>
    </row>
    <row r="1497">
      <c r="A1497" s="6" t="s">
        <v>5595</v>
      </c>
      <c r="B1497" s="6" t="s">
        <v>4218</v>
      </c>
      <c r="C1497" s="6" t="s">
        <v>1075</v>
      </c>
      <c r="D1497" s="18">
        <v>3.0</v>
      </c>
      <c r="E1497" s="18">
        <v>19.0</v>
      </c>
      <c r="F1497" s="18">
        <v>57.0</v>
      </c>
    </row>
    <row r="1498">
      <c r="A1498" s="6" t="s">
        <v>5596</v>
      </c>
      <c r="B1498" s="6" t="s">
        <v>4218</v>
      </c>
      <c r="C1498" s="6" t="s">
        <v>1077</v>
      </c>
      <c r="D1498" s="18">
        <v>3.0</v>
      </c>
      <c r="E1498" s="18">
        <v>25.0</v>
      </c>
      <c r="F1498" s="18">
        <v>75.0</v>
      </c>
    </row>
    <row r="1499">
      <c r="A1499" s="6" t="s">
        <v>5599</v>
      </c>
      <c r="B1499" s="6" t="s">
        <v>4218</v>
      </c>
      <c r="C1499" s="6" t="s">
        <v>1079</v>
      </c>
      <c r="D1499" s="18">
        <v>10.0</v>
      </c>
      <c r="E1499" s="18">
        <v>17.0</v>
      </c>
      <c r="F1499" s="18">
        <v>170.0</v>
      </c>
    </row>
    <row r="1500">
      <c r="A1500" s="6" t="s">
        <v>5600</v>
      </c>
      <c r="B1500" s="6" t="s">
        <v>4218</v>
      </c>
      <c r="C1500" s="6" t="s">
        <v>1081</v>
      </c>
      <c r="D1500" s="18">
        <v>2.0</v>
      </c>
      <c r="E1500" s="18">
        <v>46.0</v>
      </c>
      <c r="F1500" s="18">
        <v>92.0</v>
      </c>
    </row>
    <row r="1501">
      <c r="A1501" s="6" t="s">
        <v>5601</v>
      </c>
      <c r="B1501" s="6" t="s">
        <v>4218</v>
      </c>
      <c r="C1501" s="6" t="s">
        <v>1404</v>
      </c>
      <c r="D1501" s="18">
        <v>1.0</v>
      </c>
      <c r="E1501" s="18">
        <v>31.0</v>
      </c>
      <c r="F1501" s="18">
        <v>31.0</v>
      </c>
    </row>
    <row r="1502">
      <c r="A1502" s="6" t="s">
        <v>5603</v>
      </c>
      <c r="B1502" s="6" t="s">
        <v>4218</v>
      </c>
      <c r="C1502" s="6" t="s">
        <v>1387</v>
      </c>
      <c r="D1502" s="18">
        <v>1.0</v>
      </c>
      <c r="E1502" s="18">
        <v>50.0</v>
      </c>
      <c r="F1502" s="18">
        <v>50.0</v>
      </c>
    </row>
    <row r="1503">
      <c r="A1503" s="6" t="s">
        <v>5604</v>
      </c>
      <c r="B1503" s="6" t="s">
        <v>4218</v>
      </c>
      <c r="C1503" s="6" t="s">
        <v>5605</v>
      </c>
      <c r="D1503" s="18">
        <v>1.0</v>
      </c>
      <c r="E1503" s="18">
        <v>50.0</v>
      </c>
      <c r="F1503" s="18">
        <v>50.0</v>
      </c>
    </row>
    <row r="1504">
      <c r="A1504" s="6" t="s">
        <v>5606</v>
      </c>
      <c r="B1504" s="6" t="s">
        <v>4218</v>
      </c>
      <c r="C1504" s="6" t="s">
        <v>338</v>
      </c>
      <c r="D1504" s="18">
        <v>1.0</v>
      </c>
      <c r="E1504" s="18">
        <v>100.0</v>
      </c>
      <c r="F1504" s="18">
        <v>100.0</v>
      </c>
    </row>
    <row r="1505">
      <c r="A1505" s="6" t="s">
        <v>5608</v>
      </c>
      <c r="B1505" s="6" t="s">
        <v>4225</v>
      </c>
      <c r="C1505" s="6" t="s">
        <v>249</v>
      </c>
      <c r="D1505" s="18">
        <v>2.0</v>
      </c>
      <c r="E1505" s="18">
        <v>200.0</v>
      </c>
      <c r="F1505" s="18">
        <v>400.0</v>
      </c>
    </row>
    <row r="1506">
      <c r="A1506" s="6" t="s">
        <v>5609</v>
      </c>
      <c r="B1506" s="6" t="s">
        <v>4225</v>
      </c>
      <c r="C1506" s="6" t="s">
        <v>797</v>
      </c>
      <c r="D1506" s="18">
        <v>2.0</v>
      </c>
      <c r="E1506" s="18">
        <v>250.0</v>
      </c>
      <c r="F1506" s="18">
        <v>500.0</v>
      </c>
    </row>
    <row r="1507">
      <c r="A1507" s="6" t="s">
        <v>5610</v>
      </c>
      <c r="B1507" s="6" t="s">
        <v>4225</v>
      </c>
      <c r="C1507" s="6" t="s">
        <v>1350</v>
      </c>
      <c r="D1507" s="18">
        <v>1.0</v>
      </c>
      <c r="E1507" s="18">
        <v>150.0</v>
      </c>
      <c r="F1507" s="18">
        <v>150.0</v>
      </c>
    </row>
    <row r="1508">
      <c r="A1508" s="6" t="s">
        <v>5611</v>
      </c>
      <c r="B1508" s="6" t="s">
        <v>4225</v>
      </c>
      <c r="C1508" s="6" t="s">
        <v>802</v>
      </c>
      <c r="D1508" s="18">
        <v>1.0</v>
      </c>
      <c r="E1508" s="18">
        <v>1000.66</v>
      </c>
      <c r="F1508" s="18">
        <v>1000.66</v>
      </c>
    </row>
    <row r="1509">
      <c r="A1509" s="6" t="s">
        <v>5613</v>
      </c>
      <c r="B1509" s="6" t="s">
        <v>4225</v>
      </c>
      <c r="C1509" s="6" t="s">
        <v>794</v>
      </c>
      <c r="D1509" s="18">
        <v>1.0</v>
      </c>
      <c r="E1509" s="18">
        <v>202.0</v>
      </c>
      <c r="F1509" s="18">
        <v>202.0</v>
      </c>
    </row>
    <row r="1510">
      <c r="A1510" s="6" t="s">
        <v>5614</v>
      </c>
      <c r="B1510" s="6" t="s">
        <v>4233</v>
      </c>
      <c r="C1510" s="18">
        <v>1.2539885E7</v>
      </c>
      <c r="D1510" s="18">
        <v>1.0</v>
      </c>
      <c r="E1510" s="18">
        <v>250.0</v>
      </c>
      <c r="F1510" s="18">
        <v>250.0</v>
      </c>
    </row>
    <row r="1511">
      <c r="A1511" s="6" t="s">
        <v>5615</v>
      </c>
      <c r="B1511" s="6" t="s">
        <v>4239</v>
      </c>
      <c r="C1511" s="6" t="s">
        <v>159</v>
      </c>
      <c r="D1511" s="18">
        <v>1.0</v>
      </c>
      <c r="E1511" s="18">
        <v>180.0</v>
      </c>
      <c r="F1511" s="18">
        <v>180.0</v>
      </c>
    </row>
    <row r="1512">
      <c r="A1512" s="6" t="s">
        <v>5616</v>
      </c>
      <c r="B1512" s="6" t="s">
        <v>4239</v>
      </c>
      <c r="C1512" s="6" t="s">
        <v>155</v>
      </c>
      <c r="D1512" s="18">
        <v>1.0</v>
      </c>
      <c r="E1512" s="18">
        <v>31.0</v>
      </c>
      <c r="F1512" s="18">
        <v>31.0</v>
      </c>
    </row>
    <row r="1513">
      <c r="A1513" s="6" t="s">
        <v>5617</v>
      </c>
      <c r="B1513" s="6" t="s">
        <v>4239</v>
      </c>
      <c r="C1513" s="6" t="s">
        <v>152</v>
      </c>
      <c r="D1513" s="18">
        <v>1.0</v>
      </c>
      <c r="E1513" s="18">
        <v>15.04</v>
      </c>
      <c r="F1513" s="18">
        <v>15.04</v>
      </c>
    </row>
    <row r="1514">
      <c r="A1514" s="6" t="s">
        <v>5618</v>
      </c>
      <c r="B1514" s="6" t="s">
        <v>4239</v>
      </c>
      <c r="C1514" s="6" t="s">
        <v>226</v>
      </c>
      <c r="D1514" s="18">
        <v>1.0</v>
      </c>
      <c r="E1514" s="18">
        <v>54.0</v>
      </c>
      <c r="F1514" s="18">
        <v>54.0</v>
      </c>
    </row>
    <row r="1515">
      <c r="A1515" s="6" t="s">
        <v>5619</v>
      </c>
      <c r="B1515" s="6" t="s">
        <v>4244</v>
      </c>
      <c r="C1515" s="6" t="s">
        <v>305</v>
      </c>
      <c r="D1515" s="18">
        <v>1.0</v>
      </c>
      <c r="E1515" s="18">
        <v>115.19</v>
      </c>
      <c r="F1515" s="18">
        <v>115.19</v>
      </c>
    </row>
    <row r="1516">
      <c r="A1516" s="6" t="s">
        <v>5620</v>
      </c>
      <c r="B1516" s="6" t="s">
        <v>4252</v>
      </c>
      <c r="C1516" s="6" t="s">
        <v>854</v>
      </c>
      <c r="D1516" s="18">
        <v>1.0</v>
      </c>
      <c r="E1516" s="18">
        <v>19.99</v>
      </c>
      <c r="F1516" s="18">
        <v>19.99</v>
      </c>
    </row>
    <row r="1517">
      <c r="A1517" s="6" t="s">
        <v>5622</v>
      </c>
      <c r="B1517" s="6" t="s">
        <v>4258</v>
      </c>
      <c r="C1517" s="18">
        <v>1.2539885E7</v>
      </c>
      <c r="D1517" s="18">
        <v>1.0</v>
      </c>
      <c r="E1517" s="18">
        <v>350.0</v>
      </c>
      <c r="F1517" s="18">
        <v>350.0</v>
      </c>
    </row>
    <row r="1518">
      <c r="A1518" s="6" t="s">
        <v>5623</v>
      </c>
      <c r="B1518" s="6" t="s">
        <v>4264</v>
      </c>
      <c r="C1518" s="6" t="s">
        <v>1073</v>
      </c>
      <c r="D1518" s="18">
        <v>1.0</v>
      </c>
      <c r="E1518" s="18">
        <v>18.0</v>
      </c>
      <c r="F1518" s="18">
        <v>18.0</v>
      </c>
    </row>
    <row r="1519">
      <c r="A1519" s="6" t="s">
        <v>5624</v>
      </c>
      <c r="B1519" s="6" t="s">
        <v>4264</v>
      </c>
      <c r="C1519" s="6" t="s">
        <v>1074</v>
      </c>
      <c r="D1519" s="18">
        <v>5.0</v>
      </c>
      <c r="E1519" s="18">
        <v>38.0</v>
      </c>
      <c r="F1519" s="18">
        <v>190.0</v>
      </c>
    </row>
    <row r="1520">
      <c r="A1520" s="6" t="s">
        <v>5625</v>
      </c>
      <c r="B1520" s="6" t="s">
        <v>4264</v>
      </c>
      <c r="C1520" s="6" t="s">
        <v>1075</v>
      </c>
      <c r="D1520" s="18">
        <v>4.0</v>
      </c>
      <c r="E1520" s="18">
        <v>18.0</v>
      </c>
      <c r="F1520" s="18">
        <v>72.0</v>
      </c>
    </row>
    <row r="1521">
      <c r="A1521" s="6" t="s">
        <v>5626</v>
      </c>
      <c r="B1521" s="6" t="s">
        <v>4264</v>
      </c>
      <c r="C1521" s="6" t="s">
        <v>1081</v>
      </c>
      <c r="D1521" s="18">
        <v>5.0</v>
      </c>
      <c r="E1521" s="18">
        <v>46.0</v>
      </c>
      <c r="F1521" s="18">
        <v>230.0</v>
      </c>
    </row>
    <row r="1522">
      <c r="A1522" s="6" t="s">
        <v>5628</v>
      </c>
      <c r="B1522" s="6" t="s">
        <v>4264</v>
      </c>
      <c r="C1522" s="18">
        <v>7.5375964E7</v>
      </c>
      <c r="D1522" s="18">
        <v>2.0</v>
      </c>
      <c r="E1522" s="18">
        <v>38.0</v>
      </c>
      <c r="F1522" s="18">
        <v>76.0</v>
      </c>
    </row>
    <row r="1523">
      <c r="A1523" s="6" t="s">
        <v>5629</v>
      </c>
      <c r="B1523" s="6" t="s">
        <v>4264</v>
      </c>
      <c r="C1523" s="6" t="s">
        <v>1091</v>
      </c>
      <c r="D1523" s="18">
        <v>1.0</v>
      </c>
      <c r="E1523" s="18">
        <v>36.0</v>
      </c>
      <c r="F1523" s="18">
        <v>36.0</v>
      </c>
    </row>
    <row r="1524">
      <c r="A1524" s="6" t="s">
        <v>5631</v>
      </c>
      <c r="B1524" s="6" t="s">
        <v>4270</v>
      </c>
      <c r="C1524" s="18">
        <v>1.2539885E7</v>
      </c>
      <c r="D1524" s="18">
        <v>1.0</v>
      </c>
      <c r="E1524" s="18">
        <v>333.0</v>
      </c>
      <c r="F1524" s="18">
        <v>333.0</v>
      </c>
    </row>
    <row r="1525">
      <c r="A1525" s="6" t="s">
        <v>5632</v>
      </c>
      <c r="B1525" s="6" t="s">
        <v>4275</v>
      </c>
      <c r="C1525" s="6" t="s">
        <v>3833</v>
      </c>
      <c r="D1525" s="18">
        <v>1.0</v>
      </c>
      <c r="E1525" s="18">
        <v>11688.06</v>
      </c>
      <c r="F1525" s="18">
        <v>11688.06</v>
      </c>
    </row>
    <row r="1526">
      <c r="A1526" s="6" t="s">
        <v>5633</v>
      </c>
      <c r="B1526" s="6" t="s">
        <v>4279</v>
      </c>
      <c r="C1526" s="6" t="s">
        <v>1126</v>
      </c>
      <c r="D1526" s="18">
        <v>1.0</v>
      </c>
      <c r="E1526" s="18">
        <v>30.0</v>
      </c>
      <c r="F1526" s="18">
        <v>30.0</v>
      </c>
    </row>
    <row r="1527">
      <c r="A1527" s="6" t="s">
        <v>5635</v>
      </c>
      <c r="B1527" s="6" t="s">
        <v>4282</v>
      </c>
      <c r="C1527" s="6" t="s">
        <v>5636</v>
      </c>
      <c r="D1527" s="18">
        <v>1.0</v>
      </c>
      <c r="E1527" s="18">
        <v>200.0</v>
      </c>
      <c r="F1527" s="18">
        <v>200.0</v>
      </c>
    </row>
    <row r="1528">
      <c r="A1528" s="6" t="s">
        <v>5637</v>
      </c>
      <c r="B1528" s="6" t="s">
        <v>4287</v>
      </c>
      <c r="C1528" s="6" t="s">
        <v>5638</v>
      </c>
      <c r="D1528" s="18">
        <v>1.0</v>
      </c>
      <c r="E1528" s="18">
        <v>150.0</v>
      </c>
      <c r="F1528" s="18">
        <v>150.0</v>
      </c>
    </row>
    <row r="1529">
      <c r="A1529" s="6" t="s">
        <v>5639</v>
      </c>
      <c r="B1529" s="6" t="s">
        <v>4291</v>
      </c>
      <c r="C1529" s="6" t="s">
        <v>5640</v>
      </c>
      <c r="D1529" s="18">
        <v>1.0</v>
      </c>
      <c r="E1529" s="18">
        <v>396.0</v>
      </c>
      <c r="F1529" s="18">
        <v>396.0</v>
      </c>
    </row>
    <row r="1530">
      <c r="A1530" s="6" t="s">
        <v>5641</v>
      </c>
      <c r="B1530" s="6" t="s">
        <v>4296</v>
      </c>
      <c r="C1530" s="6" t="s">
        <v>1653</v>
      </c>
      <c r="D1530" s="18">
        <v>1.0</v>
      </c>
      <c r="E1530" s="18">
        <v>259.52</v>
      </c>
      <c r="F1530" s="18">
        <v>259.52</v>
      </c>
    </row>
    <row r="1531">
      <c r="A1531" s="6" t="s">
        <v>5643</v>
      </c>
      <c r="B1531" s="6" t="s">
        <v>4302</v>
      </c>
      <c r="C1531" s="6" t="s">
        <v>5644</v>
      </c>
      <c r="D1531" s="18">
        <v>1.0</v>
      </c>
      <c r="E1531" s="18">
        <v>92.38</v>
      </c>
      <c r="F1531" s="18">
        <v>92.38</v>
      </c>
    </row>
    <row r="1532">
      <c r="A1532" s="6" t="s">
        <v>5645</v>
      </c>
      <c r="B1532" s="6" t="s">
        <v>4310</v>
      </c>
      <c r="C1532" s="6" t="s">
        <v>1536</v>
      </c>
      <c r="D1532" s="18">
        <v>1.0</v>
      </c>
      <c r="E1532" s="18">
        <v>80.0</v>
      </c>
      <c r="F1532" s="18">
        <v>80.0</v>
      </c>
    </row>
    <row r="1533">
      <c r="A1533" s="6" t="s">
        <v>5646</v>
      </c>
      <c r="B1533" s="6" t="s">
        <v>4317</v>
      </c>
      <c r="C1533" s="6" t="s">
        <v>155</v>
      </c>
      <c r="D1533" s="18">
        <v>1.0</v>
      </c>
      <c r="E1533" s="18">
        <v>27.31</v>
      </c>
      <c r="F1533" s="18">
        <v>27.31</v>
      </c>
    </row>
    <row r="1534">
      <c r="A1534" s="6" t="s">
        <v>5647</v>
      </c>
      <c r="B1534" s="6" t="s">
        <v>4317</v>
      </c>
      <c r="C1534" s="6" t="s">
        <v>152</v>
      </c>
      <c r="D1534" s="18">
        <v>1.0</v>
      </c>
      <c r="E1534" s="18">
        <v>9.4</v>
      </c>
      <c r="F1534" s="18">
        <v>9.4</v>
      </c>
    </row>
    <row r="1535">
      <c r="A1535" s="6" t="s">
        <v>5648</v>
      </c>
      <c r="B1535" s="6" t="s">
        <v>4317</v>
      </c>
      <c r="C1535" s="6" t="s">
        <v>226</v>
      </c>
      <c r="D1535" s="18">
        <v>1.0</v>
      </c>
      <c r="E1535" s="18">
        <v>47.5</v>
      </c>
      <c r="F1535" s="18">
        <v>47.5</v>
      </c>
    </row>
    <row r="1536">
      <c r="A1536" s="6" t="s">
        <v>5650</v>
      </c>
      <c r="B1536" s="6" t="s">
        <v>4325</v>
      </c>
      <c r="C1536" s="6" t="s">
        <v>5325</v>
      </c>
      <c r="D1536" s="18">
        <v>1.0</v>
      </c>
      <c r="E1536" s="18">
        <v>110.0</v>
      </c>
      <c r="F1536" s="18">
        <v>110.0</v>
      </c>
    </row>
    <row r="1537">
      <c r="A1537" s="6" t="s">
        <v>5652</v>
      </c>
      <c r="B1537" s="6" t="s">
        <v>4331</v>
      </c>
      <c r="C1537" s="6" t="s">
        <v>335</v>
      </c>
      <c r="D1537" s="18">
        <v>8.0</v>
      </c>
      <c r="E1537" s="18">
        <v>39.84</v>
      </c>
      <c r="F1537" s="18">
        <v>318.72</v>
      </c>
    </row>
    <row r="1538">
      <c r="A1538" s="6" t="s">
        <v>5654</v>
      </c>
      <c r="B1538" s="6" t="s">
        <v>4331</v>
      </c>
      <c r="C1538" s="6" t="s">
        <v>1777</v>
      </c>
      <c r="D1538" s="18">
        <v>1.0</v>
      </c>
      <c r="E1538" s="18">
        <v>23.16</v>
      </c>
      <c r="F1538" s="18">
        <v>23.16</v>
      </c>
    </row>
    <row r="1539">
      <c r="A1539" s="6" t="s">
        <v>5656</v>
      </c>
      <c r="B1539" s="6" t="s">
        <v>4331</v>
      </c>
      <c r="C1539" s="6" t="s">
        <v>338</v>
      </c>
      <c r="D1539" s="18">
        <v>2.0</v>
      </c>
      <c r="E1539" s="18">
        <v>27.96</v>
      </c>
      <c r="F1539" s="18">
        <v>55.92</v>
      </c>
    </row>
    <row r="1540">
      <c r="A1540" s="6" t="s">
        <v>5657</v>
      </c>
      <c r="B1540" s="6" t="s">
        <v>4331</v>
      </c>
      <c r="C1540" s="6" t="s">
        <v>1777</v>
      </c>
      <c r="D1540" s="18">
        <v>2.0</v>
      </c>
      <c r="E1540" s="18">
        <v>29.88</v>
      </c>
      <c r="F1540" s="18">
        <v>59.76</v>
      </c>
    </row>
    <row r="1541">
      <c r="A1541" s="6" t="s">
        <v>5659</v>
      </c>
      <c r="B1541" s="6" t="s">
        <v>4335</v>
      </c>
      <c r="C1541" s="6" t="s">
        <v>5660</v>
      </c>
      <c r="D1541" s="18">
        <v>1.0</v>
      </c>
      <c r="E1541" s="18">
        <v>1371.0</v>
      </c>
      <c r="F1541" s="18">
        <v>1371.0</v>
      </c>
    </row>
    <row r="1542">
      <c r="A1542" s="6" t="s">
        <v>5661</v>
      </c>
      <c r="B1542" s="6" t="s">
        <v>4341</v>
      </c>
      <c r="C1542" s="6" t="s">
        <v>1510</v>
      </c>
      <c r="D1542" s="18">
        <v>1.0</v>
      </c>
      <c r="E1542" s="18">
        <v>1080.0</v>
      </c>
      <c r="F1542" s="18">
        <v>1080.0</v>
      </c>
    </row>
    <row r="1543">
      <c r="A1543" s="6" t="s">
        <v>5663</v>
      </c>
      <c r="B1543" s="6" t="s">
        <v>4350</v>
      </c>
      <c r="C1543" s="6" t="s">
        <v>159</v>
      </c>
      <c r="D1543" s="18">
        <v>20.0</v>
      </c>
      <c r="E1543" s="18">
        <v>12.0</v>
      </c>
      <c r="F1543" s="18">
        <v>240.0</v>
      </c>
    </row>
    <row r="1544">
      <c r="A1544" s="6" t="s">
        <v>5664</v>
      </c>
      <c r="B1544" s="6" t="s">
        <v>4350</v>
      </c>
      <c r="C1544" s="6" t="s">
        <v>155</v>
      </c>
      <c r="D1544" s="18">
        <v>1.0</v>
      </c>
      <c r="E1544" s="18">
        <v>37.75</v>
      </c>
      <c r="F1544" s="18">
        <v>37.75</v>
      </c>
    </row>
    <row r="1545">
      <c r="A1545" s="6" t="s">
        <v>5665</v>
      </c>
      <c r="B1545" s="6" t="s">
        <v>4350</v>
      </c>
      <c r="C1545" s="6" t="s">
        <v>152</v>
      </c>
      <c r="D1545" s="18">
        <v>1.0</v>
      </c>
      <c r="E1545" s="18">
        <v>13.39</v>
      </c>
      <c r="F1545" s="18">
        <v>13.39</v>
      </c>
    </row>
    <row r="1546">
      <c r="A1546" s="6" t="s">
        <v>5667</v>
      </c>
      <c r="B1546" s="6" t="s">
        <v>4350</v>
      </c>
      <c r="C1546" s="6" t="s">
        <v>226</v>
      </c>
      <c r="D1546" s="18">
        <v>1.0</v>
      </c>
      <c r="E1546" s="18">
        <v>76.0</v>
      </c>
      <c r="F1546" s="18">
        <v>76.0</v>
      </c>
    </row>
    <row r="1547">
      <c r="A1547" s="6" t="s">
        <v>5668</v>
      </c>
      <c r="B1547" s="6" t="s">
        <v>4359</v>
      </c>
      <c r="C1547" s="18">
        <v>1.2539885E7</v>
      </c>
      <c r="D1547" s="18">
        <v>1.0</v>
      </c>
      <c r="E1547" s="18">
        <v>300.0</v>
      </c>
      <c r="F1547" s="18">
        <v>300.0</v>
      </c>
    </row>
    <row r="1548">
      <c r="A1548" s="6" t="s">
        <v>5671</v>
      </c>
      <c r="B1548" s="6" t="s">
        <v>4370</v>
      </c>
      <c r="C1548" s="6" t="s">
        <v>1080</v>
      </c>
      <c r="D1548" s="18">
        <v>10.0</v>
      </c>
      <c r="E1548" s="18">
        <v>13.9</v>
      </c>
      <c r="F1548" s="18">
        <v>139.0</v>
      </c>
    </row>
    <row r="1549">
      <c r="A1549" s="6" t="s">
        <v>5672</v>
      </c>
      <c r="B1549" s="6" t="s">
        <v>4370</v>
      </c>
      <c r="C1549" s="6" t="s">
        <v>1427</v>
      </c>
      <c r="D1549" s="18">
        <v>2.0</v>
      </c>
      <c r="E1549" s="18">
        <v>25.9</v>
      </c>
      <c r="F1549" s="18">
        <v>51.8</v>
      </c>
    </row>
    <row r="1550">
      <c r="A1550" s="6" t="s">
        <v>5673</v>
      </c>
      <c r="B1550" s="6" t="s">
        <v>4379</v>
      </c>
      <c r="C1550" s="6" t="s">
        <v>1073</v>
      </c>
      <c r="D1550" s="18">
        <v>1.0</v>
      </c>
      <c r="E1550" s="18">
        <v>19.0</v>
      </c>
      <c r="F1550" s="18">
        <v>19.0</v>
      </c>
    </row>
    <row r="1551">
      <c r="A1551" s="6" t="s">
        <v>5674</v>
      </c>
      <c r="B1551" s="6" t="s">
        <v>4379</v>
      </c>
      <c r="C1551" s="18">
        <v>7.5375964E7</v>
      </c>
      <c r="D1551" s="18">
        <v>1.0</v>
      </c>
      <c r="E1551" s="18">
        <v>18.0</v>
      </c>
      <c r="F1551" s="18">
        <v>18.0</v>
      </c>
    </row>
    <row r="1552">
      <c r="A1552" s="6" t="s">
        <v>5675</v>
      </c>
      <c r="B1552" s="6" t="s">
        <v>4379</v>
      </c>
      <c r="C1552" s="6" t="s">
        <v>1074</v>
      </c>
      <c r="D1552" s="18">
        <v>2.0</v>
      </c>
      <c r="E1552" s="18">
        <v>37.0</v>
      </c>
      <c r="F1552" s="18">
        <v>74.0</v>
      </c>
    </row>
    <row r="1553">
      <c r="A1553" s="6" t="s">
        <v>5678</v>
      </c>
      <c r="B1553" s="6" t="s">
        <v>4379</v>
      </c>
      <c r="C1553" s="6" t="s">
        <v>1075</v>
      </c>
      <c r="D1553" s="18">
        <v>3.0</v>
      </c>
      <c r="E1553" s="18">
        <v>18.5</v>
      </c>
      <c r="F1553" s="18">
        <v>55.5</v>
      </c>
    </row>
    <row r="1554">
      <c r="A1554" s="6" t="s">
        <v>5680</v>
      </c>
      <c r="B1554" s="6" t="s">
        <v>4379</v>
      </c>
      <c r="C1554" s="6" t="s">
        <v>1077</v>
      </c>
      <c r="D1554" s="18">
        <v>1.0</v>
      </c>
      <c r="E1554" s="18">
        <v>24.0</v>
      </c>
      <c r="F1554" s="18">
        <v>24.0</v>
      </c>
    </row>
    <row r="1555">
      <c r="A1555" s="6" t="s">
        <v>5683</v>
      </c>
      <c r="B1555" s="6" t="s">
        <v>4379</v>
      </c>
      <c r="C1555" s="6" t="s">
        <v>1079</v>
      </c>
      <c r="D1555" s="18">
        <v>10.0</v>
      </c>
      <c r="E1555" s="18">
        <v>17.0</v>
      </c>
      <c r="F1555" s="18">
        <v>170.0</v>
      </c>
    </row>
    <row r="1556">
      <c r="A1556" s="6" t="s">
        <v>5686</v>
      </c>
      <c r="B1556" s="6" t="s">
        <v>4379</v>
      </c>
      <c r="C1556" s="6" t="s">
        <v>1081</v>
      </c>
      <c r="D1556" s="18">
        <v>2.0</v>
      </c>
      <c r="E1556" s="18">
        <v>46.0</v>
      </c>
      <c r="F1556" s="18">
        <v>92.0</v>
      </c>
    </row>
    <row r="1557">
      <c r="A1557" s="6" t="s">
        <v>5688</v>
      </c>
      <c r="B1557" s="6" t="s">
        <v>4379</v>
      </c>
      <c r="C1557" s="18">
        <v>7.5375964E7</v>
      </c>
      <c r="D1557" s="18">
        <v>2.0</v>
      </c>
      <c r="E1557" s="18">
        <v>37.0</v>
      </c>
      <c r="F1557" s="18">
        <v>74.0</v>
      </c>
    </row>
    <row r="1558">
      <c r="A1558" s="6" t="s">
        <v>5689</v>
      </c>
      <c r="B1558" s="6" t="s">
        <v>4379</v>
      </c>
      <c r="C1558" s="6" t="s">
        <v>1074</v>
      </c>
      <c r="D1558" s="18">
        <v>1.0</v>
      </c>
      <c r="E1558" s="18">
        <v>70.0</v>
      </c>
      <c r="F1558" s="18">
        <v>70.0</v>
      </c>
    </row>
    <row r="1559">
      <c r="A1559" s="6" t="s">
        <v>5691</v>
      </c>
      <c r="B1559" s="6" t="s">
        <v>4379</v>
      </c>
      <c r="C1559" s="6" t="s">
        <v>1077</v>
      </c>
      <c r="D1559" s="18">
        <v>1.0</v>
      </c>
      <c r="E1559" s="18">
        <v>24.0</v>
      </c>
      <c r="F1559" s="18">
        <v>24.0</v>
      </c>
    </row>
    <row r="1560">
      <c r="A1560" s="6" t="s">
        <v>5696</v>
      </c>
      <c r="B1560" s="6" t="s">
        <v>4389</v>
      </c>
      <c r="C1560" s="6" t="s">
        <v>159</v>
      </c>
      <c r="D1560" s="18">
        <v>1.0</v>
      </c>
      <c r="E1560" s="18">
        <v>120.0</v>
      </c>
      <c r="F1560" s="18">
        <v>120.0</v>
      </c>
    </row>
    <row r="1561">
      <c r="A1561" s="6" t="s">
        <v>5698</v>
      </c>
      <c r="B1561" s="6" t="s">
        <v>4389</v>
      </c>
      <c r="C1561" s="6" t="s">
        <v>155</v>
      </c>
      <c r="D1561" s="18">
        <v>1.0</v>
      </c>
      <c r="E1561" s="18">
        <v>21.82</v>
      </c>
      <c r="F1561" s="18">
        <v>21.82</v>
      </c>
    </row>
    <row r="1562">
      <c r="A1562" s="6" t="s">
        <v>5700</v>
      </c>
      <c r="B1562" s="6" t="s">
        <v>4389</v>
      </c>
      <c r="C1562" s="6" t="s">
        <v>152</v>
      </c>
      <c r="D1562" s="18">
        <v>1.0</v>
      </c>
      <c r="E1562" s="18">
        <v>5.82</v>
      </c>
      <c r="F1562" s="18">
        <v>5.82</v>
      </c>
    </row>
    <row r="1563">
      <c r="A1563" s="6" t="s">
        <v>5701</v>
      </c>
      <c r="B1563" s="6" t="s">
        <v>4389</v>
      </c>
      <c r="C1563" s="6" t="s">
        <v>226</v>
      </c>
      <c r="D1563" s="18">
        <v>10.0</v>
      </c>
      <c r="E1563" s="18">
        <v>9.5</v>
      </c>
      <c r="F1563" s="18">
        <v>95.0</v>
      </c>
    </row>
    <row r="1564">
      <c r="A1564" s="6" t="s">
        <v>5702</v>
      </c>
      <c r="B1564" s="6" t="s">
        <v>4398</v>
      </c>
      <c r="C1564" s="6" t="s">
        <v>1668</v>
      </c>
      <c r="D1564" s="18">
        <v>1.0</v>
      </c>
      <c r="E1564" s="18">
        <v>118.0</v>
      </c>
      <c r="F1564" s="18">
        <v>118.0</v>
      </c>
    </row>
    <row r="1565">
      <c r="A1565" s="6" t="s">
        <v>5703</v>
      </c>
      <c r="B1565" s="6" t="s">
        <v>4409</v>
      </c>
      <c r="C1565" s="6" t="s">
        <v>159</v>
      </c>
      <c r="D1565" s="18">
        <v>20.0</v>
      </c>
      <c r="E1565" s="18">
        <v>12.0</v>
      </c>
      <c r="F1565" s="18">
        <v>240.0</v>
      </c>
    </row>
    <row r="1566">
      <c r="A1566" s="6" t="s">
        <v>5705</v>
      </c>
      <c r="B1566" s="6" t="s">
        <v>4409</v>
      </c>
      <c r="C1566" s="6" t="s">
        <v>155</v>
      </c>
      <c r="D1566" s="18">
        <v>1.0</v>
      </c>
      <c r="E1566" s="18">
        <v>38.25</v>
      </c>
      <c r="F1566" s="18">
        <v>38.25</v>
      </c>
    </row>
    <row r="1567">
      <c r="A1567" s="6" t="s">
        <v>5706</v>
      </c>
      <c r="B1567" s="6" t="s">
        <v>4409</v>
      </c>
      <c r="C1567" s="6" t="s">
        <v>152</v>
      </c>
      <c r="D1567" s="18">
        <v>1.0</v>
      </c>
      <c r="E1567" s="18">
        <v>13.0</v>
      </c>
      <c r="F1567" s="18">
        <v>13.0</v>
      </c>
    </row>
    <row r="1568">
      <c r="A1568" s="6" t="s">
        <v>5707</v>
      </c>
      <c r="B1568" s="6" t="s">
        <v>4409</v>
      </c>
      <c r="C1568" s="6" t="s">
        <v>226</v>
      </c>
      <c r="D1568" s="18">
        <v>1.0</v>
      </c>
      <c r="E1568" s="18">
        <v>66.5</v>
      </c>
      <c r="F1568" s="18">
        <v>66.5</v>
      </c>
    </row>
    <row r="1569">
      <c r="A1569" s="6" t="s">
        <v>5708</v>
      </c>
      <c r="B1569" s="6" t="s">
        <v>4417</v>
      </c>
      <c r="C1569" s="6" t="s">
        <v>5709</v>
      </c>
      <c r="D1569" s="18">
        <v>1.0</v>
      </c>
      <c r="E1569" s="18">
        <v>7395.25</v>
      </c>
      <c r="F1569" s="18">
        <v>7395.25</v>
      </c>
    </row>
    <row r="1570">
      <c r="A1570" s="6" t="s">
        <v>5710</v>
      </c>
      <c r="B1570" s="6" t="s">
        <v>4426</v>
      </c>
      <c r="C1570" s="6" t="s">
        <v>1510</v>
      </c>
      <c r="D1570" s="18">
        <v>1.0</v>
      </c>
      <c r="E1570" s="18">
        <v>24539.95</v>
      </c>
      <c r="F1570" s="18">
        <v>24539.95</v>
      </c>
    </row>
    <row r="1571">
      <c r="A1571" s="6" t="s">
        <v>5712</v>
      </c>
      <c r="B1571" s="6" t="s">
        <v>4437</v>
      </c>
      <c r="C1571" s="6" t="s">
        <v>5713</v>
      </c>
      <c r="D1571" s="18">
        <v>1.0</v>
      </c>
      <c r="E1571" s="18">
        <v>155.25</v>
      </c>
      <c r="F1571" s="18">
        <v>155.25</v>
      </c>
    </row>
    <row r="1572">
      <c r="A1572" s="6" t="s">
        <v>5714</v>
      </c>
      <c r="B1572" s="6" t="s">
        <v>4437</v>
      </c>
      <c r="C1572" s="6" t="s">
        <v>5715</v>
      </c>
      <c r="D1572" s="18">
        <v>1.0</v>
      </c>
      <c r="E1572" s="18">
        <v>310.5</v>
      </c>
      <c r="F1572" s="18">
        <v>310.5</v>
      </c>
    </row>
    <row r="1573">
      <c r="A1573" s="6" t="s">
        <v>5716</v>
      </c>
      <c r="B1573" s="6" t="s">
        <v>4448</v>
      </c>
      <c r="C1573" s="18">
        <v>1.2539885E7</v>
      </c>
      <c r="D1573" s="18">
        <v>1.0</v>
      </c>
      <c r="E1573" s="18">
        <v>375.0</v>
      </c>
      <c r="F1573" s="18">
        <v>375.0</v>
      </c>
    </row>
    <row r="1574">
      <c r="A1574" s="6" t="s">
        <v>5717</v>
      </c>
      <c r="B1574" s="6" t="s">
        <v>4456</v>
      </c>
      <c r="C1574" s="6" t="s">
        <v>688</v>
      </c>
      <c r="D1574" s="18">
        <v>6.0</v>
      </c>
      <c r="E1574" s="18">
        <v>19.49</v>
      </c>
      <c r="F1574" s="18">
        <v>116.94</v>
      </c>
    </row>
    <row r="1575">
      <c r="A1575" s="6" t="s">
        <v>5719</v>
      </c>
      <c r="B1575" s="6" t="s">
        <v>4456</v>
      </c>
      <c r="C1575" s="6" t="s">
        <v>5720</v>
      </c>
      <c r="D1575" s="18">
        <v>27.0</v>
      </c>
      <c r="E1575" s="18">
        <v>3.49</v>
      </c>
      <c r="F1575" s="18">
        <v>94.23</v>
      </c>
    </row>
    <row r="1576">
      <c r="A1576" s="6" t="s">
        <v>5722</v>
      </c>
      <c r="B1576" s="6" t="s">
        <v>4468</v>
      </c>
      <c r="C1576" s="6" t="s">
        <v>1683</v>
      </c>
      <c r="D1576" s="18">
        <v>1.0</v>
      </c>
      <c r="E1576" s="18">
        <v>105.0</v>
      </c>
      <c r="F1576" s="18">
        <v>105.0</v>
      </c>
    </row>
    <row r="1577">
      <c r="A1577" s="6" t="s">
        <v>5723</v>
      </c>
      <c r="B1577" s="6" t="s">
        <v>4468</v>
      </c>
      <c r="C1577" s="6" t="s">
        <v>1195</v>
      </c>
      <c r="D1577" s="18">
        <v>1.0</v>
      </c>
      <c r="E1577" s="18">
        <v>138.0</v>
      </c>
      <c r="F1577" s="18">
        <v>138.0</v>
      </c>
    </row>
    <row r="1578">
      <c r="A1578" s="6" t="s">
        <v>5724</v>
      </c>
      <c r="B1578" s="6" t="s">
        <v>4468</v>
      </c>
      <c r="C1578" s="6" t="s">
        <v>2305</v>
      </c>
      <c r="D1578" s="18">
        <v>1.0</v>
      </c>
      <c r="E1578" s="18">
        <v>31.0</v>
      </c>
      <c r="F1578" s="18">
        <v>31.0</v>
      </c>
    </row>
    <row r="1579">
      <c r="A1579" s="6" t="s">
        <v>5726</v>
      </c>
      <c r="B1579" s="6" t="s">
        <v>4468</v>
      </c>
      <c r="C1579" s="18">
        <v>7.9788768E7</v>
      </c>
      <c r="D1579" s="18">
        <v>1.0</v>
      </c>
      <c r="E1579" s="18">
        <v>31.5</v>
      </c>
      <c r="F1579" s="18">
        <v>31.5</v>
      </c>
    </row>
    <row r="1580">
      <c r="A1580" s="6" t="s">
        <v>5728</v>
      </c>
      <c r="B1580" s="6" t="s">
        <v>4478</v>
      </c>
      <c r="C1580" s="6" t="s">
        <v>1168</v>
      </c>
      <c r="D1580" s="18">
        <v>1.0</v>
      </c>
      <c r="E1580" s="18">
        <v>500.0</v>
      </c>
      <c r="F1580" s="18">
        <v>500.0</v>
      </c>
    </row>
    <row r="1581">
      <c r="A1581" s="6" t="s">
        <v>5729</v>
      </c>
      <c r="B1581" s="6" t="s">
        <v>4484</v>
      </c>
      <c r="C1581" s="6" t="s">
        <v>1073</v>
      </c>
      <c r="D1581" s="18">
        <v>1.0</v>
      </c>
      <c r="E1581" s="18">
        <v>19.0</v>
      </c>
      <c r="F1581" s="18">
        <v>19.0</v>
      </c>
    </row>
    <row r="1582">
      <c r="A1582" s="6" t="s">
        <v>5730</v>
      </c>
      <c r="B1582" s="6" t="s">
        <v>4484</v>
      </c>
      <c r="C1582" s="18">
        <v>7.5375964E7</v>
      </c>
      <c r="D1582" s="18">
        <v>1.0</v>
      </c>
      <c r="E1582" s="18">
        <v>18.0</v>
      </c>
      <c r="F1582" s="18">
        <v>18.0</v>
      </c>
    </row>
    <row r="1583">
      <c r="A1583" s="6" t="s">
        <v>5732</v>
      </c>
      <c r="B1583" s="6" t="s">
        <v>4484</v>
      </c>
      <c r="C1583" s="6" t="s">
        <v>1074</v>
      </c>
      <c r="D1583" s="18">
        <v>2.0</v>
      </c>
      <c r="E1583" s="18">
        <v>37.0</v>
      </c>
      <c r="F1583" s="18">
        <v>74.0</v>
      </c>
    </row>
    <row r="1584">
      <c r="A1584" s="6" t="s">
        <v>5733</v>
      </c>
      <c r="B1584" s="6" t="s">
        <v>4484</v>
      </c>
      <c r="C1584" s="6" t="s">
        <v>1075</v>
      </c>
      <c r="D1584" s="18">
        <v>3.0</v>
      </c>
      <c r="E1584" s="18">
        <v>18.5</v>
      </c>
      <c r="F1584" s="18">
        <v>55.5</v>
      </c>
    </row>
    <row r="1585">
      <c r="A1585" s="6" t="s">
        <v>5735</v>
      </c>
      <c r="B1585" s="6" t="s">
        <v>4484</v>
      </c>
      <c r="C1585" s="6" t="s">
        <v>1077</v>
      </c>
      <c r="D1585" s="18">
        <v>2.0</v>
      </c>
      <c r="E1585" s="18">
        <v>24.0</v>
      </c>
      <c r="F1585" s="18">
        <v>48.0</v>
      </c>
    </row>
    <row r="1586">
      <c r="A1586" s="6" t="s">
        <v>5736</v>
      </c>
      <c r="B1586" s="6" t="s">
        <v>4484</v>
      </c>
      <c r="C1586" s="6" t="s">
        <v>1079</v>
      </c>
      <c r="D1586" s="18">
        <v>10.0</v>
      </c>
      <c r="E1586" s="18">
        <v>17.0</v>
      </c>
      <c r="F1586" s="18">
        <v>170.0</v>
      </c>
    </row>
    <row r="1587">
      <c r="A1587" s="6" t="s">
        <v>5738</v>
      </c>
      <c r="B1587" s="6" t="s">
        <v>4484</v>
      </c>
      <c r="C1587" s="6" t="s">
        <v>1081</v>
      </c>
      <c r="D1587" s="18">
        <v>2.0</v>
      </c>
      <c r="E1587" s="18">
        <v>46.0</v>
      </c>
      <c r="F1587" s="18">
        <v>92.0</v>
      </c>
    </row>
    <row r="1588">
      <c r="A1588" s="6" t="s">
        <v>5739</v>
      </c>
      <c r="B1588" s="6" t="s">
        <v>4484</v>
      </c>
      <c r="C1588" s="18">
        <v>7.5375964E7</v>
      </c>
      <c r="D1588" s="18">
        <v>2.0</v>
      </c>
      <c r="E1588" s="18">
        <v>37.0</v>
      </c>
      <c r="F1588" s="18">
        <v>74.0</v>
      </c>
    </row>
    <row r="1589">
      <c r="A1589" s="6" t="s">
        <v>5741</v>
      </c>
      <c r="B1589" s="6" t="s">
        <v>4484</v>
      </c>
      <c r="C1589" s="6" t="s">
        <v>1074</v>
      </c>
      <c r="D1589" s="18">
        <v>1.0</v>
      </c>
      <c r="E1589" s="18">
        <v>70.0</v>
      </c>
      <c r="F1589" s="18">
        <v>70.0</v>
      </c>
    </row>
    <row r="1590">
      <c r="A1590" s="6" t="s">
        <v>5742</v>
      </c>
      <c r="B1590" s="6" t="s">
        <v>4492</v>
      </c>
      <c r="C1590" s="6" t="s">
        <v>4874</v>
      </c>
      <c r="D1590" s="18">
        <v>1.0</v>
      </c>
      <c r="E1590" s="18">
        <v>1400.89</v>
      </c>
      <c r="F1590" s="18">
        <v>1400.89</v>
      </c>
    </row>
    <row r="1591">
      <c r="A1591" s="6" t="s">
        <v>5744</v>
      </c>
      <c r="B1591" s="6" t="s">
        <v>4500</v>
      </c>
      <c r="C1591" s="6" t="s">
        <v>3833</v>
      </c>
      <c r="D1591" s="18">
        <v>1.0</v>
      </c>
      <c r="E1591" s="18">
        <v>508.18</v>
      </c>
      <c r="F1591" s="18">
        <v>508.18</v>
      </c>
    </row>
    <row r="1592">
      <c r="A1592" s="6" t="s">
        <v>5745</v>
      </c>
      <c r="B1592" s="6" t="s">
        <v>4506</v>
      </c>
      <c r="C1592" s="6" t="s">
        <v>3833</v>
      </c>
      <c r="D1592" s="18">
        <v>1.0</v>
      </c>
      <c r="E1592" s="18">
        <v>155.41</v>
      </c>
      <c r="F1592" s="18">
        <v>155.41</v>
      </c>
    </row>
    <row r="1593">
      <c r="A1593" s="6" t="s">
        <v>5747</v>
      </c>
      <c r="B1593" s="6" t="s">
        <v>4512</v>
      </c>
      <c r="C1593" s="6" t="s">
        <v>1168</v>
      </c>
      <c r="D1593" s="18">
        <v>1.0</v>
      </c>
      <c r="E1593" s="18">
        <v>300.0</v>
      </c>
      <c r="F1593" s="18">
        <v>300.0</v>
      </c>
    </row>
    <row r="1594">
      <c r="A1594" s="6" t="s">
        <v>5748</v>
      </c>
      <c r="B1594" s="6" t="s">
        <v>4518</v>
      </c>
      <c r="C1594" s="6" t="s">
        <v>1168</v>
      </c>
      <c r="D1594" s="18">
        <v>1.0</v>
      </c>
      <c r="E1594" s="18">
        <v>100.0</v>
      </c>
      <c r="F1594" s="18">
        <v>100.0</v>
      </c>
    </row>
    <row r="1595">
      <c r="A1595" s="6" t="s">
        <v>5749</v>
      </c>
      <c r="B1595" s="6" t="s">
        <v>4523</v>
      </c>
      <c r="C1595" s="6" t="s">
        <v>1168</v>
      </c>
      <c r="D1595" s="18">
        <v>1.0</v>
      </c>
      <c r="E1595" s="18">
        <v>400.0</v>
      </c>
      <c r="F1595" s="18">
        <v>400.0</v>
      </c>
    </row>
    <row r="1596">
      <c r="A1596" s="6" t="s">
        <v>5751</v>
      </c>
      <c r="B1596" s="6" t="s">
        <v>4530</v>
      </c>
      <c r="C1596" s="6" t="s">
        <v>159</v>
      </c>
      <c r="D1596" s="18">
        <v>12.0</v>
      </c>
      <c r="E1596" s="18">
        <v>13.0</v>
      </c>
      <c r="F1596" s="18">
        <v>156.0</v>
      </c>
    </row>
    <row r="1597">
      <c r="A1597" s="6" t="s">
        <v>5753</v>
      </c>
      <c r="B1597" s="6" t="s">
        <v>4530</v>
      </c>
      <c r="C1597" s="6" t="s">
        <v>155</v>
      </c>
      <c r="D1597" s="18">
        <v>1.0</v>
      </c>
      <c r="E1597" s="18">
        <v>34.27</v>
      </c>
      <c r="F1597" s="18">
        <v>34.27</v>
      </c>
    </row>
    <row r="1598">
      <c r="A1598" s="6" t="s">
        <v>5756</v>
      </c>
      <c r="B1598" s="6" t="s">
        <v>4530</v>
      </c>
      <c r="C1598" s="6" t="s">
        <v>152</v>
      </c>
      <c r="D1598" s="18">
        <v>1.0</v>
      </c>
      <c r="E1598" s="18">
        <v>13.21</v>
      </c>
      <c r="F1598" s="18">
        <v>13.21</v>
      </c>
    </row>
    <row r="1599">
      <c r="A1599" s="6" t="s">
        <v>5757</v>
      </c>
      <c r="B1599" s="6" t="s">
        <v>4530</v>
      </c>
      <c r="C1599" s="6" t="s">
        <v>226</v>
      </c>
      <c r="D1599" s="18">
        <v>1.0</v>
      </c>
      <c r="E1599" s="18">
        <v>95.0</v>
      </c>
      <c r="F1599" s="18">
        <v>95.0</v>
      </c>
    </row>
    <row r="1600">
      <c r="A1600" s="6" t="s">
        <v>5758</v>
      </c>
      <c r="B1600" s="6" t="s">
        <v>4538</v>
      </c>
      <c r="C1600" s="6" t="s">
        <v>1074</v>
      </c>
      <c r="D1600" s="18">
        <v>3.0</v>
      </c>
      <c r="E1600" s="18">
        <v>39.5</v>
      </c>
      <c r="F1600" s="18">
        <v>118.5</v>
      </c>
    </row>
    <row r="1601">
      <c r="A1601" s="6" t="s">
        <v>5760</v>
      </c>
      <c r="B1601" s="6" t="s">
        <v>4538</v>
      </c>
      <c r="C1601" s="6" t="s">
        <v>1077</v>
      </c>
      <c r="D1601" s="18">
        <v>2.0</v>
      </c>
      <c r="E1601" s="18">
        <v>25.0</v>
      </c>
      <c r="F1601" s="18">
        <v>50.0</v>
      </c>
    </row>
    <row r="1602">
      <c r="A1602" s="6" t="s">
        <v>5763</v>
      </c>
      <c r="B1602" s="6" t="s">
        <v>4538</v>
      </c>
      <c r="C1602" s="6" t="s">
        <v>1079</v>
      </c>
      <c r="D1602" s="18">
        <v>15.0</v>
      </c>
      <c r="E1602" s="18">
        <v>17.5</v>
      </c>
      <c r="F1602" s="18">
        <v>262.5</v>
      </c>
    </row>
    <row r="1603">
      <c r="A1603" s="6" t="s">
        <v>5764</v>
      </c>
      <c r="B1603" s="6" t="s">
        <v>4546</v>
      </c>
      <c r="C1603" s="6" t="s">
        <v>1080</v>
      </c>
      <c r="D1603" s="18">
        <v>1.0</v>
      </c>
      <c r="E1603" s="18">
        <v>208.5</v>
      </c>
      <c r="F1603" s="18">
        <v>208.5</v>
      </c>
    </row>
    <row r="1604">
      <c r="A1604" s="6" t="s">
        <v>5765</v>
      </c>
      <c r="B1604" s="6" t="s">
        <v>4554</v>
      </c>
      <c r="C1604" s="6" t="s">
        <v>305</v>
      </c>
      <c r="D1604" s="18">
        <v>1.0</v>
      </c>
      <c r="E1604" s="18">
        <v>10.21</v>
      </c>
      <c r="F1604" s="18">
        <v>10.21</v>
      </c>
    </row>
    <row r="1605">
      <c r="A1605" s="6" t="s">
        <v>5767</v>
      </c>
      <c r="B1605" s="6" t="s">
        <v>4562</v>
      </c>
      <c r="C1605" s="6" t="s">
        <v>4406</v>
      </c>
      <c r="D1605" s="18">
        <v>1.0</v>
      </c>
      <c r="E1605" s="18">
        <v>559.6</v>
      </c>
      <c r="F1605" s="18">
        <v>559.6</v>
      </c>
    </row>
    <row r="1606">
      <c r="A1606" s="6" t="s">
        <v>5769</v>
      </c>
      <c r="B1606" s="6" t="s">
        <v>4562</v>
      </c>
      <c r="C1606" s="6" t="s">
        <v>5770</v>
      </c>
      <c r="D1606" s="18">
        <v>1.0</v>
      </c>
      <c r="E1606" s="18">
        <v>149.95</v>
      </c>
      <c r="F1606" s="18">
        <v>149.95</v>
      </c>
    </row>
    <row r="1607">
      <c r="A1607" s="6" t="s">
        <v>5772</v>
      </c>
      <c r="B1607" s="6" t="s">
        <v>4562</v>
      </c>
      <c r="C1607" s="6" t="s">
        <v>4176</v>
      </c>
      <c r="D1607" s="18">
        <v>1.0</v>
      </c>
      <c r="E1607" s="18">
        <v>162.5</v>
      </c>
      <c r="F1607" s="18">
        <v>162.5</v>
      </c>
    </row>
    <row r="1608">
      <c r="A1608" s="6" t="s">
        <v>5773</v>
      </c>
      <c r="B1608" s="6" t="s">
        <v>4562</v>
      </c>
      <c r="C1608" s="6" t="s">
        <v>1725</v>
      </c>
      <c r="D1608" s="18">
        <v>1.0</v>
      </c>
      <c r="E1608" s="18">
        <v>286.2</v>
      </c>
      <c r="F1608" s="18">
        <v>286.2</v>
      </c>
    </row>
    <row r="1609">
      <c r="A1609" s="6" t="s">
        <v>5774</v>
      </c>
      <c r="B1609" s="6" t="s">
        <v>4570</v>
      </c>
      <c r="C1609" s="6" t="s">
        <v>1152</v>
      </c>
      <c r="D1609" s="18">
        <v>1.0</v>
      </c>
      <c r="E1609" s="18">
        <v>20.72</v>
      </c>
      <c r="F1609" s="18">
        <v>20.72</v>
      </c>
    </row>
    <row r="1610">
      <c r="A1610" s="6" t="s">
        <v>5776</v>
      </c>
      <c r="B1610" s="6" t="s">
        <v>4576</v>
      </c>
      <c r="C1610" s="6" t="s">
        <v>5777</v>
      </c>
      <c r="D1610" s="18">
        <v>1.0</v>
      </c>
      <c r="E1610" s="18">
        <v>44.0</v>
      </c>
      <c r="F1610" s="18">
        <v>44.0</v>
      </c>
    </row>
    <row r="1611">
      <c r="A1611" s="6" t="s">
        <v>5779</v>
      </c>
      <c r="B1611" s="6" t="s">
        <v>4582</v>
      </c>
      <c r="C1611" s="6" t="s">
        <v>5660</v>
      </c>
      <c r="D1611" s="18">
        <v>1.0</v>
      </c>
      <c r="E1611" s="18">
        <v>290.0</v>
      </c>
      <c r="F1611" s="18">
        <v>290.0</v>
      </c>
    </row>
    <row r="1612">
      <c r="A1612" s="6" t="s">
        <v>5781</v>
      </c>
      <c r="B1612" s="6" t="s">
        <v>4589</v>
      </c>
      <c r="C1612" s="6" t="s">
        <v>4831</v>
      </c>
      <c r="D1612" s="18">
        <v>1.0</v>
      </c>
      <c r="E1612" s="18">
        <v>250.0</v>
      </c>
      <c r="F1612" s="18">
        <v>250.0</v>
      </c>
    </row>
    <row r="1613">
      <c r="A1613" s="6" t="s">
        <v>5782</v>
      </c>
      <c r="B1613" s="6" t="s">
        <v>4595</v>
      </c>
      <c r="C1613" s="6" t="s">
        <v>3218</v>
      </c>
      <c r="D1613" s="18">
        <v>1.0</v>
      </c>
      <c r="E1613" s="18">
        <v>355.32</v>
      </c>
      <c r="F1613" s="18">
        <v>355.32</v>
      </c>
    </row>
    <row r="1614">
      <c r="A1614" s="6" t="s">
        <v>5783</v>
      </c>
      <c r="B1614" s="6" t="s">
        <v>4600</v>
      </c>
      <c r="C1614" s="6" t="s">
        <v>1517</v>
      </c>
      <c r="D1614" s="18">
        <v>1.0</v>
      </c>
      <c r="E1614" s="18">
        <v>13950.69</v>
      </c>
      <c r="F1614" s="18">
        <v>13950.69</v>
      </c>
    </row>
    <row r="1615">
      <c r="A1615" s="6" t="s">
        <v>5785</v>
      </c>
      <c r="B1615" s="6" t="s">
        <v>4609</v>
      </c>
      <c r="C1615" s="6" t="s">
        <v>305</v>
      </c>
      <c r="D1615" s="18">
        <v>1.0</v>
      </c>
      <c r="E1615" s="18">
        <v>77.36</v>
      </c>
      <c r="F1615" s="18">
        <v>77.36</v>
      </c>
    </row>
    <row r="1616">
      <c r="A1616" s="6" t="s">
        <v>5788</v>
      </c>
      <c r="B1616" s="6" t="s">
        <v>4618</v>
      </c>
      <c r="C1616" s="18">
        <v>1.2539885E7</v>
      </c>
      <c r="D1616" s="18">
        <v>1.0</v>
      </c>
      <c r="E1616" s="18">
        <v>500.0</v>
      </c>
      <c r="F1616" s="18">
        <v>500.0</v>
      </c>
    </row>
    <row r="1617">
      <c r="A1617" s="6" t="s">
        <v>5789</v>
      </c>
      <c r="B1617" s="6" t="s">
        <v>4626</v>
      </c>
      <c r="C1617" s="6" t="s">
        <v>3496</v>
      </c>
      <c r="D1617" s="18">
        <v>1.0</v>
      </c>
      <c r="E1617" s="18">
        <v>342.47</v>
      </c>
      <c r="F1617" s="18">
        <v>342.47</v>
      </c>
    </row>
    <row r="1618">
      <c r="A1618" s="6" t="s">
        <v>5790</v>
      </c>
      <c r="B1618" s="6" t="s">
        <v>4634</v>
      </c>
      <c r="C1618" s="6" t="s">
        <v>5215</v>
      </c>
      <c r="D1618" s="18">
        <v>7.0</v>
      </c>
      <c r="E1618" s="18">
        <v>6.49</v>
      </c>
      <c r="F1618" s="18">
        <v>45.43</v>
      </c>
    </row>
    <row r="1619">
      <c r="A1619" s="6" t="s">
        <v>5791</v>
      </c>
      <c r="B1619" s="6" t="s">
        <v>4634</v>
      </c>
      <c r="C1619" s="6" t="s">
        <v>1197</v>
      </c>
      <c r="D1619" s="18">
        <v>1.0</v>
      </c>
      <c r="E1619" s="18">
        <v>68.56</v>
      </c>
      <c r="F1619" s="18">
        <v>68.56</v>
      </c>
    </row>
    <row r="1620">
      <c r="A1620" s="6" t="s">
        <v>5793</v>
      </c>
      <c r="B1620" s="6" t="s">
        <v>4634</v>
      </c>
      <c r="C1620" s="6" t="s">
        <v>5794</v>
      </c>
      <c r="D1620" s="18">
        <v>5.0</v>
      </c>
      <c r="E1620" s="18">
        <v>3.99</v>
      </c>
      <c r="F1620" s="18">
        <v>19.95</v>
      </c>
    </row>
    <row r="1621">
      <c r="A1621" s="6" t="s">
        <v>5797</v>
      </c>
      <c r="B1621" s="6" t="s">
        <v>4634</v>
      </c>
      <c r="C1621" s="6" t="s">
        <v>247</v>
      </c>
      <c r="D1621" s="18">
        <v>18.0</v>
      </c>
      <c r="E1621" s="18">
        <v>0.99</v>
      </c>
      <c r="F1621" s="18">
        <v>17.82</v>
      </c>
    </row>
    <row r="1622">
      <c r="A1622" s="6" t="s">
        <v>5799</v>
      </c>
      <c r="B1622" s="6" t="s">
        <v>4634</v>
      </c>
      <c r="C1622" s="6" t="s">
        <v>1041</v>
      </c>
      <c r="D1622" s="18">
        <v>2.0</v>
      </c>
      <c r="E1622" s="18">
        <v>13.29</v>
      </c>
      <c r="F1622" s="18">
        <v>26.58</v>
      </c>
    </row>
    <row r="1623">
      <c r="A1623" s="6" t="s">
        <v>5800</v>
      </c>
      <c r="B1623" s="6" t="s">
        <v>4634</v>
      </c>
      <c r="C1623" s="6" t="s">
        <v>691</v>
      </c>
      <c r="D1623" s="18">
        <v>1.0</v>
      </c>
      <c r="E1623" s="18">
        <v>96.69</v>
      </c>
      <c r="F1623" s="18">
        <v>96.69</v>
      </c>
    </row>
    <row r="1624">
      <c r="A1624" s="6" t="s">
        <v>5801</v>
      </c>
      <c r="B1624" s="6" t="s">
        <v>4634</v>
      </c>
      <c r="C1624" s="6" t="s">
        <v>678</v>
      </c>
      <c r="D1624" s="18">
        <v>1.0</v>
      </c>
      <c r="E1624" s="18">
        <v>8.51</v>
      </c>
      <c r="F1624" s="18">
        <v>8.51</v>
      </c>
    </row>
    <row r="1625">
      <c r="A1625" s="6" t="s">
        <v>5802</v>
      </c>
      <c r="B1625" s="6" t="s">
        <v>4634</v>
      </c>
      <c r="C1625" s="6" t="s">
        <v>266</v>
      </c>
      <c r="D1625" s="18">
        <v>1.0</v>
      </c>
      <c r="E1625" s="18">
        <v>60.0</v>
      </c>
      <c r="F1625" s="18">
        <v>60.0</v>
      </c>
    </row>
    <row r="1626">
      <c r="A1626" s="6" t="s">
        <v>5805</v>
      </c>
      <c r="B1626" s="6" t="s">
        <v>4643</v>
      </c>
      <c r="C1626" s="6" t="s">
        <v>5806</v>
      </c>
      <c r="D1626" s="18">
        <v>1.0</v>
      </c>
      <c r="E1626" s="18">
        <v>52.9</v>
      </c>
      <c r="F1626" s="18">
        <v>52.9</v>
      </c>
    </row>
    <row r="1627">
      <c r="A1627" s="6" t="s">
        <v>5807</v>
      </c>
      <c r="B1627" s="6" t="s">
        <v>4643</v>
      </c>
      <c r="C1627" s="6" t="s">
        <v>5808</v>
      </c>
      <c r="D1627" s="18">
        <v>1.0</v>
      </c>
      <c r="E1627" s="18">
        <v>56.7</v>
      </c>
      <c r="F1627" s="18">
        <v>56.7</v>
      </c>
    </row>
    <row r="1628">
      <c r="A1628" s="6" t="s">
        <v>5809</v>
      </c>
      <c r="B1628" s="6" t="s">
        <v>4652</v>
      </c>
      <c r="C1628" s="6" t="s">
        <v>1536</v>
      </c>
      <c r="D1628" s="18">
        <v>1.0</v>
      </c>
      <c r="E1628" s="18">
        <v>30.0</v>
      </c>
      <c r="F1628" s="18">
        <v>30.0</v>
      </c>
    </row>
    <row r="1629">
      <c r="A1629" s="6" t="s">
        <v>5811</v>
      </c>
      <c r="B1629" s="6" t="s">
        <v>4664</v>
      </c>
      <c r="C1629" s="6" t="s">
        <v>159</v>
      </c>
      <c r="D1629" s="18">
        <v>12.0</v>
      </c>
      <c r="E1629" s="18">
        <v>13.0</v>
      </c>
      <c r="F1629" s="18">
        <v>156.0</v>
      </c>
    </row>
    <row r="1630">
      <c r="A1630" s="6" t="s">
        <v>5812</v>
      </c>
      <c r="B1630" s="6" t="s">
        <v>4664</v>
      </c>
      <c r="C1630" s="6" t="s">
        <v>155</v>
      </c>
      <c r="D1630" s="18">
        <v>1.0</v>
      </c>
      <c r="E1630" s="18">
        <v>37.1</v>
      </c>
      <c r="F1630" s="18">
        <v>37.1</v>
      </c>
    </row>
    <row r="1631">
      <c r="A1631" s="6" t="s">
        <v>5816</v>
      </c>
      <c r="B1631" s="6" t="s">
        <v>4664</v>
      </c>
      <c r="C1631" s="6" t="s">
        <v>152</v>
      </c>
      <c r="D1631" s="18">
        <v>1.0</v>
      </c>
      <c r="E1631" s="18">
        <v>11.89</v>
      </c>
      <c r="F1631" s="18">
        <v>11.89</v>
      </c>
    </row>
    <row r="1632">
      <c r="A1632" s="6" t="s">
        <v>5817</v>
      </c>
      <c r="B1632" s="6" t="s">
        <v>4664</v>
      </c>
      <c r="C1632" s="6" t="s">
        <v>226</v>
      </c>
      <c r="D1632" s="18">
        <v>1.0</v>
      </c>
      <c r="E1632" s="18">
        <v>76.0</v>
      </c>
      <c r="F1632" s="18">
        <v>76.0</v>
      </c>
    </row>
    <row r="1633">
      <c r="A1633" s="6" t="s">
        <v>5819</v>
      </c>
      <c r="B1633" s="6" t="s">
        <v>4671</v>
      </c>
      <c r="C1633" s="6" t="s">
        <v>238</v>
      </c>
      <c r="D1633" s="18">
        <v>12.0</v>
      </c>
      <c r="E1633" s="18">
        <v>5.9</v>
      </c>
      <c r="F1633" s="18">
        <v>70.80000000000001</v>
      </c>
    </row>
    <row r="1634">
      <c r="A1634" s="6" t="s">
        <v>5821</v>
      </c>
      <c r="B1634" s="6" t="s">
        <v>4671</v>
      </c>
      <c r="C1634" s="6" t="s">
        <v>243</v>
      </c>
      <c r="D1634" s="18">
        <v>6.0</v>
      </c>
      <c r="E1634" s="18">
        <v>7.2</v>
      </c>
      <c r="F1634" s="18">
        <v>43.2</v>
      </c>
    </row>
    <row r="1635">
      <c r="A1635" s="6" t="s">
        <v>5823</v>
      </c>
      <c r="B1635" s="6" t="s">
        <v>4680</v>
      </c>
      <c r="C1635" s="18">
        <v>1.2539885E7</v>
      </c>
      <c r="D1635" s="18">
        <v>1.0</v>
      </c>
      <c r="E1635" s="18">
        <v>300.0</v>
      </c>
      <c r="F1635" s="18">
        <v>300.0</v>
      </c>
    </row>
    <row r="1636">
      <c r="A1636" s="6" t="s">
        <v>5824</v>
      </c>
      <c r="B1636" s="6" t="s">
        <v>4688</v>
      </c>
      <c r="C1636" s="6" t="s">
        <v>1077</v>
      </c>
      <c r="D1636" s="18">
        <v>3.0</v>
      </c>
      <c r="E1636" s="18">
        <v>24.0</v>
      </c>
      <c r="F1636" s="18">
        <v>72.0</v>
      </c>
    </row>
    <row r="1637">
      <c r="A1637" s="6" t="s">
        <v>5826</v>
      </c>
      <c r="B1637" s="6" t="s">
        <v>4688</v>
      </c>
      <c r="C1637" s="6" t="s">
        <v>1081</v>
      </c>
      <c r="D1637" s="18">
        <v>5.0</v>
      </c>
      <c r="E1637" s="18">
        <v>45.0</v>
      </c>
      <c r="F1637" s="18">
        <v>225.0</v>
      </c>
    </row>
    <row r="1638">
      <c r="A1638" s="6" t="s">
        <v>5829</v>
      </c>
      <c r="B1638" s="6" t="s">
        <v>4688</v>
      </c>
      <c r="C1638" s="18">
        <v>7.5375964E7</v>
      </c>
      <c r="D1638" s="18">
        <v>1.0</v>
      </c>
      <c r="E1638" s="18">
        <v>18.0</v>
      </c>
      <c r="F1638" s="18">
        <v>18.0</v>
      </c>
    </row>
    <row r="1639">
      <c r="A1639" s="6" t="s">
        <v>5831</v>
      </c>
      <c r="B1639" s="6" t="s">
        <v>4688</v>
      </c>
      <c r="C1639" s="6" t="s">
        <v>1074</v>
      </c>
      <c r="D1639" s="18">
        <v>5.0</v>
      </c>
      <c r="E1639" s="18">
        <v>38.0</v>
      </c>
      <c r="F1639" s="18">
        <v>190.0</v>
      </c>
    </row>
    <row r="1640">
      <c r="A1640" s="6" t="s">
        <v>5833</v>
      </c>
      <c r="B1640" s="6" t="s">
        <v>4688</v>
      </c>
      <c r="C1640" s="6" t="s">
        <v>1079</v>
      </c>
      <c r="D1640" s="18">
        <v>20.0</v>
      </c>
      <c r="E1640" s="18">
        <v>17.5</v>
      </c>
      <c r="F1640" s="18">
        <v>350.0</v>
      </c>
    </row>
    <row r="1641">
      <c r="A1641" s="6" t="s">
        <v>5836</v>
      </c>
      <c r="B1641" s="6" t="s">
        <v>4688</v>
      </c>
      <c r="C1641" s="6" t="s">
        <v>1075</v>
      </c>
      <c r="D1641" s="18">
        <v>3.0</v>
      </c>
      <c r="E1641" s="18">
        <v>36.5</v>
      </c>
      <c r="F1641" s="18">
        <v>109.5</v>
      </c>
    </row>
    <row r="1642">
      <c r="A1642" s="6" t="s">
        <v>5837</v>
      </c>
      <c r="B1642" s="6" t="s">
        <v>4698</v>
      </c>
      <c r="C1642" s="6" t="s">
        <v>1239</v>
      </c>
      <c r="D1642" s="18">
        <v>1.0</v>
      </c>
      <c r="E1642" s="18">
        <v>859.05</v>
      </c>
      <c r="F1642" s="18">
        <v>859.05</v>
      </c>
    </row>
    <row r="1643">
      <c r="A1643" s="6" t="s">
        <v>5839</v>
      </c>
      <c r="B1643" s="6" t="s">
        <v>4704</v>
      </c>
      <c r="C1643" s="6" t="s">
        <v>1239</v>
      </c>
      <c r="D1643" s="18">
        <v>1.0</v>
      </c>
      <c r="E1643" s="18">
        <v>1872.5</v>
      </c>
      <c r="F1643" s="18">
        <v>1872.5</v>
      </c>
    </row>
    <row r="1644">
      <c r="A1644" s="6" t="s">
        <v>5841</v>
      </c>
      <c r="B1644" s="6" t="s">
        <v>4710</v>
      </c>
      <c r="C1644" s="6" t="s">
        <v>1239</v>
      </c>
      <c r="D1644" s="18">
        <v>1.0</v>
      </c>
      <c r="E1644" s="18">
        <v>585.95</v>
      </c>
      <c r="F1644" s="18">
        <v>585.95</v>
      </c>
    </row>
    <row r="1645">
      <c r="A1645" s="6" t="s">
        <v>5844</v>
      </c>
      <c r="B1645" s="6" t="s">
        <v>4716</v>
      </c>
      <c r="C1645" s="6" t="s">
        <v>1239</v>
      </c>
      <c r="D1645" s="18">
        <v>1.0</v>
      </c>
      <c r="E1645" s="18">
        <v>318.9</v>
      </c>
      <c r="F1645" s="18">
        <v>318.9</v>
      </c>
    </row>
    <row r="1646">
      <c r="A1646" s="6" t="s">
        <v>5845</v>
      </c>
      <c r="B1646" s="6" t="s">
        <v>4721</v>
      </c>
      <c r="C1646" s="6" t="s">
        <v>1239</v>
      </c>
      <c r="D1646" s="18">
        <v>1.0</v>
      </c>
      <c r="E1646" s="18">
        <v>147.54</v>
      </c>
      <c r="F1646" s="18">
        <v>147.54</v>
      </c>
    </row>
    <row r="1647">
      <c r="A1647" s="6" t="s">
        <v>5847</v>
      </c>
      <c r="B1647" s="6" t="s">
        <v>4727</v>
      </c>
      <c r="C1647" s="6" t="s">
        <v>1239</v>
      </c>
      <c r="D1647" s="18">
        <v>1.0</v>
      </c>
      <c r="E1647" s="18">
        <v>805.92</v>
      </c>
      <c r="F1647" s="18">
        <v>805.92</v>
      </c>
    </row>
    <row r="1648">
      <c r="A1648" s="6" t="s">
        <v>5849</v>
      </c>
      <c r="B1648" s="6" t="s">
        <v>4732</v>
      </c>
      <c r="C1648" s="6" t="s">
        <v>2448</v>
      </c>
      <c r="D1648" s="18">
        <v>1.0</v>
      </c>
      <c r="E1648" s="18">
        <v>255.79</v>
      </c>
      <c r="F1648" s="18">
        <v>255.79</v>
      </c>
    </row>
    <row r="1649">
      <c r="A1649" s="6" t="s">
        <v>5851</v>
      </c>
      <c r="B1649" s="6" t="s">
        <v>4739</v>
      </c>
      <c r="C1649" s="6" t="s">
        <v>1787</v>
      </c>
      <c r="D1649" s="18">
        <v>1.0</v>
      </c>
      <c r="E1649" s="18">
        <v>1265.4</v>
      </c>
      <c r="F1649" s="18">
        <v>1265.4</v>
      </c>
    </row>
    <row r="1650">
      <c r="A1650" s="6" t="s">
        <v>5852</v>
      </c>
      <c r="B1650" s="6" t="s">
        <v>4745</v>
      </c>
      <c r="C1650" s="6" t="s">
        <v>5853</v>
      </c>
      <c r="D1650" s="18">
        <v>1.0</v>
      </c>
      <c r="E1650" s="18">
        <v>850.0</v>
      </c>
      <c r="F1650" s="18">
        <v>850.0</v>
      </c>
    </row>
    <row r="1651">
      <c r="A1651" s="6" t="s">
        <v>5854</v>
      </c>
      <c r="B1651" s="6" t="s">
        <v>4752</v>
      </c>
      <c r="C1651" s="6" t="s">
        <v>5856</v>
      </c>
      <c r="D1651" s="18">
        <v>1.0</v>
      </c>
      <c r="E1651" s="18">
        <v>716.0</v>
      </c>
      <c r="F1651" s="18">
        <v>716.0</v>
      </c>
    </row>
    <row r="1652">
      <c r="A1652" s="6" t="s">
        <v>5857</v>
      </c>
      <c r="B1652" s="6" t="s">
        <v>4758</v>
      </c>
      <c r="C1652" s="6" t="s">
        <v>305</v>
      </c>
      <c r="D1652" s="18">
        <v>1.0</v>
      </c>
      <c r="E1652" s="18">
        <v>384.0</v>
      </c>
      <c r="F1652" s="18">
        <v>384.0</v>
      </c>
    </row>
    <row r="1653">
      <c r="A1653" s="6" t="s">
        <v>5859</v>
      </c>
      <c r="B1653" s="6" t="s">
        <v>4764</v>
      </c>
      <c r="C1653" s="6" t="s">
        <v>1668</v>
      </c>
      <c r="D1653" s="18">
        <v>1.0</v>
      </c>
      <c r="E1653" s="18">
        <v>118.0</v>
      </c>
      <c r="F1653" s="18">
        <v>118.0</v>
      </c>
    </row>
    <row r="1654">
      <c r="A1654" s="6" t="s">
        <v>5861</v>
      </c>
      <c r="B1654" s="6" t="s">
        <v>4773</v>
      </c>
      <c r="C1654" s="6" t="s">
        <v>5862</v>
      </c>
      <c r="D1654" s="18">
        <v>1.0</v>
      </c>
      <c r="E1654" s="18">
        <v>266.83</v>
      </c>
      <c r="F1654" s="18">
        <v>266.83</v>
      </c>
    </row>
    <row r="1655">
      <c r="A1655" s="6" t="s">
        <v>5863</v>
      </c>
      <c r="B1655" s="6" t="s">
        <v>4782</v>
      </c>
      <c r="C1655" s="6" t="s">
        <v>1510</v>
      </c>
      <c r="D1655" s="18">
        <v>1.0</v>
      </c>
      <c r="E1655" s="18">
        <v>17966.87</v>
      </c>
      <c r="F1655" s="18">
        <v>17966.87</v>
      </c>
    </row>
    <row r="1656">
      <c r="A1656" s="6" t="s">
        <v>5864</v>
      </c>
      <c r="B1656" s="6" t="s">
        <v>4796</v>
      </c>
      <c r="C1656" s="6" t="s">
        <v>1517</v>
      </c>
      <c r="D1656" s="18">
        <v>1.0</v>
      </c>
      <c r="E1656" s="18">
        <v>10048.93</v>
      </c>
      <c r="F1656" s="18">
        <v>10048.93</v>
      </c>
    </row>
    <row r="1657">
      <c r="A1657" s="6" t="s">
        <v>5869</v>
      </c>
      <c r="B1657" s="18">
        <v>3.742165E7</v>
      </c>
      <c r="C1657" s="18">
        <v>1.2539885E7</v>
      </c>
      <c r="D1657" s="18">
        <v>1.0</v>
      </c>
      <c r="E1657" s="18">
        <v>500.0</v>
      </c>
      <c r="F1657" s="18">
        <v>500.0</v>
      </c>
    </row>
    <row r="1658">
      <c r="A1658" s="6" t="s">
        <v>5870</v>
      </c>
      <c r="B1658" s="6" t="s">
        <v>4813</v>
      </c>
      <c r="C1658" s="6" t="s">
        <v>1725</v>
      </c>
      <c r="D1658" s="18">
        <v>1.0</v>
      </c>
      <c r="E1658" s="18">
        <v>4879.73</v>
      </c>
      <c r="F1658" s="18">
        <v>4879.73</v>
      </c>
    </row>
    <row r="1659">
      <c r="A1659" s="6" t="s">
        <v>5871</v>
      </c>
      <c r="B1659" s="18">
        <v>8.6312875E7</v>
      </c>
      <c r="C1659" s="6" t="s">
        <v>152</v>
      </c>
      <c r="D1659" s="18">
        <v>1.0</v>
      </c>
      <c r="E1659" s="18">
        <v>10.33</v>
      </c>
      <c r="F1659" s="18">
        <v>10.33</v>
      </c>
    </row>
    <row r="1660">
      <c r="A1660" s="6" t="s">
        <v>5873</v>
      </c>
      <c r="B1660" s="18">
        <v>8.6312875E7</v>
      </c>
      <c r="C1660" s="6" t="s">
        <v>155</v>
      </c>
      <c r="D1660" s="18">
        <v>1.0</v>
      </c>
      <c r="E1660" s="18">
        <v>24.37</v>
      </c>
      <c r="F1660" s="18">
        <v>24.37</v>
      </c>
    </row>
    <row r="1661">
      <c r="A1661" s="6" t="s">
        <v>5874</v>
      </c>
      <c r="B1661" s="18">
        <v>8.6312875E7</v>
      </c>
      <c r="C1661" s="6" t="s">
        <v>159</v>
      </c>
      <c r="D1661" s="18">
        <v>1.0</v>
      </c>
      <c r="E1661" s="18">
        <v>156.0</v>
      </c>
      <c r="F1661" s="18">
        <v>156.0</v>
      </c>
    </row>
    <row r="1662">
      <c r="A1662" s="6" t="s">
        <v>5877</v>
      </c>
      <c r="B1662" s="6" t="s">
        <v>4827</v>
      </c>
      <c r="C1662" s="6" t="s">
        <v>159</v>
      </c>
      <c r="D1662" s="18">
        <v>1.0</v>
      </c>
      <c r="E1662" s="18">
        <v>195.0</v>
      </c>
      <c r="F1662" s="18">
        <v>195.0</v>
      </c>
    </row>
    <row r="1663">
      <c r="A1663" s="6" t="s">
        <v>5878</v>
      </c>
      <c r="B1663" s="6" t="s">
        <v>4827</v>
      </c>
      <c r="C1663" s="6" t="s">
        <v>155</v>
      </c>
      <c r="D1663" s="18">
        <v>1.0</v>
      </c>
      <c r="E1663" s="18">
        <v>21.36</v>
      </c>
      <c r="F1663" s="18">
        <v>21.36</v>
      </c>
    </row>
    <row r="1664">
      <c r="A1664" s="6" t="s">
        <v>5879</v>
      </c>
      <c r="B1664" s="6" t="s">
        <v>4827</v>
      </c>
      <c r="C1664" s="6" t="s">
        <v>226</v>
      </c>
      <c r="D1664" s="18">
        <v>1.0</v>
      </c>
      <c r="E1664" s="18">
        <v>95.0</v>
      </c>
      <c r="F1664" s="18">
        <v>95.0</v>
      </c>
    </row>
    <row r="1665">
      <c r="A1665" s="6" t="s">
        <v>5881</v>
      </c>
      <c r="B1665" s="6" t="s">
        <v>4836</v>
      </c>
      <c r="C1665" s="6" t="s">
        <v>1080</v>
      </c>
      <c r="D1665" s="18">
        <v>1.0</v>
      </c>
      <c r="E1665" s="18">
        <v>208.5</v>
      </c>
      <c r="F1665" s="18">
        <v>208.5</v>
      </c>
    </row>
    <row r="1666">
      <c r="A1666" s="6" t="s">
        <v>5882</v>
      </c>
      <c r="B1666" s="6" t="s">
        <v>4844</v>
      </c>
      <c r="C1666" s="18">
        <v>1.2539885E7</v>
      </c>
      <c r="D1666" s="18">
        <v>1.0</v>
      </c>
      <c r="E1666" s="18">
        <v>250.0</v>
      </c>
      <c r="F1666" s="18">
        <v>250.0</v>
      </c>
    </row>
    <row r="1667">
      <c r="A1667" s="6" t="s">
        <v>5886</v>
      </c>
      <c r="B1667" s="18">
        <v>9.6144959E7</v>
      </c>
      <c r="C1667" s="6" t="s">
        <v>159</v>
      </c>
      <c r="D1667" s="18">
        <v>1.0</v>
      </c>
      <c r="E1667" s="18">
        <v>195.0</v>
      </c>
      <c r="F1667" s="18">
        <v>195.0</v>
      </c>
    </row>
    <row r="1668">
      <c r="A1668" s="6" t="s">
        <v>5887</v>
      </c>
      <c r="B1668" s="18">
        <v>9.6144959E7</v>
      </c>
      <c r="C1668" s="6" t="s">
        <v>152</v>
      </c>
      <c r="D1668" s="18">
        <v>1.0</v>
      </c>
      <c r="E1668" s="18">
        <v>8.03</v>
      </c>
      <c r="F1668" s="18">
        <v>8.03</v>
      </c>
    </row>
    <row r="1669">
      <c r="A1669" s="6" t="s">
        <v>5888</v>
      </c>
      <c r="B1669" s="18">
        <v>9.6144959E7</v>
      </c>
      <c r="C1669" s="6" t="s">
        <v>226</v>
      </c>
      <c r="D1669" s="18">
        <v>1.0</v>
      </c>
      <c r="E1669" s="18">
        <v>95.0</v>
      </c>
      <c r="F1669" s="18">
        <v>95.0</v>
      </c>
    </row>
    <row r="1670">
      <c r="A1670" s="6" t="s">
        <v>5890</v>
      </c>
      <c r="B1670" s="6" t="s">
        <v>4859</v>
      </c>
      <c r="C1670" s="6" t="s">
        <v>159</v>
      </c>
      <c r="D1670" s="18">
        <v>1.0</v>
      </c>
      <c r="E1670" s="18">
        <v>260.0</v>
      </c>
      <c r="F1670" s="18">
        <v>260.0</v>
      </c>
    </row>
    <row r="1671">
      <c r="A1671" s="6" t="s">
        <v>5891</v>
      </c>
      <c r="B1671" s="6" t="s">
        <v>4859</v>
      </c>
      <c r="C1671" s="6" t="s">
        <v>155</v>
      </c>
      <c r="D1671" s="18">
        <v>1.0</v>
      </c>
      <c r="E1671" s="18">
        <v>40.0</v>
      </c>
      <c r="F1671" s="18">
        <v>40.0</v>
      </c>
    </row>
    <row r="1672">
      <c r="A1672" s="6" t="s">
        <v>5894</v>
      </c>
      <c r="B1672" s="6" t="s">
        <v>4859</v>
      </c>
      <c r="C1672" s="6" t="s">
        <v>152</v>
      </c>
      <c r="D1672" s="18">
        <v>1.0</v>
      </c>
      <c r="E1672" s="18">
        <v>8.74</v>
      </c>
      <c r="F1672" s="18">
        <v>8.74</v>
      </c>
    </row>
    <row r="1673">
      <c r="A1673" s="6" t="s">
        <v>5895</v>
      </c>
      <c r="B1673" s="6" t="s">
        <v>4859</v>
      </c>
      <c r="C1673" s="6" t="s">
        <v>226</v>
      </c>
      <c r="D1673" s="18">
        <v>1.0</v>
      </c>
      <c r="E1673" s="18">
        <v>47.5</v>
      </c>
      <c r="F1673" s="18">
        <v>47.5</v>
      </c>
    </row>
    <row r="1674">
      <c r="A1674" s="6" t="s">
        <v>5897</v>
      </c>
      <c r="B1674" s="6" t="s">
        <v>4867</v>
      </c>
      <c r="C1674" s="18">
        <v>1.2539885E7</v>
      </c>
      <c r="D1674" s="18">
        <v>1.0</v>
      </c>
      <c r="E1674" s="18">
        <v>550.0</v>
      </c>
      <c r="F1674" s="18">
        <v>550.0</v>
      </c>
    </row>
    <row r="1675">
      <c r="A1675" s="6" t="s">
        <v>5898</v>
      </c>
      <c r="B1675" s="6" t="s">
        <v>4876</v>
      </c>
      <c r="C1675" s="6" t="s">
        <v>1085</v>
      </c>
      <c r="D1675" s="18">
        <v>1.0</v>
      </c>
      <c r="E1675" s="18">
        <v>18.0</v>
      </c>
      <c r="F1675" s="18">
        <v>18.0</v>
      </c>
    </row>
    <row r="1676">
      <c r="A1676" s="6" t="s">
        <v>5900</v>
      </c>
      <c r="B1676" s="6" t="s">
        <v>4876</v>
      </c>
      <c r="C1676" s="6" t="s">
        <v>1074</v>
      </c>
      <c r="D1676" s="18">
        <v>4.0</v>
      </c>
      <c r="E1676" s="18">
        <v>37.0</v>
      </c>
      <c r="F1676" s="18">
        <v>148.0</v>
      </c>
    </row>
    <row r="1677">
      <c r="A1677" s="6" t="s">
        <v>5901</v>
      </c>
      <c r="B1677" s="6" t="s">
        <v>4876</v>
      </c>
      <c r="C1677" s="6" t="s">
        <v>1077</v>
      </c>
      <c r="D1677" s="18">
        <v>3.0</v>
      </c>
      <c r="E1677" s="18">
        <v>24.0</v>
      </c>
      <c r="F1677" s="18">
        <v>72.0</v>
      </c>
    </row>
    <row r="1678">
      <c r="A1678" s="6" t="s">
        <v>5902</v>
      </c>
      <c r="B1678" s="6" t="s">
        <v>4876</v>
      </c>
      <c r="C1678" s="6" t="s">
        <v>1079</v>
      </c>
      <c r="D1678" s="18">
        <v>15.0</v>
      </c>
      <c r="E1678" s="18">
        <v>17.0</v>
      </c>
      <c r="F1678" s="18">
        <v>255.0</v>
      </c>
    </row>
    <row r="1679">
      <c r="A1679" s="6" t="s">
        <v>5903</v>
      </c>
      <c r="B1679" s="6" t="s">
        <v>4876</v>
      </c>
      <c r="C1679" s="6" t="s">
        <v>1081</v>
      </c>
      <c r="D1679" s="18">
        <v>2.0</v>
      </c>
      <c r="E1679" s="18">
        <v>48.0</v>
      </c>
      <c r="F1679" s="18">
        <v>96.0</v>
      </c>
    </row>
    <row r="1680">
      <c r="A1680" s="6" t="s">
        <v>5905</v>
      </c>
      <c r="B1680" s="6" t="s">
        <v>4876</v>
      </c>
      <c r="C1680" s="18">
        <v>7.5375964E7</v>
      </c>
      <c r="D1680" s="18">
        <v>2.0</v>
      </c>
      <c r="E1680" s="18">
        <v>38.0</v>
      </c>
      <c r="F1680" s="18">
        <v>76.0</v>
      </c>
    </row>
    <row r="1681">
      <c r="A1681" s="6" t="s">
        <v>5906</v>
      </c>
      <c r="B1681" s="6" t="s">
        <v>4883</v>
      </c>
      <c r="C1681" s="6" t="s">
        <v>335</v>
      </c>
      <c r="D1681" s="18">
        <v>4.0</v>
      </c>
      <c r="E1681" s="18">
        <v>39.84</v>
      </c>
      <c r="F1681" s="18">
        <v>159.36</v>
      </c>
    </row>
    <row r="1682">
      <c r="A1682" s="6" t="s">
        <v>5907</v>
      </c>
      <c r="B1682" s="6" t="s">
        <v>4883</v>
      </c>
      <c r="C1682" s="6" t="s">
        <v>338</v>
      </c>
      <c r="D1682" s="18">
        <v>10.0</v>
      </c>
      <c r="E1682" s="18">
        <v>30.4</v>
      </c>
      <c r="F1682" s="18">
        <v>304.0</v>
      </c>
    </row>
    <row r="1683">
      <c r="A1683" s="6" t="s">
        <v>5908</v>
      </c>
      <c r="B1683" s="6" t="s">
        <v>4883</v>
      </c>
      <c r="C1683" s="6" t="s">
        <v>338</v>
      </c>
      <c r="D1683" s="18">
        <v>2.0</v>
      </c>
      <c r="E1683" s="18">
        <v>45.6</v>
      </c>
      <c r="F1683" s="18">
        <v>91.2</v>
      </c>
    </row>
    <row r="1684">
      <c r="A1684" s="6" t="s">
        <v>5909</v>
      </c>
      <c r="B1684" s="6" t="s">
        <v>4883</v>
      </c>
      <c r="C1684" s="6" t="s">
        <v>1777</v>
      </c>
      <c r="D1684" s="18">
        <v>2.0</v>
      </c>
      <c r="E1684" s="18">
        <v>29.88</v>
      </c>
      <c r="F1684" s="18">
        <v>59.76</v>
      </c>
    </row>
    <row r="1685">
      <c r="A1685" s="6" t="s">
        <v>5911</v>
      </c>
      <c r="B1685" s="6" t="s">
        <v>4894</v>
      </c>
      <c r="C1685" s="6" t="s">
        <v>159</v>
      </c>
      <c r="D1685" s="18">
        <v>1.0</v>
      </c>
      <c r="E1685" s="18">
        <v>210.0</v>
      </c>
      <c r="F1685" s="18">
        <v>210.0</v>
      </c>
    </row>
    <row r="1686">
      <c r="A1686" s="6" t="s">
        <v>5913</v>
      </c>
      <c r="B1686" s="6" t="s">
        <v>4894</v>
      </c>
      <c r="C1686" s="6" t="s">
        <v>155</v>
      </c>
      <c r="D1686" s="18">
        <v>1.0</v>
      </c>
      <c r="E1686" s="18">
        <v>42.22</v>
      </c>
      <c r="F1686" s="18">
        <v>42.22</v>
      </c>
    </row>
    <row r="1687">
      <c r="A1687" s="6" t="s">
        <v>5916</v>
      </c>
      <c r="B1687" s="6" t="s">
        <v>4894</v>
      </c>
      <c r="C1687" s="6" t="s">
        <v>152</v>
      </c>
      <c r="D1687" s="18">
        <v>1.0</v>
      </c>
      <c r="E1687" s="18">
        <v>8.36</v>
      </c>
      <c r="F1687" s="18">
        <v>8.36</v>
      </c>
    </row>
    <row r="1688">
      <c r="A1688" s="6" t="s">
        <v>5918</v>
      </c>
      <c r="B1688" s="6" t="s">
        <v>4902</v>
      </c>
      <c r="C1688" s="6" t="s">
        <v>159</v>
      </c>
      <c r="D1688" s="18">
        <v>1.0</v>
      </c>
      <c r="E1688" s="18">
        <v>280.0</v>
      </c>
      <c r="F1688" s="18">
        <v>280.0</v>
      </c>
    </row>
    <row r="1689">
      <c r="A1689" s="6" t="s">
        <v>5919</v>
      </c>
      <c r="B1689" s="6" t="s">
        <v>4902</v>
      </c>
      <c r="C1689" s="6" t="s">
        <v>155</v>
      </c>
      <c r="D1689" s="18">
        <v>1.0</v>
      </c>
      <c r="E1689" s="18">
        <v>44.08</v>
      </c>
      <c r="F1689" s="18">
        <v>44.08</v>
      </c>
    </row>
    <row r="1690">
      <c r="A1690" s="6" t="s">
        <v>5921</v>
      </c>
      <c r="B1690" s="6" t="s">
        <v>4902</v>
      </c>
      <c r="C1690" s="6" t="s">
        <v>152</v>
      </c>
      <c r="D1690" s="18">
        <v>1.0</v>
      </c>
      <c r="E1690" s="18">
        <v>8.75</v>
      </c>
      <c r="F1690" s="18">
        <v>8.75</v>
      </c>
    </row>
    <row r="1691">
      <c r="A1691" s="6" t="s">
        <v>5923</v>
      </c>
      <c r="B1691" s="6" t="s">
        <v>4902</v>
      </c>
      <c r="C1691" s="6" t="s">
        <v>226</v>
      </c>
      <c r="D1691" s="18">
        <v>1.0</v>
      </c>
      <c r="E1691" s="18">
        <v>57.0</v>
      </c>
      <c r="F1691" s="18">
        <v>57.0</v>
      </c>
    </row>
    <row r="1692">
      <c r="A1692" s="6" t="s">
        <v>5925</v>
      </c>
      <c r="B1692" s="6" t="s">
        <v>4909</v>
      </c>
      <c r="C1692" s="6" t="s">
        <v>981</v>
      </c>
      <c r="D1692" s="18">
        <v>6.0</v>
      </c>
      <c r="E1692" s="18">
        <v>4.59</v>
      </c>
      <c r="F1692" s="18">
        <v>27.54</v>
      </c>
    </row>
    <row r="1693">
      <c r="A1693" s="6" t="s">
        <v>5927</v>
      </c>
      <c r="B1693" s="6" t="s">
        <v>4909</v>
      </c>
      <c r="C1693" s="6" t="s">
        <v>238</v>
      </c>
      <c r="D1693" s="18">
        <v>12.0</v>
      </c>
      <c r="E1693" s="18">
        <v>5.9</v>
      </c>
      <c r="F1693" s="18">
        <v>70.8</v>
      </c>
    </row>
    <row r="1694">
      <c r="A1694" s="6" t="s">
        <v>5929</v>
      </c>
      <c r="B1694" s="6" t="s">
        <v>4909</v>
      </c>
      <c r="C1694" s="6" t="s">
        <v>243</v>
      </c>
      <c r="D1694" s="18">
        <v>6.0</v>
      </c>
      <c r="E1694" s="18">
        <v>7.2</v>
      </c>
      <c r="F1694" s="18">
        <v>43.2</v>
      </c>
    </row>
    <row r="1695">
      <c r="A1695" s="6" t="s">
        <v>5931</v>
      </c>
      <c r="B1695" s="6" t="s">
        <v>4917</v>
      </c>
      <c r="C1695" s="18">
        <v>1.2539885E7</v>
      </c>
      <c r="D1695" s="18">
        <v>1.0</v>
      </c>
      <c r="E1695" s="18">
        <v>500.0</v>
      </c>
      <c r="F1695" s="18">
        <v>500.0</v>
      </c>
    </row>
    <row r="1696">
      <c r="A1696" s="6" t="s">
        <v>5933</v>
      </c>
      <c r="B1696" s="6" t="s">
        <v>4925</v>
      </c>
      <c r="C1696" s="6" t="s">
        <v>1073</v>
      </c>
      <c r="D1696" s="18">
        <v>2.0</v>
      </c>
      <c r="E1696" s="18">
        <v>19.25</v>
      </c>
      <c r="F1696" s="18">
        <v>38.5</v>
      </c>
    </row>
    <row r="1697">
      <c r="A1697" s="6" t="s">
        <v>5936</v>
      </c>
      <c r="B1697" s="6" t="s">
        <v>4925</v>
      </c>
      <c r="C1697" s="6" t="s">
        <v>1404</v>
      </c>
      <c r="D1697" s="18">
        <v>1.0</v>
      </c>
      <c r="E1697" s="18">
        <v>18.0</v>
      </c>
      <c r="F1697" s="18">
        <v>18.0</v>
      </c>
    </row>
    <row r="1698">
      <c r="A1698" s="6" t="s">
        <v>5937</v>
      </c>
      <c r="B1698" s="6" t="s">
        <v>4925</v>
      </c>
      <c r="C1698" s="6" t="s">
        <v>1404</v>
      </c>
      <c r="D1698" s="18">
        <v>1.0</v>
      </c>
      <c r="E1698" s="18">
        <v>60.0</v>
      </c>
      <c r="F1698" s="18">
        <v>60.0</v>
      </c>
    </row>
    <row r="1699">
      <c r="A1699" s="6" t="s">
        <v>5938</v>
      </c>
      <c r="B1699" s="6" t="s">
        <v>4925</v>
      </c>
      <c r="C1699" s="18">
        <v>7.5375964E7</v>
      </c>
      <c r="D1699" s="18">
        <v>1.0</v>
      </c>
      <c r="E1699" s="18">
        <v>60.0</v>
      </c>
      <c r="F1699" s="18">
        <v>60.0</v>
      </c>
    </row>
    <row r="1700">
      <c r="A1700" s="6" t="s">
        <v>5940</v>
      </c>
      <c r="B1700" s="6" t="s">
        <v>4925</v>
      </c>
      <c r="C1700" s="6" t="s">
        <v>1074</v>
      </c>
      <c r="D1700" s="18">
        <v>3.0</v>
      </c>
      <c r="E1700" s="18">
        <v>38.0</v>
      </c>
      <c r="F1700" s="18">
        <v>114.0</v>
      </c>
    </row>
    <row r="1701">
      <c r="A1701" s="6" t="s">
        <v>5943</v>
      </c>
      <c r="B1701" s="6" t="s">
        <v>4925</v>
      </c>
      <c r="C1701" s="6" t="s">
        <v>1077</v>
      </c>
      <c r="D1701" s="18">
        <v>2.0</v>
      </c>
      <c r="E1701" s="18">
        <v>24.0</v>
      </c>
      <c r="F1701" s="18">
        <v>48.0</v>
      </c>
    </row>
    <row r="1702">
      <c r="A1702" s="6" t="s">
        <v>5944</v>
      </c>
      <c r="B1702" s="6" t="s">
        <v>4925</v>
      </c>
      <c r="C1702" s="6" t="s">
        <v>1079</v>
      </c>
      <c r="D1702" s="18">
        <v>15.0</v>
      </c>
      <c r="E1702" s="18">
        <v>17.0</v>
      </c>
      <c r="F1702" s="18">
        <v>255.0</v>
      </c>
    </row>
    <row r="1703">
      <c r="A1703" s="6" t="s">
        <v>5947</v>
      </c>
      <c r="B1703" s="6" t="s">
        <v>4925</v>
      </c>
      <c r="C1703" s="6" t="s">
        <v>1080</v>
      </c>
      <c r="D1703" s="18">
        <v>10.0</v>
      </c>
      <c r="E1703" s="18">
        <v>17.0</v>
      </c>
      <c r="F1703" s="18">
        <v>170.0</v>
      </c>
    </row>
    <row r="1704">
      <c r="A1704" s="6" t="s">
        <v>5949</v>
      </c>
      <c r="B1704" s="6" t="s">
        <v>4925</v>
      </c>
      <c r="C1704" s="6" t="s">
        <v>1081</v>
      </c>
      <c r="D1704" s="18">
        <v>2.0</v>
      </c>
      <c r="E1704" s="18">
        <v>46.0</v>
      </c>
      <c r="F1704" s="18">
        <v>92.0</v>
      </c>
    </row>
    <row r="1705">
      <c r="A1705" s="6" t="s">
        <v>5951</v>
      </c>
      <c r="B1705" s="6" t="s">
        <v>4925</v>
      </c>
      <c r="C1705" s="6" t="s">
        <v>1075</v>
      </c>
      <c r="D1705" s="18">
        <v>2.0</v>
      </c>
      <c r="E1705" s="18">
        <v>36.5</v>
      </c>
      <c r="F1705" s="18">
        <v>73.0</v>
      </c>
    </row>
    <row r="1706">
      <c r="A1706" s="6" t="s">
        <v>5953</v>
      </c>
      <c r="B1706" s="6" t="s">
        <v>4925</v>
      </c>
      <c r="C1706" s="6" t="s">
        <v>1077</v>
      </c>
      <c r="D1706" s="18">
        <v>1.0</v>
      </c>
      <c r="E1706" s="18">
        <v>24.0</v>
      </c>
      <c r="F1706" s="18">
        <v>24.0</v>
      </c>
    </row>
    <row r="1707">
      <c r="A1707" s="6" t="s">
        <v>5955</v>
      </c>
      <c r="B1707" s="6" t="s">
        <v>4935</v>
      </c>
      <c r="C1707" s="6" t="s">
        <v>159</v>
      </c>
      <c r="D1707" s="18">
        <v>1.0</v>
      </c>
      <c r="E1707" s="18">
        <v>210.0</v>
      </c>
      <c r="F1707" s="18">
        <v>210.0</v>
      </c>
    </row>
    <row r="1708">
      <c r="A1708" s="6" t="s">
        <v>5956</v>
      </c>
      <c r="B1708" s="6" t="s">
        <v>4935</v>
      </c>
      <c r="C1708" s="6" t="s">
        <v>155</v>
      </c>
      <c r="D1708" s="18">
        <v>1.0</v>
      </c>
      <c r="E1708" s="18">
        <v>39.38</v>
      </c>
      <c r="F1708" s="18">
        <v>39.38</v>
      </c>
    </row>
    <row r="1709">
      <c r="A1709" s="6" t="s">
        <v>5957</v>
      </c>
      <c r="B1709" s="6" t="s">
        <v>4935</v>
      </c>
      <c r="C1709" s="6" t="s">
        <v>152</v>
      </c>
      <c r="D1709" s="18">
        <v>1.0</v>
      </c>
      <c r="E1709" s="18">
        <v>5.49</v>
      </c>
      <c r="F1709" s="18">
        <v>5.49</v>
      </c>
    </row>
    <row r="1710">
      <c r="A1710" s="6" t="s">
        <v>5959</v>
      </c>
      <c r="B1710" s="6" t="s">
        <v>4935</v>
      </c>
      <c r="C1710" s="6" t="s">
        <v>226</v>
      </c>
      <c r="D1710" s="18">
        <v>7.0</v>
      </c>
      <c r="E1710" s="18">
        <v>10.0</v>
      </c>
      <c r="F1710" s="18">
        <v>70.0</v>
      </c>
    </row>
    <row r="1711">
      <c r="A1711" s="6" t="s">
        <v>5962</v>
      </c>
      <c r="B1711" s="6" t="s">
        <v>4944</v>
      </c>
      <c r="C1711" s="6" t="s">
        <v>305</v>
      </c>
      <c r="D1711" s="18">
        <v>1.0</v>
      </c>
      <c r="E1711" s="18">
        <v>153.0</v>
      </c>
      <c r="F1711" s="18">
        <v>153.0</v>
      </c>
    </row>
    <row r="1712">
      <c r="A1712" s="6" t="s">
        <v>5963</v>
      </c>
      <c r="B1712" s="6" t="s">
        <v>4951</v>
      </c>
      <c r="C1712" s="6" t="s">
        <v>1653</v>
      </c>
      <c r="D1712" s="18">
        <v>1.0</v>
      </c>
      <c r="E1712" s="18">
        <v>130.0</v>
      </c>
      <c r="F1712" s="18">
        <v>130.0</v>
      </c>
    </row>
    <row r="1713">
      <c r="A1713" s="6" t="s">
        <v>5964</v>
      </c>
      <c r="B1713" s="6" t="s">
        <v>4958</v>
      </c>
      <c r="C1713" s="6" t="s">
        <v>1126</v>
      </c>
      <c r="D1713" s="18">
        <v>1.0</v>
      </c>
      <c r="E1713" s="18">
        <v>30.0</v>
      </c>
      <c r="F1713" s="18">
        <v>30.0</v>
      </c>
    </row>
    <row r="1714">
      <c r="A1714" s="6" t="s">
        <v>5966</v>
      </c>
      <c r="B1714" s="6" t="s">
        <v>4964</v>
      </c>
      <c r="C1714" s="6" t="s">
        <v>5636</v>
      </c>
      <c r="D1714" s="18">
        <v>1.0</v>
      </c>
      <c r="E1714" s="18">
        <v>200.0</v>
      </c>
      <c r="F1714" s="18">
        <v>200.0</v>
      </c>
    </row>
    <row r="1715">
      <c r="A1715" s="6" t="s">
        <v>5969</v>
      </c>
      <c r="B1715" s="6" t="s">
        <v>4969</v>
      </c>
      <c r="C1715" s="6" t="s">
        <v>5640</v>
      </c>
      <c r="D1715" s="18">
        <v>1.0</v>
      </c>
      <c r="E1715" s="18">
        <v>22.0</v>
      </c>
      <c r="F1715" s="18">
        <v>22.0</v>
      </c>
    </row>
    <row r="1716">
      <c r="A1716" s="6" t="s">
        <v>5972</v>
      </c>
      <c r="B1716" s="6" t="s">
        <v>4976</v>
      </c>
      <c r="C1716" s="6" t="s">
        <v>5973</v>
      </c>
      <c r="D1716" s="18">
        <v>1.0</v>
      </c>
      <c r="E1716" s="18">
        <v>10.0</v>
      </c>
      <c r="F1716" s="18">
        <v>10.0</v>
      </c>
    </row>
    <row r="1717">
      <c r="A1717" s="6" t="s">
        <v>5974</v>
      </c>
      <c r="B1717" s="6" t="s">
        <v>4982</v>
      </c>
      <c r="C1717" s="6" t="s">
        <v>159</v>
      </c>
      <c r="D1717" s="18">
        <v>1.0</v>
      </c>
      <c r="E1717" s="18">
        <v>195.0</v>
      </c>
      <c r="F1717" s="18">
        <v>195.0</v>
      </c>
    </row>
    <row r="1718">
      <c r="A1718" s="6" t="s">
        <v>5976</v>
      </c>
      <c r="B1718" s="6" t="s">
        <v>4982</v>
      </c>
      <c r="C1718" s="6" t="s">
        <v>155</v>
      </c>
      <c r="D1718" s="18">
        <v>1.0</v>
      </c>
      <c r="E1718" s="18">
        <v>33.6</v>
      </c>
      <c r="F1718" s="18">
        <v>33.6</v>
      </c>
    </row>
    <row r="1719">
      <c r="A1719" s="6" t="s">
        <v>5977</v>
      </c>
      <c r="B1719" s="6" t="s">
        <v>4982</v>
      </c>
      <c r="C1719" s="6" t="s">
        <v>152</v>
      </c>
      <c r="D1719" s="18">
        <v>1.0</v>
      </c>
      <c r="E1719" s="18">
        <v>9.5</v>
      </c>
      <c r="F1719" s="18">
        <v>9.5</v>
      </c>
    </row>
    <row r="1720">
      <c r="A1720" s="6" t="s">
        <v>5980</v>
      </c>
      <c r="B1720" s="6" t="s">
        <v>4982</v>
      </c>
      <c r="C1720" s="6" t="s">
        <v>226</v>
      </c>
      <c r="D1720" s="18">
        <v>1.0</v>
      </c>
      <c r="E1720" s="18">
        <v>57.0</v>
      </c>
      <c r="F1720" s="18">
        <v>57.0</v>
      </c>
    </row>
    <row r="1721">
      <c r="A1721" s="6" t="s">
        <v>5981</v>
      </c>
      <c r="B1721" s="6" t="s">
        <v>4989</v>
      </c>
      <c r="C1721" s="6" t="s">
        <v>1517</v>
      </c>
      <c r="D1721" s="18">
        <v>1.0</v>
      </c>
      <c r="E1721" s="18">
        <v>21201.28</v>
      </c>
      <c r="F1721" s="18">
        <v>21201.28</v>
      </c>
    </row>
    <row r="1722">
      <c r="A1722" s="6" t="s">
        <v>5982</v>
      </c>
      <c r="B1722" s="6" t="s">
        <v>4999</v>
      </c>
      <c r="C1722" s="6" t="s">
        <v>1168</v>
      </c>
      <c r="D1722" s="18">
        <v>1.0</v>
      </c>
      <c r="E1722" s="18">
        <v>500.0</v>
      </c>
      <c r="F1722" s="18">
        <v>500.0</v>
      </c>
    </row>
    <row r="1723">
      <c r="A1723" s="6" t="s">
        <v>5984</v>
      </c>
      <c r="B1723" s="6" t="s">
        <v>5004</v>
      </c>
      <c r="C1723" s="6" t="s">
        <v>1510</v>
      </c>
      <c r="D1723" s="18">
        <v>1.0</v>
      </c>
      <c r="E1723" s="18">
        <v>21201.28</v>
      </c>
      <c r="F1723" s="18">
        <v>21201.28</v>
      </c>
    </row>
    <row r="1724">
      <c r="A1724" s="6" t="s">
        <v>5986</v>
      </c>
      <c r="B1724" s="6" t="s">
        <v>5015</v>
      </c>
      <c r="C1724" s="6" t="s">
        <v>1168</v>
      </c>
      <c r="D1724" s="18">
        <v>1.0</v>
      </c>
      <c r="E1724" s="18">
        <v>500.0</v>
      </c>
      <c r="F1724" s="18">
        <v>500.0</v>
      </c>
    </row>
    <row r="1725">
      <c r="A1725" s="6" t="s">
        <v>5988</v>
      </c>
      <c r="B1725" s="6" t="s">
        <v>5024</v>
      </c>
      <c r="C1725" s="6" t="s">
        <v>1168</v>
      </c>
      <c r="D1725" s="18">
        <v>1.0</v>
      </c>
      <c r="E1725" s="18">
        <v>500.0</v>
      </c>
      <c r="F1725" s="18">
        <v>500.0</v>
      </c>
    </row>
    <row r="1726">
      <c r="A1726" s="6" t="s">
        <v>5989</v>
      </c>
      <c r="B1726" s="6" t="s">
        <v>5031</v>
      </c>
      <c r="C1726" s="6" t="s">
        <v>1168</v>
      </c>
      <c r="D1726" s="18">
        <v>1.0</v>
      </c>
      <c r="E1726" s="18">
        <v>100.0</v>
      </c>
      <c r="F1726" s="18">
        <v>100.0</v>
      </c>
    </row>
    <row r="1727">
      <c r="A1727" s="6" t="s">
        <v>5990</v>
      </c>
      <c r="B1727" s="6" t="s">
        <v>5037</v>
      </c>
      <c r="C1727" s="6" t="s">
        <v>1653</v>
      </c>
      <c r="D1727" s="18">
        <v>1.0</v>
      </c>
      <c r="E1727" s="18">
        <v>185.53</v>
      </c>
      <c r="F1727" s="18">
        <v>185.53</v>
      </c>
    </row>
    <row r="1728">
      <c r="A1728" s="6" t="s">
        <v>5992</v>
      </c>
      <c r="B1728" s="6" t="s">
        <v>5045</v>
      </c>
      <c r="C1728" s="6" t="s">
        <v>305</v>
      </c>
      <c r="D1728" s="18">
        <v>1.0</v>
      </c>
      <c r="E1728" s="18">
        <v>14.36</v>
      </c>
      <c r="F1728" s="18">
        <v>14.36</v>
      </c>
    </row>
    <row r="1729">
      <c r="A1729" s="6" t="s">
        <v>5994</v>
      </c>
      <c r="B1729" s="6" t="s">
        <v>5051</v>
      </c>
      <c r="C1729" s="6" t="s">
        <v>305</v>
      </c>
      <c r="D1729" s="18">
        <v>1.0</v>
      </c>
      <c r="E1729" s="18">
        <v>10.13</v>
      </c>
      <c r="F1729" s="18">
        <v>10.13</v>
      </c>
    </row>
    <row r="1730">
      <c r="A1730" s="6" t="s">
        <v>5997</v>
      </c>
      <c r="B1730" s="6" t="s">
        <v>5060</v>
      </c>
      <c r="C1730" s="6" t="s">
        <v>1510</v>
      </c>
      <c r="D1730" s="18">
        <v>1.0</v>
      </c>
      <c r="E1730" s="18">
        <v>6892.82</v>
      </c>
      <c r="F1730" s="18">
        <v>6892.82</v>
      </c>
    </row>
    <row r="1731">
      <c r="A1731" s="6" t="s">
        <v>5998</v>
      </c>
      <c r="B1731" s="6" t="s">
        <v>5073</v>
      </c>
      <c r="C1731" s="6" t="s">
        <v>305</v>
      </c>
      <c r="D1731" s="18">
        <v>1.0</v>
      </c>
      <c r="E1731" s="18">
        <v>56.19</v>
      </c>
      <c r="F1731" s="18">
        <v>56.19</v>
      </c>
    </row>
    <row r="1732">
      <c r="A1732" s="6" t="s">
        <v>5999</v>
      </c>
      <c r="B1732" s="6" t="s">
        <v>5081</v>
      </c>
      <c r="C1732" s="18">
        <v>1.2539885E7</v>
      </c>
      <c r="D1732" s="18">
        <v>1.0</v>
      </c>
      <c r="E1732" s="18">
        <v>200.0</v>
      </c>
      <c r="F1732" s="18">
        <v>200.0</v>
      </c>
    </row>
    <row r="1733">
      <c r="A1733" s="6" t="s">
        <v>6001</v>
      </c>
      <c r="B1733" s="6" t="s">
        <v>5093</v>
      </c>
      <c r="C1733" s="6" t="s">
        <v>159</v>
      </c>
      <c r="D1733" s="18">
        <v>1.0</v>
      </c>
      <c r="E1733" s="18">
        <v>168.0</v>
      </c>
      <c r="F1733" s="18">
        <v>168.0</v>
      </c>
    </row>
    <row r="1734">
      <c r="A1734" s="6" t="s">
        <v>6003</v>
      </c>
      <c r="B1734" s="6" t="s">
        <v>5093</v>
      </c>
      <c r="C1734" s="6" t="s">
        <v>155</v>
      </c>
      <c r="D1734" s="18">
        <v>1.0</v>
      </c>
      <c r="E1734" s="18">
        <v>26.48</v>
      </c>
      <c r="F1734" s="18">
        <v>26.48</v>
      </c>
    </row>
    <row r="1735">
      <c r="A1735" s="6" t="s">
        <v>6005</v>
      </c>
      <c r="B1735" s="6" t="s">
        <v>5093</v>
      </c>
      <c r="C1735" s="6" t="s">
        <v>152</v>
      </c>
      <c r="D1735" s="18">
        <v>1.0</v>
      </c>
      <c r="E1735" s="18">
        <v>12.95</v>
      </c>
      <c r="F1735" s="18">
        <v>12.95</v>
      </c>
    </row>
    <row r="1736">
      <c r="A1736" s="6" t="s">
        <v>6006</v>
      </c>
      <c r="B1736" s="6" t="s">
        <v>5093</v>
      </c>
      <c r="C1736" s="6" t="s">
        <v>226</v>
      </c>
      <c r="D1736" s="18">
        <v>1.0</v>
      </c>
      <c r="E1736" s="18">
        <v>60.0</v>
      </c>
      <c r="F1736" s="18">
        <v>60.0</v>
      </c>
    </row>
    <row r="1737">
      <c r="A1737" s="6" t="s">
        <v>6010</v>
      </c>
      <c r="B1737" s="6" t="s">
        <v>5100</v>
      </c>
      <c r="C1737" s="6" t="s">
        <v>1653</v>
      </c>
      <c r="D1737" s="18">
        <v>1.0</v>
      </c>
      <c r="E1737" s="18">
        <v>162.5</v>
      </c>
      <c r="F1737" s="18">
        <v>162.5</v>
      </c>
    </row>
    <row r="1738">
      <c r="A1738" s="6" t="s">
        <v>6012</v>
      </c>
      <c r="B1738" s="6" t="s">
        <v>5109</v>
      </c>
      <c r="C1738" s="18">
        <v>1.2539885E7</v>
      </c>
      <c r="D1738" s="18">
        <v>1.0</v>
      </c>
      <c r="E1738" s="18">
        <v>500.0</v>
      </c>
      <c r="F1738" s="18">
        <v>500.0</v>
      </c>
    </row>
    <row r="1739">
      <c r="A1739" s="6" t="s">
        <v>6014</v>
      </c>
      <c r="B1739" s="6" t="s">
        <v>5116</v>
      </c>
      <c r="C1739" s="6" t="s">
        <v>159</v>
      </c>
      <c r="D1739" s="18">
        <v>1.0</v>
      </c>
      <c r="E1739" s="18">
        <v>210.0</v>
      </c>
      <c r="F1739" s="18">
        <v>210.0</v>
      </c>
    </row>
    <row r="1740">
      <c r="A1740" s="6" t="s">
        <v>6017</v>
      </c>
      <c r="B1740" s="6" t="s">
        <v>5116</v>
      </c>
      <c r="C1740" s="6" t="s">
        <v>155</v>
      </c>
      <c r="D1740" s="18">
        <v>1.0</v>
      </c>
      <c r="E1740" s="18">
        <v>57.42</v>
      </c>
      <c r="F1740" s="18">
        <v>57.42</v>
      </c>
    </row>
    <row r="1741">
      <c r="A1741" s="6" t="s">
        <v>6018</v>
      </c>
      <c r="B1741" s="6" t="s">
        <v>5116</v>
      </c>
      <c r="C1741" s="6" t="s">
        <v>230</v>
      </c>
      <c r="D1741" s="18">
        <v>1.0</v>
      </c>
      <c r="E1741" s="18">
        <v>137.7</v>
      </c>
      <c r="F1741" s="18">
        <v>137.7</v>
      </c>
    </row>
    <row r="1742">
      <c r="A1742" s="6" t="s">
        <v>6020</v>
      </c>
      <c r="B1742" s="6" t="s">
        <v>5116</v>
      </c>
      <c r="C1742" s="6" t="s">
        <v>152</v>
      </c>
      <c r="D1742" s="18">
        <v>1.0</v>
      </c>
      <c r="E1742" s="18">
        <v>8.74</v>
      </c>
      <c r="F1742" s="18">
        <v>8.74</v>
      </c>
    </row>
    <row r="1743">
      <c r="A1743" s="6" t="s">
        <v>6022</v>
      </c>
      <c r="B1743" s="6" t="s">
        <v>5116</v>
      </c>
      <c r="C1743" s="6" t="s">
        <v>226</v>
      </c>
      <c r="D1743" s="18">
        <v>1.0</v>
      </c>
      <c r="E1743" s="18">
        <v>80.0</v>
      </c>
      <c r="F1743" s="18">
        <v>80.0</v>
      </c>
    </row>
    <row r="1744">
      <c r="A1744" s="6" t="s">
        <v>6024</v>
      </c>
      <c r="B1744" s="6" t="s">
        <v>5123</v>
      </c>
      <c r="C1744" s="6" t="s">
        <v>159</v>
      </c>
      <c r="D1744" s="18">
        <v>1.0</v>
      </c>
      <c r="E1744" s="18">
        <v>168.0</v>
      </c>
      <c r="F1744" s="18">
        <v>168.0</v>
      </c>
    </row>
    <row r="1745">
      <c r="A1745" s="6" t="s">
        <v>6026</v>
      </c>
      <c r="B1745" s="6" t="s">
        <v>5123</v>
      </c>
      <c r="C1745" s="6" t="s">
        <v>155</v>
      </c>
      <c r="D1745" s="18">
        <v>1.0</v>
      </c>
      <c r="E1745" s="18">
        <v>36.85</v>
      </c>
      <c r="F1745" s="18">
        <v>36.85</v>
      </c>
    </row>
    <row r="1746">
      <c r="A1746" s="6" t="s">
        <v>6028</v>
      </c>
      <c r="B1746" s="6" t="s">
        <v>5131</v>
      </c>
      <c r="C1746" s="6" t="s">
        <v>3496</v>
      </c>
      <c r="D1746" s="18">
        <v>1.0</v>
      </c>
      <c r="E1746" s="18">
        <v>296.36</v>
      </c>
      <c r="F1746" s="18">
        <v>296.36</v>
      </c>
    </row>
    <row r="1747">
      <c r="A1747" s="6" t="s">
        <v>6029</v>
      </c>
      <c r="B1747" s="6" t="s">
        <v>5141</v>
      </c>
      <c r="C1747" s="6" t="s">
        <v>5325</v>
      </c>
      <c r="D1747" s="18">
        <v>1.0</v>
      </c>
      <c r="E1747" s="18">
        <v>110.0</v>
      </c>
      <c r="F1747" s="18">
        <v>110.0</v>
      </c>
    </row>
    <row r="1748">
      <c r="A1748" s="6" t="s">
        <v>6030</v>
      </c>
      <c r="B1748" s="6" t="s">
        <v>5148</v>
      </c>
      <c r="C1748" s="18">
        <v>1.2539885E7</v>
      </c>
      <c r="D1748" s="18">
        <v>1.0</v>
      </c>
      <c r="E1748" s="18">
        <v>500.0</v>
      </c>
      <c r="F1748" s="18">
        <v>500.0</v>
      </c>
    </row>
    <row r="1749">
      <c r="A1749" s="6" t="s">
        <v>6031</v>
      </c>
      <c r="B1749" s="6" t="s">
        <v>5156</v>
      </c>
      <c r="C1749" s="6" t="s">
        <v>1239</v>
      </c>
      <c r="D1749" s="18">
        <v>1.0</v>
      </c>
      <c r="E1749" s="18">
        <v>1230.21</v>
      </c>
      <c r="F1749" s="18">
        <v>1230.21</v>
      </c>
    </row>
    <row r="1750">
      <c r="A1750" s="6" t="s">
        <v>6033</v>
      </c>
      <c r="B1750" s="6" t="s">
        <v>5163</v>
      </c>
      <c r="C1750" s="6" t="s">
        <v>1239</v>
      </c>
      <c r="D1750" s="18">
        <v>1.0</v>
      </c>
      <c r="E1750" s="18">
        <v>1232.92</v>
      </c>
      <c r="F1750" s="18">
        <v>1232.92</v>
      </c>
    </row>
    <row r="1751">
      <c r="A1751" s="6" t="s">
        <v>6034</v>
      </c>
      <c r="B1751" s="6" t="s">
        <v>5169</v>
      </c>
      <c r="C1751" s="6" t="s">
        <v>1239</v>
      </c>
      <c r="D1751" s="18">
        <v>1.0</v>
      </c>
      <c r="E1751" s="18">
        <v>2160.18</v>
      </c>
      <c r="F1751" s="18">
        <v>2160.18</v>
      </c>
    </row>
    <row r="1752">
      <c r="A1752" s="6" t="s">
        <v>6035</v>
      </c>
      <c r="B1752" s="6" t="s">
        <v>5177</v>
      </c>
      <c r="C1752" s="6" t="s">
        <v>1239</v>
      </c>
      <c r="D1752" s="18">
        <v>1.0</v>
      </c>
      <c r="E1752" s="18">
        <v>2190.74</v>
      </c>
      <c r="F1752" s="18">
        <v>2190.74</v>
      </c>
    </row>
    <row r="1753">
      <c r="A1753" s="6" t="s">
        <v>6036</v>
      </c>
      <c r="B1753" s="6" t="s">
        <v>5181</v>
      </c>
      <c r="C1753" s="6" t="s">
        <v>1239</v>
      </c>
      <c r="D1753" s="18">
        <v>1.0</v>
      </c>
      <c r="E1753" s="18">
        <v>2686.84</v>
      </c>
      <c r="F1753" s="18">
        <v>2686.84</v>
      </c>
    </row>
    <row r="1754">
      <c r="A1754" s="6" t="s">
        <v>6037</v>
      </c>
      <c r="B1754" s="6" t="s">
        <v>5185</v>
      </c>
      <c r="C1754" s="6" t="s">
        <v>6039</v>
      </c>
      <c r="D1754" s="18">
        <v>1.0</v>
      </c>
      <c r="E1754" s="18">
        <v>92.0</v>
      </c>
      <c r="F1754" s="18">
        <v>92.0</v>
      </c>
    </row>
    <row r="1755">
      <c r="A1755" s="6" t="s">
        <v>6040</v>
      </c>
      <c r="B1755" s="6" t="s">
        <v>5191</v>
      </c>
      <c r="C1755" s="6" t="s">
        <v>1653</v>
      </c>
      <c r="D1755" s="18">
        <v>1.0</v>
      </c>
      <c r="E1755" s="18">
        <v>200.0</v>
      </c>
      <c r="F1755" s="18">
        <v>200.0</v>
      </c>
    </row>
    <row r="1756">
      <c r="A1756" s="6" t="s">
        <v>6042</v>
      </c>
      <c r="B1756" s="6" t="s">
        <v>5198</v>
      </c>
      <c r="C1756" s="6" t="s">
        <v>1270</v>
      </c>
      <c r="D1756" s="18">
        <v>1.0</v>
      </c>
      <c r="E1756" s="18">
        <v>16000.0</v>
      </c>
      <c r="F1756" s="18">
        <v>16000.0</v>
      </c>
    </row>
    <row r="1757">
      <c r="A1757" s="6" t="s">
        <v>6044</v>
      </c>
      <c r="B1757" s="6" t="s">
        <v>5204</v>
      </c>
      <c r="C1757" s="6" t="s">
        <v>1270</v>
      </c>
      <c r="D1757" s="18">
        <v>1.0</v>
      </c>
      <c r="E1757" s="18">
        <v>16000.0</v>
      </c>
      <c r="F1757" s="18">
        <v>16000.0</v>
      </c>
    </row>
    <row r="1758">
      <c r="A1758" s="6" t="s">
        <v>6046</v>
      </c>
      <c r="B1758" s="6" t="s">
        <v>5210</v>
      </c>
      <c r="C1758" s="6" t="s">
        <v>1270</v>
      </c>
      <c r="D1758" s="18">
        <v>1.0</v>
      </c>
      <c r="E1758" s="18">
        <v>16000.0</v>
      </c>
      <c r="F1758" s="18">
        <v>16000.0</v>
      </c>
    </row>
    <row r="1759">
      <c r="A1759" s="6" t="s">
        <v>6047</v>
      </c>
      <c r="B1759" s="6" t="s">
        <v>5217</v>
      </c>
      <c r="C1759" s="6" t="s">
        <v>6049</v>
      </c>
      <c r="D1759" s="18">
        <v>1.0</v>
      </c>
      <c r="E1759" s="18">
        <v>89.9</v>
      </c>
      <c r="F1759" s="18">
        <v>89.9</v>
      </c>
    </row>
    <row r="1760">
      <c r="A1760" s="6" t="s">
        <v>6050</v>
      </c>
      <c r="B1760" s="6" t="s">
        <v>5224</v>
      </c>
      <c r="C1760" s="6" t="s">
        <v>3833</v>
      </c>
      <c r="D1760" s="18">
        <v>1.0</v>
      </c>
      <c r="E1760" s="18">
        <v>6082.0</v>
      </c>
      <c r="F1760" s="18">
        <v>6082.0</v>
      </c>
    </row>
    <row r="1761">
      <c r="A1761" s="6" t="s">
        <v>6052</v>
      </c>
      <c r="B1761" s="6" t="s">
        <v>5231</v>
      </c>
      <c r="C1761" s="6" t="s">
        <v>1239</v>
      </c>
      <c r="D1761" s="18">
        <v>1.0</v>
      </c>
      <c r="E1761" s="18">
        <v>1157.04</v>
      </c>
      <c r="F1761" s="18">
        <v>1157.04</v>
      </c>
    </row>
    <row r="1762">
      <c r="A1762" s="6" t="s">
        <v>6055</v>
      </c>
      <c r="B1762" s="6" t="s">
        <v>5234</v>
      </c>
      <c r="C1762" s="6" t="s">
        <v>305</v>
      </c>
      <c r="D1762" s="18">
        <v>1.0</v>
      </c>
      <c r="E1762" s="18">
        <v>72.58</v>
      </c>
      <c r="F1762" s="18">
        <v>72.58</v>
      </c>
    </row>
    <row r="1763">
      <c r="A1763" s="6" t="s">
        <v>6057</v>
      </c>
      <c r="B1763" s="6" t="s">
        <v>5242</v>
      </c>
      <c r="C1763" s="6" t="s">
        <v>1653</v>
      </c>
      <c r="D1763" s="18">
        <v>1.0</v>
      </c>
      <c r="E1763" s="18">
        <v>4381.94</v>
      </c>
      <c r="F1763" s="18">
        <v>4381.94</v>
      </c>
    </row>
    <row r="1764">
      <c r="A1764" s="6" t="s">
        <v>6058</v>
      </c>
      <c r="B1764" s="6" t="s">
        <v>5250</v>
      </c>
      <c r="C1764" s="6" t="s">
        <v>1517</v>
      </c>
      <c r="D1764" s="18">
        <v>1.0</v>
      </c>
      <c r="E1764" s="18">
        <v>47.37</v>
      </c>
      <c r="F1764" s="18">
        <v>47.37</v>
      </c>
    </row>
    <row r="1765">
      <c r="A1765" s="6" t="s">
        <v>6059</v>
      </c>
      <c r="B1765" s="6" t="s">
        <v>5256</v>
      </c>
      <c r="C1765" s="6" t="s">
        <v>1080</v>
      </c>
      <c r="D1765" s="18">
        <v>1.0</v>
      </c>
      <c r="E1765" s="18">
        <v>208.5</v>
      </c>
      <c r="F1765" s="18">
        <v>208.5</v>
      </c>
    </row>
    <row r="1766">
      <c r="A1766" s="6" t="s">
        <v>6060</v>
      </c>
      <c r="B1766" s="6" t="s">
        <v>5262</v>
      </c>
      <c r="C1766" s="6" t="s">
        <v>226</v>
      </c>
      <c r="D1766" s="18">
        <v>1.0</v>
      </c>
      <c r="E1766" s="18">
        <v>60.0</v>
      </c>
      <c r="F1766" s="18">
        <v>60.0</v>
      </c>
    </row>
    <row r="1767">
      <c r="A1767" s="6" t="s">
        <v>6061</v>
      </c>
      <c r="B1767" s="6" t="s">
        <v>5262</v>
      </c>
      <c r="C1767" s="6" t="s">
        <v>152</v>
      </c>
      <c r="D1767" s="18">
        <v>1.0</v>
      </c>
      <c r="E1767" s="18">
        <v>11.59</v>
      </c>
      <c r="F1767" s="18">
        <v>11.59</v>
      </c>
    </row>
    <row r="1768">
      <c r="A1768" s="6" t="s">
        <v>6063</v>
      </c>
      <c r="B1768" s="6" t="s">
        <v>5262</v>
      </c>
      <c r="C1768" s="6" t="s">
        <v>155</v>
      </c>
      <c r="D1768" s="18">
        <v>1.0</v>
      </c>
      <c r="E1768" s="18">
        <v>28.49</v>
      </c>
      <c r="F1768" s="18">
        <v>28.49</v>
      </c>
    </row>
    <row r="1769">
      <c r="A1769" s="6" t="s">
        <v>6064</v>
      </c>
      <c r="B1769" s="6" t="s">
        <v>5262</v>
      </c>
      <c r="C1769" s="6" t="s">
        <v>159</v>
      </c>
      <c r="D1769" s="18">
        <v>1.0</v>
      </c>
      <c r="E1769" s="18">
        <v>168.0</v>
      </c>
      <c r="F1769" s="18">
        <v>168.0</v>
      </c>
    </row>
    <row r="1770">
      <c r="A1770" s="6" t="s">
        <v>6066</v>
      </c>
      <c r="B1770" s="6" t="s">
        <v>5268</v>
      </c>
      <c r="C1770" s="6" t="s">
        <v>1195</v>
      </c>
      <c r="D1770" s="18">
        <v>1.0</v>
      </c>
      <c r="E1770" s="18">
        <v>144.0</v>
      </c>
      <c r="F1770" s="18">
        <v>144.0</v>
      </c>
    </row>
    <row r="1771">
      <c r="A1771" s="6" t="s">
        <v>6067</v>
      </c>
      <c r="B1771" s="6" t="s">
        <v>5268</v>
      </c>
      <c r="C1771" s="6" t="s">
        <v>1046</v>
      </c>
      <c r="D1771" s="18">
        <v>1.0</v>
      </c>
      <c r="E1771" s="18">
        <v>63.0</v>
      </c>
      <c r="F1771" s="18">
        <v>63.0</v>
      </c>
    </row>
    <row r="1772">
      <c r="A1772" s="6" t="s">
        <v>6068</v>
      </c>
      <c r="B1772" s="6" t="s">
        <v>5268</v>
      </c>
      <c r="C1772" s="6" t="s">
        <v>1197</v>
      </c>
      <c r="D1772" s="18">
        <v>1.0</v>
      </c>
      <c r="E1772" s="18">
        <v>63.0</v>
      </c>
      <c r="F1772" s="18">
        <v>63.0</v>
      </c>
    </row>
    <row r="1773">
      <c r="A1773" s="6" t="s">
        <v>6070</v>
      </c>
      <c r="B1773" s="6" t="s">
        <v>5268</v>
      </c>
      <c r="C1773" s="6" t="s">
        <v>6071</v>
      </c>
      <c r="D1773" s="18">
        <v>1.0</v>
      </c>
      <c r="E1773" s="18">
        <v>23.0</v>
      </c>
      <c r="F1773" s="18">
        <v>23.0</v>
      </c>
    </row>
    <row r="1774">
      <c r="A1774" s="6" t="s">
        <v>6072</v>
      </c>
      <c r="B1774" s="6" t="s">
        <v>5268</v>
      </c>
      <c r="C1774" s="6" t="s">
        <v>266</v>
      </c>
      <c r="D1774" s="18">
        <v>1.0</v>
      </c>
      <c r="E1774" s="18">
        <v>74.0</v>
      </c>
      <c r="F1774" s="18">
        <v>74.0</v>
      </c>
    </row>
    <row r="1775">
      <c r="A1775" s="6" t="s">
        <v>6074</v>
      </c>
      <c r="B1775" s="6" t="s">
        <v>5274</v>
      </c>
      <c r="C1775" s="6" t="s">
        <v>1073</v>
      </c>
      <c r="D1775" s="18">
        <v>1.0</v>
      </c>
      <c r="E1775" s="18">
        <v>19.25</v>
      </c>
      <c r="F1775" s="18">
        <v>19.25</v>
      </c>
    </row>
    <row r="1776">
      <c r="A1776" s="6" t="s">
        <v>6075</v>
      </c>
      <c r="B1776" s="6" t="s">
        <v>5274</v>
      </c>
      <c r="C1776" s="18">
        <v>7.5375964E7</v>
      </c>
      <c r="D1776" s="18">
        <v>1.0</v>
      </c>
      <c r="E1776" s="18">
        <v>18.0</v>
      </c>
      <c r="F1776" s="18">
        <v>18.0</v>
      </c>
    </row>
    <row r="1777">
      <c r="A1777" s="6" t="s">
        <v>6078</v>
      </c>
      <c r="B1777" s="6" t="s">
        <v>5274</v>
      </c>
      <c r="C1777" s="6" t="s">
        <v>1384</v>
      </c>
      <c r="D1777" s="18">
        <v>1.0</v>
      </c>
      <c r="E1777" s="18">
        <v>18.0</v>
      </c>
      <c r="F1777" s="18">
        <v>18.0</v>
      </c>
    </row>
    <row r="1778">
      <c r="A1778" s="6" t="s">
        <v>6079</v>
      </c>
      <c r="B1778" s="6" t="s">
        <v>5274</v>
      </c>
      <c r="C1778" s="6" t="s">
        <v>1404</v>
      </c>
      <c r="D1778" s="18">
        <v>1.0</v>
      </c>
      <c r="E1778" s="18">
        <v>18.0</v>
      </c>
      <c r="F1778" s="18">
        <v>18.0</v>
      </c>
    </row>
    <row r="1779">
      <c r="A1779" s="6" t="s">
        <v>6080</v>
      </c>
      <c r="B1779" s="6" t="s">
        <v>5274</v>
      </c>
      <c r="C1779" s="6" t="s">
        <v>1074</v>
      </c>
      <c r="D1779" s="18">
        <v>6.0</v>
      </c>
      <c r="E1779" s="18">
        <v>37.0</v>
      </c>
      <c r="F1779" s="18">
        <v>222.0</v>
      </c>
    </row>
    <row r="1780">
      <c r="A1780" s="6" t="s">
        <v>6082</v>
      </c>
      <c r="B1780" s="6" t="s">
        <v>5274</v>
      </c>
      <c r="C1780" s="6" t="s">
        <v>1077</v>
      </c>
      <c r="D1780" s="18">
        <v>3.0</v>
      </c>
      <c r="E1780" s="18">
        <v>25.0</v>
      </c>
      <c r="F1780" s="18">
        <v>75.0</v>
      </c>
    </row>
    <row r="1781">
      <c r="A1781" s="6" t="s">
        <v>6083</v>
      </c>
      <c r="B1781" s="6" t="s">
        <v>5274</v>
      </c>
      <c r="C1781" s="6" t="s">
        <v>1079</v>
      </c>
      <c r="D1781" s="18">
        <v>30.0</v>
      </c>
      <c r="E1781" s="18">
        <v>17.0</v>
      </c>
      <c r="F1781" s="18">
        <v>510.0</v>
      </c>
    </row>
    <row r="1782">
      <c r="A1782" s="6" t="s">
        <v>6086</v>
      </c>
      <c r="B1782" s="6" t="s">
        <v>5274</v>
      </c>
      <c r="C1782" s="6" t="s">
        <v>1081</v>
      </c>
      <c r="D1782" s="18">
        <v>2.0</v>
      </c>
      <c r="E1782" s="18">
        <v>45.0</v>
      </c>
      <c r="F1782" s="18">
        <v>90.0</v>
      </c>
    </row>
    <row r="1783">
      <c r="A1783" s="6" t="s">
        <v>6087</v>
      </c>
      <c r="B1783" s="6" t="s">
        <v>5274</v>
      </c>
      <c r="C1783" s="6" t="s">
        <v>1081</v>
      </c>
      <c r="D1783" s="18">
        <v>3.0</v>
      </c>
      <c r="E1783" s="18">
        <v>46.0</v>
      </c>
      <c r="F1783" s="18">
        <v>138.0</v>
      </c>
    </row>
    <row r="1784">
      <c r="A1784" s="6" t="s">
        <v>6088</v>
      </c>
      <c r="B1784" s="6" t="s">
        <v>5274</v>
      </c>
      <c r="C1784" s="6" t="s">
        <v>1083</v>
      </c>
      <c r="D1784" s="18">
        <v>1.0</v>
      </c>
      <c r="E1784" s="18">
        <v>18.0</v>
      </c>
      <c r="F1784" s="18">
        <v>18.0</v>
      </c>
    </row>
    <row r="1785">
      <c r="A1785" s="6" t="s">
        <v>6090</v>
      </c>
      <c r="B1785" s="6" t="s">
        <v>5274</v>
      </c>
      <c r="C1785" s="6" t="s">
        <v>1075</v>
      </c>
      <c r="D1785" s="18">
        <v>3.0</v>
      </c>
      <c r="E1785" s="18">
        <v>37.0</v>
      </c>
      <c r="F1785" s="18">
        <v>111.0</v>
      </c>
    </row>
    <row r="1786">
      <c r="A1786" s="6" t="s">
        <v>6091</v>
      </c>
      <c r="B1786" s="6" t="s">
        <v>5274</v>
      </c>
      <c r="C1786" s="6" t="s">
        <v>1091</v>
      </c>
      <c r="D1786" s="18">
        <v>1.0</v>
      </c>
      <c r="E1786" s="18">
        <v>108.0</v>
      </c>
      <c r="F1786" s="18">
        <v>108.0</v>
      </c>
    </row>
    <row r="1787">
      <c r="A1787" s="6" t="s">
        <v>6094</v>
      </c>
      <c r="B1787" s="6" t="s">
        <v>5274</v>
      </c>
      <c r="C1787" s="6" t="s">
        <v>1091</v>
      </c>
      <c r="D1787" s="18">
        <v>1.0</v>
      </c>
      <c r="E1787" s="18">
        <v>36.0</v>
      </c>
      <c r="F1787" s="18">
        <v>36.0</v>
      </c>
    </row>
    <row r="1788">
      <c r="A1788" s="6" t="s">
        <v>6095</v>
      </c>
      <c r="B1788" s="6" t="s">
        <v>5281</v>
      </c>
      <c r="C1788" s="6" t="s">
        <v>3833</v>
      </c>
      <c r="D1788" s="18">
        <v>1.0</v>
      </c>
      <c r="E1788" s="18">
        <v>20233.67</v>
      </c>
      <c r="F1788" s="18">
        <v>20233.67</v>
      </c>
    </row>
    <row r="1789">
      <c r="A1789" s="6" t="s">
        <v>6097</v>
      </c>
      <c r="B1789" s="6" t="s">
        <v>5285</v>
      </c>
      <c r="C1789" s="6" t="s">
        <v>3218</v>
      </c>
      <c r="D1789" s="18">
        <v>1.0</v>
      </c>
      <c r="E1789" s="18">
        <v>353.53</v>
      </c>
      <c r="F1789" s="18">
        <v>353.53</v>
      </c>
    </row>
    <row r="1790">
      <c r="A1790" s="6" t="s">
        <v>6100</v>
      </c>
      <c r="B1790" s="6" t="s">
        <v>5290</v>
      </c>
      <c r="C1790" s="6" t="s">
        <v>4831</v>
      </c>
      <c r="D1790" s="18">
        <v>1.0</v>
      </c>
      <c r="E1790" s="18">
        <v>250.0</v>
      </c>
      <c r="F1790" s="18">
        <v>250.0</v>
      </c>
    </row>
    <row r="1791">
      <c r="A1791" s="6" t="s">
        <v>6101</v>
      </c>
      <c r="B1791" s="6" t="s">
        <v>5295</v>
      </c>
      <c r="C1791" s="6" t="s">
        <v>1350</v>
      </c>
      <c r="D1791" s="18">
        <v>1.0</v>
      </c>
      <c r="E1791" s="18">
        <v>47.2</v>
      </c>
      <c r="F1791" s="18">
        <v>47.2</v>
      </c>
    </row>
    <row r="1792">
      <c r="A1792" s="6" t="s">
        <v>6104</v>
      </c>
      <c r="B1792" s="6" t="s">
        <v>5303</v>
      </c>
      <c r="C1792" s="6" t="s">
        <v>1022</v>
      </c>
      <c r="D1792" s="18">
        <v>1.0</v>
      </c>
      <c r="E1792" s="18">
        <v>108.0</v>
      </c>
      <c r="F1792" s="18">
        <v>108.0</v>
      </c>
    </row>
    <row r="1793">
      <c r="A1793" s="6" t="s">
        <v>6106</v>
      </c>
      <c r="B1793" s="6" t="s">
        <v>5311</v>
      </c>
      <c r="C1793" s="6" t="s">
        <v>238</v>
      </c>
      <c r="D1793" s="18">
        <v>12.0</v>
      </c>
      <c r="E1793" s="18">
        <v>5.9</v>
      </c>
      <c r="F1793" s="18">
        <v>70.80000000000001</v>
      </c>
    </row>
    <row r="1794">
      <c r="A1794" s="6" t="s">
        <v>6107</v>
      </c>
      <c r="B1794" s="6" t="s">
        <v>5311</v>
      </c>
      <c r="C1794" s="6" t="s">
        <v>243</v>
      </c>
      <c r="D1794" s="18">
        <v>6.0</v>
      </c>
      <c r="E1794" s="18">
        <v>7.2</v>
      </c>
      <c r="F1794" s="18">
        <v>43.2</v>
      </c>
    </row>
    <row r="1795">
      <c r="A1795" s="6" t="s">
        <v>6109</v>
      </c>
      <c r="B1795" s="6" t="s">
        <v>5311</v>
      </c>
      <c r="C1795" s="6" t="s">
        <v>981</v>
      </c>
      <c r="D1795" s="18">
        <v>6.0</v>
      </c>
      <c r="E1795" s="18">
        <v>4.59</v>
      </c>
      <c r="F1795" s="18">
        <v>27.54</v>
      </c>
    </row>
    <row r="1796">
      <c r="A1796" s="6" t="s">
        <v>6110</v>
      </c>
      <c r="B1796" s="6" t="s">
        <v>5319</v>
      </c>
      <c r="C1796" s="18">
        <v>1.2539885E7</v>
      </c>
      <c r="D1796" s="18">
        <v>1.0</v>
      </c>
      <c r="E1796" s="18">
        <v>625.0</v>
      </c>
      <c r="F1796" s="18">
        <v>625.0</v>
      </c>
    </row>
    <row r="1797">
      <c r="A1797" s="6" t="s">
        <v>6111</v>
      </c>
      <c r="B1797" s="6" t="s">
        <v>5328</v>
      </c>
      <c r="C1797" s="6" t="s">
        <v>159</v>
      </c>
      <c r="D1797" s="18">
        <v>20.0</v>
      </c>
      <c r="E1797" s="18">
        <v>14.0</v>
      </c>
      <c r="F1797" s="18">
        <v>280.0</v>
      </c>
    </row>
    <row r="1798">
      <c r="A1798" s="6" t="s">
        <v>6112</v>
      </c>
      <c r="B1798" s="6" t="s">
        <v>5328</v>
      </c>
      <c r="C1798" s="6" t="s">
        <v>155</v>
      </c>
      <c r="D1798" s="18">
        <v>1.0</v>
      </c>
      <c r="E1798" s="18">
        <v>41.17</v>
      </c>
      <c r="F1798" s="18">
        <v>41.17</v>
      </c>
    </row>
    <row r="1799">
      <c r="A1799" s="6" t="s">
        <v>6114</v>
      </c>
      <c r="B1799" s="6" t="s">
        <v>5328</v>
      </c>
      <c r="C1799" s="6" t="s">
        <v>152</v>
      </c>
      <c r="D1799" s="18">
        <v>1.0</v>
      </c>
      <c r="E1799" s="18">
        <v>12.16</v>
      </c>
      <c r="F1799" s="18">
        <v>12.16</v>
      </c>
    </row>
    <row r="1800">
      <c r="A1800" s="6" t="s">
        <v>6115</v>
      </c>
      <c r="B1800" s="6" t="s">
        <v>5328</v>
      </c>
      <c r="C1800" s="6" t="s">
        <v>226</v>
      </c>
      <c r="D1800" s="18">
        <v>1.0</v>
      </c>
      <c r="E1800" s="18">
        <v>100.0</v>
      </c>
      <c r="F1800" s="18">
        <v>100.0</v>
      </c>
    </row>
    <row r="1801">
      <c r="A1801" s="6" t="s">
        <v>6118</v>
      </c>
      <c r="B1801" s="6" t="s">
        <v>5336</v>
      </c>
      <c r="C1801" s="6" t="s">
        <v>5225</v>
      </c>
      <c r="D1801" s="18">
        <v>1.0</v>
      </c>
      <c r="E1801" s="18">
        <v>18.9</v>
      </c>
      <c r="F1801" s="18">
        <v>18.9</v>
      </c>
    </row>
    <row r="1802">
      <c r="A1802" s="6" t="s">
        <v>6119</v>
      </c>
      <c r="B1802" s="6" t="s">
        <v>5345</v>
      </c>
      <c r="C1802" s="6" t="s">
        <v>1145</v>
      </c>
      <c r="D1802" s="18">
        <v>1.0</v>
      </c>
      <c r="E1802" s="18">
        <v>2589.53</v>
      </c>
      <c r="F1802" s="18">
        <v>2589.53</v>
      </c>
    </row>
    <row r="1803">
      <c r="A1803" s="6" t="s">
        <v>6121</v>
      </c>
      <c r="B1803" s="6" t="s">
        <v>5353</v>
      </c>
      <c r="C1803" s="6" t="s">
        <v>6122</v>
      </c>
      <c r="D1803" s="18">
        <v>1.0</v>
      </c>
      <c r="E1803" s="18">
        <v>157.84</v>
      </c>
      <c r="F1803" s="18">
        <v>157.84</v>
      </c>
    </row>
    <row r="1804">
      <c r="A1804" s="6" t="s">
        <v>6124</v>
      </c>
      <c r="B1804" s="6" t="s">
        <v>5361</v>
      </c>
      <c r="C1804" s="18">
        <v>1.2539885E7</v>
      </c>
      <c r="D1804" s="18">
        <v>1.0</v>
      </c>
      <c r="E1804" s="18">
        <v>500.0</v>
      </c>
      <c r="F1804" s="18">
        <v>500.0</v>
      </c>
    </row>
    <row r="1805">
      <c r="A1805" s="6" t="s">
        <v>6125</v>
      </c>
      <c r="B1805" s="6" t="s">
        <v>5369</v>
      </c>
      <c r="C1805" s="6" t="s">
        <v>1022</v>
      </c>
      <c r="D1805" s="18">
        <v>1.0</v>
      </c>
      <c r="E1805" s="18">
        <v>229.0</v>
      </c>
      <c r="F1805" s="18">
        <v>229.0</v>
      </c>
    </row>
    <row r="1806">
      <c r="A1806" s="6" t="s">
        <v>6128</v>
      </c>
      <c r="B1806" s="6" t="s">
        <v>5376</v>
      </c>
      <c r="C1806" s="6" t="s">
        <v>2622</v>
      </c>
      <c r="D1806" s="18">
        <v>1.0</v>
      </c>
      <c r="E1806" s="18">
        <v>100.0</v>
      </c>
      <c r="F1806" s="18">
        <v>100.0</v>
      </c>
    </row>
    <row r="1807">
      <c r="A1807" s="6" t="s">
        <v>6129</v>
      </c>
      <c r="B1807" s="6" t="s">
        <v>5386</v>
      </c>
      <c r="C1807" s="6" t="s">
        <v>1653</v>
      </c>
      <c r="D1807" s="18">
        <v>1.0</v>
      </c>
      <c r="E1807" s="18">
        <v>200.0</v>
      </c>
      <c r="F1807" s="18">
        <v>200.0</v>
      </c>
    </row>
    <row r="1808">
      <c r="A1808" s="6" t="s">
        <v>6130</v>
      </c>
      <c r="B1808" s="6" t="s">
        <v>5392</v>
      </c>
      <c r="C1808" s="6" t="s">
        <v>5806</v>
      </c>
      <c r="D1808" s="18">
        <v>1.0</v>
      </c>
      <c r="E1808" s="18">
        <v>53.0</v>
      </c>
      <c r="F1808" s="18">
        <v>53.0</v>
      </c>
    </row>
    <row r="1809">
      <c r="A1809" s="6" t="s">
        <v>6132</v>
      </c>
      <c r="B1809" s="6" t="s">
        <v>5399</v>
      </c>
      <c r="C1809" s="6" t="s">
        <v>5856</v>
      </c>
      <c r="D1809" s="18">
        <v>1.0</v>
      </c>
      <c r="E1809" s="18">
        <v>240.0</v>
      </c>
      <c r="F1809" s="18">
        <v>240.0</v>
      </c>
    </row>
    <row r="1810">
      <c r="A1810" s="6" t="s">
        <v>6134</v>
      </c>
      <c r="B1810" s="6" t="s">
        <v>5406</v>
      </c>
      <c r="C1810" s="6" t="s">
        <v>1168</v>
      </c>
      <c r="D1810" s="18">
        <v>1.0</v>
      </c>
      <c r="E1810" s="18">
        <v>500.0</v>
      </c>
      <c r="F1810" s="18">
        <v>500.0</v>
      </c>
    </row>
    <row r="1811">
      <c r="A1811" s="6" t="s">
        <v>6136</v>
      </c>
      <c r="B1811" s="6" t="s">
        <v>5412</v>
      </c>
      <c r="C1811" s="6" t="s">
        <v>1510</v>
      </c>
      <c r="D1811" s="18">
        <v>1.0</v>
      </c>
      <c r="E1811" s="18">
        <v>11530.47</v>
      </c>
      <c r="F1811" s="18">
        <v>11530.47</v>
      </c>
    </row>
    <row r="1812">
      <c r="A1812" s="6" t="s">
        <v>6138</v>
      </c>
      <c r="B1812" s="6" t="s">
        <v>5420</v>
      </c>
      <c r="C1812" s="6" t="s">
        <v>159</v>
      </c>
      <c r="D1812" s="18">
        <v>1.0</v>
      </c>
      <c r="E1812" s="18">
        <v>210.0</v>
      </c>
      <c r="F1812" s="18">
        <v>210.0</v>
      </c>
    </row>
    <row r="1813">
      <c r="A1813" s="6" t="s">
        <v>6139</v>
      </c>
      <c r="B1813" s="6" t="s">
        <v>5420</v>
      </c>
      <c r="C1813" s="6" t="s">
        <v>155</v>
      </c>
      <c r="D1813" s="18">
        <v>1.0</v>
      </c>
      <c r="E1813" s="18">
        <v>28.72</v>
      </c>
      <c r="F1813" s="18">
        <v>28.72</v>
      </c>
    </row>
    <row r="1814">
      <c r="A1814" s="6" t="s">
        <v>6141</v>
      </c>
      <c r="B1814" s="6" t="s">
        <v>5420</v>
      </c>
      <c r="C1814" s="6" t="s">
        <v>152</v>
      </c>
      <c r="D1814" s="18">
        <v>1.0</v>
      </c>
      <c r="E1814" s="18">
        <v>9.82</v>
      </c>
      <c r="F1814" s="18">
        <v>9.82</v>
      </c>
    </row>
    <row r="1815">
      <c r="A1815" s="6" t="s">
        <v>6143</v>
      </c>
      <c r="B1815" s="6" t="s">
        <v>5428</v>
      </c>
      <c r="C1815" s="6" t="s">
        <v>802</v>
      </c>
      <c r="D1815" s="18">
        <v>1.0</v>
      </c>
      <c r="E1815" s="18">
        <v>706.08</v>
      </c>
      <c r="F1815" s="18">
        <v>706.08</v>
      </c>
    </row>
    <row r="1816">
      <c r="A1816" s="6" t="s">
        <v>6144</v>
      </c>
      <c r="B1816" s="6" t="s">
        <v>5428</v>
      </c>
      <c r="C1816" s="6" t="s">
        <v>5215</v>
      </c>
      <c r="D1816" s="18">
        <v>1.0</v>
      </c>
      <c r="E1816" s="18">
        <v>58.8</v>
      </c>
      <c r="F1816" s="18">
        <v>58.8</v>
      </c>
    </row>
    <row r="1817">
      <c r="A1817" s="6" t="s">
        <v>6145</v>
      </c>
      <c r="B1817" s="6" t="s">
        <v>5428</v>
      </c>
      <c r="C1817" s="6" t="s">
        <v>5138</v>
      </c>
      <c r="D1817" s="18">
        <v>1.0</v>
      </c>
      <c r="E1817" s="18">
        <v>88.48</v>
      </c>
      <c r="F1817" s="18">
        <v>88.48</v>
      </c>
    </row>
    <row r="1818">
      <c r="A1818" s="6" t="s">
        <v>6146</v>
      </c>
      <c r="B1818" s="6" t="s">
        <v>5428</v>
      </c>
      <c r="C1818" s="6" t="s">
        <v>1346</v>
      </c>
      <c r="D1818" s="18">
        <v>1.0</v>
      </c>
      <c r="E1818" s="18">
        <v>18.48</v>
      </c>
      <c r="F1818" s="18">
        <v>18.48</v>
      </c>
    </row>
    <row r="1819">
      <c r="A1819" s="6" t="s">
        <v>6147</v>
      </c>
      <c r="B1819" s="6" t="s">
        <v>5428</v>
      </c>
      <c r="C1819" s="6" t="s">
        <v>249</v>
      </c>
      <c r="D1819" s="18">
        <v>1.0</v>
      </c>
      <c r="E1819" s="18">
        <v>138.24</v>
      </c>
      <c r="F1819" s="18">
        <v>138.24</v>
      </c>
    </row>
    <row r="1820">
      <c r="A1820" s="6" t="s">
        <v>6148</v>
      </c>
      <c r="B1820" s="6" t="s">
        <v>5428</v>
      </c>
      <c r="C1820" s="6" t="s">
        <v>794</v>
      </c>
      <c r="D1820" s="18">
        <v>15.0</v>
      </c>
      <c r="E1820" s="18">
        <v>28.7</v>
      </c>
      <c r="F1820" s="18">
        <v>430.5</v>
      </c>
    </row>
    <row r="1821">
      <c r="A1821" s="6" t="s">
        <v>6149</v>
      </c>
      <c r="B1821" s="6" t="s">
        <v>5428</v>
      </c>
      <c r="C1821" s="6" t="s">
        <v>1350</v>
      </c>
      <c r="D1821" s="18">
        <v>1.0</v>
      </c>
      <c r="E1821" s="18">
        <v>266.61</v>
      </c>
      <c r="F1821" s="18">
        <v>266.61</v>
      </c>
    </row>
    <row r="1822">
      <c r="A1822" s="6" t="s">
        <v>6150</v>
      </c>
      <c r="B1822" s="6" t="s">
        <v>5438</v>
      </c>
      <c r="C1822" s="6" t="s">
        <v>1536</v>
      </c>
      <c r="D1822" s="18">
        <v>1.0</v>
      </c>
      <c r="E1822" s="18">
        <v>205.0</v>
      </c>
      <c r="F1822" s="18">
        <v>205.0</v>
      </c>
    </row>
    <row r="1823">
      <c r="A1823" s="6" t="s">
        <v>6151</v>
      </c>
      <c r="B1823" s="6" t="s">
        <v>5449</v>
      </c>
      <c r="C1823" s="18">
        <v>1.2539885E7</v>
      </c>
      <c r="D1823" s="18">
        <v>1.0</v>
      </c>
      <c r="E1823" s="18">
        <v>375.0</v>
      </c>
      <c r="F1823" s="18">
        <v>375.0</v>
      </c>
    </row>
    <row r="1824">
      <c r="A1824" s="6" t="s">
        <v>6153</v>
      </c>
      <c r="B1824" s="6" t="s">
        <v>5457</v>
      </c>
      <c r="C1824" s="6" t="s">
        <v>159</v>
      </c>
      <c r="D1824" s="18">
        <v>20.0</v>
      </c>
      <c r="E1824" s="18">
        <v>14.0</v>
      </c>
      <c r="F1824" s="18">
        <v>280.0</v>
      </c>
    </row>
    <row r="1825">
      <c r="A1825" s="6" t="s">
        <v>6154</v>
      </c>
      <c r="B1825" s="6" t="s">
        <v>5457</v>
      </c>
      <c r="C1825" s="6" t="s">
        <v>155</v>
      </c>
      <c r="D1825" s="18">
        <v>1.0</v>
      </c>
      <c r="E1825" s="18">
        <v>63.86</v>
      </c>
      <c r="F1825" s="18">
        <v>63.86</v>
      </c>
    </row>
    <row r="1826">
      <c r="A1826" s="6" t="s">
        <v>6155</v>
      </c>
      <c r="B1826" s="6" t="s">
        <v>5457</v>
      </c>
      <c r="C1826" s="6" t="s">
        <v>226</v>
      </c>
      <c r="D1826" s="18">
        <v>1.0</v>
      </c>
      <c r="E1826" s="18">
        <v>100.0</v>
      </c>
      <c r="F1826" s="18">
        <v>100.0</v>
      </c>
    </row>
    <row r="1827">
      <c r="A1827" s="6" t="s">
        <v>6156</v>
      </c>
      <c r="B1827" s="6" t="s">
        <v>5465</v>
      </c>
      <c r="C1827" s="6" t="s">
        <v>981</v>
      </c>
      <c r="D1827" s="18">
        <v>6.0</v>
      </c>
      <c r="E1827" s="18">
        <v>4.59</v>
      </c>
      <c r="F1827" s="18">
        <v>27.54</v>
      </c>
    </row>
    <row r="1828">
      <c r="A1828" s="6" t="s">
        <v>6157</v>
      </c>
      <c r="B1828" s="6" t="s">
        <v>5465</v>
      </c>
      <c r="C1828" s="6" t="s">
        <v>238</v>
      </c>
      <c r="D1828" s="18">
        <v>12.0</v>
      </c>
      <c r="E1828" s="18">
        <v>5.9</v>
      </c>
      <c r="F1828" s="18">
        <v>70.8</v>
      </c>
    </row>
    <row r="1829">
      <c r="A1829" s="6" t="s">
        <v>6158</v>
      </c>
      <c r="B1829" s="6" t="s">
        <v>5465</v>
      </c>
      <c r="C1829" s="6" t="s">
        <v>243</v>
      </c>
      <c r="D1829" s="18">
        <v>6.0</v>
      </c>
      <c r="E1829" s="18">
        <v>7.2</v>
      </c>
      <c r="F1829" s="18">
        <v>43.2</v>
      </c>
    </row>
    <row r="1830">
      <c r="A1830" s="6" t="s">
        <v>6159</v>
      </c>
      <c r="B1830" s="6" t="s">
        <v>5474</v>
      </c>
      <c r="C1830" s="6" t="s">
        <v>1904</v>
      </c>
      <c r="D1830" s="18">
        <v>1.0</v>
      </c>
      <c r="E1830" s="18">
        <v>4.0</v>
      </c>
      <c r="F1830" s="18">
        <v>4.0</v>
      </c>
    </row>
    <row r="1831">
      <c r="A1831" s="6" t="s">
        <v>6160</v>
      </c>
      <c r="B1831" s="6" t="s">
        <v>5483</v>
      </c>
      <c r="C1831" s="6" t="s">
        <v>6161</v>
      </c>
      <c r="D1831" s="18">
        <v>1.0</v>
      </c>
      <c r="E1831" s="18">
        <v>79.8</v>
      </c>
      <c r="F1831" s="18">
        <v>79.8</v>
      </c>
    </row>
    <row r="1832">
      <c r="A1832" s="6" t="s">
        <v>6162</v>
      </c>
      <c r="B1832" s="6" t="s">
        <v>5491</v>
      </c>
      <c r="C1832" s="6" t="s">
        <v>305</v>
      </c>
      <c r="D1832" s="18">
        <v>1.0</v>
      </c>
      <c r="E1832" s="18">
        <v>268.57</v>
      </c>
      <c r="F1832" s="18">
        <v>268.57</v>
      </c>
    </row>
    <row r="1833">
      <c r="A1833" s="6" t="s">
        <v>6163</v>
      </c>
      <c r="B1833" s="6" t="s">
        <v>5499</v>
      </c>
      <c r="C1833" s="6" t="s">
        <v>691</v>
      </c>
      <c r="D1833" s="18">
        <v>6.0</v>
      </c>
      <c r="E1833" s="18">
        <v>5.49</v>
      </c>
      <c r="F1833" s="18">
        <v>32.94</v>
      </c>
    </row>
    <row r="1834">
      <c r="A1834" s="6" t="s">
        <v>6164</v>
      </c>
      <c r="B1834" s="6" t="s">
        <v>5499</v>
      </c>
      <c r="C1834" s="6" t="s">
        <v>305</v>
      </c>
      <c r="D1834" s="18">
        <v>1.0</v>
      </c>
      <c r="E1834" s="18">
        <v>165.47</v>
      </c>
      <c r="F1834" s="18">
        <v>165.47</v>
      </c>
    </row>
    <row r="1835">
      <c r="A1835" s="6" t="s">
        <v>6165</v>
      </c>
      <c r="B1835" s="6" t="s">
        <v>5505</v>
      </c>
      <c r="C1835" s="6" t="s">
        <v>305</v>
      </c>
      <c r="D1835" s="18">
        <v>1.0</v>
      </c>
      <c r="E1835" s="18">
        <v>55.33</v>
      </c>
      <c r="F1835" s="18">
        <v>55.33</v>
      </c>
    </row>
    <row r="1836">
      <c r="A1836" s="6" t="s">
        <v>6166</v>
      </c>
      <c r="B1836" s="6" t="s">
        <v>5514</v>
      </c>
      <c r="C1836" s="6" t="s">
        <v>305</v>
      </c>
      <c r="D1836" s="18">
        <v>1.0</v>
      </c>
      <c r="E1836" s="18">
        <v>153.79</v>
      </c>
      <c r="F1836" s="18">
        <v>153.79</v>
      </c>
    </row>
    <row r="1837">
      <c r="A1837" s="6" t="s">
        <v>6167</v>
      </c>
      <c r="B1837" s="6" t="s">
        <v>5523</v>
      </c>
      <c r="C1837" s="18">
        <v>1.2539885E7</v>
      </c>
      <c r="D1837" s="18">
        <v>1.0</v>
      </c>
      <c r="E1837" s="18">
        <v>550.0</v>
      </c>
      <c r="F1837" s="18">
        <v>550.0</v>
      </c>
    </row>
    <row r="1838">
      <c r="A1838" s="6" t="s">
        <v>6168</v>
      </c>
      <c r="B1838" s="6" t="s">
        <v>5531</v>
      </c>
      <c r="C1838" s="6" t="s">
        <v>1080</v>
      </c>
      <c r="D1838" s="18">
        <v>1.0</v>
      </c>
      <c r="E1838" s="18">
        <v>347.5</v>
      </c>
      <c r="F1838" s="18">
        <v>347.5</v>
      </c>
    </row>
    <row r="1839">
      <c r="A1839" s="6" t="s">
        <v>6170</v>
      </c>
      <c r="B1839" s="6" t="s">
        <v>5540</v>
      </c>
      <c r="C1839" s="6" t="s">
        <v>159</v>
      </c>
      <c r="D1839" s="18">
        <v>1.0</v>
      </c>
      <c r="E1839" s="18">
        <v>174.0</v>
      </c>
      <c r="F1839" s="18">
        <v>174.0</v>
      </c>
    </row>
    <row r="1840">
      <c r="A1840" s="6" t="s">
        <v>6171</v>
      </c>
      <c r="B1840" s="6" t="s">
        <v>5540</v>
      </c>
      <c r="C1840" s="6" t="s">
        <v>155</v>
      </c>
      <c r="D1840" s="18">
        <v>1.0</v>
      </c>
      <c r="E1840" s="18">
        <v>35.58</v>
      </c>
      <c r="F1840" s="18">
        <v>35.58</v>
      </c>
    </row>
    <row r="1841">
      <c r="A1841" s="6" t="s">
        <v>6173</v>
      </c>
      <c r="B1841" s="6" t="s">
        <v>5540</v>
      </c>
      <c r="C1841" s="6" t="s">
        <v>152</v>
      </c>
      <c r="D1841" s="18">
        <v>1.0</v>
      </c>
      <c r="E1841" s="18">
        <v>10.02</v>
      </c>
      <c r="F1841" s="18">
        <v>10.02</v>
      </c>
    </row>
    <row r="1842">
      <c r="A1842" s="6" t="s">
        <v>6174</v>
      </c>
      <c r="B1842" s="6" t="s">
        <v>5540</v>
      </c>
      <c r="C1842" s="6" t="s">
        <v>226</v>
      </c>
      <c r="D1842" s="18">
        <v>1.0</v>
      </c>
      <c r="E1842" s="18">
        <v>50.0</v>
      </c>
      <c r="F1842" s="18">
        <v>50.0</v>
      </c>
    </row>
    <row r="1843">
      <c r="A1843" s="6" t="s">
        <v>6175</v>
      </c>
      <c r="B1843" s="6" t="s">
        <v>5549</v>
      </c>
      <c r="C1843" s="18">
        <v>7.5375964E7</v>
      </c>
      <c r="D1843" s="18">
        <v>1.0</v>
      </c>
      <c r="E1843" s="18">
        <v>17.0</v>
      </c>
      <c r="F1843" s="18">
        <v>17.0</v>
      </c>
    </row>
    <row r="1844">
      <c r="A1844" s="6" t="s">
        <v>6176</v>
      </c>
      <c r="B1844" s="6" t="s">
        <v>5549</v>
      </c>
      <c r="C1844" s="6" t="s">
        <v>1384</v>
      </c>
      <c r="D1844" s="18">
        <v>1.0</v>
      </c>
      <c r="E1844" s="18">
        <v>17.0</v>
      </c>
      <c r="F1844" s="18">
        <v>17.0</v>
      </c>
    </row>
    <row r="1845">
      <c r="A1845" s="6" t="s">
        <v>6177</v>
      </c>
      <c r="B1845" s="6" t="s">
        <v>5549</v>
      </c>
      <c r="C1845" s="6" t="s">
        <v>1404</v>
      </c>
      <c r="D1845" s="18">
        <v>1.0</v>
      </c>
      <c r="E1845" s="18">
        <v>17.0</v>
      </c>
      <c r="F1845" s="18">
        <v>17.0</v>
      </c>
    </row>
    <row r="1846">
      <c r="A1846" s="6" t="s">
        <v>6178</v>
      </c>
      <c r="B1846" s="6" t="s">
        <v>5549</v>
      </c>
      <c r="C1846" s="6" t="s">
        <v>1074</v>
      </c>
      <c r="D1846" s="18">
        <v>5.0</v>
      </c>
      <c r="E1846" s="18">
        <v>36.0</v>
      </c>
      <c r="F1846" s="18">
        <v>180.0</v>
      </c>
    </row>
    <row r="1847">
      <c r="A1847" s="6" t="s">
        <v>6180</v>
      </c>
      <c r="B1847" s="6" t="s">
        <v>5549</v>
      </c>
      <c r="C1847" s="6" t="s">
        <v>1077</v>
      </c>
      <c r="D1847" s="18">
        <v>3.0</v>
      </c>
      <c r="E1847" s="18">
        <v>24.0</v>
      </c>
      <c r="F1847" s="18">
        <v>72.0</v>
      </c>
    </row>
    <row r="1848">
      <c r="A1848" s="6" t="s">
        <v>6181</v>
      </c>
      <c r="B1848" s="6" t="s">
        <v>5549</v>
      </c>
      <c r="C1848" s="6" t="s">
        <v>1075</v>
      </c>
      <c r="D1848" s="18">
        <v>3.0</v>
      </c>
      <c r="E1848" s="18">
        <v>36.0</v>
      </c>
      <c r="F1848" s="18">
        <v>108.0</v>
      </c>
    </row>
    <row r="1849">
      <c r="A1849" s="6" t="s">
        <v>6182</v>
      </c>
      <c r="B1849" s="6" t="s">
        <v>5549</v>
      </c>
      <c r="C1849" s="6" t="s">
        <v>1091</v>
      </c>
      <c r="D1849" s="18">
        <v>1.0</v>
      </c>
      <c r="E1849" s="18">
        <v>35.0</v>
      </c>
      <c r="F1849" s="18">
        <v>35.0</v>
      </c>
    </row>
    <row r="1850">
      <c r="A1850" s="6" t="s">
        <v>6183</v>
      </c>
      <c r="B1850" s="6" t="s">
        <v>5557</v>
      </c>
      <c r="C1850" s="6" t="s">
        <v>1073</v>
      </c>
      <c r="D1850" s="18">
        <v>1.0</v>
      </c>
      <c r="E1850" s="18">
        <v>19.25</v>
      </c>
      <c r="F1850" s="18">
        <v>19.25</v>
      </c>
    </row>
    <row r="1851">
      <c r="A1851" s="6" t="s">
        <v>6184</v>
      </c>
      <c r="B1851" s="6" t="s">
        <v>5557</v>
      </c>
      <c r="C1851" s="18">
        <v>7.5375964E7</v>
      </c>
      <c r="D1851" s="18">
        <v>1.0</v>
      </c>
      <c r="E1851" s="18">
        <v>17.0</v>
      </c>
      <c r="F1851" s="18">
        <v>17.0</v>
      </c>
    </row>
    <row r="1852">
      <c r="A1852" s="6" t="s">
        <v>6186</v>
      </c>
      <c r="B1852" s="6" t="s">
        <v>5557</v>
      </c>
      <c r="C1852" s="6" t="s">
        <v>1074</v>
      </c>
      <c r="D1852" s="18">
        <v>5.0</v>
      </c>
      <c r="E1852" s="18">
        <v>37.0</v>
      </c>
      <c r="F1852" s="18">
        <v>185.0</v>
      </c>
    </row>
    <row r="1853">
      <c r="A1853" s="6" t="s">
        <v>6187</v>
      </c>
      <c r="B1853" s="6" t="s">
        <v>5557</v>
      </c>
      <c r="C1853" s="6" t="s">
        <v>1077</v>
      </c>
      <c r="D1853" s="18">
        <v>1.0</v>
      </c>
      <c r="E1853" s="18">
        <v>24.0</v>
      </c>
      <c r="F1853" s="18">
        <v>24.0</v>
      </c>
    </row>
    <row r="1854">
      <c r="A1854" s="6" t="s">
        <v>6188</v>
      </c>
      <c r="B1854" s="6" t="s">
        <v>5557</v>
      </c>
      <c r="C1854" s="6" t="s">
        <v>1079</v>
      </c>
      <c r="D1854" s="18">
        <v>30.0</v>
      </c>
      <c r="E1854" s="18">
        <v>17.0</v>
      </c>
      <c r="F1854" s="18">
        <v>510.0</v>
      </c>
    </row>
    <row r="1855">
      <c r="A1855" s="6" t="s">
        <v>6189</v>
      </c>
      <c r="B1855" s="6" t="s">
        <v>5557</v>
      </c>
      <c r="C1855" s="6" t="s">
        <v>1081</v>
      </c>
      <c r="D1855" s="18">
        <v>2.0</v>
      </c>
      <c r="E1855" s="18">
        <v>45.0</v>
      </c>
      <c r="F1855" s="18">
        <v>90.0</v>
      </c>
    </row>
    <row r="1856">
      <c r="A1856" s="6" t="s">
        <v>6190</v>
      </c>
      <c r="B1856" s="6" t="s">
        <v>5557</v>
      </c>
      <c r="C1856" s="6" t="s">
        <v>1075</v>
      </c>
      <c r="D1856" s="18">
        <v>3.0</v>
      </c>
      <c r="E1856" s="18">
        <v>37.0</v>
      </c>
      <c r="F1856" s="18">
        <v>111.0</v>
      </c>
    </row>
    <row r="1857">
      <c r="A1857" s="6" t="s">
        <v>6192</v>
      </c>
      <c r="B1857" s="6" t="s">
        <v>5557</v>
      </c>
      <c r="C1857" s="6" t="s">
        <v>1074</v>
      </c>
      <c r="D1857" s="18">
        <v>1.0</v>
      </c>
      <c r="E1857" s="18">
        <v>68.0</v>
      </c>
      <c r="F1857" s="18">
        <v>68.0</v>
      </c>
    </row>
    <row r="1858">
      <c r="A1858" s="6" t="s">
        <v>6194</v>
      </c>
      <c r="B1858" s="6" t="s">
        <v>5557</v>
      </c>
      <c r="C1858" s="6" t="s">
        <v>1077</v>
      </c>
      <c r="D1858" s="18">
        <v>1.0</v>
      </c>
      <c r="E1858" s="18">
        <v>24.0</v>
      </c>
      <c r="F1858" s="18">
        <v>24.0</v>
      </c>
    </row>
    <row r="1859">
      <c r="A1859" s="6" t="s">
        <v>6196</v>
      </c>
      <c r="B1859" s="6" t="s">
        <v>5557</v>
      </c>
      <c r="C1859" s="6" t="s">
        <v>1091</v>
      </c>
      <c r="D1859" s="18">
        <v>1.0</v>
      </c>
      <c r="E1859" s="18">
        <v>36.0</v>
      </c>
      <c r="F1859" s="18">
        <v>36.0</v>
      </c>
    </row>
    <row r="1860">
      <c r="A1860" s="6" t="s">
        <v>6197</v>
      </c>
      <c r="B1860" s="6" t="s">
        <v>5567</v>
      </c>
      <c r="C1860" s="18">
        <v>1.2539885E7</v>
      </c>
      <c r="D1860" s="18">
        <v>1.0</v>
      </c>
      <c r="E1860" s="18">
        <v>500.0</v>
      </c>
      <c r="F1860" s="18">
        <v>500.0</v>
      </c>
    </row>
    <row r="1861">
      <c r="A1861" s="6" t="s">
        <v>6199</v>
      </c>
      <c r="B1861" s="6" t="s">
        <v>5574</v>
      </c>
      <c r="C1861" s="6" t="s">
        <v>1510</v>
      </c>
      <c r="D1861" s="18">
        <v>1.0</v>
      </c>
      <c r="E1861" s="18">
        <v>15847.46</v>
      </c>
      <c r="F1861" s="18">
        <v>15847.46</v>
      </c>
    </row>
    <row r="1862">
      <c r="A1862" s="6" t="s">
        <v>6200</v>
      </c>
      <c r="B1862" s="6" t="s">
        <v>5584</v>
      </c>
      <c r="C1862" s="6" t="s">
        <v>1517</v>
      </c>
      <c r="D1862" s="18">
        <v>1.0</v>
      </c>
      <c r="E1862" s="18">
        <v>7003.37</v>
      </c>
      <c r="F1862" s="18">
        <v>7003.37</v>
      </c>
    </row>
    <row r="1863">
      <c r="A1863" s="6" t="s">
        <v>6201</v>
      </c>
      <c r="B1863" s="6" t="s">
        <v>5594</v>
      </c>
      <c r="C1863" s="6" t="s">
        <v>159</v>
      </c>
      <c r="D1863" s="18">
        <v>1.0</v>
      </c>
      <c r="E1863" s="18">
        <v>280.0</v>
      </c>
      <c r="F1863" s="18">
        <v>280.0</v>
      </c>
    </row>
    <row r="1864">
      <c r="A1864" s="6" t="s">
        <v>6203</v>
      </c>
      <c r="B1864" s="6" t="s">
        <v>5594</v>
      </c>
      <c r="C1864" s="6" t="s">
        <v>155</v>
      </c>
      <c r="D1864" s="18">
        <v>1.0</v>
      </c>
      <c r="E1864" s="18">
        <v>71.76</v>
      </c>
      <c r="F1864" s="18">
        <v>71.76</v>
      </c>
    </row>
    <row r="1865">
      <c r="A1865" s="6" t="s">
        <v>6206</v>
      </c>
      <c r="B1865" s="6" t="s">
        <v>5594</v>
      </c>
      <c r="C1865" s="6" t="s">
        <v>152</v>
      </c>
      <c r="D1865" s="18">
        <v>1.0</v>
      </c>
      <c r="E1865" s="18">
        <v>12.18</v>
      </c>
      <c r="F1865" s="18">
        <v>12.18</v>
      </c>
    </row>
    <row r="1866">
      <c r="A1866" s="6" t="s">
        <v>6209</v>
      </c>
      <c r="B1866" s="6" t="s">
        <v>5594</v>
      </c>
      <c r="C1866" s="6" t="s">
        <v>226</v>
      </c>
      <c r="D1866" s="18">
        <v>1.0</v>
      </c>
      <c r="E1866" s="18">
        <v>100.0</v>
      </c>
      <c r="F1866" s="18">
        <v>100.0</v>
      </c>
    </row>
    <row r="1867">
      <c r="A1867" s="6" t="s">
        <v>6210</v>
      </c>
      <c r="B1867" s="6" t="s">
        <v>5602</v>
      </c>
      <c r="C1867" s="6" t="s">
        <v>1280</v>
      </c>
      <c r="D1867" s="18">
        <v>1.0</v>
      </c>
      <c r="E1867" s="18">
        <v>824.36</v>
      </c>
      <c r="F1867" s="18">
        <v>824.36</v>
      </c>
    </row>
    <row r="1868">
      <c r="A1868" s="6" t="s">
        <v>6211</v>
      </c>
      <c r="B1868" s="6" t="s">
        <v>5607</v>
      </c>
      <c r="C1868" s="6" t="s">
        <v>1848</v>
      </c>
      <c r="D1868" s="18">
        <v>1.0</v>
      </c>
      <c r="E1868" s="18">
        <v>100.0</v>
      </c>
      <c r="F1868" s="18">
        <v>100.0</v>
      </c>
    </row>
    <row r="1869">
      <c r="A1869" s="6" t="s">
        <v>6213</v>
      </c>
      <c r="B1869" s="6" t="s">
        <v>5612</v>
      </c>
      <c r="C1869" s="6" t="s">
        <v>1168</v>
      </c>
      <c r="D1869" s="18">
        <v>1.0</v>
      </c>
      <c r="E1869" s="18">
        <v>200.0</v>
      </c>
      <c r="F1869" s="18">
        <v>200.0</v>
      </c>
    </row>
    <row r="1870">
      <c r="A1870" s="6" t="s">
        <v>6214</v>
      </c>
      <c r="B1870" s="6" t="s">
        <v>5621</v>
      </c>
      <c r="C1870" s="6" t="s">
        <v>1126</v>
      </c>
      <c r="D1870" s="18">
        <v>1.0</v>
      </c>
      <c r="E1870" s="18">
        <v>30.0</v>
      </c>
      <c r="F1870" s="18">
        <v>30.0</v>
      </c>
    </row>
    <row r="1871">
      <c r="A1871" s="6" t="s">
        <v>6217</v>
      </c>
      <c r="B1871" s="6" t="s">
        <v>5627</v>
      </c>
      <c r="C1871" s="6" t="s">
        <v>5636</v>
      </c>
      <c r="D1871" s="18">
        <v>1.0</v>
      </c>
      <c r="E1871" s="18">
        <v>200.0</v>
      </c>
      <c r="F1871" s="18">
        <v>200.0</v>
      </c>
    </row>
    <row r="1872">
      <c r="A1872" s="6" t="s">
        <v>6218</v>
      </c>
      <c r="B1872" s="6" t="s">
        <v>5634</v>
      </c>
      <c r="C1872" s="6" t="s">
        <v>5973</v>
      </c>
      <c r="D1872" s="18">
        <v>1.0</v>
      </c>
      <c r="E1872" s="18">
        <v>10.0</v>
      </c>
      <c r="F1872" s="18">
        <v>10.0</v>
      </c>
    </row>
    <row r="1873">
      <c r="A1873" s="6" t="s">
        <v>6220</v>
      </c>
      <c r="B1873" s="6" t="s">
        <v>5642</v>
      </c>
      <c r="C1873" s="6" t="s">
        <v>5640</v>
      </c>
      <c r="D1873" s="18">
        <v>1.0</v>
      </c>
      <c r="E1873" s="18">
        <v>22.0</v>
      </c>
      <c r="F1873" s="18">
        <v>22.0</v>
      </c>
    </row>
    <row r="1874">
      <c r="A1874" s="6" t="s">
        <v>6222</v>
      </c>
      <c r="B1874" s="6" t="s">
        <v>5649</v>
      </c>
      <c r="C1874" s="6" t="s">
        <v>335</v>
      </c>
      <c r="D1874" s="18">
        <v>1.0</v>
      </c>
      <c r="E1874" s="18">
        <v>159.36</v>
      </c>
      <c r="F1874" s="18">
        <v>159.36</v>
      </c>
    </row>
    <row r="1875">
      <c r="A1875" s="6" t="s">
        <v>6223</v>
      </c>
      <c r="B1875" s="6" t="s">
        <v>5649</v>
      </c>
      <c r="C1875" s="6" t="s">
        <v>338</v>
      </c>
      <c r="D1875" s="18">
        <v>4.0</v>
      </c>
      <c r="E1875" s="18">
        <v>29.16</v>
      </c>
      <c r="F1875" s="18">
        <v>116.64</v>
      </c>
    </row>
    <row r="1876">
      <c r="A1876" s="6" t="s">
        <v>6225</v>
      </c>
      <c r="B1876" s="6" t="s">
        <v>5649</v>
      </c>
      <c r="C1876" s="6" t="s">
        <v>338</v>
      </c>
      <c r="D1876" s="18">
        <v>1.0</v>
      </c>
      <c r="E1876" s="18">
        <v>28.88</v>
      </c>
      <c r="F1876" s="18">
        <v>28.88</v>
      </c>
    </row>
    <row r="1877">
      <c r="A1877" s="6" t="s">
        <v>6226</v>
      </c>
      <c r="B1877" s="6" t="s">
        <v>5649</v>
      </c>
      <c r="C1877" s="6" t="s">
        <v>1083</v>
      </c>
      <c r="D1877" s="18">
        <v>2.0</v>
      </c>
      <c r="E1877" s="18">
        <v>29.88</v>
      </c>
      <c r="F1877" s="18">
        <v>59.76</v>
      </c>
    </row>
    <row r="1878">
      <c r="A1878" s="6" t="s">
        <v>6227</v>
      </c>
      <c r="B1878" s="6" t="s">
        <v>5649</v>
      </c>
      <c r="C1878" s="6" t="s">
        <v>338</v>
      </c>
      <c r="D1878" s="18">
        <v>1.0</v>
      </c>
      <c r="E1878" s="18">
        <v>44.94</v>
      </c>
      <c r="F1878" s="18">
        <v>44.94</v>
      </c>
    </row>
    <row r="1879">
      <c r="A1879" s="6" t="s">
        <v>6229</v>
      </c>
      <c r="B1879" s="6" t="s">
        <v>5649</v>
      </c>
      <c r="C1879" s="6" t="s">
        <v>338</v>
      </c>
      <c r="D1879" s="18">
        <v>1.0</v>
      </c>
      <c r="E1879" s="18">
        <v>43.32</v>
      </c>
      <c r="F1879" s="18">
        <v>43.32</v>
      </c>
    </row>
    <row r="1880">
      <c r="A1880" s="6" t="s">
        <v>6231</v>
      </c>
      <c r="B1880" s="6" t="s">
        <v>5658</v>
      </c>
      <c r="C1880" s="6" t="s">
        <v>335</v>
      </c>
      <c r="D1880" s="18">
        <v>1.0</v>
      </c>
      <c r="E1880" s="18">
        <v>79.68</v>
      </c>
      <c r="F1880" s="18">
        <v>79.68</v>
      </c>
    </row>
    <row r="1881">
      <c r="A1881" s="6" t="s">
        <v>6233</v>
      </c>
      <c r="B1881" s="6" t="s">
        <v>5658</v>
      </c>
      <c r="C1881" s="6" t="s">
        <v>338</v>
      </c>
      <c r="D1881" s="18">
        <v>1.0</v>
      </c>
      <c r="E1881" s="18">
        <v>116.08</v>
      </c>
      <c r="F1881" s="18">
        <v>116.08</v>
      </c>
    </row>
    <row r="1882">
      <c r="A1882" s="6" t="s">
        <v>6234</v>
      </c>
      <c r="B1882" s="6" t="s">
        <v>5658</v>
      </c>
      <c r="C1882" s="6" t="s">
        <v>338</v>
      </c>
      <c r="D1882" s="18">
        <v>1.0</v>
      </c>
      <c r="E1882" s="18">
        <v>59.28</v>
      </c>
      <c r="F1882" s="18">
        <v>59.28</v>
      </c>
    </row>
    <row r="1883">
      <c r="A1883" s="6" t="s">
        <v>6235</v>
      </c>
      <c r="B1883" s="6" t="s">
        <v>5658</v>
      </c>
      <c r="C1883" s="6" t="s">
        <v>335</v>
      </c>
      <c r="D1883" s="18">
        <v>1.0</v>
      </c>
      <c r="E1883" s="18">
        <v>76.89</v>
      </c>
      <c r="F1883" s="18">
        <v>76.89</v>
      </c>
    </row>
    <row r="1884">
      <c r="A1884" s="6" t="s">
        <v>6237</v>
      </c>
      <c r="B1884" s="6" t="s">
        <v>5658</v>
      </c>
      <c r="C1884" s="6" t="s">
        <v>1777</v>
      </c>
      <c r="D1884" s="18">
        <v>2.0</v>
      </c>
      <c r="E1884" s="18">
        <v>29.88</v>
      </c>
      <c r="F1884" s="18">
        <v>59.76</v>
      </c>
    </row>
    <row r="1885">
      <c r="A1885" s="6" t="s">
        <v>6239</v>
      </c>
      <c r="B1885" s="6" t="s">
        <v>5666</v>
      </c>
      <c r="C1885" s="6" t="s">
        <v>159</v>
      </c>
      <c r="D1885" s="18">
        <v>1.0</v>
      </c>
      <c r="E1885" s="18">
        <v>280.0</v>
      </c>
      <c r="F1885" s="18">
        <v>280.0</v>
      </c>
    </row>
    <row r="1886">
      <c r="A1886" s="6" t="s">
        <v>6241</v>
      </c>
      <c r="B1886" s="6" t="s">
        <v>5666</v>
      </c>
      <c r="C1886" s="6" t="s">
        <v>155</v>
      </c>
      <c r="D1886" s="18">
        <v>1.0</v>
      </c>
      <c r="E1886" s="18">
        <v>32.64</v>
      </c>
      <c r="F1886" s="18">
        <v>32.64</v>
      </c>
    </row>
    <row r="1887">
      <c r="A1887" s="6" t="s">
        <v>6242</v>
      </c>
      <c r="B1887" s="6" t="s">
        <v>5666</v>
      </c>
      <c r="C1887" s="6" t="s">
        <v>226</v>
      </c>
      <c r="D1887" s="18">
        <v>1.0</v>
      </c>
      <c r="E1887" s="18">
        <v>50.0</v>
      </c>
      <c r="F1887" s="18">
        <v>50.0</v>
      </c>
    </row>
    <row r="1888">
      <c r="A1888" s="6" t="s">
        <v>6245</v>
      </c>
      <c r="B1888" s="18">
        <v>4.2804146E7</v>
      </c>
      <c r="C1888" s="6" t="s">
        <v>1343</v>
      </c>
      <c r="D1888" s="18">
        <v>1.0</v>
      </c>
      <c r="E1888" s="18">
        <v>200.0</v>
      </c>
      <c r="F1888" s="18">
        <v>200.0</v>
      </c>
    </row>
    <row r="1889">
      <c r="A1889" s="6" t="s">
        <v>6247</v>
      </c>
      <c r="B1889" s="18">
        <v>4.2804146E7</v>
      </c>
      <c r="C1889" s="6" t="s">
        <v>854</v>
      </c>
      <c r="D1889" s="18">
        <v>1.0</v>
      </c>
      <c r="E1889" s="18">
        <v>5.86</v>
      </c>
      <c r="F1889" s="18">
        <v>5.86</v>
      </c>
    </row>
    <row r="1890">
      <c r="A1890" s="6" t="s">
        <v>6249</v>
      </c>
      <c r="B1890" s="6" t="s">
        <v>5681</v>
      </c>
      <c r="C1890" s="6" t="s">
        <v>305</v>
      </c>
      <c r="D1890" s="18">
        <v>1.0</v>
      </c>
      <c r="E1890" s="18">
        <v>54.9</v>
      </c>
      <c r="F1890" s="18">
        <v>54.9</v>
      </c>
    </row>
    <row r="1891">
      <c r="A1891" s="6" t="s">
        <v>6252</v>
      </c>
      <c r="B1891" s="6" t="s">
        <v>5681</v>
      </c>
      <c r="C1891" s="6" t="s">
        <v>247</v>
      </c>
      <c r="D1891" s="18">
        <v>27.0</v>
      </c>
      <c r="E1891" s="18">
        <v>0.89</v>
      </c>
      <c r="F1891" s="18">
        <v>24.03</v>
      </c>
    </row>
    <row r="1892">
      <c r="A1892" s="6" t="s">
        <v>6253</v>
      </c>
      <c r="B1892" s="6" t="s">
        <v>5681</v>
      </c>
      <c r="C1892" s="6" t="s">
        <v>305</v>
      </c>
      <c r="D1892" s="18">
        <v>1.0</v>
      </c>
      <c r="E1892" s="18">
        <v>247.8</v>
      </c>
      <c r="F1892" s="18">
        <v>247.8</v>
      </c>
    </row>
    <row r="1893">
      <c r="A1893" s="6" t="s">
        <v>6254</v>
      </c>
      <c r="B1893" s="6" t="s">
        <v>5690</v>
      </c>
      <c r="C1893" s="6" t="s">
        <v>1690</v>
      </c>
      <c r="D1893" s="18">
        <v>1.0</v>
      </c>
      <c r="E1893" s="18">
        <v>4236.27</v>
      </c>
      <c r="F1893" s="18">
        <v>4236.27</v>
      </c>
    </row>
    <row r="1894">
      <c r="A1894" s="6" t="s">
        <v>6255</v>
      </c>
      <c r="B1894" s="6" t="s">
        <v>5694</v>
      </c>
      <c r="C1894" s="18">
        <v>1.2539885E7</v>
      </c>
      <c r="D1894" s="18">
        <v>1.0</v>
      </c>
      <c r="E1894" s="18">
        <v>500.0</v>
      </c>
      <c r="F1894" s="18">
        <v>500.0</v>
      </c>
    </row>
    <row r="1895">
      <c r="A1895" s="6" t="s">
        <v>6257</v>
      </c>
      <c r="B1895" s="6" t="s">
        <v>5699</v>
      </c>
      <c r="C1895" s="6" t="s">
        <v>1168</v>
      </c>
      <c r="D1895" s="18">
        <v>1.0</v>
      </c>
      <c r="E1895" s="18">
        <v>200.0</v>
      </c>
      <c r="F1895" s="18">
        <v>200.0</v>
      </c>
    </row>
    <row r="1896">
      <c r="A1896" s="6" t="s">
        <v>6259</v>
      </c>
      <c r="B1896" s="6" t="s">
        <v>5704</v>
      </c>
      <c r="C1896" s="6" t="s">
        <v>1168</v>
      </c>
      <c r="D1896" s="18">
        <v>1.0</v>
      </c>
      <c r="E1896" s="18">
        <v>500.0</v>
      </c>
      <c r="F1896" s="18">
        <v>500.0</v>
      </c>
    </row>
    <row r="1897">
      <c r="A1897" s="6" t="s">
        <v>6261</v>
      </c>
      <c r="B1897" s="6" t="s">
        <v>5711</v>
      </c>
      <c r="C1897" s="6" t="s">
        <v>1168</v>
      </c>
      <c r="D1897" s="18">
        <v>1.0</v>
      </c>
      <c r="E1897" s="18">
        <v>500.0</v>
      </c>
      <c r="F1897" s="18">
        <v>500.0</v>
      </c>
    </row>
    <row r="1898">
      <c r="A1898" s="6" t="s">
        <v>6262</v>
      </c>
      <c r="B1898" s="6" t="s">
        <v>5718</v>
      </c>
      <c r="C1898" s="6" t="s">
        <v>1434</v>
      </c>
      <c r="D1898" s="18">
        <v>1.0</v>
      </c>
      <c r="E1898" s="18">
        <v>206.0</v>
      </c>
      <c r="F1898" s="18">
        <v>206.0</v>
      </c>
    </row>
    <row r="1899">
      <c r="A1899" s="6" t="s">
        <v>6264</v>
      </c>
      <c r="B1899" s="6" t="s">
        <v>5725</v>
      </c>
      <c r="C1899" s="6" t="s">
        <v>6265</v>
      </c>
      <c r="D1899" s="18">
        <v>1.0</v>
      </c>
      <c r="E1899" s="18">
        <v>136.0</v>
      </c>
      <c r="F1899" s="18">
        <v>136.0</v>
      </c>
    </row>
    <row r="1900">
      <c r="A1900" s="6" t="s">
        <v>6266</v>
      </c>
      <c r="B1900" s="6" t="s">
        <v>5731</v>
      </c>
      <c r="C1900" s="6" t="s">
        <v>6268</v>
      </c>
      <c r="D1900" s="18">
        <v>1.0</v>
      </c>
      <c r="E1900" s="18">
        <v>98.0</v>
      </c>
      <c r="F1900" s="18">
        <v>98.0</v>
      </c>
    </row>
    <row r="1901">
      <c r="A1901" s="6" t="s">
        <v>6270</v>
      </c>
      <c r="B1901" s="6" t="s">
        <v>5737</v>
      </c>
      <c r="C1901" s="6" t="s">
        <v>6272</v>
      </c>
      <c r="D1901" s="18">
        <v>1.0</v>
      </c>
      <c r="E1901" s="18">
        <v>110.0</v>
      </c>
      <c r="F1901" s="18">
        <v>110.0</v>
      </c>
    </row>
    <row r="1902">
      <c r="A1902" s="6" t="s">
        <v>6273</v>
      </c>
      <c r="B1902" s="6" t="s">
        <v>5743</v>
      </c>
      <c r="C1902" s="6" t="s">
        <v>6274</v>
      </c>
      <c r="D1902" s="18">
        <v>1.0</v>
      </c>
      <c r="E1902" s="18">
        <v>477.0</v>
      </c>
      <c r="F1902" s="18">
        <v>477.0</v>
      </c>
    </row>
    <row r="1903">
      <c r="A1903" s="6" t="s">
        <v>6275</v>
      </c>
      <c r="B1903" s="6" t="s">
        <v>5750</v>
      </c>
      <c r="C1903" s="6" t="s">
        <v>1668</v>
      </c>
      <c r="D1903" s="18">
        <v>1.0</v>
      </c>
      <c r="E1903" s="18">
        <v>114.46</v>
      </c>
      <c r="F1903" s="18">
        <v>114.46</v>
      </c>
    </row>
    <row r="1904">
      <c r="A1904" s="6" t="s">
        <v>6276</v>
      </c>
      <c r="B1904" s="6" t="s">
        <v>5759</v>
      </c>
      <c r="C1904" s="6" t="s">
        <v>159</v>
      </c>
      <c r="D1904" s="18">
        <v>1.0</v>
      </c>
      <c r="E1904" s="18">
        <v>168.0</v>
      </c>
      <c r="F1904" s="18">
        <v>168.0</v>
      </c>
    </row>
    <row r="1905">
      <c r="A1905" s="6" t="s">
        <v>6278</v>
      </c>
      <c r="B1905" s="6" t="s">
        <v>5759</v>
      </c>
      <c r="C1905" s="6" t="s">
        <v>155</v>
      </c>
      <c r="D1905" s="18">
        <v>1.0</v>
      </c>
      <c r="E1905" s="18">
        <v>43.47</v>
      </c>
      <c r="F1905" s="18">
        <v>43.47</v>
      </c>
    </row>
    <row r="1906">
      <c r="A1906" s="6" t="s">
        <v>6279</v>
      </c>
      <c r="B1906" s="6" t="s">
        <v>5759</v>
      </c>
      <c r="C1906" s="6" t="s">
        <v>152</v>
      </c>
      <c r="D1906" s="18">
        <v>1.0</v>
      </c>
      <c r="E1906" s="18">
        <v>12.84</v>
      </c>
      <c r="F1906" s="18">
        <v>12.84</v>
      </c>
    </row>
    <row r="1907">
      <c r="A1907" s="6" t="s">
        <v>6282</v>
      </c>
      <c r="B1907" s="6" t="s">
        <v>5759</v>
      </c>
      <c r="C1907" s="6" t="s">
        <v>226</v>
      </c>
      <c r="D1907" s="18">
        <v>1.0</v>
      </c>
      <c r="E1907" s="18">
        <v>50.0</v>
      </c>
      <c r="F1907" s="18">
        <v>50.0</v>
      </c>
    </row>
    <row r="1908">
      <c r="A1908" s="6" t="s">
        <v>6283</v>
      </c>
      <c r="B1908" s="6" t="s">
        <v>5766</v>
      </c>
      <c r="C1908" s="6" t="s">
        <v>159</v>
      </c>
      <c r="D1908" s="18">
        <v>1.0</v>
      </c>
      <c r="E1908" s="18">
        <v>280.0</v>
      </c>
      <c r="F1908" s="18">
        <v>280.0</v>
      </c>
    </row>
    <row r="1909">
      <c r="A1909" s="6" t="s">
        <v>6285</v>
      </c>
      <c r="B1909" s="6" t="s">
        <v>5766</v>
      </c>
      <c r="C1909" s="6" t="s">
        <v>155</v>
      </c>
      <c r="D1909" s="18">
        <v>1.0</v>
      </c>
      <c r="E1909" s="18">
        <v>47.25</v>
      </c>
      <c r="F1909" s="18">
        <v>47.25</v>
      </c>
    </row>
    <row r="1910">
      <c r="A1910" s="6" t="s">
        <v>6286</v>
      </c>
      <c r="B1910" s="6" t="s">
        <v>5766</v>
      </c>
      <c r="C1910" s="6" t="s">
        <v>226</v>
      </c>
      <c r="D1910" s="18">
        <v>1.0</v>
      </c>
      <c r="E1910" s="18">
        <v>100.0</v>
      </c>
      <c r="F1910" s="18">
        <v>100.0</v>
      </c>
    </row>
    <row r="1911">
      <c r="A1911" s="6" t="s">
        <v>6287</v>
      </c>
      <c r="B1911" s="6" t="s">
        <v>5766</v>
      </c>
      <c r="C1911" s="6" t="s">
        <v>152</v>
      </c>
      <c r="D1911" s="18">
        <v>1.0</v>
      </c>
      <c r="E1911" s="18">
        <v>11.6</v>
      </c>
      <c r="F1911" s="18">
        <v>11.6</v>
      </c>
    </row>
    <row r="1912">
      <c r="A1912" s="6" t="s">
        <v>6289</v>
      </c>
      <c r="B1912" s="6" t="s">
        <v>5775</v>
      </c>
      <c r="C1912" s="6" t="s">
        <v>1384</v>
      </c>
      <c r="D1912" s="18">
        <v>1.0</v>
      </c>
      <c r="E1912" s="18">
        <v>17.5</v>
      </c>
      <c r="F1912" s="18">
        <v>17.5</v>
      </c>
    </row>
    <row r="1913">
      <c r="A1913" s="6" t="s">
        <v>6290</v>
      </c>
      <c r="B1913" s="6" t="s">
        <v>5775</v>
      </c>
      <c r="C1913" s="6" t="s">
        <v>1077</v>
      </c>
      <c r="D1913" s="18">
        <v>3.0</v>
      </c>
      <c r="E1913" s="18">
        <v>24.0</v>
      </c>
      <c r="F1913" s="18">
        <v>72.0</v>
      </c>
    </row>
    <row r="1914">
      <c r="A1914" s="6" t="s">
        <v>6291</v>
      </c>
      <c r="B1914" s="6" t="s">
        <v>5775</v>
      </c>
      <c r="C1914" s="6" t="s">
        <v>1081</v>
      </c>
      <c r="D1914" s="18">
        <v>2.0</v>
      </c>
      <c r="E1914" s="18">
        <v>45.0</v>
      </c>
      <c r="F1914" s="18">
        <v>90.0</v>
      </c>
    </row>
    <row r="1915">
      <c r="A1915" s="6" t="s">
        <v>6292</v>
      </c>
      <c r="B1915" s="6" t="s">
        <v>5784</v>
      </c>
      <c r="C1915" s="6" t="s">
        <v>981</v>
      </c>
      <c r="D1915" s="18">
        <v>6.0</v>
      </c>
      <c r="E1915" s="18">
        <v>4.98</v>
      </c>
      <c r="F1915" s="18">
        <v>29.880000000000003</v>
      </c>
    </row>
    <row r="1916">
      <c r="A1916" s="6" t="s">
        <v>6294</v>
      </c>
      <c r="B1916" s="6" t="s">
        <v>5784</v>
      </c>
      <c r="C1916" s="6" t="s">
        <v>238</v>
      </c>
      <c r="D1916" s="18">
        <v>1.0</v>
      </c>
      <c r="E1916" s="18">
        <v>168.8</v>
      </c>
      <c r="F1916" s="18">
        <v>168.8</v>
      </c>
    </row>
    <row r="1917">
      <c r="A1917" s="6" t="s">
        <v>6295</v>
      </c>
      <c r="B1917" s="6" t="s">
        <v>5784</v>
      </c>
      <c r="C1917" s="6" t="s">
        <v>243</v>
      </c>
      <c r="D1917" s="18">
        <v>6.0</v>
      </c>
      <c r="E1917" s="18">
        <v>7.2</v>
      </c>
      <c r="F1917" s="18">
        <v>43.2</v>
      </c>
    </row>
    <row r="1918">
      <c r="A1918" s="6" t="s">
        <v>6298</v>
      </c>
      <c r="B1918" s="6" t="s">
        <v>5792</v>
      </c>
      <c r="C1918" s="6" t="s">
        <v>1197</v>
      </c>
      <c r="D1918" s="18">
        <v>1.0</v>
      </c>
      <c r="E1918" s="18">
        <v>35.88</v>
      </c>
      <c r="F1918" s="18">
        <v>35.88</v>
      </c>
    </row>
    <row r="1919">
      <c r="A1919" s="6" t="s">
        <v>6299</v>
      </c>
      <c r="B1919" s="6" t="s">
        <v>5792</v>
      </c>
      <c r="C1919" s="6" t="s">
        <v>1683</v>
      </c>
      <c r="D1919" s="18">
        <v>1.0</v>
      </c>
      <c r="E1919" s="18">
        <v>35.79</v>
      </c>
      <c r="F1919" s="18">
        <v>35.79</v>
      </c>
    </row>
    <row r="1920">
      <c r="A1920" s="6" t="s">
        <v>6300</v>
      </c>
      <c r="B1920" s="6" t="s">
        <v>5792</v>
      </c>
      <c r="C1920" s="6" t="s">
        <v>305</v>
      </c>
      <c r="D1920" s="18">
        <v>1.0</v>
      </c>
      <c r="E1920" s="18">
        <v>149.19</v>
      </c>
      <c r="F1920" s="18">
        <v>149.19</v>
      </c>
    </row>
    <row r="1921">
      <c r="A1921" s="6" t="s">
        <v>6302</v>
      </c>
      <c r="B1921" s="18">
        <v>4.7464915E7</v>
      </c>
      <c r="C1921" s="18">
        <v>1.2539885E7</v>
      </c>
      <c r="D1921" s="18">
        <v>1.0</v>
      </c>
      <c r="E1921" s="18">
        <v>500.0</v>
      </c>
      <c r="F1921" s="18">
        <v>500.0</v>
      </c>
    </row>
    <row r="1922">
      <c r="A1922" s="6" t="s">
        <v>6305</v>
      </c>
      <c r="B1922" s="6" t="s">
        <v>5810</v>
      </c>
      <c r="C1922" s="6" t="s">
        <v>6306</v>
      </c>
      <c r="D1922" s="18">
        <v>1.0</v>
      </c>
      <c r="E1922" s="18">
        <v>89.95</v>
      </c>
      <c r="F1922" s="18">
        <v>89.95</v>
      </c>
    </row>
    <row r="1923">
      <c r="A1923" s="6" t="s">
        <v>6307</v>
      </c>
      <c r="B1923" s="6" t="s">
        <v>5818</v>
      </c>
      <c r="C1923" s="6" t="s">
        <v>159</v>
      </c>
      <c r="D1923" s="18">
        <v>1.0</v>
      </c>
      <c r="E1923" s="18">
        <v>140.0</v>
      </c>
      <c r="F1923" s="18">
        <v>140.0</v>
      </c>
    </row>
    <row r="1924">
      <c r="A1924" s="6" t="s">
        <v>6309</v>
      </c>
      <c r="B1924" s="6" t="s">
        <v>5818</v>
      </c>
      <c r="C1924" s="6" t="s">
        <v>155</v>
      </c>
      <c r="D1924" s="18">
        <v>1.0</v>
      </c>
      <c r="E1924" s="18">
        <v>32.13</v>
      </c>
      <c r="F1924" s="18">
        <v>32.13</v>
      </c>
    </row>
    <row r="1925">
      <c r="A1925" s="6" t="s">
        <v>6310</v>
      </c>
      <c r="B1925" s="6" t="s">
        <v>5818</v>
      </c>
      <c r="C1925" s="6" t="s">
        <v>152</v>
      </c>
      <c r="D1925" s="18">
        <v>1.0</v>
      </c>
      <c r="E1925" s="18">
        <v>16.34</v>
      </c>
      <c r="F1925" s="18">
        <v>16.34</v>
      </c>
    </row>
    <row r="1926">
      <c r="A1926" s="6" t="s">
        <v>6311</v>
      </c>
      <c r="B1926" s="6" t="s">
        <v>5825</v>
      </c>
      <c r="C1926" s="6" t="s">
        <v>2622</v>
      </c>
      <c r="D1926" s="18">
        <v>1.0</v>
      </c>
      <c r="E1926" s="18">
        <v>31.0</v>
      </c>
      <c r="F1926" s="18">
        <v>31.0</v>
      </c>
    </row>
    <row r="1927">
      <c r="A1927" s="6" t="s">
        <v>6313</v>
      </c>
      <c r="B1927" s="6" t="s">
        <v>5832</v>
      </c>
      <c r="C1927" s="18">
        <v>1.2539885E7</v>
      </c>
      <c r="D1927" s="18">
        <v>1.0</v>
      </c>
      <c r="E1927" s="18">
        <v>500.0</v>
      </c>
      <c r="F1927" s="18">
        <v>500.0</v>
      </c>
    </row>
    <row r="1928">
      <c r="A1928" s="6" t="s">
        <v>6315</v>
      </c>
      <c r="B1928" s="6" t="s">
        <v>5838</v>
      </c>
      <c r="C1928" s="6" t="s">
        <v>1757</v>
      </c>
      <c r="D1928" s="18">
        <v>1.0</v>
      </c>
      <c r="E1928" s="18">
        <v>50.0</v>
      </c>
      <c r="F1928" s="18">
        <v>50.0</v>
      </c>
    </row>
    <row r="1929">
      <c r="A1929" s="6" t="s">
        <v>6318</v>
      </c>
      <c r="B1929" s="6" t="s">
        <v>5846</v>
      </c>
      <c r="C1929" s="6" t="s">
        <v>3496</v>
      </c>
      <c r="D1929" s="18">
        <v>1.0</v>
      </c>
      <c r="E1929" s="18">
        <v>286.01</v>
      </c>
      <c r="F1929" s="18">
        <v>286.01</v>
      </c>
    </row>
    <row r="1930">
      <c r="A1930" s="6" t="s">
        <v>6319</v>
      </c>
      <c r="B1930" s="6" t="s">
        <v>5855</v>
      </c>
      <c r="C1930" s="6" t="s">
        <v>6306</v>
      </c>
      <c r="D1930" s="18">
        <v>1.0</v>
      </c>
      <c r="E1930" s="18">
        <v>204.26</v>
      </c>
      <c r="F1930" s="18">
        <v>204.26</v>
      </c>
    </row>
    <row r="1931">
      <c r="A1931" s="6" t="s">
        <v>6320</v>
      </c>
      <c r="B1931" s="6" t="s">
        <v>5865</v>
      </c>
      <c r="C1931" s="6" t="s">
        <v>6322</v>
      </c>
      <c r="D1931" s="18">
        <v>1.0</v>
      </c>
      <c r="E1931" s="18">
        <v>49.87</v>
      </c>
      <c r="F1931" s="18">
        <v>49.87</v>
      </c>
    </row>
    <row r="1932">
      <c r="A1932" s="6" t="s">
        <v>6323</v>
      </c>
      <c r="B1932" s="6" t="s">
        <v>5872</v>
      </c>
      <c r="C1932" s="6" t="s">
        <v>159</v>
      </c>
      <c r="D1932" s="18">
        <v>1.0</v>
      </c>
      <c r="E1932" s="18">
        <v>87.0</v>
      </c>
      <c r="F1932" s="18">
        <v>87.0</v>
      </c>
    </row>
    <row r="1933">
      <c r="A1933" s="6" t="s">
        <v>6326</v>
      </c>
      <c r="B1933" s="6" t="s">
        <v>5872</v>
      </c>
      <c r="C1933" s="6" t="s">
        <v>155</v>
      </c>
      <c r="D1933" s="18">
        <v>1.0</v>
      </c>
      <c r="E1933" s="18">
        <v>42.21</v>
      </c>
      <c r="F1933" s="18">
        <v>42.21</v>
      </c>
    </row>
    <row r="1934">
      <c r="A1934" s="6" t="s">
        <v>6328</v>
      </c>
      <c r="B1934" s="6" t="s">
        <v>5872</v>
      </c>
      <c r="C1934" s="6" t="s">
        <v>226</v>
      </c>
      <c r="D1934" s="18">
        <v>1.0</v>
      </c>
      <c r="E1934" s="18">
        <v>40.0</v>
      </c>
      <c r="F1934" s="18">
        <v>40.0</v>
      </c>
    </row>
    <row r="1935">
      <c r="A1935" s="6" t="s">
        <v>6330</v>
      </c>
      <c r="B1935" s="6" t="s">
        <v>5880</v>
      </c>
      <c r="C1935" s="6" t="s">
        <v>1022</v>
      </c>
      <c r="D1935" s="18">
        <v>1.0</v>
      </c>
      <c r="E1935" s="18">
        <v>134.0</v>
      </c>
      <c r="F1935" s="18">
        <v>134.0</v>
      </c>
    </row>
    <row r="1936">
      <c r="A1936" s="6" t="s">
        <v>6331</v>
      </c>
      <c r="B1936" s="6" t="s">
        <v>5889</v>
      </c>
      <c r="C1936" s="6" t="s">
        <v>1073</v>
      </c>
      <c r="D1936" s="18">
        <v>1.0</v>
      </c>
      <c r="E1936" s="18">
        <v>19.25</v>
      </c>
      <c r="F1936" s="18">
        <v>19.25</v>
      </c>
    </row>
    <row r="1937">
      <c r="A1937" s="6" t="s">
        <v>6333</v>
      </c>
      <c r="B1937" s="6" t="s">
        <v>5889</v>
      </c>
      <c r="C1937" s="6" t="s">
        <v>1074</v>
      </c>
      <c r="D1937" s="18">
        <v>4.0</v>
      </c>
      <c r="E1937" s="18">
        <v>39.5</v>
      </c>
      <c r="F1937" s="18">
        <v>158.0</v>
      </c>
    </row>
    <row r="1938">
      <c r="A1938" s="6" t="s">
        <v>6335</v>
      </c>
      <c r="B1938" s="6" t="s">
        <v>5889</v>
      </c>
      <c r="C1938" s="6" t="s">
        <v>1077</v>
      </c>
      <c r="D1938" s="18">
        <v>4.0</v>
      </c>
      <c r="E1938" s="18">
        <v>25.8</v>
      </c>
      <c r="F1938" s="18">
        <v>103.2</v>
      </c>
    </row>
    <row r="1939">
      <c r="A1939" s="6" t="s">
        <v>6337</v>
      </c>
      <c r="B1939" s="6" t="s">
        <v>5889</v>
      </c>
      <c r="C1939" s="6" t="s">
        <v>1079</v>
      </c>
      <c r="D1939" s="18">
        <v>25.0</v>
      </c>
      <c r="E1939" s="18">
        <v>17.5</v>
      </c>
      <c r="F1939" s="18">
        <v>437.5</v>
      </c>
    </row>
    <row r="1940">
      <c r="A1940" s="6" t="s">
        <v>6338</v>
      </c>
      <c r="B1940" s="6" t="s">
        <v>5889</v>
      </c>
      <c r="C1940" s="6" t="s">
        <v>1081</v>
      </c>
      <c r="D1940" s="18">
        <v>3.0</v>
      </c>
      <c r="E1940" s="18">
        <v>48.0</v>
      </c>
      <c r="F1940" s="18">
        <v>144.0</v>
      </c>
    </row>
    <row r="1941">
      <c r="A1941" s="6" t="s">
        <v>6339</v>
      </c>
      <c r="B1941" s="6" t="s">
        <v>5889</v>
      </c>
      <c r="C1941" s="6" t="s">
        <v>1075</v>
      </c>
      <c r="D1941" s="18">
        <v>2.0</v>
      </c>
      <c r="E1941" s="18">
        <v>39.5</v>
      </c>
      <c r="F1941" s="18">
        <v>79.0</v>
      </c>
    </row>
    <row r="1942">
      <c r="A1942" s="6" t="s">
        <v>6340</v>
      </c>
      <c r="B1942" s="6" t="s">
        <v>5889</v>
      </c>
      <c r="C1942" s="18">
        <v>7.5375964E7</v>
      </c>
      <c r="D1942" s="18">
        <v>2.0</v>
      </c>
      <c r="E1942" s="18">
        <v>39.25</v>
      </c>
      <c r="F1942" s="18">
        <v>78.5</v>
      </c>
    </row>
    <row r="1943">
      <c r="A1943" s="6" t="s">
        <v>6345</v>
      </c>
      <c r="B1943" s="6" t="s">
        <v>5889</v>
      </c>
      <c r="C1943" s="6" t="s">
        <v>1081</v>
      </c>
      <c r="D1943" s="18">
        <v>1.0</v>
      </c>
      <c r="E1943" s="18">
        <v>47.46</v>
      </c>
      <c r="F1943" s="18">
        <v>47.46</v>
      </c>
    </row>
    <row r="1944">
      <c r="A1944" s="6" t="s">
        <v>6346</v>
      </c>
      <c r="B1944" s="6" t="s">
        <v>5899</v>
      </c>
      <c r="C1944" s="6" t="s">
        <v>1168</v>
      </c>
      <c r="D1944" s="18">
        <v>1.0</v>
      </c>
      <c r="E1944" s="18">
        <v>500.0</v>
      </c>
      <c r="F1944" s="18">
        <v>500.0</v>
      </c>
    </row>
    <row r="1945">
      <c r="A1945" s="6" t="s">
        <v>6347</v>
      </c>
      <c r="B1945" s="6" t="s">
        <v>5904</v>
      </c>
      <c r="C1945" s="6" t="s">
        <v>1168</v>
      </c>
      <c r="D1945" s="18">
        <v>1.0</v>
      </c>
      <c r="E1945" s="18">
        <v>500.0</v>
      </c>
      <c r="F1945" s="18">
        <v>500.0</v>
      </c>
    </row>
    <row r="1946">
      <c r="A1946" s="6" t="s">
        <v>6349</v>
      </c>
      <c r="B1946" s="6" t="s">
        <v>5910</v>
      </c>
      <c r="C1946" s="6" t="s">
        <v>1327</v>
      </c>
      <c r="D1946" s="18">
        <v>1.0</v>
      </c>
      <c r="E1946" s="18">
        <v>907.49</v>
      </c>
      <c r="F1946" s="18">
        <v>907.49</v>
      </c>
    </row>
    <row r="1947">
      <c r="A1947" s="6" t="s">
        <v>6353</v>
      </c>
      <c r="B1947" s="6" t="s">
        <v>5920</v>
      </c>
      <c r="C1947" s="6" t="s">
        <v>1517</v>
      </c>
      <c r="D1947" s="18">
        <v>1.0</v>
      </c>
      <c r="E1947" s="18">
        <v>9642.94</v>
      </c>
      <c r="F1947" s="18">
        <v>9642.94</v>
      </c>
    </row>
    <row r="1948">
      <c r="A1948" s="6" t="s">
        <v>6354</v>
      </c>
      <c r="B1948" s="6" t="s">
        <v>5930</v>
      </c>
      <c r="C1948" s="6" t="s">
        <v>6355</v>
      </c>
      <c r="D1948" s="18">
        <v>1.0</v>
      </c>
      <c r="E1948" s="18">
        <v>1431.61</v>
      </c>
      <c r="F1948" s="18">
        <v>1431.61</v>
      </c>
    </row>
    <row r="1949">
      <c r="A1949" s="6" t="s">
        <v>6357</v>
      </c>
      <c r="B1949" s="6" t="s">
        <v>5939</v>
      </c>
      <c r="C1949" s="6" t="s">
        <v>1510</v>
      </c>
      <c r="D1949" s="18">
        <v>1.0</v>
      </c>
      <c r="E1949" s="18">
        <v>19552.53</v>
      </c>
      <c r="F1949" s="18">
        <v>19552.53</v>
      </c>
    </row>
    <row r="1950">
      <c r="A1950" s="6" t="s">
        <v>6358</v>
      </c>
      <c r="B1950" s="6" t="s">
        <v>5950</v>
      </c>
      <c r="C1950" s="6" t="s">
        <v>1197</v>
      </c>
      <c r="D1950" s="18">
        <v>1.0</v>
      </c>
      <c r="E1950" s="18">
        <v>176.0</v>
      </c>
      <c r="F1950" s="18">
        <v>176.0</v>
      </c>
    </row>
    <row r="1951">
      <c r="A1951" s="6" t="s">
        <v>6360</v>
      </c>
      <c r="B1951" s="6" t="s">
        <v>5950</v>
      </c>
      <c r="C1951" s="6" t="s">
        <v>1195</v>
      </c>
      <c r="D1951" s="18">
        <v>1.0</v>
      </c>
      <c r="E1951" s="18">
        <v>48.0</v>
      </c>
      <c r="F1951" s="18">
        <v>48.0</v>
      </c>
    </row>
    <row r="1952">
      <c r="A1952" s="6" t="s">
        <v>6362</v>
      </c>
      <c r="B1952" s="6" t="s">
        <v>5950</v>
      </c>
      <c r="C1952" s="6" t="s">
        <v>1683</v>
      </c>
      <c r="D1952" s="18">
        <v>1.0</v>
      </c>
      <c r="E1952" s="18">
        <v>30.0</v>
      </c>
      <c r="F1952" s="18">
        <v>30.0</v>
      </c>
    </row>
    <row r="1953">
      <c r="A1953" s="6" t="s">
        <v>6363</v>
      </c>
      <c r="B1953" s="6" t="s">
        <v>5950</v>
      </c>
      <c r="C1953" s="18">
        <v>7.9788768E7</v>
      </c>
      <c r="D1953" s="18">
        <v>1.0</v>
      </c>
      <c r="E1953" s="18">
        <v>22.0</v>
      </c>
      <c r="F1953" s="18">
        <v>22.0</v>
      </c>
    </row>
    <row r="1954">
      <c r="A1954" s="6" t="s">
        <v>6364</v>
      </c>
      <c r="B1954" s="6" t="s">
        <v>5958</v>
      </c>
      <c r="C1954" s="6" t="s">
        <v>1022</v>
      </c>
      <c r="D1954" s="18">
        <v>1.0</v>
      </c>
      <c r="E1954" s="18">
        <v>268.86</v>
      </c>
      <c r="F1954" s="18">
        <v>268.86</v>
      </c>
    </row>
    <row r="1955">
      <c r="A1955" s="6" t="s">
        <v>6366</v>
      </c>
      <c r="B1955" s="6" t="s">
        <v>5965</v>
      </c>
      <c r="C1955" s="6" t="s">
        <v>1136</v>
      </c>
      <c r="D1955" s="18">
        <v>1.0</v>
      </c>
      <c r="E1955" s="18">
        <v>30.0</v>
      </c>
      <c r="F1955" s="18">
        <v>30.0</v>
      </c>
    </row>
    <row r="1956">
      <c r="A1956" s="6" t="s">
        <v>6367</v>
      </c>
      <c r="B1956" s="6" t="s">
        <v>5975</v>
      </c>
      <c r="C1956" s="6" t="s">
        <v>159</v>
      </c>
      <c r="D1956" s="18">
        <v>1.0</v>
      </c>
      <c r="E1956" s="18">
        <v>350.0</v>
      </c>
      <c r="F1956" s="18">
        <v>350.0</v>
      </c>
    </row>
    <row r="1957">
      <c r="A1957" s="6" t="s">
        <v>6369</v>
      </c>
      <c r="B1957" s="6" t="s">
        <v>5975</v>
      </c>
      <c r="C1957" s="6" t="s">
        <v>155</v>
      </c>
      <c r="D1957" s="18">
        <v>1.0</v>
      </c>
      <c r="E1957" s="18">
        <v>63.94</v>
      </c>
      <c r="F1957" s="18">
        <v>63.94</v>
      </c>
    </row>
    <row r="1958">
      <c r="A1958" s="6" t="s">
        <v>6371</v>
      </c>
      <c r="B1958" s="6" t="s">
        <v>5975</v>
      </c>
      <c r="C1958" s="6" t="s">
        <v>152</v>
      </c>
      <c r="D1958" s="18">
        <v>1.0</v>
      </c>
      <c r="E1958" s="18">
        <v>13.35</v>
      </c>
      <c r="F1958" s="18">
        <v>13.35</v>
      </c>
    </row>
    <row r="1959">
      <c r="A1959" s="6" t="s">
        <v>6372</v>
      </c>
      <c r="B1959" s="6" t="s">
        <v>5975</v>
      </c>
      <c r="C1959" s="6" t="s">
        <v>226</v>
      </c>
      <c r="D1959" s="18">
        <v>1.0</v>
      </c>
      <c r="E1959" s="18">
        <v>150.0</v>
      </c>
      <c r="F1959" s="18">
        <v>150.0</v>
      </c>
    </row>
    <row r="1960">
      <c r="A1960" s="6" t="s">
        <v>6373</v>
      </c>
      <c r="B1960" s="6" t="s">
        <v>5983</v>
      </c>
      <c r="C1960" s="18">
        <v>1.2539885E7</v>
      </c>
      <c r="D1960" s="18">
        <v>1.0</v>
      </c>
      <c r="E1960" s="18">
        <v>300.0</v>
      </c>
      <c r="F1960" s="18">
        <v>300.0</v>
      </c>
    </row>
    <row r="1961">
      <c r="A1961" s="6" t="s">
        <v>6374</v>
      </c>
      <c r="B1961" s="6" t="s">
        <v>5991</v>
      </c>
      <c r="C1961" s="6" t="s">
        <v>1757</v>
      </c>
      <c r="D1961" s="18">
        <v>1.0</v>
      </c>
      <c r="E1961" s="18">
        <v>50.0</v>
      </c>
      <c r="F1961" s="18">
        <v>50.0</v>
      </c>
    </row>
    <row r="1962">
      <c r="A1962" s="6" t="s">
        <v>6376</v>
      </c>
      <c r="B1962" s="6" t="s">
        <v>6000</v>
      </c>
      <c r="C1962" s="6" t="s">
        <v>159</v>
      </c>
      <c r="D1962" s="18">
        <v>1.0</v>
      </c>
      <c r="E1962" s="18">
        <v>112.0</v>
      </c>
      <c r="F1962" s="18">
        <v>112.0</v>
      </c>
    </row>
    <row r="1963">
      <c r="A1963" s="6" t="s">
        <v>6378</v>
      </c>
      <c r="B1963" s="6" t="s">
        <v>6000</v>
      </c>
      <c r="C1963" s="6" t="s">
        <v>155</v>
      </c>
      <c r="D1963" s="18">
        <v>1.0</v>
      </c>
      <c r="E1963" s="18">
        <v>28.35</v>
      </c>
      <c r="F1963" s="18">
        <v>28.35</v>
      </c>
    </row>
    <row r="1964">
      <c r="A1964" s="6" t="s">
        <v>6380</v>
      </c>
      <c r="B1964" s="6" t="s">
        <v>6007</v>
      </c>
      <c r="C1964" s="18">
        <v>1.2539885E7</v>
      </c>
      <c r="D1964" s="18">
        <v>1.0</v>
      </c>
      <c r="E1964" s="18">
        <v>500.0</v>
      </c>
      <c r="F1964" s="18">
        <v>500.0</v>
      </c>
    </row>
    <row r="1965">
      <c r="A1965" s="6" t="s">
        <v>6381</v>
      </c>
      <c r="B1965" s="6" t="s">
        <v>6013</v>
      </c>
      <c r="C1965" s="6" t="s">
        <v>159</v>
      </c>
      <c r="D1965" s="18">
        <v>1.0</v>
      </c>
      <c r="E1965" s="18">
        <v>140.0</v>
      </c>
      <c r="F1965" s="18">
        <v>140.0</v>
      </c>
    </row>
    <row r="1966">
      <c r="A1966" s="6" t="s">
        <v>6382</v>
      </c>
      <c r="B1966" s="6" t="s">
        <v>6013</v>
      </c>
      <c r="C1966" s="6" t="s">
        <v>155</v>
      </c>
      <c r="D1966" s="18">
        <v>1.0</v>
      </c>
      <c r="E1966" s="18">
        <v>18.2</v>
      </c>
      <c r="F1966" s="18">
        <v>18.2</v>
      </c>
    </row>
    <row r="1967">
      <c r="A1967" s="6" t="s">
        <v>6383</v>
      </c>
      <c r="B1967" s="6" t="s">
        <v>6013</v>
      </c>
      <c r="C1967" s="6" t="s">
        <v>152</v>
      </c>
      <c r="D1967" s="18">
        <v>1.0</v>
      </c>
      <c r="E1967" s="18">
        <v>7.5</v>
      </c>
      <c r="F1967" s="18">
        <v>7.5</v>
      </c>
    </row>
    <row r="1968">
      <c r="A1968" s="6" t="s">
        <v>6385</v>
      </c>
      <c r="B1968" s="6" t="s">
        <v>6019</v>
      </c>
      <c r="C1968" s="6" t="s">
        <v>1080</v>
      </c>
      <c r="D1968" s="18">
        <v>1.0</v>
      </c>
      <c r="E1968" s="18">
        <v>208.5</v>
      </c>
      <c r="F1968" s="18">
        <v>208.5</v>
      </c>
    </row>
    <row r="1969">
      <c r="A1969" s="6" t="s">
        <v>6386</v>
      </c>
      <c r="B1969" s="6" t="s">
        <v>6027</v>
      </c>
      <c r="C1969" s="6" t="s">
        <v>3218</v>
      </c>
      <c r="D1969" s="18">
        <v>1.0</v>
      </c>
      <c r="E1969" s="18">
        <v>354.04</v>
      </c>
      <c r="F1969" s="18">
        <v>354.04</v>
      </c>
    </row>
    <row r="1970">
      <c r="A1970" s="6" t="s">
        <v>6388</v>
      </c>
      <c r="B1970" s="6" t="s">
        <v>6032</v>
      </c>
      <c r="C1970" s="6" t="s">
        <v>4831</v>
      </c>
      <c r="D1970" s="18">
        <v>1.0</v>
      </c>
      <c r="E1970" s="18">
        <v>375.0</v>
      </c>
      <c r="F1970" s="18">
        <v>375.0</v>
      </c>
    </row>
    <row r="1971">
      <c r="A1971" s="6" t="s">
        <v>6390</v>
      </c>
      <c r="B1971" s="6" t="s">
        <v>6038</v>
      </c>
      <c r="C1971" s="6" t="s">
        <v>1384</v>
      </c>
      <c r="D1971" s="18">
        <v>2.0</v>
      </c>
      <c r="E1971" s="18">
        <v>18.0</v>
      </c>
      <c r="F1971" s="18">
        <v>36.0</v>
      </c>
    </row>
    <row r="1972">
      <c r="A1972" s="6" t="s">
        <v>6391</v>
      </c>
      <c r="B1972" s="6" t="s">
        <v>6038</v>
      </c>
      <c r="C1972" s="6" t="s">
        <v>1404</v>
      </c>
      <c r="D1972" s="18">
        <v>1.0</v>
      </c>
      <c r="E1972" s="18">
        <v>65.0</v>
      </c>
      <c r="F1972" s="18">
        <v>65.0</v>
      </c>
    </row>
    <row r="1973">
      <c r="A1973" s="6" t="s">
        <v>6392</v>
      </c>
      <c r="B1973" s="6" t="s">
        <v>6038</v>
      </c>
      <c r="C1973" s="6" t="s">
        <v>1074</v>
      </c>
      <c r="D1973" s="18">
        <v>5.0</v>
      </c>
      <c r="E1973" s="18">
        <v>38.0</v>
      </c>
      <c r="F1973" s="18">
        <v>190.0</v>
      </c>
    </row>
    <row r="1974">
      <c r="A1974" s="6" t="s">
        <v>6394</v>
      </c>
      <c r="B1974" s="6" t="s">
        <v>6038</v>
      </c>
      <c r="C1974" s="6" t="s">
        <v>1077</v>
      </c>
      <c r="D1974" s="18">
        <v>4.0</v>
      </c>
      <c r="E1974" s="18">
        <v>25.8</v>
      </c>
      <c r="F1974" s="18">
        <v>103.2</v>
      </c>
    </row>
    <row r="1975">
      <c r="A1975" s="6" t="s">
        <v>6395</v>
      </c>
      <c r="B1975" s="6" t="s">
        <v>6038</v>
      </c>
      <c r="C1975" s="6" t="s">
        <v>1079</v>
      </c>
      <c r="D1975" s="18">
        <v>25.0</v>
      </c>
      <c r="E1975" s="18">
        <v>16.6</v>
      </c>
      <c r="F1975" s="18">
        <v>415.0</v>
      </c>
    </row>
    <row r="1976">
      <c r="A1976" s="6" t="s">
        <v>6397</v>
      </c>
      <c r="B1976" s="6" t="s">
        <v>6038</v>
      </c>
      <c r="C1976" s="6" t="s">
        <v>1081</v>
      </c>
      <c r="D1976" s="18">
        <v>3.0</v>
      </c>
      <c r="E1976" s="18">
        <v>48.0</v>
      </c>
      <c r="F1976" s="18">
        <v>144.0</v>
      </c>
    </row>
    <row r="1977">
      <c r="A1977" s="6" t="s">
        <v>6398</v>
      </c>
      <c r="B1977" s="6" t="s">
        <v>6038</v>
      </c>
      <c r="C1977" s="6" t="s">
        <v>1075</v>
      </c>
      <c r="D1977" s="18">
        <v>3.0</v>
      </c>
      <c r="E1977" s="18">
        <v>38.0</v>
      </c>
      <c r="F1977" s="18">
        <v>114.0</v>
      </c>
    </row>
    <row r="1978">
      <c r="A1978" s="6" t="s">
        <v>6399</v>
      </c>
      <c r="B1978" s="6" t="s">
        <v>6038</v>
      </c>
      <c r="C1978" s="6" t="s">
        <v>1074</v>
      </c>
      <c r="D1978" s="18">
        <v>1.0</v>
      </c>
      <c r="E1978" s="18">
        <v>77.0</v>
      </c>
      <c r="F1978" s="18">
        <v>77.0</v>
      </c>
    </row>
    <row r="1979">
      <c r="A1979" s="6" t="s">
        <v>6401</v>
      </c>
      <c r="B1979" s="6" t="s">
        <v>6038</v>
      </c>
      <c r="C1979" s="6" t="s">
        <v>1081</v>
      </c>
      <c r="D1979" s="18">
        <v>2.0</v>
      </c>
      <c r="E1979" s="18">
        <v>48.0</v>
      </c>
      <c r="F1979" s="18">
        <v>96.0</v>
      </c>
    </row>
    <row r="1980">
      <c r="A1980" s="6" t="s">
        <v>6402</v>
      </c>
      <c r="B1980" s="6" t="s">
        <v>6048</v>
      </c>
      <c r="C1980" s="6" t="s">
        <v>794</v>
      </c>
      <c r="D1980" s="18">
        <v>1.0</v>
      </c>
      <c r="E1980" s="18">
        <v>401.8</v>
      </c>
      <c r="F1980" s="18">
        <v>401.8</v>
      </c>
    </row>
    <row r="1981">
      <c r="A1981" s="6" t="s">
        <v>6403</v>
      </c>
      <c r="B1981" s="6" t="s">
        <v>6048</v>
      </c>
      <c r="C1981" s="6" t="s">
        <v>1350</v>
      </c>
      <c r="D1981" s="18">
        <v>1.0</v>
      </c>
      <c r="E1981" s="18">
        <v>177.74</v>
      </c>
      <c r="F1981" s="18">
        <v>177.74</v>
      </c>
    </row>
    <row r="1982">
      <c r="A1982" s="6" t="s">
        <v>6404</v>
      </c>
      <c r="B1982" s="6" t="s">
        <v>6048</v>
      </c>
      <c r="C1982" s="6" t="s">
        <v>249</v>
      </c>
      <c r="D1982" s="18">
        <v>1.0</v>
      </c>
      <c r="E1982" s="18">
        <v>1737.94</v>
      </c>
      <c r="F1982" s="18">
        <v>1737.94</v>
      </c>
    </row>
    <row r="1983">
      <c r="A1983" s="6" t="s">
        <v>6405</v>
      </c>
      <c r="B1983" s="18">
        <v>1.93579329E8</v>
      </c>
      <c r="C1983" s="6" t="s">
        <v>1168</v>
      </c>
      <c r="D1983" s="18">
        <v>1.0</v>
      </c>
      <c r="E1983" s="18">
        <v>500.0</v>
      </c>
      <c r="F1983" s="18">
        <v>500.0</v>
      </c>
    </row>
    <row r="1984">
      <c r="A1984" s="6" t="s">
        <v>6407</v>
      </c>
      <c r="B1984" s="6" t="s">
        <v>6065</v>
      </c>
      <c r="C1984" s="6" t="s">
        <v>3833</v>
      </c>
      <c r="D1984" s="18">
        <v>1.0</v>
      </c>
      <c r="E1984" s="18">
        <v>2091.18</v>
      </c>
      <c r="F1984" s="18">
        <v>2091.18</v>
      </c>
    </row>
    <row r="1985">
      <c r="A1985" s="6" t="s">
        <v>6408</v>
      </c>
      <c r="B1985" s="6" t="s">
        <v>6073</v>
      </c>
      <c r="C1985" s="6" t="s">
        <v>159</v>
      </c>
      <c r="D1985" s="18">
        <v>1.0</v>
      </c>
      <c r="E1985" s="18">
        <v>210.0</v>
      </c>
      <c r="F1985" s="18">
        <v>210.0</v>
      </c>
    </row>
    <row r="1986">
      <c r="A1986" s="6" t="s">
        <v>6411</v>
      </c>
      <c r="B1986" s="6" t="s">
        <v>6073</v>
      </c>
      <c r="C1986" s="6" t="s">
        <v>155</v>
      </c>
      <c r="D1986" s="18">
        <v>1.0</v>
      </c>
      <c r="E1986" s="18">
        <v>70.56</v>
      </c>
      <c r="F1986" s="18">
        <v>70.56</v>
      </c>
    </row>
    <row r="1987">
      <c r="A1987" s="6" t="s">
        <v>6412</v>
      </c>
      <c r="B1987" s="6" t="s">
        <v>6073</v>
      </c>
      <c r="C1987" s="6" t="s">
        <v>152</v>
      </c>
      <c r="D1987" s="18">
        <v>1.0</v>
      </c>
      <c r="E1987" s="18">
        <v>10.06</v>
      </c>
      <c r="F1987" s="18">
        <v>10.06</v>
      </c>
    </row>
    <row r="1988">
      <c r="A1988" s="6" t="s">
        <v>6413</v>
      </c>
      <c r="B1988" s="6" t="s">
        <v>6073</v>
      </c>
      <c r="C1988" s="6" t="s">
        <v>226</v>
      </c>
      <c r="D1988" s="18">
        <v>1.0</v>
      </c>
      <c r="E1988" s="18">
        <v>60.0</v>
      </c>
      <c r="F1988" s="18">
        <v>60.0</v>
      </c>
    </row>
    <row r="1989">
      <c r="A1989" s="6" t="s">
        <v>6414</v>
      </c>
      <c r="B1989" s="6" t="s">
        <v>6081</v>
      </c>
      <c r="C1989" s="18">
        <v>1.2539885E7</v>
      </c>
      <c r="D1989" s="18">
        <v>1.0</v>
      </c>
      <c r="E1989" s="18">
        <v>250.0</v>
      </c>
      <c r="F1989" s="18">
        <v>250.0</v>
      </c>
    </row>
    <row r="1990">
      <c r="A1990" s="6" t="s">
        <v>6416</v>
      </c>
      <c r="B1990" s="6" t="s">
        <v>6089</v>
      </c>
      <c r="C1990" s="6" t="s">
        <v>159</v>
      </c>
      <c r="D1990" s="18">
        <v>1.0</v>
      </c>
      <c r="E1990" s="18">
        <v>168.0</v>
      </c>
      <c r="F1990" s="18">
        <v>168.0</v>
      </c>
    </row>
    <row r="1991">
      <c r="A1991" s="6" t="s">
        <v>6417</v>
      </c>
      <c r="B1991" s="6" t="s">
        <v>6089</v>
      </c>
      <c r="C1991" s="6" t="s">
        <v>155</v>
      </c>
      <c r="D1991" s="18">
        <v>1.0</v>
      </c>
      <c r="E1991" s="18">
        <v>27.09</v>
      </c>
      <c r="F1991" s="18">
        <v>27.09</v>
      </c>
    </row>
    <row r="1992">
      <c r="A1992" s="6" t="s">
        <v>6419</v>
      </c>
      <c r="B1992" s="6" t="s">
        <v>6089</v>
      </c>
      <c r="C1992" s="6" t="s">
        <v>152</v>
      </c>
      <c r="D1992" s="18">
        <v>1.0</v>
      </c>
      <c r="E1992" s="18">
        <v>6.6</v>
      </c>
      <c r="F1992" s="18">
        <v>6.6</v>
      </c>
    </row>
    <row r="1993">
      <c r="A1993" s="6" t="s">
        <v>6421</v>
      </c>
      <c r="B1993" s="6" t="s">
        <v>6096</v>
      </c>
      <c r="C1993" s="6" t="s">
        <v>6423</v>
      </c>
      <c r="D1993" s="18">
        <v>1.0</v>
      </c>
      <c r="E1993" s="18">
        <v>110.0</v>
      </c>
      <c r="F1993" s="18">
        <v>110.0</v>
      </c>
    </row>
    <row r="1994">
      <c r="A1994" s="6" t="s">
        <v>6426</v>
      </c>
      <c r="B1994" s="6" t="s">
        <v>6102</v>
      </c>
      <c r="C1994" s="18">
        <v>1.2539885E7</v>
      </c>
      <c r="D1994" s="18">
        <v>1.0</v>
      </c>
      <c r="E1994" s="18">
        <v>375.0</v>
      </c>
      <c r="F1994" s="18">
        <v>375.0</v>
      </c>
    </row>
    <row r="1995">
      <c r="A1995" s="6" t="s">
        <v>6428</v>
      </c>
      <c r="B1995" s="6" t="s">
        <v>6108</v>
      </c>
      <c r="C1995" s="6" t="s">
        <v>5636</v>
      </c>
      <c r="D1995" s="18">
        <v>1.0</v>
      </c>
      <c r="E1995" s="18">
        <v>3558.56</v>
      </c>
      <c r="F1995" s="18">
        <v>3558.56</v>
      </c>
    </row>
    <row r="1996">
      <c r="A1996" s="6" t="s">
        <v>6429</v>
      </c>
      <c r="B1996" s="6" t="s">
        <v>6113</v>
      </c>
      <c r="C1996" s="6" t="s">
        <v>335</v>
      </c>
      <c r="D1996" s="18">
        <v>7.0</v>
      </c>
      <c r="E1996" s="18">
        <v>39.84</v>
      </c>
      <c r="F1996" s="18">
        <v>278.88</v>
      </c>
    </row>
    <row r="1997">
      <c r="A1997" s="6" t="s">
        <v>6431</v>
      </c>
      <c r="B1997" s="6" t="s">
        <v>6113</v>
      </c>
      <c r="C1997" s="6" t="s">
        <v>338</v>
      </c>
      <c r="D1997" s="18">
        <v>15.0</v>
      </c>
      <c r="E1997" s="18">
        <v>29.16</v>
      </c>
      <c r="F1997" s="18">
        <v>437.4</v>
      </c>
    </row>
    <row r="1998">
      <c r="A1998" s="6" t="s">
        <v>6433</v>
      </c>
      <c r="B1998" s="6" t="s">
        <v>6113</v>
      </c>
      <c r="C1998" s="6" t="s">
        <v>1777</v>
      </c>
      <c r="D1998" s="18">
        <v>4.0</v>
      </c>
      <c r="E1998" s="18">
        <v>29.88</v>
      </c>
      <c r="F1998" s="18">
        <v>119.52</v>
      </c>
    </row>
    <row r="1999">
      <c r="A1999" s="6" t="s">
        <v>6434</v>
      </c>
      <c r="B1999" s="6" t="s">
        <v>6113</v>
      </c>
      <c r="C1999" s="6" t="s">
        <v>1384</v>
      </c>
      <c r="D1999" s="18">
        <v>1.0</v>
      </c>
      <c r="E1999" s="18">
        <v>34.98</v>
      </c>
      <c r="F1999" s="18">
        <v>34.98</v>
      </c>
    </row>
    <row r="2000">
      <c r="A2000" s="6" t="s">
        <v>6435</v>
      </c>
      <c r="B2000" s="6" t="s">
        <v>6113</v>
      </c>
      <c r="C2000" s="6" t="s">
        <v>338</v>
      </c>
      <c r="D2000" s="18">
        <v>3.0</v>
      </c>
      <c r="E2000" s="18">
        <v>43.74</v>
      </c>
      <c r="F2000" s="18">
        <v>131.22</v>
      </c>
    </row>
    <row r="2001">
      <c r="A2001" s="6" t="s">
        <v>6437</v>
      </c>
      <c r="B2001" s="6" t="s">
        <v>6123</v>
      </c>
      <c r="C2001" s="6" t="s">
        <v>159</v>
      </c>
      <c r="D2001" s="18">
        <v>1.0</v>
      </c>
      <c r="E2001" s="18">
        <v>280.0</v>
      </c>
      <c r="F2001" s="18">
        <v>280.0</v>
      </c>
    </row>
    <row r="2002">
      <c r="A2002" s="6" t="s">
        <v>6439</v>
      </c>
      <c r="B2002" s="6" t="s">
        <v>6123</v>
      </c>
      <c r="C2002" s="6" t="s">
        <v>155</v>
      </c>
      <c r="D2002" s="18">
        <v>1.0</v>
      </c>
      <c r="E2002" s="18">
        <v>85.55</v>
      </c>
      <c r="F2002" s="18">
        <v>85.55</v>
      </c>
    </row>
    <row r="2003">
      <c r="A2003" s="6" t="s">
        <v>6441</v>
      </c>
      <c r="B2003" s="6" t="s">
        <v>6123</v>
      </c>
      <c r="C2003" s="6" t="s">
        <v>152</v>
      </c>
      <c r="D2003" s="18">
        <v>1.0</v>
      </c>
      <c r="E2003" s="18">
        <v>9.42</v>
      </c>
      <c r="F2003" s="18">
        <v>9.42</v>
      </c>
    </row>
    <row r="2004">
      <c r="A2004" s="6" t="s">
        <v>6442</v>
      </c>
      <c r="B2004" s="6" t="s">
        <v>6123</v>
      </c>
      <c r="C2004" s="6" t="s">
        <v>226</v>
      </c>
      <c r="D2004" s="18">
        <v>1.0</v>
      </c>
      <c r="E2004" s="18">
        <v>100.0</v>
      </c>
      <c r="F2004" s="18">
        <v>100.0</v>
      </c>
    </row>
    <row r="2005">
      <c r="A2005" s="6" t="s">
        <v>6443</v>
      </c>
      <c r="B2005" s="6" t="s">
        <v>6131</v>
      </c>
      <c r="C2005" s="6" t="s">
        <v>1073</v>
      </c>
      <c r="D2005" s="18">
        <v>1.0</v>
      </c>
      <c r="E2005" s="18">
        <v>20.1</v>
      </c>
      <c r="F2005" s="18">
        <v>20.1</v>
      </c>
    </row>
    <row r="2006">
      <c r="A2006" s="6" t="s">
        <v>6445</v>
      </c>
      <c r="B2006" s="6" t="s">
        <v>6131</v>
      </c>
      <c r="C2006" s="18">
        <v>7.5375964E7</v>
      </c>
      <c r="D2006" s="18">
        <v>1.0</v>
      </c>
      <c r="E2006" s="18">
        <v>19.8</v>
      </c>
      <c r="F2006" s="18">
        <v>19.8</v>
      </c>
    </row>
    <row r="2007">
      <c r="A2007" s="6" t="s">
        <v>6446</v>
      </c>
      <c r="B2007" s="6" t="s">
        <v>6131</v>
      </c>
      <c r="C2007" s="6" t="s">
        <v>1384</v>
      </c>
      <c r="D2007" s="18">
        <v>1.0</v>
      </c>
      <c r="E2007" s="18">
        <v>18.0</v>
      </c>
      <c r="F2007" s="18">
        <v>18.0</v>
      </c>
    </row>
    <row r="2008">
      <c r="A2008" s="6" t="s">
        <v>6448</v>
      </c>
      <c r="B2008" s="6" t="s">
        <v>6131</v>
      </c>
      <c r="C2008" s="6" t="s">
        <v>1404</v>
      </c>
      <c r="D2008" s="18">
        <v>1.0</v>
      </c>
      <c r="E2008" s="18">
        <v>18.0</v>
      </c>
      <c r="F2008" s="18">
        <v>18.0</v>
      </c>
    </row>
    <row r="2009">
      <c r="A2009" s="6" t="s">
        <v>6450</v>
      </c>
      <c r="B2009" s="6" t="s">
        <v>6131</v>
      </c>
      <c r="C2009" s="6" t="s">
        <v>1074</v>
      </c>
      <c r="D2009" s="18">
        <v>4.0</v>
      </c>
      <c r="E2009" s="18">
        <v>38.0</v>
      </c>
      <c r="F2009" s="18">
        <v>152.0</v>
      </c>
    </row>
    <row r="2010">
      <c r="A2010" s="6" t="s">
        <v>6451</v>
      </c>
      <c r="B2010" s="6" t="s">
        <v>6131</v>
      </c>
      <c r="C2010" s="6" t="s">
        <v>1077</v>
      </c>
      <c r="D2010" s="18">
        <v>3.0</v>
      </c>
      <c r="E2010" s="18">
        <v>24.0</v>
      </c>
      <c r="F2010" s="18">
        <v>72.0</v>
      </c>
    </row>
    <row r="2011">
      <c r="A2011" s="6" t="s">
        <v>6452</v>
      </c>
      <c r="B2011" s="6" t="s">
        <v>6131</v>
      </c>
      <c r="C2011" s="6" t="s">
        <v>1079</v>
      </c>
      <c r="D2011" s="18">
        <v>15.0</v>
      </c>
      <c r="E2011" s="18">
        <v>16.5</v>
      </c>
      <c r="F2011" s="18">
        <v>247.5</v>
      </c>
    </row>
    <row r="2012">
      <c r="A2012" s="6" t="s">
        <v>6454</v>
      </c>
      <c r="B2012" s="6" t="s">
        <v>6131</v>
      </c>
      <c r="C2012" s="6" t="s">
        <v>1080</v>
      </c>
      <c r="D2012" s="18">
        <v>5.0</v>
      </c>
      <c r="E2012" s="18">
        <v>17.5</v>
      </c>
      <c r="F2012" s="18">
        <v>87.5</v>
      </c>
    </row>
    <row r="2013">
      <c r="A2013" s="6" t="s">
        <v>6456</v>
      </c>
      <c r="B2013" s="6" t="s">
        <v>6131</v>
      </c>
      <c r="C2013" s="6" t="s">
        <v>1081</v>
      </c>
      <c r="D2013" s="18">
        <v>3.0</v>
      </c>
      <c r="E2013" s="18">
        <v>48.0</v>
      </c>
      <c r="F2013" s="18">
        <v>144.0</v>
      </c>
    </row>
    <row r="2014">
      <c r="A2014" s="6" t="s">
        <v>6458</v>
      </c>
      <c r="B2014" s="6" t="s">
        <v>6131</v>
      </c>
      <c r="C2014" s="6" t="s">
        <v>1083</v>
      </c>
      <c r="D2014" s="18">
        <v>1.0</v>
      </c>
      <c r="E2014" s="18">
        <v>18.0</v>
      </c>
      <c r="F2014" s="18">
        <v>18.0</v>
      </c>
    </row>
    <row r="2015">
      <c r="A2015" s="6" t="s">
        <v>6459</v>
      </c>
      <c r="B2015" s="6" t="s">
        <v>6140</v>
      </c>
      <c r="C2015" s="6" t="s">
        <v>1653</v>
      </c>
      <c r="D2015" s="18">
        <v>1.0</v>
      </c>
      <c r="E2015" s="18">
        <v>474.0</v>
      </c>
      <c r="F2015" s="18">
        <v>474.0</v>
      </c>
    </row>
    <row r="2016">
      <c r="A2016" s="6" t="s">
        <v>6460</v>
      </c>
      <c r="B2016" s="6" t="s">
        <v>6152</v>
      </c>
      <c r="C2016" s="6" t="s">
        <v>1126</v>
      </c>
      <c r="D2016" s="18">
        <v>1.0</v>
      </c>
      <c r="E2016" s="18">
        <v>30.0</v>
      </c>
      <c r="F2016" s="18">
        <v>30.0</v>
      </c>
    </row>
    <row r="2017">
      <c r="A2017" s="6" t="s">
        <v>6462</v>
      </c>
      <c r="B2017" s="6" t="s">
        <v>6169</v>
      </c>
      <c r="C2017" s="6" t="s">
        <v>5636</v>
      </c>
      <c r="D2017" s="18">
        <v>1.0</v>
      </c>
      <c r="E2017" s="18">
        <v>200.0</v>
      </c>
      <c r="F2017" s="18">
        <v>200.0</v>
      </c>
    </row>
    <row r="2018">
      <c r="A2018" s="6" t="s">
        <v>6463</v>
      </c>
      <c r="B2018" s="6" t="s">
        <v>6179</v>
      </c>
      <c r="C2018" s="6" t="s">
        <v>5640</v>
      </c>
      <c r="D2018" s="18">
        <v>1.0</v>
      </c>
      <c r="E2018" s="18">
        <v>22.0</v>
      </c>
      <c r="F2018" s="18">
        <v>22.0</v>
      </c>
    </row>
    <row r="2019">
      <c r="A2019" s="6" t="s">
        <v>6466</v>
      </c>
      <c r="B2019" s="6" t="s">
        <v>6185</v>
      </c>
      <c r="C2019" s="6" t="s">
        <v>5973</v>
      </c>
      <c r="D2019" s="18">
        <v>1.0</v>
      </c>
      <c r="E2019" s="18">
        <v>10.0</v>
      </c>
      <c r="F2019" s="18">
        <v>10.0</v>
      </c>
    </row>
    <row r="2020">
      <c r="A2020" s="6" t="s">
        <v>6467</v>
      </c>
      <c r="B2020" s="6" t="s">
        <v>6191</v>
      </c>
      <c r="C2020" s="6" t="s">
        <v>1517</v>
      </c>
      <c r="D2020" s="18">
        <v>1.0</v>
      </c>
      <c r="E2020" s="18">
        <v>5639.52</v>
      </c>
      <c r="F2020" s="18">
        <v>5639.52</v>
      </c>
    </row>
    <row r="2021">
      <c r="A2021" s="6" t="s">
        <v>6469</v>
      </c>
      <c r="B2021" s="6" t="s">
        <v>6202</v>
      </c>
      <c r="C2021" s="6" t="s">
        <v>6470</v>
      </c>
      <c r="D2021" s="18">
        <v>1.0</v>
      </c>
      <c r="E2021" s="18">
        <v>250.0</v>
      </c>
      <c r="F2021" s="18">
        <v>250.0</v>
      </c>
    </row>
    <row r="2022">
      <c r="A2022" s="6" t="s">
        <v>6471</v>
      </c>
      <c r="B2022" s="6" t="s">
        <v>6212</v>
      </c>
      <c r="C2022" s="6" t="s">
        <v>1536</v>
      </c>
      <c r="D2022" s="18">
        <v>1.0</v>
      </c>
      <c r="E2022" s="18">
        <v>190.0</v>
      </c>
      <c r="F2022" s="18">
        <v>190.0</v>
      </c>
    </row>
    <row r="2023">
      <c r="A2023" s="6" t="s">
        <v>6472</v>
      </c>
      <c r="B2023" s="6" t="s">
        <v>6221</v>
      </c>
      <c r="C2023" s="6" t="s">
        <v>3833</v>
      </c>
      <c r="D2023" s="18">
        <v>1.0</v>
      </c>
      <c r="E2023" s="18">
        <v>1222.99</v>
      </c>
      <c r="F2023" s="18">
        <v>1222.99</v>
      </c>
    </row>
    <row r="2024">
      <c r="A2024" s="6" t="s">
        <v>6474</v>
      </c>
      <c r="B2024" s="6" t="s">
        <v>6228</v>
      </c>
      <c r="C2024" s="6" t="s">
        <v>5325</v>
      </c>
      <c r="D2024" s="18">
        <v>1.0</v>
      </c>
      <c r="E2024" s="18">
        <v>110.0</v>
      </c>
      <c r="F2024" s="18">
        <v>110.0</v>
      </c>
    </row>
    <row r="2025">
      <c r="A2025" s="6" t="s">
        <v>6476</v>
      </c>
      <c r="B2025" s="6" t="s">
        <v>6236</v>
      </c>
      <c r="C2025" s="6" t="s">
        <v>1510</v>
      </c>
      <c r="D2025" s="18">
        <v>1.0</v>
      </c>
      <c r="E2025" s="18">
        <v>20959.87</v>
      </c>
      <c r="F2025" s="18">
        <v>20959.87</v>
      </c>
    </row>
    <row r="2026">
      <c r="A2026" s="6" t="s">
        <v>6478</v>
      </c>
      <c r="B2026" s="6" t="s">
        <v>6248</v>
      </c>
      <c r="C2026" s="6" t="s">
        <v>159</v>
      </c>
      <c r="D2026" s="18">
        <v>1.0</v>
      </c>
      <c r="E2026" s="18">
        <v>140.0</v>
      </c>
      <c r="F2026" s="18">
        <v>140.0</v>
      </c>
    </row>
    <row r="2027">
      <c r="A2027" s="6" t="s">
        <v>6479</v>
      </c>
      <c r="B2027" s="6" t="s">
        <v>6248</v>
      </c>
      <c r="C2027" s="6" t="s">
        <v>155</v>
      </c>
      <c r="D2027" s="18">
        <v>1.0</v>
      </c>
      <c r="E2027" s="18">
        <v>46.72</v>
      </c>
      <c r="F2027" s="18">
        <v>46.72</v>
      </c>
    </row>
    <row r="2028">
      <c r="A2028" s="6" t="s">
        <v>6482</v>
      </c>
      <c r="B2028" s="6" t="s">
        <v>6248</v>
      </c>
      <c r="C2028" s="6" t="s">
        <v>152</v>
      </c>
      <c r="D2028" s="18">
        <v>1.0</v>
      </c>
      <c r="E2028" s="18">
        <v>13.2</v>
      </c>
      <c r="F2028" s="18">
        <v>13.2</v>
      </c>
    </row>
    <row r="2029">
      <c r="A2029" s="6" t="s">
        <v>6484</v>
      </c>
      <c r="B2029" s="6" t="s">
        <v>6256</v>
      </c>
      <c r="C2029" s="6" t="s">
        <v>305</v>
      </c>
      <c r="D2029" s="18">
        <v>1.0</v>
      </c>
      <c r="E2029" s="18">
        <v>16.36</v>
      </c>
      <c r="F2029" s="18">
        <v>16.36</v>
      </c>
    </row>
    <row r="2030">
      <c r="A2030" s="6" t="s">
        <v>6486</v>
      </c>
      <c r="B2030" s="6" t="s">
        <v>6263</v>
      </c>
      <c r="C2030" s="6" t="s">
        <v>305</v>
      </c>
      <c r="D2030" s="18">
        <v>1.0</v>
      </c>
      <c r="E2030" s="18">
        <v>103.91</v>
      </c>
      <c r="F2030" s="18">
        <v>103.91</v>
      </c>
    </row>
    <row r="2031">
      <c r="A2031" s="6" t="s">
        <v>6487</v>
      </c>
      <c r="B2031" s="6" t="s">
        <v>6277</v>
      </c>
      <c r="C2031" s="18">
        <v>1.2539885E7</v>
      </c>
      <c r="D2031" s="18">
        <v>1.0</v>
      </c>
      <c r="E2031" s="18">
        <v>600.0</v>
      </c>
      <c r="F2031" s="18">
        <v>600.0</v>
      </c>
    </row>
    <row r="2032">
      <c r="A2032" s="6" t="s">
        <v>6489</v>
      </c>
      <c r="B2032" s="6" t="s">
        <v>6284</v>
      </c>
      <c r="C2032" s="6" t="s">
        <v>1168</v>
      </c>
      <c r="D2032" s="18">
        <v>1.0</v>
      </c>
      <c r="E2032" s="18">
        <v>500.0</v>
      </c>
      <c r="F2032" s="18">
        <v>500.0</v>
      </c>
    </row>
    <row r="2033">
      <c r="A2033" s="6" t="s">
        <v>6491</v>
      </c>
      <c r="B2033" s="6" t="s">
        <v>6288</v>
      </c>
      <c r="C2033" s="6" t="s">
        <v>1168</v>
      </c>
      <c r="D2033" s="18">
        <v>1.0</v>
      </c>
      <c r="E2033" s="18">
        <v>100.0</v>
      </c>
      <c r="F2033" s="18">
        <v>100.0</v>
      </c>
    </row>
    <row r="2034">
      <c r="A2034" s="6" t="s">
        <v>6492</v>
      </c>
      <c r="B2034" s="6" t="s">
        <v>6293</v>
      </c>
      <c r="C2034" s="6" t="s">
        <v>1668</v>
      </c>
      <c r="D2034" s="18">
        <v>1.0</v>
      </c>
      <c r="E2034" s="18">
        <v>114.46</v>
      </c>
      <c r="F2034" s="18">
        <v>114.46</v>
      </c>
    </row>
    <row r="2035">
      <c r="A2035" s="6" t="s">
        <v>6493</v>
      </c>
      <c r="B2035" s="6" t="s">
        <v>6301</v>
      </c>
      <c r="C2035" s="6" t="s">
        <v>159</v>
      </c>
      <c r="D2035" s="18">
        <v>1.0</v>
      </c>
      <c r="E2035" s="18">
        <v>210.0</v>
      </c>
      <c r="F2035" s="18">
        <v>210.0</v>
      </c>
    </row>
    <row r="2036">
      <c r="A2036" s="6" t="s">
        <v>6494</v>
      </c>
      <c r="B2036" s="6" t="s">
        <v>6301</v>
      </c>
      <c r="C2036" s="6" t="s">
        <v>155</v>
      </c>
      <c r="D2036" s="18">
        <v>1.0</v>
      </c>
      <c r="E2036" s="18">
        <v>44.96</v>
      </c>
      <c r="F2036" s="18">
        <v>44.96</v>
      </c>
    </row>
    <row r="2037">
      <c r="A2037" s="6" t="s">
        <v>6496</v>
      </c>
      <c r="B2037" s="6" t="s">
        <v>6301</v>
      </c>
      <c r="C2037" s="6" t="s">
        <v>152</v>
      </c>
      <c r="D2037" s="18">
        <v>1.0</v>
      </c>
      <c r="E2037" s="18">
        <v>9.6</v>
      </c>
      <c r="F2037" s="18">
        <v>9.6</v>
      </c>
    </row>
    <row r="2038">
      <c r="A2038" s="6" t="s">
        <v>6497</v>
      </c>
      <c r="B2038" s="6" t="s">
        <v>6301</v>
      </c>
      <c r="C2038" s="6" t="s">
        <v>226</v>
      </c>
      <c r="D2038" s="18">
        <v>1.0</v>
      </c>
      <c r="E2038" s="18">
        <v>100.0</v>
      </c>
      <c r="F2038" s="18">
        <v>100.0</v>
      </c>
    </row>
    <row r="2039">
      <c r="A2039" s="6" t="s">
        <v>6498</v>
      </c>
      <c r="B2039" s="6" t="s">
        <v>6308</v>
      </c>
      <c r="C2039" s="6" t="s">
        <v>1168</v>
      </c>
      <c r="D2039" s="18">
        <v>1.0</v>
      </c>
      <c r="E2039" s="18">
        <v>400.0</v>
      </c>
      <c r="F2039" s="18">
        <v>400.0</v>
      </c>
    </row>
    <row r="2040">
      <c r="A2040" s="6" t="s">
        <v>6499</v>
      </c>
      <c r="B2040" s="6" t="s">
        <v>6312</v>
      </c>
      <c r="C2040" s="6" t="s">
        <v>691</v>
      </c>
      <c r="D2040" s="18">
        <v>1.0</v>
      </c>
      <c r="E2040" s="18">
        <v>86.29</v>
      </c>
      <c r="F2040" s="18">
        <v>86.29</v>
      </c>
    </row>
    <row r="2041">
      <c r="A2041" s="6" t="s">
        <v>6500</v>
      </c>
      <c r="B2041" s="6" t="s">
        <v>6312</v>
      </c>
      <c r="C2041" s="6" t="s">
        <v>6501</v>
      </c>
      <c r="D2041" s="18">
        <v>1.0</v>
      </c>
      <c r="E2041" s="18">
        <v>52.99</v>
      </c>
      <c r="F2041" s="18">
        <v>52.99</v>
      </c>
    </row>
    <row r="2042">
      <c r="A2042" s="6" t="s">
        <v>6502</v>
      </c>
      <c r="B2042" s="6" t="s">
        <v>6321</v>
      </c>
      <c r="C2042" s="6" t="s">
        <v>1081</v>
      </c>
      <c r="D2042" s="18">
        <v>1.0</v>
      </c>
      <c r="E2042" s="18">
        <v>47.0</v>
      </c>
      <c r="F2042" s="18">
        <v>47.0</v>
      </c>
    </row>
    <row r="2043">
      <c r="A2043" s="6" t="s">
        <v>6503</v>
      </c>
      <c r="B2043" s="6" t="s">
        <v>6321</v>
      </c>
      <c r="C2043" s="6" t="s">
        <v>1081</v>
      </c>
      <c r="D2043" s="18">
        <v>5.0</v>
      </c>
      <c r="E2043" s="18">
        <v>48.0</v>
      </c>
      <c r="F2043" s="18">
        <v>240.0</v>
      </c>
    </row>
    <row r="2044">
      <c r="A2044" s="6" t="s">
        <v>6504</v>
      </c>
      <c r="B2044" s="6" t="s">
        <v>6321</v>
      </c>
      <c r="C2044" s="6" t="s">
        <v>1077</v>
      </c>
      <c r="D2044" s="18">
        <v>4.0</v>
      </c>
      <c r="E2044" s="18">
        <v>25.8</v>
      </c>
      <c r="F2044" s="18">
        <v>103.2</v>
      </c>
    </row>
    <row r="2045">
      <c r="A2045" s="6" t="s">
        <v>6505</v>
      </c>
      <c r="B2045" s="6" t="s">
        <v>6321</v>
      </c>
      <c r="C2045" s="6" t="s">
        <v>1091</v>
      </c>
      <c r="D2045" s="18">
        <v>1.0</v>
      </c>
      <c r="E2045" s="18">
        <v>36.0</v>
      </c>
      <c r="F2045" s="18">
        <v>36.0</v>
      </c>
    </row>
    <row r="2046">
      <c r="A2046" s="6" t="s">
        <v>6508</v>
      </c>
      <c r="B2046" s="6" t="s">
        <v>6321</v>
      </c>
      <c r="C2046" s="6" t="s">
        <v>1075</v>
      </c>
      <c r="D2046" s="18">
        <v>3.0</v>
      </c>
      <c r="E2046" s="18">
        <v>38.0</v>
      </c>
      <c r="F2046" s="18">
        <v>114.0</v>
      </c>
    </row>
    <row r="2047">
      <c r="A2047" s="6" t="s">
        <v>6509</v>
      </c>
      <c r="B2047" s="6" t="s">
        <v>6321</v>
      </c>
      <c r="C2047" s="18">
        <v>7.5375964E7</v>
      </c>
      <c r="D2047" s="18">
        <v>3.0</v>
      </c>
      <c r="E2047" s="18">
        <v>39.0</v>
      </c>
      <c r="F2047" s="18">
        <v>117.0</v>
      </c>
    </row>
    <row r="2048">
      <c r="A2048" s="6" t="s">
        <v>6511</v>
      </c>
      <c r="B2048" s="6" t="s">
        <v>6321</v>
      </c>
      <c r="C2048" s="6" t="s">
        <v>1073</v>
      </c>
      <c r="D2048" s="18">
        <v>1.0</v>
      </c>
      <c r="E2048" s="18">
        <v>20.1</v>
      </c>
      <c r="F2048" s="18">
        <v>20.1</v>
      </c>
    </row>
    <row r="2049">
      <c r="A2049" s="6" t="s">
        <v>6513</v>
      </c>
      <c r="B2049" s="6" t="s">
        <v>6321</v>
      </c>
      <c r="C2049" s="6" t="s">
        <v>1074</v>
      </c>
      <c r="D2049" s="18">
        <v>5.0</v>
      </c>
      <c r="E2049" s="18">
        <v>38.0</v>
      </c>
      <c r="F2049" s="18">
        <v>190.0</v>
      </c>
    </row>
    <row r="2050">
      <c r="A2050" s="6" t="s">
        <v>6516</v>
      </c>
      <c r="B2050" s="6" t="s">
        <v>6321</v>
      </c>
      <c r="C2050" s="6" t="s">
        <v>1079</v>
      </c>
      <c r="D2050" s="18">
        <v>30.0</v>
      </c>
      <c r="E2050" s="18">
        <v>16.6</v>
      </c>
      <c r="F2050" s="18">
        <v>498.0</v>
      </c>
    </row>
    <row r="2051">
      <c r="A2051" s="6" t="s">
        <v>6517</v>
      </c>
      <c r="B2051" s="6" t="s">
        <v>6321</v>
      </c>
      <c r="C2051" s="6" t="s">
        <v>1080</v>
      </c>
      <c r="D2051" s="18">
        <v>15.0</v>
      </c>
      <c r="E2051" s="18">
        <v>17.5</v>
      </c>
      <c r="F2051" s="18">
        <v>262.5</v>
      </c>
    </row>
    <row r="2052">
      <c r="A2052" s="6" t="s">
        <v>6518</v>
      </c>
      <c r="B2052" s="6" t="s">
        <v>6332</v>
      </c>
      <c r="C2052" s="6" t="s">
        <v>242</v>
      </c>
      <c r="D2052" s="18">
        <v>6.0</v>
      </c>
      <c r="E2052" s="18">
        <v>5.4</v>
      </c>
      <c r="F2052" s="18">
        <v>32.400000000000006</v>
      </c>
    </row>
    <row r="2053">
      <c r="A2053" s="6" t="s">
        <v>6519</v>
      </c>
      <c r="B2053" s="6" t="s">
        <v>6332</v>
      </c>
      <c r="C2053" s="6" t="s">
        <v>238</v>
      </c>
      <c r="D2053" s="18">
        <v>6.0</v>
      </c>
      <c r="E2053" s="18">
        <v>3.58</v>
      </c>
      <c r="F2053" s="18">
        <v>21.48</v>
      </c>
    </row>
    <row r="2054">
      <c r="A2054" s="6" t="s">
        <v>6521</v>
      </c>
      <c r="B2054" s="6" t="s">
        <v>6332</v>
      </c>
      <c r="C2054" s="6" t="s">
        <v>927</v>
      </c>
      <c r="D2054" s="18">
        <v>6.0</v>
      </c>
      <c r="E2054" s="18">
        <v>5.4</v>
      </c>
      <c r="F2054" s="18">
        <v>32.4</v>
      </c>
    </row>
    <row r="2055">
      <c r="A2055" s="6" t="s">
        <v>6522</v>
      </c>
      <c r="B2055" s="6" t="s">
        <v>6332</v>
      </c>
      <c r="C2055" s="6" t="s">
        <v>243</v>
      </c>
      <c r="D2055" s="18">
        <v>2.0</v>
      </c>
      <c r="E2055" s="18">
        <v>24.5</v>
      </c>
      <c r="F2055" s="18">
        <v>49.0</v>
      </c>
    </row>
    <row r="2056">
      <c r="A2056" s="6" t="s">
        <v>6524</v>
      </c>
      <c r="B2056" s="6" t="s">
        <v>6332</v>
      </c>
      <c r="C2056" s="6" t="s">
        <v>238</v>
      </c>
      <c r="D2056" s="18">
        <v>12.0</v>
      </c>
      <c r="E2056" s="18">
        <v>5.9</v>
      </c>
      <c r="F2056" s="18">
        <v>70.8</v>
      </c>
    </row>
    <row r="2057">
      <c r="A2057" s="6" t="s">
        <v>6526</v>
      </c>
      <c r="B2057" s="6" t="s">
        <v>6332</v>
      </c>
      <c r="C2057" s="6" t="s">
        <v>981</v>
      </c>
      <c r="D2057" s="18">
        <v>6.0</v>
      </c>
      <c r="E2057" s="18">
        <v>4.98</v>
      </c>
      <c r="F2057" s="18">
        <v>29.88</v>
      </c>
    </row>
    <row r="2058">
      <c r="A2058" s="6" t="s">
        <v>6527</v>
      </c>
      <c r="B2058" s="6" t="s">
        <v>6341</v>
      </c>
      <c r="C2058" s="6" t="s">
        <v>1904</v>
      </c>
      <c r="D2058" s="18">
        <v>1.0</v>
      </c>
      <c r="E2058" s="18">
        <v>4.0</v>
      </c>
      <c r="F2058" s="18">
        <v>4.0</v>
      </c>
    </row>
    <row r="2059">
      <c r="A2059" s="6" t="s">
        <v>6529</v>
      </c>
      <c r="B2059" s="6" t="s">
        <v>6348</v>
      </c>
      <c r="C2059" s="18">
        <v>1.6859108E7</v>
      </c>
      <c r="D2059" s="18">
        <v>1.0</v>
      </c>
      <c r="E2059" s="18">
        <v>204.77</v>
      </c>
      <c r="F2059" s="18">
        <v>204.77</v>
      </c>
    </row>
    <row r="2060">
      <c r="A2060" s="6" t="s">
        <v>6530</v>
      </c>
      <c r="B2060" s="6" t="s">
        <v>6356</v>
      </c>
      <c r="C2060" s="18">
        <v>1.2539885E7</v>
      </c>
      <c r="D2060" s="18">
        <v>1.0</v>
      </c>
      <c r="E2060" s="18">
        <v>400.0</v>
      </c>
      <c r="F2060" s="18">
        <v>400.0</v>
      </c>
    </row>
    <row r="2061">
      <c r="A2061" s="6" t="s">
        <v>6534</v>
      </c>
      <c r="B2061" s="6" t="s">
        <v>6365</v>
      </c>
      <c r="C2061" s="6" t="s">
        <v>159</v>
      </c>
      <c r="D2061" s="18">
        <v>15.0</v>
      </c>
      <c r="E2061" s="18">
        <v>14.0</v>
      </c>
      <c r="F2061" s="18">
        <v>210.0</v>
      </c>
    </row>
    <row r="2062">
      <c r="A2062" s="6" t="s">
        <v>6535</v>
      </c>
      <c r="B2062" s="6" t="s">
        <v>6365</v>
      </c>
      <c r="C2062" s="6" t="s">
        <v>155</v>
      </c>
      <c r="D2062" s="18">
        <v>1.0</v>
      </c>
      <c r="E2062" s="18">
        <v>46.9</v>
      </c>
      <c r="F2062" s="18">
        <v>46.9</v>
      </c>
    </row>
    <row r="2063">
      <c r="A2063" s="6" t="s">
        <v>6536</v>
      </c>
      <c r="B2063" s="6" t="s">
        <v>6365</v>
      </c>
      <c r="C2063" s="6" t="s">
        <v>152</v>
      </c>
      <c r="D2063" s="18">
        <v>1.0</v>
      </c>
      <c r="E2063" s="18">
        <v>12.45</v>
      </c>
      <c r="F2063" s="18">
        <v>12.45</v>
      </c>
    </row>
    <row r="2064">
      <c r="A2064" s="6" t="s">
        <v>6539</v>
      </c>
      <c r="B2064" s="6" t="s">
        <v>6365</v>
      </c>
      <c r="C2064" s="6" t="s">
        <v>226</v>
      </c>
      <c r="D2064" s="18">
        <v>1.0</v>
      </c>
      <c r="E2064" s="18">
        <v>60.0</v>
      </c>
      <c r="F2064" s="18">
        <v>60.0</v>
      </c>
    </row>
    <row r="2065">
      <c r="A2065" s="6" t="s">
        <v>6543</v>
      </c>
      <c r="B2065" s="6" t="s">
        <v>6375</v>
      </c>
      <c r="C2065" s="6" t="s">
        <v>159</v>
      </c>
      <c r="D2065" s="18">
        <v>1.0</v>
      </c>
      <c r="E2065" s="18">
        <v>140.0</v>
      </c>
      <c r="F2065" s="18">
        <v>140.0</v>
      </c>
    </row>
    <row r="2066">
      <c r="A2066" s="6" t="s">
        <v>6544</v>
      </c>
      <c r="B2066" s="6" t="s">
        <v>6375</v>
      </c>
      <c r="C2066" s="6" t="s">
        <v>155</v>
      </c>
      <c r="D2066" s="18">
        <v>1.0</v>
      </c>
      <c r="E2066" s="18">
        <v>30.0</v>
      </c>
      <c r="F2066" s="18">
        <v>30.0</v>
      </c>
    </row>
    <row r="2067">
      <c r="A2067" s="6" t="s">
        <v>6545</v>
      </c>
      <c r="B2067" s="6" t="s">
        <v>6375</v>
      </c>
      <c r="C2067" s="6" t="s">
        <v>152</v>
      </c>
      <c r="D2067" s="18">
        <v>1.0</v>
      </c>
      <c r="E2067" s="18">
        <v>6.3</v>
      </c>
      <c r="F2067" s="18">
        <v>6.3</v>
      </c>
    </row>
    <row r="2068">
      <c r="A2068" s="6" t="s">
        <v>6547</v>
      </c>
      <c r="B2068" s="6" t="s">
        <v>6375</v>
      </c>
      <c r="C2068" s="6" t="s">
        <v>226</v>
      </c>
      <c r="D2068" s="18">
        <v>1.0</v>
      </c>
      <c r="E2068" s="18">
        <v>47.5</v>
      </c>
      <c r="F2068" s="18">
        <v>47.5</v>
      </c>
    </row>
    <row r="2069">
      <c r="A2069" s="6" t="s">
        <v>6548</v>
      </c>
      <c r="B2069" s="6" t="s">
        <v>6384</v>
      </c>
      <c r="C2069" s="6" t="s">
        <v>305</v>
      </c>
      <c r="D2069" s="18">
        <v>1.0</v>
      </c>
      <c r="E2069" s="18">
        <v>21.48</v>
      </c>
      <c r="F2069" s="18">
        <v>21.48</v>
      </c>
    </row>
    <row r="2070">
      <c r="A2070" s="6" t="s">
        <v>6551</v>
      </c>
      <c r="B2070" s="6" t="s">
        <v>6393</v>
      </c>
      <c r="C2070" s="6" t="s">
        <v>2448</v>
      </c>
      <c r="D2070" s="18">
        <v>1.0</v>
      </c>
      <c r="E2070" s="18">
        <v>1841.38</v>
      </c>
      <c r="F2070" s="18">
        <v>1841.38</v>
      </c>
    </row>
    <row r="2071">
      <c r="A2071" s="6" t="s">
        <v>6552</v>
      </c>
      <c r="B2071" s="6" t="s">
        <v>6400</v>
      </c>
      <c r="C2071" s="6" t="s">
        <v>1168</v>
      </c>
      <c r="D2071" s="18">
        <v>1.0</v>
      </c>
      <c r="E2071" s="18">
        <v>500.0</v>
      </c>
      <c r="F2071" s="18">
        <v>500.0</v>
      </c>
    </row>
    <row r="2072">
      <c r="A2072" s="6" t="s">
        <v>6553</v>
      </c>
      <c r="B2072" s="6" t="s">
        <v>6406</v>
      </c>
      <c r="C2072" s="6" t="s">
        <v>1022</v>
      </c>
      <c r="D2072" s="18">
        <v>1.0</v>
      </c>
      <c r="E2072" s="18">
        <v>135.0</v>
      </c>
      <c r="F2072" s="18">
        <v>135.0</v>
      </c>
    </row>
    <row r="2073">
      <c r="A2073" s="6" t="s">
        <v>6554</v>
      </c>
      <c r="B2073" s="6" t="s">
        <v>6415</v>
      </c>
      <c r="C2073" s="6" t="s">
        <v>1517</v>
      </c>
      <c r="D2073" s="18">
        <v>1.0</v>
      </c>
      <c r="E2073" s="18">
        <v>9884.46</v>
      </c>
      <c r="F2073" s="18">
        <v>9884.46</v>
      </c>
    </row>
    <row r="2074">
      <c r="A2074" s="6" t="s">
        <v>6556</v>
      </c>
      <c r="B2074" s="6" t="s">
        <v>6427</v>
      </c>
      <c r="C2074" s="6" t="s">
        <v>1195</v>
      </c>
      <c r="D2074" s="18">
        <v>1.0</v>
      </c>
      <c r="E2074" s="18">
        <v>120.0</v>
      </c>
      <c r="F2074" s="18">
        <v>120.0</v>
      </c>
    </row>
    <row r="2075">
      <c r="A2075" s="6" t="s">
        <v>6557</v>
      </c>
      <c r="B2075" s="6" t="s">
        <v>6427</v>
      </c>
      <c r="C2075" s="6" t="s">
        <v>1046</v>
      </c>
      <c r="D2075" s="18">
        <v>1.0</v>
      </c>
      <c r="E2075" s="18">
        <v>154.0</v>
      </c>
      <c r="F2075" s="18">
        <v>154.0</v>
      </c>
    </row>
    <row r="2076">
      <c r="A2076" s="6" t="s">
        <v>6559</v>
      </c>
      <c r="B2076" s="6" t="s">
        <v>6427</v>
      </c>
      <c r="C2076" s="6" t="s">
        <v>266</v>
      </c>
      <c r="D2076" s="18">
        <v>1.0</v>
      </c>
      <c r="E2076" s="18">
        <v>54.0</v>
      </c>
      <c r="F2076" s="18">
        <v>54.0</v>
      </c>
    </row>
    <row r="2077">
      <c r="A2077" s="6" t="s">
        <v>6561</v>
      </c>
      <c r="B2077" s="6" t="s">
        <v>6427</v>
      </c>
      <c r="C2077" s="6" t="s">
        <v>2305</v>
      </c>
      <c r="D2077" s="18">
        <v>1.0</v>
      </c>
      <c r="E2077" s="18">
        <v>96.0</v>
      </c>
      <c r="F2077" s="18">
        <v>96.0</v>
      </c>
    </row>
    <row r="2078">
      <c r="A2078" s="6" t="s">
        <v>6562</v>
      </c>
      <c r="B2078" s="6" t="s">
        <v>6427</v>
      </c>
      <c r="C2078" s="6" t="s">
        <v>6563</v>
      </c>
      <c r="D2078" s="18">
        <v>1.0</v>
      </c>
      <c r="E2078" s="18">
        <v>24.0</v>
      </c>
      <c r="F2078" s="18">
        <v>24.0</v>
      </c>
    </row>
    <row r="2079">
      <c r="A2079" s="6" t="s">
        <v>6564</v>
      </c>
      <c r="B2079" s="6" t="s">
        <v>6427</v>
      </c>
      <c r="C2079" s="6" t="s">
        <v>1197</v>
      </c>
      <c r="D2079" s="18">
        <v>1.0</v>
      </c>
      <c r="E2079" s="18">
        <v>48.0</v>
      </c>
      <c r="F2079" s="18">
        <v>48.0</v>
      </c>
    </row>
    <row r="2080">
      <c r="A2080" s="6" t="s">
        <v>6565</v>
      </c>
      <c r="B2080" s="6" t="s">
        <v>6436</v>
      </c>
      <c r="C2080" s="18">
        <v>1.2539885E7</v>
      </c>
      <c r="D2080" s="18">
        <v>1.0</v>
      </c>
      <c r="E2080" s="18">
        <v>300.0</v>
      </c>
      <c r="F2080" s="18">
        <v>300.0</v>
      </c>
    </row>
    <row r="2081">
      <c r="A2081" s="6" t="s">
        <v>6566</v>
      </c>
      <c r="B2081" s="6" t="s">
        <v>6444</v>
      </c>
      <c r="C2081" s="6" t="s">
        <v>159</v>
      </c>
      <c r="D2081" s="18">
        <v>1.0</v>
      </c>
      <c r="E2081" s="18">
        <v>168.0</v>
      </c>
      <c r="F2081" s="18">
        <v>168.0</v>
      </c>
    </row>
    <row r="2082">
      <c r="A2082" s="6" t="s">
        <v>6568</v>
      </c>
      <c r="B2082" s="6" t="s">
        <v>6444</v>
      </c>
      <c r="C2082" s="6" t="s">
        <v>155</v>
      </c>
      <c r="D2082" s="18">
        <v>1.0</v>
      </c>
      <c r="E2082" s="18">
        <v>40.66</v>
      </c>
      <c r="F2082" s="18">
        <v>40.66</v>
      </c>
    </row>
    <row r="2083">
      <c r="A2083" s="6" t="s">
        <v>6569</v>
      </c>
      <c r="B2083" s="6" t="s">
        <v>6444</v>
      </c>
      <c r="C2083" s="6" t="s">
        <v>152</v>
      </c>
      <c r="D2083" s="18">
        <v>1.0</v>
      </c>
      <c r="E2083" s="18">
        <v>8.62</v>
      </c>
      <c r="F2083" s="18">
        <v>8.62</v>
      </c>
    </row>
    <row r="2084">
      <c r="A2084" s="6" t="s">
        <v>6571</v>
      </c>
      <c r="B2084" s="6" t="s">
        <v>6444</v>
      </c>
      <c r="C2084" s="6" t="s">
        <v>226</v>
      </c>
      <c r="D2084" s="18">
        <v>1.0</v>
      </c>
      <c r="E2084" s="18">
        <v>60.0</v>
      </c>
      <c r="F2084" s="18">
        <v>60.0</v>
      </c>
    </row>
    <row r="2085">
      <c r="A2085" s="6" t="s">
        <v>6573</v>
      </c>
      <c r="B2085" s="6" t="s">
        <v>6453</v>
      </c>
      <c r="C2085" s="6" t="s">
        <v>159</v>
      </c>
      <c r="D2085" s="18">
        <v>1.0</v>
      </c>
      <c r="E2085" s="18">
        <v>280.0</v>
      </c>
      <c r="F2085" s="18">
        <v>280.0</v>
      </c>
    </row>
    <row r="2086">
      <c r="A2086" s="6" t="s">
        <v>6574</v>
      </c>
      <c r="B2086" s="6" t="s">
        <v>6453</v>
      </c>
      <c r="C2086" s="6" t="s">
        <v>155</v>
      </c>
      <c r="D2086" s="18">
        <v>1.0</v>
      </c>
      <c r="E2086" s="18">
        <v>51.97</v>
      </c>
      <c r="F2086" s="18">
        <v>51.97</v>
      </c>
    </row>
    <row r="2087">
      <c r="A2087" s="6" t="s">
        <v>6575</v>
      </c>
      <c r="B2087" s="6" t="s">
        <v>6453</v>
      </c>
      <c r="C2087" s="6" t="s">
        <v>152</v>
      </c>
      <c r="D2087" s="18">
        <v>1.0</v>
      </c>
      <c r="E2087" s="18">
        <v>6.51</v>
      </c>
      <c r="F2087" s="18">
        <v>6.51</v>
      </c>
    </row>
    <row r="2088">
      <c r="A2088" s="6" t="s">
        <v>6576</v>
      </c>
      <c r="B2088" s="6" t="s">
        <v>6453</v>
      </c>
      <c r="C2088" s="6" t="s">
        <v>226</v>
      </c>
      <c r="D2088" s="18">
        <v>1.0</v>
      </c>
      <c r="E2088" s="18">
        <v>40.0</v>
      </c>
      <c r="F2088" s="18">
        <v>40.0</v>
      </c>
    </row>
    <row r="2089">
      <c r="A2089" s="6" t="s">
        <v>6578</v>
      </c>
      <c r="B2089" s="6" t="s">
        <v>6461</v>
      </c>
      <c r="C2089" s="6" t="s">
        <v>1073</v>
      </c>
      <c r="D2089" s="18">
        <v>1.0</v>
      </c>
      <c r="E2089" s="18">
        <v>20.1</v>
      </c>
      <c r="F2089" s="18">
        <v>20.1</v>
      </c>
    </row>
    <row r="2090">
      <c r="A2090" s="6" t="s">
        <v>6579</v>
      </c>
      <c r="B2090" s="6" t="s">
        <v>6461</v>
      </c>
      <c r="C2090" s="18">
        <v>7.5375964E7</v>
      </c>
      <c r="D2090" s="18">
        <v>1.0</v>
      </c>
      <c r="E2090" s="18">
        <v>18.0</v>
      </c>
      <c r="F2090" s="18">
        <v>18.0</v>
      </c>
    </row>
    <row r="2091">
      <c r="A2091" s="6" t="s">
        <v>6581</v>
      </c>
      <c r="B2091" s="6" t="s">
        <v>6461</v>
      </c>
      <c r="C2091" s="6" t="s">
        <v>1384</v>
      </c>
      <c r="D2091" s="18">
        <v>1.0</v>
      </c>
      <c r="E2091" s="18">
        <v>18.0</v>
      </c>
      <c r="F2091" s="18">
        <v>18.0</v>
      </c>
    </row>
    <row r="2092">
      <c r="A2092" s="6" t="s">
        <v>6583</v>
      </c>
      <c r="B2092" s="6" t="s">
        <v>6461</v>
      </c>
      <c r="C2092" s="6" t="s">
        <v>1404</v>
      </c>
      <c r="D2092" s="18">
        <v>1.0</v>
      </c>
      <c r="E2092" s="18">
        <v>18.0</v>
      </c>
      <c r="F2092" s="18">
        <v>18.0</v>
      </c>
    </row>
    <row r="2093">
      <c r="A2093" s="6" t="s">
        <v>6584</v>
      </c>
      <c r="B2093" s="6" t="s">
        <v>6461</v>
      </c>
      <c r="C2093" s="6" t="s">
        <v>1074</v>
      </c>
      <c r="D2093" s="18">
        <v>4.0</v>
      </c>
      <c r="E2093" s="18">
        <v>38.0</v>
      </c>
      <c r="F2093" s="18">
        <v>152.0</v>
      </c>
    </row>
    <row r="2094">
      <c r="A2094" s="6" t="s">
        <v>6585</v>
      </c>
      <c r="B2094" s="6" t="s">
        <v>6461</v>
      </c>
      <c r="C2094" s="6" t="s">
        <v>1077</v>
      </c>
      <c r="D2094" s="18">
        <v>3.0</v>
      </c>
      <c r="E2094" s="18">
        <v>24.0</v>
      </c>
      <c r="F2094" s="18">
        <v>72.0</v>
      </c>
    </row>
    <row r="2095">
      <c r="A2095" s="6" t="s">
        <v>6586</v>
      </c>
      <c r="B2095" s="6" t="s">
        <v>6461</v>
      </c>
      <c r="C2095" s="6" t="s">
        <v>1081</v>
      </c>
      <c r="D2095" s="18">
        <v>7.0</v>
      </c>
      <c r="E2095" s="18">
        <v>48.0</v>
      </c>
      <c r="F2095" s="18">
        <v>336.0</v>
      </c>
    </row>
    <row r="2096">
      <c r="A2096" s="6" t="s">
        <v>6588</v>
      </c>
      <c r="B2096" s="6" t="s">
        <v>6461</v>
      </c>
      <c r="C2096" s="6" t="s">
        <v>1083</v>
      </c>
      <c r="D2096" s="18">
        <v>1.0</v>
      </c>
      <c r="E2096" s="18">
        <v>18.0</v>
      </c>
      <c r="F2096" s="18">
        <v>18.0</v>
      </c>
    </row>
    <row r="2097">
      <c r="A2097" s="6" t="s">
        <v>6589</v>
      </c>
      <c r="B2097" s="6" t="s">
        <v>6461</v>
      </c>
      <c r="C2097" s="6" t="s">
        <v>1075</v>
      </c>
      <c r="D2097" s="18">
        <v>3.0</v>
      </c>
      <c r="E2097" s="18">
        <v>38.0</v>
      </c>
      <c r="F2097" s="18">
        <v>114.0</v>
      </c>
    </row>
    <row r="2098">
      <c r="A2098" s="6" t="s">
        <v>6591</v>
      </c>
      <c r="B2098" s="6" t="s">
        <v>6461</v>
      </c>
      <c r="C2098" s="6" t="s">
        <v>1091</v>
      </c>
      <c r="D2098" s="18">
        <v>2.0</v>
      </c>
      <c r="E2098" s="18">
        <v>36.0</v>
      </c>
      <c r="F2098" s="18">
        <v>72.0</v>
      </c>
    </row>
    <row r="2099">
      <c r="A2099" s="6" t="s">
        <v>6593</v>
      </c>
      <c r="B2099" s="6" t="s">
        <v>6473</v>
      </c>
      <c r="C2099" s="6" t="s">
        <v>1510</v>
      </c>
      <c r="D2099" s="18">
        <v>1.0</v>
      </c>
      <c r="E2099" s="18">
        <v>20650.67</v>
      </c>
      <c r="F2099" s="18">
        <v>20650.67</v>
      </c>
    </row>
    <row r="2100">
      <c r="A2100" s="6" t="s">
        <v>6595</v>
      </c>
      <c r="B2100" s="6" t="s">
        <v>6485</v>
      </c>
      <c r="C2100" s="6" t="s">
        <v>6322</v>
      </c>
      <c r="D2100" s="18">
        <v>1.0</v>
      </c>
      <c r="E2100" s="18">
        <v>53.74</v>
      </c>
      <c r="F2100" s="18">
        <v>53.74</v>
      </c>
    </row>
    <row r="2101">
      <c r="A2101" s="6" t="s">
        <v>6596</v>
      </c>
      <c r="B2101" s="6" t="s">
        <v>6495</v>
      </c>
      <c r="C2101" s="18">
        <v>1.2539885E7</v>
      </c>
      <c r="D2101" s="18">
        <v>1.0</v>
      </c>
      <c r="E2101" s="18">
        <v>225.0</v>
      </c>
      <c r="F2101" s="18">
        <v>225.0</v>
      </c>
    </row>
    <row r="2102">
      <c r="A2102" s="6" t="s">
        <v>6597</v>
      </c>
      <c r="B2102" s="6" t="s">
        <v>6510</v>
      </c>
      <c r="C2102" s="6" t="s">
        <v>1904</v>
      </c>
      <c r="D2102" s="18">
        <v>1.0</v>
      </c>
      <c r="E2102" s="18">
        <v>3.0</v>
      </c>
      <c r="F2102" s="18">
        <v>3.0</v>
      </c>
    </row>
    <row r="2103">
      <c r="A2103" s="6" t="s">
        <v>6599</v>
      </c>
      <c r="B2103" s="6" t="s">
        <v>6520</v>
      </c>
      <c r="C2103" s="6" t="s">
        <v>981</v>
      </c>
      <c r="D2103" s="18">
        <v>6.0</v>
      </c>
      <c r="E2103" s="18">
        <v>4.98</v>
      </c>
      <c r="F2103" s="18">
        <v>29.880000000000003</v>
      </c>
    </row>
    <row r="2104">
      <c r="A2104" s="6" t="s">
        <v>6602</v>
      </c>
      <c r="B2104" s="6" t="s">
        <v>6520</v>
      </c>
      <c r="C2104" s="6" t="s">
        <v>238</v>
      </c>
      <c r="D2104" s="18">
        <v>12.0</v>
      </c>
      <c r="E2104" s="18">
        <v>5.9</v>
      </c>
      <c r="F2104" s="18">
        <v>70.8</v>
      </c>
    </row>
    <row r="2105">
      <c r="A2105" s="6" t="s">
        <v>6603</v>
      </c>
      <c r="B2105" s="6" t="s">
        <v>6520</v>
      </c>
      <c r="C2105" s="6" t="s">
        <v>6604</v>
      </c>
      <c r="D2105" s="18">
        <v>6.0</v>
      </c>
      <c r="E2105" s="18">
        <v>3.58</v>
      </c>
      <c r="F2105" s="18">
        <v>21.48</v>
      </c>
    </row>
    <row r="2106">
      <c r="A2106" s="6" t="s">
        <v>6605</v>
      </c>
      <c r="B2106" s="6" t="s">
        <v>6528</v>
      </c>
      <c r="C2106" s="6" t="s">
        <v>1080</v>
      </c>
      <c r="D2106" s="18">
        <v>15.0</v>
      </c>
      <c r="E2106" s="18">
        <v>13.9</v>
      </c>
      <c r="F2106" s="18">
        <v>208.5</v>
      </c>
    </row>
    <row r="2107">
      <c r="A2107" s="6" t="s">
        <v>6607</v>
      </c>
      <c r="B2107" s="6" t="s">
        <v>6528</v>
      </c>
      <c r="C2107" s="6" t="s">
        <v>1079</v>
      </c>
      <c r="D2107" s="18">
        <v>10.0</v>
      </c>
      <c r="E2107" s="18">
        <v>12.9</v>
      </c>
      <c r="F2107" s="18">
        <v>129.0</v>
      </c>
    </row>
    <row r="2108">
      <c r="A2108" s="6" t="s">
        <v>6608</v>
      </c>
      <c r="B2108" s="6" t="s">
        <v>6537</v>
      </c>
      <c r="C2108" s="6" t="s">
        <v>1164</v>
      </c>
      <c r="D2108" s="18">
        <v>1.0</v>
      </c>
      <c r="E2108" s="18">
        <v>170.0</v>
      </c>
      <c r="F2108" s="18">
        <v>170.0</v>
      </c>
    </row>
    <row r="2109">
      <c r="A2109" s="6" t="s">
        <v>6610</v>
      </c>
      <c r="B2109" s="6" t="s">
        <v>6546</v>
      </c>
      <c r="C2109" s="6" t="s">
        <v>159</v>
      </c>
      <c r="D2109" s="18">
        <v>15.0</v>
      </c>
      <c r="E2109" s="18">
        <v>13.0</v>
      </c>
      <c r="F2109" s="18">
        <v>195.0</v>
      </c>
    </row>
    <row r="2110">
      <c r="A2110" s="6" t="s">
        <v>6613</v>
      </c>
      <c r="B2110" s="6" t="s">
        <v>6546</v>
      </c>
      <c r="C2110" s="6" t="s">
        <v>155</v>
      </c>
      <c r="D2110" s="18">
        <v>1.0</v>
      </c>
      <c r="E2110" s="18">
        <v>60.45</v>
      </c>
      <c r="F2110" s="18">
        <v>60.45</v>
      </c>
    </row>
    <row r="2111">
      <c r="A2111" s="6" t="s">
        <v>6614</v>
      </c>
      <c r="B2111" s="6" t="s">
        <v>6546</v>
      </c>
      <c r="C2111" s="6" t="s">
        <v>152</v>
      </c>
      <c r="D2111" s="18">
        <v>1.0</v>
      </c>
      <c r="E2111" s="18">
        <v>12.0</v>
      </c>
      <c r="F2111" s="18">
        <v>12.0</v>
      </c>
    </row>
    <row r="2112">
      <c r="A2112" s="6" t="s">
        <v>6615</v>
      </c>
      <c r="B2112" s="6" t="s">
        <v>6546</v>
      </c>
      <c r="C2112" s="6" t="s">
        <v>226</v>
      </c>
      <c r="D2112" s="18">
        <v>1.0</v>
      </c>
      <c r="E2112" s="18">
        <v>50.0</v>
      </c>
      <c r="F2112" s="18">
        <v>50.0</v>
      </c>
    </row>
    <row r="2113">
      <c r="A2113" s="6" t="s">
        <v>6616</v>
      </c>
      <c r="B2113" s="6" t="s">
        <v>6555</v>
      </c>
      <c r="C2113" s="6" t="s">
        <v>305</v>
      </c>
      <c r="D2113" s="18">
        <v>1.0</v>
      </c>
      <c r="E2113" s="18">
        <v>97.91</v>
      </c>
      <c r="F2113" s="18">
        <v>97.91</v>
      </c>
    </row>
    <row r="2114">
      <c r="A2114" s="6" t="s">
        <v>6618</v>
      </c>
      <c r="B2114" s="6" t="s">
        <v>6567</v>
      </c>
      <c r="C2114" s="6" t="s">
        <v>305</v>
      </c>
      <c r="D2114" s="18">
        <v>1.0</v>
      </c>
      <c r="E2114" s="18">
        <v>36.22</v>
      </c>
      <c r="F2114" s="18">
        <v>36.22</v>
      </c>
    </row>
    <row r="2115">
      <c r="A2115" s="6" t="s">
        <v>6619</v>
      </c>
      <c r="B2115" s="6" t="s">
        <v>6577</v>
      </c>
      <c r="C2115" s="18">
        <v>1.2539885E7</v>
      </c>
      <c r="D2115" s="18">
        <v>1.0</v>
      </c>
      <c r="E2115" s="18">
        <v>275.0</v>
      </c>
      <c r="F2115" s="18">
        <v>275.0</v>
      </c>
    </row>
    <row r="2116">
      <c r="A2116" s="6" t="s">
        <v>6620</v>
      </c>
      <c r="B2116" s="6" t="s">
        <v>6587</v>
      </c>
      <c r="C2116" s="6" t="s">
        <v>1854</v>
      </c>
      <c r="D2116" s="18">
        <v>1.0</v>
      </c>
      <c r="E2116" s="18">
        <v>550.0</v>
      </c>
      <c r="F2116" s="18">
        <v>550.0</v>
      </c>
    </row>
    <row r="2117">
      <c r="A2117" s="6" t="s">
        <v>6622</v>
      </c>
      <c r="B2117" s="6" t="s">
        <v>6598</v>
      </c>
      <c r="C2117" s="6" t="s">
        <v>247</v>
      </c>
      <c r="D2117" s="18">
        <v>19.0</v>
      </c>
      <c r="E2117" s="18">
        <v>0.89</v>
      </c>
      <c r="F2117" s="18">
        <v>16.91</v>
      </c>
    </row>
    <row r="2118">
      <c r="A2118" s="6" t="s">
        <v>6623</v>
      </c>
      <c r="B2118" s="6" t="s">
        <v>6598</v>
      </c>
      <c r="C2118" s="6" t="s">
        <v>5563</v>
      </c>
      <c r="D2118" s="18">
        <v>3.0</v>
      </c>
      <c r="E2118" s="18">
        <v>19.98</v>
      </c>
      <c r="F2118" s="18">
        <v>59.94</v>
      </c>
    </row>
    <row r="2119">
      <c r="A2119" s="6" t="s">
        <v>6624</v>
      </c>
      <c r="B2119" s="6" t="s">
        <v>6598</v>
      </c>
      <c r="C2119" s="6" t="s">
        <v>1197</v>
      </c>
      <c r="D2119" s="18">
        <v>2.0</v>
      </c>
      <c r="E2119" s="18">
        <v>5.79</v>
      </c>
      <c r="F2119" s="18">
        <v>11.58</v>
      </c>
    </row>
    <row r="2120">
      <c r="A2120" s="6" t="s">
        <v>6626</v>
      </c>
      <c r="B2120" s="6" t="s">
        <v>6598</v>
      </c>
      <c r="C2120" s="6" t="s">
        <v>305</v>
      </c>
      <c r="D2120" s="18">
        <v>1.0</v>
      </c>
      <c r="E2120" s="18">
        <v>101.78</v>
      </c>
      <c r="F2120" s="18">
        <v>101.78</v>
      </c>
    </row>
    <row r="2121">
      <c r="A2121" s="6" t="s">
        <v>6627</v>
      </c>
      <c r="B2121" s="6" t="s">
        <v>6606</v>
      </c>
      <c r="C2121" s="6" t="s">
        <v>794</v>
      </c>
      <c r="D2121" s="18">
        <v>2.0</v>
      </c>
      <c r="E2121" s="18">
        <v>213.2</v>
      </c>
      <c r="F2121" s="18">
        <v>426.4</v>
      </c>
    </row>
    <row r="2122">
      <c r="A2122" s="6" t="s">
        <v>6628</v>
      </c>
      <c r="B2122" s="6" t="s">
        <v>6606</v>
      </c>
      <c r="C2122" s="6" t="s">
        <v>794</v>
      </c>
      <c r="D2122" s="18">
        <v>1.0</v>
      </c>
      <c r="E2122" s="18">
        <v>79.95</v>
      </c>
      <c r="F2122" s="18">
        <v>79.95</v>
      </c>
    </row>
    <row r="2123">
      <c r="A2123" s="6" t="s">
        <v>6629</v>
      </c>
      <c r="B2123" s="6" t="s">
        <v>6606</v>
      </c>
      <c r="C2123" s="6" t="s">
        <v>249</v>
      </c>
      <c r="D2123" s="18">
        <v>1.0</v>
      </c>
      <c r="E2123" s="18">
        <v>193.92</v>
      </c>
      <c r="F2123" s="18">
        <v>193.92</v>
      </c>
    </row>
    <row r="2124">
      <c r="A2124" s="6" t="s">
        <v>6630</v>
      </c>
      <c r="B2124" s="6" t="s">
        <v>6606</v>
      </c>
      <c r="C2124" s="6" t="s">
        <v>1346</v>
      </c>
      <c r="D2124" s="18">
        <v>1.0</v>
      </c>
      <c r="E2124" s="18">
        <v>97.3</v>
      </c>
      <c r="F2124" s="18">
        <v>97.3</v>
      </c>
    </row>
    <row r="2125">
      <c r="A2125" s="6" t="s">
        <v>6631</v>
      </c>
      <c r="B2125" s="6" t="s">
        <v>6606</v>
      </c>
      <c r="C2125" s="6" t="s">
        <v>1350</v>
      </c>
      <c r="D2125" s="18">
        <v>1.0</v>
      </c>
      <c r="E2125" s="18">
        <v>165.6</v>
      </c>
      <c r="F2125" s="18">
        <v>165.6</v>
      </c>
    </row>
    <row r="2126">
      <c r="A2126" s="6" t="s">
        <v>6633</v>
      </c>
      <c r="B2126" s="6" t="s">
        <v>6606</v>
      </c>
      <c r="C2126" s="6" t="s">
        <v>1350</v>
      </c>
      <c r="D2126" s="18">
        <v>1.0</v>
      </c>
      <c r="E2126" s="18">
        <v>196.4</v>
      </c>
      <c r="F2126" s="18">
        <v>196.4</v>
      </c>
    </row>
    <row r="2127">
      <c r="A2127" s="6" t="s">
        <v>6634</v>
      </c>
      <c r="B2127" s="6" t="s">
        <v>6617</v>
      </c>
      <c r="C2127" s="6" t="s">
        <v>1239</v>
      </c>
      <c r="D2127" s="18">
        <v>1.0</v>
      </c>
      <c r="E2127" s="18">
        <v>457.12</v>
      </c>
      <c r="F2127" s="18">
        <v>457.12</v>
      </c>
    </row>
    <row r="2128">
      <c r="A2128" s="6" t="s">
        <v>6635</v>
      </c>
      <c r="B2128" s="6" t="s">
        <v>6625</v>
      </c>
      <c r="C2128" s="6" t="s">
        <v>1239</v>
      </c>
      <c r="D2128" s="18">
        <v>1.0</v>
      </c>
      <c r="E2128" s="18">
        <v>1643.81</v>
      </c>
      <c r="F2128" s="18">
        <v>1643.81</v>
      </c>
    </row>
    <row r="2129">
      <c r="A2129" s="6" t="s">
        <v>6636</v>
      </c>
      <c r="B2129" s="6" t="s">
        <v>6632</v>
      </c>
      <c r="C2129" s="6" t="s">
        <v>1239</v>
      </c>
      <c r="D2129" s="18">
        <v>1.0</v>
      </c>
      <c r="E2129" s="18">
        <v>2042.34</v>
      </c>
      <c r="F2129" s="18">
        <v>2042.34</v>
      </c>
    </row>
    <row r="2130">
      <c r="A2130" s="6" t="s">
        <v>6637</v>
      </c>
      <c r="B2130" s="6" t="s">
        <v>6638</v>
      </c>
      <c r="C2130" s="6" t="s">
        <v>1239</v>
      </c>
      <c r="D2130" s="18">
        <v>1.0</v>
      </c>
      <c r="E2130" s="18">
        <v>2096.94</v>
      </c>
      <c r="F2130" s="18">
        <v>2096.94</v>
      </c>
    </row>
    <row r="2131">
      <c r="A2131" s="6" t="s">
        <v>6639</v>
      </c>
      <c r="B2131" s="6" t="s">
        <v>6640</v>
      </c>
      <c r="C2131" s="6" t="s">
        <v>1054</v>
      </c>
      <c r="D2131" s="18">
        <v>1.0</v>
      </c>
      <c r="E2131" s="18">
        <v>1345.58</v>
      </c>
      <c r="F2131" s="18">
        <v>1345.58</v>
      </c>
    </row>
    <row r="2132">
      <c r="A2132" s="6" t="s">
        <v>6641</v>
      </c>
      <c r="B2132" s="6" t="s">
        <v>6642</v>
      </c>
      <c r="C2132" s="6" t="s">
        <v>1239</v>
      </c>
      <c r="D2132" s="18">
        <v>1.0</v>
      </c>
      <c r="E2132" s="18">
        <v>521.31</v>
      </c>
      <c r="F2132" s="18">
        <v>521.31</v>
      </c>
    </row>
    <row r="2133">
      <c r="A2133" s="6" t="s">
        <v>6643</v>
      </c>
      <c r="B2133" s="6" t="s">
        <v>6644</v>
      </c>
      <c r="C2133" s="6" t="s">
        <v>3218</v>
      </c>
      <c r="D2133" s="18">
        <v>1.0</v>
      </c>
      <c r="E2133" s="18">
        <v>350.79</v>
      </c>
      <c r="F2133" s="18">
        <v>350.79</v>
      </c>
    </row>
    <row r="2134">
      <c r="A2134" s="6" t="s">
        <v>6645</v>
      </c>
      <c r="B2134" s="6" t="s">
        <v>6646</v>
      </c>
      <c r="C2134" s="6" t="s">
        <v>1792</v>
      </c>
      <c r="D2134" s="18">
        <v>1.0</v>
      </c>
      <c r="E2134" s="18">
        <v>340.26</v>
      </c>
      <c r="F2134" s="18">
        <v>340.26</v>
      </c>
    </row>
    <row r="2135">
      <c r="A2135" s="6" t="s">
        <v>6647</v>
      </c>
      <c r="B2135" s="6" t="s">
        <v>6648</v>
      </c>
      <c r="C2135" s="6" t="s">
        <v>6649</v>
      </c>
      <c r="D2135" s="18">
        <v>1.0</v>
      </c>
      <c r="E2135" s="18">
        <v>341.82</v>
      </c>
      <c r="F2135" s="18">
        <v>341.82</v>
      </c>
    </row>
    <row r="2136">
      <c r="A2136" s="6" t="s">
        <v>6650</v>
      </c>
      <c r="B2136" s="6" t="s">
        <v>6651</v>
      </c>
      <c r="C2136" s="6" t="s">
        <v>4831</v>
      </c>
      <c r="D2136" s="18">
        <v>1.0</v>
      </c>
      <c r="E2136" s="18">
        <v>375.0</v>
      </c>
      <c r="F2136" s="18">
        <v>375.0</v>
      </c>
    </row>
    <row r="2137">
      <c r="A2137" s="6" t="s">
        <v>6652</v>
      </c>
      <c r="B2137" s="6" t="s">
        <v>6653</v>
      </c>
      <c r="C2137" s="6" t="s">
        <v>1270</v>
      </c>
      <c r="D2137" s="18">
        <v>1.0</v>
      </c>
      <c r="E2137" s="18">
        <v>11000.0</v>
      </c>
      <c r="F2137" s="18">
        <v>11000.0</v>
      </c>
    </row>
    <row r="2138">
      <c r="A2138" s="6" t="s">
        <v>6654</v>
      </c>
      <c r="B2138" s="6" t="s">
        <v>6655</v>
      </c>
      <c r="C2138" s="6" t="s">
        <v>1270</v>
      </c>
      <c r="D2138" s="18">
        <v>1.0</v>
      </c>
      <c r="E2138" s="18">
        <v>11000.0</v>
      </c>
      <c r="F2138" s="18">
        <v>11000.0</v>
      </c>
    </row>
    <row r="2139">
      <c r="A2139" s="6" t="s">
        <v>6656</v>
      </c>
      <c r="B2139" s="6" t="s">
        <v>6657</v>
      </c>
      <c r="C2139" s="6" t="s">
        <v>1270</v>
      </c>
      <c r="D2139" s="18">
        <v>1.0</v>
      </c>
      <c r="E2139" s="18">
        <v>11000.0</v>
      </c>
      <c r="F2139" s="18">
        <v>11000.0</v>
      </c>
    </row>
    <row r="2140">
      <c r="A2140" s="6" t="s">
        <v>6659</v>
      </c>
      <c r="B2140" s="6" t="s">
        <v>6660</v>
      </c>
      <c r="C2140" s="6" t="s">
        <v>1552</v>
      </c>
      <c r="D2140" s="18">
        <v>1.0</v>
      </c>
      <c r="E2140" s="18">
        <v>553.0</v>
      </c>
      <c r="F2140" s="18">
        <v>553.0</v>
      </c>
    </row>
    <row r="2141">
      <c r="A2141" s="6" t="s">
        <v>6661</v>
      </c>
      <c r="B2141" s="6" t="s">
        <v>6662</v>
      </c>
      <c r="C2141" s="6" t="s">
        <v>6663</v>
      </c>
      <c r="D2141" s="18">
        <v>1.0</v>
      </c>
      <c r="E2141" s="18">
        <v>1080.0</v>
      </c>
      <c r="F2141" s="18">
        <v>1080.0</v>
      </c>
    </row>
    <row r="2142">
      <c r="A2142" s="6" t="s">
        <v>6664</v>
      </c>
      <c r="B2142" s="6" t="s">
        <v>6665</v>
      </c>
      <c r="C2142" s="6" t="s">
        <v>1073</v>
      </c>
      <c r="D2142" s="18">
        <v>1.0</v>
      </c>
      <c r="E2142" s="18">
        <v>20.1</v>
      </c>
      <c r="F2142" s="18">
        <v>20.1</v>
      </c>
    </row>
    <row r="2143">
      <c r="A2143" s="6" t="s">
        <v>6666</v>
      </c>
      <c r="B2143" s="6" t="s">
        <v>6665</v>
      </c>
      <c r="C2143" s="6" t="s">
        <v>1074</v>
      </c>
      <c r="D2143" s="18">
        <v>4.0</v>
      </c>
      <c r="E2143" s="18">
        <v>38.0</v>
      </c>
      <c r="F2143" s="18">
        <v>152.0</v>
      </c>
    </row>
    <row r="2144">
      <c r="A2144" s="6" t="s">
        <v>6667</v>
      </c>
      <c r="B2144" s="6" t="s">
        <v>6665</v>
      </c>
      <c r="C2144" s="6" t="s">
        <v>1077</v>
      </c>
      <c r="D2144" s="18">
        <v>3.0</v>
      </c>
      <c r="E2144" s="18">
        <v>25.8</v>
      </c>
      <c r="F2144" s="18">
        <v>77.4</v>
      </c>
    </row>
    <row r="2145">
      <c r="A2145" s="6" t="s">
        <v>6668</v>
      </c>
      <c r="B2145" s="6" t="s">
        <v>6665</v>
      </c>
      <c r="C2145" s="6" t="s">
        <v>1081</v>
      </c>
      <c r="D2145" s="18">
        <v>3.0</v>
      </c>
      <c r="E2145" s="18">
        <v>48.0</v>
      </c>
      <c r="F2145" s="18">
        <v>144.0</v>
      </c>
    </row>
    <row r="2146">
      <c r="A2146" s="6" t="s">
        <v>6669</v>
      </c>
      <c r="B2146" s="6" t="s">
        <v>6665</v>
      </c>
      <c r="C2146" s="6" t="s">
        <v>1075</v>
      </c>
      <c r="D2146" s="18">
        <v>2.0</v>
      </c>
      <c r="E2146" s="18">
        <v>38.0</v>
      </c>
      <c r="F2146" s="18">
        <v>76.0</v>
      </c>
    </row>
    <row r="2147">
      <c r="A2147" s="6" t="s">
        <v>6670</v>
      </c>
      <c r="B2147" s="6" t="s">
        <v>6665</v>
      </c>
      <c r="C2147" s="18">
        <v>7.5375964E7</v>
      </c>
      <c r="D2147" s="18">
        <v>2.0</v>
      </c>
      <c r="E2147" s="18">
        <v>38.0</v>
      </c>
      <c r="F2147" s="18">
        <v>76.0</v>
      </c>
    </row>
    <row r="2148">
      <c r="A2148" s="6" t="s">
        <v>6671</v>
      </c>
      <c r="B2148" s="18">
        <v>2.4830701E7</v>
      </c>
      <c r="C2148" s="6" t="s">
        <v>305</v>
      </c>
      <c r="D2148" s="18">
        <v>1.0</v>
      </c>
      <c r="E2148" s="18">
        <v>38.93</v>
      </c>
      <c r="F2148" s="18">
        <v>38.93</v>
      </c>
    </row>
    <row r="2149">
      <c r="A2149" s="6" t="s">
        <v>6672</v>
      </c>
      <c r="B2149" s="6" t="s">
        <v>6673</v>
      </c>
      <c r="C2149" s="6" t="s">
        <v>159</v>
      </c>
      <c r="D2149" s="18">
        <v>1.0</v>
      </c>
      <c r="E2149" s="18">
        <v>260.0</v>
      </c>
      <c r="F2149" s="18">
        <v>260.0</v>
      </c>
    </row>
    <row r="2150">
      <c r="A2150" s="6" t="s">
        <v>6674</v>
      </c>
      <c r="B2150" s="6" t="s">
        <v>6673</v>
      </c>
      <c r="C2150" s="6" t="s">
        <v>155</v>
      </c>
      <c r="D2150" s="18">
        <v>1.0</v>
      </c>
      <c r="E2150" s="18">
        <v>97.46</v>
      </c>
      <c r="F2150" s="18">
        <v>97.46</v>
      </c>
    </row>
    <row r="2151">
      <c r="A2151" s="6" t="s">
        <v>6675</v>
      </c>
      <c r="B2151" s="6" t="s">
        <v>6673</v>
      </c>
      <c r="C2151" s="6" t="s">
        <v>152</v>
      </c>
      <c r="D2151" s="18">
        <v>1.0</v>
      </c>
      <c r="E2151" s="18">
        <v>9.83</v>
      </c>
      <c r="F2151" s="18">
        <v>9.83</v>
      </c>
    </row>
    <row r="2152">
      <c r="A2152" s="6" t="s">
        <v>6676</v>
      </c>
      <c r="B2152" s="6" t="s">
        <v>6673</v>
      </c>
      <c r="C2152" s="6" t="s">
        <v>226</v>
      </c>
      <c r="D2152" s="18">
        <v>1.0</v>
      </c>
      <c r="E2152" s="18">
        <v>80.0</v>
      </c>
      <c r="F2152" s="18">
        <v>80.0</v>
      </c>
    </row>
    <row r="2153">
      <c r="A2153" s="6" t="s">
        <v>6677</v>
      </c>
      <c r="B2153" s="6" t="s">
        <v>6678</v>
      </c>
      <c r="C2153" s="18">
        <v>1.2539885E7</v>
      </c>
      <c r="D2153" s="18">
        <v>1.0</v>
      </c>
      <c r="E2153" s="18">
        <v>250.0</v>
      </c>
      <c r="F2153" s="18">
        <v>250.0</v>
      </c>
    </row>
    <row r="2154">
      <c r="A2154" s="6" t="s">
        <v>6679</v>
      </c>
      <c r="B2154" s="6" t="s">
        <v>6680</v>
      </c>
      <c r="C2154" s="6" t="s">
        <v>159</v>
      </c>
      <c r="D2154" s="18">
        <v>1.0</v>
      </c>
      <c r="E2154" s="18">
        <v>130.0</v>
      </c>
      <c r="F2154" s="18">
        <v>130.0</v>
      </c>
    </row>
    <row r="2155">
      <c r="A2155" s="6" t="s">
        <v>6681</v>
      </c>
      <c r="B2155" s="6" t="s">
        <v>6680</v>
      </c>
      <c r="C2155" s="6" t="s">
        <v>155</v>
      </c>
      <c r="D2155" s="18">
        <v>1.0</v>
      </c>
      <c r="E2155" s="18">
        <v>47.9</v>
      </c>
      <c r="F2155" s="18">
        <v>47.9</v>
      </c>
    </row>
    <row r="2156">
      <c r="A2156" s="6" t="s">
        <v>6684</v>
      </c>
      <c r="B2156" s="6" t="s">
        <v>6680</v>
      </c>
      <c r="C2156" s="6" t="s">
        <v>226</v>
      </c>
      <c r="D2156" s="18">
        <v>1.0</v>
      </c>
      <c r="E2156" s="18">
        <v>38.0</v>
      </c>
      <c r="F2156" s="18">
        <v>38.0</v>
      </c>
    </row>
    <row r="2157">
      <c r="A2157" s="6" t="s">
        <v>6686</v>
      </c>
      <c r="B2157" s="6" t="s">
        <v>6680</v>
      </c>
      <c r="C2157" s="6" t="s">
        <v>152</v>
      </c>
      <c r="D2157" s="18">
        <v>1.0</v>
      </c>
      <c r="E2157" s="18">
        <v>10.2</v>
      </c>
      <c r="F2157" s="18">
        <v>10.2</v>
      </c>
    </row>
    <row r="2158">
      <c r="A2158" s="6" t="s">
        <v>6687</v>
      </c>
      <c r="B2158" s="6" t="s">
        <v>6688</v>
      </c>
      <c r="C2158" s="6" t="s">
        <v>305</v>
      </c>
      <c r="D2158" s="18">
        <v>1.0</v>
      </c>
      <c r="E2158" s="18">
        <v>18.3</v>
      </c>
      <c r="F2158" s="18">
        <v>18.3</v>
      </c>
    </row>
    <row r="2159">
      <c r="A2159" s="6" t="s">
        <v>6689</v>
      </c>
      <c r="B2159" s="6" t="s">
        <v>6690</v>
      </c>
      <c r="C2159" s="6" t="s">
        <v>305</v>
      </c>
      <c r="D2159" s="18">
        <v>1.0</v>
      </c>
      <c r="E2159" s="18">
        <v>32.7</v>
      </c>
      <c r="F2159" s="18">
        <v>32.7</v>
      </c>
    </row>
    <row r="2160">
      <c r="A2160" s="6" t="s">
        <v>6691</v>
      </c>
      <c r="B2160" s="6" t="s">
        <v>6692</v>
      </c>
      <c r="C2160" s="6" t="s">
        <v>2003</v>
      </c>
      <c r="D2160" s="18">
        <v>1.0</v>
      </c>
      <c r="E2160" s="18">
        <v>735.94</v>
      </c>
      <c r="F2160" s="18">
        <v>735.94</v>
      </c>
    </row>
    <row r="2161">
      <c r="A2161" s="6" t="s">
        <v>6693</v>
      </c>
      <c r="B2161" s="6" t="s">
        <v>6694</v>
      </c>
      <c r="C2161" s="18">
        <v>1.2539885E7</v>
      </c>
      <c r="D2161" s="18">
        <v>1.0</v>
      </c>
      <c r="E2161" s="18">
        <v>200.0</v>
      </c>
      <c r="F2161" s="18">
        <v>200.0</v>
      </c>
    </row>
    <row r="2162">
      <c r="A2162" s="6" t="s">
        <v>6696</v>
      </c>
      <c r="B2162" s="6" t="s">
        <v>6698</v>
      </c>
      <c r="C2162" s="6" t="s">
        <v>1510</v>
      </c>
      <c r="D2162" s="18">
        <v>1.0</v>
      </c>
      <c r="E2162" s="18">
        <v>266.62</v>
      </c>
      <c r="F2162" s="18">
        <v>266.62</v>
      </c>
    </row>
    <row r="2163">
      <c r="A2163" s="6" t="s">
        <v>6700</v>
      </c>
      <c r="B2163" s="6" t="s">
        <v>6701</v>
      </c>
      <c r="C2163" s="6" t="s">
        <v>1510</v>
      </c>
      <c r="D2163" s="18">
        <v>1.0</v>
      </c>
      <c r="E2163" s="18">
        <v>21101.51</v>
      </c>
      <c r="F2163" s="18">
        <v>21101.51</v>
      </c>
    </row>
    <row r="2164">
      <c r="A2164" s="6" t="s">
        <v>6702</v>
      </c>
      <c r="B2164" s="6" t="s">
        <v>6703</v>
      </c>
      <c r="C2164" s="6" t="s">
        <v>1517</v>
      </c>
      <c r="D2164" s="18">
        <v>1.0</v>
      </c>
      <c r="E2164" s="18">
        <v>8223.17</v>
      </c>
      <c r="F2164" s="18">
        <v>8223.17</v>
      </c>
    </row>
    <row r="2165">
      <c r="A2165" s="6" t="s">
        <v>6704</v>
      </c>
      <c r="B2165" s="6" t="s">
        <v>6705</v>
      </c>
      <c r="C2165" s="6" t="s">
        <v>305</v>
      </c>
      <c r="D2165" s="18">
        <v>1.0</v>
      </c>
      <c r="E2165" s="18">
        <v>193.5</v>
      </c>
      <c r="F2165" s="18">
        <v>193.5</v>
      </c>
    </row>
    <row r="2166">
      <c r="A2166" s="6" t="s">
        <v>6706</v>
      </c>
      <c r="B2166" s="6" t="s">
        <v>6707</v>
      </c>
      <c r="C2166" s="6" t="s">
        <v>159</v>
      </c>
      <c r="D2166" s="18">
        <v>10.0</v>
      </c>
      <c r="E2166" s="18">
        <v>12.5</v>
      </c>
      <c r="F2166" s="18">
        <v>125.0</v>
      </c>
    </row>
    <row r="2167">
      <c r="A2167" s="6" t="s">
        <v>6708</v>
      </c>
      <c r="B2167" s="6" t="s">
        <v>6707</v>
      </c>
      <c r="C2167" s="6" t="s">
        <v>155</v>
      </c>
      <c r="D2167" s="18">
        <v>1.0</v>
      </c>
      <c r="E2167" s="18">
        <v>65.29</v>
      </c>
      <c r="F2167" s="18">
        <v>65.29</v>
      </c>
    </row>
    <row r="2168">
      <c r="A2168" s="6" t="s">
        <v>6709</v>
      </c>
      <c r="B2168" s="6" t="s">
        <v>6707</v>
      </c>
      <c r="C2168" s="6" t="s">
        <v>152</v>
      </c>
      <c r="D2168" s="18">
        <v>3.0</v>
      </c>
      <c r="E2168" s="18">
        <v>3.0</v>
      </c>
      <c r="F2168" s="18">
        <v>9.0</v>
      </c>
    </row>
    <row r="2169">
      <c r="A2169" s="6" t="s">
        <v>6710</v>
      </c>
      <c r="B2169" s="6" t="s">
        <v>6707</v>
      </c>
      <c r="C2169" s="6" t="s">
        <v>226</v>
      </c>
      <c r="D2169" s="18">
        <v>5.0</v>
      </c>
      <c r="E2169" s="18">
        <v>9.0</v>
      </c>
      <c r="F2169" s="18">
        <v>45.0</v>
      </c>
    </row>
    <row r="2170">
      <c r="A2170" s="6" t="s">
        <v>6711</v>
      </c>
      <c r="B2170" s="6" t="s">
        <v>6712</v>
      </c>
      <c r="C2170" s="6" t="s">
        <v>159</v>
      </c>
      <c r="D2170" s="18">
        <v>1.0</v>
      </c>
      <c r="E2170" s="18">
        <v>130.0</v>
      </c>
      <c r="F2170" s="18">
        <v>130.0</v>
      </c>
    </row>
    <row r="2171">
      <c r="A2171" s="6" t="s">
        <v>6713</v>
      </c>
      <c r="B2171" s="6" t="s">
        <v>6712</v>
      </c>
      <c r="C2171" s="6" t="s">
        <v>155</v>
      </c>
      <c r="D2171" s="18">
        <v>1.0</v>
      </c>
      <c r="E2171" s="18">
        <v>41.94</v>
      </c>
      <c r="F2171" s="18">
        <v>41.94</v>
      </c>
    </row>
    <row r="2172">
      <c r="A2172" s="6" t="s">
        <v>6714</v>
      </c>
      <c r="B2172" s="6" t="s">
        <v>6712</v>
      </c>
      <c r="C2172" s="6" t="s">
        <v>152</v>
      </c>
      <c r="D2172" s="18">
        <v>1.0</v>
      </c>
      <c r="E2172" s="18">
        <v>6.12</v>
      </c>
      <c r="F2172" s="18">
        <v>6.12</v>
      </c>
    </row>
    <row r="2173">
      <c r="A2173" s="6" t="s">
        <v>6715</v>
      </c>
      <c r="B2173" s="6" t="s">
        <v>6712</v>
      </c>
      <c r="C2173" s="6" t="s">
        <v>226</v>
      </c>
      <c r="D2173" s="18">
        <v>5.0</v>
      </c>
      <c r="E2173" s="18">
        <v>9.0</v>
      </c>
      <c r="F2173" s="18">
        <v>45.0</v>
      </c>
    </row>
    <row r="2174">
      <c r="A2174" s="6" t="s">
        <v>6716</v>
      </c>
      <c r="B2174" s="6" t="s">
        <v>6717</v>
      </c>
      <c r="C2174" s="18">
        <v>1.2539885E7</v>
      </c>
      <c r="D2174" s="18">
        <v>1.0</v>
      </c>
      <c r="E2174" s="18">
        <v>525.0</v>
      </c>
      <c r="F2174" s="18">
        <v>525.0</v>
      </c>
    </row>
    <row r="2175">
      <c r="A2175" s="6" t="s">
        <v>6718</v>
      </c>
      <c r="B2175" s="6" t="s">
        <v>6719</v>
      </c>
      <c r="C2175" s="6" t="s">
        <v>6720</v>
      </c>
      <c r="D2175" s="18">
        <v>1.0</v>
      </c>
      <c r="E2175" s="18">
        <v>210.0</v>
      </c>
      <c r="F2175" s="18">
        <v>210.0</v>
      </c>
    </row>
    <row r="2176">
      <c r="A2176" s="6" t="s">
        <v>6722</v>
      </c>
      <c r="B2176" s="6" t="s">
        <v>6723</v>
      </c>
      <c r="C2176" s="6" t="s">
        <v>3496</v>
      </c>
      <c r="D2176" s="18">
        <v>1.0</v>
      </c>
      <c r="E2176" s="18">
        <v>232.67</v>
      </c>
      <c r="F2176" s="18">
        <v>232.67</v>
      </c>
    </row>
    <row r="2177">
      <c r="A2177" s="6" t="s">
        <v>6724</v>
      </c>
      <c r="B2177" s="6" t="s">
        <v>6725</v>
      </c>
      <c r="C2177" s="6" t="s">
        <v>1168</v>
      </c>
      <c r="D2177" s="18">
        <v>1.0</v>
      </c>
      <c r="E2177" s="18">
        <v>500.0</v>
      </c>
      <c r="F2177" s="18">
        <v>500.0</v>
      </c>
    </row>
    <row r="2178">
      <c r="A2178" s="6" t="s">
        <v>6726</v>
      </c>
      <c r="B2178" s="6" t="s">
        <v>6727</v>
      </c>
      <c r="C2178" s="6" t="s">
        <v>1168</v>
      </c>
      <c r="D2178" s="18">
        <v>1.0</v>
      </c>
      <c r="E2178" s="18">
        <v>500.0</v>
      </c>
      <c r="F2178" s="18">
        <v>500.0</v>
      </c>
    </row>
    <row r="2179">
      <c r="A2179" s="6" t="s">
        <v>6728</v>
      </c>
      <c r="B2179" s="6" t="s">
        <v>6729</v>
      </c>
      <c r="C2179" s="6" t="s">
        <v>1168</v>
      </c>
      <c r="D2179" s="18">
        <v>1.0</v>
      </c>
      <c r="E2179" s="18">
        <v>500.0</v>
      </c>
      <c r="F2179" s="18">
        <v>500.0</v>
      </c>
    </row>
    <row r="2180">
      <c r="A2180" s="6" t="s">
        <v>6730</v>
      </c>
      <c r="B2180" s="6" t="s">
        <v>6731</v>
      </c>
      <c r="C2180" s="6" t="s">
        <v>1668</v>
      </c>
      <c r="D2180" s="18">
        <v>1.0</v>
      </c>
      <c r="E2180" s="18">
        <v>124.16</v>
      </c>
      <c r="F2180" s="18">
        <v>124.16</v>
      </c>
    </row>
    <row r="2181">
      <c r="A2181" s="6" t="s">
        <v>6732</v>
      </c>
      <c r="B2181" s="6" t="s">
        <v>6733</v>
      </c>
      <c r="C2181" s="6" t="s">
        <v>1164</v>
      </c>
      <c r="D2181" s="18">
        <v>1.0</v>
      </c>
      <c r="E2181" s="18">
        <v>1027.1</v>
      </c>
      <c r="F2181" s="18">
        <v>1027.1</v>
      </c>
    </row>
    <row r="2182">
      <c r="A2182" s="6" t="s">
        <v>6734</v>
      </c>
      <c r="B2182" s="6" t="s">
        <v>6735</v>
      </c>
      <c r="C2182" s="6" t="s">
        <v>159</v>
      </c>
      <c r="D2182" s="18">
        <v>1.0</v>
      </c>
      <c r="E2182" s="18">
        <v>130.0</v>
      </c>
      <c r="F2182" s="18">
        <v>130.0</v>
      </c>
    </row>
    <row r="2183">
      <c r="A2183" s="6" t="s">
        <v>6736</v>
      </c>
      <c r="B2183" s="6" t="s">
        <v>6735</v>
      </c>
      <c r="C2183" s="6" t="s">
        <v>155</v>
      </c>
      <c r="D2183" s="18">
        <v>1.0</v>
      </c>
      <c r="E2183" s="18">
        <v>47.7</v>
      </c>
      <c r="F2183" s="18">
        <v>47.7</v>
      </c>
    </row>
    <row r="2184">
      <c r="A2184" s="6" t="s">
        <v>6737</v>
      </c>
      <c r="B2184" s="6" t="s">
        <v>6735</v>
      </c>
      <c r="C2184" s="6" t="s">
        <v>226</v>
      </c>
      <c r="D2184" s="18">
        <v>1.0</v>
      </c>
      <c r="E2184" s="18">
        <v>27.0</v>
      </c>
      <c r="F2184" s="18">
        <v>27.0</v>
      </c>
    </row>
    <row r="2185">
      <c r="A2185" s="6" t="s">
        <v>6738</v>
      </c>
      <c r="B2185" s="6" t="s">
        <v>6739</v>
      </c>
      <c r="C2185" s="6" t="s">
        <v>230</v>
      </c>
      <c r="D2185" s="18">
        <v>1.0</v>
      </c>
      <c r="E2185" s="18">
        <v>40.59</v>
      </c>
      <c r="F2185" s="18">
        <v>40.59</v>
      </c>
    </row>
    <row r="2186">
      <c r="A2186" s="6" t="s">
        <v>6740</v>
      </c>
      <c r="B2186" s="6" t="s">
        <v>6741</v>
      </c>
      <c r="C2186" s="6" t="s">
        <v>1536</v>
      </c>
      <c r="D2186" s="18">
        <v>1.0</v>
      </c>
      <c r="E2186" s="18">
        <v>20.0</v>
      </c>
      <c r="F2186" s="18">
        <v>20.0</v>
      </c>
    </row>
    <row r="2187">
      <c r="A2187" s="6" t="s">
        <v>6742</v>
      </c>
      <c r="B2187" s="6" t="s">
        <v>6743</v>
      </c>
      <c r="C2187" s="6" t="s">
        <v>1022</v>
      </c>
      <c r="D2187" s="18">
        <v>1.0</v>
      </c>
      <c r="E2187" s="18">
        <v>174.4</v>
      </c>
      <c r="F2187" s="18">
        <v>174.4</v>
      </c>
    </row>
    <row r="2188">
      <c r="A2188" s="6" t="s">
        <v>6744</v>
      </c>
      <c r="B2188" s="6" t="s">
        <v>6745</v>
      </c>
      <c r="C2188" s="6" t="s">
        <v>305</v>
      </c>
      <c r="D2188" s="18">
        <v>1.0</v>
      </c>
      <c r="E2188" s="18">
        <v>35.56</v>
      </c>
      <c r="F2188" s="18">
        <v>35.56</v>
      </c>
    </row>
    <row r="2189">
      <c r="A2189" s="6" t="s">
        <v>6746</v>
      </c>
      <c r="B2189" s="6" t="s">
        <v>6747</v>
      </c>
      <c r="C2189" s="6" t="s">
        <v>305</v>
      </c>
      <c r="D2189" s="18">
        <v>1.0</v>
      </c>
      <c r="E2189" s="18">
        <v>12.01</v>
      </c>
      <c r="F2189" s="18">
        <v>12.01</v>
      </c>
    </row>
    <row r="2190">
      <c r="A2190" s="6" t="s">
        <v>6748</v>
      </c>
      <c r="B2190" s="6" t="s">
        <v>6749</v>
      </c>
      <c r="C2190" s="18">
        <v>1.2539885E7</v>
      </c>
      <c r="D2190" s="18">
        <v>1.0</v>
      </c>
      <c r="E2190" s="18">
        <v>325.0</v>
      </c>
      <c r="F2190" s="18">
        <v>325.0</v>
      </c>
    </row>
    <row r="2191">
      <c r="A2191" s="6" t="s">
        <v>6750</v>
      </c>
      <c r="B2191" s="18">
        <v>8.771972E7</v>
      </c>
      <c r="C2191" s="6" t="s">
        <v>159</v>
      </c>
      <c r="D2191" s="18">
        <v>1.0</v>
      </c>
      <c r="E2191" s="18">
        <v>260.0</v>
      </c>
      <c r="F2191" s="18">
        <v>260.0</v>
      </c>
    </row>
    <row r="2192">
      <c r="A2192" s="6" t="s">
        <v>6751</v>
      </c>
      <c r="B2192" s="18">
        <v>8.771972E7</v>
      </c>
      <c r="C2192" s="6" t="s">
        <v>155</v>
      </c>
      <c r="D2192" s="18">
        <v>1.0</v>
      </c>
      <c r="E2192" s="18">
        <v>71.85</v>
      </c>
      <c r="F2192" s="18">
        <v>71.85</v>
      </c>
    </row>
    <row r="2193">
      <c r="A2193" s="6" t="s">
        <v>6754</v>
      </c>
      <c r="B2193" s="18">
        <v>8.771972E7</v>
      </c>
      <c r="C2193" s="6" t="s">
        <v>152</v>
      </c>
      <c r="D2193" s="18">
        <v>1.0</v>
      </c>
      <c r="E2193" s="18">
        <v>13.9</v>
      </c>
      <c r="F2193" s="18">
        <v>13.9</v>
      </c>
    </row>
    <row r="2194">
      <c r="A2194" s="6" t="s">
        <v>6756</v>
      </c>
      <c r="B2194" s="18">
        <v>8.771972E7</v>
      </c>
      <c r="C2194" s="6" t="s">
        <v>226</v>
      </c>
      <c r="D2194" s="18">
        <v>1.0</v>
      </c>
      <c r="E2194" s="18">
        <v>76.0</v>
      </c>
      <c r="F2194" s="18">
        <v>76.0</v>
      </c>
    </row>
    <row r="2195">
      <c r="A2195" s="6" t="s">
        <v>6758</v>
      </c>
      <c r="B2195" s="6" t="s">
        <v>6759</v>
      </c>
      <c r="C2195" s="6" t="s">
        <v>6423</v>
      </c>
      <c r="D2195" s="18">
        <v>1.0</v>
      </c>
      <c r="E2195" s="18">
        <v>110.0</v>
      </c>
      <c r="F2195" s="18">
        <v>110.0</v>
      </c>
    </row>
    <row r="2196">
      <c r="A2196" s="6" t="s">
        <v>6760</v>
      </c>
      <c r="B2196" s="6" t="s">
        <v>6761</v>
      </c>
      <c r="C2196" s="6" t="s">
        <v>1427</v>
      </c>
      <c r="D2196" s="18">
        <v>1.0</v>
      </c>
      <c r="E2196" s="18">
        <v>55.0</v>
      </c>
      <c r="F2196" s="18">
        <v>55.0</v>
      </c>
    </row>
    <row r="2197">
      <c r="A2197" s="6" t="s">
        <v>6765</v>
      </c>
      <c r="B2197" s="6" t="s">
        <v>6761</v>
      </c>
      <c r="C2197" s="6" t="s">
        <v>1079</v>
      </c>
      <c r="D2197" s="18">
        <v>20.0</v>
      </c>
      <c r="E2197" s="18">
        <v>12.9</v>
      </c>
      <c r="F2197" s="18">
        <v>258.0</v>
      </c>
    </row>
    <row r="2198">
      <c r="A2198" s="6" t="s">
        <v>6766</v>
      </c>
      <c r="B2198" s="6" t="s">
        <v>6761</v>
      </c>
      <c r="C2198" s="6" t="s">
        <v>1080</v>
      </c>
      <c r="D2198" s="18">
        <v>10.0</v>
      </c>
      <c r="E2198" s="18">
        <v>13.9</v>
      </c>
      <c r="F2198" s="18">
        <v>139.0</v>
      </c>
    </row>
    <row r="2199">
      <c r="A2199" s="6" t="s">
        <v>6767</v>
      </c>
      <c r="B2199" s="6" t="s">
        <v>6761</v>
      </c>
      <c r="C2199" s="6" t="s">
        <v>238</v>
      </c>
      <c r="D2199" s="18">
        <v>1.0</v>
      </c>
      <c r="E2199" s="18">
        <v>33.0</v>
      </c>
      <c r="F2199" s="18">
        <v>33.0</v>
      </c>
    </row>
    <row r="2200">
      <c r="A2200" s="6" t="s">
        <v>6768</v>
      </c>
      <c r="B2200" s="6" t="s">
        <v>6769</v>
      </c>
      <c r="C2200" s="6" t="s">
        <v>159</v>
      </c>
      <c r="D2200" s="18">
        <v>1.0</v>
      </c>
      <c r="E2200" s="18">
        <v>52.0</v>
      </c>
      <c r="F2200" s="18">
        <v>52.0</v>
      </c>
    </row>
    <row r="2201">
      <c r="A2201" s="6" t="s">
        <v>6772</v>
      </c>
      <c r="B2201" s="6" t="s">
        <v>6769</v>
      </c>
      <c r="C2201" s="6" t="s">
        <v>155</v>
      </c>
      <c r="D2201" s="18">
        <v>1.0</v>
      </c>
      <c r="E2201" s="18">
        <v>20.44</v>
      </c>
      <c r="F2201" s="18">
        <v>20.44</v>
      </c>
    </row>
    <row r="2202">
      <c r="A2202" s="6" t="s">
        <v>6773</v>
      </c>
      <c r="B2202" s="6" t="s">
        <v>6769</v>
      </c>
      <c r="C2202" s="6" t="s">
        <v>226</v>
      </c>
      <c r="D2202" s="18">
        <v>1.0</v>
      </c>
      <c r="E2202" s="18">
        <v>47.5</v>
      </c>
      <c r="F2202" s="18">
        <v>47.5</v>
      </c>
    </row>
    <row r="2203">
      <c r="A2203" s="6" t="s">
        <v>6774</v>
      </c>
      <c r="B2203" s="6" t="s">
        <v>6775</v>
      </c>
      <c r="C2203" s="18">
        <v>1.2539885E7</v>
      </c>
      <c r="D2203" s="18">
        <v>1.0</v>
      </c>
      <c r="E2203" s="18">
        <v>500.0</v>
      </c>
      <c r="F2203" s="18">
        <v>500.0</v>
      </c>
    </row>
    <row r="2204">
      <c r="A2204" s="6" t="s">
        <v>6776</v>
      </c>
      <c r="B2204" s="6" t="s">
        <v>6777</v>
      </c>
      <c r="C2204" s="6" t="s">
        <v>305</v>
      </c>
      <c r="D2204" s="18">
        <v>1.0</v>
      </c>
      <c r="E2204" s="18">
        <v>8.3</v>
      </c>
      <c r="F2204" s="18">
        <v>8.3</v>
      </c>
    </row>
    <row r="2205">
      <c r="A2205" s="6" t="s">
        <v>6778</v>
      </c>
      <c r="B2205" s="6" t="s">
        <v>6779</v>
      </c>
      <c r="C2205" s="6" t="s">
        <v>335</v>
      </c>
      <c r="D2205" s="18">
        <v>1.0</v>
      </c>
      <c r="E2205" s="18">
        <v>79.68</v>
      </c>
      <c r="F2205" s="18">
        <v>79.68</v>
      </c>
    </row>
    <row r="2206">
      <c r="A2206" s="6" t="s">
        <v>6780</v>
      </c>
      <c r="B2206" s="6" t="s">
        <v>6779</v>
      </c>
      <c r="C2206" s="6" t="s">
        <v>338</v>
      </c>
      <c r="D2206" s="18">
        <v>2.0</v>
      </c>
      <c r="E2206" s="18">
        <v>60.8</v>
      </c>
      <c r="F2206" s="18">
        <v>121.6</v>
      </c>
    </row>
    <row r="2207">
      <c r="A2207" s="6" t="s">
        <v>6782</v>
      </c>
      <c r="B2207" s="6" t="s">
        <v>6783</v>
      </c>
      <c r="C2207" s="6" t="s">
        <v>305</v>
      </c>
      <c r="D2207" s="18">
        <v>1.0</v>
      </c>
      <c r="E2207" s="18">
        <v>16.59</v>
      </c>
      <c r="F2207" s="18">
        <v>16.59</v>
      </c>
    </row>
    <row r="2208">
      <c r="A2208" s="6" t="s">
        <v>6786</v>
      </c>
      <c r="B2208" s="6" t="s">
        <v>6787</v>
      </c>
      <c r="C2208" s="18">
        <v>7.5375964E7</v>
      </c>
      <c r="D2208" s="18">
        <v>1.0</v>
      </c>
      <c r="E2208" s="18">
        <v>19.0</v>
      </c>
      <c r="F2208" s="18">
        <v>19.0</v>
      </c>
    </row>
    <row r="2209">
      <c r="A2209" s="6" t="s">
        <v>6788</v>
      </c>
      <c r="B2209" s="6" t="s">
        <v>6787</v>
      </c>
      <c r="C2209" s="6" t="s">
        <v>1384</v>
      </c>
      <c r="D2209" s="18">
        <v>1.0</v>
      </c>
      <c r="E2209" s="18">
        <v>19.0</v>
      </c>
      <c r="F2209" s="18">
        <v>19.0</v>
      </c>
    </row>
    <row r="2210">
      <c r="A2210" s="6" t="s">
        <v>6789</v>
      </c>
      <c r="B2210" s="6" t="s">
        <v>6787</v>
      </c>
      <c r="C2210" s="6" t="s">
        <v>1404</v>
      </c>
      <c r="D2210" s="18">
        <v>1.0</v>
      </c>
      <c r="E2210" s="18">
        <v>19.0</v>
      </c>
      <c r="F2210" s="18">
        <v>19.0</v>
      </c>
    </row>
    <row r="2211">
      <c r="A2211" s="6" t="s">
        <v>6790</v>
      </c>
      <c r="B2211" s="6" t="s">
        <v>6787</v>
      </c>
      <c r="C2211" s="6" t="s">
        <v>1074</v>
      </c>
      <c r="D2211" s="18">
        <v>5.0</v>
      </c>
      <c r="E2211" s="18">
        <v>38.0</v>
      </c>
      <c r="F2211" s="18">
        <v>190.0</v>
      </c>
    </row>
    <row r="2212">
      <c r="A2212" s="6" t="s">
        <v>6791</v>
      </c>
      <c r="B2212" s="6" t="s">
        <v>6787</v>
      </c>
      <c r="C2212" s="6" t="s">
        <v>1387</v>
      </c>
      <c r="D2212" s="18">
        <v>1.0</v>
      </c>
      <c r="E2212" s="18">
        <v>45.0</v>
      </c>
      <c r="F2212" s="18">
        <v>45.0</v>
      </c>
    </row>
    <row r="2213">
      <c r="A2213" s="6" t="s">
        <v>6792</v>
      </c>
      <c r="B2213" s="6" t="s">
        <v>6787</v>
      </c>
      <c r="C2213" s="6" t="s">
        <v>1075</v>
      </c>
      <c r="D2213" s="18">
        <v>2.0</v>
      </c>
      <c r="E2213" s="18">
        <v>19.0</v>
      </c>
      <c r="F2213" s="18">
        <v>38.0</v>
      </c>
    </row>
    <row r="2214">
      <c r="A2214" s="6" t="s">
        <v>6795</v>
      </c>
      <c r="B2214" s="6" t="s">
        <v>6787</v>
      </c>
      <c r="C2214" s="6" t="s">
        <v>1077</v>
      </c>
      <c r="D2214" s="18">
        <v>3.0</v>
      </c>
      <c r="E2214" s="18">
        <v>25.8</v>
      </c>
      <c r="F2214" s="18">
        <v>77.4</v>
      </c>
    </row>
    <row r="2215">
      <c r="A2215" s="6" t="s">
        <v>6796</v>
      </c>
      <c r="B2215" s="6" t="s">
        <v>6787</v>
      </c>
      <c r="C2215" s="6" t="s">
        <v>1081</v>
      </c>
      <c r="D2215" s="18">
        <v>3.0</v>
      </c>
      <c r="E2215" s="18">
        <v>48.0</v>
      </c>
      <c r="F2215" s="18">
        <v>144.0</v>
      </c>
    </row>
    <row r="2216">
      <c r="A2216" s="6" t="s">
        <v>6797</v>
      </c>
      <c r="B2216" s="6" t="s">
        <v>6787</v>
      </c>
      <c r="C2216" s="6" t="s">
        <v>1083</v>
      </c>
      <c r="D2216" s="18">
        <v>1.0</v>
      </c>
      <c r="E2216" s="18">
        <v>18.0</v>
      </c>
      <c r="F2216" s="18">
        <v>18.0</v>
      </c>
    </row>
    <row r="2217">
      <c r="A2217" s="6" t="s">
        <v>6798</v>
      </c>
      <c r="B2217" s="6" t="s">
        <v>6787</v>
      </c>
      <c r="C2217" s="18">
        <v>7.5375964E7</v>
      </c>
      <c r="D2217" s="18">
        <v>3.0</v>
      </c>
      <c r="E2217" s="18">
        <v>40.2</v>
      </c>
      <c r="F2217" s="18">
        <v>120.6</v>
      </c>
    </row>
    <row r="2218">
      <c r="A2218" s="6" t="s">
        <v>6799</v>
      </c>
      <c r="B2218" s="6" t="s">
        <v>6787</v>
      </c>
      <c r="C2218" s="6" t="s">
        <v>1074</v>
      </c>
      <c r="D2218" s="18">
        <v>1.0</v>
      </c>
      <c r="E2218" s="18">
        <v>75.0</v>
      </c>
      <c r="F2218" s="18">
        <v>75.0</v>
      </c>
    </row>
    <row r="2219">
      <c r="A2219" s="6" t="s">
        <v>6801</v>
      </c>
      <c r="B2219" s="6" t="s">
        <v>6787</v>
      </c>
      <c r="C2219" s="6" t="s">
        <v>1081</v>
      </c>
      <c r="D2219" s="18">
        <v>1.0</v>
      </c>
      <c r="E2219" s="18">
        <v>96.0</v>
      </c>
      <c r="F2219" s="18">
        <v>96.0</v>
      </c>
    </row>
    <row r="2220">
      <c r="A2220" s="6" t="s">
        <v>6803</v>
      </c>
      <c r="B2220" s="6" t="s">
        <v>6787</v>
      </c>
      <c r="C2220" s="6" t="s">
        <v>1077</v>
      </c>
      <c r="D2220" s="18">
        <v>1.0</v>
      </c>
      <c r="E2220" s="18">
        <v>25.8</v>
      </c>
      <c r="F2220" s="18">
        <v>25.8</v>
      </c>
    </row>
    <row r="2221">
      <c r="A2221" s="6" t="s">
        <v>6804</v>
      </c>
      <c r="B2221" s="6" t="s">
        <v>6805</v>
      </c>
      <c r="C2221" s="6" t="s">
        <v>1239</v>
      </c>
      <c r="D2221" s="18">
        <v>1.0</v>
      </c>
      <c r="E2221" s="18">
        <v>2291.15</v>
      </c>
      <c r="F2221" s="18">
        <v>2291.15</v>
      </c>
    </row>
    <row r="2222">
      <c r="A2222" s="6" t="s">
        <v>6806</v>
      </c>
      <c r="B2222" s="6" t="s">
        <v>6807</v>
      </c>
      <c r="C2222" s="6" t="s">
        <v>1239</v>
      </c>
      <c r="D2222" s="18">
        <v>1.0</v>
      </c>
      <c r="E2222" s="18">
        <v>1778.15</v>
      </c>
      <c r="F2222" s="18">
        <v>1778.15</v>
      </c>
    </row>
    <row r="2223">
      <c r="A2223" s="6" t="s">
        <v>6808</v>
      </c>
      <c r="B2223" s="6" t="s">
        <v>6809</v>
      </c>
      <c r="C2223" s="6" t="s">
        <v>1239</v>
      </c>
      <c r="D2223" s="18">
        <v>1.0</v>
      </c>
      <c r="E2223" s="18">
        <v>2110.69</v>
      </c>
      <c r="F2223" s="18">
        <v>2110.69</v>
      </c>
    </row>
    <row r="2224">
      <c r="A2224" s="6" t="s">
        <v>6812</v>
      </c>
      <c r="B2224" s="6" t="s">
        <v>6813</v>
      </c>
      <c r="C2224" s="6" t="s">
        <v>1239</v>
      </c>
      <c r="D2224" s="18">
        <v>1.0</v>
      </c>
      <c r="E2224" s="18">
        <v>872.3</v>
      </c>
      <c r="F2224" s="18">
        <v>872.3</v>
      </c>
    </row>
    <row r="2225">
      <c r="A2225" s="6" t="s">
        <v>6814</v>
      </c>
      <c r="B2225" s="6" t="s">
        <v>6815</v>
      </c>
      <c r="C2225" s="6" t="s">
        <v>1239</v>
      </c>
      <c r="D2225" s="18">
        <v>1.0</v>
      </c>
      <c r="E2225" s="18">
        <v>1115.47</v>
      </c>
      <c r="F2225" s="18">
        <v>1115.47</v>
      </c>
    </row>
    <row r="2226">
      <c r="A2226" s="6" t="s">
        <v>6816</v>
      </c>
      <c r="B2226" s="6" t="s">
        <v>6817</v>
      </c>
      <c r="C2226" s="6" t="s">
        <v>1126</v>
      </c>
      <c r="D2226" s="18">
        <v>1.0</v>
      </c>
      <c r="E2226" s="18">
        <v>30.0</v>
      </c>
      <c r="F2226" s="18">
        <v>30.0</v>
      </c>
    </row>
    <row r="2227">
      <c r="A2227" s="6" t="s">
        <v>6818</v>
      </c>
      <c r="B2227" s="6" t="s">
        <v>6819</v>
      </c>
      <c r="C2227" s="6" t="s">
        <v>5636</v>
      </c>
      <c r="D2227" s="18">
        <v>1.0</v>
      </c>
      <c r="E2227" s="18">
        <v>200.0</v>
      </c>
      <c r="F2227" s="18">
        <v>200.0</v>
      </c>
    </row>
    <row r="2228">
      <c r="A2228" s="6" t="s">
        <v>6821</v>
      </c>
      <c r="B2228" s="6" t="s">
        <v>6822</v>
      </c>
      <c r="C2228" s="6" t="s">
        <v>5640</v>
      </c>
      <c r="D2228" s="18">
        <v>1.0</v>
      </c>
      <c r="E2228" s="18">
        <v>22.0</v>
      </c>
      <c r="F2228" s="18">
        <v>22.0</v>
      </c>
    </row>
    <row r="2229">
      <c r="A2229" s="6" t="s">
        <v>6825</v>
      </c>
      <c r="B2229" s="6" t="s">
        <v>6826</v>
      </c>
      <c r="C2229" s="6" t="s">
        <v>5973</v>
      </c>
      <c r="D2229" s="18">
        <v>1.0</v>
      </c>
      <c r="E2229" s="18">
        <v>10.0</v>
      </c>
      <c r="F2229" s="18">
        <v>10.0</v>
      </c>
    </row>
    <row r="2230">
      <c r="A2230" s="6" t="s">
        <v>6827</v>
      </c>
      <c r="B2230" s="6" t="s">
        <v>6828</v>
      </c>
      <c r="C2230" s="6" t="s">
        <v>6829</v>
      </c>
      <c r="D2230" s="18">
        <v>1.0</v>
      </c>
      <c r="E2230" s="18">
        <v>792.0</v>
      </c>
      <c r="F2230" s="18">
        <v>792.0</v>
      </c>
    </row>
    <row r="2231">
      <c r="A2231" s="6" t="s">
        <v>6830</v>
      </c>
      <c r="B2231" s="6" t="s">
        <v>6831</v>
      </c>
      <c r="C2231" s="6" t="s">
        <v>2003</v>
      </c>
      <c r="D2231" s="18">
        <v>1.0</v>
      </c>
      <c r="E2231" s="18">
        <v>1023.92</v>
      </c>
      <c r="F2231" s="18">
        <v>1023.92</v>
      </c>
    </row>
    <row r="2232">
      <c r="A2232" s="6" t="s">
        <v>6832</v>
      </c>
      <c r="B2232" s="6" t="s">
        <v>6831</v>
      </c>
      <c r="C2232" s="6" t="s">
        <v>6355</v>
      </c>
      <c r="D2232" s="18">
        <v>1.0</v>
      </c>
      <c r="E2232" s="18">
        <v>724.5</v>
      </c>
      <c r="F2232" s="18">
        <v>724.5</v>
      </c>
    </row>
    <row r="2233">
      <c r="A2233" s="6" t="s">
        <v>6834</v>
      </c>
      <c r="B2233" s="6" t="s">
        <v>6831</v>
      </c>
      <c r="C2233" s="6" t="s">
        <v>2208</v>
      </c>
      <c r="D2233" s="18">
        <v>1.0</v>
      </c>
      <c r="E2233" s="18">
        <v>45.98</v>
      </c>
      <c r="F2233" s="18">
        <v>45.98</v>
      </c>
    </row>
    <row r="2234">
      <c r="A2234" s="6" t="s">
        <v>6837</v>
      </c>
      <c r="B2234" s="6" t="s">
        <v>6831</v>
      </c>
      <c r="C2234" s="6" t="s">
        <v>6838</v>
      </c>
      <c r="D2234" s="18">
        <v>1.0</v>
      </c>
      <c r="E2234" s="18">
        <v>17.98</v>
      </c>
      <c r="F2234" s="18">
        <v>17.98</v>
      </c>
    </row>
    <row r="2235">
      <c r="A2235" s="6" t="s">
        <v>6839</v>
      </c>
      <c r="B2235" s="6" t="s">
        <v>6831</v>
      </c>
      <c r="C2235" s="6" t="s">
        <v>6840</v>
      </c>
      <c r="D2235" s="18">
        <v>1.0</v>
      </c>
      <c r="E2235" s="18">
        <v>240.0</v>
      </c>
      <c r="F2235" s="18">
        <v>240.0</v>
      </c>
    </row>
    <row r="2236">
      <c r="A2236" s="6" t="s">
        <v>6842</v>
      </c>
      <c r="B2236" s="6" t="s">
        <v>6831</v>
      </c>
      <c r="C2236" s="6" t="s">
        <v>4176</v>
      </c>
      <c r="D2236" s="18">
        <v>1.0</v>
      </c>
      <c r="E2236" s="18">
        <v>175.0</v>
      </c>
      <c r="F2236" s="18">
        <v>175.0</v>
      </c>
    </row>
    <row r="2237">
      <c r="A2237" s="6" t="s">
        <v>6845</v>
      </c>
      <c r="B2237" s="6" t="s">
        <v>6831</v>
      </c>
      <c r="C2237" s="6" t="s">
        <v>6846</v>
      </c>
      <c r="D2237" s="18">
        <v>1.0</v>
      </c>
      <c r="E2237" s="18">
        <v>20.5</v>
      </c>
      <c r="F2237" s="18">
        <v>20.5</v>
      </c>
    </row>
    <row r="2238">
      <c r="A2238" s="6" t="s">
        <v>6847</v>
      </c>
      <c r="B2238" s="6" t="s">
        <v>6848</v>
      </c>
      <c r="C2238" s="6" t="s">
        <v>1195</v>
      </c>
      <c r="D2238" s="18">
        <v>2.0</v>
      </c>
      <c r="E2238" s="18">
        <v>10.9</v>
      </c>
      <c r="F2238" s="18">
        <v>21.8</v>
      </c>
    </row>
    <row r="2239">
      <c r="A2239" s="6" t="s">
        <v>6850</v>
      </c>
      <c r="B2239" s="6" t="s">
        <v>6848</v>
      </c>
      <c r="C2239" s="6" t="s">
        <v>693</v>
      </c>
      <c r="D2239" s="18">
        <v>2.0</v>
      </c>
      <c r="E2239" s="18">
        <v>9.9</v>
      </c>
      <c r="F2239" s="18">
        <v>19.8</v>
      </c>
    </row>
    <row r="2240">
      <c r="A2240" s="6" t="s">
        <v>6852</v>
      </c>
      <c r="B2240" s="6" t="s">
        <v>6848</v>
      </c>
      <c r="C2240" s="6" t="s">
        <v>797</v>
      </c>
      <c r="D2240" s="18">
        <v>1.0</v>
      </c>
      <c r="E2240" s="18">
        <v>88.8</v>
      </c>
      <c r="F2240" s="18">
        <v>88.8</v>
      </c>
    </row>
    <row r="2241">
      <c r="A2241" s="6" t="s">
        <v>6854</v>
      </c>
      <c r="B2241" s="6" t="s">
        <v>6848</v>
      </c>
      <c r="C2241" s="6" t="s">
        <v>1683</v>
      </c>
      <c r="D2241" s="18">
        <v>1.0</v>
      </c>
      <c r="E2241" s="18">
        <v>111.89</v>
      </c>
      <c r="F2241" s="18">
        <v>111.89</v>
      </c>
    </row>
    <row r="2242">
      <c r="A2242" s="6" t="s">
        <v>6856</v>
      </c>
      <c r="B2242" s="6" t="s">
        <v>6848</v>
      </c>
      <c r="C2242" s="6" t="s">
        <v>1197</v>
      </c>
      <c r="D2242" s="18">
        <v>1.0</v>
      </c>
      <c r="E2242" s="18">
        <v>93.3</v>
      </c>
      <c r="F2242" s="18">
        <v>93.3</v>
      </c>
    </row>
    <row r="2243">
      <c r="A2243" s="6" t="s">
        <v>6858</v>
      </c>
      <c r="B2243" s="6" t="s">
        <v>6859</v>
      </c>
      <c r="C2243" s="6" t="s">
        <v>159</v>
      </c>
      <c r="D2243" s="18">
        <v>1.0</v>
      </c>
      <c r="E2243" s="18">
        <v>156.0</v>
      </c>
      <c r="F2243" s="18">
        <v>156.0</v>
      </c>
    </row>
    <row r="2244">
      <c r="A2244" s="6" t="s">
        <v>6860</v>
      </c>
      <c r="B2244" s="6" t="s">
        <v>6859</v>
      </c>
      <c r="C2244" s="6" t="s">
        <v>155</v>
      </c>
      <c r="D2244" s="18">
        <v>1.0</v>
      </c>
      <c r="E2244" s="18">
        <v>39.67</v>
      </c>
      <c r="F2244" s="18">
        <v>39.67</v>
      </c>
    </row>
    <row r="2245">
      <c r="A2245" s="6" t="s">
        <v>6864</v>
      </c>
      <c r="B2245" s="6" t="s">
        <v>6859</v>
      </c>
      <c r="C2245" s="6" t="s">
        <v>152</v>
      </c>
      <c r="D2245" s="18">
        <v>1.0</v>
      </c>
      <c r="E2245" s="18">
        <v>6.9</v>
      </c>
      <c r="F2245" s="18">
        <v>6.9</v>
      </c>
    </row>
    <row r="2246">
      <c r="A2246" s="6" t="s">
        <v>6866</v>
      </c>
      <c r="B2246" s="6" t="s">
        <v>6859</v>
      </c>
      <c r="C2246" s="6" t="s">
        <v>226</v>
      </c>
      <c r="D2246" s="18">
        <v>1.0</v>
      </c>
      <c r="E2246" s="18">
        <v>47.5</v>
      </c>
      <c r="F2246" s="18">
        <v>47.5</v>
      </c>
    </row>
    <row r="2247">
      <c r="A2247" s="6" t="s">
        <v>6869</v>
      </c>
      <c r="B2247" s="6" t="s">
        <v>6870</v>
      </c>
      <c r="C2247" s="6" t="s">
        <v>1270</v>
      </c>
      <c r="D2247" s="18">
        <v>1.0</v>
      </c>
      <c r="E2247" s="18">
        <v>6000.0</v>
      </c>
      <c r="F2247" s="18">
        <v>6000.0</v>
      </c>
    </row>
    <row r="2248">
      <c r="A2248" s="6" t="s">
        <v>6873</v>
      </c>
      <c r="B2248" s="6" t="s">
        <v>6874</v>
      </c>
      <c r="C2248" s="6" t="s">
        <v>1270</v>
      </c>
      <c r="D2248" s="18">
        <v>1.0</v>
      </c>
      <c r="E2248" s="18">
        <v>6000.0</v>
      </c>
      <c r="F2248" s="18">
        <v>6000.0</v>
      </c>
    </row>
    <row r="2249">
      <c r="A2249" s="6" t="s">
        <v>6875</v>
      </c>
      <c r="B2249" s="6" t="s">
        <v>6876</v>
      </c>
      <c r="C2249" s="6" t="s">
        <v>1270</v>
      </c>
      <c r="D2249" s="18">
        <v>1.0</v>
      </c>
      <c r="E2249" s="18">
        <v>6000.0</v>
      </c>
      <c r="F2249" s="18">
        <v>6000.0</v>
      </c>
    </row>
    <row r="2250">
      <c r="A2250" s="6" t="s">
        <v>6879</v>
      </c>
      <c r="B2250" s="6" t="s">
        <v>6881</v>
      </c>
      <c r="C2250" s="6" t="s">
        <v>1517</v>
      </c>
      <c r="D2250" s="18">
        <v>1.0</v>
      </c>
      <c r="E2250" s="18">
        <v>11237.81</v>
      </c>
      <c r="F2250" s="18">
        <v>11237.81</v>
      </c>
    </row>
    <row r="2251">
      <c r="A2251" s="6" t="s">
        <v>6882</v>
      </c>
      <c r="B2251" s="6" t="s">
        <v>6883</v>
      </c>
      <c r="C2251" s="6" t="s">
        <v>981</v>
      </c>
      <c r="D2251" s="18">
        <v>6.0</v>
      </c>
      <c r="E2251" s="18">
        <v>4.98</v>
      </c>
      <c r="F2251" s="18">
        <v>29.880000000000003</v>
      </c>
    </row>
    <row r="2252">
      <c r="A2252" s="6" t="s">
        <v>6885</v>
      </c>
      <c r="B2252" s="6" t="s">
        <v>6883</v>
      </c>
      <c r="C2252" s="6" t="s">
        <v>238</v>
      </c>
      <c r="D2252" s="18">
        <v>12.0</v>
      </c>
      <c r="E2252" s="18">
        <v>5.9</v>
      </c>
      <c r="F2252" s="18">
        <v>70.8</v>
      </c>
    </row>
    <row r="2253">
      <c r="A2253" s="6" t="s">
        <v>6887</v>
      </c>
      <c r="B2253" s="6" t="s">
        <v>6883</v>
      </c>
      <c r="C2253" s="6" t="s">
        <v>240</v>
      </c>
      <c r="D2253" s="18">
        <v>6.0</v>
      </c>
      <c r="E2253" s="18">
        <v>5.4</v>
      </c>
      <c r="F2253" s="18">
        <v>32.4</v>
      </c>
    </row>
    <row r="2254">
      <c r="A2254" s="6" t="s">
        <v>6888</v>
      </c>
      <c r="B2254" s="6" t="s">
        <v>6883</v>
      </c>
      <c r="C2254" s="6" t="s">
        <v>242</v>
      </c>
      <c r="D2254" s="18">
        <v>6.0</v>
      </c>
      <c r="E2254" s="18">
        <v>5.4</v>
      </c>
      <c r="F2254" s="18">
        <v>32.4</v>
      </c>
    </row>
    <row r="2255">
      <c r="A2255" s="6" t="s">
        <v>6890</v>
      </c>
      <c r="B2255" s="6" t="s">
        <v>6891</v>
      </c>
      <c r="C2255" s="6" t="s">
        <v>1073</v>
      </c>
      <c r="D2255" s="18">
        <v>1.0</v>
      </c>
      <c r="E2255" s="18">
        <v>20.1</v>
      </c>
      <c r="F2255" s="18">
        <v>20.1</v>
      </c>
    </row>
    <row r="2256">
      <c r="A2256" s="6" t="s">
        <v>6893</v>
      </c>
      <c r="B2256" s="6" t="s">
        <v>6891</v>
      </c>
      <c r="C2256" s="18">
        <v>7.5375964E7</v>
      </c>
      <c r="D2256" s="18">
        <v>1.0</v>
      </c>
      <c r="E2256" s="18">
        <v>18.0</v>
      </c>
      <c r="F2256" s="18">
        <v>18.0</v>
      </c>
    </row>
    <row r="2257">
      <c r="A2257" s="6" t="s">
        <v>6894</v>
      </c>
      <c r="B2257" s="6" t="s">
        <v>6891</v>
      </c>
      <c r="C2257" s="6" t="s">
        <v>1384</v>
      </c>
      <c r="D2257" s="18">
        <v>1.0</v>
      </c>
      <c r="E2257" s="18">
        <v>18.0</v>
      </c>
      <c r="F2257" s="18">
        <v>18.0</v>
      </c>
    </row>
    <row r="2258">
      <c r="A2258" s="6" t="s">
        <v>6895</v>
      </c>
      <c r="B2258" s="6" t="s">
        <v>6891</v>
      </c>
      <c r="C2258" s="6" t="s">
        <v>1404</v>
      </c>
      <c r="D2258" s="18">
        <v>1.0</v>
      </c>
      <c r="E2258" s="18">
        <v>18.0</v>
      </c>
      <c r="F2258" s="18">
        <v>18.0</v>
      </c>
    </row>
    <row r="2259">
      <c r="A2259" s="6" t="s">
        <v>6896</v>
      </c>
      <c r="B2259" s="6" t="s">
        <v>6891</v>
      </c>
      <c r="C2259" s="6" t="s">
        <v>1074</v>
      </c>
      <c r="D2259" s="18">
        <v>4.0</v>
      </c>
      <c r="E2259" s="18">
        <v>40.8</v>
      </c>
      <c r="F2259" s="18">
        <v>163.2</v>
      </c>
    </row>
    <row r="2260">
      <c r="A2260" s="6" t="s">
        <v>6897</v>
      </c>
      <c r="B2260" s="6" t="s">
        <v>6891</v>
      </c>
      <c r="C2260" s="6" t="s">
        <v>1075</v>
      </c>
      <c r="D2260" s="18">
        <v>4.0</v>
      </c>
      <c r="E2260" s="18">
        <v>20.4</v>
      </c>
      <c r="F2260" s="18">
        <v>81.6</v>
      </c>
    </row>
    <row r="2261">
      <c r="A2261" s="6" t="s">
        <v>6900</v>
      </c>
      <c r="B2261" s="6" t="s">
        <v>6891</v>
      </c>
      <c r="C2261" s="6" t="s">
        <v>1077</v>
      </c>
      <c r="D2261" s="18">
        <v>4.0</v>
      </c>
      <c r="E2261" s="18">
        <v>24.0</v>
      </c>
      <c r="F2261" s="18">
        <v>96.0</v>
      </c>
    </row>
    <row r="2262">
      <c r="A2262" s="6" t="s">
        <v>6901</v>
      </c>
      <c r="B2262" s="6" t="s">
        <v>6891</v>
      </c>
      <c r="C2262" s="6" t="s">
        <v>1079</v>
      </c>
      <c r="D2262" s="18">
        <v>15.0</v>
      </c>
      <c r="E2262" s="18">
        <v>16.6</v>
      </c>
      <c r="F2262" s="18">
        <v>249.0</v>
      </c>
    </row>
    <row r="2263">
      <c r="A2263" s="6" t="s">
        <v>6902</v>
      </c>
      <c r="B2263" s="6" t="s">
        <v>6891</v>
      </c>
      <c r="C2263" s="6" t="s">
        <v>1081</v>
      </c>
      <c r="D2263" s="18">
        <v>4.0</v>
      </c>
      <c r="E2263" s="18">
        <v>48.0</v>
      </c>
      <c r="F2263" s="18">
        <v>192.0</v>
      </c>
    </row>
    <row r="2264">
      <c r="A2264" s="6" t="s">
        <v>6903</v>
      </c>
      <c r="B2264" s="6" t="s">
        <v>6891</v>
      </c>
      <c r="C2264" s="6" t="s">
        <v>1085</v>
      </c>
      <c r="D2264" s="18">
        <v>3.0</v>
      </c>
      <c r="E2264" s="18">
        <v>40.2</v>
      </c>
      <c r="F2264" s="18">
        <v>120.6</v>
      </c>
    </row>
    <row r="2265">
      <c r="A2265" s="6" t="s">
        <v>6904</v>
      </c>
      <c r="B2265" s="6" t="s">
        <v>6905</v>
      </c>
      <c r="C2265" s="6" t="s">
        <v>305</v>
      </c>
      <c r="D2265" s="18">
        <v>1.0</v>
      </c>
      <c r="E2265" s="18">
        <v>68.15</v>
      </c>
      <c r="F2265" s="18">
        <v>68.15</v>
      </c>
    </row>
    <row r="2266">
      <c r="A2266" s="6" t="s">
        <v>6906</v>
      </c>
      <c r="B2266" s="6" t="s">
        <v>6907</v>
      </c>
      <c r="C2266" s="6" t="s">
        <v>159</v>
      </c>
      <c r="D2266" s="18">
        <v>15.0</v>
      </c>
      <c r="E2266" s="18">
        <v>13.0</v>
      </c>
      <c r="F2266" s="18">
        <v>195.0</v>
      </c>
    </row>
    <row r="2267">
      <c r="A2267" s="6" t="s">
        <v>6908</v>
      </c>
      <c r="B2267" s="6" t="s">
        <v>6907</v>
      </c>
      <c r="C2267" s="6" t="s">
        <v>155</v>
      </c>
      <c r="D2267" s="18">
        <v>1.0</v>
      </c>
      <c r="E2267" s="18">
        <v>54.2</v>
      </c>
      <c r="F2267" s="18">
        <v>54.2</v>
      </c>
    </row>
    <row r="2268">
      <c r="A2268" s="6" t="s">
        <v>6910</v>
      </c>
      <c r="B2268" s="6" t="s">
        <v>6907</v>
      </c>
      <c r="C2268" s="6" t="s">
        <v>152</v>
      </c>
      <c r="D2268" s="18">
        <v>1.0</v>
      </c>
      <c r="E2268" s="18">
        <v>12.45</v>
      </c>
      <c r="F2268" s="18">
        <v>12.45</v>
      </c>
    </row>
    <row r="2269">
      <c r="A2269" s="6" t="s">
        <v>6912</v>
      </c>
      <c r="B2269" s="6" t="s">
        <v>6907</v>
      </c>
      <c r="C2269" s="6" t="s">
        <v>226</v>
      </c>
      <c r="D2269" s="18">
        <v>9.0</v>
      </c>
      <c r="E2269" s="18">
        <v>9.5</v>
      </c>
      <c r="F2269" s="18">
        <v>85.5</v>
      </c>
    </row>
    <row r="2270">
      <c r="A2270" s="6" t="s">
        <v>6915</v>
      </c>
      <c r="B2270" s="6" t="s">
        <v>6916</v>
      </c>
      <c r="C2270" s="6" t="s">
        <v>1145</v>
      </c>
      <c r="D2270" s="18">
        <v>1.0</v>
      </c>
      <c r="E2270" s="18">
        <v>4047.04</v>
      </c>
      <c r="F2270" s="18">
        <v>4047.04</v>
      </c>
    </row>
    <row r="2271">
      <c r="A2271" s="6" t="s">
        <v>6917</v>
      </c>
      <c r="B2271" s="6" t="s">
        <v>6918</v>
      </c>
      <c r="C2271" s="18">
        <v>1.2539885E7</v>
      </c>
      <c r="D2271" s="18">
        <v>1.0</v>
      </c>
      <c r="E2271" s="18">
        <v>250.0</v>
      </c>
      <c r="F2271" s="18">
        <v>250.0</v>
      </c>
    </row>
    <row r="2272">
      <c r="A2272" s="6" t="s">
        <v>6919</v>
      </c>
      <c r="B2272" s="6" t="s">
        <v>6920</v>
      </c>
      <c r="C2272" s="6" t="s">
        <v>159</v>
      </c>
      <c r="D2272" s="18">
        <v>20.0</v>
      </c>
      <c r="E2272" s="18">
        <v>13.0</v>
      </c>
      <c r="F2272" s="18">
        <v>260.0</v>
      </c>
    </row>
    <row r="2273">
      <c r="A2273" s="6" t="s">
        <v>6921</v>
      </c>
      <c r="B2273" s="6" t="s">
        <v>6920</v>
      </c>
      <c r="C2273" s="6" t="s">
        <v>155</v>
      </c>
      <c r="D2273" s="18">
        <v>1.0</v>
      </c>
      <c r="E2273" s="18">
        <v>68.62</v>
      </c>
      <c r="F2273" s="18">
        <v>68.62</v>
      </c>
    </row>
    <row r="2274">
      <c r="A2274" s="6" t="s">
        <v>6923</v>
      </c>
      <c r="B2274" s="6" t="s">
        <v>6920</v>
      </c>
      <c r="C2274" s="6" t="s">
        <v>152</v>
      </c>
      <c r="D2274" s="18">
        <v>1.0</v>
      </c>
      <c r="E2274" s="18">
        <v>13.46</v>
      </c>
      <c r="F2274" s="18">
        <v>13.46</v>
      </c>
    </row>
    <row r="2275">
      <c r="A2275" s="6" t="s">
        <v>6925</v>
      </c>
      <c r="B2275" s="6" t="s">
        <v>6920</v>
      </c>
      <c r="C2275" s="6" t="s">
        <v>226</v>
      </c>
      <c r="D2275" s="18">
        <v>1.0</v>
      </c>
      <c r="E2275" s="18">
        <v>95.0</v>
      </c>
      <c r="F2275" s="18">
        <v>95.0</v>
      </c>
    </row>
    <row r="2276">
      <c r="A2276" s="6" t="s">
        <v>6926</v>
      </c>
      <c r="B2276" s="6" t="s">
        <v>6927</v>
      </c>
      <c r="C2276" s="6" t="s">
        <v>1510</v>
      </c>
      <c r="D2276" s="18">
        <v>1.0</v>
      </c>
      <c r="E2276" s="18">
        <v>13643.74</v>
      </c>
      <c r="F2276" s="18">
        <v>13643.74</v>
      </c>
    </row>
    <row r="2277">
      <c r="A2277" s="6" t="s">
        <v>6928</v>
      </c>
      <c r="B2277" s="6" t="s">
        <v>6929</v>
      </c>
      <c r="C2277" s="6" t="s">
        <v>6931</v>
      </c>
      <c r="D2277" s="18">
        <v>1.0</v>
      </c>
      <c r="E2277" s="18">
        <v>2016.98</v>
      </c>
      <c r="F2277" s="18">
        <v>2016.98</v>
      </c>
    </row>
    <row r="2278">
      <c r="A2278" s="6" t="s">
        <v>6932</v>
      </c>
      <c r="B2278" s="6" t="s">
        <v>6933</v>
      </c>
      <c r="C2278" s="18">
        <v>1.2539885E7</v>
      </c>
      <c r="D2278" s="18">
        <v>1.0</v>
      </c>
      <c r="E2278" s="18">
        <v>250.0</v>
      </c>
      <c r="F2278" s="18">
        <v>250.0</v>
      </c>
    </row>
    <row r="2279">
      <c r="A2279" s="6" t="s">
        <v>6934</v>
      </c>
      <c r="B2279" s="6" t="s">
        <v>6935</v>
      </c>
      <c r="C2279" s="6" t="s">
        <v>159</v>
      </c>
      <c r="D2279" s="18">
        <v>10.0</v>
      </c>
      <c r="E2279" s="18">
        <v>13.0</v>
      </c>
      <c r="F2279" s="18">
        <v>130.0</v>
      </c>
    </row>
    <row r="2280">
      <c r="A2280" s="6" t="s">
        <v>6936</v>
      </c>
      <c r="B2280" s="6" t="s">
        <v>6935</v>
      </c>
      <c r="C2280" s="6" t="s">
        <v>155</v>
      </c>
      <c r="D2280" s="18">
        <v>5.0</v>
      </c>
      <c r="E2280" s="18">
        <v>7.3</v>
      </c>
      <c r="F2280" s="18">
        <v>36.5</v>
      </c>
    </row>
    <row r="2281">
      <c r="A2281" s="6" t="s">
        <v>6937</v>
      </c>
      <c r="B2281" s="6" t="s">
        <v>6935</v>
      </c>
      <c r="C2281" s="6" t="s">
        <v>152</v>
      </c>
      <c r="D2281" s="18">
        <v>1.0</v>
      </c>
      <c r="E2281" s="18">
        <v>9.92</v>
      </c>
      <c r="F2281" s="18">
        <v>9.92</v>
      </c>
    </row>
    <row r="2282">
      <c r="A2282" s="6" t="s">
        <v>6938</v>
      </c>
      <c r="B2282" s="6" t="s">
        <v>6935</v>
      </c>
      <c r="C2282" s="6" t="s">
        <v>226</v>
      </c>
      <c r="D2282" s="18">
        <v>4.0</v>
      </c>
      <c r="E2282" s="18">
        <v>9.5</v>
      </c>
      <c r="F2282" s="18">
        <v>38.0</v>
      </c>
    </row>
    <row r="2283">
      <c r="A2283" s="6" t="s">
        <v>6939</v>
      </c>
      <c r="B2283" s="6" t="s">
        <v>6940</v>
      </c>
      <c r="C2283" s="6" t="s">
        <v>305</v>
      </c>
      <c r="D2283" s="18">
        <v>1.0</v>
      </c>
      <c r="E2283" s="18">
        <v>54.37</v>
      </c>
      <c r="F2283" s="18">
        <v>54.37</v>
      </c>
    </row>
    <row r="2284">
      <c r="A2284" s="6" t="s">
        <v>6941</v>
      </c>
      <c r="B2284" s="6" t="s">
        <v>6942</v>
      </c>
      <c r="C2284" s="6" t="s">
        <v>4831</v>
      </c>
      <c r="D2284" s="18">
        <v>1.0</v>
      </c>
      <c r="E2284" s="18">
        <v>375.0</v>
      </c>
      <c r="F2284" s="18">
        <v>375.0</v>
      </c>
    </row>
    <row r="2285">
      <c r="A2285" s="6" t="s">
        <v>6943</v>
      </c>
      <c r="B2285" s="6" t="s">
        <v>6944</v>
      </c>
      <c r="C2285" s="6" t="s">
        <v>3218</v>
      </c>
      <c r="D2285" s="18">
        <v>1.0</v>
      </c>
      <c r="E2285" s="18">
        <v>364.35</v>
      </c>
      <c r="F2285" s="18">
        <v>364.35</v>
      </c>
    </row>
    <row r="2286">
      <c r="A2286" s="6" t="s">
        <v>6945</v>
      </c>
      <c r="B2286" s="6" t="s">
        <v>6946</v>
      </c>
      <c r="C2286" s="6" t="s">
        <v>1168</v>
      </c>
      <c r="D2286" s="18">
        <v>1.0</v>
      </c>
      <c r="E2286" s="18">
        <v>500.0</v>
      </c>
      <c r="F2286" s="18">
        <v>500.0</v>
      </c>
    </row>
    <row r="2287">
      <c r="A2287" s="6" t="s">
        <v>6947</v>
      </c>
      <c r="B2287" s="6" t="s">
        <v>6948</v>
      </c>
      <c r="C2287" s="6" t="s">
        <v>1145</v>
      </c>
      <c r="D2287" s="18">
        <v>1.0</v>
      </c>
      <c r="E2287" s="18">
        <v>4661.94</v>
      </c>
      <c r="F2287" s="18">
        <v>4661.94</v>
      </c>
    </row>
    <row r="2288">
      <c r="A2288" s="6" t="s">
        <v>6949</v>
      </c>
      <c r="B2288" s="6" t="s">
        <v>6950</v>
      </c>
      <c r="C2288" s="6" t="s">
        <v>1145</v>
      </c>
      <c r="D2288" s="18">
        <v>1.0</v>
      </c>
      <c r="E2288" s="18">
        <v>4661.94</v>
      </c>
      <c r="F2288" s="18">
        <v>4661.94</v>
      </c>
    </row>
    <row r="2289">
      <c r="A2289" s="6" t="s">
        <v>6951</v>
      </c>
      <c r="B2289" s="6" t="s">
        <v>6952</v>
      </c>
      <c r="C2289" s="6" t="s">
        <v>1168</v>
      </c>
      <c r="D2289" s="18">
        <v>1.0</v>
      </c>
      <c r="E2289" s="18">
        <v>200.0</v>
      </c>
      <c r="F2289" s="18">
        <v>200.0</v>
      </c>
    </row>
    <row r="2290">
      <c r="A2290" s="6" t="s">
        <v>6953</v>
      </c>
      <c r="B2290" s="6" t="s">
        <v>6954</v>
      </c>
      <c r="C2290" s="6" t="s">
        <v>1517</v>
      </c>
      <c r="D2290" s="18">
        <v>1.0</v>
      </c>
      <c r="E2290" s="18">
        <v>6285.01</v>
      </c>
      <c r="F2290" s="18">
        <v>6285.01</v>
      </c>
    </row>
    <row r="2291">
      <c r="A2291" s="6" t="s">
        <v>6955</v>
      </c>
      <c r="B2291" s="6" t="s">
        <v>6954</v>
      </c>
      <c r="C2291" s="6" t="s">
        <v>6956</v>
      </c>
      <c r="D2291" s="18">
        <v>1.0</v>
      </c>
      <c r="E2291" s="18">
        <v>1362.97</v>
      </c>
      <c r="F2291" s="18">
        <v>1362.97</v>
      </c>
    </row>
    <row r="2292">
      <c r="A2292" s="6" t="s">
        <v>6958</v>
      </c>
      <c r="B2292" s="6" t="s">
        <v>6960</v>
      </c>
      <c r="C2292" s="18">
        <v>1.2539885E7</v>
      </c>
      <c r="D2292" s="18">
        <v>1.0</v>
      </c>
      <c r="E2292" s="18">
        <v>250.0</v>
      </c>
      <c r="F2292" s="18">
        <v>250.0</v>
      </c>
    </row>
    <row r="2293">
      <c r="A2293" s="6" t="s">
        <v>6961</v>
      </c>
      <c r="B2293" s="6" t="s">
        <v>6962</v>
      </c>
      <c r="C2293" s="6" t="s">
        <v>159</v>
      </c>
      <c r="D2293" s="18">
        <v>15.0</v>
      </c>
      <c r="E2293" s="18">
        <v>13.0</v>
      </c>
      <c r="F2293" s="18">
        <v>195.0</v>
      </c>
    </row>
    <row r="2294">
      <c r="A2294" s="6" t="s">
        <v>6963</v>
      </c>
      <c r="B2294" s="6" t="s">
        <v>6962</v>
      </c>
      <c r="C2294" s="6" t="s">
        <v>155</v>
      </c>
      <c r="D2294" s="18">
        <v>1.0</v>
      </c>
      <c r="E2294" s="18">
        <v>61.32</v>
      </c>
      <c r="F2294" s="18">
        <v>61.32</v>
      </c>
    </row>
    <row r="2295">
      <c r="A2295" s="6" t="s">
        <v>6964</v>
      </c>
      <c r="B2295" s="6" t="s">
        <v>6962</v>
      </c>
      <c r="C2295" s="6" t="s">
        <v>152</v>
      </c>
      <c r="D2295" s="18">
        <v>1.0</v>
      </c>
      <c r="E2295" s="18">
        <v>12.09</v>
      </c>
      <c r="F2295" s="18">
        <v>12.09</v>
      </c>
    </row>
    <row r="2296">
      <c r="A2296" s="6" t="s">
        <v>6965</v>
      </c>
      <c r="B2296" s="6" t="s">
        <v>6962</v>
      </c>
      <c r="C2296" s="6" t="s">
        <v>226</v>
      </c>
      <c r="D2296" s="18">
        <v>1.0</v>
      </c>
      <c r="E2296" s="18">
        <v>57.0</v>
      </c>
      <c r="F2296" s="18">
        <v>57.0</v>
      </c>
    </row>
    <row r="2297">
      <c r="A2297" s="6" t="s">
        <v>6966</v>
      </c>
      <c r="B2297" s="6" t="s">
        <v>6968</v>
      </c>
      <c r="C2297" s="6" t="s">
        <v>1074</v>
      </c>
      <c r="D2297" s="18">
        <v>3.0</v>
      </c>
      <c r="E2297" s="18">
        <v>38.0</v>
      </c>
      <c r="F2297" s="18">
        <v>114.0</v>
      </c>
    </row>
    <row r="2298">
      <c r="A2298" s="6" t="s">
        <v>6971</v>
      </c>
      <c r="B2298" s="6" t="s">
        <v>6968</v>
      </c>
      <c r="C2298" s="6" t="s">
        <v>1080</v>
      </c>
      <c r="D2298" s="18">
        <v>10.0</v>
      </c>
      <c r="E2298" s="18">
        <v>17.5</v>
      </c>
      <c r="F2298" s="18">
        <v>175.0</v>
      </c>
    </row>
    <row r="2299">
      <c r="A2299" s="6" t="s">
        <v>6972</v>
      </c>
      <c r="B2299" s="6" t="s">
        <v>6968</v>
      </c>
      <c r="C2299" s="6" t="s">
        <v>1075</v>
      </c>
      <c r="D2299" s="18">
        <v>4.0</v>
      </c>
      <c r="E2299" s="18">
        <v>38.0</v>
      </c>
      <c r="F2299" s="18">
        <v>152.0</v>
      </c>
    </row>
    <row r="2300">
      <c r="A2300" s="6" t="s">
        <v>6974</v>
      </c>
      <c r="B2300" s="6" t="s">
        <v>6975</v>
      </c>
      <c r="C2300" s="6" t="s">
        <v>1510</v>
      </c>
      <c r="D2300" s="18">
        <v>1.0</v>
      </c>
      <c r="E2300" s="18">
        <v>12785.27</v>
      </c>
      <c r="F2300" s="18">
        <v>12785.27</v>
      </c>
    </row>
    <row r="2301">
      <c r="A2301" s="6" t="s">
        <v>6976</v>
      </c>
      <c r="B2301" s="6" t="s">
        <v>6975</v>
      </c>
      <c r="C2301" s="6" t="s">
        <v>6956</v>
      </c>
      <c r="D2301" s="18">
        <v>1.0</v>
      </c>
      <c r="E2301" s="18">
        <v>2732.68</v>
      </c>
      <c r="F2301" s="18">
        <v>2732.68</v>
      </c>
    </row>
    <row r="2302">
      <c r="A2302" s="6" t="s">
        <v>6977</v>
      </c>
      <c r="B2302" s="6" t="s">
        <v>6978</v>
      </c>
      <c r="C2302" s="6" t="s">
        <v>305</v>
      </c>
      <c r="D2302" s="18">
        <v>1.0</v>
      </c>
      <c r="E2302" s="18">
        <v>47.39</v>
      </c>
      <c r="F2302" s="18">
        <v>47.39</v>
      </c>
    </row>
    <row r="2303">
      <c r="A2303" s="6" t="s">
        <v>6979</v>
      </c>
      <c r="B2303" s="6" t="s">
        <v>6980</v>
      </c>
      <c r="C2303" s="6" t="s">
        <v>159</v>
      </c>
      <c r="D2303" s="18">
        <v>1.0</v>
      </c>
      <c r="E2303" s="18">
        <v>195.0</v>
      </c>
      <c r="F2303" s="18">
        <v>195.0</v>
      </c>
    </row>
    <row r="2304">
      <c r="A2304" s="6" t="s">
        <v>6982</v>
      </c>
      <c r="B2304" s="6" t="s">
        <v>6980</v>
      </c>
      <c r="C2304" s="6" t="s">
        <v>155</v>
      </c>
      <c r="D2304" s="18">
        <v>1.0</v>
      </c>
      <c r="E2304" s="18">
        <v>31.39</v>
      </c>
      <c r="F2304" s="18">
        <v>31.39</v>
      </c>
    </row>
    <row r="2305">
      <c r="A2305" s="6" t="s">
        <v>6984</v>
      </c>
      <c r="B2305" s="6" t="s">
        <v>6980</v>
      </c>
      <c r="C2305" s="6" t="s">
        <v>226</v>
      </c>
      <c r="D2305" s="18">
        <v>1.0</v>
      </c>
      <c r="E2305" s="18">
        <v>57.0</v>
      </c>
      <c r="F2305" s="18">
        <v>57.0</v>
      </c>
    </row>
    <row r="2306">
      <c r="A2306" s="6" t="s">
        <v>6985</v>
      </c>
      <c r="B2306" s="6" t="s">
        <v>6986</v>
      </c>
      <c r="C2306" s="6" t="s">
        <v>1653</v>
      </c>
      <c r="D2306" s="18">
        <v>1.0</v>
      </c>
      <c r="E2306" s="18">
        <v>978.12</v>
      </c>
      <c r="F2306" s="18">
        <v>978.12</v>
      </c>
    </row>
    <row r="2307">
      <c r="A2307" s="6" t="s">
        <v>6987</v>
      </c>
      <c r="B2307" s="6" t="s">
        <v>6988</v>
      </c>
      <c r="C2307" s="6" t="s">
        <v>2715</v>
      </c>
      <c r="D2307" s="18">
        <v>1.0</v>
      </c>
      <c r="E2307" s="18">
        <v>1357.36</v>
      </c>
      <c r="F2307" s="18">
        <v>1357.36</v>
      </c>
    </row>
    <row r="2308">
      <c r="A2308" s="6" t="s">
        <v>6989</v>
      </c>
      <c r="B2308" s="6" t="s">
        <v>6990</v>
      </c>
      <c r="C2308" s="6" t="s">
        <v>2715</v>
      </c>
      <c r="D2308" s="18">
        <v>1.0</v>
      </c>
      <c r="E2308" s="18">
        <v>1357.36</v>
      </c>
      <c r="F2308" s="18">
        <v>1357.36</v>
      </c>
    </row>
    <row r="2309">
      <c r="A2309" s="6" t="s">
        <v>6992</v>
      </c>
      <c r="B2309" s="6" t="s">
        <v>6993</v>
      </c>
      <c r="C2309" s="18">
        <v>1.2539885E7</v>
      </c>
      <c r="D2309" s="18">
        <v>1.0</v>
      </c>
      <c r="E2309" s="18">
        <v>350.0</v>
      </c>
      <c r="F2309" s="18">
        <v>350.0</v>
      </c>
    </row>
    <row r="2310">
      <c r="A2310" s="6" t="s">
        <v>6996</v>
      </c>
      <c r="B2310" s="6" t="s">
        <v>6997</v>
      </c>
      <c r="C2310" s="6" t="s">
        <v>3833</v>
      </c>
      <c r="D2310" s="18">
        <v>1.0</v>
      </c>
      <c r="E2310" s="18">
        <v>23392.38</v>
      </c>
      <c r="F2310" s="18">
        <v>23392.38</v>
      </c>
    </row>
    <row r="2311">
      <c r="A2311" s="6" t="s">
        <v>6998</v>
      </c>
      <c r="B2311" s="6" t="s">
        <v>6999</v>
      </c>
      <c r="C2311" s="6" t="s">
        <v>3833</v>
      </c>
      <c r="D2311" s="18">
        <v>1.0</v>
      </c>
      <c r="E2311" s="18">
        <v>5005.68</v>
      </c>
      <c r="F2311" s="18">
        <v>5005.68</v>
      </c>
    </row>
    <row r="2312">
      <c r="A2312" s="6" t="s">
        <v>7000</v>
      </c>
      <c r="B2312" s="6" t="s">
        <v>7001</v>
      </c>
      <c r="C2312" s="6" t="s">
        <v>1168</v>
      </c>
      <c r="D2312" s="18">
        <v>1.0</v>
      </c>
      <c r="E2312" s="18">
        <v>500.0</v>
      </c>
      <c r="F2312" s="18">
        <v>500.0</v>
      </c>
    </row>
    <row r="2313">
      <c r="A2313" s="6" t="s">
        <v>7002</v>
      </c>
      <c r="B2313" s="6" t="s">
        <v>7003</v>
      </c>
      <c r="C2313" s="6" t="s">
        <v>1168</v>
      </c>
      <c r="D2313" s="18">
        <v>1.0</v>
      </c>
      <c r="E2313" s="18">
        <v>500.0</v>
      </c>
      <c r="F2313" s="18">
        <v>500.0</v>
      </c>
    </row>
    <row r="2314">
      <c r="A2314" s="6" t="s">
        <v>7004</v>
      </c>
      <c r="B2314" s="6" t="s">
        <v>7005</v>
      </c>
      <c r="C2314" s="6" t="s">
        <v>1168</v>
      </c>
      <c r="D2314" s="18">
        <v>1.0</v>
      </c>
      <c r="E2314" s="18">
        <v>500.0</v>
      </c>
      <c r="F2314" s="18">
        <v>500.0</v>
      </c>
    </row>
    <row r="2315">
      <c r="A2315" s="6" t="s">
        <v>7007</v>
      </c>
      <c r="B2315" s="6" t="s">
        <v>7009</v>
      </c>
      <c r="C2315" s="6" t="s">
        <v>1168</v>
      </c>
      <c r="D2315" s="18">
        <v>1.0</v>
      </c>
      <c r="E2315" s="18">
        <v>300.0</v>
      </c>
      <c r="F2315" s="18">
        <v>300.0</v>
      </c>
    </row>
    <row r="2316">
      <c r="A2316" s="6" t="s">
        <v>7010</v>
      </c>
      <c r="B2316" s="6" t="s">
        <v>7011</v>
      </c>
      <c r="C2316" s="6" t="s">
        <v>1126</v>
      </c>
      <c r="D2316" s="18">
        <v>1.0</v>
      </c>
      <c r="E2316" s="18">
        <v>30.0</v>
      </c>
      <c r="F2316" s="18">
        <v>30.0</v>
      </c>
    </row>
    <row r="2317">
      <c r="A2317" s="6" t="s">
        <v>7013</v>
      </c>
      <c r="B2317" s="6" t="s">
        <v>7014</v>
      </c>
      <c r="C2317" s="6" t="s">
        <v>5636</v>
      </c>
      <c r="D2317" s="18">
        <v>1.0</v>
      </c>
      <c r="E2317" s="18">
        <v>200.0</v>
      </c>
      <c r="F2317" s="18">
        <v>200.0</v>
      </c>
    </row>
    <row r="2318">
      <c r="A2318" s="6" t="s">
        <v>7015</v>
      </c>
      <c r="B2318" s="6" t="s">
        <v>7016</v>
      </c>
      <c r="C2318" s="6" t="s">
        <v>5640</v>
      </c>
      <c r="D2318" s="18">
        <v>1.0</v>
      </c>
      <c r="E2318" s="18">
        <v>22.0</v>
      </c>
      <c r="F2318" s="18">
        <v>22.0</v>
      </c>
    </row>
    <row r="2319">
      <c r="A2319" s="6" t="s">
        <v>7017</v>
      </c>
      <c r="B2319" s="6" t="s">
        <v>7018</v>
      </c>
      <c r="C2319" s="6" t="s">
        <v>5973</v>
      </c>
      <c r="D2319" s="18">
        <v>1.0</v>
      </c>
      <c r="E2319" s="18">
        <v>10.0</v>
      </c>
      <c r="F2319" s="18">
        <v>10.0</v>
      </c>
    </row>
    <row r="2320">
      <c r="A2320" s="6" t="s">
        <v>7019</v>
      </c>
      <c r="B2320" s="6" t="s">
        <v>7020</v>
      </c>
      <c r="C2320" s="6" t="s">
        <v>1668</v>
      </c>
      <c r="D2320" s="18">
        <v>1.0</v>
      </c>
      <c r="E2320" s="18">
        <v>124.16</v>
      </c>
      <c r="F2320" s="18">
        <v>124.16</v>
      </c>
    </row>
    <row r="2321">
      <c r="A2321" s="6" t="s">
        <v>7023</v>
      </c>
      <c r="B2321" s="6" t="s">
        <v>7024</v>
      </c>
      <c r="C2321" s="6" t="s">
        <v>1683</v>
      </c>
      <c r="D2321" s="18">
        <v>1.0</v>
      </c>
      <c r="E2321" s="18">
        <v>19.9</v>
      </c>
      <c r="F2321" s="18">
        <v>19.9</v>
      </c>
    </row>
    <row r="2322">
      <c r="A2322" s="6" t="s">
        <v>7025</v>
      </c>
      <c r="B2322" s="6" t="s">
        <v>7024</v>
      </c>
      <c r="C2322" s="6" t="s">
        <v>685</v>
      </c>
      <c r="D2322" s="18">
        <v>2.0</v>
      </c>
      <c r="E2322" s="18">
        <v>21.99</v>
      </c>
      <c r="F2322" s="18">
        <v>43.98</v>
      </c>
    </row>
    <row r="2323">
      <c r="A2323" s="6" t="s">
        <v>7026</v>
      </c>
      <c r="B2323" s="6" t="s">
        <v>7024</v>
      </c>
      <c r="C2323" s="18">
        <v>1.6367609E7</v>
      </c>
      <c r="D2323" s="18">
        <v>2.0</v>
      </c>
      <c r="E2323" s="18">
        <v>16.9</v>
      </c>
      <c r="F2323" s="18">
        <v>33.8</v>
      </c>
    </row>
    <row r="2324">
      <c r="A2324" s="6" t="s">
        <v>7027</v>
      </c>
      <c r="B2324" s="6" t="s">
        <v>7024</v>
      </c>
      <c r="C2324" s="6" t="s">
        <v>6563</v>
      </c>
      <c r="D2324" s="18">
        <v>1.0</v>
      </c>
      <c r="E2324" s="18">
        <v>21.9</v>
      </c>
      <c r="F2324" s="18">
        <v>21.9</v>
      </c>
    </row>
    <row r="2325">
      <c r="A2325" s="6" t="s">
        <v>7028</v>
      </c>
      <c r="B2325" s="6" t="s">
        <v>7024</v>
      </c>
      <c r="C2325" s="6" t="s">
        <v>789</v>
      </c>
      <c r="D2325" s="18">
        <v>1.0</v>
      </c>
      <c r="E2325" s="18">
        <v>200.0</v>
      </c>
      <c r="F2325" s="18">
        <v>200.0</v>
      </c>
    </row>
    <row r="2326">
      <c r="A2326" s="6" t="s">
        <v>7031</v>
      </c>
      <c r="B2326" s="6" t="s">
        <v>7024</v>
      </c>
      <c r="C2326" s="6" t="s">
        <v>7032</v>
      </c>
      <c r="D2326" s="18">
        <v>1.0</v>
      </c>
      <c r="E2326" s="18">
        <v>77.6</v>
      </c>
      <c r="F2326" s="18">
        <v>77.6</v>
      </c>
    </row>
    <row r="2327">
      <c r="A2327" s="6" t="s">
        <v>7033</v>
      </c>
      <c r="B2327" s="6" t="s">
        <v>7024</v>
      </c>
      <c r="C2327" s="6" t="s">
        <v>1197</v>
      </c>
      <c r="D2327" s="18">
        <v>1.0</v>
      </c>
      <c r="E2327" s="18">
        <v>100.0</v>
      </c>
      <c r="F2327" s="18">
        <v>100.0</v>
      </c>
    </row>
    <row r="2328">
      <c r="A2328" s="6" t="s">
        <v>7036</v>
      </c>
      <c r="B2328" s="18">
        <v>4.9263576E7</v>
      </c>
      <c r="C2328" s="6" t="s">
        <v>305</v>
      </c>
      <c r="D2328" s="18">
        <v>1.0</v>
      </c>
      <c r="E2328" s="18">
        <v>59.9</v>
      </c>
      <c r="F2328" s="18">
        <v>59.9</v>
      </c>
    </row>
    <row r="2329">
      <c r="A2329" s="6" t="s">
        <v>7037</v>
      </c>
      <c r="B2329" s="6" t="s">
        <v>7038</v>
      </c>
      <c r="C2329" s="6" t="s">
        <v>305</v>
      </c>
      <c r="D2329" s="18">
        <v>1.0</v>
      </c>
      <c r="E2329" s="18">
        <v>96.08</v>
      </c>
      <c r="F2329" s="18">
        <v>96.08</v>
      </c>
    </row>
    <row r="2330">
      <c r="A2330" s="6" t="s">
        <v>7039</v>
      </c>
      <c r="B2330" s="6" t="s">
        <v>7040</v>
      </c>
      <c r="C2330" s="6" t="s">
        <v>5325</v>
      </c>
      <c r="D2330" s="18">
        <v>1.0</v>
      </c>
      <c r="E2330" s="18">
        <v>110.0</v>
      </c>
      <c r="F2330" s="18">
        <v>110.0</v>
      </c>
    </row>
    <row r="2331">
      <c r="A2331" s="6" t="s">
        <v>7041</v>
      </c>
      <c r="B2331" s="6" t="s">
        <v>7042</v>
      </c>
      <c r="C2331" s="6" t="s">
        <v>1080</v>
      </c>
      <c r="D2331" s="18">
        <v>10.0</v>
      </c>
      <c r="E2331" s="18">
        <v>13.9</v>
      </c>
      <c r="F2331" s="18">
        <v>139.0</v>
      </c>
    </row>
    <row r="2332">
      <c r="A2332" s="6" t="s">
        <v>7043</v>
      </c>
      <c r="B2332" s="6" t="s">
        <v>7042</v>
      </c>
      <c r="C2332" s="6" t="s">
        <v>1427</v>
      </c>
      <c r="D2332" s="18">
        <v>2.0</v>
      </c>
      <c r="E2332" s="18">
        <v>29.99</v>
      </c>
      <c r="F2332" s="18">
        <v>59.98</v>
      </c>
    </row>
    <row r="2333">
      <c r="A2333" s="6" t="s">
        <v>7046</v>
      </c>
      <c r="B2333" s="6" t="s">
        <v>7047</v>
      </c>
      <c r="C2333" s="18">
        <v>1.2539885E7</v>
      </c>
      <c r="D2333" s="18">
        <v>1.0</v>
      </c>
      <c r="E2333" s="18">
        <v>175.0</v>
      </c>
      <c r="F2333" s="18">
        <v>175.0</v>
      </c>
    </row>
    <row r="2334">
      <c r="A2334" s="6" t="s">
        <v>7048</v>
      </c>
      <c r="B2334" s="6" t="s">
        <v>7049</v>
      </c>
      <c r="C2334" s="6" t="s">
        <v>159</v>
      </c>
      <c r="D2334" s="18">
        <v>1.0</v>
      </c>
      <c r="E2334" s="18">
        <v>260.0</v>
      </c>
      <c r="F2334" s="18">
        <v>260.0</v>
      </c>
    </row>
    <row r="2335">
      <c r="A2335" s="6" t="s">
        <v>7050</v>
      </c>
      <c r="B2335" s="6" t="s">
        <v>7049</v>
      </c>
      <c r="C2335" s="6" t="s">
        <v>155</v>
      </c>
      <c r="D2335" s="18">
        <v>1.0</v>
      </c>
      <c r="E2335" s="18">
        <v>52.5</v>
      </c>
      <c r="F2335" s="18">
        <v>52.5</v>
      </c>
    </row>
    <row r="2336">
      <c r="A2336" s="6" t="s">
        <v>7051</v>
      </c>
      <c r="B2336" s="6" t="s">
        <v>7049</v>
      </c>
      <c r="C2336" s="6" t="s">
        <v>152</v>
      </c>
      <c r="D2336" s="18">
        <v>1.0</v>
      </c>
      <c r="E2336" s="18">
        <v>13.44</v>
      </c>
      <c r="F2336" s="18">
        <v>13.44</v>
      </c>
    </row>
    <row r="2337">
      <c r="A2337" s="6" t="s">
        <v>7054</v>
      </c>
      <c r="B2337" s="6" t="s">
        <v>7049</v>
      </c>
      <c r="C2337" s="6" t="s">
        <v>226</v>
      </c>
      <c r="D2337" s="18">
        <v>1.0</v>
      </c>
      <c r="E2337" s="18">
        <v>59.5</v>
      </c>
      <c r="F2337" s="18">
        <v>59.5</v>
      </c>
    </row>
    <row r="2338">
      <c r="A2338" s="6" t="s">
        <v>7055</v>
      </c>
      <c r="B2338" s="6" t="s">
        <v>7056</v>
      </c>
      <c r="C2338" s="6" t="s">
        <v>794</v>
      </c>
      <c r="D2338" s="18">
        <v>12.0</v>
      </c>
      <c r="E2338" s="18">
        <v>22.57</v>
      </c>
      <c r="F2338" s="18">
        <v>270.84000000000003</v>
      </c>
    </row>
    <row r="2339">
      <c r="A2339" s="6" t="s">
        <v>7057</v>
      </c>
      <c r="B2339" s="6" t="s">
        <v>7056</v>
      </c>
      <c r="C2339" s="6" t="s">
        <v>3131</v>
      </c>
      <c r="D2339" s="18">
        <v>2.0</v>
      </c>
      <c r="E2339" s="18">
        <v>81.4</v>
      </c>
      <c r="F2339" s="18">
        <v>162.8</v>
      </c>
    </row>
    <row r="2340">
      <c r="A2340" s="6" t="s">
        <v>7060</v>
      </c>
      <c r="B2340" s="6" t="s">
        <v>7056</v>
      </c>
      <c r="C2340" s="6" t="s">
        <v>249</v>
      </c>
      <c r="D2340" s="18">
        <v>1.0</v>
      </c>
      <c r="E2340" s="18">
        <v>313.84</v>
      </c>
      <c r="F2340" s="18">
        <v>313.84</v>
      </c>
    </row>
    <row r="2341">
      <c r="A2341" s="6" t="s">
        <v>7061</v>
      </c>
      <c r="B2341" s="6" t="s">
        <v>7056</v>
      </c>
      <c r="C2341" s="6" t="s">
        <v>249</v>
      </c>
      <c r="D2341" s="18">
        <v>1.0</v>
      </c>
      <c r="E2341" s="18">
        <v>484.8</v>
      </c>
      <c r="F2341" s="18">
        <v>484.8</v>
      </c>
    </row>
    <row r="2342">
      <c r="A2342" s="6" t="s">
        <v>7062</v>
      </c>
      <c r="B2342" s="6" t="s">
        <v>7056</v>
      </c>
      <c r="C2342" s="6" t="s">
        <v>249</v>
      </c>
      <c r="D2342" s="18">
        <v>1.0</v>
      </c>
      <c r="E2342" s="18">
        <v>405.72</v>
      </c>
      <c r="F2342" s="18">
        <v>405.72</v>
      </c>
    </row>
    <row r="2343">
      <c r="A2343" s="6" t="s">
        <v>7063</v>
      </c>
      <c r="B2343" s="6" t="s">
        <v>7056</v>
      </c>
      <c r="C2343" s="6" t="s">
        <v>887</v>
      </c>
      <c r="D2343" s="18">
        <v>1.0</v>
      </c>
      <c r="E2343" s="18">
        <v>91.87</v>
      </c>
      <c r="F2343" s="18">
        <v>91.87</v>
      </c>
    </row>
    <row r="2344">
      <c r="A2344" s="6" t="s">
        <v>7065</v>
      </c>
      <c r="B2344" s="6" t="s">
        <v>7056</v>
      </c>
      <c r="C2344" s="6" t="s">
        <v>1350</v>
      </c>
      <c r="D2344" s="18">
        <v>1.0</v>
      </c>
      <c r="E2344" s="18">
        <v>196.4</v>
      </c>
      <c r="F2344" s="18">
        <v>196.4</v>
      </c>
    </row>
    <row r="2345">
      <c r="A2345" s="6" t="s">
        <v>7067</v>
      </c>
      <c r="B2345" s="6" t="s">
        <v>7056</v>
      </c>
      <c r="C2345" s="6" t="s">
        <v>5138</v>
      </c>
      <c r="D2345" s="18">
        <v>1.0</v>
      </c>
      <c r="E2345" s="18">
        <v>353.92</v>
      </c>
      <c r="F2345" s="18">
        <v>353.92</v>
      </c>
    </row>
    <row r="2346">
      <c r="A2346" s="6" t="s">
        <v>7068</v>
      </c>
      <c r="B2346" s="6" t="s">
        <v>7069</v>
      </c>
      <c r="C2346" s="6" t="s">
        <v>1073</v>
      </c>
      <c r="D2346" s="18">
        <v>1.0</v>
      </c>
      <c r="E2346" s="18">
        <v>20.1</v>
      </c>
      <c r="F2346" s="18">
        <v>20.1</v>
      </c>
    </row>
    <row r="2347">
      <c r="A2347" s="6" t="s">
        <v>7070</v>
      </c>
      <c r="B2347" s="6" t="s">
        <v>7069</v>
      </c>
      <c r="C2347" s="18">
        <v>7.5375964E7</v>
      </c>
      <c r="D2347" s="18">
        <v>1.0</v>
      </c>
      <c r="E2347" s="18">
        <v>19.0</v>
      </c>
      <c r="F2347" s="18">
        <v>19.0</v>
      </c>
    </row>
    <row r="2348">
      <c r="A2348" s="6" t="s">
        <v>7071</v>
      </c>
      <c r="B2348" s="6" t="s">
        <v>7069</v>
      </c>
      <c r="C2348" s="6" t="s">
        <v>1384</v>
      </c>
      <c r="D2348" s="18">
        <v>1.0</v>
      </c>
      <c r="E2348" s="18">
        <v>19.0</v>
      </c>
      <c r="F2348" s="18">
        <v>19.0</v>
      </c>
    </row>
    <row r="2349">
      <c r="A2349" s="6" t="s">
        <v>7073</v>
      </c>
      <c r="B2349" s="6" t="s">
        <v>7069</v>
      </c>
      <c r="C2349" s="6" t="s">
        <v>1074</v>
      </c>
      <c r="D2349" s="18">
        <v>2.0</v>
      </c>
      <c r="E2349" s="18">
        <v>38.0</v>
      </c>
      <c r="F2349" s="18">
        <v>76.0</v>
      </c>
    </row>
    <row r="2350">
      <c r="A2350" s="6" t="s">
        <v>7075</v>
      </c>
      <c r="B2350" s="6" t="s">
        <v>7069</v>
      </c>
      <c r="C2350" s="6" t="s">
        <v>1077</v>
      </c>
      <c r="D2350" s="18">
        <v>2.0</v>
      </c>
      <c r="E2350" s="18">
        <v>24.0</v>
      </c>
      <c r="F2350" s="18">
        <v>48.0</v>
      </c>
    </row>
    <row r="2351">
      <c r="A2351" s="6" t="s">
        <v>7076</v>
      </c>
      <c r="B2351" s="6" t="s">
        <v>7069</v>
      </c>
      <c r="C2351" s="6" t="s">
        <v>1079</v>
      </c>
      <c r="D2351" s="18">
        <v>20.0</v>
      </c>
      <c r="E2351" s="18">
        <v>16.6</v>
      </c>
      <c r="F2351" s="18">
        <v>332.0</v>
      </c>
    </row>
    <row r="2352">
      <c r="A2352" s="6" t="s">
        <v>7077</v>
      </c>
      <c r="B2352" s="6" t="s">
        <v>7069</v>
      </c>
      <c r="C2352" s="6" t="s">
        <v>1081</v>
      </c>
      <c r="D2352" s="18">
        <v>4.0</v>
      </c>
      <c r="E2352" s="18">
        <v>48.0</v>
      </c>
      <c r="F2352" s="18">
        <v>192.0</v>
      </c>
    </row>
    <row r="2353">
      <c r="A2353" s="6" t="s">
        <v>7078</v>
      </c>
      <c r="B2353" s="6" t="s">
        <v>7069</v>
      </c>
      <c r="C2353" s="6" t="s">
        <v>1091</v>
      </c>
      <c r="D2353" s="18">
        <v>1.0</v>
      </c>
      <c r="E2353" s="18">
        <v>19.8</v>
      </c>
      <c r="F2353" s="18">
        <v>19.8</v>
      </c>
    </row>
    <row r="2354">
      <c r="A2354" s="6" t="s">
        <v>7081</v>
      </c>
      <c r="B2354" s="6" t="s">
        <v>7082</v>
      </c>
      <c r="C2354" s="6" t="s">
        <v>335</v>
      </c>
      <c r="D2354" s="18">
        <v>6.0</v>
      </c>
      <c r="E2354" s="18">
        <v>41.88</v>
      </c>
      <c r="F2354" s="18">
        <v>251.28000000000003</v>
      </c>
    </row>
    <row r="2355">
      <c r="A2355" s="6" t="s">
        <v>7083</v>
      </c>
      <c r="B2355" s="6" t="s">
        <v>7082</v>
      </c>
      <c r="C2355" s="6" t="s">
        <v>338</v>
      </c>
      <c r="D2355" s="18">
        <v>9.0</v>
      </c>
      <c r="E2355" s="18">
        <v>30.76</v>
      </c>
      <c r="F2355" s="18">
        <v>276.84</v>
      </c>
    </row>
    <row r="2356">
      <c r="A2356" s="6" t="s">
        <v>7084</v>
      </c>
      <c r="B2356" s="6" t="s">
        <v>7082</v>
      </c>
      <c r="C2356" s="6" t="s">
        <v>1777</v>
      </c>
      <c r="D2356" s="18">
        <v>1.0</v>
      </c>
      <c r="E2356" s="18">
        <v>24.52</v>
      </c>
      <c r="F2356" s="18">
        <v>24.52</v>
      </c>
    </row>
    <row r="2357">
      <c r="A2357" s="6" t="s">
        <v>7085</v>
      </c>
      <c r="B2357" s="6" t="s">
        <v>7082</v>
      </c>
      <c r="C2357" s="6" t="s">
        <v>7086</v>
      </c>
      <c r="D2357" s="18">
        <v>1.0</v>
      </c>
      <c r="E2357" s="18">
        <v>53.78</v>
      </c>
      <c r="F2357" s="18">
        <v>53.78</v>
      </c>
    </row>
    <row r="2358">
      <c r="A2358" s="6" t="s">
        <v>7089</v>
      </c>
      <c r="B2358" s="6" t="s">
        <v>7082</v>
      </c>
      <c r="C2358" s="6" t="s">
        <v>1387</v>
      </c>
      <c r="D2358" s="18">
        <v>1.0</v>
      </c>
      <c r="E2358" s="18">
        <v>27.97</v>
      </c>
      <c r="F2358" s="18">
        <v>27.97</v>
      </c>
    </row>
    <row r="2359">
      <c r="A2359" s="6" t="s">
        <v>7090</v>
      </c>
      <c r="B2359" s="6" t="s">
        <v>7091</v>
      </c>
      <c r="C2359" s="6" t="s">
        <v>1022</v>
      </c>
      <c r="D2359" s="18">
        <v>1.0</v>
      </c>
      <c r="E2359" s="18">
        <v>135.0</v>
      </c>
      <c r="F2359" s="18">
        <v>135.0</v>
      </c>
    </row>
    <row r="2360">
      <c r="A2360" s="6" t="s">
        <v>7092</v>
      </c>
      <c r="B2360" s="6" t="s">
        <v>7093</v>
      </c>
      <c r="C2360" s="6" t="s">
        <v>159</v>
      </c>
      <c r="D2360" s="18">
        <v>15.0</v>
      </c>
      <c r="E2360" s="18">
        <v>13.0</v>
      </c>
      <c r="F2360" s="18">
        <v>195.0</v>
      </c>
    </row>
    <row r="2361">
      <c r="A2361" s="6" t="s">
        <v>7094</v>
      </c>
      <c r="B2361" s="6" t="s">
        <v>7093</v>
      </c>
      <c r="C2361" s="6" t="s">
        <v>155</v>
      </c>
      <c r="D2361" s="18">
        <v>1.0</v>
      </c>
      <c r="E2361" s="18">
        <v>52.81</v>
      </c>
      <c r="F2361" s="18">
        <v>52.81</v>
      </c>
    </row>
    <row r="2362">
      <c r="A2362" s="6" t="s">
        <v>7097</v>
      </c>
      <c r="B2362" s="6" t="s">
        <v>7093</v>
      </c>
      <c r="C2362" s="6" t="s">
        <v>152</v>
      </c>
      <c r="D2362" s="18">
        <v>1.0</v>
      </c>
      <c r="E2362" s="18">
        <v>10.49</v>
      </c>
      <c r="F2362" s="18">
        <v>10.49</v>
      </c>
    </row>
    <row r="2363">
      <c r="A2363" s="6" t="s">
        <v>7099</v>
      </c>
      <c r="B2363" s="6" t="s">
        <v>7093</v>
      </c>
      <c r="C2363" s="6" t="s">
        <v>226</v>
      </c>
      <c r="D2363" s="18">
        <v>1.0</v>
      </c>
      <c r="E2363" s="18">
        <v>68.0</v>
      </c>
      <c r="F2363" s="18">
        <v>68.0</v>
      </c>
    </row>
    <row r="2364">
      <c r="A2364" s="6" t="s">
        <v>7101</v>
      </c>
      <c r="B2364" s="6" t="s">
        <v>7102</v>
      </c>
      <c r="C2364" s="6" t="s">
        <v>159</v>
      </c>
      <c r="D2364" s="18">
        <v>10.0</v>
      </c>
      <c r="E2364" s="18">
        <v>13.0</v>
      </c>
      <c r="F2364" s="18">
        <v>130.0</v>
      </c>
    </row>
    <row r="2365">
      <c r="A2365" s="6" t="s">
        <v>7103</v>
      </c>
      <c r="B2365" s="6" t="s">
        <v>7102</v>
      </c>
      <c r="C2365" s="6" t="s">
        <v>155</v>
      </c>
      <c r="D2365" s="18">
        <v>1.0</v>
      </c>
      <c r="E2365" s="18">
        <v>31.75</v>
      </c>
      <c r="F2365" s="18">
        <v>31.75</v>
      </c>
    </row>
    <row r="2366">
      <c r="A2366" s="6" t="s">
        <v>7104</v>
      </c>
      <c r="B2366" s="6" t="s">
        <v>7102</v>
      </c>
      <c r="C2366" s="6" t="s">
        <v>152</v>
      </c>
      <c r="D2366" s="18">
        <v>1.0</v>
      </c>
      <c r="E2366" s="18">
        <v>7.04</v>
      </c>
      <c r="F2366" s="18">
        <v>7.04</v>
      </c>
    </row>
    <row r="2367">
      <c r="A2367" s="6" t="s">
        <v>7108</v>
      </c>
      <c r="B2367" s="6" t="s">
        <v>7102</v>
      </c>
      <c r="C2367" s="6" t="s">
        <v>226</v>
      </c>
      <c r="D2367" s="18">
        <v>1.0</v>
      </c>
      <c r="E2367" s="18">
        <v>51.0</v>
      </c>
      <c r="F2367" s="18">
        <v>51.0</v>
      </c>
    </row>
    <row r="2368">
      <c r="A2368" s="6" t="s">
        <v>7109</v>
      </c>
      <c r="B2368" s="6" t="s">
        <v>7110</v>
      </c>
      <c r="C2368" s="18">
        <v>1.2539885E7</v>
      </c>
      <c r="D2368" s="18">
        <v>1.0</v>
      </c>
      <c r="E2368" s="18">
        <v>250.0</v>
      </c>
      <c r="F2368" s="18">
        <v>250.0</v>
      </c>
    </row>
    <row r="2369">
      <c r="A2369" s="6" t="s">
        <v>7112</v>
      </c>
      <c r="B2369" s="6" t="s">
        <v>7114</v>
      </c>
      <c r="C2369" s="6" t="s">
        <v>1239</v>
      </c>
      <c r="D2369" s="18">
        <v>1.0</v>
      </c>
      <c r="E2369" s="18">
        <v>642.39</v>
      </c>
      <c r="F2369" s="18">
        <v>642.39</v>
      </c>
    </row>
    <row r="2370">
      <c r="A2370" s="6" t="s">
        <v>7115</v>
      </c>
      <c r="B2370" s="6" t="s">
        <v>7116</v>
      </c>
      <c r="C2370" s="6" t="s">
        <v>1239</v>
      </c>
      <c r="D2370" s="18">
        <v>1.0</v>
      </c>
      <c r="E2370" s="18">
        <v>2836.59</v>
      </c>
      <c r="F2370" s="18">
        <v>2836.59</v>
      </c>
    </row>
    <row r="2371">
      <c r="A2371" s="6" t="s">
        <v>7118</v>
      </c>
      <c r="B2371" s="6" t="s">
        <v>7119</v>
      </c>
      <c r="C2371" s="6" t="s">
        <v>1239</v>
      </c>
      <c r="D2371" s="18">
        <v>1.0</v>
      </c>
      <c r="E2371" s="18">
        <v>1909.57</v>
      </c>
      <c r="F2371" s="18">
        <v>1909.57</v>
      </c>
    </row>
    <row r="2372">
      <c r="A2372" s="6" t="s">
        <v>7120</v>
      </c>
      <c r="B2372" s="6" t="s">
        <v>7121</v>
      </c>
      <c r="C2372" s="6" t="s">
        <v>1239</v>
      </c>
      <c r="D2372" s="18">
        <v>1.0</v>
      </c>
      <c r="E2372" s="18">
        <v>2080.59</v>
      </c>
      <c r="F2372" s="18">
        <v>2080.59</v>
      </c>
    </row>
    <row r="2373">
      <c r="A2373" s="6" t="s">
        <v>7122</v>
      </c>
      <c r="B2373" s="6" t="s">
        <v>7123</v>
      </c>
      <c r="C2373" s="6" t="s">
        <v>1239</v>
      </c>
      <c r="D2373" s="18">
        <v>1.0</v>
      </c>
      <c r="E2373" s="18">
        <v>1145.93</v>
      </c>
      <c r="F2373" s="18">
        <v>1145.93</v>
      </c>
    </row>
    <row r="2374">
      <c r="A2374" s="6" t="s">
        <v>7125</v>
      </c>
      <c r="B2374" s="6" t="s">
        <v>7126</v>
      </c>
      <c r="C2374" s="6" t="s">
        <v>1239</v>
      </c>
      <c r="D2374" s="18">
        <v>1.0</v>
      </c>
      <c r="E2374" s="18">
        <v>642.39</v>
      </c>
      <c r="F2374" s="18">
        <v>642.39</v>
      </c>
    </row>
    <row r="2375">
      <c r="A2375" s="6" t="s">
        <v>7127</v>
      </c>
      <c r="B2375" s="6" t="s">
        <v>7128</v>
      </c>
      <c r="C2375" s="6" t="s">
        <v>159</v>
      </c>
      <c r="D2375" s="18">
        <v>10.0</v>
      </c>
      <c r="E2375" s="18">
        <v>13.0</v>
      </c>
      <c r="F2375" s="18">
        <v>130.0</v>
      </c>
    </row>
    <row r="2376">
      <c r="A2376" s="6" t="s">
        <v>7129</v>
      </c>
      <c r="B2376" s="6" t="s">
        <v>7128</v>
      </c>
      <c r="C2376" s="6" t="s">
        <v>155</v>
      </c>
      <c r="D2376" s="18">
        <v>1.0</v>
      </c>
      <c r="E2376" s="18">
        <v>36.5</v>
      </c>
      <c r="F2376" s="18">
        <v>36.5</v>
      </c>
    </row>
    <row r="2377">
      <c r="A2377" s="6" t="s">
        <v>7130</v>
      </c>
      <c r="B2377" s="6" t="s">
        <v>7128</v>
      </c>
      <c r="C2377" s="6" t="s">
        <v>152</v>
      </c>
      <c r="D2377" s="18">
        <v>1.0</v>
      </c>
      <c r="E2377" s="18">
        <v>9.92</v>
      </c>
      <c r="F2377" s="18">
        <v>9.92</v>
      </c>
    </row>
    <row r="2378">
      <c r="A2378" s="6" t="s">
        <v>7131</v>
      </c>
      <c r="B2378" s="6" t="s">
        <v>7128</v>
      </c>
      <c r="C2378" s="6" t="s">
        <v>226</v>
      </c>
      <c r="D2378" s="18">
        <v>1.0</v>
      </c>
      <c r="E2378" s="18">
        <v>38.0</v>
      </c>
      <c r="F2378" s="18">
        <v>38.0</v>
      </c>
    </row>
    <row r="2379">
      <c r="A2379" s="6" t="s">
        <v>7132</v>
      </c>
      <c r="B2379" s="6" t="s">
        <v>7133</v>
      </c>
      <c r="C2379" s="6" t="s">
        <v>691</v>
      </c>
      <c r="D2379" s="18">
        <v>1.0</v>
      </c>
      <c r="E2379" s="18">
        <v>86.29</v>
      </c>
      <c r="F2379" s="18">
        <v>86.29</v>
      </c>
    </row>
    <row r="2380">
      <c r="A2380" s="6" t="s">
        <v>7134</v>
      </c>
      <c r="B2380" s="6" t="s">
        <v>7133</v>
      </c>
      <c r="C2380" s="6" t="s">
        <v>854</v>
      </c>
      <c r="D2380" s="18">
        <v>1.0</v>
      </c>
      <c r="E2380" s="18">
        <v>11.0</v>
      </c>
      <c r="F2380" s="18">
        <v>11.0</v>
      </c>
    </row>
    <row r="2381">
      <c r="A2381" s="6" t="s">
        <v>7135</v>
      </c>
      <c r="B2381" s="6" t="s">
        <v>7133</v>
      </c>
      <c r="C2381" s="6" t="s">
        <v>7136</v>
      </c>
      <c r="D2381" s="18">
        <v>1.0</v>
      </c>
      <c r="E2381" s="18">
        <v>119.8</v>
      </c>
      <c r="F2381" s="18">
        <v>119.8</v>
      </c>
    </row>
    <row r="2382">
      <c r="A2382" s="6" t="s">
        <v>7137</v>
      </c>
      <c r="B2382" s="6" t="s">
        <v>7133</v>
      </c>
      <c r="C2382" s="6" t="s">
        <v>2348</v>
      </c>
      <c r="D2382" s="18">
        <v>1.0</v>
      </c>
      <c r="E2382" s="18">
        <v>64.95</v>
      </c>
      <c r="F2382" s="18">
        <v>64.95</v>
      </c>
    </row>
    <row r="2383">
      <c r="A2383" s="6" t="s">
        <v>7138</v>
      </c>
      <c r="B2383" s="6" t="s">
        <v>7139</v>
      </c>
      <c r="C2383" s="6" t="s">
        <v>1239</v>
      </c>
      <c r="D2383" s="18">
        <v>1.0</v>
      </c>
      <c r="E2383" s="18">
        <v>2618.46</v>
      </c>
      <c r="F2383" s="18">
        <v>2618.46</v>
      </c>
    </row>
    <row r="2384">
      <c r="A2384" s="6" t="s">
        <v>7140</v>
      </c>
      <c r="B2384" s="6" t="s">
        <v>7141</v>
      </c>
      <c r="C2384" s="6" t="s">
        <v>6322</v>
      </c>
      <c r="D2384" s="18">
        <v>1.0</v>
      </c>
      <c r="E2384" s="18">
        <v>32.77</v>
      </c>
      <c r="F2384" s="18">
        <v>32.77</v>
      </c>
    </row>
    <row r="2385">
      <c r="A2385" s="6" t="s">
        <v>7142</v>
      </c>
      <c r="B2385" s="6" t="s">
        <v>7143</v>
      </c>
      <c r="C2385" s="6" t="s">
        <v>1195</v>
      </c>
      <c r="D2385" s="18">
        <v>5.0</v>
      </c>
      <c r="E2385" s="18">
        <v>24.0</v>
      </c>
      <c r="F2385" s="18">
        <v>120.0</v>
      </c>
    </row>
    <row r="2386">
      <c r="A2386" s="6" t="s">
        <v>7144</v>
      </c>
      <c r="B2386" s="6" t="s">
        <v>7143</v>
      </c>
      <c r="C2386" s="6" t="s">
        <v>266</v>
      </c>
      <c r="D2386" s="18">
        <v>2.0</v>
      </c>
      <c r="E2386" s="18">
        <v>18.0</v>
      </c>
      <c r="F2386" s="18">
        <v>36.0</v>
      </c>
    </row>
    <row r="2387">
      <c r="A2387" s="6" t="s">
        <v>7145</v>
      </c>
      <c r="B2387" s="6" t="s">
        <v>7143</v>
      </c>
      <c r="C2387" s="18">
        <v>7.9788768E7</v>
      </c>
      <c r="D2387" s="18">
        <v>5.0</v>
      </c>
      <c r="E2387" s="18">
        <v>5.5</v>
      </c>
      <c r="F2387" s="18">
        <v>27.5</v>
      </c>
    </row>
    <row r="2388">
      <c r="A2388" s="6" t="s">
        <v>7146</v>
      </c>
      <c r="B2388" s="6" t="s">
        <v>7147</v>
      </c>
      <c r="C2388" s="6" t="s">
        <v>1168</v>
      </c>
      <c r="D2388" s="18">
        <v>1.0</v>
      </c>
      <c r="E2388" s="18">
        <v>1600.0</v>
      </c>
      <c r="F2388" s="18">
        <v>1600.0</v>
      </c>
    </row>
    <row r="2389">
      <c r="A2389" s="6" t="s">
        <v>7148</v>
      </c>
      <c r="B2389" s="6" t="s">
        <v>7149</v>
      </c>
      <c r="C2389" s="6" t="s">
        <v>1168</v>
      </c>
      <c r="D2389" s="18">
        <v>1.0</v>
      </c>
      <c r="E2389" s="18">
        <v>500.0</v>
      </c>
      <c r="F2389" s="18">
        <v>500.0</v>
      </c>
    </row>
    <row r="2390">
      <c r="A2390" s="6" t="s">
        <v>7150</v>
      </c>
      <c r="B2390" s="6" t="s">
        <v>7151</v>
      </c>
      <c r="C2390" s="18">
        <v>1.2539885E7</v>
      </c>
      <c r="D2390" s="18">
        <v>1.0</v>
      </c>
      <c r="E2390" s="18">
        <v>250.0</v>
      </c>
      <c r="F2390" s="18">
        <v>250.0</v>
      </c>
    </row>
    <row r="2391">
      <c r="A2391" s="6" t="s">
        <v>7152</v>
      </c>
      <c r="B2391" s="6" t="s">
        <v>7153</v>
      </c>
      <c r="C2391" s="6" t="s">
        <v>1404</v>
      </c>
      <c r="D2391" s="18">
        <v>1.0</v>
      </c>
      <c r="E2391" s="18">
        <v>64.0</v>
      </c>
      <c r="F2391" s="18">
        <v>64.0</v>
      </c>
    </row>
    <row r="2392">
      <c r="A2392" s="6" t="s">
        <v>7154</v>
      </c>
      <c r="B2392" s="6" t="s">
        <v>7153</v>
      </c>
      <c r="C2392" s="18">
        <v>7.5375964E7</v>
      </c>
      <c r="D2392" s="18">
        <v>1.0</v>
      </c>
      <c r="E2392" s="18">
        <v>64.0</v>
      </c>
      <c r="F2392" s="18">
        <v>64.0</v>
      </c>
    </row>
    <row r="2393">
      <c r="A2393" s="6" t="s">
        <v>7155</v>
      </c>
      <c r="B2393" s="6" t="s">
        <v>7153</v>
      </c>
      <c r="C2393" s="6" t="s">
        <v>1387</v>
      </c>
      <c r="D2393" s="18">
        <v>1.0</v>
      </c>
      <c r="E2393" s="18">
        <v>45.0</v>
      </c>
      <c r="F2393" s="18">
        <v>45.0</v>
      </c>
    </row>
    <row r="2394">
      <c r="A2394" s="6" t="s">
        <v>7156</v>
      </c>
      <c r="B2394" s="6" t="s">
        <v>7153</v>
      </c>
      <c r="C2394" s="6" t="s">
        <v>1074</v>
      </c>
      <c r="D2394" s="18">
        <v>2.0</v>
      </c>
      <c r="E2394" s="18">
        <v>75.0</v>
      </c>
      <c r="F2394" s="18">
        <v>150.0</v>
      </c>
    </row>
    <row r="2395">
      <c r="A2395" s="6" t="s">
        <v>7157</v>
      </c>
      <c r="B2395" s="6" t="s">
        <v>7158</v>
      </c>
      <c r="C2395" s="6" t="s">
        <v>1073</v>
      </c>
      <c r="D2395" s="18">
        <v>1.0</v>
      </c>
      <c r="E2395" s="18">
        <v>20.1</v>
      </c>
      <c r="F2395" s="18">
        <v>20.1</v>
      </c>
    </row>
    <row r="2396">
      <c r="A2396" s="6" t="s">
        <v>7159</v>
      </c>
      <c r="B2396" s="6" t="s">
        <v>7158</v>
      </c>
      <c r="C2396" s="6" t="s">
        <v>1404</v>
      </c>
      <c r="D2396" s="18">
        <v>1.0</v>
      </c>
      <c r="E2396" s="18">
        <v>64.0</v>
      </c>
      <c r="F2396" s="18">
        <v>64.0</v>
      </c>
    </row>
    <row r="2397">
      <c r="A2397" s="6" t="s">
        <v>7160</v>
      </c>
      <c r="B2397" s="6" t="s">
        <v>7158</v>
      </c>
      <c r="C2397" s="6" t="s">
        <v>1074</v>
      </c>
      <c r="D2397" s="18">
        <v>2.0</v>
      </c>
      <c r="E2397" s="18">
        <v>38.0</v>
      </c>
      <c r="F2397" s="18">
        <v>76.0</v>
      </c>
    </row>
    <row r="2398">
      <c r="A2398" s="6" t="s">
        <v>7161</v>
      </c>
      <c r="B2398" s="6" t="s">
        <v>7158</v>
      </c>
      <c r="C2398" s="6" t="s">
        <v>1077</v>
      </c>
      <c r="D2398" s="18">
        <v>2.0</v>
      </c>
      <c r="E2398" s="18">
        <v>24.0</v>
      </c>
      <c r="F2398" s="18">
        <v>48.0</v>
      </c>
    </row>
    <row r="2399">
      <c r="A2399" s="6" t="s">
        <v>7162</v>
      </c>
      <c r="B2399" s="6" t="s">
        <v>7158</v>
      </c>
      <c r="C2399" s="6" t="s">
        <v>1079</v>
      </c>
      <c r="D2399" s="18">
        <v>10.0</v>
      </c>
      <c r="E2399" s="18">
        <v>16.6</v>
      </c>
      <c r="F2399" s="18">
        <v>166.0</v>
      </c>
    </row>
    <row r="2400">
      <c r="A2400" s="6" t="s">
        <v>7163</v>
      </c>
      <c r="B2400" s="6" t="s">
        <v>7158</v>
      </c>
      <c r="C2400" s="6" t="s">
        <v>1083</v>
      </c>
      <c r="D2400" s="18">
        <v>1.0</v>
      </c>
      <c r="E2400" s="18">
        <v>18.0</v>
      </c>
      <c r="F2400" s="18">
        <v>18.0</v>
      </c>
    </row>
    <row r="2401">
      <c r="A2401" s="6" t="s">
        <v>7164</v>
      </c>
      <c r="B2401" s="6" t="s">
        <v>7158</v>
      </c>
      <c r="C2401" s="6" t="s">
        <v>1091</v>
      </c>
      <c r="D2401" s="18">
        <v>1.0</v>
      </c>
      <c r="E2401" s="18">
        <v>24.0</v>
      </c>
      <c r="F2401" s="18">
        <v>24.0</v>
      </c>
    </row>
    <row r="2402">
      <c r="A2402" s="6" t="s">
        <v>7165</v>
      </c>
      <c r="B2402" s="6" t="s">
        <v>7158</v>
      </c>
      <c r="C2402" s="6" t="s">
        <v>1091</v>
      </c>
      <c r="D2402" s="18">
        <v>1.0</v>
      </c>
      <c r="E2402" s="18">
        <v>36.0</v>
      </c>
      <c r="F2402" s="18">
        <v>36.0</v>
      </c>
    </row>
    <row r="2403">
      <c r="A2403" s="6" t="s">
        <v>7166</v>
      </c>
      <c r="B2403" s="6" t="s">
        <v>7167</v>
      </c>
      <c r="C2403" s="6" t="s">
        <v>159</v>
      </c>
      <c r="D2403" s="18">
        <v>1.0</v>
      </c>
      <c r="E2403" s="18">
        <v>280.0</v>
      </c>
      <c r="F2403" s="18">
        <v>280.0</v>
      </c>
    </row>
    <row r="2404">
      <c r="A2404" s="6" t="s">
        <v>7168</v>
      </c>
      <c r="B2404" s="6" t="s">
        <v>7167</v>
      </c>
      <c r="C2404" s="6" t="s">
        <v>155</v>
      </c>
      <c r="D2404" s="18">
        <v>1.0</v>
      </c>
      <c r="E2404" s="18">
        <v>74.33</v>
      </c>
      <c r="F2404" s="18">
        <v>74.33</v>
      </c>
    </row>
    <row r="2405">
      <c r="A2405" s="6" t="s">
        <v>7169</v>
      </c>
      <c r="B2405" s="6" t="s">
        <v>7167</v>
      </c>
      <c r="C2405" s="6" t="s">
        <v>152</v>
      </c>
      <c r="D2405" s="18">
        <v>1.0</v>
      </c>
      <c r="E2405" s="18">
        <v>13.6</v>
      </c>
      <c r="F2405" s="18">
        <v>13.6</v>
      </c>
    </row>
    <row r="2406">
      <c r="A2406" s="6" t="s">
        <v>7170</v>
      </c>
      <c r="B2406" s="6" t="s">
        <v>7167</v>
      </c>
      <c r="C2406" s="6" t="s">
        <v>226</v>
      </c>
      <c r="D2406" s="18">
        <v>1.0</v>
      </c>
      <c r="E2406" s="18">
        <v>76.5</v>
      </c>
      <c r="F2406" s="18">
        <v>76.5</v>
      </c>
    </row>
    <row r="2407">
      <c r="A2407" s="6" t="s">
        <v>7171</v>
      </c>
      <c r="B2407" s="6" t="s">
        <v>7172</v>
      </c>
      <c r="C2407" s="6" t="s">
        <v>305</v>
      </c>
      <c r="D2407" s="18">
        <v>1.0</v>
      </c>
      <c r="E2407" s="18">
        <v>93.85</v>
      </c>
      <c r="F2407" s="18">
        <v>93.85</v>
      </c>
    </row>
    <row r="2408">
      <c r="A2408" s="6" t="s">
        <v>7173</v>
      </c>
      <c r="B2408" s="6" t="s">
        <v>7174</v>
      </c>
      <c r="C2408" s="6" t="s">
        <v>1653</v>
      </c>
      <c r="D2408" s="18">
        <v>1.0</v>
      </c>
      <c r="E2408" s="18">
        <v>19.61</v>
      </c>
      <c r="F2408" s="18">
        <v>19.61</v>
      </c>
    </row>
    <row r="2409">
      <c r="A2409" s="6" t="s">
        <v>7175</v>
      </c>
      <c r="B2409" s="6" t="s">
        <v>7176</v>
      </c>
      <c r="C2409" s="6" t="s">
        <v>3218</v>
      </c>
      <c r="D2409" s="18">
        <v>1.0</v>
      </c>
      <c r="E2409" s="18">
        <v>366.15</v>
      </c>
      <c r="F2409" s="18">
        <v>366.15</v>
      </c>
    </row>
    <row r="2410">
      <c r="A2410" s="6" t="s">
        <v>7177</v>
      </c>
      <c r="B2410" s="6" t="s">
        <v>7178</v>
      </c>
      <c r="C2410" s="6" t="s">
        <v>7179</v>
      </c>
      <c r="D2410" s="18">
        <v>1.0</v>
      </c>
      <c r="E2410" s="18">
        <v>230.0</v>
      </c>
      <c r="F2410" s="18">
        <v>230.0</v>
      </c>
    </row>
    <row r="2411">
      <c r="A2411" s="6" t="s">
        <v>7180</v>
      </c>
      <c r="B2411" s="6" t="s">
        <v>7181</v>
      </c>
      <c r="C2411" s="6" t="s">
        <v>1653</v>
      </c>
      <c r="D2411" s="18">
        <v>1.0</v>
      </c>
      <c r="E2411" s="18">
        <v>244.11</v>
      </c>
      <c r="F2411" s="18">
        <v>244.11</v>
      </c>
    </row>
    <row r="2412">
      <c r="A2412" s="6" t="s">
        <v>7182</v>
      </c>
      <c r="B2412" s="6" t="s">
        <v>7183</v>
      </c>
      <c r="C2412" s="6" t="s">
        <v>159</v>
      </c>
      <c r="D2412" s="18">
        <v>1.0</v>
      </c>
      <c r="E2412" s="18">
        <v>260.0</v>
      </c>
      <c r="F2412" s="18">
        <v>260.0</v>
      </c>
    </row>
    <row r="2413">
      <c r="A2413" s="6" t="s">
        <v>7184</v>
      </c>
      <c r="B2413" s="6" t="s">
        <v>7183</v>
      </c>
      <c r="C2413" s="6" t="s">
        <v>155</v>
      </c>
      <c r="D2413" s="18">
        <v>1.0</v>
      </c>
      <c r="E2413" s="18">
        <v>52.5</v>
      </c>
      <c r="F2413" s="18">
        <v>52.5</v>
      </c>
    </row>
    <row r="2414">
      <c r="A2414" s="6" t="s">
        <v>7185</v>
      </c>
      <c r="B2414" s="6" t="s">
        <v>7183</v>
      </c>
      <c r="C2414" s="6" t="s">
        <v>152</v>
      </c>
      <c r="D2414" s="18">
        <v>1.0</v>
      </c>
      <c r="E2414" s="18">
        <v>13.44</v>
      </c>
      <c r="F2414" s="18">
        <v>13.44</v>
      </c>
    </row>
    <row r="2415">
      <c r="A2415" s="6" t="s">
        <v>7186</v>
      </c>
      <c r="B2415" s="6" t="s">
        <v>7183</v>
      </c>
      <c r="C2415" s="6" t="s">
        <v>226</v>
      </c>
      <c r="D2415" s="18">
        <v>1.0</v>
      </c>
      <c r="E2415" s="18">
        <v>59.5</v>
      </c>
      <c r="F2415" s="18">
        <v>59.5</v>
      </c>
    </row>
    <row r="2416">
      <c r="A2416" s="6" t="s">
        <v>7187</v>
      </c>
      <c r="B2416" s="6" t="s">
        <v>7188</v>
      </c>
      <c r="C2416" s="18">
        <v>1.2539885E7</v>
      </c>
      <c r="D2416" s="18">
        <v>1.0</v>
      </c>
      <c r="E2416" s="18">
        <v>250.0</v>
      </c>
      <c r="F2416" s="18">
        <v>250.0</v>
      </c>
    </row>
    <row r="2417">
      <c r="A2417" s="6" t="s">
        <v>7189</v>
      </c>
      <c r="B2417" s="6" t="s">
        <v>7190</v>
      </c>
      <c r="C2417" s="6" t="s">
        <v>1239</v>
      </c>
      <c r="D2417" s="18">
        <v>1.0</v>
      </c>
      <c r="E2417" s="18">
        <v>2320.64</v>
      </c>
      <c r="F2417" s="18">
        <v>2320.64</v>
      </c>
    </row>
    <row r="2418">
      <c r="A2418" s="6" t="s">
        <v>7191</v>
      </c>
      <c r="B2418" s="6" t="s">
        <v>7193</v>
      </c>
      <c r="C2418" s="6" t="s">
        <v>4831</v>
      </c>
      <c r="D2418" s="18">
        <v>1.0</v>
      </c>
      <c r="E2418" s="18">
        <v>375.0</v>
      </c>
      <c r="F2418" s="18">
        <v>375.0</v>
      </c>
    </row>
    <row r="2419">
      <c r="A2419" s="6" t="s">
        <v>7194</v>
      </c>
      <c r="B2419" s="6" t="s">
        <v>7195</v>
      </c>
      <c r="C2419" s="6" t="s">
        <v>1510</v>
      </c>
      <c r="D2419" s="18">
        <v>1.0</v>
      </c>
      <c r="E2419" s="18">
        <v>3699.89</v>
      </c>
      <c r="F2419" s="18">
        <v>3699.89</v>
      </c>
    </row>
    <row r="2420">
      <c r="A2420" s="6" t="s">
        <v>7196</v>
      </c>
      <c r="B2420" s="6" t="s">
        <v>7197</v>
      </c>
      <c r="C2420" s="6" t="s">
        <v>1510</v>
      </c>
      <c r="D2420" s="18">
        <v>1.0</v>
      </c>
      <c r="E2420" s="18">
        <v>18342.73</v>
      </c>
      <c r="F2420" s="18">
        <v>18342.73</v>
      </c>
    </row>
    <row r="2421">
      <c r="A2421" s="6" t="s">
        <v>7198</v>
      </c>
      <c r="B2421" s="6" t="s">
        <v>7199</v>
      </c>
      <c r="C2421" s="6" t="s">
        <v>159</v>
      </c>
      <c r="D2421" s="18">
        <v>15.0</v>
      </c>
      <c r="E2421" s="18">
        <v>14.0</v>
      </c>
      <c r="F2421" s="18">
        <v>210.0</v>
      </c>
    </row>
    <row r="2422">
      <c r="A2422" s="6" t="s">
        <v>7200</v>
      </c>
      <c r="B2422" s="6" t="s">
        <v>7199</v>
      </c>
      <c r="C2422" s="6" t="s">
        <v>155</v>
      </c>
      <c r="D2422" s="18">
        <v>1.0</v>
      </c>
      <c r="E2422" s="18">
        <v>78.0</v>
      </c>
      <c r="F2422" s="18">
        <v>78.0</v>
      </c>
    </row>
    <row r="2423">
      <c r="A2423" s="6" t="s">
        <v>7203</v>
      </c>
      <c r="B2423" s="6" t="s">
        <v>7199</v>
      </c>
      <c r="C2423" s="6" t="s">
        <v>152</v>
      </c>
      <c r="D2423" s="18">
        <v>1.0</v>
      </c>
      <c r="E2423" s="18">
        <v>6.62</v>
      </c>
      <c r="F2423" s="18">
        <v>6.62</v>
      </c>
    </row>
    <row r="2424">
      <c r="A2424" s="6" t="s">
        <v>7204</v>
      </c>
      <c r="B2424" s="6" t="s">
        <v>7199</v>
      </c>
      <c r="C2424" s="6" t="s">
        <v>226</v>
      </c>
      <c r="D2424" s="18">
        <v>1.0</v>
      </c>
      <c r="E2424" s="18">
        <v>63.2</v>
      </c>
      <c r="F2424" s="18">
        <v>63.2</v>
      </c>
    </row>
    <row r="2425">
      <c r="A2425" s="6" t="s">
        <v>7205</v>
      </c>
      <c r="B2425" s="6" t="s">
        <v>7206</v>
      </c>
      <c r="C2425" s="6" t="s">
        <v>305</v>
      </c>
      <c r="D2425" s="18">
        <v>1.0</v>
      </c>
      <c r="E2425" s="18">
        <v>169.66</v>
      </c>
      <c r="F2425" s="18">
        <v>169.66</v>
      </c>
    </row>
    <row r="2426">
      <c r="A2426" s="6" t="s">
        <v>7207</v>
      </c>
      <c r="B2426" s="6" t="s">
        <v>7208</v>
      </c>
      <c r="C2426" s="18">
        <v>1.2539885E7</v>
      </c>
      <c r="D2426" s="18">
        <v>1.0</v>
      </c>
      <c r="E2426" s="18">
        <v>250.0</v>
      </c>
      <c r="F2426" s="18">
        <v>250.0</v>
      </c>
    </row>
    <row r="2427">
      <c r="A2427" s="6" t="s">
        <v>7211</v>
      </c>
      <c r="B2427" s="6" t="s">
        <v>7212</v>
      </c>
      <c r="C2427" s="6" t="s">
        <v>7214</v>
      </c>
      <c r="D2427" s="18">
        <v>1.0</v>
      </c>
      <c r="E2427" s="18">
        <v>75.0</v>
      </c>
      <c r="F2427" s="18">
        <v>75.0</v>
      </c>
    </row>
    <row r="2428">
      <c r="A2428" s="6" t="s">
        <v>7215</v>
      </c>
      <c r="B2428" s="6" t="s">
        <v>7216</v>
      </c>
      <c r="C2428" s="6" t="s">
        <v>7214</v>
      </c>
      <c r="D2428" s="18">
        <v>1.0</v>
      </c>
      <c r="E2428" s="18">
        <v>30.0</v>
      </c>
      <c r="F2428" s="18">
        <v>30.0</v>
      </c>
    </row>
    <row r="2429">
      <c r="A2429" s="6" t="s">
        <v>7217</v>
      </c>
      <c r="B2429" s="6" t="s">
        <v>7218</v>
      </c>
      <c r="C2429" s="18">
        <v>1.2539885E7</v>
      </c>
      <c r="D2429" s="18">
        <v>1.0</v>
      </c>
      <c r="E2429" s="18">
        <v>250.0</v>
      </c>
      <c r="F2429" s="18">
        <v>250.0</v>
      </c>
    </row>
    <row r="2430">
      <c r="A2430" s="6" t="s">
        <v>7219</v>
      </c>
      <c r="B2430" s="6" t="s">
        <v>7220</v>
      </c>
      <c r="C2430" s="6" t="s">
        <v>5973</v>
      </c>
      <c r="D2430" s="18">
        <v>1.0</v>
      </c>
      <c r="E2430" s="18">
        <v>10.0</v>
      </c>
      <c r="F2430" s="18">
        <v>10.0</v>
      </c>
    </row>
    <row r="2431">
      <c r="A2431" s="6" t="s">
        <v>7221</v>
      </c>
      <c r="B2431" s="6" t="s">
        <v>7222</v>
      </c>
      <c r="C2431" s="6" t="s">
        <v>5640</v>
      </c>
      <c r="D2431" s="18">
        <v>1.0</v>
      </c>
      <c r="E2431" s="18">
        <v>22.0</v>
      </c>
      <c r="F2431" s="18">
        <v>22.0</v>
      </c>
    </row>
    <row r="2432">
      <c r="A2432" s="6" t="s">
        <v>7225</v>
      </c>
      <c r="B2432" s="6" t="s">
        <v>7226</v>
      </c>
      <c r="C2432" s="6" t="s">
        <v>5636</v>
      </c>
      <c r="D2432" s="18">
        <v>1.0</v>
      </c>
      <c r="E2432" s="18">
        <v>200.0</v>
      </c>
      <c r="F2432" s="18">
        <v>200.0</v>
      </c>
    </row>
    <row r="2433">
      <c r="A2433" s="6" t="s">
        <v>7227</v>
      </c>
      <c r="B2433" s="6" t="s">
        <v>7228</v>
      </c>
      <c r="C2433" s="6" t="s">
        <v>1126</v>
      </c>
      <c r="D2433" s="18">
        <v>1.0</v>
      </c>
      <c r="E2433" s="18">
        <v>30.0</v>
      </c>
      <c r="F2433" s="18">
        <v>30.0</v>
      </c>
    </row>
    <row r="2434">
      <c r="A2434" s="6" t="s">
        <v>7229</v>
      </c>
      <c r="B2434" s="6" t="s">
        <v>7230</v>
      </c>
      <c r="C2434" s="6" t="s">
        <v>1073</v>
      </c>
      <c r="D2434" s="18">
        <v>1.0</v>
      </c>
      <c r="E2434" s="18">
        <v>20.1</v>
      </c>
      <c r="F2434" s="18">
        <v>20.1</v>
      </c>
    </row>
    <row r="2435">
      <c r="A2435" s="6" t="s">
        <v>7231</v>
      </c>
      <c r="B2435" s="6" t="s">
        <v>7230</v>
      </c>
      <c r="C2435" s="6" t="s">
        <v>1074</v>
      </c>
      <c r="D2435" s="18">
        <v>3.0</v>
      </c>
      <c r="E2435" s="18">
        <v>40.8</v>
      </c>
      <c r="F2435" s="18">
        <v>122.4</v>
      </c>
    </row>
    <row r="2436">
      <c r="A2436" s="6" t="s">
        <v>7233</v>
      </c>
      <c r="B2436" s="6" t="s">
        <v>7230</v>
      </c>
      <c r="C2436" s="6" t="s">
        <v>1077</v>
      </c>
      <c r="D2436" s="18">
        <v>3.0</v>
      </c>
      <c r="E2436" s="18">
        <v>25.8</v>
      </c>
      <c r="F2436" s="18">
        <v>77.4</v>
      </c>
    </row>
    <row r="2437">
      <c r="A2437" s="6" t="s">
        <v>7234</v>
      </c>
      <c r="B2437" s="6" t="s">
        <v>7230</v>
      </c>
      <c r="C2437" s="6" t="s">
        <v>1079</v>
      </c>
      <c r="D2437" s="18">
        <v>10.0</v>
      </c>
      <c r="E2437" s="18">
        <v>16.6</v>
      </c>
      <c r="F2437" s="18">
        <v>166.0</v>
      </c>
    </row>
    <row r="2438">
      <c r="A2438" s="6" t="s">
        <v>7235</v>
      </c>
      <c r="B2438" s="6" t="s">
        <v>7230</v>
      </c>
      <c r="C2438" s="6" t="s">
        <v>1081</v>
      </c>
      <c r="D2438" s="18">
        <v>3.0</v>
      </c>
      <c r="E2438" s="18">
        <v>47.0</v>
      </c>
      <c r="F2438" s="18">
        <v>141.0</v>
      </c>
    </row>
    <row r="2439">
      <c r="A2439" s="6" t="s">
        <v>7236</v>
      </c>
      <c r="B2439" s="6" t="s">
        <v>7230</v>
      </c>
      <c r="C2439" s="6" t="s">
        <v>1075</v>
      </c>
      <c r="D2439" s="18">
        <v>2.0</v>
      </c>
      <c r="E2439" s="18">
        <v>40.8</v>
      </c>
      <c r="F2439" s="18">
        <v>81.6</v>
      </c>
    </row>
    <row r="2440">
      <c r="A2440" s="6" t="s">
        <v>7237</v>
      </c>
      <c r="B2440" s="6" t="s">
        <v>7230</v>
      </c>
      <c r="C2440" s="18">
        <v>7.5375964E7</v>
      </c>
      <c r="D2440" s="18">
        <v>1.0</v>
      </c>
      <c r="E2440" s="18">
        <v>40.2</v>
      </c>
      <c r="F2440" s="18">
        <v>40.2</v>
      </c>
    </row>
    <row r="2441">
      <c r="A2441" s="6" t="s">
        <v>7238</v>
      </c>
      <c r="B2441" s="6" t="s">
        <v>7239</v>
      </c>
      <c r="C2441" s="6" t="s">
        <v>159</v>
      </c>
      <c r="D2441" s="18">
        <v>1.0</v>
      </c>
      <c r="E2441" s="18">
        <v>210.0</v>
      </c>
      <c r="F2441" s="18">
        <v>210.0</v>
      </c>
    </row>
    <row r="2442">
      <c r="A2442" s="6" t="s">
        <v>7240</v>
      </c>
      <c r="B2442" s="6" t="s">
        <v>7239</v>
      </c>
      <c r="C2442" s="6" t="s">
        <v>155</v>
      </c>
      <c r="D2442" s="18">
        <v>1.0</v>
      </c>
      <c r="E2442" s="18">
        <v>30.4</v>
      </c>
      <c r="F2442" s="18">
        <v>30.4</v>
      </c>
    </row>
    <row r="2443">
      <c r="A2443" s="6" t="s">
        <v>7241</v>
      </c>
      <c r="B2443" s="6" t="s">
        <v>7239</v>
      </c>
      <c r="C2443" s="6" t="s">
        <v>152</v>
      </c>
      <c r="D2443" s="18">
        <v>1.0</v>
      </c>
      <c r="E2443" s="18">
        <v>9.44</v>
      </c>
      <c r="F2443" s="18">
        <v>9.44</v>
      </c>
    </row>
    <row r="2444">
      <c r="A2444" s="6" t="s">
        <v>7242</v>
      </c>
      <c r="B2444" s="6" t="s">
        <v>7239</v>
      </c>
      <c r="C2444" s="6" t="s">
        <v>226</v>
      </c>
      <c r="D2444" s="18">
        <v>1.0</v>
      </c>
      <c r="E2444" s="18">
        <v>60.0</v>
      </c>
      <c r="F2444" s="18">
        <v>60.0</v>
      </c>
    </row>
    <row r="2445">
      <c r="A2445" s="6" t="s">
        <v>7243</v>
      </c>
      <c r="B2445" s="6" t="s">
        <v>7245</v>
      </c>
      <c r="C2445" s="6" t="s">
        <v>1168</v>
      </c>
      <c r="D2445" s="18">
        <v>1.0</v>
      </c>
      <c r="E2445" s="18">
        <v>500.0</v>
      </c>
      <c r="F2445" s="18">
        <v>500.0</v>
      </c>
    </row>
    <row r="2446">
      <c r="A2446" s="6" t="s">
        <v>7247</v>
      </c>
      <c r="B2446" s="6" t="s">
        <v>7248</v>
      </c>
      <c r="C2446" s="6" t="s">
        <v>2662</v>
      </c>
      <c r="D2446" s="18">
        <v>1.0</v>
      </c>
      <c r="E2446" s="18">
        <v>4288.59</v>
      </c>
      <c r="F2446" s="18">
        <v>4288.59</v>
      </c>
    </row>
    <row r="2447">
      <c r="A2447" s="6" t="s">
        <v>7250</v>
      </c>
      <c r="B2447" s="6" t="s">
        <v>7251</v>
      </c>
      <c r="C2447" s="6" t="s">
        <v>2662</v>
      </c>
      <c r="D2447" s="18">
        <v>1.0</v>
      </c>
      <c r="E2447" s="18">
        <v>35.59</v>
      </c>
      <c r="F2447" s="18">
        <v>35.59</v>
      </c>
    </row>
    <row r="2448">
      <c r="A2448" s="6" t="s">
        <v>7253</v>
      </c>
      <c r="B2448" s="6" t="s">
        <v>7254</v>
      </c>
      <c r="C2448" s="6" t="s">
        <v>1168</v>
      </c>
      <c r="D2448" s="18">
        <v>1.0</v>
      </c>
      <c r="E2448" s="18">
        <v>500.0</v>
      </c>
      <c r="F2448" s="18">
        <v>500.0</v>
      </c>
    </row>
    <row r="2449">
      <c r="A2449" s="6" t="s">
        <v>7256</v>
      </c>
      <c r="B2449" s="6" t="s">
        <v>7258</v>
      </c>
      <c r="C2449" s="6" t="s">
        <v>2816</v>
      </c>
      <c r="D2449" s="18">
        <v>1.0</v>
      </c>
      <c r="E2449" s="18">
        <v>419.48</v>
      </c>
      <c r="F2449" s="18">
        <v>419.48</v>
      </c>
    </row>
    <row r="2450">
      <c r="A2450" s="6" t="s">
        <v>7259</v>
      </c>
      <c r="B2450" s="6" t="s">
        <v>7260</v>
      </c>
      <c r="C2450" s="6" t="s">
        <v>1517</v>
      </c>
      <c r="D2450" s="18">
        <v>1.0</v>
      </c>
      <c r="E2450" s="18">
        <v>4433.09</v>
      </c>
      <c r="F2450" s="18">
        <v>4433.09</v>
      </c>
    </row>
    <row r="2451">
      <c r="A2451" s="6" t="s">
        <v>7261</v>
      </c>
      <c r="B2451" s="6" t="s">
        <v>7263</v>
      </c>
      <c r="C2451" s="18">
        <v>1.2539885E7</v>
      </c>
      <c r="D2451" s="18">
        <v>1.0</v>
      </c>
      <c r="E2451" s="18">
        <v>150.0</v>
      </c>
      <c r="F2451" s="18">
        <v>150.0</v>
      </c>
    </row>
    <row r="2452">
      <c r="A2452" s="6" t="s">
        <v>7266</v>
      </c>
      <c r="B2452" s="6" t="s">
        <v>7267</v>
      </c>
      <c r="C2452" s="6" t="s">
        <v>338</v>
      </c>
      <c r="D2452" s="18">
        <v>1.0</v>
      </c>
      <c r="E2452" s="18">
        <v>234.2</v>
      </c>
      <c r="F2452" s="18">
        <v>234.2</v>
      </c>
    </row>
    <row r="2453">
      <c r="A2453" s="6" t="s">
        <v>7268</v>
      </c>
      <c r="B2453" s="6" t="s">
        <v>7269</v>
      </c>
      <c r="C2453" s="6" t="s">
        <v>7270</v>
      </c>
      <c r="D2453" s="18">
        <v>1.0</v>
      </c>
      <c r="E2453" s="18">
        <v>166.5</v>
      </c>
      <c r="F2453" s="18">
        <v>166.5</v>
      </c>
    </row>
    <row r="2454">
      <c r="A2454" s="6" t="s">
        <v>7273</v>
      </c>
      <c r="B2454" s="6" t="s">
        <v>7275</v>
      </c>
      <c r="C2454" s="6" t="s">
        <v>159</v>
      </c>
      <c r="D2454" s="18">
        <v>15.0</v>
      </c>
      <c r="E2454" s="18">
        <v>14.0</v>
      </c>
      <c r="F2454" s="18">
        <v>210.0</v>
      </c>
    </row>
    <row r="2455">
      <c r="A2455" s="6" t="s">
        <v>7276</v>
      </c>
      <c r="B2455" s="6" t="s">
        <v>7275</v>
      </c>
      <c r="C2455" s="6" t="s">
        <v>155</v>
      </c>
      <c r="D2455" s="18">
        <v>1.0</v>
      </c>
      <c r="E2455" s="18">
        <v>60.8</v>
      </c>
      <c r="F2455" s="18">
        <v>60.8</v>
      </c>
    </row>
    <row r="2456">
      <c r="A2456" s="6" t="s">
        <v>7278</v>
      </c>
      <c r="B2456" s="6" t="s">
        <v>7275</v>
      </c>
      <c r="C2456" s="6" t="s">
        <v>152</v>
      </c>
      <c r="D2456" s="18">
        <v>1.0</v>
      </c>
      <c r="E2456" s="18">
        <v>6.38</v>
      </c>
      <c r="F2456" s="18">
        <v>6.38</v>
      </c>
    </row>
    <row r="2457">
      <c r="A2457" s="6" t="s">
        <v>7280</v>
      </c>
      <c r="B2457" s="6" t="s">
        <v>7275</v>
      </c>
      <c r="C2457" s="6" t="s">
        <v>226</v>
      </c>
      <c r="D2457" s="18">
        <v>1.0</v>
      </c>
      <c r="E2457" s="18">
        <v>37.5</v>
      </c>
      <c r="F2457" s="18">
        <v>37.5</v>
      </c>
    </row>
    <row r="2458">
      <c r="A2458" s="6" t="s">
        <v>7281</v>
      </c>
      <c r="B2458" s="6" t="s">
        <v>7282</v>
      </c>
      <c r="C2458" s="6" t="s">
        <v>1668</v>
      </c>
      <c r="D2458" s="18">
        <v>1.0</v>
      </c>
      <c r="E2458" s="18">
        <v>124.16</v>
      </c>
      <c r="F2458" s="18">
        <v>124.16</v>
      </c>
    </row>
    <row r="2459">
      <c r="A2459" s="6" t="s">
        <v>7283</v>
      </c>
      <c r="B2459" s="6" t="s">
        <v>7284</v>
      </c>
      <c r="C2459" s="6" t="s">
        <v>5563</v>
      </c>
      <c r="D2459" s="18">
        <v>2.0</v>
      </c>
      <c r="E2459" s="18">
        <v>20.99</v>
      </c>
      <c r="F2459" s="18">
        <v>41.98</v>
      </c>
    </row>
    <row r="2460">
      <c r="A2460" s="6" t="s">
        <v>7285</v>
      </c>
      <c r="B2460" s="6" t="s">
        <v>7284</v>
      </c>
      <c r="C2460" s="6" t="s">
        <v>1041</v>
      </c>
      <c r="D2460" s="18">
        <v>1.0</v>
      </c>
      <c r="E2460" s="18">
        <v>19.79</v>
      </c>
      <c r="F2460" s="18">
        <v>19.79</v>
      </c>
    </row>
    <row r="2461">
      <c r="A2461" s="6" t="s">
        <v>7288</v>
      </c>
      <c r="B2461" s="6" t="s">
        <v>7284</v>
      </c>
      <c r="C2461" s="6" t="s">
        <v>305</v>
      </c>
      <c r="D2461" s="18">
        <v>1.0</v>
      </c>
      <c r="E2461" s="18">
        <v>402.69</v>
      </c>
      <c r="F2461" s="18">
        <v>402.69</v>
      </c>
    </row>
    <row r="2462">
      <c r="A2462" s="6" t="s">
        <v>7289</v>
      </c>
      <c r="B2462" s="6" t="s">
        <v>7290</v>
      </c>
      <c r="C2462" s="18">
        <v>1.2539885E7</v>
      </c>
      <c r="D2462" s="18">
        <v>1.0</v>
      </c>
      <c r="E2462" s="18">
        <v>300.0</v>
      </c>
      <c r="F2462" s="18">
        <v>300.0</v>
      </c>
    </row>
    <row r="2463">
      <c r="A2463" s="6" t="s">
        <v>7291</v>
      </c>
      <c r="B2463" s="6" t="s">
        <v>7292</v>
      </c>
      <c r="C2463" s="6" t="s">
        <v>159</v>
      </c>
      <c r="D2463" s="18">
        <v>1.0</v>
      </c>
      <c r="E2463" s="18">
        <v>140.0</v>
      </c>
      <c r="F2463" s="18">
        <v>140.0</v>
      </c>
    </row>
    <row r="2464">
      <c r="A2464" s="6" t="s">
        <v>7293</v>
      </c>
      <c r="B2464" s="6" t="s">
        <v>7292</v>
      </c>
      <c r="C2464" s="6" t="s">
        <v>155</v>
      </c>
      <c r="D2464" s="18">
        <v>1.0</v>
      </c>
      <c r="E2464" s="18">
        <v>38.0</v>
      </c>
      <c r="F2464" s="18">
        <v>38.0</v>
      </c>
    </row>
    <row r="2465">
      <c r="A2465" s="6" t="s">
        <v>7294</v>
      </c>
      <c r="B2465" s="6" t="s">
        <v>7292</v>
      </c>
      <c r="C2465" s="6" t="s">
        <v>152</v>
      </c>
      <c r="D2465" s="18">
        <v>1.0</v>
      </c>
      <c r="E2465" s="18">
        <v>3.48</v>
      </c>
      <c r="F2465" s="18">
        <v>3.48</v>
      </c>
    </row>
    <row r="2466">
      <c r="A2466" s="6" t="s">
        <v>7297</v>
      </c>
      <c r="B2466" s="6" t="s">
        <v>7292</v>
      </c>
      <c r="C2466" s="6" t="s">
        <v>226</v>
      </c>
      <c r="D2466" s="18">
        <v>1.0</v>
      </c>
      <c r="E2466" s="18">
        <v>22.5</v>
      </c>
      <c r="F2466" s="18">
        <v>22.5</v>
      </c>
    </row>
    <row r="2467">
      <c r="A2467" s="6" t="s">
        <v>7298</v>
      </c>
      <c r="B2467" s="6" t="s">
        <v>7299</v>
      </c>
      <c r="C2467" s="6" t="s">
        <v>1047</v>
      </c>
      <c r="D2467" s="18">
        <v>1.0</v>
      </c>
      <c r="E2467" s="18">
        <v>110.0</v>
      </c>
      <c r="F2467" s="18">
        <v>110.0</v>
      </c>
    </row>
    <row r="2468">
      <c r="A2468" s="6" t="s">
        <v>7300</v>
      </c>
      <c r="B2468" s="6" t="s">
        <v>7301</v>
      </c>
      <c r="C2468" s="6" t="s">
        <v>1168</v>
      </c>
      <c r="D2468" s="18">
        <v>1.0</v>
      </c>
      <c r="E2468" s="18">
        <v>500.0</v>
      </c>
      <c r="F2468" s="18">
        <v>500.0</v>
      </c>
    </row>
    <row r="2469">
      <c r="A2469" s="6" t="s">
        <v>7302</v>
      </c>
      <c r="B2469" s="6" t="s">
        <v>7303</v>
      </c>
      <c r="C2469" s="6" t="s">
        <v>1168</v>
      </c>
      <c r="D2469" s="18">
        <v>1.0</v>
      </c>
      <c r="E2469" s="18">
        <v>500.0</v>
      </c>
      <c r="F2469" s="18">
        <v>500.0</v>
      </c>
    </row>
    <row r="2470">
      <c r="A2470" s="6" t="s">
        <v>7304</v>
      </c>
      <c r="B2470" s="6" t="s">
        <v>7306</v>
      </c>
      <c r="C2470" s="6" t="s">
        <v>1510</v>
      </c>
      <c r="D2470" s="18">
        <v>1.0</v>
      </c>
      <c r="E2470" s="18">
        <v>5645.26</v>
      </c>
      <c r="F2470" s="18">
        <v>5645.26</v>
      </c>
    </row>
    <row r="2471">
      <c r="A2471" s="6" t="s">
        <v>7308</v>
      </c>
      <c r="B2471" s="6" t="s">
        <v>7309</v>
      </c>
      <c r="C2471" s="6" t="s">
        <v>159</v>
      </c>
      <c r="D2471" s="18">
        <v>15.0</v>
      </c>
      <c r="E2471" s="18">
        <v>14.0</v>
      </c>
      <c r="F2471" s="18">
        <v>210.0</v>
      </c>
    </row>
    <row r="2472">
      <c r="A2472" s="6" t="s">
        <v>7310</v>
      </c>
      <c r="B2472" s="6" t="s">
        <v>7309</v>
      </c>
      <c r="C2472" s="6" t="s">
        <v>155</v>
      </c>
      <c r="D2472" s="18">
        <v>1.0</v>
      </c>
      <c r="E2472" s="18">
        <v>76.28</v>
      </c>
      <c r="F2472" s="18">
        <v>76.28</v>
      </c>
    </row>
    <row r="2473">
      <c r="A2473" s="6" t="s">
        <v>7311</v>
      </c>
      <c r="B2473" s="6" t="s">
        <v>7309</v>
      </c>
      <c r="C2473" s="6" t="s">
        <v>152</v>
      </c>
      <c r="D2473" s="18">
        <v>1.0</v>
      </c>
      <c r="E2473" s="18">
        <v>11.31</v>
      </c>
      <c r="F2473" s="18">
        <v>11.31</v>
      </c>
    </row>
    <row r="2474">
      <c r="A2474" s="6" t="s">
        <v>7312</v>
      </c>
      <c r="B2474" s="6" t="s">
        <v>7309</v>
      </c>
      <c r="C2474" s="6" t="s">
        <v>226</v>
      </c>
      <c r="D2474" s="18">
        <v>7.0</v>
      </c>
      <c r="E2474" s="18">
        <v>7.9</v>
      </c>
      <c r="F2474" s="18">
        <v>55.3</v>
      </c>
    </row>
    <row r="2475">
      <c r="A2475" s="6" t="s">
        <v>7313</v>
      </c>
      <c r="B2475" s="6" t="s">
        <v>7314</v>
      </c>
      <c r="C2475" s="6" t="s">
        <v>305</v>
      </c>
      <c r="D2475" s="18">
        <v>1.0</v>
      </c>
      <c r="E2475" s="18">
        <v>231.88</v>
      </c>
      <c r="F2475" s="18">
        <v>231.88</v>
      </c>
    </row>
    <row r="2476">
      <c r="A2476" s="6" t="s">
        <v>7315</v>
      </c>
      <c r="B2476" s="6" t="s">
        <v>7316</v>
      </c>
      <c r="C2476" s="18">
        <v>1.2539885E7</v>
      </c>
      <c r="D2476" s="18">
        <v>1.0</v>
      </c>
      <c r="E2476" s="18">
        <v>120.0</v>
      </c>
      <c r="F2476" s="18">
        <v>120.0</v>
      </c>
    </row>
    <row r="2477">
      <c r="A2477" s="6" t="s">
        <v>7317</v>
      </c>
      <c r="B2477" s="6" t="s">
        <v>7319</v>
      </c>
      <c r="C2477" s="6" t="s">
        <v>1653</v>
      </c>
      <c r="D2477" s="18">
        <v>1.0</v>
      </c>
      <c r="E2477" s="18">
        <v>2845.0</v>
      </c>
      <c r="F2477" s="18">
        <v>2845.0</v>
      </c>
    </row>
    <row r="2478">
      <c r="A2478" s="6" t="s">
        <v>7321</v>
      </c>
      <c r="B2478" s="6" t="s">
        <v>7322</v>
      </c>
      <c r="C2478" s="6" t="s">
        <v>7323</v>
      </c>
      <c r="D2478" s="18">
        <v>1.0</v>
      </c>
      <c r="E2478" s="18">
        <v>102.0</v>
      </c>
      <c r="F2478" s="18">
        <v>102.0</v>
      </c>
    </row>
    <row r="2479">
      <c r="A2479" s="6" t="s">
        <v>7324</v>
      </c>
      <c r="B2479" s="6" t="s">
        <v>7326</v>
      </c>
      <c r="C2479" s="6" t="s">
        <v>3218</v>
      </c>
      <c r="D2479" s="18">
        <v>1.0</v>
      </c>
      <c r="E2479" s="18">
        <v>185.0</v>
      </c>
      <c r="F2479" s="18">
        <v>185.0</v>
      </c>
    </row>
    <row r="2480">
      <c r="A2480" s="6" t="s">
        <v>7328</v>
      </c>
      <c r="B2480" s="6" t="s">
        <v>7330</v>
      </c>
      <c r="C2480" s="6" t="s">
        <v>1239</v>
      </c>
      <c r="D2480" s="18">
        <v>1.0</v>
      </c>
      <c r="E2480" s="18">
        <v>634.73</v>
      </c>
      <c r="F2480" s="18">
        <v>634.73</v>
      </c>
    </row>
    <row r="2481">
      <c r="A2481" s="6" t="s">
        <v>7331</v>
      </c>
      <c r="B2481" s="6" t="s">
        <v>7332</v>
      </c>
      <c r="C2481" s="6" t="s">
        <v>1239</v>
      </c>
      <c r="D2481" s="18">
        <v>1.0</v>
      </c>
      <c r="E2481" s="18">
        <v>2082.25</v>
      </c>
      <c r="F2481" s="18">
        <v>2082.25</v>
      </c>
    </row>
    <row r="2482">
      <c r="A2482" s="6" t="s">
        <v>7333</v>
      </c>
      <c r="B2482" s="6" t="s">
        <v>7334</v>
      </c>
      <c r="C2482" s="6" t="s">
        <v>1239</v>
      </c>
      <c r="D2482" s="18">
        <v>1.0</v>
      </c>
      <c r="E2482" s="18">
        <v>1696.47</v>
      </c>
      <c r="F2482" s="18">
        <v>1696.47</v>
      </c>
    </row>
    <row r="2483">
      <c r="A2483" s="6" t="s">
        <v>7335</v>
      </c>
      <c r="B2483" s="6" t="s">
        <v>7337</v>
      </c>
      <c r="C2483" s="6" t="s">
        <v>1239</v>
      </c>
      <c r="D2483" s="18">
        <v>1.0</v>
      </c>
      <c r="E2483" s="18">
        <v>1325.42</v>
      </c>
      <c r="F2483" s="18">
        <v>1325.42</v>
      </c>
    </row>
    <row r="2484">
      <c r="A2484" s="6" t="s">
        <v>7339</v>
      </c>
      <c r="B2484" s="6" t="s">
        <v>7341</v>
      </c>
      <c r="C2484" s="6" t="s">
        <v>1239</v>
      </c>
      <c r="D2484" s="18">
        <v>1.0</v>
      </c>
      <c r="E2484" s="18">
        <v>2590.85</v>
      </c>
      <c r="F2484" s="18">
        <v>2590.85</v>
      </c>
    </row>
    <row r="2485">
      <c r="A2485" s="6" t="s">
        <v>7342</v>
      </c>
      <c r="B2485" s="6" t="s">
        <v>7343</v>
      </c>
      <c r="C2485" s="6" t="s">
        <v>7344</v>
      </c>
      <c r="D2485" s="18">
        <v>1.0</v>
      </c>
      <c r="E2485" s="18">
        <v>348.0</v>
      </c>
      <c r="F2485" s="18">
        <v>348.0</v>
      </c>
    </row>
    <row r="2486">
      <c r="A2486" s="6" t="s">
        <v>7345</v>
      </c>
      <c r="B2486" s="6" t="s">
        <v>7346</v>
      </c>
      <c r="C2486" s="18">
        <v>1.2539885E7</v>
      </c>
      <c r="D2486" s="18">
        <v>1.0</v>
      </c>
      <c r="E2486" s="18">
        <v>180.0</v>
      </c>
      <c r="F2486" s="18">
        <v>180.0</v>
      </c>
    </row>
    <row r="2487">
      <c r="A2487" s="6" t="s">
        <v>7347</v>
      </c>
      <c r="B2487" s="6" t="s">
        <v>7348</v>
      </c>
      <c r="C2487" s="6" t="s">
        <v>1552</v>
      </c>
      <c r="D2487" s="18">
        <v>1.0</v>
      </c>
      <c r="E2487" s="18">
        <v>725.0</v>
      </c>
      <c r="F2487" s="18">
        <v>725.0</v>
      </c>
    </row>
    <row r="2488">
      <c r="A2488" s="6" t="s">
        <v>7350</v>
      </c>
      <c r="B2488" s="6" t="s">
        <v>7351</v>
      </c>
      <c r="C2488" s="6" t="s">
        <v>2662</v>
      </c>
      <c r="D2488" s="18">
        <v>1.0</v>
      </c>
      <c r="E2488" s="18">
        <v>131.08</v>
      </c>
      <c r="F2488" s="18">
        <v>131.08</v>
      </c>
    </row>
    <row r="2489">
      <c r="A2489" s="6" t="s">
        <v>7353</v>
      </c>
      <c r="B2489" s="6" t="s">
        <v>7354</v>
      </c>
      <c r="C2489" s="18">
        <v>1.2539885E7</v>
      </c>
      <c r="D2489" s="18">
        <v>1.0</v>
      </c>
      <c r="E2489" s="18">
        <v>210.0</v>
      </c>
      <c r="F2489" s="18">
        <v>210.0</v>
      </c>
    </row>
    <row r="2490">
      <c r="A2490" s="6" t="s">
        <v>7355</v>
      </c>
      <c r="B2490" s="6" t="s">
        <v>7356</v>
      </c>
      <c r="C2490" s="6" t="s">
        <v>1195</v>
      </c>
      <c r="D2490" s="18">
        <v>5.0</v>
      </c>
      <c r="E2490" s="18">
        <v>24.0</v>
      </c>
      <c r="F2490" s="18">
        <v>120.0</v>
      </c>
    </row>
    <row r="2491">
      <c r="A2491" s="6" t="s">
        <v>7357</v>
      </c>
      <c r="B2491" s="6" t="s">
        <v>7356</v>
      </c>
      <c r="C2491" s="6" t="s">
        <v>1041</v>
      </c>
      <c r="D2491" s="18">
        <v>5.0</v>
      </c>
      <c r="E2491" s="18">
        <v>5.5</v>
      </c>
      <c r="F2491" s="18">
        <v>27.5</v>
      </c>
    </row>
    <row r="2492">
      <c r="A2492" s="6" t="s">
        <v>7360</v>
      </c>
      <c r="B2492" s="6" t="s">
        <v>7361</v>
      </c>
      <c r="C2492" s="6" t="s">
        <v>1073</v>
      </c>
      <c r="D2492" s="18">
        <v>1.0</v>
      </c>
      <c r="E2492" s="18">
        <v>20.1</v>
      </c>
      <c r="F2492" s="18">
        <v>20.1</v>
      </c>
    </row>
    <row r="2493">
      <c r="A2493" s="6" t="s">
        <v>7362</v>
      </c>
      <c r="B2493" s="6" t="s">
        <v>7361</v>
      </c>
      <c r="C2493" s="6" t="s">
        <v>1384</v>
      </c>
      <c r="D2493" s="18">
        <v>1.0</v>
      </c>
      <c r="E2493" s="18">
        <v>19.8</v>
      </c>
      <c r="F2493" s="18">
        <v>19.8</v>
      </c>
    </row>
    <row r="2494">
      <c r="A2494" s="6" t="s">
        <v>7363</v>
      </c>
      <c r="B2494" s="6" t="s">
        <v>7361</v>
      </c>
      <c r="C2494" s="18">
        <v>7.5375964E7</v>
      </c>
      <c r="D2494" s="18">
        <v>1.0</v>
      </c>
      <c r="E2494" s="18">
        <v>19.8</v>
      </c>
      <c r="F2494" s="18">
        <v>19.8</v>
      </c>
    </row>
    <row r="2495">
      <c r="A2495" s="6" t="s">
        <v>7364</v>
      </c>
      <c r="B2495" s="6" t="s">
        <v>7361</v>
      </c>
      <c r="C2495" s="6" t="s">
        <v>1404</v>
      </c>
      <c r="D2495" s="18">
        <v>1.0</v>
      </c>
      <c r="E2495" s="18">
        <v>64.0</v>
      </c>
      <c r="F2495" s="18">
        <v>64.0</v>
      </c>
    </row>
    <row r="2496">
      <c r="A2496" s="6" t="s">
        <v>7366</v>
      </c>
      <c r="B2496" s="6" t="s">
        <v>7361</v>
      </c>
      <c r="C2496" s="6" t="s">
        <v>1074</v>
      </c>
      <c r="D2496" s="18">
        <v>5.0</v>
      </c>
      <c r="E2496" s="18">
        <v>40.8</v>
      </c>
      <c r="F2496" s="18">
        <v>204.0</v>
      </c>
    </row>
    <row r="2497">
      <c r="A2497" s="6" t="s">
        <v>7368</v>
      </c>
      <c r="B2497" s="6" t="s">
        <v>7361</v>
      </c>
      <c r="C2497" s="6" t="s">
        <v>1077</v>
      </c>
      <c r="D2497" s="18">
        <v>3.0</v>
      </c>
      <c r="E2497" s="18">
        <v>25.8</v>
      </c>
      <c r="F2497" s="18">
        <v>77.4</v>
      </c>
    </row>
    <row r="2498">
      <c r="A2498" s="6" t="s">
        <v>7369</v>
      </c>
      <c r="B2498" s="6" t="s">
        <v>7361</v>
      </c>
      <c r="C2498" s="6" t="s">
        <v>1079</v>
      </c>
      <c r="D2498" s="18">
        <v>20.0</v>
      </c>
      <c r="E2498" s="18">
        <v>16.6</v>
      </c>
      <c r="F2498" s="18">
        <v>332.0</v>
      </c>
    </row>
    <row r="2499">
      <c r="A2499" s="6" t="s">
        <v>7370</v>
      </c>
      <c r="B2499" s="6" t="s">
        <v>7361</v>
      </c>
      <c r="C2499" s="6" t="s">
        <v>1081</v>
      </c>
      <c r="D2499" s="18">
        <v>5.0</v>
      </c>
      <c r="E2499" s="18">
        <v>48.0</v>
      </c>
      <c r="F2499" s="18">
        <v>240.0</v>
      </c>
    </row>
    <row r="2500">
      <c r="A2500" s="6" t="s">
        <v>7371</v>
      </c>
      <c r="B2500" s="6" t="s">
        <v>7361</v>
      </c>
      <c r="C2500" s="6" t="s">
        <v>1075</v>
      </c>
      <c r="D2500" s="18">
        <v>2.0</v>
      </c>
      <c r="E2500" s="18">
        <v>40.8</v>
      </c>
      <c r="F2500" s="18">
        <v>81.6</v>
      </c>
    </row>
    <row r="2501">
      <c r="A2501" s="6" t="s">
        <v>7372</v>
      </c>
      <c r="B2501" s="6" t="s">
        <v>7361</v>
      </c>
      <c r="C2501" s="18">
        <v>7.5375964E7</v>
      </c>
      <c r="D2501" s="18">
        <v>2.0</v>
      </c>
      <c r="E2501" s="18">
        <v>40.2</v>
      </c>
      <c r="F2501" s="18">
        <v>80.4</v>
      </c>
    </row>
    <row r="2502">
      <c r="A2502" s="6" t="s">
        <v>7373</v>
      </c>
      <c r="B2502" s="6" t="s">
        <v>7361</v>
      </c>
      <c r="C2502" s="6" t="s">
        <v>1074</v>
      </c>
      <c r="D2502" s="18">
        <v>1.0</v>
      </c>
      <c r="E2502" s="18">
        <v>75.8</v>
      </c>
      <c r="F2502" s="18">
        <v>75.8</v>
      </c>
    </row>
    <row r="2503">
      <c r="A2503" s="6" t="s">
        <v>7374</v>
      </c>
      <c r="B2503" s="6" t="s">
        <v>7361</v>
      </c>
      <c r="C2503" s="6" t="s">
        <v>1077</v>
      </c>
      <c r="D2503" s="18">
        <v>1.0</v>
      </c>
      <c r="E2503" s="18">
        <v>25.0</v>
      </c>
      <c r="F2503" s="18">
        <v>25.0</v>
      </c>
    </row>
    <row r="2504">
      <c r="A2504" s="6" t="s">
        <v>7375</v>
      </c>
      <c r="B2504" s="6" t="s">
        <v>7376</v>
      </c>
      <c r="C2504" s="6" t="s">
        <v>159</v>
      </c>
      <c r="D2504" s="18">
        <v>1.0</v>
      </c>
      <c r="E2504" s="18">
        <v>280.0</v>
      </c>
      <c r="F2504" s="18">
        <v>280.0</v>
      </c>
    </row>
    <row r="2505">
      <c r="A2505" s="6" t="s">
        <v>7377</v>
      </c>
      <c r="B2505" s="6" t="s">
        <v>7376</v>
      </c>
      <c r="C2505" s="6" t="s">
        <v>155</v>
      </c>
      <c r="D2505" s="18">
        <v>8.0</v>
      </c>
      <c r="E2505" s="18">
        <v>9.5</v>
      </c>
      <c r="F2505" s="18">
        <v>76.0</v>
      </c>
    </row>
    <row r="2506">
      <c r="A2506" s="6" t="s">
        <v>7378</v>
      </c>
      <c r="B2506" s="6" t="s">
        <v>7376</v>
      </c>
      <c r="C2506" s="6" t="s">
        <v>152</v>
      </c>
      <c r="D2506" s="18">
        <v>1.0</v>
      </c>
      <c r="E2506" s="18">
        <v>8.99</v>
      </c>
      <c r="F2506" s="18">
        <v>8.99</v>
      </c>
    </row>
    <row r="2507">
      <c r="A2507" s="6" t="s">
        <v>7379</v>
      </c>
      <c r="B2507" s="6" t="s">
        <v>7376</v>
      </c>
      <c r="C2507" s="6" t="s">
        <v>226</v>
      </c>
      <c r="D2507" s="18">
        <v>1.0</v>
      </c>
      <c r="E2507" s="18">
        <v>63.2</v>
      </c>
      <c r="F2507" s="18">
        <v>63.2</v>
      </c>
    </row>
    <row r="2508">
      <c r="A2508" s="6" t="s">
        <v>7380</v>
      </c>
      <c r="B2508" s="6" t="s">
        <v>7382</v>
      </c>
      <c r="C2508" s="6" t="s">
        <v>1510</v>
      </c>
      <c r="D2508" s="18">
        <v>1.0</v>
      </c>
      <c r="E2508" s="18">
        <v>3870.81</v>
      </c>
      <c r="F2508" s="18">
        <v>3870.81</v>
      </c>
    </row>
    <row r="2509">
      <c r="A2509" s="6" t="s">
        <v>7384</v>
      </c>
      <c r="B2509" s="18">
        <v>2.9984784E7</v>
      </c>
      <c r="C2509" s="6" t="s">
        <v>2003</v>
      </c>
      <c r="D2509" s="18">
        <v>1.0</v>
      </c>
      <c r="E2509" s="18">
        <v>349.98</v>
      </c>
      <c r="F2509" s="18">
        <v>349.98</v>
      </c>
    </row>
    <row r="2510">
      <c r="A2510" s="6" t="s">
        <v>7385</v>
      </c>
      <c r="B2510" s="18">
        <v>2.9984784E7</v>
      </c>
      <c r="C2510" s="6" t="s">
        <v>2003</v>
      </c>
      <c r="D2510" s="18">
        <v>1.0</v>
      </c>
      <c r="E2510" s="18">
        <v>379.8</v>
      </c>
      <c r="F2510" s="18">
        <v>379.8</v>
      </c>
    </row>
    <row r="2511">
      <c r="A2511" s="6" t="s">
        <v>7387</v>
      </c>
      <c r="B2511" s="18">
        <v>2.9984784E7</v>
      </c>
      <c r="C2511" s="6" t="s">
        <v>854</v>
      </c>
      <c r="D2511" s="18">
        <v>1.0</v>
      </c>
      <c r="E2511" s="18">
        <v>10.8</v>
      </c>
      <c r="F2511" s="18">
        <v>10.8</v>
      </c>
    </row>
    <row r="2512">
      <c r="A2512" s="6" t="s">
        <v>7388</v>
      </c>
      <c r="B2512" s="18">
        <v>2.9984784E7</v>
      </c>
      <c r="C2512" s="6" t="s">
        <v>5720</v>
      </c>
      <c r="D2512" s="18">
        <v>1.0</v>
      </c>
      <c r="E2512" s="18">
        <v>79.62</v>
      </c>
      <c r="F2512" s="18">
        <v>79.62</v>
      </c>
    </row>
    <row r="2513">
      <c r="A2513" s="6" t="s">
        <v>7389</v>
      </c>
      <c r="B2513" s="6" t="s">
        <v>7390</v>
      </c>
      <c r="C2513" s="6" t="s">
        <v>1022</v>
      </c>
      <c r="D2513" s="18">
        <v>1.0</v>
      </c>
      <c r="E2513" s="18">
        <v>135.0</v>
      </c>
      <c r="F2513" s="18">
        <v>135.0</v>
      </c>
    </row>
    <row r="2514">
      <c r="A2514" s="6" t="s">
        <v>7391</v>
      </c>
      <c r="B2514" s="6" t="s">
        <v>7392</v>
      </c>
      <c r="C2514" s="18">
        <v>1.2539885E7</v>
      </c>
      <c r="D2514" s="18">
        <v>1.0</v>
      </c>
      <c r="E2514" s="18">
        <v>145.0</v>
      </c>
      <c r="F2514" s="18">
        <v>145.0</v>
      </c>
    </row>
    <row r="2515">
      <c r="A2515" s="6" t="s">
        <v>7393</v>
      </c>
      <c r="B2515" s="6" t="s">
        <v>7394</v>
      </c>
      <c r="C2515" s="6" t="s">
        <v>226</v>
      </c>
      <c r="D2515" s="18">
        <v>1.0</v>
      </c>
      <c r="E2515" s="18">
        <v>47.5</v>
      </c>
      <c r="F2515" s="18">
        <v>47.5</v>
      </c>
    </row>
    <row r="2516">
      <c r="A2516" s="6" t="s">
        <v>7395</v>
      </c>
      <c r="B2516" s="6" t="s">
        <v>7394</v>
      </c>
      <c r="C2516" s="6" t="s">
        <v>155</v>
      </c>
      <c r="D2516" s="18">
        <v>1.0</v>
      </c>
      <c r="E2516" s="18">
        <v>52.25</v>
      </c>
      <c r="F2516" s="18">
        <v>52.25</v>
      </c>
    </row>
    <row r="2517">
      <c r="A2517" s="6" t="s">
        <v>7396</v>
      </c>
      <c r="B2517" s="6" t="s">
        <v>7394</v>
      </c>
      <c r="C2517" s="6" t="s">
        <v>159</v>
      </c>
      <c r="D2517" s="18">
        <v>1.0</v>
      </c>
      <c r="E2517" s="18">
        <v>210.0</v>
      </c>
      <c r="F2517" s="18">
        <v>210.0</v>
      </c>
    </row>
    <row r="2518">
      <c r="A2518" s="6" t="s">
        <v>7397</v>
      </c>
      <c r="B2518" s="6" t="s">
        <v>7398</v>
      </c>
      <c r="C2518" s="6" t="s">
        <v>862</v>
      </c>
      <c r="D2518" s="18">
        <v>1.0</v>
      </c>
      <c r="E2518" s="18">
        <v>995.0</v>
      </c>
      <c r="F2518" s="18">
        <v>995.0</v>
      </c>
    </row>
    <row r="2519">
      <c r="A2519" s="6" t="s">
        <v>7399</v>
      </c>
      <c r="B2519" s="6" t="s">
        <v>7400</v>
      </c>
      <c r="C2519" s="18">
        <v>1.2539885E7</v>
      </c>
      <c r="D2519" s="18">
        <v>1.0</v>
      </c>
      <c r="E2519" s="18">
        <v>300.0</v>
      </c>
      <c r="F2519" s="18">
        <v>300.0</v>
      </c>
    </row>
    <row r="2520">
      <c r="A2520" s="6" t="s">
        <v>7402</v>
      </c>
      <c r="B2520" s="6" t="s">
        <v>7404</v>
      </c>
      <c r="C2520" s="6" t="s">
        <v>691</v>
      </c>
      <c r="D2520" s="18">
        <v>1.0</v>
      </c>
      <c r="E2520" s="18">
        <v>43.53</v>
      </c>
      <c r="F2520" s="18">
        <v>43.53</v>
      </c>
    </row>
    <row r="2521">
      <c r="A2521" s="6" t="s">
        <v>7405</v>
      </c>
      <c r="B2521" s="6" t="s">
        <v>7404</v>
      </c>
      <c r="C2521" s="6" t="s">
        <v>797</v>
      </c>
      <c r="D2521" s="18">
        <v>1.0</v>
      </c>
      <c r="E2521" s="18">
        <v>46.0</v>
      </c>
      <c r="F2521" s="18">
        <v>46.0</v>
      </c>
    </row>
    <row r="2522">
      <c r="A2522" s="6" t="s">
        <v>7407</v>
      </c>
      <c r="B2522" s="6" t="s">
        <v>7404</v>
      </c>
      <c r="C2522" s="6" t="s">
        <v>802</v>
      </c>
      <c r="D2522" s="18">
        <v>1.0</v>
      </c>
      <c r="E2522" s="18">
        <v>220.0</v>
      </c>
      <c r="F2522" s="18">
        <v>220.0</v>
      </c>
    </row>
    <row r="2523">
      <c r="A2523" s="6" t="s">
        <v>7409</v>
      </c>
      <c r="B2523" s="6" t="s">
        <v>7404</v>
      </c>
      <c r="C2523" s="6" t="s">
        <v>1683</v>
      </c>
      <c r="D2523" s="18">
        <v>1.0</v>
      </c>
      <c r="E2523" s="18">
        <v>244.19</v>
      </c>
      <c r="F2523" s="18">
        <v>244.19</v>
      </c>
    </row>
    <row r="2524">
      <c r="A2524" s="6" t="s">
        <v>7410</v>
      </c>
      <c r="B2524" s="6" t="s">
        <v>7412</v>
      </c>
      <c r="C2524" s="6" t="s">
        <v>1080</v>
      </c>
      <c r="D2524" s="18">
        <v>1.0</v>
      </c>
      <c r="E2524" s="18">
        <v>208.5</v>
      </c>
      <c r="F2524" s="18">
        <v>208.5</v>
      </c>
    </row>
    <row r="2525">
      <c r="A2525" s="6" t="s">
        <v>7414</v>
      </c>
      <c r="B2525" s="6" t="s">
        <v>7412</v>
      </c>
      <c r="C2525" s="6" t="s">
        <v>1079</v>
      </c>
      <c r="D2525" s="18">
        <v>2.0</v>
      </c>
      <c r="E2525" s="18">
        <v>33.72</v>
      </c>
      <c r="F2525" s="18">
        <v>67.44</v>
      </c>
    </row>
    <row r="2526">
      <c r="A2526" s="6" t="s">
        <v>7415</v>
      </c>
      <c r="B2526" s="6" t="s">
        <v>7416</v>
      </c>
      <c r="C2526" s="6" t="s">
        <v>4831</v>
      </c>
      <c r="D2526" s="18">
        <v>1.0</v>
      </c>
      <c r="E2526" s="18">
        <v>375.0</v>
      </c>
      <c r="F2526" s="18">
        <v>375.0</v>
      </c>
    </row>
    <row r="2527">
      <c r="A2527" s="6" t="s">
        <v>7417</v>
      </c>
      <c r="B2527" s="6" t="s">
        <v>7418</v>
      </c>
      <c r="C2527" s="6" t="s">
        <v>159</v>
      </c>
      <c r="D2527" s="18">
        <v>1.0</v>
      </c>
      <c r="E2527" s="18">
        <v>112.0</v>
      </c>
      <c r="F2527" s="18">
        <v>112.0</v>
      </c>
    </row>
    <row r="2528">
      <c r="A2528" s="6" t="s">
        <v>7419</v>
      </c>
      <c r="B2528" s="6" t="s">
        <v>7418</v>
      </c>
      <c r="C2528" s="6" t="s">
        <v>155</v>
      </c>
      <c r="D2528" s="18">
        <v>1.0</v>
      </c>
      <c r="E2528" s="18">
        <v>21.75</v>
      </c>
      <c r="F2528" s="18">
        <v>21.75</v>
      </c>
    </row>
    <row r="2529">
      <c r="A2529" s="6" t="s">
        <v>7421</v>
      </c>
      <c r="B2529" s="6" t="s">
        <v>7418</v>
      </c>
      <c r="C2529" s="6" t="s">
        <v>152</v>
      </c>
      <c r="D2529" s="18">
        <v>1.0</v>
      </c>
      <c r="E2529" s="18">
        <v>8.01</v>
      </c>
      <c r="F2529" s="18">
        <v>8.01</v>
      </c>
    </row>
    <row r="2530">
      <c r="A2530" s="6" t="s">
        <v>7423</v>
      </c>
      <c r="B2530" s="6" t="s">
        <v>7418</v>
      </c>
      <c r="C2530" s="6" t="s">
        <v>226</v>
      </c>
      <c r="D2530" s="18">
        <v>1.0</v>
      </c>
      <c r="E2530" s="18">
        <v>22.5</v>
      </c>
      <c r="F2530" s="18">
        <v>22.5</v>
      </c>
    </row>
    <row r="2531">
      <c r="A2531" s="6" t="s">
        <v>7424</v>
      </c>
      <c r="B2531" s="6" t="s">
        <v>7425</v>
      </c>
      <c r="C2531" s="6" t="s">
        <v>335</v>
      </c>
      <c r="D2531" s="18">
        <v>2.0</v>
      </c>
      <c r="E2531" s="18">
        <v>44.88</v>
      </c>
      <c r="F2531" s="18">
        <v>89.76</v>
      </c>
    </row>
    <row r="2532">
      <c r="A2532" s="6" t="s">
        <v>7426</v>
      </c>
      <c r="B2532" s="6" t="s">
        <v>7425</v>
      </c>
      <c r="C2532" s="6" t="s">
        <v>1777</v>
      </c>
      <c r="D2532" s="18">
        <v>2.0</v>
      </c>
      <c r="E2532" s="18">
        <v>30.96</v>
      </c>
      <c r="F2532" s="18">
        <v>61.92</v>
      </c>
    </row>
    <row r="2533">
      <c r="A2533" s="6" t="s">
        <v>7427</v>
      </c>
      <c r="B2533" s="6" t="s">
        <v>7425</v>
      </c>
      <c r="C2533" s="6" t="s">
        <v>7086</v>
      </c>
      <c r="D2533" s="18">
        <v>1.0</v>
      </c>
      <c r="E2533" s="18">
        <v>30.84</v>
      </c>
      <c r="F2533" s="18">
        <v>30.84</v>
      </c>
    </row>
    <row r="2534">
      <c r="A2534" s="6" t="s">
        <v>7430</v>
      </c>
      <c r="B2534" s="18">
        <v>1.60391984E8</v>
      </c>
      <c r="C2534" s="6" t="s">
        <v>1168</v>
      </c>
      <c r="D2534" s="18">
        <v>1.0</v>
      </c>
      <c r="E2534" s="18">
        <v>500.0</v>
      </c>
      <c r="F2534" s="18">
        <v>500.0</v>
      </c>
    </row>
    <row r="2535">
      <c r="A2535" s="6" t="s">
        <v>7431</v>
      </c>
      <c r="B2535" s="6" t="s">
        <v>7432</v>
      </c>
      <c r="C2535" s="6" t="s">
        <v>1168</v>
      </c>
      <c r="D2535" s="18">
        <v>1.0</v>
      </c>
      <c r="E2535" s="18">
        <v>500.0</v>
      </c>
      <c r="F2535" s="18">
        <v>500.0</v>
      </c>
    </row>
    <row r="2536">
      <c r="A2536" s="6" t="s">
        <v>7433</v>
      </c>
      <c r="B2536" s="6" t="s">
        <v>7434</v>
      </c>
      <c r="C2536" s="6" t="s">
        <v>1517</v>
      </c>
      <c r="D2536" s="18">
        <v>1.0</v>
      </c>
      <c r="E2536" s="18">
        <v>3406.88</v>
      </c>
      <c r="F2536" s="18">
        <v>3406.88</v>
      </c>
    </row>
    <row r="2537">
      <c r="A2537" s="6" t="s">
        <v>7436</v>
      </c>
      <c r="B2537" s="6" t="s">
        <v>7438</v>
      </c>
      <c r="C2537" s="6" t="s">
        <v>1510</v>
      </c>
      <c r="D2537" s="18">
        <v>1.0</v>
      </c>
      <c r="E2537" s="18">
        <v>9002.72</v>
      </c>
      <c r="F2537" s="18">
        <v>9002.72</v>
      </c>
    </row>
    <row r="2538">
      <c r="A2538" s="6" t="s">
        <v>7440</v>
      </c>
      <c r="B2538" s="6" t="s">
        <v>7442</v>
      </c>
      <c r="C2538" s="6" t="s">
        <v>1536</v>
      </c>
      <c r="D2538" s="18">
        <v>1.0</v>
      </c>
      <c r="E2538" s="18">
        <v>425.0</v>
      </c>
      <c r="F2538" s="18">
        <v>425.0</v>
      </c>
    </row>
    <row r="2539">
      <c r="A2539" s="6" t="s">
        <v>7444</v>
      </c>
      <c r="B2539" s="6" t="s">
        <v>7445</v>
      </c>
      <c r="C2539" s="6" t="s">
        <v>1126</v>
      </c>
      <c r="D2539" s="18">
        <v>1.0</v>
      </c>
      <c r="E2539" s="18">
        <v>30.0</v>
      </c>
      <c r="F2539" s="18">
        <v>30.0</v>
      </c>
    </row>
    <row r="2540">
      <c r="A2540" s="6" t="s">
        <v>7446</v>
      </c>
      <c r="B2540" s="6" t="s">
        <v>7447</v>
      </c>
      <c r="C2540" s="6" t="s">
        <v>5636</v>
      </c>
      <c r="D2540" s="18">
        <v>1.0</v>
      </c>
      <c r="E2540" s="18">
        <v>200.0</v>
      </c>
      <c r="F2540" s="18">
        <v>200.0</v>
      </c>
    </row>
    <row r="2541">
      <c r="A2541" s="6" t="s">
        <v>7448</v>
      </c>
      <c r="B2541" s="6" t="s">
        <v>7450</v>
      </c>
      <c r="C2541" s="6" t="s">
        <v>5640</v>
      </c>
      <c r="D2541" s="18">
        <v>1.0</v>
      </c>
      <c r="E2541" s="18">
        <v>22.0</v>
      </c>
      <c r="F2541" s="18">
        <v>22.0</v>
      </c>
    </row>
    <row r="2542">
      <c r="A2542" s="6" t="s">
        <v>7452</v>
      </c>
      <c r="B2542" s="6" t="s">
        <v>7453</v>
      </c>
      <c r="C2542" s="6" t="s">
        <v>5973</v>
      </c>
      <c r="D2542" s="18">
        <v>1.0</v>
      </c>
      <c r="E2542" s="18">
        <v>10.0</v>
      </c>
      <c r="F2542" s="18">
        <v>10.0</v>
      </c>
    </row>
    <row r="2543">
      <c r="A2543" s="6" t="s">
        <v>7455</v>
      </c>
      <c r="B2543" s="6" t="s">
        <v>7456</v>
      </c>
      <c r="C2543" s="6" t="s">
        <v>1168</v>
      </c>
      <c r="D2543" s="18">
        <v>1.0</v>
      </c>
      <c r="E2543" s="18">
        <v>500.0</v>
      </c>
      <c r="F2543" s="18">
        <v>500.0</v>
      </c>
    </row>
    <row r="2544">
      <c r="A2544" s="6" t="s">
        <v>7457</v>
      </c>
      <c r="B2544" s="6" t="s">
        <v>7458</v>
      </c>
      <c r="C2544" s="6" t="s">
        <v>3833</v>
      </c>
      <c r="D2544" s="18">
        <v>1.0</v>
      </c>
      <c r="E2544" s="18">
        <v>16.0</v>
      </c>
      <c r="F2544" s="18">
        <v>16.0</v>
      </c>
    </row>
    <row r="2545">
      <c r="A2545" s="6" t="s">
        <v>7459</v>
      </c>
      <c r="B2545" s="6" t="s">
        <v>7460</v>
      </c>
      <c r="C2545" s="6" t="s">
        <v>3833</v>
      </c>
      <c r="D2545" s="18">
        <v>1.0</v>
      </c>
      <c r="E2545" s="18">
        <v>73.8</v>
      </c>
      <c r="F2545" s="18">
        <v>73.8</v>
      </c>
    </row>
    <row r="2546">
      <c r="A2546" s="6" t="s">
        <v>7463</v>
      </c>
      <c r="B2546" s="6" t="s">
        <v>7464</v>
      </c>
      <c r="C2546" s="6" t="s">
        <v>159</v>
      </c>
      <c r="D2546" s="18">
        <v>1.0</v>
      </c>
      <c r="E2546" s="18">
        <v>140.0</v>
      </c>
      <c r="F2546" s="18">
        <v>140.0</v>
      </c>
    </row>
    <row r="2547">
      <c r="A2547" s="6" t="s">
        <v>7465</v>
      </c>
      <c r="B2547" s="6" t="s">
        <v>7464</v>
      </c>
      <c r="C2547" s="6" t="s">
        <v>155</v>
      </c>
      <c r="D2547" s="18">
        <v>1.0</v>
      </c>
      <c r="E2547" s="18">
        <v>33.1</v>
      </c>
      <c r="F2547" s="18">
        <v>33.1</v>
      </c>
    </row>
    <row r="2548">
      <c r="A2548" s="6" t="s">
        <v>7466</v>
      </c>
      <c r="B2548" s="6" t="s">
        <v>7464</v>
      </c>
      <c r="C2548" s="6" t="s">
        <v>152</v>
      </c>
      <c r="D2548" s="18">
        <v>1.0</v>
      </c>
      <c r="E2548" s="18">
        <v>9.86</v>
      </c>
      <c r="F2548" s="18">
        <v>9.86</v>
      </c>
    </row>
    <row r="2549">
      <c r="A2549" s="6" t="s">
        <v>7468</v>
      </c>
      <c r="B2549" s="6" t="s">
        <v>7464</v>
      </c>
      <c r="C2549" s="6" t="s">
        <v>226</v>
      </c>
      <c r="D2549" s="18">
        <v>1.0</v>
      </c>
      <c r="E2549" s="18">
        <v>36.0</v>
      </c>
      <c r="F2549" s="18">
        <v>36.0</v>
      </c>
    </row>
    <row r="2550">
      <c r="A2550" s="6" t="s">
        <v>7469</v>
      </c>
      <c r="B2550" s="6" t="s">
        <v>7470</v>
      </c>
      <c r="C2550" s="6" t="s">
        <v>305</v>
      </c>
      <c r="D2550" s="18">
        <v>1.0</v>
      </c>
      <c r="E2550" s="18">
        <v>123.62</v>
      </c>
      <c r="F2550" s="18">
        <v>123.62</v>
      </c>
    </row>
    <row r="2551">
      <c r="A2551" s="6" t="s">
        <v>7471</v>
      </c>
      <c r="B2551" s="6" t="s">
        <v>7472</v>
      </c>
      <c r="C2551" s="6" t="s">
        <v>7473</v>
      </c>
      <c r="D2551" s="18">
        <v>1.0</v>
      </c>
      <c r="E2551" s="18">
        <v>51.98</v>
      </c>
      <c r="F2551" s="18">
        <v>51.98</v>
      </c>
    </row>
    <row r="2552">
      <c r="A2552" s="6" t="s">
        <v>7475</v>
      </c>
      <c r="B2552" s="6" t="s">
        <v>7476</v>
      </c>
      <c r="C2552" s="6" t="s">
        <v>1022</v>
      </c>
      <c r="D2552" s="18">
        <v>1.0</v>
      </c>
      <c r="E2552" s="18">
        <v>150.0</v>
      </c>
      <c r="F2552" s="18">
        <v>150.0</v>
      </c>
    </row>
    <row r="2553">
      <c r="A2553" s="6" t="s">
        <v>7477</v>
      </c>
      <c r="B2553" s="6" t="s">
        <v>7478</v>
      </c>
      <c r="C2553" s="6" t="s">
        <v>717</v>
      </c>
      <c r="D2553" s="18">
        <v>1.0</v>
      </c>
      <c r="E2553" s="18">
        <v>110.0</v>
      </c>
      <c r="F2553" s="18">
        <v>110.0</v>
      </c>
    </row>
    <row r="2554">
      <c r="A2554" s="6" t="s">
        <v>7479</v>
      </c>
      <c r="B2554" s="6" t="s">
        <v>7480</v>
      </c>
      <c r="C2554" s="6" t="s">
        <v>1668</v>
      </c>
      <c r="D2554" s="18">
        <v>1.0</v>
      </c>
      <c r="E2554" s="18">
        <v>124.16</v>
      </c>
      <c r="F2554" s="18">
        <v>124.16</v>
      </c>
    </row>
    <row r="2555">
      <c r="A2555" s="6" t="s">
        <v>7481</v>
      </c>
      <c r="B2555" s="6" t="s">
        <v>7482</v>
      </c>
      <c r="C2555" s="6" t="s">
        <v>159</v>
      </c>
      <c r="D2555" s="18">
        <v>15.0</v>
      </c>
      <c r="E2555" s="18">
        <v>14.0</v>
      </c>
      <c r="F2555" s="18">
        <v>210.0</v>
      </c>
    </row>
    <row r="2556">
      <c r="A2556" s="6" t="s">
        <v>7483</v>
      </c>
      <c r="B2556" s="6" t="s">
        <v>7482</v>
      </c>
      <c r="C2556" s="6" t="s">
        <v>155</v>
      </c>
      <c r="D2556" s="18">
        <v>1.0</v>
      </c>
      <c r="E2556" s="18">
        <v>37.92</v>
      </c>
      <c r="F2556" s="18">
        <v>37.92</v>
      </c>
    </row>
    <row r="2557">
      <c r="A2557" s="6" t="s">
        <v>7485</v>
      </c>
      <c r="B2557" s="6" t="s">
        <v>7482</v>
      </c>
      <c r="C2557" s="6" t="s">
        <v>152</v>
      </c>
      <c r="D2557" s="18">
        <v>1.0</v>
      </c>
      <c r="E2557" s="18">
        <v>8.7</v>
      </c>
      <c r="F2557" s="18">
        <v>8.7</v>
      </c>
    </row>
    <row r="2558">
      <c r="A2558" s="6" t="s">
        <v>7486</v>
      </c>
      <c r="B2558" s="6" t="s">
        <v>7482</v>
      </c>
      <c r="C2558" s="6" t="s">
        <v>226</v>
      </c>
      <c r="D2558" s="18">
        <v>1.0</v>
      </c>
      <c r="E2558" s="18">
        <v>54.0</v>
      </c>
      <c r="F2558" s="18">
        <v>54.0</v>
      </c>
    </row>
    <row r="2559">
      <c r="A2559" s="6" t="s">
        <v>7487</v>
      </c>
      <c r="B2559" s="6" t="s">
        <v>7488</v>
      </c>
      <c r="C2559" s="6" t="s">
        <v>305</v>
      </c>
      <c r="D2559" s="18">
        <v>1.0</v>
      </c>
      <c r="E2559" s="18">
        <v>180.88</v>
      </c>
      <c r="F2559" s="18">
        <v>180.88</v>
      </c>
    </row>
    <row r="2560">
      <c r="A2560" s="6" t="s">
        <v>7489</v>
      </c>
      <c r="B2560" s="18">
        <v>7.2203232E7</v>
      </c>
      <c r="C2560" s="18">
        <v>1.2539885E7</v>
      </c>
      <c r="D2560" s="18">
        <v>1.0</v>
      </c>
      <c r="E2560" s="18">
        <v>129.9</v>
      </c>
      <c r="F2560" s="18">
        <v>129.9</v>
      </c>
    </row>
    <row r="2561">
      <c r="A2561" s="6" t="s">
        <v>7490</v>
      </c>
      <c r="B2561" s="6" t="s">
        <v>7491</v>
      </c>
      <c r="C2561" s="18">
        <v>1.2539885E7</v>
      </c>
      <c r="D2561" s="18">
        <v>1.0</v>
      </c>
      <c r="E2561" s="18">
        <v>159.9</v>
      </c>
      <c r="F2561" s="18">
        <v>159.9</v>
      </c>
    </row>
    <row r="2562">
      <c r="A2562" s="6" t="s">
        <v>7493</v>
      </c>
      <c r="B2562" s="6" t="s">
        <v>7494</v>
      </c>
      <c r="C2562" s="6" t="s">
        <v>3833</v>
      </c>
      <c r="D2562" s="18">
        <v>1.0</v>
      </c>
      <c r="E2562" s="18">
        <v>738.82</v>
      </c>
      <c r="F2562" s="18">
        <v>738.82</v>
      </c>
    </row>
    <row r="2563">
      <c r="A2563" s="6" t="s">
        <v>7496</v>
      </c>
      <c r="B2563" s="6" t="s">
        <v>7497</v>
      </c>
      <c r="C2563" s="6" t="s">
        <v>3833</v>
      </c>
      <c r="D2563" s="18">
        <v>1.0</v>
      </c>
      <c r="E2563" s="18">
        <v>1924.84</v>
      </c>
      <c r="F2563" s="18">
        <v>1924.84</v>
      </c>
    </row>
    <row r="2564">
      <c r="A2564" s="6" t="s">
        <v>7498</v>
      </c>
      <c r="B2564" s="6" t="s">
        <v>7499</v>
      </c>
      <c r="C2564" s="6" t="s">
        <v>5325</v>
      </c>
      <c r="D2564" s="18">
        <v>1.0</v>
      </c>
      <c r="E2564" s="18">
        <v>110.0</v>
      </c>
      <c r="F2564" s="18">
        <v>110.0</v>
      </c>
    </row>
    <row r="2565">
      <c r="A2565" s="6" t="s">
        <v>7500</v>
      </c>
      <c r="B2565" s="6" t="s">
        <v>7501</v>
      </c>
      <c r="C2565" s="18">
        <v>1.2539885E7</v>
      </c>
      <c r="D2565" s="18">
        <v>1.0</v>
      </c>
      <c r="E2565" s="18">
        <v>122.5</v>
      </c>
      <c r="F2565" s="18">
        <v>122.5</v>
      </c>
    </row>
    <row r="2566">
      <c r="A2566" s="6" t="s">
        <v>7502</v>
      </c>
      <c r="B2566" s="6" t="s">
        <v>7503</v>
      </c>
      <c r="C2566" s="6" t="s">
        <v>1510</v>
      </c>
      <c r="D2566" s="18">
        <v>1.0</v>
      </c>
      <c r="E2566" s="18">
        <v>1728.0</v>
      </c>
      <c r="F2566" s="18">
        <v>1728.0</v>
      </c>
    </row>
    <row r="2567">
      <c r="A2567" s="6" t="s">
        <v>7505</v>
      </c>
      <c r="B2567" s="6" t="s">
        <v>7506</v>
      </c>
      <c r="C2567" s="6" t="s">
        <v>1517</v>
      </c>
      <c r="D2567" s="18">
        <v>1.0</v>
      </c>
      <c r="E2567" s="18">
        <v>5146.03</v>
      </c>
      <c r="F2567" s="18">
        <v>5146.03</v>
      </c>
    </row>
    <row r="2568">
      <c r="A2568" s="6" t="s">
        <v>7507</v>
      </c>
      <c r="B2568" s="6" t="s">
        <v>7508</v>
      </c>
      <c r="C2568" s="6" t="s">
        <v>5325</v>
      </c>
      <c r="D2568" s="18">
        <v>1.0</v>
      </c>
      <c r="E2568" s="18">
        <v>110.0</v>
      </c>
      <c r="F2568" s="18">
        <v>110.0</v>
      </c>
    </row>
    <row r="2569">
      <c r="A2569" s="6" t="s">
        <v>7509</v>
      </c>
      <c r="B2569" s="6" t="s">
        <v>7510</v>
      </c>
      <c r="C2569" s="6" t="s">
        <v>4176</v>
      </c>
      <c r="D2569" s="18">
        <v>1.0</v>
      </c>
      <c r="E2569" s="18">
        <v>39.9</v>
      </c>
      <c r="F2569" s="18">
        <v>39.9</v>
      </c>
    </row>
    <row r="2570">
      <c r="A2570" s="6" t="s">
        <v>7511</v>
      </c>
      <c r="B2570" s="6" t="s">
        <v>7512</v>
      </c>
      <c r="C2570" s="6" t="s">
        <v>159</v>
      </c>
      <c r="D2570" s="18">
        <v>1.0</v>
      </c>
      <c r="E2570" s="18">
        <v>168.0</v>
      </c>
      <c r="F2570" s="18">
        <v>168.0</v>
      </c>
    </row>
    <row r="2571">
      <c r="A2571" s="6" t="s">
        <v>7514</v>
      </c>
      <c r="B2571" s="6" t="s">
        <v>7512</v>
      </c>
      <c r="C2571" s="18">
        <v>1.2539885E7</v>
      </c>
      <c r="D2571" s="18">
        <v>1.0</v>
      </c>
      <c r="E2571" s="18">
        <v>100.0</v>
      </c>
      <c r="F2571" s="18">
        <v>100.0</v>
      </c>
    </row>
    <row r="2572">
      <c r="A2572" s="6" t="s">
        <v>7515</v>
      </c>
      <c r="B2572" s="6" t="s">
        <v>7512</v>
      </c>
      <c r="C2572" s="6" t="s">
        <v>155</v>
      </c>
      <c r="D2572" s="18">
        <v>1.0</v>
      </c>
      <c r="E2572" s="18">
        <v>27.3</v>
      </c>
      <c r="F2572" s="18">
        <v>27.3</v>
      </c>
    </row>
    <row r="2573">
      <c r="A2573" s="6" t="s">
        <v>7516</v>
      </c>
      <c r="B2573" s="6" t="s">
        <v>7512</v>
      </c>
      <c r="C2573" s="6" t="s">
        <v>152</v>
      </c>
      <c r="D2573" s="18">
        <v>1.0</v>
      </c>
      <c r="E2573" s="18">
        <v>7.76</v>
      </c>
      <c r="F2573" s="18">
        <v>7.76</v>
      </c>
    </row>
    <row r="2574">
      <c r="A2574" s="6" t="s">
        <v>7517</v>
      </c>
      <c r="B2574" s="6" t="s">
        <v>7512</v>
      </c>
      <c r="C2574" s="6" t="s">
        <v>226</v>
      </c>
      <c r="D2574" s="18">
        <v>1.0</v>
      </c>
      <c r="E2574" s="18">
        <v>18.0</v>
      </c>
      <c r="F2574" s="18">
        <v>18.0</v>
      </c>
    </row>
    <row r="2575">
      <c r="A2575" s="6" t="s">
        <v>7518</v>
      </c>
      <c r="B2575" s="6" t="s">
        <v>7519</v>
      </c>
      <c r="C2575" s="6" t="s">
        <v>2662</v>
      </c>
      <c r="D2575" s="18">
        <v>1.0</v>
      </c>
      <c r="E2575" s="18">
        <v>16308.23</v>
      </c>
      <c r="F2575" s="18">
        <v>16308.23</v>
      </c>
    </row>
    <row r="2576">
      <c r="A2576" s="6" t="s">
        <v>7520</v>
      </c>
      <c r="B2576" s="6" t="s">
        <v>7521</v>
      </c>
      <c r="C2576" s="6" t="s">
        <v>7522</v>
      </c>
      <c r="D2576" s="18">
        <v>1.0</v>
      </c>
      <c r="E2576" s="18">
        <v>72.55</v>
      </c>
      <c r="F2576" s="18">
        <v>72.55</v>
      </c>
    </row>
    <row r="2577">
      <c r="A2577" s="6" t="s">
        <v>7523</v>
      </c>
      <c r="B2577" s="6" t="s">
        <v>7524</v>
      </c>
      <c r="C2577" s="6" t="s">
        <v>691</v>
      </c>
      <c r="D2577" s="18">
        <v>1.0</v>
      </c>
      <c r="E2577" s="18">
        <v>24.0</v>
      </c>
      <c r="F2577" s="18">
        <v>24.0</v>
      </c>
    </row>
    <row r="2578">
      <c r="A2578" s="6" t="s">
        <v>7525</v>
      </c>
      <c r="B2578" s="6" t="s">
        <v>7524</v>
      </c>
      <c r="C2578" s="6" t="s">
        <v>266</v>
      </c>
      <c r="D2578" s="18">
        <v>1.0</v>
      </c>
      <c r="E2578" s="18">
        <v>36.0</v>
      </c>
      <c r="F2578" s="18">
        <v>36.0</v>
      </c>
    </row>
    <row r="2579">
      <c r="A2579" s="6" t="s">
        <v>7526</v>
      </c>
      <c r="B2579" s="6" t="s">
        <v>7524</v>
      </c>
      <c r="C2579" s="6" t="s">
        <v>1195</v>
      </c>
      <c r="D2579" s="18">
        <v>1.0</v>
      </c>
      <c r="E2579" s="18">
        <v>48.0</v>
      </c>
      <c r="F2579" s="18">
        <v>48.0</v>
      </c>
    </row>
    <row r="2580">
      <c r="A2580" s="6" t="s">
        <v>7527</v>
      </c>
      <c r="B2580" s="6" t="s">
        <v>7524</v>
      </c>
      <c r="C2580" s="6" t="s">
        <v>1197</v>
      </c>
      <c r="D2580" s="18">
        <v>1.0</v>
      </c>
      <c r="E2580" s="18">
        <v>88.0</v>
      </c>
      <c r="F2580" s="18">
        <v>88.0</v>
      </c>
    </row>
    <row r="2581">
      <c r="A2581" s="6" t="s">
        <v>7528</v>
      </c>
      <c r="B2581" s="6" t="s">
        <v>7524</v>
      </c>
      <c r="C2581" s="18">
        <v>7.9788768E7</v>
      </c>
      <c r="D2581" s="18">
        <v>1.0</v>
      </c>
      <c r="E2581" s="18">
        <v>27.5</v>
      </c>
      <c r="F2581" s="18">
        <v>27.5</v>
      </c>
    </row>
    <row r="2582">
      <c r="A2582" s="6" t="s">
        <v>7529</v>
      </c>
      <c r="B2582" s="6" t="s">
        <v>7524</v>
      </c>
      <c r="C2582" s="6" t="s">
        <v>1041</v>
      </c>
      <c r="D2582" s="18">
        <v>1.0</v>
      </c>
      <c r="E2582" s="18">
        <v>24.0</v>
      </c>
      <c r="F2582" s="18">
        <v>24.0</v>
      </c>
    </row>
    <row r="2583">
      <c r="A2583" s="6" t="s">
        <v>7530</v>
      </c>
      <c r="B2583" s="6" t="s">
        <v>7531</v>
      </c>
      <c r="C2583" s="6" t="s">
        <v>1510</v>
      </c>
      <c r="D2583" s="18">
        <v>1.0</v>
      </c>
      <c r="E2583" s="18">
        <v>9284.22</v>
      </c>
      <c r="F2583" s="18">
        <v>9284.22</v>
      </c>
    </row>
    <row r="2584">
      <c r="A2584" s="6" t="s">
        <v>7532</v>
      </c>
      <c r="B2584" s="6" t="s">
        <v>7533</v>
      </c>
      <c r="C2584" s="18">
        <v>7.5375964E7</v>
      </c>
      <c r="D2584" s="18">
        <v>1.0</v>
      </c>
      <c r="E2584" s="18">
        <v>19.0</v>
      </c>
      <c r="F2584" s="18">
        <v>19.0</v>
      </c>
    </row>
    <row r="2585">
      <c r="A2585" s="6" t="s">
        <v>7534</v>
      </c>
      <c r="B2585" s="6" t="s">
        <v>7533</v>
      </c>
      <c r="C2585" s="6" t="s">
        <v>1384</v>
      </c>
      <c r="D2585" s="18">
        <v>1.0</v>
      </c>
      <c r="E2585" s="18">
        <v>19.0</v>
      </c>
      <c r="F2585" s="18">
        <v>19.0</v>
      </c>
    </row>
    <row r="2586">
      <c r="A2586" s="6" t="s">
        <v>7535</v>
      </c>
      <c r="B2586" s="6" t="s">
        <v>7533</v>
      </c>
      <c r="C2586" s="6" t="s">
        <v>1404</v>
      </c>
      <c r="D2586" s="18">
        <v>1.0</v>
      </c>
      <c r="E2586" s="18">
        <v>19.0</v>
      </c>
      <c r="F2586" s="18">
        <v>19.0</v>
      </c>
    </row>
    <row r="2587">
      <c r="A2587" s="6" t="s">
        <v>7536</v>
      </c>
      <c r="B2587" s="6" t="s">
        <v>7533</v>
      </c>
      <c r="C2587" s="6" t="s">
        <v>1073</v>
      </c>
      <c r="D2587" s="18">
        <v>1.0</v>
      </c>
      <c r="E2587" s="18">
        <v>20.1</v>
      </c>
      <c r="F2587" s="18">
        <v>20.1</v>
      </c>
    </row>
    <row r="2588">
      <c r="A2588" s="6" t="s">
        <v>7537</v>
      </c>
      <c r="B2588" s="6" t="s">
        <v>7533</v>
      </c>
      <c r="C2588" s="6" t="s">
        <v>1384</v>
      </c>
      <c r="D2588" s="18">
        <v>1.0</v>
      </c>
      <c r="E2588" s="18">
        <v>63.0</v>
      </c>
      <c r="F2588" s="18">
        <v>63.0</v>
      </c>
    </row>
    <row r="2589">
      <c r="A2589" s="6" t="s">
        <v>7538</v>
      </c>
      <c r="B2589" s="6" t="s">
        <v>7533</v>
      </c>
      <c r="C2589" s="6" t="s">
        <v>1074</v>
      </c>
      <c r="D2589" s="18">
        <v>4.0</v>
      </c>
      <c r="E2589" s="18">
        <v>38.0</v>
      </c>
      <c r="F2589" s="18">
        <v>152.0</v>
      </c>
    </row>
    <row r="2590">
      <c r="A2590" s="6" t="s">
        <v>7539</v>
      </c>
      <c r="B2590" s="6" t="s">
        <v>7533</v>
      </c>
      <c r="C2590" s="6" t="s">
        <v>1075</v>
      </c>
      <c r="D2590" s="18">
        <v>6.0</v>
      </c>
      <c r="E2590" s="18">
        <v>19.0</v>
      </c>
      <c r="F2590" s="18">
        <v>114.0</v>
      </c>
    </row>
    <row r="2591">
      <c r="A2591" s="6" t="s">
        <v>7540</v>
      </c>
      <c r="B2591" s="6" t="s">
        <v>7533</v>
      </c>
      <c r="C2591" s="6" t="s">
        <v>1077</v>
      </c>
      <c r="D2591" s="18">
        <v>4.0</v>
      </c>
      <c r="E2591" s="18">
        <v>24.0</v>
      </c>
      <c r="F2591" s="18">
        <v>96.0</v>
      </c>
    </row>
    <row r="2592">
      <c r="A2592" s="6" t="s">
        <v>7541</v>
      </c>
      <c r="B2592" s="6" t="s">
        <v>7533</v>
      </c>
      <c r="C2592" s="6" t="s">
        <v>1081</v>
      </c>
      <c r="D2592" s="18">
        <v>4.0</v>
      </c>
      <c r="E2592" s="18">
        <v>49.0</v>
      </c>
      <c r="F2592" s="18">
        <v>196.0</v>
      </c>
    </row>
    <row r="2593">
      <c r="A2593" s="6" t="s">
        <v>7542</v>
      </c>
      <c r="B2593" s="6" t="s">
        <v>7533</v>
      </c>
      <c r="C2593" s="6" t="s">
        <v>1083</v>
      </c>
      <c r="D2593" s="18">
        <v>1.0</v>
      </c>
      <c r="E2593" s="18">
        <v>19.0</v>
      </c>
      <c r="F2593" s="18">
        <v>19.0</v>
      </c>
    </row>
    <row r="2594">
      <c r="A2594" s="6" t="s">
        <v>7543</v>
      </c>
      <c r="B2594" s="6" t="s">
        <v>7533</v>
      </c>
      <c r="C2594" s="18">
        <v>7.5375964E7</v>
      </c>
      <c r="D2594" s="18">
        <v>2.0</v>
      </c>
      <c r="E2594" s="18">
        <v>40.2</v>
      </c>
      <c r="F2594" s="18">
        <v>80.4</v>
      </c>
    </row>
    <row r="2595">
      <c r="A2595" s="6" t="s">
        <v>7545</v>
      </c>
      <c r="B2595" s="6" t="s">
        <v>7533</v>
      </c>
      <c r="C2595" s="6" t="s">
        <v>1079</v>
      </c>
      <c r="D2595" s="18">
        <v>20.0</v>
      </c>
      <c r="E2595" s="18">
        <v>17.5</v>
      </c>
      <c r="F2595" s="18">
        <v>350.0</v>
      </c>
    </row>
    <row r="2596">
      <c r="A2596" s="6" t="s">
        <v>7546</v>
      </c>
      <c r="B2596" s="6" t="s">
        <v>7547</v>
      </c>
      <c r="C2596" s="6" t="s">
        <v>159</v>
      </c>
      <c r="D2596" s="18">
        <v>1.0</v>
      </c>
      <c r="E2596" s="18">
        <v>195.0</v>
      </c>
      <c r="F2596" s="18">
        <v>195.0</v>
      </c>
    </row>
    <row r="2597">
      <c r="A2597" s="6" t="s">
        <v>7548</v>
      </c>
      <c r="B2597" s="6" t="s">
        <v>7547</v>
      </c>
      <c r="C2597" s="18">
        <v>1.2539885E7</v>
      </c>
      <c r="D2597" s="18">
        <v>1.0</v>
      </c>
      <c r="E2597" s="18">
        <v>204.0</v>
      </c>
      <c r="F2597" s="18">
        <v>204.0</v>
      </c>
    </row>
    <row r="2598">
      <c r="A2598" s="6" t="s">
        <v>7549</v>
      </c>
      <c r="B2598" s="6" t="s">
        <v>7547</v>
      </c>
      <c r="C2598" s="6" t="s">
        <v>155</v>
      </c>
      <c r="D2598" s="18">
        <v>1.0</v>
      </c>
      <c r="E2598" s="18">
        <v>57.6</v>
      </c>
      <c r="F2598" s="18">
        <v>57.6</v>
      </c>
    </row>
    <row r="2599">
      <c r="A2599" s="6" t="s">
        <v>7550</v>
      </c>
      <c r="B2599" s="6" t="s">
        <v>7547</v>
      </c>
      <c r="C2599" s="6" t="s">
        <v>230</v>
      </c>
      <c r="D2599" s="18">
        <v>1.0</v>
      </c>
      <c r="E2599" s="18">
        <v>125.0</v>
      </c>
      <c r="F2599" s="18">
        <v>125.0</v>
      </c>
    </row>
    <row r="2600">
      <c r="A2600" s="6" t="s">
        <v>7551</v>
      </c>
      <c r="B2600" s="6" t="s">
        <v>7547</v>
      </c>
      <c r="C2600" s="6" t="s">
        <v>152</v>
      </c>
      <c r="D2600" s="18">
        <v>1.0</v>
      </c>
      <c r="E2600" s="18">
        <v>4.54</v>
      </c>
      <c r="F2600" s="18">
        <v>4.54</v>
      </c>
    </row>
    <row r="2601">
      <c r="A2601" s="6" t="s">
        <v>7552</v>
      </c>
      <c r="B2601" s="6" t="s">
        <v>7547</v>
      </c>
      <c r="C2601" s="6" t="s">
        <v>226</v>
      </c>
      <c r="D2601" s="18">
        <v>1.0</v>
      </c>
      <c r="E2601" s="18">
        <v>59.5</v>
      </c>
      <c r="F2601" s="18">
        <v>59.5</v>
      </c>
    </row>
    <row r="2602">
      <c r="A2602" s="6" t="s">
        <v>7553</v>
      </c>
      <c r="B2602" s="6" t="s">
        <v>7554</v>
      </c>
      <c r="C2602" s="6" t="s">
        <v>305</v>
      </c>
      <c r="D2602" s="18">
        <v>1.0</v>
      </c>
      <c r="E2602" s="18">
        <v>28.96</v>
      </c>
      <c r="F2602" s="18">
        <v>28.96</v>
      </c>
    </row>
    <row r="2603">
      <c r="A2603" s="6" t="s">
        <v>7555</v>
      </c>
      <c r="B2603" s="6" t="s">
        <v>7556</v>
      </c>
      <c r="C2603" s="6" t="s">
        <v>305</v>
      </c>
      <c r="D2603" s="18">
        <v>1.0</v>
      </c>
      <c r="E2603" s="18">
        <v>9.98</v>
      </c>
      <c r="F2603" s="18">
        <v>9.98</v>
      </c>
    </row>
    <row r="2604">
      <c r="A2604" s="6" t="s">
        <v>7557</v>
      </c>
      <c r="B2604" s="6" t="s">
        <v>7558</v>
      </c>
      <c r="C2604" s="6" t="s">
        <v>3218</v>
      </c>
      <c r="D2604" s="18">
        <v>1.0</v>
      </c>
      <c r="E2604" s="18">
        <v>185.0</v>
      </c>
      <c r="F2604" s="18">
        <v>185.0</v>
      </c>
    </row>
    <row r="2605">
      <c r="A2605" s="6" t="s">
        <v>7559</v>
      </c>
      <c r="B2605" s="6" t="s">
        <v>7560</v>
      </c>
      <c r="C2605" s="6" t="s">
        <v>4831</v>
      </c>
      <c r="D2605" s="18">
        <v>1.0</v>
      </c>
      <c r="E2605" s="18">
        <v>375.0</v>
      </c>
      <c r="F2605" s="18">
        <v>375.0</v>
      </c>
    </row>
    <row r="2606">
      <c r="A2606" s="6" t="s">
        <v>7561</v>
      </c>
      <c r="B2606" s="18">
        <v>1.12347759E8</v>
      </c>
      <c r="C2606" s="6" t="s">
        <v>3833</v>
      </c>
      <c r="D2606" s="18">
        <v>1.0</v>
      </c>
      <c r="E2606" s="18">
        <v>1123.55</v>
      </c>
      <c r="F2606" s="18">
        <v>1123.55</v>
      </c>
    </row>
    <row r="2607">
      <c r="A2607" s="6" t="s">
        <v>7562</v>
      </c>
      <c r="B2607" s="6" t="s">
        <v>7563</v>
      </c>
      <c r="C2607" s="6" t="s">
        <v>2662</v>
      </c>
      <c r="D2607" s="18">
        <v>1.0</v>
      </c>
      <c r="E2607" s="18">
        <v>17.16</v>
      </c>
      <c r="F2607" s="18">
        <v>17.16</v>
      </c>
    </row>
    <row r="2608">
      <c r="A2608" s="6" t="s">
        <v>7565</v>
      </c>
      <c r="B2608" s="6" t="s">
        <v>7566</v>
      </c>
      <c r="C2608" s="6" t="s">
        <v>2662</v>
      </c>
      <c r="D2608" s="18">
        <v>1.0</v>
      </c>
      <c r="E2608" s="18">
        <v>2370.69</v>
      </c>
      <c r="F2608" s="18">
        <v>2370.69</v>
      </c>
    </row>
    <row r="2609">
      <c r="A2609" s="6" t="s">
        <v>7569</v>
      </c>
      <c r="B2609" s="6" t="s">
        <v>7570</v>
      </c>
      <c r="C2609" s="6" t="s">
        <v>3833</v>
      </c>
      <c r="D2609" s="18">
        <v>1.0</v>
      </c>
      <c r="E2609" s="18">
        <v>1979.0</v>
      </c>
      <c r="F2609" s="18">
        <v>1979.0</v>
      </c>
    </row>
    <row r="2610">
      <c r="A2610" s="6" t="s">
        <v>7571</v>
      </c>
      <c r="B2610" s="6" t="s">
        <v>7572</v>
      </c>
      <c r="C2610" s="6" t="s">
        <v>7573</v>
      </c>
      <c r="D2610" s="18">
        <v>1.0</v>
      </c>
      <c r="E2610" s="18">
        <v>250.0</v>
      </c>
      <c r="F2610" s="18">
        <v>250.0</v>
      </c>
    </row>
    <row r="2611">
      <c r="A2611" s="6" t="s">
        <v>7574</v>
      </c>
      <c r="B2611" s="6" t="s">
        <v>7575</v>
      </c>
      <c r="C2611" s="6" t="s">
        <v>159</v>
      </c>
      <c r="D2611" s="18">
        <v>1.0</v>
      </c>
      <c r="E2611" s="18">
        <v>172.5</v>
      </c>
      <c r="F2611" s="18">
        <v>172.5</v>
      </c>
    </row>
    <row r="2612">
      <c r="A2612" s="6" t="s">
        <v>7576</v>
      </c>
      <c r="B2612" s="6" t="s">
        <v>7575</v>
      </c>
      <c r="C2612" s="18">
        <v>1.2539885E7</v>
      </c>
      <c r="D2612" s="18">
        <v>1.0</v>
      </c>
      <c r="E2612" s="18">
        <v>105.0</v>
      </c>
      <c r="F2612" s="18">
        <v>105.0</v>
      </c>
    </row>
    <row r="2613">
      <c r="A2613" s="6" t="s">
        <v>7577</v>
      </c>
      <c r="B2613" s="6" t="s">
        <v>7575</v>
      </c>
      <c r="C2613" s="6" t="s">
        <v>155</v>
      </c>
      <c r="D2613" s="18">
        <v>1.0</v>
      </c>
      <c r="E2613" s="18">
        <v>34.05</v>
      </c>
      <c r="F2613" s="18">
        <v>34.05</v>
      </c>
    </row>
    <row r="2614">
      <c r="A2614" s="6" t="s">
        <v>7581</v>
      </c>
      <c r="B2614" s="6" t="s">
        <v>7575</v>
      </c>
      <c r="C2614" s="6" t="s">
        <v>230</v>
      </c>
      <c r="D2614" s="18">
        <v>1.0</v>
      </c>
      <c r="E2614" s="18">
        <v>117.92</v>
      </c>
      <c r="F2614" s="18">
        <v>117.92</v>
      </c>
    </row>
    <row r="2615">
      <c r="A2615" s="6" t="s">
        <v>7582</v>
      </c>
      <c r="B2615" s="6" t="s">
        <v>7575</v>
      </c>
      <c r="C2615" s="6" t="s">
        <v>152</v>
      </c>
      <c r="D2615" s="18">
        <v>1.0</v>
      </c>
      <c r="E2615" s="18">
        <v>10.7</v>
      </c>
      <c r="F2615" s="18">
        <v>10.7</v>
      </c>
    </row>
    <row r="2616">
      <c r="A2616" s="6" t="s">
        <v>7583</v>
      </c>
      <c r="B2616" s="6" t="s">
        <v>7575</v>
      </c>
      <c r="C2616" s="6" t="s">
        <v>226</v>
      </c>
      <c r="D2616" s="18">
        <v>1.0</v>
      </c>
      <c r="E2616" s="18">
        <v>59.5</v>
      </c>
      <c r="F2616" s="18">
        <v>59.5</v>
      </c>
    </row>
    <row r="2617">
      <c r="A2617" s="6" t="s">
        <v>7584</v>
      </c>
      <c r="B2617" s="6" t="s">
        <v>7586</v>
      </c>
      <c r="C2617" s="6" t="s">
        <v>580</v>
      </c>
      <c r="D2617" s="18">
        <v>1.0</v>
      </c>
      <c r="E2617" s="18">
        <v>80.56</v>
      </c>
      <c r="F2617" s="18">
        <v>80.56</v>
      </c>
    </row>
    <row r="2618">
      <c r="A2618" s="6" t="s">
        <v>7588</v>
      </c>
      <c r="B2618" s="18">
        <v>2.3758284E7</v>
      </c>
      <c r="C2618" s="18">
        <v>1.2539885E7</v>
      </c>
      <c r="D2618" s="18">
        <v>1.0</v>
      </c>
      <c r="E2618" s="18">
        <v>70.0</v>
      </c>
      <c r="F2618" s="18">
        <v>70.0</v>
      </c>
    </row>
    <row r="2619">
      <c r="A2619" s="6" t="s">
        <v>7589</v>
      </c>
      <c r="B2619" s="6" t="s">
        <v>7590</v>
      </c>
      <c r="C2619" s="18">
        <v>1.2539885E7</v>
      </c>
      <c r="D2619" s="18">
        <v>1.0</v>
      </c>
      <c r="E2619" s="18">
        <v>190.0</v>
      </c>
      <c r="F2619" s="18">
        <v>190.0</v>
      </c>
    </row>
    <row r="2620">
      <c r="A2620" s="6" t="s">
        <v>7591</v>
      </c>
      <c r="B2620" s="6" t="s">
        <v>7592</v>
      </c>
      <c r="C2620" s="6" t="s">
        <v>159</v>
      </c>
      <c r="D2620" s="18">
        <v>6.0</v>
      </c>
      <c r="E2620" s="18">
        <v>11.99</v>
      </c>
      <c r="F2620" s="18">
        <v>71.94</v>
      </c>
    </row>
    <row r="2621">
      <c r="A2621" s="6" t="s">
        <v>7594</v>
      </c>
      <c r="B2621" s="6" t="s">
        <v>7592</v>
      </c>
      <c r="C2621" s="6" t="s">
        <v>152</v>
      </c>
      <c r="D2621" s="18">
        <v>1.0</v>
      </c>
      <c r="E2621" s="18">
        <v>11.01</v>
      </c>
      <c r="F2621" s="18">
        <v>11.01</v>
      </c>
    </row>
    <row r="2622">
      <c r="A2622" s="6" t="s">
        <v>7596</v>
      </c>
      <c r="B2622" s="6" t="s">
        <v>7592</v>
      </c>
      <c r="C2622" s="6" t="s">
        <v>155</v>
      </c>
      <c r="D2622" s="18">
        <v>1.0</v>
      </c>
      <c r="E2622" s="18">
        <v>21.38</v>
      </c>
      <c r="F2622" s="18">
        <v>21.38</v>
      </c>
    </row>
    <row r="2623">
      <c r="A2623" s="6" t="s">
        <v>7597</v>
      </c>
      <c r="B2623" s="6" t="s">
        <v>7598</v>
      </c>
      <c r="C2623" s="18">
        <v>1.2539885E7</v>
      </c>
      <c r="D2623" s="18">
        <v>4.0</v>
      </c>
      <c r="E2623" s="18">
        <v>15.99</v>
      </c>
      <c r="F2623" s="18">
        <v>63.96</v>
      </c>
    </row>
    <row r="2624">
      <c r="A2624" s="6" t="s">
        <v>7599</v>
      </c>
      <c r="B2624" s="6" t="s">
        <v>7601</v>
      </c>
      <c r="C2624" s="6" t="s">
        <v>155</v>
      </c>
      <c r="D2624" s="18">
        <v>1.0</v>
      </c>
      <c r="E2624" s="18">
        <v>36.16</v>
      </c>
      <c r="F2624" s="18">
        <v>36.16</v>
      </c>
    </row>
    <row r="2625">
      <c r="A2625" s="6" t="s">
        <v>7604</v>
      </c>
      <c r="B2625" s="6" t="s">
        <v>7605</v>
      </c>
      <c r="C2625" s="18">
        <v>1.2539885E7</v>
      </c>
      <c r="D2625" s="18">
        <v>1.0</v>
      </c>
      <c r="E2625" s="18">
        <v>140.25</v>
      </c>
      <c r="F2625" s="18">
        <v>140.25</v>
      </c>
    </row>
    <row r="2626">
      <c r="A2626" s="6" t="s">
        <v>7606</v>
      </c>
      <c r="B2626" s="6" t="s">
        <v>7607</v>
      </c>
      <c r="C2626" s="6" t="s">
        <v>305</v>
      </c>
      <c r="D2626" s="18">
        <v>1.0</v>
      </c>
      <c r="E2626" s="18">
        <v>125.82</v>
      </c>
      <c r="F2626" s="18">
        <v>125.82</v>
      </c>
    </row>
    <row r="2627">
      <c r="A2627" s="6" t="s">
        <v>7608</v>
      </c>
      <c r="B2627" s="6" t="s">
        <v>7609</v>
      </c>
      <c r="C2627" s="6" t="s">
        <v>4406</v>
      </c>
      <c r="D2627" s="18">
        <v>1.0</v>
      </c>
      <c r="E2627" s="18">
        <v>299.98</v>
      </c>
      <c r="F2627" s="18">
        <v>299.98</v>
      </c>
    </row>
    <row r="2628">
      <c r="A2628" s="6" t="s">
        <v>7611</v>
      </c>
      <c r="B2628" s="6" t="s">
        <v>7609</v>
      </c>
      <c r="C2628" s="6" t="s">
        <v>5770</v>
      </c>
      <c r="D2628" s="18">
        <v>1.0</v>
      </c>
      <c r="E2628" s="18">
        <v>116.97</v>
      </c>
      <c r="F2628" s="18">
        <v>116.97</v>
      </c>
    </row>
    <row r="2629">
      <c r="A2629" s="6" t="s">
        <v>7613</v>
      </c>
      <c r="B2629" s="6" t="s">
        <v>7609</v>
      </c>
      <c r="C2629" s="6" t="s">
        <v>1350</v>
      </c>
      <c r="D2629" s="18">
        <v>1.0</v>
      </c>
      <c r="E2629" s="18">
        <v>44.0</v>
      </c>
      <c r="F2629" s="18">
        <v>44.0</v>
      </c>
    </row>
    <row r="2630">
      <c r="A2630" s="6" t="s">
        <v>7614</v>
      </c>
      <c r="B2630" s="6" t="s">
        <v>7609</v>
      </c>
      <c r="C2630" s="6" t="s">
        <v>691</v>
      </c>
      <c r="D2630" s="18">
        <v>1.0</v>
      </c>
      <c r="E2630" s="18">
        <v>91.69</v>
      </c>
      <c r="F2630" s="18">
        <v>91.69</v>
      </c>
    </row>
    <row r="2631">
      <c r="A2631" s="6" t="s">
        <v>7615</v>
      </c>
      <c r="B2631" s="6" t="s">
        <v>7617</v>
      </c>
      <c r="C2631" s="6" t="s">
        <v>1668</v>
      </c>
      <c r="D2631" s="18">
        <v>1.0</v>
      </c>
      <c r="E2631" s="18">
        <v>124.16</v>
      </c>
      <c r="F2631" s="18">
        <v>124.16</v>
      </c>
    </row>
    <row r="2632">
      <c r="A2632" s="6" t="s">
        <v>7619</v>
      </c>
      <c r="B2632" s="6" t="s">
        <v>7620</v>
      </c>
      <c r="C2632" s="6" t="s">
        <v>1517</v>
      </c>
      <c r="D2632" s="18">
        <v>1.0</v>
      </c>
      <c r="E2632" s="18">
        <v>14901.09</v>
      </c>
      <c r="F2632" s="18">
        <v>14901.09</v>
      </c>
    </row>
    <row r="2633">
      <c r="A2633" s="6" t="s">
        <v>7621</v>
      </c>
      <c r="B2633" s="6" t="s">
        <v>7622</v>
      </c>
      <c r="C2633" s="6" t="s">
        <v>1239</v>
      </c>
      <c r="D2633" s="18">
        <v>1.0</v>
      </c>
      <c r="E2633" s="18">
        <v>962.42</v>
      </c>
      <c r="F2633" s="18">
        <v>962.42</v>
      </c>
    </row>
    <row r="2634">
      <c r="A2634" s="6" t="s">
        <v>7623</v>
      </c>
      <c r="B2634" s="6" t="s">
        <v>7624</v>
      </c>
      <c r="C2634" s="6" t="s">
        <v>1239</v>
      </c>
      <c r="D2634" s="18">
        <v>1.0</v>
      </c>
      <c r="E2634" s="18">
        <v>2040.65</v>
      </c>
      <c r="F2634" s="18">
        <v>2040.65</v>
      </c>
    </row>
    <row r="2635">
      <c r="A2635" s="6" t="s">
        <v>7627</v>
      </c>
      <c r="B2635" s="6" t="s">
        <v>7628</v>
      </c>
      <c r="C2635" s="6" t="s">
        <v>1239</v>
      </c>
      <c r="D2635" s="18">
        <v>1.0</v>
      </c>
      <c r="E2635" s="18">
        <v>1365.16</v>
      </c>
      <c r="F2635" s="18">
        <v>1365.16</v>
      </c>
    </row>
    <row r="2636">
      <c r="A2636" s="6" t="s">
        <v>7629</v>
      </c>
      <c r="B2636" s="6" t="s">
        <v>7630</v>
      </c>
      <c r="C2636" s="6" t="s">
        <v>1239</v>
      </c>
      <c r="D2636" s="18">
        <v>1.0</v>
      </c>
      <c r="E2636" s="18">
        <v>1433.69</v>
      </c>
      <c r="F2636" s="18">
        <v>1433.69</v>
      </c>
    </row>
    <row r="2637">
      <c r="A2637" s="6" t="s">
        <v>7631</v>
      </c>
      <c r="B2637" s="6" t="s">
        <v>7632</v>
      </c>
      <c r="C2637" s="6" t="s">
        <v>1168</v>
      </c>
      <c r="D2637" s="18">
        <v>1.0</v>
      </c>
      <c r="E2637" s="18">
        <v>500.0</v>
      </c>
      <c r="F2637" s="18">
        <v>500.0</v>
      </c>
    </row>
    <row r="2638">
      <c r="A2638" s="6" t="s">
        <v>7634</v>
      </c>
      <c r="B2638" s="6" t="s">
        <v>7635</v>
      </c>
      <c r="C2638" s="6" t="s">
        <v>1168</v>
      </c>
      <c r="D2638" s="18">
        <v>1.0</v>
      </c>
      <c r="E2638" s="18">
        <v>500.0</v>
      </c>
      <c r="F2638" s="18">
        <v>500.0</v>
      </c>
    </row>
    <row r="2639">
      <c r="A2639" s="6" t="s">
        <v>7638</v>
      </c>
      <c r="B2639" s="6" t="s">
        <v>7639</v>
      </c>
      <c r="C2639" s="6" t="s">
        <v>1168</v>
      </c>
      <c r="D2639" s="18">
        <v>1.0</v>
      </c>
      <c r="E2639" s="18">
        <v>500.0</v>
      </c>
      <c r="F2639" s="18">
        <v>500.0</v>
      </c>
    </row>
    <row r="2640">
      <c r="A2640" s="6" t="s">
        <v>7641</v>
      </c>
      <c r="B2640" s="18">
        <v>6.5797525E7</v>
      </c>
      <c r="C2640" s="6" t="s">
        <v>159</v>
      </c>
      <c r="D2640" s="18">
        <v>1.0</v>
      </c>
      <c r="E2640" s="18">
        <v>149.85</v>
      </c>
      <c r="F2640" s="18">
        <v>149.85</v>
      </c>
    </row>
    <row r="2641">
      <c r="A2641" s="6" t="s">
        <v>7642</v>
      </c>
      <c r="B2641" s="18">
        <v>6.5797525E7</v>
      </c>
      <c r="C2641" s="6" t="s">
        <v>155</v>
      </c>
      <c r="D2641" s="18">
        <v>1.0</v>
      </c>
      <c r="E2641" s="18">
        <v>47.43</v>
      </c>
      <c r="F2641" s="18">
        <v>47.43</v>
      </c>
    </row>
    <row r="2642">
      <c r="A2642" s="6" t="s">
        <v>7645</v>
      </c>
      <c r="B2642" s="18">
        <v>6.5797525E7</v>
      </c>
      <c r="C2642" s="6" t="s">
        <v>152</v>
      </c>
      <c r="D2642" s="18">
        <v>1.0</v>
      </c>
      <c r="E2642" s="18">
        <v>11.42</v>
      </c>
      <c r="F2642" s="18">
        <v>11.42</v>
      </c>
    </row>
    <row r="2643">
      <c r="A2643" s="6" t="s">
        <v>7647</v>
      </c>
      <c r="B2643" s="18">
        <v>6.5797525E7</v>
      </c>
      <c r="C2643" s="6" t="s">
        <v>226</v>
      </c>
      <c r="D2643" s="18">
        <v>1.0</v>
      </c>
      <c r="E2643" s="18">
        <v>45.0</v>
      </c>
      <c r="F2643" s="18">
        <v>45.0</v>
      </c>
    </row>
    <row r="2644">
      <c r="A2644" s="6" t="s">
        <v>7648</v>
      </c>
      <c r="B2644" s="6" t="s">
        <v>7649</v>
      </c>
      <c r="C2644" s="6" t="s">
        <v>1145</v>
      </c>
      <c r="D2644" s="18">
        <v>1.0</v>
      </c>
      <c r="E2644" s="18">
        <v>3744.66</v>
      </c>
      <c r="F2644" s="18">
        <v>3744.66</v>
      </c>
    </row>
    <row r="2645">
      <c r="A2645" s="6" t="s">
        <v>7651</v>
      </c>
      <c r="B2645" s="6" t="s">
        <v>7652</v>
      </c>
      <c r="C2645" s="6" t="s">
        <v>1510</v>
      </c>
      <c r="D2645" s="18">
        <v>1.0</v>
      </c>
      <c r="E2645" s="18">
        <v>22424.48</v>
      </c>
      <c r="F2645" s="18">
        <v>22424.48</v>
      </c>
    </row>
    <row r="2646">
      <c r="A2646" s="6" t="s">
        <v>7655</v>
      </c>
      <c r="B2646" s="6" t="s">
        <v>7656</v>
      </c>
      <c r="C2646" s="6" t="s">
        <v>238</v>
      </c>
      <c r="D2646" s="18">
        <v>6.0</v>
      </c>
      <c r="E2646" s="18">
        <v>5.2</v>
      </c>
      <c r="F2646" s="18">
        <v>31.200000000000003</v>
      </c>
    </row>
    <row r="2647">
      <c r="A2647" s="6" t="s">
        <v>7658</v>
      </c>
      <c r="B2647" s="6" t="s">
        <v>7656</v>
      </c>
      <c r="C2647" s="6" t="s">
        <v>240</v>
      </c>
      <c r="D2647" s="18">
        <v>6.0</v>
      </c>
      <c r="E2647" s="18">
        <v>5.4</v>
      </c>
      <c r="F2647" s="18">
        <v>32.4</v>
      </c>
    </row>
    <row r="2648">
      <c r="A2648" s="6" t="s">
        <v>7659</v>
      </c>
      <c r="B2648" s="6" t="s">
        <v>7656</v>
      </c>
      <c r="C2648" s="6" t="s">
        <v>243</v>
      </c>
      <c r="D2648" s="18">
        <v>6.0</v>
      </c>
      <c r="E2648" s="18">
        <v>6.2</v>
      </c>
      <c r="F2648" s="18">
        <v>37.2</v>
      </c>
    </row>
    <row r="2649">
      <c r="A2649" s="6" t="s">
        <v>7662</v>
      </c>
      <c r="B2649" s="18">
        <v>5.2179647E7</v>
      </c>
      <c r="C2649" s="6" t="s">
        <v>305</v>
      </c>
      <c r="D2649" s="18">
        <v>1.0</v>
      </c>
      <c r="E2649" s="18">
        <v>161.15</v>
      </c>
      <c r="F2649" s="18">
        <v>161.15</v>
      </c>
    </row>
    <row r="2650">
      <c r="A2650" s="6" t="s">
        <v>7663</v>
      </c>
      <c r="B2650" s="6" t="s">
        <v>7664</v>
      </c>
      <c r="C2650" s="6" t="s">
        <v>7665</v>
      </c>
      <c r="D2650" s="18">
        <v>1.0</v>
      </c>
      <c r="E2650" s="18">
        <v>61.8</v>
      </c>
      <c r="F2650" s="18">
        <v>61.8</v>
      </c>
    </row>
    <row r="2651">
      <c r="A2651" s="6" t="s">
        <v>7666</v>
      </c>
      <c r="B2651" s="6" t="s">
        <v>7667</v>
      </c>
      <c r="C2651" s="6" t="s">
        <v>1126</v>
      </c>
      <c r="D2651" s="18">
        <v>1.0</v>
      </c>
      <c r="E2651" s="18">
        <v>40.0</v>
      </c>
      <c r="F2651" s="18">
        <v>40.0</v>
      </c>
    </row>
    <row r="2652">
      <c r="A2652" s="6" t="s">
        <v>7669</v>
      </c>
      <c r="B2652" s="6" t="s">
        <v>7670</v>
      </c>
      <c r="C2652" s="6" t="s">
        <v>5636</v>
      </c>
      <c r="D2652" s="18">
        <v>1.0</v>
      </c>
      <c r="E2652" s="18">
        <v>200.0</v>
      </c>
      <c r="F2652" s="18">
        <v>200.0</v>
      </c>
    </row>
    <row r="2653">
      <c r="A2653" s="6" t="s">
        <v>7672</v>
      </c>
      <c r="B2653" s="6" t="s">
        <v>7673</v>
      </c>
      <c r="C2653" s="6" t="s">
        <v>5640</v>
      </c>
      <c r="D2653" s="18">
        <v>1.0</v>
      </c>
      <c r="E2653" s="18">
        <v>22.0</v>
      </c>
      <c r="F2653" s="18">
        <v>22.0</v>
      </c>
    </row>
    <row r="2654">
      <c r="A2654" s="6" t="s">
        <v>7674</v>
      </c>
      <c r="B2654" s="6" t="s">
        <v>7675</v>
      </c>
      <c r="C2654" s="6" t="s">
        <v>5973</v>
      </c>
      <c r="D2654" s="18">
        <v>1.0</v>
      </c>
      <c r="E2654" s="18">
        <v>10.0</v>
      </c>
      <c r="F2654" s="18">
        <v>10.0</v>
      </c>
    </row>
    <row r="2655">
      <c r="A2655" s="6" t="s">
        <v>7676</v>
      </c>
      <c r="B2655" s="6" t="s">
        <v>7678</v>
      </c>
      <c r="C2655" s="6" t="s">
        <v>1074</v>
      </c>
      <c r="D2655" s="18">
        <v>2.0</v>
      </c>
      <c r="E2655" s="18">
        <v>152.0</v>
      </c>
      <c r="F2655" s="18">
        <v>304.0</v>
      </c>
    </row>
    <row r="2656">
      <c r="A2656" s="6" t="s">
        <v>7680</v>
      </c>
      <c r="B2656" s="6" t="s">
        <v>7678</v>
      </c>
      <c r="C2656" s="6" t="s">
        <v>1081</v>
      </c>
      <c r="D2656" s="18">
        <v>5.0</v>
      </c>
      <c r="E2656" s="18">
        <v>48.0</v>
      </c>
      <c r="F2656" s="18">
        <v>240.0</v>
      </c>
    </row>
    <row r="2657">
      <c r="A2657" s="6" t="s">
        <v>7681</v>
      </c>
      <c r="B2657" s="6" t="s">
        <v>7678</v>
      </c>
      <c r="C2657" s="6" t="s">
        <v>1077</v>
      </c>
      <c r="D2657" s="18">
        <v>3.0</v>
      </c>
      <c r="E2657" s="18">
        <v>25.8</v>
      </c>
      <c r="F2657" s="18">
        <v>77.4</v>
      </c>
    </row>
    <row r="2658">
      <c r="A2658" s="6" t="s">
        <v>7682</v>
      </c>
      <c r="B2658" s="6" t="s">
        <v>7678</v>
      </c>
      <c r="C2658" s="6" t="s">
        <v>1083</v>
      </c>
      <c r="D2658" s="18">
        <v>4.0</v>
      </c>
      <c r="E2658" s="18">
        <v>18.0</v>
      </c>
      <c r="F2658" s="18">
        <v>72.0</v>
      </c>
    </row>
    <row r="2659">
      <c r="A2659" s="6" t="s">
        <v>7685</v>
      </c>
      <c r="B2659" s="6" t="s">
        <v>7678</v>
      </c>
      <c r="C2659" s="6" t="s">
        <v>1075</v>
      </c>
      <c r="D2659" s="18">
        <v>1.0</v>
      </c>
      <c r="E2659" s="18">
        <v>38.0</v>
      </c>
      <c r="F2659" s="18">
        <v>38.0</v>
      </c>
    </row>
    <row r="2660">
      <c r="A2660" s="6" t="s">
        <v>7686</v>
      </c>
      <c r="B2660" s="6" t="s">
        <v>7678</v>
      </c>
      <c r="C2660" s="6" t="s">
        <v>1079</v>
      </c>
      <c r="D2660" s="18">
        <v>1.0</v>
      </c>
      <c r="E2660" s="18">
        <v>260.2</v>
      </c>
      <c r="F2660" s="18">
        <v>260.2</v>
      </c>
    </row>
    <row r="2661">
      <c r="A2661" s="6" t="s">
        <v>7687</v>
      </c>
      <c r="B2661" s="6" t="s">
        <v>7688</v>
      </c>
      <c r="C2661" s="6" t="s">
        <v>1079</v>
      </c>
      <c r="D2661" s="18">
        <v>1.0</v>
      </c>
      <c r="E2661" s="18">
        <v>239.38</v>
      </c>
      <c r="F2661" s="18">
        <v>239.38</v>
      </c>
    </row>
    <row r="2662">
      <c r="A2662" s="6" t="s">
        <v>7689</v>
      </c>
      <c r="B2662" s="6" t="s">
        <v>7690</v>
      </c>
      <c r="C2662" s="6" t="s">
        <v>338</v>
      </c>
      <c r="D2662" s="18">
        <v>1.0</v>
      </c>
      <c r="E2662" s="18">
        <v>257.66</v>
      </c>
      <c r="F2662" s="18">
        <v>257.66</v>
      </c>
    </row>
    <row r="2663">
      <c r="A2663" s="6" t="s">
        <v>7691</v>
      </c>
      <c r="B2663" s="6" t="s">
        <v>7690</v>
      </c>
      <c r="C2663" s="6" t="s">
        <v>335</v>
      </c>
      <c r="D2663" s="18">
        <v>1.0</v>
      </c>
      <c r="E2663" s="18">
        <v>44.88</v>
      </c>
      <c r="F2663" s="18">
        <v>44.88</v>
      </c>
    </row>
    <row r="2664">
      <c r="A2664" s="6" t="s">
        <v>7692</v>
      </c>
      <c r="B2664" s="6" t="s">
        <v>7690</v>
      </c>
      <c r="C2664" s="6" t="s">
        <v>7086</v>
      </c>
      <c r="D2664" s="18">
        <v>2.0</v>
      </c>
      <c r="E2664" s="18">
        <v>30.84</v>
      </c>
      <c r="F2664" s="18">
        <v>61.68</v>
      </c>
    </row>
    <row r="2665">
      <c r="A2665" s="6" t="s">
        <v>7693</v>
      </c>
      <c r="B2665" s="6" t="s">
        <v>7690</v>
      </c>
      <c r="C2665" s="6" t="s">
        <v>1777</v>
      </c>
      <c r="D2665" s="18">
        <v>2.0</v>
      </c>
      <c r="E2665" s="18">
        <v>30.96</v>
      </c>
      <c r="F2665" s="18">
        <v>61.92</v>
      </c>
    </row>
    <row r="2666">
      <c r="A2666" s="6" t="s">
        <v>7694</v>
      </c>
      <c r="B2666" s="6" t="s">
        <v>7695</v>
      </c>
      <c r="C2666" s="6" t="s">
        <v>3833</v>
      </c>
      <c r="D2666" s="18">
        <v>1.0</v>
      </c>
      <c r="E2666" s="18">
        <v>3231.46</v>
      </c>
      <c r="F2666" s="18">
        <v>3231.46</v>
      </c>
    </row>
    <row r="2667">
      <c r="A2667" s="6" t="s">
        <v>7696</v>
      </c>
      <c r="B2667" s="6" t="s">
        <v>7697</v>
      </c>
      <c r="C2667" s="6" t="s">
        <v>1239</v>
      </c>
      <c r="D2667" s="18">
        <v>1.0</v>
      </c>
      <c r="E2667" s="18">
        <v>1729.01</v>
      </c>
      <c r="F2667" s="18">
        <v>1729.01</v>
      </c>
    </row>
    <row r="2668">
      <c r="A2668" s="6" t="s">
        <v>7698</v>
      </c>
      <c r="B2668" s="6" t="s">
        <v>7699</v>
      </c>
      <c r="C2668" s="6" t="s">
        <v>1239</v>
      </c>
      <c r="D2668" s="18">
        <v>1.0</v>
      </c>
      <c r="E2668" s="18">
        <v>2123.02</v>
      </c>
      <c r="F2668" s="18">
        <v>2123.02</v>
      </c>
    </row>
    <row r="2669">
      <c r="A2669" s="6" t="s">
        <v>7700</v>
      </c>
      <c r="B2669" s="6" t="s">
        <v>7701</v>
      </c>
      <c r="C2669" s="6" t="s">
        <v>1239</v>
      </c>
      <c r="D2669" s="18">
        <v>1.0</v>
      </c>
      <c r="E2669" s="18">
        <v>1431.94</v>
      </c>
      <c r="F2669" s="18">
        <v>1431.94</v>
      </c>
    </row>
    <row r="2670">
      <c r="A2670" s="6" t="s">
        <v>7702</v>
      </c>
      <c r="B2670" s="6" t="s">
        <v>7703</v>
      </c>
      <c r="C2670" s="6" t="s">
        <v>1239</v>
      </c>
      <c r="D2670" s="18">
        <v>1.0</v>
      </c>
      <c r="E2670" s="18">
        <v>2133.65</v>
      </c>
      <c r="F2670" s="18">
        <v>2133.65</v>
      </c>
    </row>
    <row r="2671">
      <c r="A2671" s="6" t="s">
        <v>7704</v>
      </c>
      <c r="B2671" s="6" t="s">
        <v>7705</v>
      </c>
      <c r="C2671" s="6" t="s">
        <v>1239</v>
      </c>
      <c r="D2671" s="18">
        <v>1.0</v>
      </c>
      <c r="E2671" s="18">
        <v>1960.67</v>
      </c>
      <c r="F2671" s="18">
        <v>1960.67</v>
      </c>
    </row>
    <row r="2672">
      <c r="A2672" s="6" t="s">
        <v>7706</v>
      </c>
      <c r="B2672" s="6" t="s">
        <v>7707</v>
      </c>
      <c r="C2672" s="6" t="s">
        <v>1168</v>
      </c>
      <c r="D2672" s="18">
        <v>1.0</v>
      </c>
      <c r="E2672" s="18">
        <v>500.0</v>
      </c>
      <c r="F2672" s="18">
        <v>500.0</v>
      </c>
    </row>
    <row r="2673">
      <c r="A2673" s="6" t="s">
        <v>7708</v>
      </c>
      <c r="B2673" s="6" t="s">
        <v>7709</v>
      </c>
      <c r="C2673" s="6" t="s">
        <v>3833</v>
      </c>
      <c r="D2673" s="18">
        <v>1.0</v>
      </c>
      <c r="E2673" s="18">
        <v>4799.0</v>
      </c>
      <c r="F2673" s="18">
        <v>4799.0</v>
      </c>
    </row>
    <row r="2674">
      <c r="A2674" s="6" t="s">
        <v>7710</v>
      </c>
      <c r="B2674" s="6" t="s">
        <v>7711</v>
      </c>
      <c r="C2674" s="6" t="s">
        <v>1787</v>
      </c>
      <c r="D2674" s="18">
        <v>1.0</v>
      </c>
      <c r="E2674" s="18">
        <v>55.0</v>
      </c>
      <c r="F2674" s="18">
        <v>55.0</v>
      </c>
    </row>
    <row r="2675">
      <c r="A2675" s="6" t="s">
        <v>7712</v>
      </c>
      <c r="B2675" s="6" t="s">
        <v>7713</v>
      </c>
      <c r="C2675" s="6" t="s">
        <v>159</v>
      </c>
      <c r="D2675" s="18">
        <v>1.0</v>
      </c>
      <c r="E2675" s="18">
        <v>159.8</v>
      </c>
      <c r="F2675" s="18">
        <v>159.8</v>
      </c>
    </row>
    <row r="2676">
      <c r="A2676" s="6" t="s">
        <v>7714</v>
      </c>
      <c r="B2676" s="6" t="s">
        <v>7713</v>
      </c>
      <c r="C2676" s="6" t="s">
        <v>155</v>
      </c>
      <c r="D2676" s="18">
        <v>1.0</v>
      </c>
      <c r="E2676" s="18">
        <v>60.59</v>
      </c>
      <c r="F2676" s="18">
        <v>60.59</v>
      </c>
    </row>
    <row r="2677">
      <c r="A2677" s="6" t="s">
        <v>7715</v>
      </c>
      <c r="B2677" s="6" t="s">
        <v>7713</v>
      </c>
      <c r="C2677" s="6" t="s">
        <v>230</v>
      </c>
      <c r="D2677" s="18">
        <v>1.0</v>
      </c>
      <c r="E2677" s="18">
        <v>113.19</v>
      </c>
      <c r="F2677" s="18">
        <v>113.19</v>
      </c>
    </row>
    <row r="2678">
      <c r="A2678" s="6" t="s">
        <v>7716</v>
      </c>
      <c r="B2678" s="6" t="s">
        <v>7713</v>
      </c>
      <c r="C2678" s="6" t="s">
        <v>152</v>
      </c>
      <c r="D2678" s="18">
        <v>1.0</v>
      </c>
      <c r="E2678" s="18">
        <v>7.5</v>
      </c>
      <c r="F2678" s="18">
        <v>7.5</v>
      </c>
    </row>
    <row r="2679">
      <c r="A2679" s="6" t="s">
        <v>7717</v>
      </c>
      <c r="B2679" s="6" t="s">
        <v>7713</v>
      </c>
      <c r="C2679" s="6" t="s">
        <v>226</v>
      </c>
      <c r="D2679" s="18">
        <v>1.0</v>
      </c>
      <c r="E2679" s="18">
        <v>63.0</v>
      </c>
      <c r="F2679" s="18">
        <v>63.0</v>
      </c>
    </row>
    <row r="2680">
      <c r="A2680" s="6" t="s">
        <v>7718</v>
      </c>
      <c r="B2680" s="6" t="s">
        <v>7719</v>
      </c>
      <c r="C2680" s="6" t="s">
        <v>305</v>
      </c>
      <c r="D2680" s="18">
        <v>1.0</v>
      </c>
      <c r="E2680" s="18">
        <v>208.5</v>
      </c>
      <c r="F2680" s="18">
        <v>208.5</v>
      </c>
    </row>
    <row r="2681">
      <c r="A2681" s="6" t="s">
        <v>7721</v>
      </c>
      <c r="B2681" s="6" t="s">
        <v>7722</v>
      </c>
      <c r="C2681" s="6" t="s">
        <v>5325</v>
      </c>
      <c r="D2681" s="18">
        <v>1.0</v>
      </c>
      <c r="E2681" s="18">
        <v>110.0</v>
      </c>
      <c r="F2681" s="18">
        <v>110.0</v>
      </c>
    </row>
    <row r="2682">
      <c r="A2682" s="6" t="s">
        <v>7723</v>
      </c>
      <c r="B2682" s="6" t="s">
        <v>7724</v>
      </c>
      <c r="C2682" s="6" t="s">
        <v>6322</v>
      </c>
      <c r="D2682" s="18">
        <v>1.0</v>
      </c>
      <c r="E2682" s="18">
        <v>12.98</v>
      </c>
      <c r="F2682" s="18">
        <v>12.98</v>
      </c>
    </row>
    <row r="2683">
      <c r="A2683" s="6" t="s">
        <v>7725</v>
      </c>
      <c r="B2683" s="6" t="s">
        <v>7726</v>
      </c>
      <c r="C2683" s="18">
        <v>1.2539885E7</v>
      </c>
      <c r="D2683" s="18">
        <v>1.0</v>
      </c>
      <c r="E2683" s="18">
        <v>500.0</v>
      </c>
      <c r="F2683" s="18">
        <v>500.0</v>
      </c>
    </row>
    <row r="2684">
      <c r="A2684" s="6" t="s">
        <v>7729</v>
      </c>
      <c r="B2684" s="6" t="s">
        <v>7731</v>
      </c>
      <c r="C2684" s="6" t="s">
        <v>1510</v>
      </c>
      <c r="D2684" s="18">
        <v>1.0</v>
      </c>
      <c r="E2684" s="18">
        <v>16753.67</v>
      </c>
      <c r="F2684" s="18">
        <v>16753.67</v>
      </c>
    </row>
    <row r="2685">
      <c r="A2685" s="6" t="s">
        <v>7732</v>
      </c>
      <c r="B2685" s="6" t="s">
        <v>7733</v>
      </c>
      <c r="C2685" s="6" t="s">
        <v>1510</v>
      </c>
      <c r="D2685" s="18">
        <v>1.0</v>
      </c>
      <c r="E2685" s="18">
        <v>392.88</v>
      </c>
      <c r="F2685" s="18">
        <v>392.88</v>
      </c>
    </row>
    <row r="2686">
      <c r="A2686" s="6" t="s">
        <v>7734</v>
      </c>
      <c r="B2686" s="6" t="s">
        <v>7735</v>
      </c>
      <c r="C2686" s="6" t="s">
        <v>159</v>
      </c>
      <c r="D2686" s="18">
        <v>1.0</v>
      </c>
      <c r="E2686" s="18">
        <v>120.0</v>
      </c>
      <c r="F2686" s="18">
        <v>120.0</v>
      </c>
    </row>
    <row r="2687">
      <c r="A2687" s="6" t="s">
        <v>7736</v>
      </c>
      <c r="B2687" s="6" t="s">
        <v>7735</v>
      </c>
      <c r="C2687" s="6" t="s">
        <v>155</v>
      </c>
      <c r="D2687" s="18">
        <v>1.0</v>
      </c>
      <c r="E2687" s="18">
        <v>65.0</v>
      </c>
      <c r="F2687" s="18">
        <v>65.0</v>
      </c>
    </row>
    <row r="2688">
      <c r="A2688" s="6" t="s">
        <v>7737</v>
      </c>
      <c r="B2688" s="6" t="s">
        <v>7735</v>
      </c>
      <c r="C2688" s="6" t="s">
        <v>230</v>
      </c>
      <c r="D2688" s="18">
        <v>1.0</v>
      </c>
      <c r="E2688" s="18">
        <v>158.6</v>
      </c>
      <c r="F2688" s="18">
        <v>158.6</v>
      </c>
    </row>
    <row r="2689">
      <c r="A2689" s="6" t="s">
        <v>7738</v>
      </c>
      <c r="B2689" s="6" t="s">
        <v>7735</v>
      </c>
      <c r="C2689" s="6" t="s">
        <v>152</v>
      </c>
      <c r="D2689" s="18">
        <v>1.0</v>
      </c>
      <c r="E2689" s="18">
        <v>11.17</v>
      </c>
      <c r="F2689" s="18">
        <v>11.17</v>
      </c>
    </row>
    <row r="2690">
      <c r="A2690" s="6" t="s">
        <v>7739</v>
      </c>
      <c r="B2690" s="6" t="s">
        <v>7735</v>
      </c>
      <c r="C2690" s="6" t="s">
        <v>226</v>
      </c>
      <c r="D2690" s="18">
        <v>1.0</v>
      </c>
      <c r="E2690" s="18">
        <v>63.0</v>
      </c>
      <c r="F2690" s="18">
        <v>63.0</v>
      </c>
    </row>
    <row r="2691">
      <c r="A2691" s="6" t="s">
        <v>7742</v>
      </c>
      <c r="B2691" s="6" t="s">
        <v>7743</v>
      </c>
      <c r="C2691" s="6" t="s">
        <v>1517</v>
      </c>
      <c r="D2691" s="18">
        <v>1.0</v>
      </c>
      <c r="E2691" s="18">
        <v>4648.56</v>
      </c>
      <c r="F2691" s="18">
        <v>4648.56</v>
      </c>
    </row>
    <row r="2692">
      <c r="A2692" s="6" t="s">
        <v>7745</v>
      </c>
      <c r="B2692" s="6" t="s">
        <v>7746</v>
      </c>
      <c r="C2692" s="6" t="s">
        <v>305</v>
      </c>
      <c r="D2692" s="18">
        <v>1.0</v>
      </c>
      <c r="E2692" s="18">
        <v>141.43</v>
      </c>
      <c r="F2692" s="18">
        <v>141.43</v>
      </c>
    </row>
    <row r="2693">
      <c r="A2693" s="6" t="s">
        <v>7747</v>
      </c>
      <c r="B2693" s="6" t="s">
        <v>7748</v>
      </c>
      <c r="C2693" s="6" t="s">
        <v>3218</v>
      </c>
      <c r="D2693" s="18">
        <v>1.0</v>
      </c>
      <c r="E2693" s="18">
        <v>185.0</v>
      </c>
      <c r="F2693" s="18">
        <v>185.0</v>
      </c>
    </row>
    <row r="2694">
      <c r="A2694" s="6" t="s">
        <v>7749</v>
      </c>
      <c r="B2694" s="6" t="s">
        <v>7750</v>
      </c>
      <c r="C2694" s="6" t="s">
        <v>4831</v>
      </c>
      <c r="D2694" s="18">
        <v>1.0</v>
      </c>
      <c r="E2694" s="18">
        <v>375.0</v>
      </c>
      <c r="F2694" s="18">
        <v>375.0</v>
      </c>
    </row>
    <row r="2695">
      <c r="A2695" s="6" t="s">
        <v>7751</v>
      </c>
      <c r="B2695" s="6" t="s">
        <v>7752</v>
      </c>
      <c r="C2695" s="6" t="s">
        <v>3833</v>
      </c>
      <c r="D2695" s="18">
        <v>1.0</v>
      </c>
      <c r="E2695" s="18">
        <v>3601.0</v>
      </c>
      <c r="F2695" s="18">
        <v>3601.0</v>
      </c>
    </row>
    <row r="2696">
      <c r="A2696" s="6" t="s">
        <v>7754</v>
      </c>
      <c r="B2696" s="6" t="s">
        <v>7755</v>
      </c>
      <c r="C2696" s="6" t="s">
        <v>3833</v>
      </c>
      <c r="D2696" s="18">
        <v>1.0</v>
      </c>
      <c r="E2696" s="18">
        <v>85.2</v>
      </c>
      <c r="F2696" s="18">
        <v>85.2</v>
      </c>
    </row>
    <row r="2697">
      <c r="A2697" s="6" t="s">
        <v>7757</v>
      </c>
      <c r="B2697" s="6" t="s">
        <v>7758</v>
      </c>
      <c r="C2697" s="6" t="s">
        <v>7759</v>
      </c>
      <c r="D2697" s="18">
        <v>1.0</v>
      </c>
      <c r="E2697" s="18">
        <v>500.0</v>
      </c>
      <c r="F2697" s="18">
        <v>500.0</v>
      </c>
    </row>
    <row r="2698">
      <c r="A2698" s="6" t="s">
        <v>7761</v>
      </c>
      <c r="B2698" s="6" t="s">
        <v>7762</v>
      </c>
      <c r="C2698" s="6" t="s">
        <v>1195</v>
      </c>
      <c r="D2698" s="18">
        <v>3.0</v>
      </c>
      <c r="E2698" s="18">
        <v>24.0</v>
      </c>
      <c r="F2698" s="18">
        <v>72.0</v>
      </c>
    </row>
    <row r="2699">
      <c r="A2699" s="6" t="s">
        <v>7763</v>
      </c>
      <c r="B2699" s="6" t="s">
        <v>7762</v>
      </c>
      <c r="C2699" s="6" t="s">
        <v>1197</v>
      </c>
      <c r="D2699" s="18">
        <v>3.0</v>
      </c>
      <c r="E2699" s="18">
        <v>22.0</v>
      </c>
      <c r="F2699" s="18">
        <v>66.0</v>
      </c>
    </row>
    <row r="2700">
      <c r="A2700" s="6" t="s">
        <v>7764</v>
      </c>
      <c r="B2700" s="6" t="s">
        <v>7762</v>
      </c>
      <c r="C2700" s="6" t="s">
        <v>266</v>
      </c>
      <c r="D2700" s="18">
        <v>2.0</v>
      </c>
      <c r="E2700" s="18">
        <v>20.0</v>
      </c>
      <c r="F2700" s="18">
        <v>40.0</v>
      </c>
    </row>
    <row r="2701">
      <c r="A2701" s="6" t="s">
        <v>7765</v>
      </c>
      <c r="B2701" s="6" t="s">
        <v>7762</v>
      </c>
      <c r="C2701" s="18">
        <v>7.9788768E7</v>
      </c>
      <c r="D2701" s="18">
        <v>5.0</v>
      </c>
      <c r="E2701" s="18">
        <v>5.5</v>
      </c>
      <c r="F2701" s="18">
        <v>27.5</v>
      </c>
    </row>
    <row r="2702">
      <c r="A2702" s="6" t="s">
        <v>7766</v>
      </c>
      <c r="B2702" s="6" t="s">
        <v>7762</v>
      </c>
      <c r="C2702" s="6" t="s">
        <v>1197</v>
      </c>
      <c r="D2702" s="18">
        <v>2.0</v>
      </c>
      <c r="E2702" s="18">
        <v>22.0</v>
      </c>
      <c r="F2702" s="18">
        <v>44.0</v>
      </c>
    </row>
    <row r="2703">
      <c r="A2703" s="6" t="s">
        <v>7768</v>
      </c>
      <c r="B2703" s="6" t="s">
        <v>7770</v>
      </c>
      <c r="C2703" s="6" t="s">
        <v>159</v>
      </c>
      <c r="D2703" s="18">
        <v>1.0</v>
      </c>
      <c r="E2703" s="18">
        <v>149.85</v>
      </c>
      <c r="F2703" s="18">
        <v>149.85</v>
      </c>
    </row>
    <row r="2704">
      <c r="A2704" s="6" t="s">
        <v>7771</v>
      </c>
      <c r="B2704" s="6" t="s">
        <v>7770</v>
      </c>
      <c r="C2704" s="6" t="s">
        <v>155</v>
      </c>
      <c r="D2704" s="18">
        <v>1.0</v>
      </c>
      <c r="E2704" s="18">
        <v>45.06</v>
      </c>
      <c r="F2704" s="18">
        <v>45.06</v>
      </c>
    </row>
    <row r="2705">
      <c r="A2705" s="6" t="s">
        <v>7772</v>
      </c>
      <c r="B2705" s="6" t="s">
        <v>7770</v>
      </c>
      <c r="C2705" s="6" t="s">
        <v>152</v>
      </c>
      <c r="D2705" s="18">
        <v>1.0</v>
      </c>
      <c r="E2705" s="18">
        <v>11.3</v>
      </c>
      <c r="F2705" s="18">
        <v>11.3</v>
      </c>
    </row>
    <row r="2706">
      <c r="A2706" s="6" t="s">
        <v>7774</v>
      </c>
      <c r="B2706" s="6" t="s">
        <v>7770</v>
      </c>
      <c r="C2706" s="6" t="s">
        <v>226</v>
      </c>
      <c r="D2706" s="18">
        <v>1.0</v>
      </c>
      <c r="E2706" s="18">
        <v>54.0</v>
      </c>
      <c r="F2706" s="18">
        <v>54.0</v>
      </c>
    </row>
    <row r="2707">
      <c r="A2707" s="6" t="s">
        <v>7776</v>
      </c>
      <c r="B2707" s="18">
        <v>8.4663663E7</v>
      </c>
      <c r="C2707" s="6" t="s">
        <v>854</v>
      </c>
      <c r="D2707" s="18">
        <v>1.0</v>
      </c>
      <c r="E2707" s="18">
        <v>15.0</v>
      </c>
      <c r="F2707" s="18">
        <v>15.0</v>
      </c>
    </row>
    <row r="2708">
      <c r="A2708" s="6" t="s">
        <v>7777</v>
      </c>
      <c r="B2708" s="6" t="s">
        <v>7778</v>
      </c>
      <c r="C2708" s="6" t="s">
        <v>7779</v>
      </c>
      <c r="D2708" s="18">
        <v>1.0</v>
      </c>
      <c r="E2708" s="18">
        <v>15.0</v>
      </c>
      <c r="F2708" s="18">
        <v>15.0</v>
      </c>
    </row>
    <row r="2709">
      <c r="A2709" s="6" t="s">
        <v>7780</v>
      </c>
      <c r="B2709" s="6" t="s">
        <v>7782</v>
      </c>
      <c r="C2709" s="6" t="s">
        <v>3833</v>
      </c>
      <c r="D2709" s="18">
        <v>1.0</v>
      </c>
      <c r="E2709" s="18">
        <v>1008.09</v>
      </c>
      <c r="F2709" s="18">
        <v>1008.09</v>
      </c>
    </row>
    <row r="2710">
      <c r="A2710" s="6" t="s">
        <v>7783</v>
      </c>
      <c r="B2710" s="6" t="s">
        <v>7784</v>
      </c>
      <c r="C2710" s="6" t="s">
        <v>6649</v>
      </c>
      <c r="D2710" s="18">
        <v>1.0</v>
      </c>
      <c r="E2710" s="18">
        <v>129.12</v>
      </c>
      <c r="F2710" s="18">
        <v>129.12</v>
      </c>
    </row>
    <row r="2711">
      <c r="A2711" s="6" t="s">
        <v>7787</v>
      </c>
      <c r="B2711" s="6" t="s">
        <v>7788</v>
      </c>
      <c r="C2711" s="6" t="s">
        <v>6649</v>
      </c>
      <c r="D2711" s="18">
        <v>1.0</v>
      </c>
      <c r="E2711" s="18">
        <v>129.12</v>
      </c>
      <c r="F2711" s="18">
        <v>129.12</v>
      </c>
    </row>
    <row r="2712">
      <c r="A2712" s="6" t="s">
        <v>7789</v>
      </c>
      <c r="B2712" s="6" t="s">
        <v>7790</v>
      </c>
      <c r="C2712" s="6" t="s">
        <v>305</v>
      </c>
      <c r="D2712" s="18">
        <v>1.0</v>
      </c>
      <c r="E2712" s="18">
        <v>93.35</v>
      </c>
      <c r="F2712" s="18">
        <v>93.35</v>
      </c>
    </row>
    <row r="2713">
      <c r="A2713" s="6" t="s">
        <v>7791</v>
      </c>
      <c r="B2713" s="6" t="s">
        <v>7792</v>
      </c>
      <c r="C2713" s="6" t="s">
        <v>155</v>
      </c>
      <c r="D2713" s="18">
        <v>1.0</v>
      </c>
      <c r="E2713" s="18">
        <v>29.58</v>
      </c>
      <c r="F2713" s="18">
        <v>29.58</v>
      </c>
    </row>
    <row r="2714">
      <c r="A2714" s="6" t="s">
        <v>7795</v>
      </c>
      <c r="B2714" s="6" t="s">
        <v>7792</v>
      </c>
      <c r="C2714" s="6" t="s">
        <v>152</v>
      </c>
      <c r="D2714" s="18">
        <v>1.0</v>
      </c>
      <c r="E2714" s="18">
        <v>13.02</v>
      </c>
      <c r="F2714" s="18">
        <v>13.02</v>
      </c>
    </row>
    <row r="2715">
      <c r="A2715" s="6" t="s">
        <v>7796</v>
      </c>
      <c r="B2715" s="6" t="s">
        <v>7792</v>
      </c>
      <c r="C2715" s="6" t="s">
        <v>230</v>
      </c>
      <c r="D2715" s="18">
        <v>1.0</v>
      </c>
      <c r="E2715" s="18">
        <v>80.6</v>
      </c>
      <c r="F2715" s="18">
        <v>80.6</v>
      </c>
    </row>
    <row r="2716">
      <c r="A2716" s="6" t="s">
        <v>7797</v>
      </c>
      <c r="B2716" s="6" t="s">
        <v>7798</v>
      </c>
      <c r="C2716" s="6" t="s">
        <v>1517</v>
      </c>
      <c r="D2716" s="18">
        <v>1.0</v>
      </c>
      <c r="E2716" s="18">
        <v>570.24</v>
      </c>
      <c r="F2716" s="18">
        <v>570.24</v>
      </c>
    </row>
    <row r="2717">
      <c r="A2717" s="6" t="s">
        <v>7800</v>
      </c>
      <c r="B2717" s="6" t="s">
        <v>7801</v>
      </c>
      <c r="C2717" s="6" t="s">
        <v>1725</v>
      </c>
      <c r="D2717" s="18">
        <v>1.0</v>
      </c>
      <c r="E2717" s="18">
        <v>3621.7</v>
      </c>
      <c r="F2717" s="18">
        <v>3621.7</v>
      </c>
    </row>
    <row r="2718">
      <c r="A2718" s="6" t="s">
        <v>7802</v>
      </c>
      <c r="B2718" s="6" t="s">
        <v>7803</v>
      </c>
      <c r="C2718" s="6" t="s">
        <v>1510</v>
      </c>
      <c r="D2718" s="18">
        <v>1.0</v>
      </c>
      <c r="E2718" s="18">
        <v>8088.79</v>
      </c>
      <c r="F2718" s="18">
        <v>8088.79</v>
      </c>
    </row>
    <row r="2719">
      <c r="A2719" s="6" t="s">
        <v>7804</v>
      </c>
      <c r="B2719" s="6" t="s">
        <v>7805</v>
      </c>
      <c r="C2719" s="6" t="s">
        <v>155</v>
      </c>
      <c r="D2719" s="18">
        <v>1.0</v>
      </c>
      <c r="E2719" s="18">
        <v>35.76</v>
      </c>
      <c r="F2719" s="18">
        <v>35.76</v>
      </c>
    </row>
    <row r="2720">
      <c r="A2720" s="6" t="s">
        <v>7806</v>
      </c>
      <c r="B2720" s="6" t="s">
        <v>7805</v>
      </c>
      <c r="C2720" s="6" t="s">
        <v>152</v>
      </c>
      <c r="D2720" s="18">
        <v>1.0</v>
      </c>
      <c r="E2720" s="18">
        <v>12.77</v>
      </c>
      <c r="F2720" s="18">
        <v>12.77</v>
      </c>
    </row>
    <row r="2721">
      <c r="A2721" s="6" t="s">
        <v>7807</v>
      </c>
      <c r="B2721" s="6" t="s">
        <v>7805</v>
      </c>
      <c r="C2721" s="6" t="s">
        <v>226</v>
      </c>
      <c r="D2721" s="18">
        <v>1.0</v>
      </c>
      <c r="E2721" s="18">
        <v>54.0</v>
      </c>
      <c r="F2721" s="18">
        <v>54.0</v>
      </c>
    </row>
    <row r="2722">
      <c r="A2722" s="6" t="s">
        <v>7808</v>
      </c>
      <c r="B2722" s="6" t="s">
        <v>7805</v>
      </c>
      <c r="C2722" s="6" t="s">
        <v>230</v>
      </c>
      <c r="D2722" s="18">
        <v>1.0</v>
      </c>
      <c r="E2722" s="18">
        <v>126.0</v>
      </c>
      <c r="F2722" s="18">
        <v>126.0</v>
      </c>
    </row>
    <row r="2723">
      <c r="A2723" s="6" t="s">
        <v>7809</v>
      </c>
      <c r="B2723" s="6" t="s">
        <v>7810</v>
      </c>
      <c r="C2723" s="6" t="s">
        <v>1725</v>
      </c>
      <c r="D2723" s="18">
        <v>1.0</v>
      </c>
      <c r="E2723" s="18">
        <v>335.47</v>
      </c>
      <c r="F2723" s="18">
        <v>335.47</v>
      </c>
    </row>
    <row r="2724">
      <c r="A2724" s="6" t="s">
        <v>7812</v>
      </c>
      <c r="B2724" s="6" t="s">
        <v>7813</v>
      </c>
      <c r="C2724" s="6" t="s">
        <v>1080</v>
      </c>
      <c r="D2724" s="18">
        <v>1.0</v>
      </c>
      <c r="E2724" s="18">
        <v>139.0</v>
      </c>
      <c r="F2724" s="18">
        <v>139.0</v>
      </c>
    </row>
    <row r="2725">
      <c r="A2725" s="6" t="s">
        <v>7814</v>
      </c>
      <c r="B2725" s="6" t="s">
        <v>7815</v>
      </c>
      <c r="C2725" s="6" t="s">
        <v>1074</v>
      </c>
      <c r="D2725" s="18">
        <v>4.0</v>
      </c>
      <c r="E2725" s="18">
        <v>40.0</v>
      </c>
      <c r="F2725" s="18">
        <v>160.0</v>
      </c>
    </row>
    <row r="2726">
      <c r="A2726" s="6" t="s">
        <v>7816</v>
      </c>
      <c r="B2726" s="6" t="s">
        <v>7815</v>
      </c>
      <c r="C2726" s="6" t="s">
        <v>1075</v>
      </c>
      <c r="D2726" s="18">
        <v>4.0</v>
      </c>
      <c r="E2726" s="18">
        <v>20.0</v>
      </c>
      <c r="F2726" s="18">
        <v>80.0</v>
      </c>
    </row>
    <row r="2727">
      <c r="A2727" s="6" t="s">
        <v>7818</v>
      </c>
      <c r="B2727" s="6" t="s">
        <v>7815</v>
      </c>
      <c r="C2727" s="6" t="s">
        <v>1079</v>
      </c>
      <c r="D2727" s="18">
        <v>10.0</v>
      </c>
      <c r="E2727" s="18">
        <v>18.0</v>
      </c>
      <c r="F2727" s="18">
        <v>180.0</v>
      </c>
    </row>
    <row r="2728">
      <c r="A2728" s="6" t="s">
        <v>7820</v>
      </c>
      <c r="B2728" s="6" t="s">
        <v>7821</v>
      </c>
      <c r="C2728" s="6" t="s">
        <v>1073</v>
      </c>
      <c r="D2728" s="18">
        <v>1.0</v>
      </c>
      <c r="E2728" s="18">
        <v>21.0</v>
      </c>
      <c r="F2728" s="18">
        <v>21.0</v>
      </c>
    </row>
    <row r="2729">
      <c r="A2729" s="6" t="s">
        <v>7822</v>
      </c>
      <c r="B2729" s="6" t="s">
        <v>7821</v>
      </c>
      <c r="C2729" s="6" t="s">
        <v>1074</v>
      </c>
      <c r="D2729" s="18">
        <v>4.0</v>
      </c>
      <c r="E2729" s="18">
        <v>40.0</v>
      </c>
      <c r="F2729" s="18">
        <v>160.0</v>
      </c>
    </row>
    <row r="2730">
      <c r="A2730" s="6" t="s">
        <v>7823</v>
      </c>
      <c r="B2730" s="6" t="s">
        <v>7821</v>
      </c>
      <c r="C2730" s="6" t="s">
        <v>1075</v>
      </c>
      <c r="D2730" s="18">
        <v>4.0</v>
      </c>
      <c r="E2730" s="18">
        <v>20.0</v>
      </c>
      <c r="F2730" s="18">
        <v>80.0</v>
      </c>
    </row>
    <row r="2731">
      <c r="A2731" s="6" t="s">
        <v>7825</v>
      </c>
      <c r="B2731" s="6" t="s">
        <v>7821</v>
      </c>
      <c r="C2731" s="6" t="s">
        <v>1077</v>
      </c>
      <c r="D2731" s="18">
        <v>4.0</v>
      </c>
      <c r="E2731" s="18">
        <v>24.0</v>
      </c>
      <c r="F2731" s="18">
        <v>96.0</v>
      </c>
    </row>
    <row r="2732">
      <c r="A2732" s="6" t="s">
        <v>7826</v>
      </c>
      <c r="B2732" s="6" t="s">
        <v>7821</v>
      </c>
      <c r="C2732" s="6" t="s">
        <v>1079</v>
      </c>
      <c r="D2732" s="18">
        <v>10.0</v>
      </c>
      <c r="E2732" s="18">
        <v>18.0</v>
      </c>
      <c r="F2732" s="18">
        <v>180.0</v>
      </c>
    </row>
    <row r="2733">
      <c r="A2733" s="6" t="s">
        <v>7827</v>
      </c>
      <c r="B2733" s="6" t="s">
        <v>7821</v>
      </c>
      <c r="C2733" s="18">
        <v>7.5375964E7</v>
      </c>
      <c r="D2733" s="18">
        <v>2.0</v>
      </c>
      <c r="E2733" s="18">
        <v>40.2</v>
      </c>
      <c r="F2733" s="18">
        <v>80.4</v>
      </c>
    </row>
    <row r="2734">
      <c r="A2734" s="6" t="s">
        <v>7830</v>
      </c>
      <c r="B2734" s="6" t="s">
        <v>7821</v>
      </c>
      <c r="C2734" s="6" t="s">
        <v>1091</v>
      </c>
      <c r="D2734" s="18">
        <v>1.0</v>
      </c>
      <c r="E2734" s="18">
        <v>36.0</v>
      </c>
      <c r="F2734" s="18">
        <v>36.0</v>
      </c>
    </row>
    <row r="2735">
      <c r="A2735" s="6" t="s">
        <v>7831</v>
      </c>
      <c r="B2735" s="6" t="s">
        <v>7832</v>
      </c>
      <c r="C2735" s="6" t="s">
        <v>1239</v>
      </c>
      <c r="D2735" s="18">
        <v>1.0</v>
      </c>
      <c r="E2735" s="18">
        <v>2688.14</v>
      </c>
      <c r="F2735" s="18">
        <v>2688.14</v>
      </c>
    </row>
    <row r="2736">
      <c r="A2736" s="6" t="s">
        <v>7833</v>
      </c>
      <c r="B2736" s="6" t="s">
        <v>7834</v>
      </c>
      <c r="C2736" s="6" t="s">
        <v>3833</v>
      </c>
      <c r="D2736" s="18">
        <v>1.0</v>
      </c>
      <c r="E2736" s="18">
        <v>28.0</v>
      </c>
      <c r="F2736" s="18">
        <v>28.0</v>
      </c>
    </row>
    <row r="2737">
      <c r="A2737" s="6" t="s">
        <v>7836</v>
      </c>
      <c r="B2737" s="6" t="s">
        <v>7837</v>
      </c>
      <c r="C2737" s="6" t="s">
        <v>3833</v>
      </c>
      <c r="D2737" s="18">
        <v>1.0</v>
      </c>
      <c r="E2737" s="18">
        <v>28.0</v>
      </c>
      <c r="F2737" s="18">
        <v>28.0</v>
      </c>
    </row>
    <row r="2738">
      <c r="A2738" s="6" t="s">
        <v>7838</v>
      </c>
      <c r="B2738" s="6" t="s">
        <v>7839</v>
      </c>
      <c r="C2738" s="6" t="s">
        <v>3833</v>
      </c>
      <c r="D2738" s="18">
        <v>1.0</v>
      </c>
      <c r="E2738" s="18">
        <v>36.91</v>
      </c>
      <c r="F2738" s="18">
        <v>36.91</v>
      </c>
    </row>
    <row r="2739">
      <c r="A2739" s="6" t="s">
        <v>7840</v>
      </c>
      <c r="B2739" s="6" t="s">
        <v>7841</v>
      </c>
      <c r="C2739" s="6" t="s">
        <v>3833</v>
      </c>
      <c r="D2739" s="18">
        <v>1.0</v>
      </c>
      <c r="E2739" s="18">
        <v>8.0</v>
      </c>
      <c r="F2739" s="18">
        <v>8.0</v>
      </c>
    </row>
    <row r="2740">
      <c r="A2740" s="6" t="s">
        <v>7842</v>
      </c>
      <c r="B2740" s="6" t="s">
        <v>7843</v>
      </c>
      <c r="C2740" s="6" t="s">
        <v>3833</v>
      </c>
      <c r="D2740" s="18">
        <v>1.0</v>
      </c>
      <c r="E2740" s="18">
        <v>123.66</v>
      </c>
      <c r="F2740" s="18">
        <v>123.66</v>
      </c>
    </row>
    <row r="2741">
      <c r="A2741" s="6" t="s">
        <v>7844</v>
      </c>
      <c r="B2741" s="6" t="s">
        <v>7845</v>
      </c>
      <c r="C2741" s="6" t="s">
        <v>3833</v>
      </c>
      <c r="D2741" s="18">
        <v>1.0</v>
      </c>
      <c r="E2741" s="18">
        <v>1742.8</v>
      </c>
      <c r="F2741" s="18">
        <v>1742.8</v>
      </c>
    </row>
    <row r="2742">
      <c r="A2742" s="6" t="s">
        <v>7846</v>
      </c>
      <c r="B2742" s="6" t="s">
        <v>7847</v>
      </c>
      <c r="C2742" s="6" t="s">
        <v>5325</v>
      </c>
      <c r="D2742" s="18">
        <v>1.0</v>
      </c>
      <c r="E2742" s="18">
        <v>110.0</v>
      </c>
      <c r="F2742" s="18">
        <v>110.0</v>
      </c>
    </row>
    <row r="2743">
      <c r="A2743" s="6" t="s">
        <v>7850</v>
      </c>
      <c r="B2743" s="6" t="s">
        <v>7851</v>
      </c>
      <c r="C2743" s="18">
        <v>1.2539885E7</v>
      </c>
      <c r="D2743" s="18">
        <v>1.0</v>
      </c>
      <c r="E2743" s="18">
        <v>200.0</v>
      </c>
      <c r="F2743" s="18">
        <v>200.0</v>
      </c>
    </row>
    <row r="2744">
      <c r="A2744" s="6" t="s">
        <v>7854</v>
      </c>
      <c r="B2744" s="6" t="s">
        <v>7855</v>
      </c>
      <c r="C2744" s="6" t="s">
        <v>159</v>
      </c>
      <c r="D2744" s="18">
        <v>1.0</v>
      </c>
      <c r="E2744" s="18">
        <v>149.85</v>
      </c>
      <c r="F2744" s="18">
        <v>149.85</v>
      </c>
    </row>
    <row r="2745">
      <c r="A2745" s="6" t="s">
        <v>7858</v>
      </c>
      <c r="B2745" s="6" t="s">
        <v>7855</v>
      </c>
      <c r="C2745" s="6" t="s">
        <v>155</v>
      </c>
      <c r="D2745" s="18">
        <v>1.0</v>
      </c>
      <c r="E2745" s="18">
        <v>53.95</v>
      </c>
      <c r="F2745" s="18">
        <v>53.95</v>
      </c>
    </row>
    <row r="2746">
      <c r="A2746" s="6" t="s">
        <v>7861</v>
      </c>
      <c r="B2746" s="6" t="s">
        <v>7855</v>
      </c>
      <c r="C2746" s="6" t="s">
        <v>230</v>
      </c>
      <c r="D2746" s="18">
        <v>1.0</v>
      </c>
      <c r="E2746" s="18">
        <v>168.21</v>
      </c>
      <c r="F2746" s="18">
        <v>168.21</v>
      </c>
    </row>
    <row r="2747">
      <c r="A2747" s="6" t="s">
        <v>7863</v>
      </c>
      <c r="B2747" s="6" t="s">
        <v>7855</v>
      </c>
      <c r="C2747" s="6" t="s">
        <v>152</v>
      </c>
      <c r="D2747" s="18">
        <v>1.0</v>
      </c>
      <c r="E2747" s="18">
        <v>8.4</v>
      </c>
      <c r="F2747" s="18">
        <v>8.4</v>
      </c>
    </row>
    <row r="2748">
      <c r="A2748" s="6" t="s">
        <v>7866</v>
      </c>
      <c r="B2748" s="6" t="s">
        <v>7855</v>
      </c>
      <c r="C2748" s="6" t="s">
        <v>226</v>
      </c>
      <c r="D2748" s="18">
        <v>1.0</v>
      </c>
      <c r="E2748" s="18">
        <v>63.0</v>
      </c>
      <c r="F2748" s="18">
        <v>63.0</v>
      </c>
    </row>
    <row r="2749">
      <c r="A2749" s="6" t="s">
        <v>7867</v>
      </c>
      <c r="B2749" s="6" t="s">
        <v>7868</v>
      </c>
      <c r="C2749" s="6" t="s">
        <v>305</v>
      </c>
      <c r="D2749" s="18">
        <v>1.0</v>
      </c>
      <c r="E2749" s="18">
        <v>135.83</v>
      </c>
      <c r="F2749" s="18">
        <v>135.83</v>
      </c>
    </row>
    <row r="2750">
      <c r="A2750" s="6" t="s">
        <v>7871</v>
      </c>
      <c r="B2750" s="6" t="s">
        <v>7872</v>
      </c>
      <c r="C2750" s="18">
        <v>1.2539885E7</v>
      </c>
      <c r="D2750" s="18">
        <v>1.0</v>
      </c>
      <c r="E2750" s="18">
        <v>400.0</v>
      </c>
      <c r="F2750" s="18">
        <v>400.0</v>
      </c>
    </row>
    <row r="2751">
      <c r="A2751" s="6" t="s">
        <v>7873</v>
      </c>
      <c r="B2751" s="6" t="s">
        <v>7874</v>
      </c>
      <c r="C2751" s="6" t="s">
        <v>4937</v>
      </c>
      <c r="D2751" s="18">
        <v>1.0</v>
      </c>
      <c r="E2751" s="18">
        <v>20.0</v>
      </c>
      <c r="F2751" s="18">
        <v>20.0</v>
      </c>
    </row>
    <row r="2752">
      <c r="A2752" s="6" t="s">
        <v>7877</v>
      </c>
      <c r="B2752" s="6" t="s">
        <v>7878</v>
      </c>
      <c r="C2752" s="6" t="s">
        <v>7879</v>
      </c>
      <c r="D2752" s="18">
        <v>1.0</v>
      </c>
      <c r="E2752" s="18">
        <v>2728.6</v>
      </c>
      <c r="F2752" s="18">
        <v>2728.6</v>
      </c>
    </row>
    <row r="2753">
      <c r="A2753" s="6" t="s">
        <v>7880</v>
      </c>
      <c r="B2753" s="6" t="s">
        <v>7881</v>
      </c>
      <c r="C2753" s="6" t="s">
        <v>1126</v>
      </c>
      <c r="D2753" s="18">
        <v>1.0</v>
      </c>
      <c r="E2753" s="18">
        <v>40.0</v>
      </c>
      <c r="F2753" s="18">
        <v>40.0</v>
      </c>
    </row>
    <row r="2754">
      <c r="A2754" s="6" t="s">
        <v>7884</v>
      </c>
      <c r="B2754" s="6" t="s">
        <v>7886</v>
      </c>
      <c r="C2754" s="6" t="s">
        <v>5636</v>
      </c>
      <c r="D2754" s="18">
        <v>1.0</v>
      </c>
      <c r="E2754" s="18">
        <v>200.0</v>
      </c>
      <c r="F2754" s="18">
        <v>200.0</v>
      </c>
    </row>
    <row r="2755">
      <c r="A2755" s="6" t="s">
        <v>7888</v>
      </c>
      <c r="B2755" s="6" t="s">
        <v>7889</v>
      </c>
      <c r="C2755" s="6" t="s">
        <v>5640</v>
      </c>
      <c r="D2755" s="18">
        <v>1.0</v>
      </c>
      <c r="E2755" s="18">
        <v>22.0</v>
      </c>
      <c r="F2755" s="18">
        <v>22.0</v>
      </c>
    </row>
    <row r="2756">
      <c r="A2756" s="6" t="s">
        <v>7891</v>
      </c>
      <c r="B2756" s="6" t="s">
        <v>7893</v>
      </c>
      <c r="C2756" s="6" t="s">
        <v>5973</v>
      </c>
      <c r="D2756" s="18">
        <v>1.0</v>
      </c>
      <c r="E2756" s="18">
        <v>10.0</v>
      </c>
      <c r="F2756" s="18">
        <v>10.0</v>
      </c>
    </row>
    <row r="2757">
      <c r="A2757" s="6" t="s">
        <v>7896</v>
      </c>
      <c r="B2757" s="6" t="s">
        <v>7897</v>
      </c>
      <c r="C2757" s="6" t="s">
        <v>1668</v>
      </c>
      <c r="D2757" s="18">
        <v>1.0</v>
      </c>
      <c r="E2757" s="18">
        <v>124.16</v>
      </c>
      <c r="F2757" s="18">
        <v>124.16</v>
      </c>
    </row>
    <row r="2758">
      <c r="A2758" s="6" t="s">
        <v>7898</v>
      </c>
      <c r="B2758" s="6" t="s">
        <v>7899</v>
      </c>
      <c r="C2758" s="6" t="s">
        <v>1536</v>
      </c>
      <c r="D2758" s="18">
        <v>1.0</v>
      </c>
      <c r="E2758" s="18">
        <v>70.0</v>
      </c>
      <c r="F2758" s="18">
        <v>70.0</v>
      </c>
    </row>
    <row r="2759">
      <c r="A2759" s="6" t="s">
        <v>7902</v>
      </c>
      <c r="B2759" s="6" t="s">
        <v>7903</v>
      </c>
      <c r="C2759" s="6" t="s">
        <v>1168</v>
      </c>
      <c r="D2759" s="18">
        <v>1.0</v>
      </c>
      <c r="E2759" s="18">
        <v>500.0</v>
      </c>
      <c r="F2759" s="18">
        <v>500.0</v>
      </c>
    </row>
    <row r="2760">
      <c r="A2760" s="6" t="s">
        <v>7904</v>
      </c>
      <c r="B2760" s="6" t="s">
        <v>7905</v>
      </c>
      <c r="C2760" s="6" t="s">
        <v>1168</v>
      </c>
      <c r="D2760" s="18">
        <v>1.0</v>
      </c>
      <c r="E2760" s="18">
        <v>500.0</v>
      </c>
      <c r="F2760" s="18">
        <v>500.0</v>
      </c>
    </row>
    <row r="2761">
      <c r="A2761" s="6" t="s">
        <v>7906</v>
      </c>
      <c r="B2761" s="6" t="s">
        <v>7907</v>
      </c>
      <c r="C2761" s="6" t="s">
        <v>1777</v>
      </c>
      <c r="D2761" s="18">
        <v>2.0</v>
      </c>
      <c r="E2761" s="18">
        <v>30.96</v>
      </c>
      <c r="F2761" s="18">
        <v>61.92</v>
      </c>
    </row>
    <row r="2762">
      <c r="A2762" s="6" t="s">
        <v>7908</v>
      </c>
      <c r="B2762" s="6" t="s">
        <v>7907</v>
      </c>
      <c r="C2762" s="6" t="s">
        <v>7086</v>
      </c>
      <c r="D2762" s="18">
        <v>2.0</v>
      </c>
      <c r="E2762" s="18">
        <v>30.84</v>
      </c>
      <c r="F2762" s="18">
        <v>61.68</v>
      </c>
    </row>
    <row r="2763">
      <c r="A2763" s="6" t="s">
        <v>7909</v>
      </c>
      <c r="B2763" s="6" t="s">
        <v>7910</v>
      </c>
      <c r="C2763" s="6" t="s">
        <v>1074</v>
      </c>
      <c r="D2763" s="18">
        <v>4.0</v>
      </c>
      <c r="E2763" s="18">
        <v>40.0</v>
      </c>
      <c r="F2763" s="18">
        <v>160.0</v>
      </c>
    </row>
    <row r="2764">
      <c r="A2764" s="6" t="s">
        <v>7911</v>
      </c>
      <c r="B2764" s="6" t="s">
        <v>7910</v>
      </c>
      <c r="C2764" s="6" t="s">
        <v>1075</v>
      </c>
      <c r="D2764" s="18">
        <v>4.0</v>
      </c>
      <c r="E2764" s="18">
        <v>20.0</v>
      </c>
      <c r="F2764" s="18">
        <v>80.0</v>
      </c>
    </row>
    <row r="2765">
      <c r="A2765" s="6" t="s">
        <v>7912</v>
      </c>
      <c r="B2765" s="6" t="s">
        <v>7910</v>
      </c>
      <c r="C2765" s="6" t="s">
        <v>1077</v>
      </c>
      <c r="D2765" s="18">
        <v>2.0</v>
      </c>
      <c r="E2765" s="18">
        <v>24.0</v>
      </c>
      <c r="F2765" s="18">
        <v>48.0</v>
      </c>
    </row>
    <row r="2766">
      <c r="A2766" s="6" t="s">
        <v>7913</v>
      </c>
      <c r="B2766" s="6" t="s">
        <v>7910</v>
      </c>
      <c r="C2766" s="6" t="s">
        <v>1079</v>
      </c>
      <c r="D2766" s="18">
        <v>10.0</v>
      </c>
      <c r="E2766" s="18">
        <v>18.0</v>
      </c>
      <c r="F2766" s="18">
        <v>180.0</v>
      </c>
    </row>
    <row r="2767">
      <c r="A2767" s="6" t="s">
        <v>7914</v>
      </c>
      <c r="B2767" s="6" t="s">
        <v>7910</v>
      </c>
      <c r="C2767" s="6" t="s">
        <v>1081</v>
      </c>
      <c r="D2767" s="18">
        <v>3.0</v>
      </c>
      <c r="E2767" s="18">
        <v>50.0</v>
      </c>
      <c r="F2767" s="18">
        <v>150.0</v>
      </c>
    </row>
    <row r="2768">
      <c r="A2768" s="6" t="s">
        <v>7915</v>
      </c>
      <c r="B2768" s="6" t="s">
        <v>7910</v>
      </c>
      <c r="C2768" s="6" t="s">
        <v>1074</v>
      </c>
      <c r="D2768" s="18">
        <v>1.0</v>
      </c>
      <c r="E2768" s="18">
        <v>80.0</v>
      </c>
      <c r="F2768" s="18">
        <v>80.0</v>
      </c>
    </row>
    <row r="2769">
      <c r="A2769" s="6" t="s">
        <v>7916</v>
      </c>
      <c r="B2769" s="6" t="s">
        <v>7917</v>
      </c>
      <c r="C2769" s="18">
        <v>2.3273172E7</v>
      </c>
      <c r="D2769" s="18">
        <v>1.0</v>
      </c>
      <c r="E2769" s="18">
        <v>350.0</v>
      </c>
      <c r="F2769" s="18">
        <v>350.0</v>
      </c>
    </row>
    <row r="2770">
      <c r="A2770" s="6" t="s">
        <v>7919</v>
      </c>
      <c r="B2770" s="6" t="s">
        <v>7921</v>
      </c>
      <c r="C2770" s="6" t="s">
        <v>1168</v>
      </c>
      <c r="D2770" s="18">
        <v>1.0</v>
      </c>
      <c r="E2770" s="18">
        <v>300.0</v>
      </c>
      <c r="F2770" s="18">
        <v>300.0</v>
      </c>
    </row>
    <row r="2771">
      <c r="A2771" s="6" t="s">
        <v>7922</v>
      </c>
      <c r="B2771" s="6" t="s">
        <v>7923</v>
      </c>
      <c r="C2771" s="6" t="s">
        <v>1168</v>
      </c>
      <c r="D2771" s="18">
        <v>1.0</v>
      </c>
      <c r="E2771" s="18">
        <v>500.0</v>
      </c>
      <c r="F2771" s="18">
        <v>500.0</v>
      </c>
    </row>
    <row r="2772">
      <c r="A2772" s="6" t="s">
        <v>7924</v>
      </c>
      <c r="B2772" s="6" t="s">
        <v>7925</v>
      </c>
      <c r="C2772" s="18">
        <v>1.2539885E7</v>
      </c>
      <c r="D2772" s="18">
        <v>1.0</v>
      </c>
      <c r="E2772" s="18">
        <v>175.0</v>
      </c>
      <c r="F2772" s="18">
        <v>175.0</v>
      </c>
    </row>
    <row r="2773">
      <c r="A2773" s="6" t="s">
        <v>7928</v>
      </c>
      <c r="B2773" s="6" t="s">
        <v>7929</v>
      </c>
      <c r="C2773" s="6" t="s">
        <v>159</v>
      </c>
      <c r="D2773" s="18">
        <v>1.0</v>
      </c>
      <c r="E2773" s="18">
        <v>89.9</v>
      </c>
      <c r="F2773" s="18">
        <v>89.9</v>
      </c>
    </row>
    <row r="2774">
      <c r="A2774" s="6" t="s">
        <v>7930</v>
      </c>
      <c r="B2774" s="6" t="s">
        <v>7929</v>
      </c>
      <c r="C2774" s="6" t="s">
        <v>152</v>
      </c>
      <c r="D2774" s="18">
        <v>1.0</v>
      </c>
      <c r="E2774" s="18">
        <v>8.44</v>
      </c>
      <c r="F2774" s="18">
        <v>8.44</v>
      </c>
    </row>
    <row r="2775">
      <c r="A2775" s="6" t="s">
        <v>7931</v>
      </c>
      <c r="B2775" s="6" t="s">
        <v>7929</v>
      </c>
      <c r="C2775" s="6" t="s">
        <v>226</v>
      </c>
      <c r="D2775" s="18">
        <v>1.0</v>
      </c>
      <c r="E2775" s="18">
        <v>40.0</v>
      </c>
      <c r="F2775" s="18">
        <v>40.0</v>
      </c>
    </row>
    <row r="2776">
      <c r="A2776" s="6" t="s">
        <v>7932</v>
      </c>
      <c r="B2776" s="6" t="s">
        <v>7933</v>
      </c>
      <c r="C2776" s="18">
        <v>1.2539885E7</v>
      </c>
      <c r="D2776" s="18">
        <v>1.0</v>
      </c>
      <c r="E2776" s="18">
        <v>490.0</v>
      </c>
      <c r="F2776" s="18">
        <v>490.0</v>
      </c>
    </row>
    <row r="2777">
      <c r="A2777" s="6" t="s">
        <v>7934</v>
      </c>
      <c r="B2777" s="6" t="s">
        <v>7935</v>
      </c>
      <c r="C2777" s="6" t="s">
        <v>1239</v>
      </c>
      <c r="D2777" s="18">
        <v>1.0</v>
      </c>
      <c r="E2777" s="18">
        <v>2081.77</v>
      </c>
      <c r="F2777" s="18">
        <v>2081.77</v>
      </c>
    </row>
    <row r="2778">
      <c r="A2778" s="6" t="s">
        <v>7937</v>
      </c>
      <c r="B2778" s="6" t="s">
        <v>7938</v>
      </c>
      <c r="C2778" s="6" t="s">
        <v>1239</v>
      </c>
      <c r="D2778" s="18">
        <v>1.0</v>
      </c>
      <c r="E2778" s="18">
        <v>1804.88</v>
      </c>
      <c r="F2778" s="18">
        <v>1804.88</v>
      </c>
    </row>
    <row r="2779">
      <c r="A2779" s="6" t="s">
        <v>7939</v>
      </c>
      <c r="B2779" s="6" t="s">
        <v>7940</v>
      </c>
      <c r="C2779" s="6" t="s">
        <v>1239</v>
      </c>
      <c r="D2779" s="18">
        <v>1.0</v>
      </c>
      <c r="E2779" s="18">
        <v>2285.14</v>
      </c>
      <c r="F2779" s="18">
        <v>2285.14</v>
      </c>
    </row>
    <row r="2780">
      <c r="A2780" s="6" t="s">
        <v>7941</v>
      </c>
      <c r="B2780" s="6" t="s">
        <v>7942</v>
      </c>
      <c r="C2780" s="6" t="s">
        <v>1239</v>
      </c>
      <c r="D2780" s="18">
        <v>1.0</v>
      </c>
      <c r="E2780" s="18">
        <v>1625.25</v>
      </c>
      <c r="F2780" s="18">
        <v>1625.25</v>
      </c>
    </row>
    <row r="2781">
      <c r="A2781" s="6" t="s">
        <v>7943</v>
      </c>
      <c r="B2781" s="6" t="s">
        <v>7944</v>
      </c>
      <c r="C2781" s="6" t="s">
        <v>1239</v>
      </c>
      <c r="D2781" s="18">
        <v>1.0</v>
      </c>
      <c r="E2781" s="18">
        <v>1460.67</v>
      </c>
      <c r="F2781" s="18">
        <v>1460.67</v>
      </c>
    </row>
    <row r="2782">
      <c r="A2782" s="6" t="s">
        <v>7945</v>
      </c>
      <c r="B2782" s="6" t="s">
        <v>7946</v>
      </c>
      <c r="C2782" s="6" t="s">
        <v>1510</v>
      </c>
      <c r="D2782" s="18">
        <v>1.0</v>
      </c>
      <c r="E2782" s="18">
        <v>387.35</v>
      </c>
      <c r="F2782" s="18">
        <v>387.35</v>
      </c>
    </row>
    <row r="2783">
      <c r="A2783" s="6" t="s">
        <v>7947</v>
      </c>
      <c r="B2783" s="6" t="s">
        <v>7948</v>
      </c>
      <c r="C2783" s="6" t="s">
        <v>1510</v>
      </c>
      <c r="D2783" s="18">
        <v>1.0</v>
      </c>
      <c r="E2783" s="18">
        <v>19950.5</v>
      </c>
      <c r="F2783" s="18">
        <v>19950.5</v>
      </c>
    </row>
    <row r="2784">
      <c r="A2784" s="6" t="s">
        <v>7949</v>
      </c>
      <c r="B2784" s="6" t="s">
        <v>7950</v>
      </c>
      <c r="C2784" s="6" t="s">
        <v>159</v>
      </c>
      <c r="D2784" s="18">
        <v>1.0</v>
      </c>
      <c r="E2784" s="18">
        <v>157.5</v>
      </c>
      <c r="F2784" s="18">
        <v>157.5</v>
      </c>
    </row>
    <row r="2785">
      <c r="A2785" s="6" t="s">
        <v>7954</v>
      </c>
      <c r="B2785" s="6" t="s">
        <v>7950</v>
      </c>
      <c r="C2785" s="6" t="s">
        <v>155</v>
      </c>
      <c r="D2785" s="18">
        <v>1.0</v>
      </c>
      <c r="E2785" s="18">
        <v>97.5</v>
      </c>
      <c r="F2785" s="18">
        <v>97.5</v>
      </c>
    </row>
    <row r="2786">
      <c r="A2786" s="6" t="s">
        <v>7955</v>
      </c>
      <c r="B2786" s="6" t="s">
        <v>7950</v>
      </c>
      <c r="C2786" s="6" t="s">
        <v>152</v>
      </c>
      <c r="D2786" s="18">
        <v>1.0</v>
      </c>
      <c r="E2786" s="18">
        <v>13.2</v>
      </c>
      <c r="F2786" s="18">
        <v>13.2</v>
      </c>
    </row>
    <row r="2787">
      <c r="A2787" s="6" t="s">
        <v>7957</v>
      </c>
      <c r="B2787" s="6" t="s">
        <v>7950</v>
      </c>
      <c r="C2787" s="6" t="s">
        <v>226</v>
      </c>
      <c r="D2787" s="18">
        <v>1.0</v>
      </c>
      <c r="E2787" s="18">
        <v>60.0</v>
      </c>
      <c r="F2787" s="18">
        <v>60.0</v>
      </c>
    </row>
    <row r="2788">
      <c r="A2788" s="6" t="s">
        <v>7959</v>
      </c>
      <c r="B2788" s="6" t="s">
        <v>7961</v>
      </c>
      <c r="C2788" s="18">
        <v>7.5375964E7</v>
      </c>
      <c r="D2788" s="18">
        <v>1.0</v>
      </c>
      <c r="E2788" s="18">
        <v>19.0</v>
      </c>
      <c r="F2788" s="18">
        <v>19.0</v>
      </c>
    </row>
    <row r="2789">
      <c r="A2789" s="6" t="s">
        <v>7963</v>
      </c>
      <c r="B2789" s="6" t="s">
        <v>7961</v>
      </c>
      <c r="C2789" s="6" t="s">
        <v>1074</v>
      </c>
      <c r="D2789" s="18">
        <v>4.0</v>
      </c>
      <c r="E2789" s="18">
        <v>40.0</v>
      </c>
      <c r="F2789" s="18">
        <v>160.0</v>
      </c>
    </row>
    <row r="2790">
      <c r="A2790" s="6" t="s">
        <v>7965</v>
      </c>
      <c r="B2790" s="6" t="s">
        <v>7961</v>
      </c>
      <c r="C2790" s="6" t="s">
        <v>1075</v>
      </c>
      <c r="D2790" s="18">
        <v>3.0</v>
      </c>
      <c r="E2790" s="18">
        <v>20.0</v>
      </c>
      <c r="F2790" s="18">
        <v>60.0</v>
      </c>
    </row>
    <row r="2791">
      <c r="A2791" s="6" t="s">
        <v>7967</v>
      </c>
      <c r="B2791" s="6" t="s">
        <v>7961</v>
      </c>
      <c r="C2791" s="6" t="s">
        <v>1077</v>
      </c>
      <c r="D2791" s="18">
        <v>1.0</v>
      </c>
      <c r="E2791" s="18">
        <v>25.8</v>
      </c>
      <c r="F2791" s="18">
        <v>25.8</v>
      </c>
    </row>
    <row r="2792">
      <c r="A2792" s="6" t="s">
        <v>7968</v>
      </c>
      <c r="B2792" s="6" t="s">
        <v>7961</v>
      </c>
      <c r="C2792" s="6" t="s">
        <v>1079</v>
      </c>
      <c r="D2792" s="18">
        <v>20.0</v>
      </c>
      <c r="E2792" s="18">
        <v>18.0</v>
      </c>
      <c r="F2792" s="18">
        <v>360.0</v>
      </c>
    </row>
    <row r="2793">
      <c r="A2793" s="6" t="s">
        <v>7971</v>
      </c>
      <c r="B2793" s="6" t="s">
        <v>7961</v>
      </c>
      <c r="C2793" s="6" t="s">
        <v>1081</v>
      </c>
      <c r="D2793" s="18">
        <v>3.0</v>
      </c>
      <c r="E2793" s="18">
        <v>48.0</v>
      </c>
      <c r="F2793" s="18">
        <v>144.0</v>
      </c>
    </row>
    <row r="2794">
      <c r="A2794" s="6" t="s">
        <v>7972</v>
      </c>
      <c r="B2794" s="6" t="s">
        <v>7973</v>
      </c>
      <c r="C2794" s="6" t="s">
        <v>1517</v>
      </c>
      <c r="D2794" s="18">
        <v>1.0</v>
      </c>
      <c r="E2794" s="18">
        <v>7319.06</v>
      </c>
      <c r="F2794" s="18">
        <v>7319.06</v>
      </c>
    </row>
    <row r="2795">
      <c r="A2795" s="6" t="s">
        <v>7974</v>
      </c>
      <c r="B2795" s="6" t="s">
        <v>7976</v>
      </c>
      <c r="C2795" s="6" t="s">
        <v>159</v>
      </c>
      <c r="D2795" s="18">
        <v>15.0</v>
      </c>
      <c r="E2795" s="18">
        <v>10.0</v>
      </c>
      <c r="F2795" s="18">
        <v>150.0</v>
      </c>
    </row>
    <row r="2796">
      <c r="A2796" s="6" t="s">
        <v>7979</v>
      </c>
      <c r="B2796" s="6" t="s">
        <v>7976</v>
      </c>
      <c r="C2796" s="6" t="s">
        <v>155</v>
      </c>
      <c r="D2796" s="18">
        <v>1.0</v>
      </c>
      <c r="E2796" s="18">
        <v>34.78</v>
      </c>
      <c r="F2796" s="18">
        <v>34.78</v>
      </c>
    </row>
    <row r="2797">
      <c r="A2797" s="6" t="s">
        <v>7980</v>
      </c>
      <c r="B2797" s="6" t="s">
        <v>7976</v>
      </c>
      <c r="C2797" s="6" t="s">
        <v>226</v>
      </c>
      <c r="D2797" s="18">
        <v>5.0</v>
      </c>
      <c r="E2797" s="18">
        <v>9.0</v>
      </c>
      <c r="F2797" s="18">
        <v>45.0</v>
      </c>
    </row>
    <row r="2798">
      <c r="A2798" s="6" t="s">
        <v>7982</v>
      </c>
      <c r="B2798" s="6" t="s">
        <v>7976</v>
      </c>
      <c r="C2798" s="6" t="s">
        <v>152</v>
      </c>
      <c r="D2798" s="18">
        <v>1.0</v>
      </c>
      <c r="E2798" s="18">
        <v>17.64</v>
      </c>
      <c r="F2798" s="18">
        <v>17.64</v>
      </c>
    </row>
    <row r="2799">
      <c r="A2799" s="6" t="s">
        <v>7984</v>
      </c>
      <c r="B2799" s="6" t="s">
        <v>7985</v>
      </c>
      <c r="C2799" s="18">
        <v>1.2539885E7</v>
      </c>
      <c r="D2799" s="18">
        <v>1.0</v>
      </c>
      <c r="E2799" s="18">
        <v>490.0</v>
      </c>
      <c r="F2799" s="18">
        <v>490.0</v>
      </c>
    </row>
    <row r="2800">
      <c r="A2800" s="6" t="s">
        <v>7986</v>
      </c>
      <c r="B2800" s="6" t="s">
        <v>7988</v>
      </c>
      <c r="C2800" s="6" t="s">
        <v>4831</v>
      </c>
      <c r="D2800" s="18">
        <v>1.0</v>
      </c>
      <c r="E2800" s="18">
        <v>375.0</v>
      </c>
      <c r="F2800" s="18">
        <v>375.0</v>
      </c>
    </row>
    <row r="2801">
      <c r="A2801" s="6" t="s">
        <v>7990</v>
      </c>
      <c r="B2801" s="6" t="s">
        <v>7991</v>
      </c>
      <c r="C2801" s="6" t="s">
        <v>3218</v>
      </c>
      <c r="D2801" s="18">
        <v>1.0</v>
      </c>
      <c r="E2801" s="18">
        <v>185.0</v>
      </c>
      <c r="F2801" s="18">
        <v>185.0</v>
      </c>
    </row>
    <row r="2802">
      <c r="A2802" s="6" t="s">
        <v>7992</v>
      </c>
      <c r="B2802" s="18">
        <v>1.8355004E7</v>
      </c>
      <c r="C2802" s="6" t="s">
        <v>6322</v>
      </c>
      <c r="D2802" s="18">
        <v>1.0</v>
      </c>
      <c r="E2802" s="18">
        <v>12.38</v>
      </c>
      <c r="F2802" s="18">
        <v>12.38</v>
      </c>
    </row>
    <row r="2803">
      <c r="A2803" s="6" t="s">
        <v>7994</v>
      </c>
      <c r="B2803" s="6" t="s">
        <v>7996</v>
      </c>
      <c r="C2803" s="6" t="s">
        <v>854</v>
      </c>
      <c r="D2803" s="18">
        <v>1.0</v>
      </c>
      <c r="E2803" s="18">
        <v>5.0</v>
      </c>
      <c r="F2803" s="18">
        <v>5.0</v>
      </c>
    </row>
    <row r="2804">
      <c r="A2804" s="6" t="s">
        <v>7997</v>
      </c>
      <c r="B2804" s="6" t="s">
        <v>7996</v>
      </c>
      <c r="C2804" s="6" t="s">
        <v>570</v>
      </c>
      <c r="D2804" s="18">
        <v>1.0</v>
      </c>
      <c r="E2804" s="18">
        <v>12.99</v>
      </c>
      <c r="F2804" s="18">
        <v>12.99</v>
      </c>
    </row>
    <row r="2805">
      <c r="A2805" s="6" t="s">
        <v>7998</v>
      </c>
      <c r="B2805" s="6" t="s">
        <v>8000</v>
      </c>
      <c r="C2805" s="6" t="s">
        <v>1022</v>
      </c>
      <c r="D2805" s="18">
        <v>1.0</v>
      </c>
      <c r="E2805" s="18">
        <v>160.0</v>
      </c>
      <c r="F2805" s="18">
        <v>160.0</v>
      </c>
    </row>
    <row r="2806">
      <c r="A2806" s="6" t="s">
        <v>8002</v>
      </c>
      <c r="B2806" s="18">
        <v>4.417835E7</v>
      </c>
      <c r="C2806" s="6" t="s">
        <v>152</v>
      </c>
      <c r="D2806" s="18">
        <v>1.0</v>
      </c>
      <c r="E2806" s="18">
        <v>13.28</v>
      </c>
      <c r="F2806" s="18">
        <v>13.28</v>
      </c>
    </row>
    <row r="2807">
      <c r="A2807" s="6" t="s">
        <v>8003</v>
      </c>
      <c r="B2807" s="6" t="s">
        <v>8004</v>
      </c>
      <c r="C2807" s="6" t="s">
        <v>1046</v>
      </c>
      <c r="D2807" s="18">
        <v>1.0</v>
      </c>
      <c r="E2807" s="18">
        <v>100.0</v>
      </c>
      <c r="F2807" s="18">
        <v>100.0</v>
      </c>
    </row>
    <row r="2808">
      <c r="A2808" s="6" t="s">
        <v>8007</v>
      </c>
      <c r="B2808" s="6" t="s">
        <v>8004</v>
      </c>
      <c r="C2808" s="6" t="s">
        <v>1683</v>
      </c>
      <c r="D2808" s="18">
        <v>1.0</v>
      </c>
      <c r="E2808" s="18">
        <v>128.0</v>
      </c>
      <c r="F2808" s="18">
        <v>128.0</v>
      </c>
    </row>
    <row r="2809">
      <c r="A2809" s="6" t="s">
        <v>8008</v>
      </c>
      <c r="B2809" s="6" t="s">
        <v>8009</v>
      </c>
      <c r="C2809" s="6" t="s">
        <v>8010</v>
      </c>
      <c r="D2809" s="18">
        <v>2.0</v>
      </c>
      <c r="E2809" s="18">
        <v>107.5</v>
      </c>
      <c r="F2809" s="18">
        <v>215.0</v>
      </c>
    </row>
    <row r="2810">
      <c r="A2810" s="6" t="s">
        <v>8013</v>
      </c>
      <c r="B2810" s="6" t="s">
        <v>8009</v>
      </c>
      <c r="C2810" s="6" t="s">
        <v>688</v>
      </c>
      <c r="D2810" s="18">
        <v>1.0</v>
      </c>
      <c r="E2810" s="18">
        <v>374.32</v>
      </c>
      <c r="F2810" s="18">
        <v>374.32</v>
      </c>
    </row>
    <row r="2811">
      <c r="A2811" s="6" t="s">
        <v>8014</v>
      </c>
      <c r="B2811" s="6" t="s">
        <v>8015</v>
      </c>
      <c r="C2811" s="6" t="s">
        <v>1073</v>
      </c>
      <c r="D2811" s="18">
        <v>1.0</v>
      </c>
      <c r="E2811" s="18">
        <v>21.0</v>
      </c>
      <c r="F2811" s="18">
        <v>21.0</v>
      </c>
    </row>
    <row r="2812">
      <c r="A2812" s="6" t="s">
        <v>8016</v>
      </c>
      <c r="B2812" s="6" t="s">
        <v>8015</v>
      </c>
      <c r="C2812" s="6" t="s">
        <v>1077</v>
      </c>
      <c r="D2812" s="18">
        <v>1.0</v>
      </c>
      <c r="E2812" s="18">
        <v>25.8</v>
      </c>
      <c r="F2812" s="18">
        <v>25.8</v>
      </c>
    </row>
    <row r="2813">
      <c r="A2813" s="6" t="s">
        <v>8017</v>
      </c>
      <c r="B2813" s="6" t="s">
        <v>8015</v>
      </c>
      <c r="C2813" s="6" t="s">
        <v>1079</v>
      </c>
      <c r="D2813" s="18">
        <v>10.0</v>
      </c>
      <c r="E2813" s="18">
        <v>18.0</v>
      </c>
      <c r="F2813" s="18">
        <v>180.0</v>
      </c>
    </row>
    <row r="2814">
      <c r="A2814" s="6" t="s">
        <v>8018</v>
      </c>
      <c r="B2814" s="6" t="s">
        <v>8015</v>
      </c>
      <c r="C2814" s="6" t="s">
        <v>1081</v>
      </c>
      <c r="D2814" s="18">
        <v>1.0</v>
      </c>
      <c r="E2814" s="18">
        <v>48.0</v>
      </c>
      <c r="F2814" s="18">
        <v>48.0</v>
      </c>
    </row>
    <row r="2815">
      <c r="A2815" s="6" t="s">
        <v>8019</v>
      </c>
      <c r="B2815" s="6" t="s">
        <v>8015</v>
      </c>
      <c r="C2815" s="18">
        <v>7.5375964E7</v>
      </c>
      <c r="D2815" s="18">
        <v>2.0</v>
      </c>
      <c r="E2815" s="18">
        <v>40.2</v>
      </c>
      <c r="F2815" s="18">
        <v>80.4</v>
      </c>
    </row>
    <row r="2816">
      <c r="A2816" s="6" t="s">
        <v>8020</v>
      </c>
      <c r="B2816" s="6" t="s">
        <v>8022</v>
      </c>
      <c r="C2816" s="6" t="s">
        <v>981</v>
      </c>
      <c r="D2816" s="18">
        <v>6.0</v>
      </c>
      <c r="E2816" s="18">
        <v>4.9</v>
      </c>
      <c r="F2816" s="18">
        <v>29.400000000000002</v>
      </c>
    </row>
    <row r="2817">
      <c r="A2817" s="6" t="s">
        <v>8025</v>
      </c>
      <c r="B2817" s="6" t="s">
        <v>8022</v>
      </c>
      <c r="C2817" s="6" t="s">
        <v>238</v>
      </c>
      <c r="D2817" s="18">
        <v>12.0</v>
      </c>
      <c r="E2817" s="18">
        <v>5.2</v>
      </c>
      <c r="F2817" s="18">
        <v>62.4</v>
      </c>
    </row>
    <row r="2818">
      <c r="A2818" s="6" t="s">
        <v>8028</v>
      </c>
      <c r="B2818" s="6" t="s">
        <v>8022</v>
      </c>
      <c r="C2818" s="6" t="s">
        <v>240</v>
      </c>
      <c r="D2818" s="18">
        <v>5.0</v>
      </c>
      <c r="E2818" s="18">
        <v>5.4</v>
      </c>
      <c r="F2818" s="18">
        <v>27.0</v>
      </c>
    </row>
    <row r="2819">
      <c r="A2819" s="6" t="s">
        <v>8031</v>
      </c>
      <c r="B2819" s="6" t="s">
        <v>8022</v>
      </c>
      <c r="C2819" s="6" t="s">
        <v>242</v>
      </c>
      <c r="D2819" s="18">
        <v>6.0</v>
      </c>
      <c r="E2819" s="18">
        <v>5.4</v>
      </c>
      <c r="F2819" s="18">
        <v>32.4</v>
      </c>
    </row>
    <row r="2820">
      <c r="A2820" s="6" t="s">
        <v>8032</v>
      </c>
      <c r="B2820" s="6" t="s">
        <v>8022</v>
      </c>
      <c r="C2820" s="6" t="s">
        <v>243</v>
      </c>
      <c r="D2820" s="18">
        <v>5.0</v>
      </c>
      <c r="E2820" s="18">
        <v>6.2</v>
      </c>
      <c r="F2820" s="18">
        <v>31.0</v>
      </c>
    </row>
    <row r="2821">
      <c r="A2821" s="6" t="s">
        <v>8035</v>
      </c>
      <c r="B2821" s="6" t="s">
        <v>8037</v>
      </c>
      <c r="C2821" s="6" t="s">
        <v>305</v>
      </c>
      <c r="D2821" s="18">
        <v>1.0</v>
      </c>
      <c r="E2821" s="18">
        <v>127.55</v>
      </c>
      <c r="F2821" s="18">
        <v>127.55</v>
      </c>
    </row>
    <row r="2822">
      <c r="A2822" s="6" t="s">
        <v>8038</v>
      </c>
      <c r="B2822" s="6" t="s">
        <v>8039</v>
      </c>
      <c r="C2822" s="6" t="s">
        <v>159</v>
      </c>
      <c r="D2822" s="18">
        <v>20.0</v>
      </c>
      <c r="E2822" s="18">
        <v>10.0</v>
      </c>
      <c r="F2822" s="18">
        <v>200.0</v>
      </c>
    </row>
    <row r="2823">
      <c r="A2823" s="6" t="s">
        <v>8040</v>
      </c>
      <c r="B2823" s="6" t="s">
        <v>8039</v>
      </c>
      <c r="C2823" s="6" t="s">
        <v>155</v>
      </c>
      <c r="D2823" s="18">
        <v>1.0</v>
      </c>
      <c r="E2823" s="18">
        <v>49.5</v>
      </c>
      <c r="F2823" s="18">
        <v>49.5</v>
      </c>
    </row>
    <row r="2824">
      <c r="A2824" s="6" t="s">
        <v>8043</v>
      </c>
      <c r="B2824" s="6" t="s">
        <v>8039</v>
      </c>
      <c r="C2824" s="6" t="s">
        <v>226</v>
      </c>
      <c r="D2824" s="18">
        <v>5.0</v>
      </c>
      <c r="E2824" s="18">
        <v>9.5</v>
      </c>
      <c r="F2824" s="18">
        <v>47.5</v>
      </c>
    </row>
    <row r="2825">
      <c r="A2825" s="6" t="s">
        <v>8044</v>
      </c>
      <c r="B2825" s="6" t="s">
        <v>8045</v>
      </c>
      <c r="C2825" s="18">
        <v>1.2539885E7</v>
      </c>
      <c r="D2825" s="18">
        <v>1.0</v>
      </c>
      <c r="E2825" s="18">
        <v>490.0</v>
      </c>
      <c r="F2825" s="18">
        <v>490.0</v>
      </c>
    </row>
    <row r="2826">
      <c r="A2826" s="6" t="s">
        <v>8047</v>
      </c>
      <c r="B2826" s="6" t="s">
        <v>8048</v>
      </c>
      <c r="C2826" s="6" t="s">
        <v>6306</v>
      </c>
      <c r="D2826" s="18">
        <v>1.0</v>
      </c>
      <c r="E2826" s="18">
        <v>118.93</v>
      </c>
      <c r="F2826" s="18">
        <v>118.93</v>
      </c>
    </row>
    <row r="2827">
      <c r="A2827" s="6" t="s">
        <v>8049</v>
      </c>
      <c r="B2827" s="18">
        <v>1.81119315E8</v>
      </c>
      <c r="C2827" s="6" t="s">
        <v>3833</v>
      </c>
      <c r="D2827" s="18">
        <v>1.0</v>
      </c>
      <c r="E2827" s="18">
        <v>4257.0</v>
      </c>
      <c r="F2827" s="18">
        <v>4257.0</v>
      </c>
    </row>
    <row r="2828">
      <c r="A2828" s="6" t="s">
        <v>8051</v>
      </c>
      <c r="B2828" s="6" t="s">
        <v>8052</v>
      </c>
      <c r="C2828" s="6" t="s">
        <v>3833</v>
      </c>
      <c r="D2828" s="18">
        <v>1.0</v>
      </c>
      <c r="E2828" s="18">
        <v>84.0</v>
      </c>
      <c r="F2828" s="18">
        <v>84.0</v>
      </c>
    </row>
    <row r="2829">
      <c r="A2829" s="6" t="s">
        <v>8053</v>
      </c>
      <c r="B2829" s="6" t="s">
        <v>8054</v>
      </c>
      <c r="C2829" s="6" t="s">
        <v>3833</v>
      </c>
      <c r="D2829" s="18">
        <v>1.0</v>
      </c>
      <c r="E2829" s="18">
        <v>1587.22</v>
      </c>
      <c r="F2829" s="18">
        <v>1587.22</v>
      </c>
    </row>
    <row r="2830">
      <c r="A2830" s="6" t="s">
        <v>8056</v>
      </c>
      <c r="B2830" s="18">
        <v>6.8031711E7</v>
      </c>
      <c r="C2830" s="6" t="s">
        <v>159</v>
      </c>
      <c r="D2830" s="18">
        <v>1.0</v>
      </c>
      <c r="E2830" s="18">
        <v>150.0</v>
      </c>
      <c r="F2830" s="18">
        <v>150.0</v>
      </c>
    </row>
    <row r="2831">
      <c r="A2831" s="6" t="s">
        <v>8057</v>
      </c>
      <c r="B2831" s="18">
        <v>6.8031711E7</v>
      </c>
      <c r="C2831" s="6" t="s">
        <v>155</v>
      </c>
      <c r="D2831" s="18">
        <v>1.0</v>
      </c>
      <c r="E2831" s="18">
        <v>32.12</v>
      </c>
      <c r="F2831" s="18">
        <v>32.12</v>
      </c>
    </row>
    <row r="2832">
      <c r="A2832" s="6" t="s">
        <v>8059</v>
      </c>
      <c r="B2832" s="18">
        <v>6.8031711E7</v>
      </c>
      <c r="C2832" s="6" t="s">
        <v>226</v>
      </c>
      <c r="D2832" s="18">
        <v>1.0</v>
      </c>
      <c r="E2832" s="18">
        <v>40.0</v>
      </c>
      <c r="F2832" s="18">
        <v>40.0</v>
      </c>
    </row>
    <row r="2833">
      <c r="A2833" s="6" t="s">
        <v>8060</v>
      </c>
      <c r="B2833" s="6" t="s">
        <v>8061</v>
      </c>
      <c r="C2833" s="6" t="s">
        <v>1536</v>
      </c>
      <c r="D2833" s="18">
        <v>1.0</v>
      </c>
      <c r="E2833" s="18">
        <v>90.0</v>
      </c>
      <c r="F2833" s="18">
        <v>90.0</v>
      </c>
    </row>
    <row r="2834">
      <c r="A2834" s="6" t="s">
        <v>8062</v>
      </c>
      <c r="B2834" s="6" t="s">
        <v>8063</v>
      </c>
      <c r="C2834" s="6" t="s">
        <v>159</v>
      </c>
      <c r="D2834" s="18">
        <v>1.0</v>
      </c>
      <c r="E2834" s="18">
        <v>100.0</v>
      </c>
      <c r="F2834" s="18">
        <v>100.0</v>
      </c>
    </row>
    <row r="2835">
      <c r="A2835" s="6" t="s">
        <v>8064</v>
      </c>
      <c r="B2835" s="6" t="s">
        <v>8063</v>
      </c>
      <c r="C2835" s="6" t="s">
        <v>155</v>
      </c>
      <c r="D2835" s="18">
        <v>1.0</v>
      </c>
      <c r="E2835" s="18">
        <v>38.69</v>
      </c>
      <c r="F2835" s="18">
        <v>38.69</v>
      </c>
    </row>
    <row r="2836">
      <c r="A2836" s="6" t="s">
        <v>8065</v>
      </c>
      <c r="B2836" s="6" t="s">
        <v>8066</v>
      </c>
      <c r="C2836" s="6" t="s">
        <v>8067</v>
      </c>
      <c r="D2836" s="18">
        <v>1.0</v>
      </c>
      <c r="E2836" s="18">
        <v>36.91</v>
      </c>
      <c r="F2836" s="18">
        <v>36.91</v>
      </c>
    </row>
    <row r="2837">
      <c r="A2837" s="6" t="s">
        <v>8068</v>
      </c>
      <c r="B2837" s="6" t="s">
        <v>8069</v>
      </c>
      <c r="C2837" s="6" t="s">
        <v>1510</v>
      </c>
      <c r="D2837" s="18">
        <v>1.0</v>
      </c>
      <c r="E2837" s="18">
        <v>21429.78</v>
      </c>
      <c r="F2837" s="18">
        <v>21429.78</v>
      </c>
    </row>
    <row r="2838">
      <c r="A2838" s="6" t="s">
        <v>8070</v>
      </c>
      <c r="B2838" s="6" t="s">
        <v>8071</v>
      </c>
      <c r="C2838" s="6" t="s">
        <v>6306</v>
      </c>
      <c r="D2838" s="18">
        <v>1.0</v>
      </c>
      <c r="E2838" s="18">
        <v>94.95</v>
      </c>
      <c r="F2838" s="18">
        <v>94.95</v>
      </c>
    </row>
    <row r="2839">
      <c r="A2839" s="6" t="s">
        <v>8072</v>
      </c>
      <c r="B2839" s="6" t="s">
        <v>8073</v>
      </c>
      <c r="C2839" s="6" t="s">
        <v>1384</v>
      </c>
      <c r="D2839" s="18">
        <v>1.0</v>
      </c>
      <c r="E2839" s="18">
        <v>19.8</v>
      </c>
      <c r="F2839" s="18">
        <v>19.8</v>
      </c>
    </row>
    <row r="2840">
      <c r="A2840" s="6" t="s">
        <v>8074</v>
      </c>
      <c r="B2840" s="6" t="s">
        <v>8073</v>
      </c>
      <c r="C2840" s="6" t="s">
        <v>1384</v>
      </c>
      <c r="D2840" s="18">
        <v>1.0</v>
      </c>
      <c r="E2840" s="18">
        <v>60.0</v>
      </c>
      <c r="F2840" s="18">
        <v>60.0</v>
      </c>
    </row>
    <row r="2841">
      <c r="A2841" s="6" t="s">
        <v>8076</v>
      </c>
      <c r="B2841" s="6" t="s">
        <v>8073</v>
      </c>
      <c r="C2841" s="6" t="s">
        <v>1074</v>
      </c>
      <c r="D2841" s="18">
        <v>5.0</v>
      </c>
      <c r="E2841" s="18">
        <v>40.0</v>
      </c>
      <c r="F2841" s="18">
        <v>200.0</v>
      </c>
    </row>
    <row r="2842">
      <c r="A2842" s="6" t="s">
        <v>8078</v>
      </c>
      <c r="B2842" s="6" t="s">
        <v>8073</v>
      </c>
      <c r="C2842" s="6" t="s">
        <v>1387</v>
      </c>
      <c r="D2842" s="18">
        <v>1.0</v>
      </c>
      <c r="E2842" s="18">
        <v>45.0</v>
      </c>
      <c r="F2842" s="18">
        <v>45.0</v>
      </c>
    </row>
    <row r="2843">
      <c r="A2843" s="6" t="s">
        <v>8080</v>
      </c>
      <c r="B2843" s="6" t="s">
        <v>8073</v>
      </c>
      <c r="C2843" s="6" t="s">
        <v>1077</v>
      </c>
      <c r="D2843" s="18">
        <v>2.0</v>
      </c>
      <c r="E2843" s="18">
        <v>25.8</v>
      </c>
      <c r="F2843" s="18">
        <v>51.6</v>
      </c>
    </row>
    <row r="2844">
      <c r="A2844" s="6" t="s">
        <v>8082</v>
      </c>
      <c r="B2844" s="6" t="s">
        <v>8073</v>
      </c>
      <c r="C2844" s="6" t="s">
        <v>1079</v>
      </c>
      <c r="D2844" s="18">
        <v>15.0</v>
      </c>
      <c r="E2844" s="18">
        <v>18.0</v>
      </c>
      <c r="F2844" s="18">
        <v>270.0</v>
      </c>
    </row>
    <row r="2845">
      <c r="A2845" s="6" t="s">
        <v>8084</v>
      </c>
      <c r="B2845" s="6" t="s">
        <v>8073</v>
      </c>
      <c r="C2845" s="6" t="s">
        <v>1085</v>
      </c>
      <c r="D2845" s="18">
        <v>2.0</v>
      </c>
      <c r="E2845" s="18">
        <v>40.2</v>
      </c>
      <c r="F2845" s="18">
        <v>80.4</v>
      </c>
    </row>
    <row r="2846">
      <c r="A2846" s="6" t="s">
        <v>8086</v>
      </c>
      <c r="B2846" s="6" t="s">
        <v>8073</v>
      </c>
      <c r="C2846" s="6" t="s">
        <v>5605</v>
      </c>
      <c r="D2846" s="18">
        <v>1.0</v>
      </c>
      <c r="E2846" s="18">
        <v>19.57</v>
      </c>
      <c r="F2846" s="18">
        <v>19.57</v>
      </c>
    </row>
    <row r="2847">
      <c r="A2847" s="6" t="s">
        <v>8087</v>
      </c>
      <c r="B2847" s="6" t="s">
        <v>8073</v>
      </c>
      <c r="C2847" s="6" t="s">
        <v>1081</v>
      </c>
      <c r="D2847" s="18">
        <v>4.0</v>
      </c>
      <c r="E2847" s="18">
        <v>48.0</v>
      </c>
      <c r="F2847" s="18">
        <v>192.0</v>
      </c>
    </row>
    <row r="2848">
      <c r="A2848" s="6" t="s">
        <v>8088</v>
      </c>
      <c r="B2848" s="6" t="s">
        <v>8073</v>
      </c>
      <c r="C2848" s="6" t="s">
        <v>1091</v>
      </c>
      <c r="D2848" s="18">
        <v>1.0</v>
      </c>
      <c r="E2848" s="18">
        <v>37.25</v>
      </c>
      <c r="F2848" s="18">
        <v>37.25</v>
      </c>
    </row>
    <row r="2849">
      <c r="A2849" s="6" t="s">
        <v>8090</v>
      </c>
      <c r="B2849" s="6" t="s">
        <v>8092</v>
      </c>
      <c r="C2849" s="6" t="s">
        <v>155</v>
      </c>
      <c r="D2849" s="18">
        <v>1.0</v>
      </c>
      <c r="E2849" s="18">
        <v>28.0</v>
      </c>
      <c r="F2849" s="18">
        <v>28.0</v>
      </c>
    </row>
    <row r="2850">
      <c r="A2850" s="6" t="s">
        <v>8093</v>
      </c>
      <c r="B2850" s="6" t="s">
        <v>8092</v>
      </c>
      <c r="C2850" s="6" t="s">
        <v>152</v>
      </c>
      <c r="D2850" s="18">
        <v>1.0</v>
      </c>
      <c r="E2850" s="18">
        <v>9.0</v>
      </c>
      <c r="F2850" s="18">
        <v>9.0</v>
      </c>
    </row>
    <row r="2851">
      <c r="A2851" s="6" t="s">
        <v>8094</v>
      </c>
      <c r="B2851" s="6" t="s">
        <v>8092</v>
      </c>
      <c r="C2851" s="6" t="s">
        <v>226</v>
      </c>
      <c r="D2851" s="18">
        <v>1.0</v>
      </c>
      <c r="E2851" s="18">
        <v>47.5</v>
      </c>
      <c r="F2851" s="18">
        <v>47.5</v>
      </c>
    </row>
    <row r="2852">
      <c r="A2852" s="6" t="s">
        <v>8097</v>
      </c>
      <c r="B2852" s="6" t="s">
        <v>8098</v>
      </c>
      <c r="C2852" s="18">
        <v>1.2539885E7</v>
      </c>
      <c r="D2852" s="18">
        <v>1.0</v>
      </c>
      <c r="E2852" s="18">
        <v>630.0</v>
      </c>
      <c r="F2852" s="18">
        <v>630.0</v>
      </c>
    </row>
    <row r="2853">
      <c r="A2853" s="6" t="s">
        <v>8099</v>
      </c>
      <c r="B2853" s="6" t="s">
        <v>8100</v>
      </c>
      <c r="C2853" s="6" t="s">
        <v>159</v>
      </c>
      <c r="D2853" s="18">
        <v>1.0</v>
      </c>
      <c r="E2853" s="18">
        <v>249.75</v>
      </c>
      <c r="F2853" s="18">
        <v>249.75</v>
      </c>
    </row>
    <row r="2854">
      <c r="A2854" s="6" t="s">
        <v>8103</v>
      </c>
      <c r="B2854" s="6" t="s">
        <v>8100</v>
      </c>
      <c r="C2854" s="6" t="s">
        <v>155</v>
      </c>
      <c r="D2854" s="18">
        <v>1.0</v>
      </c>
      <c r="E2854" s="18">
        <v>49.7</v>
      </c>
      <c r="F2854" s="18">
        <v>49.7</v>
      </c>
    </row>
    <row r="2855">
      <c r="A2855" s="6" t="s">
        <v>8105</v>
      </c>
      <c r="B2855" s="6" t="s">
        <v>8100</v>
      </c>
      <c r="C2855" s="6" t="s">
        <v>226</v>
      </c>
      <c r="D2855" s="18">
        <v>1.0</v>
      </c>
      <c r="E2855" s="18">
        <v>85.5</v>
      </c>
      <c r="F2855" s="18">
        <v>85.5</v>
      </c>
    </row>
    <row r="2856">
      <c r="A2856" s="6" t="s">
        <v>8106</v>
      </c>
      <c r="B2856" s="6" t="s">
        <v>8107</v>
      </c>
      <c r="C2856" s="6" t="s">
        <v>5020</v>
      </c>
      <c r="D2856" s="18">
        <v>1.0</v>
      </c>
      <c r="E2856" s="18">
        <v>179.0</v>
      </c>
      <c r="F2856" s="18">
        <v>179.0</v>
      </c>
    </row>
    <row r="2857">
      <c r="A2857" s="6" t="s">
        <v>8110</v>
      </c>
      <c r="B2857" s="6" t="s">
        <v>8111</v>
      </c>
      <c r="C2857" s="18">
        <v>2.3273172E7</v>
      </c>
      <c r="D2857" s="18">
        <v>1.0</v>
      </c>
      <c r="E2857" s="18">
        <v>350.0</v>
      </c>
      <c r="F2857" s="18">
        <v>350.0</v>
      </c>
    </row>
    <row r="2858">
      <c r="A2858" s="6" t="s">
        <v>8112</v>
      </c>
      <c r="B2858" s="6" t="s">
        <v>8113</v>
      </c>
      <c r="C2858" s="6" t="s">
        <v>8114</v>
      </c>
      <c r="D2858" s="18">
        <v>1.0</v>
      </c>
      <c r="E2858" s="18">
        <v>283.6</v>
      </c>
      <c r="F2858" s="18">
        <v>283.6</v>
      </c>
    </row>
    <row r="2859">
      <c r="A2859" s="6" t="s">
        <v>8115</v>
      </c>
      <c r="B2859" s="6" t="s">
        <v>8116</v>
      </c>
      <c r="C2859" s="6" t="s">
        <v>1168</v>
      </c>
      <c r="D2859" s="18">
        <v>1.0</v>
      </c>
      <c r="E2859" s="18">
        <v>500.0</v>
      </c>
      <c r="F2859" s="18">
        <v>500.0</v>
      </c>
    </row>
    <row r="2860">
      <c r="A2860" s="6" t="s">
        <v>8118</v>
      </c>
      <c r="B2860" s="6" t="s">
        <v>8119</v>
      </c>
      <c r="C2860" s="6" t="s">
        <v>3833</v>
      </c>
      <c r="D2860" s="18">
        <v>1.0</v>
      </c>
      <c r="E2860" s="18">
        <v>4067.85</v>
      </c>
      <c r="F2860" s="18">
        <v>4067.85</v>
      </c>
    </row>
    <row r="2861">
      <c r="A2861" s="6" t="s">
        <v>8121</v>
      </c>
      <c r="B2861" s="6" t="s">
        <v>8123</v>
      </c>
      <c r="C2861" s="6" t="s">
        <v>8067</v>
      </c>
      <c r="D2861" s="18">
        <v>1.0</v>
      </c>
      <c r="E2861" s="18">
        <v>8.0</v>
      </c>
      <c r="F2861" s="18">
        <v>8.0</v>
      </c>
    </row>
    <row r="2862">
      <c r="A2862" s="6" t="s">
        <v>8125</v>
      </c>
      <c r="B2862" s="6" t="s">
        <v>8126</v>
      </c>
      <c r="C2862" s="6" t="s">
        <v>3833</v>
      </c>
      <c r="D2862" s="18">
        <v>1.0</v>
      </c>
      <c r="E2862" s="18">
        <v>2221.95</v>
      </c>
      <c r="F2862" s="18">
        <v>2221.95</v>
      </c>
    </row>
    <row r="2863">
      <c r="A2863" s="6" t="s">
        <v>8127</v>
      </c>
      <c r="B2863" s="6" t="s">
        <v>8129</v>
      </c>
      <c r="C2863" s="6" t="s">
        <v>1126</v>
      </c>
      <c r="D2863" s="18">
        <v>1.0</v>
      </c>
      <c r="E2863" s="18">
        <v>40.0</v>
      </c>
      <c r="F2863" s="18">
        <v>40.0</v>
      </c>
    </row>
    <row r="2864">
      <c r="A2864" s="6" t="s">
        <v>8132</v>
      </c>
      <c r="B2864" s="6" t="s">
        <v>8133</v>
      </c>
      <c r="C2864" s="6" t="s">
        <v>5636</v>
      </c>
      <c r="D2864" s="18">
        <v>1.0</v>
      </c>
      <c r="E2864" s="18">
        <v>200.0</v>
      </c>
      <c r="F2864" s="18">
        <v>200.0</v>
      </c>
    </row>
    <row r="2865">
      <c r="A2865" s="6" t="s">
        <v>8134</v>
      </c>
      <c r="B2865" s="6" t="s">
        <v>8135</v>
      </c>
      <c r="C2865" s="6" t="s">
        <v>5640</v>
      </c>
      <c r="D2865" s="18">
        <v>1.0</v>
      </c>
      <c r="E2865" s="18">
        <v>22.0</v>
      </c>
      <c r="F2865" s="18">
        <v>22.0</v>
      </c>
    </row>
    <row r="2866">
      <c r="A2866" s="6" t="s">
        <v>8136</v>
      </c>
      <c r="B2866" s="6" t="s">
        <v>8137</v>
      </c>
      <c r="C2866" s="6" t="s">
        <v>5973</v>
      </c>
      <c r="D2866" s="18">
        <v>1.0</v>
      </c>
      <c r="E2866" s="18">
        <v>10.0</v>
      </c>
      <c r="F2866" s="18">
        <v>10.0</v>
      </c>
    </row>
    <row r="2867">
      <c r="A2867" s="6" t="s">
        <v>8141</v>
      </c>
      <c r="B2867" s="6" t="s">
        <v>8142</v>
      </c>
      <c r="C2867" s="6" t="s">
        <v>1668</v>
      </c>
      <c r="D2867" s="18">
        <v>1.0</v>
      </c>
      <c r="E2867" s="18">
        <v>124.16</v>
      </c>
      <c r="F2867" s="18">
        <v>124.16</v>
      </c>
    </row>
    <row r="2868">
      <c r="A2868" s="6" t="s">
        <v>8143</v>
      </c>
      <c r="B2868" s="6" t="s">
        <v>8144</v>
      </c>
      <c r="C2868" s="6" t="s">
        <v>6423</v>
      </c>
      <c r="D2868" s="18">
        <v>1.0</v>
      </c>
      <c r="E2868" s="18">
        <v>110.0</v>
      </c>
      <c r="F2868" s="18">
        <v>110.0</v>
      </c>
    </row>
    <row r="2869">
      <c r="A2869" s="6" t="s">
        <v>8145</v>
      </c>
      <c r="B2869" s="6" t="s">
        <v>8147</v>
      </c>
      <c r="C2869" s="6" t="s">
        <v>1517</v>
      </c>
      <c r="D2869" s="18">
        <v>1.0</v>
      </c>
      <c r="E2869" s="18">
        <v>10245.98</v>
      </c>
      <c r="F2869" s="18">
        <v>10245.98</v>
      </c>
    </row>
    <row r="2870">
      <c r="A2870" s="6" t="s">
        <v>8149</v>
      </c>
      <c r="B2870" s="6" t="s">
        <v>8150</v>
      </c>
      <c r="C2870" s="6" t="s">
        <v>1080</v>
      </c>
      <c r="D2870" s="18">
        <v>1.0</v>
      </c>
      <c r="E2870" s="18">
        <v>278.0</v>
      </c>
      <c r="F2870" s="18">
        <v>278.0</v>
      </c>
    </row>
    <row r="2871">
      <c r="A2871" s="6" t="s">
        <v>8151</v>
      </c>
      <c r="B2871" s="6" t="s">
        <v>8152</v>
      </c>
      <c r="C2871" s="18">
        <v>1.2539885E7</v>
      </c>
      <c r="D2871" s="18">
        <v>1.0</v>
      </c>
      <c r="E2871" s="18">
        <v>500.0</v>
      </c>
      <c r="F2871" s="18">
        <v>500.0</v>
      </c>
    </row>
    <row r="2872">
      <c r="A2872" s="6" t="s">
        <v>8154</v>
      </c>
      <c r="B2872" s="6" t="s">
        <v>8155</v>
      </c>
      <c r="C2872" s="6" t="s">
        <v>159</v>
      </c>
      <c r="D2872" s="18">
        <v>1.0</v>
      </c>
      <c r="E2872" s="18">
        <v>247.5</v>
      </c>
      <c r="F2872" s="18">
        <v>247.5</v>
      </c>
    </row>
    <row r="2873">
      <c r="A2873" s="6" t="s">
        <v>8156</v>
      </c>
      <c r="B2873" s="6" t="s">
        <v>8155</v>
      </c>
      <c r="C2873" s="6" t="s">
        <v>152</v>
      </c>
      <c r="D2873" s="18">
        <v>1.0</v>
      </c>
      <c r="E2873" s="18">
        <v>18.9</v>
      </c>
      <c r="F2873" s="18">
        <v>18.9</v>
      </c>
    </row>
    <row r="2874">
      <c r="A2874" s="6" t="s">
        <v>8157</v>
      </c>
      <c r="B2874" s="6" t="s">
        <v>8155</v>
      </c>
      <c r="C2874" s="6" t="s">
        <v>226</v>
      </c>
      <c r="D2874" s="18">
        <v>1.0</v>
      </c>
      <c r="E2874" s="18">
        <v>66.5</v>
      </c>
      <c r="F2874" s="18">
        <v>66.5</v>
      </c>
    </row>
    <row r="2875">
      <c r="A2875" s="6" t="s">
        <v>8159</v>
      </c>
      <c r="B2875" s="6" t="s">
        <v>8155</v>
      </c>
      <c r="C2875" s="6" t="s">
        <v>155</v>
      </c>
      <c r="D2875" s="18">
        <v>1.0</v>
      </c>
      <c r="E2875" s="18">
        <v>52.5</v>
      </c>
      <c r="F2875" s="18">
        <v>52.5</v>
      </c>
    </row>
    <row r="2876">
      <c r="A2876" s="6" t="s">
        <v>8160</v>
      </c>
      <c r="B2876" s="6" t="s">
        <v>8161</v>
      </c>
      <c r="C2876" s="6" t="s">
        <v>247</v>
      </c>
      <c r="D2876" s="18">
        <v>1.0</v>
      </c>
      <c r="E2876" s="18">
        <v>19.8</v>
      </c>
      <c r="F2876" s="18">
        <v>19.8</v>
      </c>
    </row>
    <row r="2877">
      <c r="A2877" s="6" t="s">
        <v>8162</v>
      </c>
      <c r="B2877" s="6" t="s">
        <v>8164</v>
      </c>
      <c r="C2877" s="6" t="s">
        <v>305</v>
      </c>
      <c r="D2877" s="18">
        <v>1.0</v>
      </c>
      <c r="E2877" s="18">
        <v>233.17</v>
      </c>
      <c r="F2877" s="18">
        <v>233.17</v>
      </c>
    </row>
    <row r="2878">
      <c r="A2878" s="6" t="s">
        <v>8166</v>
      </c>
      <c r="B2878" s="6" t="s">
        <v>8167</v>
      </c>
      <c r="C2878" s="6" t="s">
        <v>1081</v>
      </c>
      <c r="D2878" s="18">
        <v>5.0</v>
      </c>
      <c r="E2878" s="18">
        <v>48.0</v>
      </c>
      <c r="F2878" s="18">
        <v>240.0</v>
      </c>
    </row>
    <row r="2879">
      <c r="A2879" s="6" t="s">
        <v>8168</v>
      </c>
      <c r="B2879" s="6" t="s">
        <v>8167</v>
      </c>
      <c r="C2879" s="6" t="s">
        <v>1077</v>
      </c>
      <c r="D2879" s="18">
        <v>3.0</v>
      </c>
      <c r="E2879" s="18">
        <v>25.8</v>
      </c>
      <c r="F2879" s="18">
        <v>77.4</v>
      </c>
    </row>
    <row r="2880">
      <c r="A2880" s="6" t="s">
        <v>8169</v>
      </c>
      <c r="B2880" s="6" t="s">
        <v>8167</v>
      </c>
      <c r="C2880" s="6" t="s">
        <v>1075</v>
      </c>
      <c r="D2880" s="18">
        <v>3.0</v>
      </c>
      <c r="E2880" s="18">
        <v>20.0</v>
      </c>
      <c r="F2880" s="18">
        <v>60.0</v>
      </c>
    </row>
    <row r="2881">
      <c r="A2881" s="6" t="s">
        <v>8172</v>
      </c>
      <c r="B2881" s="6" t="s">
        <v>8167</v>
      </c>
      <c r="C2881" s="6" t="s">
        <v>1074</v>
      </c>
      <c r="D2881" s="18">
        <v>5.0</v>
      </c>
      <c r="E2881" s="18">
        <v>40.0</v>
      </c>
      <c r="F2881" s="18">
        <v>200.0</v>
      </c>
    </row>
    <row r="2882">
      <c r="A2882" s="6" t="s">
        <v>8173</v>
      </c>
      <c r="B2882" s="6" t="s">
        <v>8167</v>
      </c>
      <c r="C2882" s="6" t="s">
        <v>1404</v>
      </c>
      <c r="D2882" s="18">
        <v>1.0</v>
      </c>
      <c r="E2882" s="18">
        <v>19.8</v>
      </c>
      <c r="F2882" s="18">
        <v>19.8</v>
      </c>
    </row>
    <row r="2883">
      <c r="A2883" s="6" t="s">
        <v>8174</v>
      </c>
      <c r="B2883" s="6" t="s">
        <v>8167</v>
      </c>
      <c r="C2883" s="18">
        <v>7.5375964E7</v>
      </c>
      <c r="D2883" s="18">
        <v>1.0</v>
      </c>
      <c r="E2883" s="18">
        <v>19.8</v>
      </c>
      <c r="F2883" s="18">
        <v>19.8</v>
      </c>
    </row>
    <row r="2884">
      <c r="A2884" s="6" t="s">
        <v>8177</v>
      </c>
      <c r="B2884" s="6" t="s">
        <v>8167</v>
      </c>
      <c r="C2884" s="6" t="s">
        <v>1073</v>
      </c>
      <c r="D2884" s="18">
        <v>1.0</v>
      </c>
      <c r="E2884" s="18">
        <v>21.0</v>
      </c>
      <c r="F2884" s="18">
        <v>21.0</v>
      </c>
    </row>
    <row r="2885">
      <c r="A2885" s="6" t="s">
        <v>8178</v>
      </c>
      <c r="B2885" s="6" t="s">
        <v>8167</v>
      </c>
      <c r="C2885" s="6" t="s">
        <v>5605</v>
      </c>
      <c r="D2885" s="18">
        <v>1.0</v>
      </c>
      <c r="E2885" s="18">
        <v>19.57</v>
      </c>
      <c r="F2885" s="18">
        <v>19.57</v>
      </c>
    </row>
    <row r="2886">
      <c r="A2886" s="6" t="s">
        <v>8179</v>
      </c>
      <c r="B2886" s="6" t="s">
        <v>8180</v>
      </c>
      <c r="C2886" s="6" t="s">
        <v>1510</v>
      </c>
      <c r="D2886" s="18">
        <v>1.0</v>
      </c>
      <c r="E2886" s="18">
        <v>25874.96</v>
      </c>
      <c r="F2886" s="18">
        <v>25874.96</v>
      </c>
    </row>
    <row r="2887">
      <c r="A2887" s="6" t="s">
        <v>8181</v>
      </c>
      <c r="B2887" s="6" t="s">
        <v>8182</v>
      </c>
      <c r="C2887" s="6" t="s">
        <v>1517</v>
      </c>
      <c r="D2887" s="18">
        <v>1.0</v>
      </c>
      <c r="E2887" s="18">
        <v>598.94</v>
      </c>
      <c r="F2887" s="18">
        <v>598.94</v>
      </c>
    </row>
    <row r="2888">
      <c r="A2888" s="6" t="s">
        <v>8183</v>
      </c>
      <c r="B2888" s="6" t="s">
        <v>8184</v>
      </c>
      <c r="C2888" s="6" t="s">
        <v>1517</v>
      </c>
      <c r="D2888" s="18">
        <v>1.0</v>
      </c>
      <c r="E2888" s="18">
        <v>5535.47</v>
      </c>
      <c r="F2888" s="18">
        <v>5535.47</v>
      </c>
    </row>
    <row r="2889">
      <c r="A2889" s="6" t="s">
        <v>8187</v>
      </c>
      <c r="B2889" s="6" t="s">
        <v>8188</v>
      </c>
      <c r="C2889" s="6" t="s">
        <v>159</v>
      </c>
      <c r="D2889" s="18">
        <v>25.0</v>
      </c>
      <c r="E2889" s="18">
        <v>12.0</v>
      </c>
      <c r="F2889" s="18">
        <v>300.0</v>
      </c>
    </row>
    <row r="2890">
      <c r="A2890" s="6" t="s">
        <v>8189</v>
      </c>
      <c r="B2890" s="6" t="s">
        <v>8188</v>
      </c>
      <c r="C2890" s="6" t="s">
        <v>155</v>
      </c>
      <c r="D2890" s="18">
        <v>1.0</v>
      </c>
      <c r="E2890" s="18">
        <v>55.91</v>
      </c>
      <c r="F2890" s="18">
        <v>55.91</v>
      </c>
    </row>
    <row r="2891">
      <c r="A2891" s="6" t="s">
        <v>8190</v>
      </c>
      <c r="B2891" s="6" t="s">
        <v>8188</v>
      </c>
      <c r="C2891" s="6" t="s">
        <v>152</v>
      </c>
      <c r="D2891" s="18">
        <v>1.0</v>
      </c>
      <c r="E2891" s="18">
        <v>20.35</v>
      </c>
      <c r="F2891" s="18">
        <v>20.35</v>
      </c>
    </row>
    <row r="2892">
      <c r="A2892" s="6" t="s">
        <v>8193</v>
      </c>
      <c r="B2892" s="6" t="s">
        <v>8194</v>
      </c>
      <c r="C2892" s="6" t="s">
        <v>305</v>
      </c>
      <c r="D2892" s="18">
        <v>1.0</v>
      </c>
      <c r="E2892" s="18">
        <v>73.99</v>
      </c>
      <c r="F2892" s="18">
        <v>73.99</v>
      </c>
    </row>
    <row r="2893">
      <c r="A2893" s="6" t="s">
        <v>8195</v>
      </c>
      <c r="B2893" s="6" t="s">
        <v>8196</v>
      </c>
      <c r="C2893" s="6" t="s">
        <v>1725</v>
      </c>
      <c r="D2893" s="18">
        <v>1.0</v>
      </c>
      <c r="E2893" s="18">
        <v>2535.23</v>
      </c>
      <c r="F2893" s="18">
        <v>2535.23</v>
      </c>
    </row>
    <row r="2894">
      <c r="A2894" s="6" t="s">
        <v>8197</v>
      </c>
      <c r="B2894" s="6" t="s">
        <v>8198</v>
      </c>
      <c r="C2894" s="6" t="s">
        <v>8199</v>
      </c>
      <c r="D2894" s="18">
        <v>1.0</v>
      </c>
      <c r="E2894" s="18">
        <v>50.0</v>
      </c>
      <c r="F2894" s="18">
        <v>50.0</v>
      </c>
    </row>
    <row r="2895">
      <c r="A2895" s="6" t="s">
        <v>8200</v>
      </c>
      <c r="B2895" s="6" t="s">
        <v>8201</v>
      </c>
      <c r="C2895" s="6" t="s">
        <v>305</v>
      </c>
      <c r="D2895" s="18">
        <v>1.0</v>
      </c>
      <c r="E2895" s="18">
        <v>26.97</v>
      </c>
      <c r="F2895" s="18">
        <v>26.97</v>
      </c>
    </row>
    <row r="2896">
      <c r="A2896" s="6" t="s">
        <v>8202</v>
      </c>
      <c r="B2896" s="6" t="s">
        <v>8203</v>
      </c>
      <c r="C2896" s="6" t="s">
        <v>226</v>
      </c>
      <c r="D2896" s="18">
        <v>3.0</v>
      </c>
      <c r="E2896" s="18">
        <v>5.99</v>
      </c>
      <c r="F2896" s="18">
        <v>17.97</v>
      </c>
    </row>
    <row r="2897">
      <c r="A2897" s="6" t="s">
        <v>8204</v>
      </c>
      <c r="B2897" s="6" t="s">
        <v>8203</v>
      </c>
      <c r="C2897" s="6" t="s">
        <v>159</v>
      </c>
      <c r="D2897" s="18">
        <v>4.0</v>
      </c>
      <c r="E2897" s="18">
        <v>8.99</v>
      </c>
      <c r="F2897" s="18">
        <v>35.96</v>
      </c>
    </row>
    <row r="2898">
      <c r="A2898" s="6" t="s">
        <v>8206</v>
      </c>
      <c r="B2898" s="6" t="s">
        <v>8203</v>
      </c>
      <c r="C2898" s="6" t="s">
        <v>305</v>
      </c>
      <c r="D2898" s="18">
        <v>1.0</v>
      </c>
      <c r="E2898" s="18">
        <v>68.95</v>
      </c>
      <c r="F2898" s="18">
        <v>68.95</v>
      </c>
    </row>
    <row r="2899">
      <c r="A2899" s="6" t="s">
        <v>8207</v>
      </c>
      <c r="B2899" s="6" t="s">
        <v>8208</v>
      </c>
      <c r="C2899" s="6" t="s">
        <v>226</v>
      </c>
      <c r="D2899" s="18">
        <v>2.0</v>
      </c>
      <c r="E2899" s="18">
        <v>9.0</v>
      </c>
      <c r="F2899" s="18">
        <v>18.0</v>
      </c>
    </row>
    <row r="2900">
      <c r="A2900" s="6" t="s">
        <v>8210</v>
      </c>
      <c r="B2900" s="6" t="s">
        <v>8208</v>
      </c>
      <c r="C2900" s="6" t="s">
        <v>159</v>
      </c>
      <c r="D2900" s="18">
        <v>10.0</v>
      </c>
      <c r="E2900" s="18">
        <v>10.0</v>
      </c>
      <c r="F2900" s="18">
        <v>100.0</v>
      </c>
    </row>
    <row r="2901">
      <c r="A2901" s="6" t="s">
        <v>8212</v>
      </c>
      <c r="B2901" s="6" t="s">
        <v>8208</v>
      </c>
      <c r="C2901" s="6" t="s">
        <v>155</v>
      </c>
      <c r="D2901" s="18">
        <v>1.0</v>
      </c>
      <c r="E2901" s="18">
        <v>36.4</v>
      </c>
      <c r="F2901" s="18">
        <v>36.4</v>
      </c>
    </row>
    <row r="2902">
      <c r="A2902" s="6" t="s">
        <v>8213</v>
      </c>
      <c r="B2902" s="6" t="s">
        <v>8208</v>
      </c>
      <c r="C2902" s="6" t="s">
        <v>152</v>
      </c>
      <c r="D2902" s="18">
        <v>1.0</v>
      </c>
      <c r="E2902" s="18">
        <v>11.22</v>
      </c>
      <c r="F2902" s="18">
        <v>11.22</v>
      </c>
    </row>
    <row r="2903">
      <c r="A2903" s="6" t="s">
        <v>8216</v>
      </c>
      <c r="B2903" s="6" t="s">
        <v>8217</v>
      </c>
      <c r="C2903" s="6" t="s">
        <v>981</v>
      </c>
      <c r="D2903" s="18">
        <v>6.0</v>
      </c>
      <c r="E2903" s="18">
        <v>4.9</v>
      </c>
      <c r="F2903" s="18">
        <v>29.400000000000002</v>
      </c>
    </row>
    <row r="2904">
      <c r="A2904" s="6" t="s">
        <v>8219</v>
      </c>
      <c r="B2904" s="6" t="s">
        <v>8217</v>
      </c>
      <c r="C2904" s="6" t="s">
        <v>238</v>
      </c>
      <c r="D2904" s="18">
        <v>12.0</v>
      </c>
      <c r="E2904" s="18">
        <v>5.2</v>
      </c>
      <c r="F2904" s="18">
        <v>62.4</v>
      </c>
    </row>
    <row r="2905">
      <c r="A2905" s="6" t="s">
        <v>8221</v>
      </c>
      <c r="B2905" s="6" t="s">
        <v>8217</v>
      </c>
      <c r="C2905" s="6" t="s">
        <v>243</v>
      </c>
      <c r="D2905" s="18">
        <v>6.0</v>
      </c>
      <c r="E2905" s="18">
        <v>6.2</v>
      </c>
      <c r="F2905" s="18">
        <v>37.2</v>
      </c>
    </row>
    <row r="2906">
      <c r="A2906" s="6" t="s">
        <v>8223</v>
      </c>
      <c r="B2906" s="6" t="s">
        <v>8224</v>
      </c>
      <c r="C2906" s="6" t="s">
        <v>1195</v>
      </c>
      <c r="D2906" s="18">
        <v>5.0</v>
      </c>
      <c r="E2906" s="18">
        <v>24.0</v>
      </c>
      <c r="F2906" s="18">
        <v>120.0</v>
      </c>
    </row>
    <row r="2907">
      <c r="A2907" s="6" t="s">
        <v>8227</v>
      </c>
      <c r="B2907" s="6" t="s">
        <v>8224</v>
      </c>
      <c r="C2907" s="6" t="s">
        <v>1197</v>
      </c>
      <c r="D2907" s="18">
        <v>5.0</v>
      </c>
      <c r="E2907" s="18">
        <v>22.0</v>
      </c>
      <c r="F2907" s="18">
        <v>110.0</v>
      </c>
    </row>
    <row r="2908">
      <c r="A2908" s="6" t="s">
        <v>8229</v>
      </c>
      <c r="B2908" s="6" t="s">
        <v>8224</v>
      </c>
      <c r="C2908" s="6" t="s">
        <v>2305</v>
      </c>
      <c r="D2908" s="18">
        <v>2.0</v>
      </c>
      <c r="E2908" s="18">
        <v>32.0</v>
      </c>
      <c r="F2908" s="18">
        <v>64.0</v>
      </c>
    </row>
    <row r="2909">
      <c r="A2909" s="6" t="s">
        <v>8230</v>
      </c>
      <c r="B2909" s="6" t="s">
        <v>8224</v>
      </c>
      <c r="C2909" s="18">
        <v>7.9788768E7</v>
      </c>
      <c r="D2909" s="18">
        <v>4.0</v>
      </c>
      <c r="E2909" s="18">
        <v>5.5</v>
      </c>
      <c r="F2909" s="18">
        <v>22.0</v>
      </c>
    </row>
    <row r="2910">
      <c r="A2910" s="6" t="s">
        <v>8231</v>
      </c>
      <c r="B2910" s="18">
        <v>7.1382169E7</v>
      </c>
      <c r="C2910" s="6" t="s">
        <v>159</v>
      </c>
      <c r="D2910" s="18">
        <v>25.0</v>
      </c>
      <c r="E2910" s="18">
        <v>10.5</v>
      </c>
      <c r="F2910" s="18">
        <v>262.5</v>
      </c>
    </row>
    <row r="2911">
      <c r="A2911" s="6" t="s">
        <v>8232</v>
      </c>
      <c r="B2911" s="18">
        <v>7.1382169E7</v>
      </c>
      <c r="C2911" s="6" t="s">
        <v>155</v>
      </c>
      <c r="D2911" s="18">
        <v>1.0</v>
      </c>
      <c r="E2911" s="18">
        <v>63.7</v>
      </c>
      <c r="F2911" s="18">
        <v>63.7</v>
      </c>
    </row>
    <row r="2912">
      <c r="A2912" s="6" t="s">
        <v>8233</v>
      </c>
      <c r="B2912" s="18">
        <v>7.1382169E7</v>
      </c>
      <c r="C2912" s="6" t="s">
        <v>152</v>
      </c>
      <c r="D2912" s="18">
        <v>1.0</v>
      </c>
      <c r="E2912" s="18">
        <v>14.4</v>
      </c>
      <c r="F2912" s="18">
        <v>14.4</v>
      </c>
    </row>
    <row r="2913">
      <c r="A2913" s="6" t="s">
        <v>8235</v>
      </c>
      <c r="B2913" s="18">
        <v>7.1382169E7</v>
      </c>
      <c r="C2913" s="6" t="s">
        <v>226</v>
      </c>
      <c r="D2913" s="18">
        <v>7.0</v>
      </c>
      <c r="E2913" s="18">
        <v>9.0</v>
      </c>
      <c r="F2913" s="18">
        <v>63.0</v>
      </c>
    </row>
    <row r="2914">
      <c r="A2914" s="6" t="s">
        <v>8236</v>
      </c>
      <c r="B2914" s="6" t="s">
        <v>8237</v>
      </c>
      <c r="C2914" s="6" t="s">
        <v>1404</v>
      </c>
      <c r="D2914" s="18">
        <v>1.0</v>
      </c>
      <c r="E2914" s="18">
        <v>34.0</v>
      </c>
      <c r="F2914" s="18">
        <v>34.0</v>
      </c>
    </row>
    <row r="2915">
      <c r="A2915" s="6" t="s">
        <v>8238</v>
      </c>
      <c r="B2915" s="6" t="s">
        <v>8237</v>
      </c>
      <c r="C2915" s="6" t="s">
        <v>1080</v>
      </c>
      <c r="D2915" s="18">
        <v>15.0</v>
      </c>
      <c r="E2915" s="18">
        <v>13.9</v>
      </c>
      <c r="F2915" s="18">
        <v>208.5</v>
      </c>
    </row>
    <row r="2916">
      <c r="A2916" s="6" t="s">
        <v>8239</v>
      </c>
      <c r="B2916" s="6" t="s">
        <v>8240</v>
      </c>
      <c r="C2916" s="18">
        <v>1.2539885E7</v>
      </c>
      <c r="D2916" s="18">
        <v>1.0</v>
      </c>
      <c r="E2916" s="18">
        <v>500.0</v>
      </c>
      <c r="F2916" s="18">
        <v>500.0</v>
      </c>
    </row>
    <row r="2917">
      <c r="A2917" s="6" t="s">
        <v>8241</v>
      </c>
      <c r="B2917" s="6" t="s">
        <v>8242</v>
      </c>
      <c r="C2917" s="6" t="s">
        <v>691</v>
      </c>
      <c r="D2917" s="18">
        <v>1.0</v>
      </c>
      <c r="E2917" s="18">
        <v>86.29</v>
      </c>
      <c r="F2917" s="18">
        <v>86.29</v>
      </c>
    </row>
    <row r="2918">
      <c r="A2918" s="6" t="s">
        <v>8243</v>
      </c>
      <c r="B2918" s="6" t="s">
        <v>8242</v>
      </c>
      <c r="C2918" s="6" t="s">
        <v>1394</v>
      </c>
      <c r="D2918" s="18">
        <v>1.0</v>
      </c>
      <c r="E2918" s="18">
        <v>30.8</v>
      </c>
      <c r="F2918" s="18">
        <v>30.8</v>
      </c>
    </row>
    <row r="2919">
      <c r="A2919" s="6" t="s">
        <v>8244</v>
      </c>
      <c r="B2919" s="6" t="s">
        <v>8245</v>
      </c>
      <c r="C2919" s="6" t="s">
        <v>1073</v>
      </c>
      <c r="D2919" s="18">
        <v>1.0</v>
      </c>
      <c r="E2919" s="18">
        <v>21.0</v>
      </c>
      <c r="F2919" s="18">
        <v>21.0</v>
      </c>
    </row>
    <row r="2920">
      <c r="A2920" s="6" t="s">
        <v>8246</v>
      </c>
      <c r="B2920" s="6" t="s">
        <v>8245</v>
      </c>
      <c r="C2920" s="18">
        <v>7.5375964E7</v>
      </c>
      <c r="D2920" s="18">
        <v>1.0</v>
      </c>
      <c r="E2920" s="18">
        <v>19.8</v>
      </c>
      <c r="F2920" s="18">
        <v>19.8</v>
      </c>
    </row>
    <row r="2921">
      <c r="A2921" s="6" t="s">
        <v>8247</v>
      </c>
      <c r="B2921" s="6" t="s">
        <v>8245</v>
      </c>
      <c r="C2921" s="6" t="s">
        <v>1384</v>
      </c>
      <c r="D2921" s="18">
        <v>1.0</v>
      </c>
      <c r="E2921" s="18">
        <v>19.8</v>
      </c>
      <c r="F2921" s="18">
        <v>19.8</v>
      </c>
    </row>
    <row r="2922">
      <c r="A2922" s="6" t="s">
        <v>8248</v>
      </c>
      <c r="B2922" s="6" t="s">
        <v>8245</v>
      </c>
      <c r="C2922" s="6" t="s">
        <v>1404</v>
      </c>
      <c r="D2922" s="18">
        <v>1.0</v>
      </c>
      <c r="E2922" s="18">
        <v>19.8</v>
      </c>
      <c r="F2922" s="18">
        <v>19.8</v>
      </c>
    </row>
    <row r="2923">
      <c r="A2923" s="6" t="s">
        <v>8249</v>
      </c>
      <c r="B2923" s="6" t="s">
        <v>8245</v>
      </c>
      <c r="C2923" s="18">
        <v>7.5375964E7</v>
      </c>
      <c r="D2923" s="18">
        <v>1.0</v>
      </c>
      <c r="E2923" s="18">
        <v>64.0</v>
      </c>
      <c r="F2923" s="18">
        <v>64.0</v>
      </c>
    </row>
    <row r="2924">
      <c r="A2924" s="6" t="s">
        <v>8250</v>
      </c>
      <c r="B2924" s="6" t="s">
        <v>8245</v>
      </c>
      <c r="C2924" s="6" t="s">
        <v>1074</v>
      </c>
      <c r="D2924" s="18">
        <v>5.0</v>
      </c>
      <c r="E2924" s="18">
        <v>42.6</v>
      </c>
      <c r="F2924" s="18">
        <v>213.0</v>
      </c>
    </row>
    <row r="2925">
      <c r="A2925" s="6" t="s">
        <v>8252</v>
      </c>
      <c r="B2925" s="6" t="s">
        <v>8245</v>
      </c>
      <c r="C2925" s="6" t="s">
        <v>1075</v>
      </c>
      <c r="D2925" s="18">
        <v>4.0</v>
      </c>
      <c r="E2925" s="18">
        <v>21.3</v>
      </c>
      <c r="F2925" s="18">
        <v>85.2</v>
      </c>
    </row>
    <row r="2926">
      <c r="A2926" s="6" t="s">
        <v>8253</v>
      </c>
      <c r="B2926" s="6" t="s">
        <v>8245</v>
      </c>
      <c r="C2926" s="6" t="s">
        <v>1081</v>
      </c>
      <c r="D2926" s="18">
        <v>8.0</v>
      </c>
      <c r="E2926" s="18">
        <v>48.0</v>
      </c>
      <c r="F2926" s="18">
        <v>384.0</v>
      </c>
    </row>
    <row r="2927">
      <c r="A2927" s="6" t="s">
        <v>8254</v>
      </c>
      <c r="B2927" s="6" t="s">
        <v>8245</v>
      </c>
      <c r="C2927" s="6" t="s">
        <v>1077</v>
      </c>
      <c r="D2927" s="18">
        <v>6.0</v>
      </c>
      <c r="E2927" s="18">
        <v>25.8</v>
      </c>
      <c r="F2927" s="18">
        <v>154.8</v>
      </c>
    </row>
    <row r="2928">
      <c r="A2928" s="6" t="s">
        <v>8255</v>
      </c>
      <c r="B2928" s="6" t="s">
        <v>8245</v>
      </c>
      <c r="C2928" s="6" t="s">
        <v>1079</v>
      </c>
      <c r="D2928" s="18">
        <v>25.0</v>
      </c>
      <c r="E2928" s="18">
        <v>18.0</v>
      </c>
      <c r="F2928" s="18">
        <v>450.0</v>
      </c>
    </row>
    <row r="2929">
      <c r="A2929" s="6" t="s">
        <v>8256</v>
      </c>
      <c r="B2929" s="6" t="s">
        <v>8245</v>
      </c>
      <c r="C2929" s="6" t="s">
        <v>1083</v>
      </c>
      <c r="D2929" s="18">
        <v>1.0</v>
      </c>
      <c r="E2929" s="18">
        <v>18.9</v>
      </c>
      <c r="F2929" s="18">
        <v>18.9</v>
      </c>
    </row>
    <row r="2930">
      <c r="A2930" s="6" t="s">
        <v>8257</v>
      </c>
      <c r="B2930" s="6" t="s">
        <v>8245</v>
      </c>
      <c r="C2930" s="6" t="s">
        <v>1074</v>
      </c>
      <c r="D2930" s="18">
        <v>1.0</v>
      </c>
      <c r="E2930" s="18">
        <v>75.0</v>
      </c>
      <c r="F2930" s="18">
        <v>75.0</v>
      </c>
    </row>
    <row r="2931">
      <c r="A2931" s="6" t="s">
        <v>8260</v>
      </c>
      <c r="B2931" s="6" t="s">
        <v>8245</v>
      </c>
      <c r="C2931" s="6" t="s">
        <v>5605</v>
      </c>
      <c r="D2931" s="18">
        <v>1.0</v>
      </c>
      <c r="E2931" s="18">
        <v>19.57</v>
      </c>
      <c r="F2931" s="18">
        <v>19.57</v>
      </c>
    </row>
    <row r="2932">
      <c r="A2932" s="6" t="s">
        <v>8261</v>
      </c>
      <c r="B2932" s="6" t="s">
        <v>8245</v>
      </c>
      <c r="C2932" s="6" t="s">
        <v>1085</v>
      </c>
      <c r="D2932" s="18">
        <v>4.0</v>
      </c>
      <c r="E2932" s="18">
        <v>40.2</v>
      </c>
      <c r="F2932" s="18">
        <v>160.8</v>
      </c>
    </row>
    <row r="2933">
      <c r="A2933" s="6" t="s">
        <v>8262</v>
      </c>
      <c r="B2933" s="6" t="s">
        <v>8263</v>
      </c>
      <c r="C2933" s="6" t="s">
        <v>305</v>
      </c>
      <c r="D2933" s="18">
        <v>1.0</v>
      </c>
      <c r="E2933" s="18">
        <v>125.74</v>
      </c>
      <c r="F2933" s="18">
        <v>125.74</v>
      </c>
    </row>
    <row r="2934">
      <c r="A2934" s="6" t="s">
        <v>8265</v>
      </c>
      <c r="B2934" s="6" t="s">
        <v>8267</v>
      </c>
      <c r="C2934" s="6" t="s">
        <v>1510</v>
      </c>
      <c r="D2934" s="18">
        <v>1.0</v>
      </c>
      <c r="E2934" s="18">
        <v>11783.34</v>
      </c>
      <c r="F2934" s="18">
        <v>11783.34</v>
      </c>
    </row>
    <row r="2935">
      <c r="A2935" s="6" t="s">
        <v>8268</v>
      </c>
      <c r="B2935" s="6" t="s">
        <v>8269</v>
      </c>
      <c r="C2935" s="6" t="s">
        <v>152</v>
      </c>
      <c r="D2935" s="18">
        <v>1.0</v>
      </c>
      <c r="E2935" s="18">
        <v>15.63</v>
      </c>
      <c r="F2935" s="18">
        <v>15.63</v>
      </c>
    </row>
    <row r="2936">
      <c r="A2936" s="6" t="s">
        <v>8270</v>
      </c>
      <c r="B2936" s="6" t="s">
        <v>8269</v>
      </c>
      <c r="C2936" s="6" t="s">
        <v>226</v>
      </c>
      <c r="D2936" s="18">
        <v>1.0</v>
      </c>
      <c r="E2936" s="18">
        <v>45.0</v>
      </c>
      <c r="F2936" s="18">
        <v>45.0</v>
      </c>
    </row>
    <row r="2937">
      <c r="A2937" s="6" t="s">
        <v>8271</v>
      </c>
      <c r="B2937" s="6" t="s">
        <v>8273</v>
      </c>
      <c r="C2937" s="6" t="s">
        <v>1517</v>
      </c>
      <c r="D2937" s="18">
        <v>1.0</v>
      </c>
      <c r="E2937" s="18">
        <v>5708.16</v>
      </c>
      <c r="F2937" s="18">
        <v>5708.16</v>
      </c>
    </row>
    <row r="2938">
      <c r="A2938" s="6" t="s">
        <v>8276</v>
      </c>
      <c r="B2938" s="6" t="s">
        <v>8277</v>
      </c>
      <c r="C2938" s="6" t="s">
        <v>5720</v>
      </c>
      <c r="D2938" s="18">
        <v>1.0</v>
      </c>
      <c r="E2938" s="18">
        <v>1045.83</v>
      </c>
      <c r="F2938" s="18">
        <v>1045.83</v>
      </c>
    </row>
    <row r="2939">
      <c r="A2939" s="6" t="s">
        <v>8278</v>
      </c>
      <c r="B2939" s="6" t="s">
        <v>8279</v>
      </c>
      <c r="C2939" s="6" t="s">
        <v>1073</v>
      </c>
      <c r="D2939" s="18">
        <v>1.0</v>
      </c>
      <c r="E2939" s="18">
        <v>21.0</v>
      </c>
      <c r="F2939" s="18">
        <v>21.0</v>
      </c>
    </row>
    <row r="2940">
      <c r="A2940" s="6" t="s">
        <v>8281</v>
      </c>
      <c r="B2940" s="6" t="s">
        <v>8279</v>
      </c>
      <c r="C2940" s="6" t="s">
        <v>1074</v>
      </c>
      <c r="D2940" s="18">
        <v>3.0</v>
      </c>
      <c r="E2940" s="18">
        <v>40.0</v>
      </c>
      <c r="F2940" s="18">
        <v>120.0</v>
      </c>
    </row>
    <row r="2941">
      <c r="A2941" s="6" t="s">
        <v>8283</v>
      </c>
      <c r="B2941" s="6" t="s">
        <v>8279</v>
      </c>
      <c r="C2941" s="6" t="s">
        <v>1075</v>
      </c>
      <c r="D2941" s="18">
        <v>3.0</v>
      </c>
      <c r="E2941" s="18">
        <v>20.0</v>
      </c>
      <c r="F2941" s="18">
        <v>60.0</v>
      </c>
    </row>
    <row r="2942">
      <c r="A2942" s="6" t="s">
        <v>8284</v>
      </c>
      <c r="B2942" s="6" t="s">
        <v>8279</v>
      </c>
      <c r="C2942" s="6" t="s">
        <v>1079</v>
      </c>
      <c r="D2942" s="18">
        <v>20.0</v>
      </c>
      <c r="E2942" s="18">
        <v>18.0</v>
      </c>
      <c r="F2942" s="18">
        <v>360.0</v>
      </c>
    </row>
    <row r="2943">
      <c r="A2943" s="6" t="s">
        <v>8285</v>
      </c>
      <c r="B2943" s="6" t="s">
        <v>8279</v>
      </c>
      <c r="C2943" s="6" t="s">
        <v>1081</v>
      </c>
      <c r="D2943" s="18">
        <v>3.0</v>
      </c>
      <c r="E2943" s="18">
        <v>48.0</v>
      </c>
      <c r="F2943" s="18">
        <v>144.0</v>
      </c>
    </row>
    <row r="2944">
      <c r="A2944" s="6" t="s">
        <v>8286</v>
      </c>
      <c r="B2944" s="6" t="s">
        <v>8279</v>
      </c>
      <c r="C2944" s="18">
        <v>7.5375964E7</v>
      </c>
      <c r="D2944" s="18">
        <v>2.0</v>
      </c>
      <c r="E2944" s="18">
        <v>40.2</v>
      </c>
      <c r="F2944" s="18">
        <v>80.4</v>
      </c>
    </row>
    <row r="2945">
      <c r="A2945" s="6" t="s">
        <v>8289</v>
      </c>
      <c r="B2945" s="6" t="s">
        <v>8279</v>
      </c>
      <c r="C2945" s="6" t="s">
        <v>1081</v>
      </c>
      <c r="D2945" s="18">
        <v>3.0</v>
      </c>
      <c r="E2945" s="18">
        <v>48.0</v>
      </c>
      <c r="F2945" s="18">
        <v>144.0</v>
      </c>
    </row>
    <row r="2946">
      <c r="A2946" s="6" t="s">
        <v>8291</v>
      </c>
      <c r="B2946" s="6" t="s">
        <v>8292</v>
      </c>
      <c r="C2946" s="6" t="s">
        <v>159</v>
      </c>
      <c r="D2946" s="18">
        <v>10.0</v>
      </c>
      <c r="E2946" s="18">
        <v>20.0</v>
      </c>
      <c r="F2946" s="18">
        <v>200.0</v>
      </c>
    </row>
    <row r="2947">
      <c r="A2947" s="6" t="s">
        <v>8293</v>
      </c>
      <c r="B2947" s="6" t="s">
        <v>8292</v>
      </c>
      <c r="C2947" s="6" t="s">
        <v>155</v>
      </c>
      <c r="D2947" s="18">
        <v>1.0</v>
      </c>
      <c r="E2947" s="18">
        <v>40.34</v>
      </c>
      <c r="F2947" s="18">
        <v>40.34</v>
      </c>
    </row>
    <row r="2948">
      <c r="A2948" s="6" t="s">
        <v>8294</v>
      </c>
      <c r="B2948" s="6" t="s">
        <v>8292</v>
      </c>
      <c r="C2948" s="6" t="s">
        <v>152</v>
      </c>
      <c r="D2948" s="18">
        <v>1.0</v>
      </c>
      <c r="E2948" s="18">
        <v>20.24</v>
      </c>
      <c r="F2948" s="18">
        <v>20.24</v>
      </c>
    </row>
    <row r="2949">
      <c r="A2949" s="6" t="s">
        <v>8295</v>
      </c>
      <c r="B2949" s="6" t="s">
        <v>8292</v>
      </c>
      <c r="C2949" s="6" t="s">
        <v>226</v>
      </c>
      <c r="D2949" s="18">
        <v>1.0</v>
      </c>
      <c r="E2949" s="18">
        <v>63.0</v>
      </c>
      <c r="F2949" s="18">
        <v>63.0</v>
      </c>
    </row>
    <row r="2950">
      <c r="A2950" s="6" t="s">
        <v>8297</v>
      </c>
      <c r="B2950" s="6" t="s">
        <v>8299</v>
      </c>
      <c r="C2950" s="18">
        <v>1.2539885E7</v>
      </c>
      <c r="D2950" s="18">
        <v>1.0</v>
      </c>
      <c r="E2950" s="18">
        <v>225.0</v>
      </c>
      <c r="F2950" s="18">
        <v>225.0</v>
      </c>
    </row>
    <row r="2951">
      <c r="A2951" s="6" t="s">
        <v>8300</v>
      </c>
      <c r="B2951" s="6" t="s">
        <v>8301</v>
      </c>
      <c r="C2951" s="6" t="s">
        <v>7086</v>
      </c>
      <c r="D2951" s="18">
        <v>1.0</v>
      </c>
      <c r="E2951" s="18">
        <v>3.08</v>
      </c>
      <c r="F2951" s="18">
        <v>3.08</v>
      </c>
    </row>
    <row r="2952">
      <c r="A2952" s="6" t="s">
        <v>8302</v>
      </c>
      <c r="B2952" s="6" t="s">
        <v>8301</v>
      </c>
      <c r="C2952" s="6" t="s">
        <v>1777</v>
      </c>
      <c r="D2952" s="18">
        <v>2.0</v>
      </c>
      <c r="E2952" s="18">
        <v>33.0</v>
      </c>
      <c r="F2952" s="18">
        <v>66.0</v>
      </c>
    </row>
    <row r="2953">
      <c r="A2953" s="6" t="s">
        <v>8304</v>
      </c>
      <c r="B2953" s="6" t="s">
        <v>8301</v>
      </c>
      <c r="C2953" s="6" t="s">
        <v>338</v>
      </c>
      <c r="D2953" s="18">
        <v>1.0</v>
      </c>
      <c r="E2953" s="18">
        <v>29.16</v>
      </c>
      <c r="F2953" s="18">
        <v>29.16</v>
      </c>
    </row>
    <row r="2954">
      <c r="A2954" s="6" t="s">
        <v>8306</v>
      </c>
      <c r="B2954" s="6" t="s">
        <v>8301</v>
      </c>
      <c r="C2954" s="6" t="s">
        <v>338</v>
      </c>
      <c r="D2954" s="18">
        <v>1.0</v>
      </c>
      <c r="E2954" s="18">
        <v>60.72</v>
      </c>
      <c r="F2954" s="18">
        <v>60.72</v>
      </c>
    </row>
    <row r="2955">
      <c r="A2955" s="6" t="s">
        <v>8307</v>
      </c>
      <c r="B2955" s="6" t="s">
        <v>8301</v>
      </c>
      <c r="C2955" s="6" t="s">
        <v>335</v>
      </c>
      <c r="D2955" s="18">
        <v>2.0</v>
      </c>
      <c r="E2955" s="18">
        <v>47.04</v>
      </c>
      <c r="F2955" s="18">
        <v>94.08</v>
      </c>
    </row>
    <row r="2956">
      <c r="A2956" s="6" t="s">
        <v>8308</v>
      </c>
      <c r="B2956" s="6" t="s">
        <v>8301</v>
      </c>
      <c r="C2956" s="6" t="s">
        <v>7086</v>
      </c>
      <c r="D2956" s="18">
        <v>5.0</v>
      </c>
      <c r="E2956" s="18">
        <v>33.0</v>
      </c>
      <c r="F2956" s="18">
        <v>165.0</v>
      </c>
    </row>
    <row r="2957">
      <c r="A2957" s="6" t="s">
        <v>8309</v>
      </c>
      <c r="B2957" s="6" t="s">
        <v>8301</v>
      </c>
      <c r="C2957" s="6" t="s">
        <v>1777</v>
      </c>
      <c r="D2957" s="18">
        <v>2.0</v>
      </c>
      <c r="E2957" s="18">
        <v>33.0</v>
      </c>
      <c r="F2957" s="18">
        <v>66.0</v>
      </c>
    </row>
    <row r="2958">
      <c r="A2958" s="6" t="s">
        <v>8310</v>
      </c>
      <c r="B2958" s="6" t="s">
        <v>8301</v>
      </c>
      <c r="C2958" s="6" t="s">
        <v>335</v>
      </c>
      <c r="D2958" s="18">
        <v>1.0</v>
      </c>
      <c r="E2958" s="18">
        <v>89.61</v>
      </c>
      <c r="F2958" s="18">
        <v>89.61</v>
      </c>
    </row>
    <row r="2959">
      <c r="A2959" s="6" t="s">
        <v>8313</v>
      </c>
      <c r="B2959" s="6" t="s">
        <v>8301</v>
      </c>
      <c r="C2959" s="6" t="s">
        <v>338</v>
      </c>
      <c r="D2959" s="18">
        <v>1.0</v>
      </c>
      <c r="E2959" s="18">
        <v>25.56</v>
      </c>
      <c r="F2959" s="18">
        <v>25.56</v>
      </c>
    </row>
    <row r="2960">
      <c r="A2960" s="6" t="s">
        <v>8315</v>
      </c>
      <c r="B2960" s="6" t="s">
        <v>8316</v>
      </c>
      <c r="C2960" s="6" t="s">
        <v>6931</v>
      </c>
      <c r="D2960" s="18">
        <v>1.0</v>
      </c>
      <c r="E2960" s="18">
        <v>1280.8</v>
      </c>
      <c r="F2960" s="18">
        <v>1280.8</v>
      </c>
    </row>
    <row r="2961">
      <c r="A2961" s="6" t="s">
        <v>8317</v>
      </c>
      <c r="B2961" s="6" t="s">
        <v>8316</v>
      </c>
      <c r="C2961" s="6" t="s">
        <v>4874</v>
      </c>
      <c r="D2961" s="18">
        <v>1.0</v>
      </c>
      <c r="E2961" s="18">
        <v>558.0</v>
      </c>
      <c r="F2961" s="18">
        <v>558.0</v>
      </c>
    </row>
    <row r="2962">
      <c r="A2962" s="6" t="s">
        <v>8318</v>
      </c>
      <c r="B2962" s="6" t="s">
        <v>8316</v>
      </c>
      <c r="C2962" s="6" t="s">
        <v>1394</v>
      </c>
      <c r="D2962" s="18">
        <v>1.0</v>
      </c>
      <c r="E2962" s="18">
        <v>83.0</v>
      </c>
      <c r="F2962" s="18">
        <v>83.0</v>
      </c>
    </row>
    <row r="2963">
      <c r="A2963" s="6" t="s">
        <v>8322</v>
      </c>
      <c r="B2963" s="6" t="s">
        <v>8323</v>
      </c>
      <c r="C2963" s="6" t="s">
        <v>1073</v>
      </c>
      <c r="D2963" s="18">
        <v>1.0</v>
      </c>
      <c r="E2963" s="18">
        <v>21.0</v>
      </c>
      <c r="F2963" s="18">
        <v>21.0</v>
      </c>
    </row>
    <row r="2964">
      <c r="A2964" s="6" t="s">
        <v>8324</v>
      </c>
      <c r="B2964" s="6" t="s">
        <v>8323</v>
      </c>
      <c r="C2964" s="18">
        <v>7.5375964E7</v>
      </c>
      <c r="D2964" s="18">
        <v>1.0</v>
      </c>
      <c r="E2964" s="18">
        <v>19.8</v>
      </c>
      <c r="F2964" s="18">
        <v>19.8</v>
      </c>
    </row>
    <row r="2965">
      <c r="A2965" s="6" t="s">
        <v>8325</v>
      </c>
      <c r="B2965" s="6" t="s">
        <v>8323</v>
      </c>
      <c r="C2965" s="6" t="s">
        <v>1074</v>
      </c>
      <c r="D2965" s="18">
        <v>4.0</v>
      </c>
      <c r="E2965" s="18">
        <v>38.0</v>
      </c>
      <c r="F2965" s="18">
        <v>152.0</v>
      </c>
    </row>
    <row r="2966">
      <c r="A2966" s="6" t="s">
        <v>8327</v>
      </c>
      <c r="B2966" s="6" t="s">
        <v>8323</v>
      </c>
      <c r="C2966" s="6" t="s">
        <v>1075</v>
      </c>
      <c r="D2966" s="18">
        <v>4.0</v>
      </c>
      <c r="E2966" s="18">
        <v>19.0</v>
      </c>
      <c r="F2966" s="18">
        <v>76.0</v>
      </c>
    </row>
    <row r="2967">
      <c r="A2967" s="6" t="s">
        <v>8329</v>
      </c>
      <c r="B2967" s="6" t="s">
        <v>8323</v>
      </c>
      <c r="C2967" s="6" t="s">
        <v>1081</v>
      </c>
      <c r="D2967" s="18">
        <v>1.0</v>
      </c>
      <c r="E2967" s="18">
        <v>48.0</v>
      </c>
      <c r="F2967" s="18">
        <v>48.0</v>
      </c>
    </row>
    <row r="2968">
      <c r="A2968" s="6" t="s">
        <v>8330</v>
      </c>
      <c r="B2968" s="6" t="s">
        <v>8323</v>
      </c>
      <c r="C2968" s="6" t="s">
        <v>1081</v>
      </c>
      <c r="D2968" s="18">
        <v>2.0</v>
      </c>
      <c r="E2968" s="18">
        <v>47.0</v>
      </c>
      <c r="F2968" s="18">
        <v>94.0</v>
      </c>
    </row>
    <row r="2969">
      <c r="A2969" s="6" t="s">
        <v>8331</v>
      </c>
      <c r="B2969" s="6" t="s">
        <v>8332</v>
      </c>
      <c r="C2969" s="6" t="s">
        <v>794</v>
      </c>
      <c r="D2969" s="18">
        <v>1.0</v>
      </c>
      <c r="E2969" s="18">
        <v>2121.22</v>
      </c>
      <c r="F2969" s="18">
        <v>2121.22</v>
      </c>
    </row>
    <row r="2970">
      <c r="A2970" s="6" t="s">
        <v>8334</v>
      </c>
      <c r="B2970" s="6" t="s">
        <v>8335</v>
      </c>
      <c r="C2970" s="6" t="s">
        <v>226</v>
      </c>
      <c r="D2970" s="18">
        <v>7.0</v>
      </c>
      <c r="E2970" s="18">
        <v>9.0</v>
      </c>
      <c r="F2970" s="18">
        <v>63.0</v>
      </c>
    </row>
    <row r="2971">
      <c r="A2971" s="6" t="s">
        <v>8336</v>
      </c>
      <c r="B2971" s="6" t="s">
        <v>8335</v>
      </c>
      <c r="C2971" s="6" t="s">
        <v>152</v>
      </c>
      <c r="D2971" s="18">
        <v>1.0</v>
      </c>
      <c r="E2971" s="18">
        <v>9.8</v>
      </c>
      <c r="F2971" s="18">
        <v>9.8</v>
      </c>
    </row>
    <row r="2972">
      <c r="A2972" s="6" t="s">
        <v>8337</v>
      </c>
      <c r="B2972" s="6" t="s">
        <v>8335</v>
      </c>
      <c r="C2972" s="6" t="s">
        <v>155</v>
      </c>
      <c r="D2972" s="18">
        <v>1.0</v>
      </c>
      <c r="E2972" s="18">
        <v>53.82</v>
      </c>
      <c r="F2972" s="18">
        <v>53.82</v>
      </c>
    </row>
    <row r="2973">
      <c r="A2973" s="6" t="s">
        <v>8338</v>
      </c>
      <c r="B2973" s="6" t="s">
        <v>8335</v>
      </c>
      <c r="C2973" s="6" t="s">
        <v>159</v>
      </c>
      <c r="D2973" s="18">
        <v>20.0</v>
      </c>
      <c r="E2973" s="18">
        <v>12.0</v>
      </c>
      <c r="F2973" s="18">
        <v>240.0</v>
      </c>
    </row>
    <row r="2974">
      <c r="A2974" s="6" t="s">
        <v>8339</v>
      </c>
      <c r="B2974" s="6" t="s">
        <v>8340</v>
      </c>
      <c r="C2974" s="18">
        <v>1.2539885E7</v>
      </c>
      <c r="D2974" s="18">
        <v>1.0</v>
      </c>
      <c r="E2974" s="18">
        <v>525.0</v>
      </c>
      <c r="F2974" s="18">
        <v>525.0</v>
      </c>
    </row>
    <row r="2975">
      <c r="A2975" s="6" t="s">
        <v>8341</v>
      </c>
      <c r="B2975" s="6" t="s">
        <v>8342</v>
      </c>
      <c r="C2975" s="6" t="s">
        <v>1022</v>
      </c>
      <c r="D2975" s="18">
        <v>1.0</v>
      </c>
      <c r="E2975" s="18">
        <v>40.0</v>
      </c>
      <c r="F2975" s="18">
        <v>40.0</v>
      </c>
    </row>
    <row r="2976">
      <c r="A2976" s="6" t="s">
        <v>8344</v>
      </c>
      <c r="B2976" s="6" t="s">
        <v>8345</v>
      </c>
      <c r="C2976" s="6" t="s">
        <v>305</v>
      </c>
      <c r="D2976" s="18">
        <v>1.0</v>
      </c>
      <c r="E2976" s="18">
        <v>96.9</v>
      </c>
      <c r="F2976" s="18">
        <v>96.9</v>
      </c>
    </row>
    <row r="2977">
      <c r="A2977" s="6" t="s">
        <v>8346</v>
      </c>
      <c r="B2977" s="6" t="s">
        <v>8347</v>
      </c>
      <c r="C2977" s="6" t="s">
        <v>305</v>
      </c>
      <c r="D2977" s="18">
        <v>1.0</v>
      </c>
      <c r="E2977" s="18">
        <v>92.87</v>
      </c>
      <c r="F2977" s="18">
        <v>92.87</v>
      </c>
    </row>
    <row r="2978">
      <c r="A2978" s="6" t="s">
        <v>8349</v>
      </c>
      <c r="B2978" s="6" t="s">
        <v>8350</v>
      </c>
      <c r="C2978" s="6" t="s">
        <v>155</v>
      </c>
      <c r="D2978" s="18">
        <v>1.0</v>
      </c>
      <c r="E2978" s="18">
        <v>14.56</v>
      </c>
      <c r="F2978" s="18">
        <v>14.56</v>
      </c>
    </row>
    <row r="2979">
      <c r="A2979" s="6" t="s">
        <v>8352</v>
      </c>
      <c r="B2979" s="6" t="s">
        <v>8350</v>
      </c>
      <c r="C2979" s="6" t="s">
        <v>152</v>
      </c>
      <c r="D2979" s="18">
        <v>1.0</v>
      </c>
      <c r="E2979" s="18">
        <v>10.53</v>
      </c>
      <c r="F2979" s="18">
        <v>10.53</v>
      </c>
    </row>
    <row r="2980">
      <c r="A2980" s="6" t="s">
        <v>8355</v>
      </c>
      <c r="B2980" s="6" t="s">
        <v>8356</v>
      </c>
      <c r="C2980" s="6" t="s">
        <v>1668</v>
      </c>
      <c r="D2980" s="18">
        <v>1.0</v>
      </c>
      <c r="E2980" s="18">
        <v>124.16</v>
      </c>
      <c r="F2980" s="18">
        <v>124.16</v>
      </c>
    </row>
    <row r="2981">
      <c r="A2981" s="6" t="s">
        <v>8357</v>
      </c>
      <c r="B2981" s="6" t="s">
        <v>8359</v>
      </c>
      <c r="C2981" s="6" t="s">
        <v>1725</v>
      </c>
      <c r="D2981" s="18">
        <v>1.0</v>
      </c>
      <c r="E2981" s="18">
        <v>1810.88</v>
      </c>
      <c r="F2981" s="18">
        <v>1810.88</v>
      </c>
    </row>
    <row r="2982">
      <c r="A2982" s="6" t="s">
        <v>8361</v>
      </c>
      <c r="B2982" s="6" t="s">
        <v>8362</v>
      </c>
      <c r="C2982" s="6" t="s">
        <v>1239</v>
      </c>
      <c r="D2982" s="18">
        <v>1.0</v>
      </c>
      <c r="E2982" s="18">
        <v>2508.85</v>
      </c>
      <c r="F2982" s="18">
        <v>2508.85</v>
      </c>
    </row>
    <row r="2983">
      <c r="A2983" s="6" t="s">
        <v>8364</v>
      </c>
      <c r="B2983" s="6" t="s">
        <v>8365</v>
      </c>
      <c r="C2983" s="6" t="s">
        <v>1239</v>
      </c>
      <c r="D2983" s="18">
        <v>1.0</v>
      </c>
      <c r="E2983" s="18">
        <v>1893.64</v>
      </c>
      <c r="F2983" s="18">
        <v>1893.64</v>
      </c>
    </row>
    <row r="2984">
      <c r="A2984" s="6" t="s">
        <v>8366</v>
      </c>
      <c r="B2984" s="6" t="s">
        <v>8368</v>
      </c>
      <c r="C2984" s="6" t="s">
        <v>1239</v>
      </c>
      <c r="D2984" s="18">
        <v>1.0</v>
      </c>
      <c r="E2984" s="18">
        <v>2220.73</v>
      </c>
      <c r="F2984" s="18">
        <v>2220.73</v>
      </c>
    </row>
    <row r="2985">
      <c r="A2985" s="6" t="s">
        <v>8370</v>
      </c>
      <c r="B2985" s="6" t="s">
        <v>8371</v>
      </c>
      <c r="C2985" s="6" t="s">
        <v>1239</v>
      </c>
      <c r="D2985" s="18">
        <v>1.0</v>
      </c>
      <c r="E2985" s="18">
        <v>1400.01</v>
      </c>
      <c r="F2985" s="18">
        <v>1400.01</v>
      </c>
    </row>
    <row r="2986">
      <c r="A2986" s="6" t="s">
        <v>8372</v>
      </c>
      <c r="B2986" s="6" t="s">
        <v>8373</v>
      </c>
      <c r="C2986" s="6" t="s">
        <v>1239</v>
      </c>
      <c r="D2986" s="18">
        <v>1.0</v>
      </c>
      <c r="E2986" s="18">
        <v>1421.63</v>
      </c>
      <c r="F2986" s="18">
        <v>1421.63</v>
      </c>
    </row>
    <row r="2987">
      <c r="A2987" s="6" t="s">
        <v>8374</v>
      </c>
      <c r="B2987" s="6" t="s">
        <v>8375</v>
      </c>
      <c r="C2987" s="6" t="s">
        <v>3822</v>
      </c>
      <c r="D2987" s="18">
        <v>1.0</v>
      </c>
      <c r="E2987" s="18">
        <v>1000.0</v>
      </c>
      <c r="F2987" s="18">
        <v>1000.0</v>
      </c>
    </row>
    <row r="2988">
      <c r="A2988" s="6" t="s">
        <v>8379</v>
      </c>
      <c r="B2988" s="6" t="s">
        <v>8380</v>
      </c>
      <c r="C2988" s="6" t="s">
        <v>8381</v>
      </c>
      <c r="D2988" s="18">
        <v>1.0</v>
      </c>
      <c r="E2988" s="18">
        <v>1304.3</v>
      </c>
      <c r="F2988" s="18">
        <v>1304.3</v>
      </c>
    </row>
    <row r="2989">
      <c r="A2989" s="6" t="s">
        <v>8382</v>
      </c>
      <c r="B2989" s="6" t="s">
        <v>8383</v>
      </c>
      <c r="C2989" s="6" t="s">
        <v>1168</v>
      </c>
      <c r="D2989" s="18">
        <v>1.0</v>
      </c>
      <c r="E2989" s="18">
        <v>500.0</v>
      </c>
      <c r="F2989" s="18">
        <v>500.0</v>
      </c>
    </row>
    <row r="2990">
      <c r="A2990" s="6" t="s">
        <v>8384</v>
      </c>
      <c r="B2990" s="18">
        <v>1.305661391E9</v>
      </c>
      <c r="C2990" s="6" t="s">
        <v>3833</v>
      </c>
      <c r="D2990" s="18">
        <v>1.0</v>
      </c>
      <c r="E2990" s="18">
        <v>5469.42</v>
      </c>
      <c r="F2990" s="18">
        <v>5469.42</v>
      </c>
    </row>
    <row r="2991">
      <c r="A2991" s="6" t="s">
        <v>8386</v>
      </c>
      <c r="B2991" s="6" t="s">
        <v>8388</v>
      </c>
      <c r="C2991" s="6" t="s">
        <v>3218</v>
      </c>
      <c r="D2991" s="18">
        <v>1.0</v>
      </c>
      <c r="E2991" s="18">
        <v>185.0</v>
      </c>
      <c r="F2991" s="18">
        <v>185.0</v>
      </c>
    </row>
    <row r="2992">
      <c r="A2992" s="6" t="s">
        <v>8389</v>
      </c>
      <c r="B2992" s="6" t="s">
        <v>8390</v>
      </c>
      <c r="C2992" s="6" t="s">
        <v>4831</v>
      </c>
      <c r="D2992" s="18">
        <v>1.0</v>
      </c>
      <c r="E2992" s="18">
        <v>375.0</v>
      </c>
      <c r="F2992" s="18">
        <v>375.0</v>
      </c>
    </row>
    <row r="2993">
      <c r="A2993" s="6" t="s">
        <v>8391</v>
      </c>
      <c r="B2993" s="6" t="s">
        <v>8392</v>
      </c>
      <c r="C2993" s="6" t="s">
        <v>2348</v>
      </c>
      <c r="D2993" s="18">
        <v>1.0</v>
      </c>
      <c r="E2993" s="18">
        <v>129.89</v>
      </c>
      <c r="F2993" s="18">
        <v>129.89</v>
      </c>
    </row>
    <row r="2994">
      <c r="A2994" s="6" t="s">
        <v>8395</v>
      </c>
      <c r="B2994" s="6" t="s">
        <v>8396</v>
      </c>
      <c r="C2994" s="6" t="s">
        <v>3833</v>
      </c>
      <c r="D2994" s="18">
        <v>1.0</v>
      </c>
      <c r="E2994" s="18">
        <v>1200.43</v>
      </c>
      <c r="F2994" s="18">
        <v>1200.43</v>
      </c>
    </row>
    <row r="2995">
      <c r="A2995" s="6" t="s">
        <v>8397</v>
      </c>
      <c r="B2995" s="18">
        <v>11501.0</v>
      </c>
      <c r="C2995" s="6" t="s">
        <v>2448</v>
      </c>
      <c r="D2995" s="18">
        <v>1.0</v>
      </c>
      <c r="E2995" s="18">
        <v>1601.97</v>
      </c>
      <c r="F2995" s="18">
        <v>1601.97</v>
      </c>
    </row>
    <row r="2996">
      <c r="A2996" s="6" t="s">
        <v>8398</v>
      </c>
      <c r="B2996" s="18">
        <v>11502.0</v>
      </c>
      <c r="C2996" s="6" t="s">
        <v>2662</v>
      </c>
      <c r="D2996" s="18">
        <v>1.0</v>
      </c>
      <c r="E2996" s="18">
        <v>14378.5</v>
      </c>
      <c r="F2996" s="18">
        <v>14378.5</v>
      </c>
    </row>
    <row r="2997">
      <c r="A2997" s="6" t="s">
        <v>8400</v>
      </c>
      <c r="B2997" s="6" t="s">
        <v>8401</v>
      </c>
      <c r="C2997" s="6" t="s">
        <v>7522</v>
      </c>
      <c r="D2997" s="18">
        <v>1.0</v>
      </c>
      <c r="E2997" s="18">
        <v>31.65</v>
      </c>
      <c r="F2997" s="18">
        <v>31.65</v>
      </c>
    </row>
    <row r="2998">
      <c r="A2998" s="6" t="s">
        <v>8402</v>
      </c>
      <c r="B2998" s="6" t="s">
        <v>8403</v>
      </c>
      <c r="C2998" s="6" t="s">
        <v>8404</v>
      </c>
      <c r="D2998" s="18">
        <v>1.0</v>
      </c>
      <c r="E2998" s="18">
        <v>415.52</v>
      </c>
      <c r="F2998" s="18">
        <v>415.52</v>
      </c>
    </row>
    <row r="2999">
      <c r="A2999" s="6" t="s">
        <v>8405</v>
      </c>
      <c r="B2999" s="6" t="s">
        <v>8407</v>
      </c>
      <c r="C2999" s="6" t="s">
        <v>8404</v>
      </c>
      <c r="D2999" s="18">
        <v>1.0</v>
      </c>
      <c r="E2999" s="18">
        <v>486.48</v>
      </c>
      <c r="F2999" s="18">
        <v>486.48</v>
      </c>
    </row>
    <row r="3000">
      <c r="A3000" s="6" t="s">
        <v>8409</v>
      </c>
      <c r="B3000" s="6" t="s">
        <v>8410</v>
      </c>
      <c r="C3000" s="6" t="s">
        <v>2662</v>
      </c>
      <c r="D3000" s="18">
        <v>1.0</v>
      </c>
      <c r="E3000" s="18">
        <v>209.66</v>
      </c>
      <c r="F3000" s="18">
        <v>209.66</v>
      </c>
    </row>
    <row r="3001">
      <c r="A3001" s="6" t="s">
        <v>8411</v>
      </c>
      <c r="B3001" s="18">
        <v>11515.0</v>
      </c>
      <c r="C3001" s="6" t="s">
        <v>8404</v>
      </c>
      <c r="D3001" s="18">
        <v>1.0</v>
      </c>
      <c r="E3001" s="18">
        <v>249.23</v>
      </c>
      <c r="F3001" s="18">
        <v>249.23</v>
      </c>
    </row>
    <row r="3002">
      <c r="A3002" s="6" t="s">
        <v>8412</v>
      </c>
      <c r="B3002" s="18">
        <v>11516.0</v>
      </c>
      <c r="C3002" s="6" t="s">
        <v>8404</v>
      </c>
      <c r="D3002" s="18">
        <v>1.0</v>
      </c>
      <c r="E3002" s="18">
        <v>68.56</v>
      </c>
      <c r="F3002" s="18">
        <v>68.56</v>
      </c>
    </row>
    <row r="3003">
      <c r="A3003" s="6" t="s">
        <v>8415</v>
      </c>
      <c r="B3003" s="6" t="s">
        <v>8416</v>
      </c>
      <c r="C3003" s="6" t="s">
        <v>1168</v>
      </c>
      <c r="D3003" s="18">
        <v>1.0</v>
      </c>
      <c r="E3003" s="18">
        <v>500.0</v>
      </c>
      <c r="F3003" s="18">
        <v>500.0</v>
      </c>
    </row>
    <row r="3004">
      <c r="A3004" s="6" t="s">
        <v>8419</v>
      </c>
      <c r="B3004" s="6" t="s">
        <v>8420</v>
      </c>
      <c r="C3004" s="6" t="s">
        <v>1168</v>
      </c>
      <c r="D3004" s="18">
        <v>1.0</v>
      </c>
      <c r="E3004" s="18">
        <v>600.0</v>
      </c>
      <c r="F3004" s="18">
        <v>600.0</v>
      </c>
    </row>
    <row r="3005">
      <c r="A3005" s="6" t="s">
        <v>8421</v>
      </c>
      <c r="B3005" s="6" t="s">
        <v>8422</v>
      </c>
      <c r="C3005" s="6" t="s">
        <v>1168</v>
      </c>
      <c r="D3005" s="18">
        <v>1.0</v>
      </c>
      <c r="E3005" s="18">
        <v>500.0</v>
      </c>
      <c r="F3005" s="18">
        <v>500.0</v>
      </c>
    </row>
    <row r="3006">
      <c r="A3006" s="6" t="s">
        <v>8425</v>
      </c>
      <c r="B3006" s="6" t="s">
        <v>8426</v>
      </c>
      <c r="C3006" s="6" t="s">
        <v>1168</v>
      </c>
      <c r="D3006" s="18">
        <v>1.0</v>
      </c>
      <c r="E3006" s="18">
        <v>500.0</v>
      </c>
      <c r="F3006" s="18">
        <v>500.0</v>
      </c>
    </row>
    <row r="3007">
      <c r="A3007" s="6" t="s">
        <v>8428</v>
      </c>
      <c r="B3007" s="6" t="s">
        <v>8429</v>
      </c>
      <c r="C3007" s="6" t="s">
        <v>3833</v>
      </c>
      <c r="D3007" s="18">
        <v>1.0</v>
      </c>
      <c r="E3007" s="18">
        <v>2509.94</v>
      </c>
      <c r="F3007" s="18">
        <v>2509.94</v>
      </c>
    </row>
    <row r="3008">
      <c r="A3008" s="6" t="s">
        <v>8430</v>
      </c>
      <c r="B3008" s="6" t="s">
        <v>8431</v>
      </c>
      <c r="C3008" s="6" t="s">
        <v>3833</v>
      </c>
      <c r="D3008" s="18">
        <v>1.0</v>
      </c>
      <c r="E3008" s="18">
        <v>1237.88</v>
      </c>
      <c r="F3008" s="18">
        <v>1237.88</v>
      </c>
    </row>
    <row r="3009">
      <c r="A3009" s="6" t="s">
        <v>8434</v>
      </c>
      <c r="B3009" s="6" t="s">
        <v>8435</v>
      </c>
      <c r="C3009" s="6" t="s">
        <v>3833</v>
      </c>
      <c r="D3009" s="18">
        <v>1.0</v>
      </c>
      <c r="E3009" s="18">
        <v>226.8</v>
      </c>
      <c r="F3009" s="18">
        <v>226.8</v>
      </c>
    </row>
    <row r="3010">
      <c r="A3010" s="6" t="s">
        <v>8436</v>
      </c>
      <c r="B3010" s="18">
        <v>11526.0</v>
      </c>
      <c r="C3010" s="6" t="s">
        <v>2870</v>
      </c>
      <c r="D3010" s="18">
        <v>1.0</v>
      </c>
      <c r="E3010" s="18">
        <v>343.11</v>
      </c>
      <c r="F3010" s="18">
        <v>343.11</v>
      </c>
    </row>
    <row r="3011">
      <c r="A3011" s="6" t="s">
        <v>8437</v>
      </c>
      <c r="B3011" s="18">
        <v>11527.0</v>
      </c>
      <c r="C3011" s="6" t="s">
        <v>2870</v>
      </c>
      <c r="D3011" s="18">
        <v>1.0</v>
      </c>
      <c r="E3011" s="18">
        <v>82.62</v>
      </c>
      <c r="F3011" s="18">
        <v>82.62</v>
      </c>
    </row>
    <row r="3012">
      <c r="A3012" s="6" t="s">
        <v>8440</v>
      </c>
      <c r="B3012" s="18">
        <v>11528.0</v>
      </c>
      <c r="C3012" s="6" t="s">
        <v>1239</v>
      </c>
      <c r="D3012" s="18">
        <v>1.0</v>
      </c>
      <c r="E3012" s="18">
        <v>4082.0</v>
      </c>
      <c r="F3012" s="18">
        <v>4082.0</v>
      </c>
    </row>
    <row r="3013">
      <c r="A3013" s="6" t="s">
        <v>8441</v>
      </c>
      <c r="B3013" s="18">
        <v>11529.0</v>
      </c>
      <c r="C3013" s="6" t="s">
        <v>1126</v>
      </c>
      <c r="D3013" s="18">
        <v>1.0</v>
      </c>
      <c r="E3013" s="18">
        <v>40.0</v>
      </c>
      <c r="F3013" s="18">
        <v>40.0</v>
      </c>
    </row>
    <row r="3014">
      <c r="A3014" s="6" t="s">
        <v>8442</v>
      </c>
      <c r="B3014" s="18">
        <v>11530.0</v>
      </c>
      <c r="C3014" s="6" t="s">
        <v>5636</v>
      </c>
      <c r="D3014" s="18">
        <v>1.0</v>
      </c>
      <c r="E3014" s="18">
        <v>200.0</v>
      </c>
      <c r="F3014" s="18">
        <v>200.0</v>
      </c>
    </row>
    <row r="3015">
      <c r="A3015" s="6" t="s">
        <v>8446</v>
      </c>
      <c r="B3015" s="18">
        <v>11531.0</v>
      </c>
      <c r="C3015" s="6" t="s">
        <v>5640</v>
      </c>
      <c r="D3015" s="18">
        <v>1.0</v>
      </c>
      <c r="E3015" s="18">
        <v>22.0</v>
      </c>
      <c r="F3015" s="18">
        <v>22.0</v>
      </c>
    </row>
    <row r="3016">
      <c r="A3016" s="6" t="s">
        <v>8447</v>
      </c>
      <c r="B3016" s="18">
        <v>11532.0</v>
      </c>
      <c r="C3016" s="6" t="s">
        <v>5973</v>
      </c>
      <c r="D3016" s="18">
        <v>1.0</v>
      </c>
      <c r="E3016" s="18">
        <v>10.0</v>
      </c>
      <c r="F3016" s="18">
        <v>10.0</v>
      </c>
    </row>
    <row r="3017">
      <c r="A3017" s="6" t="s">
        <v>8448</v>
      </c>
      <c r="B3017" s="18">
        <v>11533.0</v>
      </c>
      <c r="C3017" s="6" t="s">
        <v>1239</v>
      </c>
      <c r="D3017" s="18">
        <v>1.0</v>
      </c>
      <c r="E3017" s="18">
        <v>1.0</v>
      </c>
      <c r="F3017" s="18">
        <v>1.0</v>
      </c>
    </row>
    <row r="3018">
      <c r="A3018" s="6" t="s">
        <v>8449</v>
      </c>
      <c r="B3018" s="18">
        <v>11534.0</v>
      </c>
      <c r="C3018" s="6" t="s">
        <v>1239</v>
      </c>
      <c r="D3018" s="18">
        <v>1.0</v>
      </c>
      <c r="E3018" s="18">
        <v>1.0</v>
      </c>
      <c r="F3018" s="18">
        <v>1.0</v>
      </c>
    </row>
    <row r="3019">
      <c r="A3019" s="6" t="s">
        <v>8450</v>
      </c>
      <c r="B3019" s="18">
        <v>11535.0</v>
      </c>
      <c r="C3019" s="6" t="s">
        <v>1239</v>
      </c>
      <c r="D3019" s="18">
        <v>1.0</v>
      </c>
      <c r="E3019" s="18">
        <v>1.0</v>
      </c>
      <c r="F3019" s="18">
        <v>1.0</v>
      </c>
    </row>
    <row r="3020">
      <c r="A3020" s="6" t="s">
        <v>8451</v>
      </c>
      <c r="B3020" s="18">
        <v>11536.0</v>
      </c>
      <c r="C3020" s="6" t="s">
        <v>1239</v>
      </c>
      <c r="D3020" s="18">
        <v>1.0</v>
      </c>
      <c r="E3020" s="18">
        <v>1.0</v>
      </c>
      <c r="F3020" s="18">
        <v>1.0</v>
      </c>
    </row>
    <row r="3021">
      <c r="A3021" s="6" t="s">
        <v>8452</v>
      </c>
      <c r="B3021" s="18">
        <v>11537.0</v>
      </c>
      <c r="C3021" s="6" t="s">
        <v>1239</v>
      </c>
      <c r="D3021" s="18">
        <v>1.0</v>
      </c>
      <c r="E3021" s="18">
        <v>1.0</v>
      </c>
      <c r="F3021" s="18">
        <v>1.0</v>
      </c>
    </row>
    <row r="3022">
      <c r="A3022" s="6" t="s">
        <v>8453</v>
      </c>
      <c r="B3022" s="6" t="s">
        <v>8454</v>
      </c>
      <c r="C3022" s="6" t="s">
        <v>1168</v>
      </c>
      <c r="D3022" s="18">
        <v>1.0</v>
      </c>
      <c r="E3022" s="18">
        <v>500.0</v>
      </c>
      <c r="F3022" s="18">
        <v>500.0</v>
      </c>
    </row>
    <row r="3023">
      <c r="A3023" s="6" t="s">
        <v>8456</v>
      </c>
      <c r="B3023" s="6" t="s">
        <v>8457</v>
      </c>
      <c r="C3023" s="6" t="s">
        <v>8458</v>
      </c>
      <c r="D3023" s="18">
        <v>1.0</v>
      </c>
      <c r="E3023" s="18">
        <v>3474.96</v>
      </c>
      <c r="F3023" s="18">
        <v>3474.96</v>
      </c>
    </row>
    <row r="3024">
      <c r="A3024" s="6" t="s">
        <v>8459</v>
      </c>
      <c r="B3024" s="6" t="s">
        <v>8460</v>
      </c>
      <c r="C3024" s="6" t="s">
        <v>8458</v>
      </c>
      <c r="D3024" s="18">
        <v>1.0</v>
      </c>
      <c r="E3024" s="18">
        <v>16284.86</v>
      </c>
      <c r="F3024" s="18">
        <v>16284.86</v>
      </c>
    </row>
    <row r="3025">
      <c r="A3025" s="6" t="s">
        <v>8461</v>
      </c>
      <c r="B3025" s="6" t="s">
        <v>8462</v>
      </c>
      <c r="C3025" s="6" t="s">
        <v>8463</v>
      </c>
      <c r="D3025" s="18">
        <v>1.0</v>
      </c>
      <c r="E3025" s="18">
        <v>46.13</v>
      </c>
      <c r="F3025" s="18">
        <v>46.13</v>
      </c>
    </row>
    <row r="3026">
      <c r="A3026" s="6" t="s">
        <v>8464</v>
      </c>
      <c r="B3026" s="6" t="s">
        <v>8465</v>
      </c>
      <c r="C3026" s="6" t="s">
        <v>1510</v>
      </c>
      <c r="D3026" s="18">
        <v>1.0</v>
      </c>
      <c r="E3026" s="18">
        <v>16284.86</v>
      </c>
      <c r="F3026" s="18">
        <v>16284.86</v>
      </c>
    </row>
    <row r="3027">
      <c r="A3027" s="6" t="s">
        <v>8470</v>
      </c>
      <c r="B3027" s="6" t="s">
        <v>8471</v>
      </c>
      <c r="C3027" s="6" t="s">
        <v>1074</v>
      </c>
      <c r="D3027" s="18">
        <v>2.0</v>
      </c>
      <c r="E3027" s="18">
        <v>20.0</v>
      </c>
      <c r="F3027" s="18">
        <v>40.0</v>
      </c>
    </row>
    <row r="3028">
      <c r="A3028" s="6" t="s">
        <v>8473</v>
      </c>
      <c r="B3028" s="6" t="s">
        <v>8471</v>
      </c>
      <c r="C3028" s="6" t="s">
        <v>1079</v>
      </c>
      <c r="D3028" s="18">
        <v>10.0</v>
      </c>
      <c r="E3028" s="18">
        <v>18.0</v>
      </c>
      <c r="F3028" s="18">
        <v>180.0</v>
      </c>
    </row>
    <row r="3029">
      <c r="A3029" s="6" t="s">
        <v>8475</v>
      </c>
      <c r="B3029" s="6" t="s">
        <v>8471</v>
      </c>
      <c r="C3029" s="6" t="s">
        <v>1077</v>
      </c>
      <c r="D3029" s="18">
        <v>2.0</v>
      </c>
      <c r="E3029" s="18">
        <v>25.8</v>
      </c>
      <c r="F3029" s="18">
        <v>51.6</v>
      </c>
    </row>
    <row r="3030">
      <c r="A3030" s="6" t="s">
        <v>8479</v>
      </c>
      <c r="B3030" s="6" t="s">
        <v>8480</v>
      </c>
      <c r="C3030" s="6" t="s">
        <v>1080</v>
      </c>
      <c r="D3030" s="18">
        <v>15.0</v>
      </c>
      <c r="E3030" s="18">
        <v>13.9</v>
      </c>
      <c r="F3030" s="18">
        <v>208.5</v>
      </c>
    </row>
    <row r="3031">
      <c r="A3031" s="6" t="s">
        <v>8483</v>
      </c>
      <c r="B3031" s="6" t="s">
        <v>8480</v>
      </c>
      <c r="C3031" s="6" t="s">
        <v>338</v>
      </c>
      <c r="D3031" s="18">
        <v>1.0</v>
      </c>
      <c r="E3031" s="18">
        <v>32.9</v>
      </c>
      <c r="F3031" s="18">
        <v>32.9</v>
      </c>
    </row>
    <row r="3032">
      <c r="A3032" s="6" t="s">
        <v>8484</v>
      </c>
      <c r="B3032" s="6" t="s">
        <v>8485</v>
      </c>
      <c r="C3032" s="6" t="s">
        <v>8486</v>
      </c>
      <c r="D3032" s="18">
        <v>1.0</v>
      </c>
      <c r="E3032" s="18">
        <v>59.8</v>
      </c>
      <c r="F3032" s="18">
        <v>59.8</v>
      </c>
    </row>
    <row r="3033">
      <c r="A3033" s="6" t="s">
        <v>8487</v>
      </c>
      <c r="B3033" s="6" t="s">
        <v>8488</v>
      </c>
      <c r="C3033" s="6" t="s">
        <v>1168</v>
      </c>
      <c r="D3033" s="18">
        <v>1.0</v>
      </c>
      <c r="E3033" s="18">
        <v>500.0</v>
      </c>
      <c r="F3033" s="18">
        <v>500.0</v>
      </c>
    </row>
    <row r="3034">
      <c r="A3034" s="6" t="s">
        <v>8489</v>
      </c>
      <c r="B3034" s="6" t="s">
        <v>8490</v>
      </c>
      <c r="C3034" s="6" t="s">
        <v>1168</v>
      </c>
      <c r="D3034" s="18">
        <v>1.0</v>
      </c>
      <c r="E3034" s="18">
        <v>500.0</v>
      </c>
      <c r="F3034" s="18">
        <v>500.0</v>
      </c>
    </row>
    <row r="3035">
      <c r="A3035" s="6" t="s">
        <v>8493</v>
      </c>
      <c r="B3035" s="6" t="s">
        <v>8494</v>
      </c>
      <c r="C3035" s="6" t="s">
        <v>1168</v>
      </c>
      <c r="D3035" s="18">
        <v>1.0</v>
      </c>
      <c r="E3035" s="18">
        <v>500.0</v>
      </c>
      <c r="F3035" s="18">
        <v>500.0</v>
      </c>
    </row>
    <row r="3036">
      <c r="A3036" s="6" t="s">
        <v>8495</v>
      </c>
      <c r="B3036" s="18">
        <v>11563.0</v>
      </c>
      <c r="C3036" s="6" t="s">
        <v>1668</v>
      </c>
      <c r="D3036" s="18">
        <v>1.0</v>
      </c>
      <c r="E3036" s="18">
        <v>124.16</v>
      </c>
      <c r="F3036" s="18">
        <v>124.16</v>
      </c>
    </row>
    <row r="3037">
      <c r="A3037" s="6" t="s">
        <v>8498</v>
      </c>
      <c r="B3037" s="18">
        <v>11564.0</v>
      </c>
      <c r="C3037" s="6" t="s">
        <v>3218</v>
      </c>
      <c r="D3037" s="18">
        <v>1.0</v>
      </c>
      <c r="E3037" s="18">
        <v>8930.0</v>
      </c>
      <c r="F3037" s="18">
        <v>8930.0</v>
      </c>
    </row>
    <row r="3038">
      <c r="A3038" s="6" t="s">
        <v>8500</v>
      </c>
      <c r="B3038" s="18">
        <v>11565.0</v>
      </c>
      <c r="C3038" s="6" t="s">
        <v>8501</v>
      </c>
      <c r="D3038" s="18">
        <v>1.0</v>
      </c>
      <c r="E3038" s="18">
        <v>550.0</v>
      </c>
      <c r="F3038" s="18">
        <v>550.0</v>
      </c>
    </row>
    <row r="3039">
      <c r="A3039" s="6" t="s">
        <v>8502</v>
      </c>
      <c r="B3039" s="18">
        <v>11566.0</v>
      </c>
      <c r="C3039" s="6" t="s">
        <v>873</v>
      </c>
      <c r="D3039" s="18">
        <v>1.0</v>
      </c>
      <c r="E3039" s="18">
        <v>0.0</v>
      </c>
      <c r="F3039" s="18">
        <v>0.0</v>
      </c>
    </row>
    <row r="3040">
      <c r="A3040" s="6" t="s">
        <v>8505</v>
      </c>
      <c r="B3040" s="18">
        <v>11567.0</v>
      </c>
      <c r="C3040" s="6" t="s">
        <v>5325</v>
      </c>
      <c r="D3040" s="18">
        <v>1.0</v>
      </c>
      <c r="E3040" s="18">
        <v>110.0</v>
      </c>
      <c r="F3040" s="18">
        <v>110.0</v>
      </c>
    </row>
    <row r="3041">
      <c r="A3041" s="6" t="s">
        <v>8506</v>
      </c>
      <c r="B3041" s="6" t="s">
        <v>8508</v>
      </c>
      <c r="C3041" s="6" t="s">
        <v>8067</v>
      </c>
      <c r="D3041" s="18">
        <v>1.0</v>
      </c>
      <c r="E3041" s="18">
        <v>10.0</v>
      </c>
      <c r="F3041" s="18">
        <v>10.0</v>
      </c>
    </row>
    <row r="3042">
      <c r="A3042" s="6" t="s">
        <v>8511</v>
      </c>
      <c r="B3042" s="6" t="s">
        <v>8512</v>
      </c>
      <c r="C3042" s="6" t="s">
        <v>1517</v>
      </c>
      <c r="D3042" s="18">
        <v>1.0</v>
      </c>
      <c r="E3042" s="18">
        <v>1202.77</v>
      </c>
      <c r="F3042" s="18">
        <v>1202.77</v>
      </c>
    </row>
    <row r="3043">
      <c r="A3043" s="6" t="s">
        <v>8513</v>
      </c>
      <c r="B3043" s="6" t="s">
        <v>8514</v>
      </c>
      <c r="C3043" s="6" t="s">
        <v>5713</v>
      </c>
      <c r="D3043" s="18">
        <v>1.0</v>
      </c>
      <c r="E3043" s="18">
        <v>120.62</v>
      </c>
      <c r="F3043" s="18">
        <v>120.62</v>
      </c>
    </row>
    <row r="3044">
      <c r="A3044" s="6" t="s">
        <v>8517</v>
      </c>
      <c r="B3044" s="6" t="s">
        <v>8518</v>
      </c>
      <c r="C3044" s="6" t="s">
        <v>5713</v>
      </c>
      <c r="D3044" s="18">
        <v>1.0</v>
      </c>
      <c r="E3044" s="18">
        <v>556.21</v>
      </c>
      <c r="F3044" s="18">
        <v>556.21</v>
      </c>
    </row>
    <row r="3045">
      <c r="A3045" s="6" t="s">
        <v>8519</v>
      </c>
      <c r="B3045" s="6" t="s">
        <v>8520</v>
      </c>
      <c r="C3045" s="6" t="s">
        <v>1517</v>
      </c>
      <c r="D3045" s="18">
        <v>1.0</v>
      </c>
      <c r="E3045" s="18">
        <v>5546.29</v>
      </c>
      <c r="F3045" s="18">
        <v>5546.29</v>
      </c>
    </row>
    <row r="3046">
      <c r="A3046" s="6" t="s">
        <v>8521</v>
      </c>
      <c r="B3046" s="6" t="s">
        <v>8522</v>
      </c>
      <c r="C3046" s="6" t="s">
        <v>159</v>
      </c>
      <c r="D3046" s="18">
        <v>1.0</v>
      </c>
      <c r="E3046" s="18">
        <v>300.0</v>
      </c>
      <c r="F3046" s="18">
        <v>300.0</v>
      </c>
    </row>
    <row r="3047">
      <c r="A3047" s="6" t="s">
        <v>8525</v>
      </c>
      <c r="B3047" s="6" t="s">
        <v>8522</v>
      </c>
      <c r="C3047" s="6" t="s">
        <v>155</v>
      </c>
      <c r="D3047" s="18">
        <v>1.0</v>
      </c>
      <c r="E3047" s="18">
        <v>54.63</v>
      </c>
      <c r="F3047" s="18">
        <v>54.63</v>
      </c>
    </row>
    <row r="3048">
      <c r="A3048" s="6" t="s">
        <v>8526</v>
      </c>
      <c r="B3048" s="6" t="s">
        <v>8522</v>
      </c>
      <c r="C3048" s="6" t="s">
        <v>226</v>
      </c>
      <c r="D3048" s="18">
        <v>1.0</v>
      </c>
      <c r="E3048" s="18">
        <v>72.0</v>
      </c>
      <c r="F3048" s="18">
        <v>72.0</v>
      </c>
    </row>
    <row r="3049">
      <c r="A3049" s="6" t="s">
        <v>8528</v>
      </c>
      <c r="B3049" s="6" t="s">
        <v>8530</v>
      </c>
      <c r="C3049" s="6" t="s">
        <v>305</v>
      </c>
      <c r="D3049" s="18">
        <v>1.0</v>
      </c>
      <c r="E3049" s="18">
        <v>153.31</v>
      </c>
      <c r="F3049" s="18">
        <v>153.31</v>
      </c>
    </row>
    <row r="3050">
      <c r="A3050" s="6" t="s">
        <v>8532</v>
      </c>
      <c r="B3050" s="6" t="s">
        <v>8533</v>
      </c>
      <c r="C3050" s="6" t="s">
        <v>8534</v>
      </c>
      <c r="D3050" s="18">
        <v>1.0</v>
      </c>
      <c r="E3050" s="18">
        <v>8.0</v>
      </c>
      <c r="F3050" s="18">
        <v>8.0</v>
      </c>
    </row>
    <row r="3051">
      <c r="A3051" s="6" t="s">
        <v>8535</v>
      </c>
      <c r="B3051" s="6" t="s">
        <v>8537</v>
      </c>
      <c r="C3051" s="6" t="s">
        <v>1022</v>
      </c>
      <c r="D3051" s="18">
        <v>1.0</v>
      </c>
      <c r="E3051" s="18">
        <v>140.0</v>
      </c>
      <c r="F3051" s="18">
        <v>140.0</v>
      </c>
    </row>
    <row r="3052">
      <c r="A3052" s="6" t="s">
        <v>8539</v>
      </c>
      <c r="B3052" s="6" t="s">
        <v>8540</v>
      </c>
      <c r="C3052" s="6" t="s">
        <v>6720</v>
      </c>
      <c r="D3052" s="18">
        <v>1.0</v>
      </c>
      <c r="E3052" s="18">
        <v>30.0</v>
      </c>
      <c r="F3052" s="18">
        <v>30.0</v>
      </c>
    </row>
    <row r="3053">
      <c r="A3053" s="6" t="s">
        <v>8541</v>
      </c>
      <c r="B3053" s="6" t="s">
        <v>8542</v>
      </c>
      <c r="C3053" s="6" t="s">
        <v>226</v>
      </c>
      <c r="D3053" s="18">
        <v>1.0</v>
      </c>
      <c r="E3053" s="18">
        <v>36.0</v>
      </c>
      <c r="F3053" s="18">
        <v>36.0</v>
      </c>
    </row>
    <row r="3054">
      <c r="A3054" s="6" t="s">
        <v>8545</v>
      </c>
      <c r="B3054" s="6" t="s">
        <v>8542</v>
      </c>
      <c r="C3054" s="6" t="s">
        <v>155</v>
      </c>
      <c r="D3054" s="18">
        <v>1.0</v>
      </c>
      <c r="E3054" s="18">
        <v>42.9</v>
      </c>
      <c r="F3054" s="18">
        <v>42.9</v>
      </c>
    </row>
    <row r="3055">
      <c r="A3055" s="6" t="s">
        <v>8548</v>
      </c>
      <c r="B3055" s="6" t="s">
        <v>8549</v>
      </c>
      <c r="C3055" s="18">
        <v>1.2539885E7</v>
      </c>
      <c r="D3055" s="18">
        <v>1.0</v>
      </c>
      <c r="E3055" s="18">
        <v>275.0</v>
      </c>
      <c r="F3055" s="18">
        <v>275.0</v>
      </c>
    </row>
    <row r="3056">
      <c r="A3056" s="6" t="s">
        <v>8551</v>
      </c>
      <c r="B3056" s="18">
        <v>11573.0</v>
      </c>
      <c r="C3056" s="10"/>
      <c r="D3056" s="18">
        <v>1.0</v>
      </c>
      <c r="E3056" s="18">
        <v>1.0</v>
      </c>
      <c r="F3056" s="18">
        <v>1.0</v>
      </c>
    </row>
    <row r="3057">
      <c r="A3057" s="6" t="s">
        <v>8552</v>
      </c>
      <c r="B3057" s="6" t="s">
        <v>8553</v>
      </c>
      <c r="C3057" s="18">
        <v>1.2539885E7</v>
      </c>
      <c r="D3057" s="18">
        <v>1.0</v>
      </c>
      <c r="E3057" s="18">
        <v>250.0</v>
      </c>
      <c r="F3057" s="18">
        <v>250.0</v>
      </c>
    </row>
    <row r="3058">
      <c r="A3058" s="6" t="s">
        <v>8554</v>
      </c>
      <c r="B3058" s="6" t="s">
        <v>8555</v>
      </c>
      <c r="C3058" s="6" t="s">
        <v>6720</v>
      </c>
      <c r="D3058" s="18">
        <v>1.0</v>
      </c>
      <c r="E3058" s="18">
        <v>20.0</v>
      </c>
      <c r="F3058" s="18">
        <v>20.0</v>
      </c>
    </row>
    <row r="3059">
      <c r="A3059" s="6" t="s">
        <v>8556</v>
      </c>
      <c r="B3059" s="6" t="s">
        <v>8557</v>
      </c>
      <c r="C3059" s="6" t="s">
        <v>6720</v>
      </c>
      <c r="D3059" s="18">
        <v>1.0</v>
      </c>
      <c r="E3059" s="18">
        <v>100.0</v>
      </c>
      <c r="F3059" s="18">
        <v>100.0</v>
      </c>
    </row>
    <row r="3060">
      <c r="A3060" s="6" t="s">
        <v>8558</v>
      </c>
      <c r="B3060" s="6" t="s">
        <v>8559</v>
      </c>
      <c r="C3060" s="6" t="s">
        <v>6720</v>
      </c>
      <c r="D3060" s="18">
        <v>1.0</v>
      </c>
      <c r="E3060" s="18">
        <v>12.0</v>
      </c>
      <c r="F3060" s="18">
        <v>12.0</v>
      </c>
    </row>
    <row r="3061">
      <c r="A3061" s="6" t="s">
        <v>8560</v>
      </c>
      <c r="B3061" s="6" t="s">
        <v>8561</v>
      </c>
      <c r="C3061" s="6" t="s">
        <v>6720</v>
      </c>
      <c r="D3061" s="18">
        <v>1.0</v>
      </c>
      <c r="E3061" s="18">
        <v>75.0</v>
      </c>
      <c r="F3061" s="18">
        <v>75.0</v>
      </c>
    </row>
    <row r="3062">
      <c r="A3062" s="6" t="s">
        <v>8562</v>
      </c>
      <c r="B3062" s="6" t="s">
        <v>8563</v>
      </c>
      <c r="C3062" s="6" t="s">
        <v>6720</v>
      </c>
      <c r="D3062" s="18">
        <v>1.0</v>
      </c>
      <c r="E3062" s="18">
        <v>54.0</v>
      </c>
      <c r="F3062" s="18">
        <v>54.0</v>
      </c>
    </row>
    <row r="3063">
      <c r="A3063" s="6" t="s">
        <v>8564</v>
      </c>
      <c r="B3063" s="6" t="s">
        <v>8565</v>
      </c>
      <c r="C3063" s="6" t="s">
        <v>6720</v>
      </c>
      <c r="D3063" s="18">
        <v>1.0</v>
      </c>
      <c r="E3063" s="18">
        <v>353.0</v>
      </c>
      <c r="F3063" s="18">
        <v>353.0</v>
      </c>
    </row>
    <row r="3064">
      <c r="A3064" s="6" t="s">
        <v>8566</v>
      </c>
      <c r="B3064" s="6" t="s">
        <v>8567</v>
      </c>
      <c r="C3064" s="6" t="s">
        <v>3987</v>
      </c>
      <c r="D3064" s="18">
        <v>1.0</v>
      </c>
      <c r="E3064" s="18">
        <v>130.0</v>
      </c>
      <c r="F3064" s="18">
        <v>130.0</v>
      </c>
    </row>
    <row r="3065">
      <c r="A3065" s="6" t="s">
        <v>8568</v>
      </c>
      <c r="B3065" s="6" t="s">
        <v>8569</v>
      </c>
      <c r="C3065" s="6" t="s">
        <v>3987</v>
      </c>
      <c r="D3065" s="18">
        <v>1.0</v>
      </c>
      <c r="E3065" s="18">
        <v>130.0</v>
      </c>
      <c r="F3065" s="18">
        <v>130.0</v>
      </c>
    </row>
    <row r="3066">
      <c r="A3066" s="6" t="s">
        <v>8570</v>
      </c>
      <c r="B3066" s="6" t="s">
        <v>8571</v>
      </c>
      <c r="C3066" s="6" t="s">
        <v>3987</v>
      </c>
      <c r="D3066" s="18">
        <v>1.0</v>
      </c>
      <c r="E3066" s="18">
        <v>130.0</v>
      </c>
      <c r="F3066" s="18">
        <v>130.0</v>
      </c>
    </row>
    <row r="3067">
      <c r="A3067" s="6" t="s">
        <v>8572</v>
      </c>
      <c r="B3067" s="6" t="s">
        <v>8574</v>
      </c>
      <c r="C3067" s="6" t="s">
        <v>3987</v>
      </c>
      <c r="D3067" s="18">
        <v>1.0</v>
      </c>
      <c r="E3067" s="18">
        <v>100.0</v>
      </c>
      <c r="F3067" s="18">
        <v>100.0</v>
      </c>
    </row>
    <row r="3068">
      <c r="A3068" s="6" t="s">
        <v>8576</v>
      </c>
      <c r="B3068" s="6" t="s">
        <v>8577</v>
      </c>
      <c r="C3068" s="6" t="s">
        <v>3987</v>
      </c>
      <c r="D3068" s="18">
        <v>1.0</v>
      </c>
      <c r="E3068" s="18">
        <v>130.0</v>
      </c>
      <c r="F3068" s="18">
        <v>130.0</v>
      </c>
    </row>
    <row r="3069">
      <c r="A3069" s="6" t="s">
        <v>8578</v>
      </c>
      <c r="B3069" s="6" t="s">
        <v>8579</v>
      </c>
      <c r="C3069" s="6" t="s">
        <v>3987</v>
      </c>
      <c r="D3069" s="18">
        <v>1.0</v>
      </c>
      <c r="E3069" s="18">
        <v>130.0</v>
      </c>
      <c r="F3069" s="18">
        <v>130.0</v>
      </c>
    </row>
    <row r="3070">
      <c r="A3070" s="6" t="s">
        <v>8580</v>
      </c>
      <c r="B3070" s="6" t="s">
        <v>8581</v>
      </c>
      <c r="C3070" s="6" t="s">
        <v>6322</v>
      </c>
      <c r="D3070" s="18">
        <v>1.0</v>
      </c>
      <c r="E3070" s="18">
        <v>17.18</v>
      </c>
      <c r="F3070" s="18">
        <v>17.18</v>
      </c>
    </row>
    <row r="3071">
      <c r="A3071" s="6" t="s">
        <v>8584</v>
      </c>
      <c r="B3071" s="6" t="s">
        <v>8585</v>
      </c>
      <c r="C3071" s="6" t="s">
        <v>8587</v>
      </c>
      <c r="D3071" s="18">
        <v>2.0</v>
      </c>
      <c r="E3071" s="18">
        <v>20.0</v>
      </c>
      <c r="F3071" s="18">
        <v>40.0</v>
      </c>
    </row>
    <row r="3072">
      <c r="A3072" s="6" t="s">
        <v>8588</v>
      </c>
      <c r="B3072" s="6" t="s">
        <v>8589</v>
      </c>
      <c r="C3072" s="6" t="s">
        <v>6720</v>
      </c>
      <c r="D3072" s="18">
        <v>1.0</v>
      </c>
      <c r="E3072" s="18">
        <v>32.0</v>
      </c>
      <c r="F3072" s="18">
        <v>32.0</v>
      </c>
    </row>
    <row r="3073">
      <c r="A3073" s="6" t="s">
        <v>8590</v>
      </c>
      <c r="B3073" s="6" t="s">
        <v>8591</v>
      </c>
      <c r="C3073" s="6" t="s">
        <v>6720</v>
      </c>
      <c r="D3073" s="18">
        <v>1.0</v>
      </c>
      <c r="E3073" s="18">
        <v>34.0</v>
      </c>
      <c r="F3073" s="18">
        <v>34.0</v>
      </c>
    </row>
    <row r="3074">
      <c r="A3074" s="6" t="s">
        <v>8594</v>
      </c>
      <c r="B3074" s="6" t="s">
        <v>8595</v>
      </c>
      <c r="C3074" s="6" t="s">
        <v>8067</v>
      </c>
      <c r="D3074" s="18">
        <v>1.0</v>
      </c>
      <c r="E3074" s="18">
        <v>10.0</v>
      </c>
      <c r="F3074" s="18">
        <v>10.0</v>
      </c>
    </row>
    <row r="3075">
      <c r="A3075" s="6" t="s">
        <v>8598</v>
      </c>
      <c r="B3075" s="18">
        <v>11575.0</v>
      </c>
      <c r="C3075" s="6" t="s">
        <v>6956</v>
      </c>
      <c r="D3075" s="18">
        <v>1.0</v>
      </c>
      <c r="E3075" s="18">
        <v>1098.0</v>
      </c>
      <c r="F3075" s="18">
        <v>1098.0</v>
      </c>
    </row>
    <row r="3076">
      <c r="A3076" s="6" t="s">
        <v>8601</v>
      </c>
      <c r="B3076" s="18">
        <v>11576.0</v>
      </c>
      <c r="C3076" s="6" t="s">
        <v>7344</v>
      </c>
      <c r="D3076" s="18">
        <v>1.0</v>
      </c>
      <c r="E3076" s="18">
        <v>625.0</v>
      </c>
      <c r="F3076" s="18">
        <v>625.0</v>
      </c>
    </row>
    <row r="3077">
      <c r="A3077" s="6" t="s">
        <v>8602</v>
      </c>
      <c r="B3077" s="18">
        <v>11577.0</v>
      </c>
      <c r="C3077" s="6" t="s">
        <v>8603</v>
      </c>
      <c r="D3077" s="18">
        <v>1.0</v>
      </c>
      <c r="E3077" s="18">
        <v>181.37</v>
      </c>
      <c r="F3077" s="18">
        <v>181.37</v>
      </c>
    </row>
    <row r="3078">
      <c r="A3078" s="6" t="s">
        <v>8607</v>
      </c>
      <c r="B3078" s="18">
        <v>11578.0</v>
      </c>
      <c r="C3078" s="10"/>
      <c r="D3078" s="18">
        <v>1.0</v>
      </c>
      <c r="E3078" s="18">
        <v>1.0</v>
      </c>
      <c r="F3078" s="18">
        <v>1.0</v>
      </c>
    </row>
    <row r="3079">
      <c r="A3079" s="6" t="s">
        <v>8608</v>
      </c>
      <c r="B3079" s="18">
        <v>11579.0</v>
      </c>
      <c r="C3079" s="6" t="s">
        <v>3218</v>
      </c>
      <c r="D3079" s="18">
        <v>1.0</v>
      </c>
      <c r="E3079" s="18">
        <v>185.0</v>
      </c>
      <c r="F3079" s="18">
        <v>185.0</v>
      </c>
    </row>
    <row r="3080">
      <c r="A3080" s="6" t="s">
        <v>8612</v>
      </c>
      <c r="B3080" s="18">
        <v>11580.0</v>
      </c>
      <c r="C3080" s="6" t="s">
        <v>4831</v>
      </c>
      <c r="D3080" s="18">
        <v>1.0</v>
      </c>
      <c r="E3080" s="18">
        <v>375.0</v>
      </c>
      <c r="F3080" s="18">
        <v>375.0</v>
      </c>
    </row>
    <row r="3081">
      <c r="A3081" s="6" t="s">
        <v>8613</v>
      </c>
      <c r="B3081" s="6" t="s">
        <v>8614</v>
      </c>
      <c r="C3081" s="6" t="s">
        <v>6720</v>
      </c>
      <c r="D3081" s="18">
        <v>1.0</v>
      </c>
      <c r="E3081" s="18">
        <v>140.0</v>
      </c>
      <c r="F3081" s="18">
        <v>140.0</v>
      </c>
    </row>
    <row r="3082">
      <c r="A3082" s="6" t="s">
        <v>8615</v>
      </c>
      <c r="B3082" s="6" t="s">
        <v>8616</v>
      </c>
      <c r="C3082" s="6" t="s">
        <v>1195</v>
      </c>
      <c r="D3082" s="18">
        <v>5.0</v>
      </c>
      <c r="E3082" s="18">
        <v>24.0</v>
      </c>
      <c r="F3082" s="18">
        <v>120.0</v>
      </c>
    </row>
    <row r="3083">
      <c r="A3083" s="6" t="s">
        <v>8617</v>
      </c>
      <c r="B3083" s="6" t="s">
        <v>8616</v>
      </c>
      <c r="C3083" s="6" t="s">
        <v>1197</v>
      </c>
      <c r="D3083" s="18">
        <v>5.0</v>
      </c>
      <c r="E3083" s="18">
        <v>22.0</v>
      </c>
      <c r="F3083" s="18">
        <v>110.0</v>
      </c>
    </row>
    <row r="3084">
      <c r="A3084" s="6" t="s">
        <v>8618</v>
      </c>
      <c r="B3084" s="6" t="s">
        <v>8616</v>
      </c>
      <c r="C3084" s="6" t="s">
        <v>266</v>
      </c>
      <c r="D3084" s="18">
        <v>2.0</v>
      </c>
      <c r="E3084" s="18">
        <v>20.0</v>
      </c>
      <c r="F3084" s="18">
        <v>40.0</v>
      </c>
    </row>
    <row r="3085">
      <c r="A3085" s="6" t="s">
        <v>8620</v>
      </c>
      <c r="B3085" s="6" t="s">
        <v>8616</v>
      </c>
      <c r="C3085" s="6" t="s">
        <v>1041</v>
      </c>
      <c r="D3085" s="18">
        <v>1.0</v>
      </c>
      <c r="E3085" s="18">
        <v>24.0</v>
      </c>
      <c r="F3085" s="18">
        <v>24.0</v>
      </c>
    </row>
    <row r="3086">
      <c r="A3086" s="6" t="s">
        <v>8621</v>
      </c>
      <c r="B3086" s="6" t="s">
        <v>8622</v>
      </c>
      <c r="C3086" s="6" t="s">
        <v>159</v>
      </c>
      <c r="D3086" s="18">
        <v>10.0</v>
      </c>
      <c r="E3086" s="18">
        <v>12.0</v>
      </c>
      <c r="F3086" s="18">
        <v>120.0</v>
      </c>
    </row>
    <row r="3087">
      <c r="A3087" s="6" t="s">
        <v>8623</v>
      </c>
      <c r="B3087" s="6" t="s">
        <v>8622</v>
      </c>
      <c r="C3087" s="6" t="s">
        <v>155</v>
      </c>
      <c r="D3087" s="18">
        <v>1.0</v>
      </c>
      <c r="E3087" s="18">
        <v>55.25</v>
      </c>
      <c r="F3087" s="18">
        <v>55.25</v>
      </c>
    </row>
    <row r="3088">
      <c r="A3088" s="6" t="s">
        <v>8624</v>
      </c>
      <c r="B3088" s="6" t="s">
        <v>8622</v>
      </c>
      <c r="C3088" s="6" t="s">
        <v>152</v>
      </c>
      <c r="D3088" s="18">
        <v>1.0</v>
      </c>
      <c r="E3088" s="18">
        <v>16.7</v>
      </c>
      <c r="F3088" s="18">
        <v>16.7</v>
      </c>
    </row>
    <row r="3089">
      <c r="A3089" s="6" t="s">
        <v>8625</v>
      </c>
      <c r="B3089" s="6" t="s">
        <v>8622</v>
      </c>
      <c r="C3089" s="6" t="s">
        <v>226</v>
      </c>
      <c r="D3089" s="18">
        <v>8.0</v>
      </c>
      <c r="E3089" s="18">
        <v>9.0</v>
      </c>
      <c r="F3089" s="18">
        <v>72.0</v>
      </c>
    </row>
    <row r="3090">
      <c r="A3090" s="6" t="s">
        <v>8626</v>
      </c>
      <c r="B3090" s="6" t="s">
        <v>8627</v>
      </c>
      <c r="C3090" s="6" t="s">
        <v>6720</v>
      </c>
      <c r="D3090" s="18">
        <v>1.0</v>
      </c>
      <c r="E3090" s="18">
        <v>182.0</v>
      </c>
      <c r="F3090" s="18">
        <v>182.0</v>
      </c>
    </row>
    <row r="3091">
      <c r="A3091" s="6" t="s">
        <v>8628</v>
      </c>
      <c r="B3091" s="6" t="s">
        <v>8629</v>
      </c>
      <c r="C3091" s="6" t="s">
        <v>6720</v>
      </c>
      <c r="D3091" s="18">
        <v>1.0</v>
      </c>
      <c r="E3091" s="18">
        <v>22.0</v>
      </c>
      <c r="F3091" s="18">
        <v>22.0</v>
      </c>
    </row>
    <row r="3092">
      <c r="A3092" s="6" t="s">
        <v>8630</v>
      </c>
      <c r="B3092" s="6" t="s">
        <v>8631</v>
      </c>
      <c r="C3092" s="6" t="s">
        <v>1384</v>
      </c>
      <c r="D3092" s="18">
        <v>1.0</v>
      </c>
      <c r="E3092" s="18">
        <v>19.8</v>
      </c>
      <c r="F3092" s="18">
        <v>19.8</v>
      </c>
    </row>
    <row r="3093">
      <c r="A3093" s="6" t="s">
        <v>8634</v>
      </c>
      <c r="B3093" s="6" t="s">
        <v>8631</v>
      </c>
      <c r="C3093" s="6" t="s">
        <v>1404</v>
      </c>
      <c r="D3093" s="18">
        <v>1.0</v>
      </c>
      <c r="E3093" s="18">
        <v>19.8</v>
      </c>
      <c r="F3093" s="18">
        <v>19.8</v>
      </c>
    </row>
    <row r="3094">
      <c r="A3094" s="6" t="s">
        <v>8636</v>
      </c>
      <c r="B3094" s="6" t="s">
        <v>8631</v>
      </c>
      <c r="C3094" s="6" t="s">
        <v>1074</v>
      </c>
      <c r="D3094" s="18">
        <v>3.0</v>
      </c>
      <c r="E3094" s="18">
        <v>40.0</v>
      </c>
      <c r="F3094" s="18">
        <v>120.0</v>
      </c>
    </row>
    <row r="3095">
      <c r="A3095" s="6" t="s">
        <v>8637</v>
      </c>
      <c r="B3095" s="6" t="s">
        <v>8631</v>
      </c>
      <c r="C3095" s="6" t="s">
        <v>1075</v>
      </c>
      <c r="D3095" s="18">
        <v>3.0</v>
      </c>
      <c r="E3095" s="18">
        <v>20.0</v>
      </c>
      <c r="F3095" s="18">
        <v>60.0</v>
      </c>
    </row>
    <row r="3096">
      <c r="A3096" s="6" t="s">
        <v>8639</v>
      </c>
      <c r="B3096" s="6" t="s">
        <v>8631</v>
      </c>
      <c r="C3096" s="6" t="s">
        <v>1077</v>
      </c>
      <c r="D3096" s="18">
        <v>2.0</v>
      </c>
      <c r="E3096" s="18">
        <v>25.8</v>
      </c>
      <c r="F3096" s="18">
        <v>51.6</v>
      </c>
    </row>
    <row r="3097">
      <c r="A3097" s="6" t="s">
        <v>8642</v>
      </c>
      <c r="B3097" s="6" t="s">
        <v>8631</v>
      </c>
      <c r="C3097" s="6" t="s">
        <v>1081</v>
      </c>
      <c r="D3097" s="18">
        <v>7.0</v>
      </c>
      <c r="E3097" s="18">
        <v>48.0</v>
      </c>
      <c r="F3097" s="18">
        <v>336.0</v>
      </c>
    </row>
    <row r="3098">
      <c r="A3098" s="6" t="s">
        <v>8643</v>
      </c>
      <c r="B3098" s="6" t="s">
        <v>8631</v>
      </c>
      <c r="C3098" s="6" t="s">
        <v>1083</v>
      </c>
      <c r="D3098" s="18">
        <v>1.0</v>
      </c>
      <c r="E3098" s="18">
        <v>18.9</v>
      </c>
      <c r="F3098" s="18">
        <v>18.9</v>
      </c>
    </row>
    <row r="3099">
      <c r="A3099" s="6" t="s">
        <v>8646</v>
      </c>
      <c r="B3099" s="6" t="s">
        <v>8631</v>
      </c>
      <c r="C3099" s="6" t="s">
        <v>1085</v>
      </c>
      <c r="D3099" s="18">
        <v>3.0</v>
      </c>
      <c r="E3099" s="18">
        <v>40.2</v>
      </c>
      <c r="F3099" s="18">
        <v>120.6</v>
      </c>
    </row>
    <row r="3100">
      <c r="A3100" s="6" t="s">
        <v>8647</v>
      </c>
      <c r="B3100" s="6" t="s">
        <v>8631</v>
      </c>
      <c r="C3100" s="6" t="s">
        <v>5605</v>
      </c>
      <c r="D3100" s="18">
        <v>1.0</v>
      </c>
      <c r="E3100" s="18">
        <v>19.57</v>
      </c>
      <c r="F3100" s="18">
        <v>19.57</v>
      </c>
    </row>
    <row r="3101">
      <c r="A3101" s="6" t="s">
        <v>8648</v>
      </c>
      <c r="B3101" s="6" t="s">
        <v>8631</v>
      </c>
      <c r="C3101" s="6" t="s">
        <v>1077</v>
      </c>
      <c r="D3101" s="18">
        <v>1.0</v>
      </c>
      <c r="E3101" s="18">
        <v>25.8</v>
      </c>
      <c r="F3101" s="18">
        <v>25.8</v>
      </c>
    </row>
    <row r="3102">
      <c r="A3102" s="6" t="s">
        <v>8649</v>
      </c>
      <c r="B3102" s="6" t="s">
        <v>8650</v>
      </c>
      <c r="C3102" s="6" t="s">
        <v>8651</v>
      </c>
      <c r="D3102" s="18">
        <v>1.0</v>
      </c>
      <c r="E3102" s="18">
        <v>818.97</v>
      </c>
      <c r="F3102" s="18">
        <v>818.97</v>
      </c>
    </row>
    <row r="3103">
      <c r="A3103" s="6" t="s">
        <v>8653</v>
      </c>
      <c r="B3103" s="18">
        <v>11584.0</v>
      </c>
      <c r="C3103" s="10"/>
      <c r="D3103" s="18">
        <v>1.0</v>
      </c>
      <c r="E3103" s="18">
        <v>1.0</v>
      </c>
      <c r="F3103" s="18">
        <v>1.0</v>
      </c>
    </row>
    <row r="3104">
      <c r="A3104" s="6" t="s">
        <v>8654</v>
      </c>
      <c r="B3104" s="6" t="s">
        <v>8655</v>
      </c>
      <c r="C3104" s="18">
        <v>1.2539885E7</v>
      </c>
      <c r="D3104" s="18">
        <v>1.0</v>
      </c>
      <c r="E3104" s="18">
        <v>325.0</v>
      </c>
      <c r="F3104" s="18">
        <v>325.0</v>
      </c>
    </row>
    <row r="3105">
      <c r="A3105" s="6" t="s">
        <v>8656</v>
      </c>
      <c r="B3105" s="6" t="s">
        <v>8657</v>
      </c>
      <c r="C3105" s="6" t="s">
        <v>247</v>
      </c>
      <c r="D3105" s="18">
        <v>15.0</v>
      </c>
      <c r="E3105" s="18">
        <v>0.99</v>
      </c>
      <c r="F3105" s="18">
        <v>14.85</v>
      </c>
    </row>
    <row r="3106">
      <c r="A3106" s="6" t="s">
        <v>8659</v>
      </c>
      <c r="B3106" s="6" t="s">
        <v>8657</v>
      </c>
      <c r="C3106" s="6" t="s">
        <v>305</v>
      </c>
      <c r="D3106" s="18">
        <v>1.0</v>
      </c>
      <c r="E3106" s="18">
        <v>92.16</v>
      </c>
      <c r="F3106" s="18">
        <v>92.16</v>
      </c>
    </row>
    <row r="3107">
      <c r="A3107" s="6" t="s">
        <v>8660</v>
      </c>
      <c r="B3107" s="18">
        <v>11586.0</v>
      </c>
      <c r="C3107" s="6" t="s">
        <v>2448</v>
      </c>
      <c r="D3107" s="18">
        <v>1.0</v>
      </c>
      <c r="E3107" s="18">
        <v>1.0</v>
      </c>
      <c r="F3107" s="18">
        <v>1.0</v>
      </c>
    </row>
    <row r="3108">
      <c r="A3108" s="6" t="s">
        <v>8661</v>
      </c>
      <c r="B3108" s="18">
        <v>11587.0</v>
      </c>
      <c r="C3108" s="10"/>
      <c r="D3108" s="18">
        <v>1.0</v>
      </c>
      <c r="E3108" s="18">
        <v>1.0</v>
      </c>
      <c r="F3108" s="18">
        <v>1.0</v>
      </c>
    </row>
    <row r="3109">
      <c r="A3109" s="6" t="s">
        <v>8662</v>
      </c>
      <c r="B3109" s="6" t="s">
        <v>8663</v>
      </c>
      <c r="C3109" s="18">
        <v>1.2539885E7</v>
      </c>
      <c r="D3109" s="18">
        <v>1.0</v>
      </c>
      <c r="E3109" s="18">
        <v>250.0</v>
      </c>
      <c r="F3109" s="18">
        <v>250.0</v>
      </c>
    </row>
    <row r="3110">
      <c r="A3110" s="6" t="s">
        <v>8664</v>
      </c>
      <c r="B3110" s="6" t="s">
        <v>8665</v>
      </c>
      <c r="C3110" s="6" t="s">
        <v>152</v>
      </c>
      <c r="D3110" s="18">
        <v>1.0</v>
      </c>
      <c r="E3110" s="18">
        <v>10.56</v>
      </c>
      <c r="F3110" s="18">
        <v>10.56</v>
      </c>
    </row>
    <row r="3111">
      <c r="A3111" s="6" t="s">
        <v>8666</v>
      </c>
      <c r="B3111" s="6" t="s">
        <v>8665</v>
      </c>
      <c r="C3111" s="6" t="s">
        <v>230</v>
      </c>
      <c r="D3111" s="18">
        <v>1.0</v>
      </c>
      <c r="E3111" s="18">
        <v>145.6</v>
      </c>
      <c r="F3111" s="18">
        <v>145.6</v>
      </c>
    </row>
    <row r="3112">
      <c r="A3112" s="6" t="s">
        <v>8667</v>
      </c>
      <c r="B3112" s="6" t="s">
        <v>8665</v>
      </c>
      <c r="C3112" s="6" t="s">
        <v>155</v>
      </c>
      <c r="D3112" s="18">
        <v>1.0</v>
      </c>
      <c r="E3112" s="18">
        <v>32.5</v>
      </c>
      <c r="F3112" s="18">
        <v>32.5</v>
      </c>
    </row>
    <row r="3113">
      <c r="A3113" s="6" t="s">
        <v>8668</v>
      </c>
      <c r="B3113" s="6" t="s">
        <v>8665</v>
      </c>
      <c r="C3113" s="6" t="s">
        <v>159</v>
      </c>
      <c r="D3113" s="18">
        <v>1.0</v>
      </c>
      <c r="E3113" s="18">
        <v>110.0</v>
      </c>
      <c r="F3113" s="18">
        <v>110.0</v>
      </c>
    </row>
    <row r="3114">
      <c r="A3114" s="6" t="s">
        <v>8669</v>
      </c>
      <c r="B3114" s="6" t="s">
        <v>8670</v>
      </c>
      <c r="C3114" s="6" t="s">
        <v>981</v>
      </c>
      <c r="D3114" s="18">
        <v>6.0</v>
      </c>
      <c r="E3114" s="18">
        <v>4.9</v>
      </c>
      <c r="F3114" s="18">
        <v>29.400000000000002</v>
      </c>
    </row>
    <row r="3115">
      <c r="A3115" s="6" t="s">
        <v>8671</v>
      </c>
      <c r="B3115" s="6" t="s">
        <v>8670</v>
      </c>
      <c r="C3115" s="6" t="s">
        <v>238</v>
      </c>
      <c r="D3115" s="18">
        <v>12.0</v>
      </c>
      <c r="E3115" s="18">
        <v>5.2</v>
      </c>
      <c r="F3115" s="18">
        <v>62.4</v>
      </c>
    </row>
    <row r="3116">
      <c r="A3116" s="6" t="s">
        <v>8672</v>
      </c>
      <c r="B3116" s="6" t="s">
        <v>8670</v>
      </c>
      <c r="C3116" s="6" t="s">
        <v>243</v>
      </c>
      <c r="D3116" s="18">
        <v>6.0</v>
      </c>
      <c r="E3116" s="18">
        <v>6.2</v>
      </c>
      <c r="F3116" s="18">
        <v>37.2</v>
      </c>
    </row>
    <row r="3117">
      <c r="A3117" s="6" t="s">
        <v>8673</v>
      </c>
      <c r="B3117" s="6" t="s">
        <v>8670</v>
      </c>
      <c r="C3117" s="6" t="s">
        <v>6604</v>
      </c>
      <c r="D3117" s="18">
        <v>1.0</v>
      </c>
      <c r="E3117" s="18">
        <v>43.2</v>
      </c>
      <c r="F3117" s="18">
        <v>43.2</v>
      </c>
    </row>
    <row r="3118">
      <c r="A3118" s="6" t="s">
        <v>8674</v>
      </c>
      <c r="B3118" s="6" t="s">
        <v>8675</v>
      </c>
      <c r="C3118" s="6" t="s">
        <v>1080</v>
      </c>
      <c r="D3118" s="18">
        <v>15.0</v>
      </c>
      <c r="E3118" s="18">
        <v>13.9</v>
      </c>
      <c r="F3118" s="18">
        <v>208.5</v>
      </c>
    </row>
    <row r="3119">
      <c r="A3119" s="6" t="s">
        <v>8676</v>
      </c>
      <c r="B3119" s="6" t="s">
        <v>8675</v>
      </c>
      <c r="C3119" s="6" t="s">
        <v>1079</v>
      </c>
      <c r="D3119" s="18">
        <v>10.0</v>
      </c>
      <c r="E3119" s="18">
        <v>12.9</v>
      </c>
      <c r="F3119" s="18">
        <v>129.0</v>
      </c>
    </row>
    <row r="3120">
      <c r="A3120" s="6" t="s">
        <v>8678</v>
      </c>
      <c r="B3120" s="6" t="s">
        <v>8675</v>
      </c>
      <c r="C3120" s="6" t="s">
        <v>8679</v>
      </c>
      <c r="D3120" s="18">
        <v>2.0</v>
      </c>
      <c r="E3120" s="18">
        <v>32.9</v>
      </c>
      <c r="F3120" s="18">
        <v>65.8</v>
      </c>
    </row>
    <row r="3121">
      <c r="A3121" s="6" t="s">
        <v>8680</v>
      </c>
      <c r="B3121" s="6" t="s">
        <v>8681</v>
      </c>
      <c r="C3121" s="6" t="s">
        <v>3987</v>
      </c>
      <c r="D3121" s="18">
        <v>1.0</v>
      </c>
      <c r="E3121" s="18">
        <v>130.0</v>
      </c>
      <c r="F3121" s="18">
        <v>130.0</v>
      </c>
    </row>
    <row r="3122">
      <c r="A3122" s="6" t="s">
        <v>8685</v>
      </c>
      <c r="B3122" s="6" t="s">
        <v>8686</v>
      </c>
      <c r="C3122" s="6" t="s">
        <v>3987</v>
      </c>
      <c r="D3122" s="18">
        <v>1.0</v>
      </c>
      <c r="E3122" s="18">
        <v>130.0</v>
      </c>
      <c r="F3122" s="18">
        <v>130.0</v>
      </c>
    </row>
    <row r="3123">
      <c r="A3123" s="6" t="s">
        <v>8687</v>
      </c>
      <c r="B3123" s="6" t="s">
        <v>8688</v>
      </c>
      <c r="C3123" s="6" t="s">
        <v>3987</v>
      </c>
      <c r="D3123" s="18">
        <v>1.0</v>
      </c>
      <c r="E3123" s="18">
        <v>130.0</v>
      </c>
      <c r="F3123" s="18">
        <v>130.0</v>
      </c>
    </row>
    <row r="3124">
      <c r="A3124" s="6" t="s">
        <v>8690</v>
      </c>
      <c r="B3124" s="6" t="s">
        <v>8692</v>
      </c>
      <c r="C3124" s="6" t="s">
        <v>6720</v>
      </c>
      <c r="D3124" s="18">
        <v>1.0</v>
      </c>
      <c r="E3124" s="18">
        <v>104.0</v>
      </c>
      <c r="F3124" s="18">
        <v>104.0</v>
      </c>
    </row>
    <row r="3125">
      <c r="A3125" s="6" t="s">
        <v>8693</v>
      </c>
      <c r="B3125" s="6" t="s">
        <v>8694</v>
      </c>
      <c r="C3125" s="6" t="s">
        <v>6720</v>
      </c>
      <c r="D3125" s="18">
        <v>1.0</v>
      </c>
      <c r="E3125" s="18">
        <v>31.0</v>
      </c>
      <c r="F3125" s="18">
        <v>31.0</v>
      </c>
    </row>
    <row r="3126">
      <c r="A3126" s="6" t="s">
        <v>8695</v>
      </c>
      <c r="B3126" s="6" t="s">
        <v>8697</v>
      </c>
      <c r="C3126" s="6" t="s">
        <v>6720</v>
      </c>
      <c r="D3126" s="18">
        <v>1.0</v>
      </c>
      <c r="E3126" s="18">
        <v>50.0</v>
      </c>
      <c r="F3126" s="18">
        <v>50.0</v>
      </c>
    </row>
    <row r="3127">
      <c r="A3127" s="6" t="s">
        <v>8700</v>
      </c>
      <c r="B3127" s="6" t="s">
        <v>8701</v>
      </c>
      <c r="C3127" s="6" t="s">
        <v>6720</v>
      </c>
      <c r="D3127" s="18">
        <v>1.0</v>
      </c>
      <c r="E3127" s="18">
        <v>83.0</v>
      </c>
      <c r="F3127" s="18">
        <v>83.0</v>
      </c>
    </row>
    <row r="3128">
      <c r="A3128" s="6" t="s">
        <v>8702</v>
      </c>
      <c r="B3128" s="6" t="s">
        <v>8703</v>
      </c>
      <c r="C3128" s="6" t="s">
        <v>6720</v>
      </c>
      <c r="D3128" s="18">
        <v>1.0</v>
      </c>
      <c r="E3128" s="18">
        <v>140.0</v>
      </c>
      <c r="F3128" s="18">
        <v>140.0</v>
      </c>
    </row>
    <row r="3129">
      <c r="A3129" s="6" t="s">
        <v>8705</v>
      </c>
      <c r="B3129" s="6" t="s">
        <v>8707</v>
      </c>
      <c r="C3129" s="6" t="s">
        <v>6720</v>
      </c>
      <c r="D3129" s="18">
        <v>1.0</v>
      </c>
      <c r="E3129" s="18">
        <v>10.0</v>
      </c>
      <c r="F3129" s="18">
        <v>10.0</v>
      </c>
    </row>
    <row r="3130">
      <c r="A3130" s="6" t="s">
        <v>8708</v>
      </c>
      <c r="B3130" s="6" t="s">
        <v>8709</v>
      </c>
      <c r="C3130" s="6" t="s">
        <v>8710</v>
      </c>
      <c r="D3130" s="18">
        <v>1.0</v>
      </c>
      <c r="E3130" s="18">
        <v>1810.88</v>
      </c>
      <c r="F3130" s="18">
        <v>1810.88</v>
      </c>
    </row>
    <row r="3131">
      <c r="A3131" s="6" t="s">
        <v>8711</v>
      </c>
      <c r="B3131" s="6" t="s">
        <v>8712</v>
      </c>
      <c r="C3131" s="6" t="s">
        <v>152</v>
      </c>
      <c r="D3131" s="18">
        <v>1.0</v>
      </c>
      <c r="E3131" s="18">
        <v>15.23</v>
      </c>
      <c r="F3131" s="18">
        <v>15.23</v>
      </c>
    </row>
    <row r="3132">
      <c r="A3132" s="6" t="s">
        <v>8715</v>
      </c>
      <c r="B3132" s="6" t="s">
        <v>8712</v>
      </c>
      <c r="C3132" s="6" t="s">
        <v>230</v>
      </c>
      <c r="D3132" s="18">
        <v>1.0</v>
      </c>
      <c r="E3132" s="18">
        <v>147.9</v>
      </c>
      <c r="F3132" s="18">
        <v>147.9</v>
      </c>
    </row>
    <row r="3133">
      <c r="A3133" s="6" t="s">
        <v>8716</v>
      </c>
      <c r="B3133" s="6" t="s">
        <v>8712</v>
      </c>
      <c r="C3133" s="6" t="s">
        <v>155</v>
      </c>
      <c r="D3133" s="18">
        <v>1.0</v>
      </c>
      <c r="E3133" s="18">
        <v>36.72</v>
      </c>
      <c r="F3133" s="18">
        <v>36.72</v>
      </c>
    </row>
    <row r="3134">
      <c r="A3134" s="6" t="s">
        <v>8719</v>
      </c>
      <c r="B3134" s="6" t="s">
        <v>8712</v>
      </c>
      <c r="C3134" s="6" t="s">
        <v>159</v>
      </c>
      <c r="D3134" s="18">
        <v>1.0</v>
      </c>
      <c r="E3134" s="18">
        <v>180.0</v>
      </c>
      <c r="F3134" s="18">
        <v>180.0</v>
      </c>
    </row>
    <row r="3135">
      <c r="A3135" s="6" t="s">
        <v>8721</v>
      </c>
      <c r="B3135" s="6" t="s">
        <v>8722</v>
      </c>
      <c r="C3135" s="6" t="s">
        <v>338</v>
      </c>
      <c r="D3135" s="18">
        <v>1.0</v>
      </c>
      <c r="E3135" s="18">
        <v>87.88</v>
      </c>
      <c r="F3135" s="18">
        <v>87.88</v>
      </c>
    </row>
    <row r="3136">
      <c r="A3136" s="6" t="s">
        <v>8723</v>
      </c>
      <c r="B3136" s="6" t="s">
        <v>8724</v>
      </c>
      <c r="C3136" s="6" t="s">
        <v>338</v>
      </c>
      <c r="D3136" s="18">
        <v>1.0</v>
      </c>
      <c r="E3136" s="18">
        <v>107.02</v>
      </c>
      <c r="F3136" s="18">
        <v>107.02</v>
      </c>
    </row>
    <row r="3137">
      <c r="A3137" s="6" t="s">
        <v>8726</v>
      </c>
      <c r="B3137" s="6" t="s">
        <v>8724</v>
      </c>
      <c r="C3137" s="6" t="s">
        <v>335</v>
      </c>
      <c r="D3137" s="18">
        <v>2.0</v>
      </c>
      <c r="E3137" s="18">
        <v>94.08</v>
      </c>
      <c r="F3137" s="18">
        <v>188.16</v>
      </c>
    </row>
    <row r="3138">
      <c r="A3138" s="6" t="s">
        <v>8731</v>
      </c>
      <c r="B3138" s="6" t="s">
        <v>8724</v>
      </c>
      <c r="C3138" s="6" t="s">
        <v>1777</v>
      </c>
      <c r="D3138" s="18">
        <v>2.0</v>
      </c>
      <c r="E3138" s="18">
        <v>33.96</v>
      </c>
      <c r="F3138" s="18">
        <v>67.92</v>
      </c>
    </row>
    <row r="3139">
      <c r="A3139" s="6" t="s">
        <v>8734</v>
      </c>
      <c r="B3139" s="6" t="s">
        <v>8724</v>
      </c>
      <c r="C3139" s="6" t="s">
        <v>7086</v>
      </c>
      <c r="D3139" s="18">
        <v>4.0</v>
      </c>
      <c r="E3139" s="18">
        <v>33.96</v>
      </c>
      <c r="F3139" s="18">
        <v>135.84</v>
      </c>
    </row>
    <row r="3140">
      <c r="A3140" s="6" t="s">
        <v>8735</v>
      </c>
      <c r="B3140" s="6" t="s">
        <v>8736</v>
      </c>
      <c r="C3140" s="6" t="s">
        <v>8458</v>
      </c>
      <c r="D3140" s="18">
        <v>1.0</v>
      </c>
      <c r="E3140" s="18">
        <v>6141.92</v>
      </c>
      <c r="F3140" s="18">
        <v>6141.92</v>
      </c>
    </row>
    <row r="3141">
      <c r="A3141" s="6" t="s">
        <v>8738</v>
      </c>
      <c r="B3141" s="6" t="s">
        <v>8740</v>
      </c>
      <c r="C3141" s="6" t="s">
        <v>8741</v>
      </c>
      <c r="D3141" s="18">
        <v>1.0</v>
      </c>
      <c r="E3141" s="18">
        <v>116.34</v>
      </c>
      <c r="F3141" s="18">
        <v>116.34</v>
      </c>
    </row>
    <row r="3142">
      <c r="A3142" s="6" t="s">
        <v>8742</v>
      </c>
      <c r="B3142" s="6" t="s">
        <v>8743</v>
      </c>
      <c r="C3142" s="6" t="s">
        <v>1904</v>
      </c>
      <c r="D3142" s="18">
        <v>1.0</v>
      </c>
      <c r="E3142" s="18">
        <v>5.0</v>
      </c>
      <c r="F3142" s="18">
        <v>5.0</v>
      </c>
    </row>
    <row r="3143">
      <c r="A3143" s="6" t="s">
        <v>8744</v>
      </c>
      <c r="B3143" s="6" t="s">
        <v>8745</v>
      </c>
      <c r="C3143" s="6" t="s">
        <v>1081</v>
      </c>
      <c r="D3143" s="18">
        <v>5.0</v>
      </c>
      <c r="E3143" s="18">
        <v>48.0</v>
      </c>
      <c r="F3143" s="18">
        <v>240.0</v>
      </c>
    </row>
    <row r="3144">
      <c r="A3144" s="6" t="s">
        <v>8749</v>
      </c>
      <c r="B3144" s="6" t="s">
        <v>8745</v>
      </c>
      <c r="C3144" s="6" t="s">
        <v>5605</v>
      </c>
      <c r="D3144" s="18">
        <v>1.0</v>
      </c>
      <c r="E3144" s="18">
        <v>19.57</v>
      </c>
      <c r="F3144" s="18">
        <v>19.57</v>
      </c>
    </row>
    <row r="3145">
      <c r="A3145" s="6" t="s">
        <v>8751</v>
      </c>
      <c r="B3145" s="6" t="s">
        <v>8745</v>
      </c>
      <c r="C3145" s="6" t="s">
        <v>1074</v>
      </c>
      <c r="D3145" s="18">
        <v>3.0</v>
      </c>
      <c r="E3145" s="18">
        <v>20.0</v>
      </c>
      <c r="F3145" s="18">
        <v>60.0</v>
      </c>
    </row>
    <row r="3146">
      <c r="A3146" s="6" t="s">
        <v>8752</v>
      </c>
      <c r="B3146" s="6" t="s">
        <v>8745</v>
      </c>
      <c r="C3146" s="6" t="s">
        <v>1384</v>
      </c>
      <c r="D3146" s="18">
        <v>1.0</v>
      </c>
      <c r="E3146" s="18">
        <v>87.2</v>
      </c>
      <c r="F3146" s="18">
        <v>87.2</v>
      </c>
    </row>
    <row r="3147">
      <c r="A3147" s="6" t="s">
        <v>8754</v>
      </c>
      <c r="B3147" s="6" t="s">
        <v>8745</v>
      </c>
      <c r="C3147" s="18">
        <v>7.5375964E7</v>
      </c>
      <c r="D3147" s="18">
        <v>1.0</v>
      </c>
      <c r="E3147" s="18">
        <v>18.0</v>
      </c>
      <c r="F3147" s="18">
        <v>18.0</v>
      </c>
    </row>
    <row r="3148">
      <c r="A3148" s="6" t="s">
        <v>8755</v>
      </c>
      <c r="B3148" s="6" t="s">
        <v>8745</v>
      </c>
      <c r="C3148" s="6" t="s">
        <v>1073</v>
      </c>
      <c r="D3148" s="18">
        <v>1.0</v>
      </c>
      <c r="E3148" s="18">
        <v>21.0</v>
      </c>
      <c r="F3148" s="18">
        <v>21.0</v>
      </c>
    </row>
    <row r="3149">
      <c r="A3149" s="6" t="s">
        <v>8756</v>
      </c>
      <c r="B3149" s="6" t="s">
        <v>8757</v>
      </c>
      <c r="C3149" s="6" t="s">
        <v>226</v>
      </c>
      <c r="D3149" s="18">
        <v>1.0</v>
      </c>
      <c r="E3149" s="18">
        <v>63.0</v>
      </c>
      <c r="F3149" s="18">
        <v>63.0</v>
      </c>
    </row>
    <row r="3150">
      <c r="A3150" s="6" t="s">
        <v>8758</v>
      </c>
      <c r="B3150" s="6" t="s">
        <v>8757</v>
      </c>
      <c r="C3150" s="6" t="s">
        <v>152</v>
      </c>
      <c r="D3150" s="18">
        <v>1.0</v>
      </c>
      <c r="E3150" s="18">
        <v>16.66</v>
      </c>
      <c r="F3150" s="18">
        <v>16.66</v>
      </c>
    </row>
    <row r="3151">
      <c r="A3151" s="6" t="s">
        <v>8759</v>
      </c>
      <c r="B3151" s="6" t="s">
        <v>8757</v>
      </c>
      <c r="C3151" s="6" t="s">
        <v>230</v>
      </c>
      <c r="D3151" s="18">
        <v>1.0</v>
      </c>
      <c r="E3151" s="18">
        <v>174.0</v>
      </c>
      <c r="F3151" s="18">
        <v>174.0</v>
      </c>
    </row>
    <row r="3152">
      <c r="A3152" s="6" t="s">
        <v>8760</v>
      </c>
      <c r="B3152" s="6" t="s">
        <v>8761</v>
      </c>
      <c r="C3152" s="18">
        <v>7.9792017E7</v>
      </c>
      <c r="D3152" s="18">
        <v>1.0</v>
      </c>
      <c r="E3152" s="18">
        <v>817.67</v>
      </c>
      <c r="F3152" s="18">
        <v>817.67</v>
      </c>
    </row>
    <row r="3153">
      <c r="A3153" s="6" t="s">
        <v>8762</v>
      </c>
      <c r="B3153" s="6" t="s">
        <v>8763</v>
      </c>
      <c r="C3153" s="6" t="s">
        <v>1510</v>
      </c>
      <c r="D3153" s="18">
        <v>1.0</v>
      </c>
      <c r="E3153" s="18">
        <v>28767.8</v>
      </c>
      <c r="F3153" s="18">
        <v>28767.8</v>
      </c>
    </row>
    <row r="3154">
      <c r="A3154" s="6" t="s">
        <v>8765</v>
      </c>
      <c r="B3154" s="6" t="s">
        <v>8766</v>
      </c>
      <c r="C3154" s="6" t="s">
        <v>1517</v>
      </c>
      <c r="D3154" s="18">
        <v>1.0</v>
      </c>
      <c r="E3154" s="18">
        <v>14108.55</v>
      </c>
      <c r="F3154" s="18">
        <v>14108.55</v>
      </c>
    </row>
    <row r="3155">
      <c r="A3155" s="6" t="s">
        <v>8767</v>
      </c>
      <c r="B3155" s="18">
        <v>1.3040625E7</v>
      </c>
      <c r="C3155" s="6" t="s">
        <v>226</v>
      </c>
      <c r="D3155" s="18">
        <v>7.0</v>
      </c>
      <c r="E3155" s="18">
        <v>9.0</v>
      </c>
      <c r="F3155" s="18">
        <v>63.0</v>
      </c>
    </row>
    <row r="3156">
      <c r="A3156" s="6" t="s">
        <v>8769</v>
      </c>
      <c r="B3156" s="18">
        <v>1.3040625E7</v>
      </c>
      <c r="C3156" s="6" t="s">
        <v>152</v>
      </c>
      <c r="D3156" s="18">
        <v>1.0</v>
      </c>
      <c r="E3156" s="18">
        <v>11.04</v>
      </c>
      <c r="F3156" s="18">
        <v>11.04</v>
      </c>
    </row>
    <row r="3157">
      <c r="A3157" s="6" t="s">
        <v>8770</v>
      </c>
      <c r="B3157" s="18">
        <v>1.3040625E7</v>
      </c>
      <c r="C3157" s="6" t="s">
        <v>230</v>
      </c>
      <c r="D3157" s="18">
        <v>1.0</v>
      </c>
      <c r="E3157" s="18">
        <v>164.7</v>
      </c>
      <c r="F3157" s="18">
        <v>164.7</v>
      </c>
    </row>
    <row r="3158">
      <c r="A3158" s="6" t="s">
        <v>8772</v>
      </c>
      <c r="B3158" s="18">
        <v>1.3040625E7</v>
      </c>
      <c r="C3158" s="6" t="s">
        <v>155</v>
      </c>
      <c r="D3158" s="18">
        <v>1.0</v>
      </c>
      <c r="E3158" s="18">
        <v>52.0</v>
      </c>
      <c r="F3158" s="18">
        <v>52.0</v>
      </c>
    </row>
    <row r="3159">
      <c r="A3159" s="6" t="s">
        <v>8774</v>
      </c>
      <c r="B3159" s="18">
        <v>1.3040625E7</v>
      </c>
      <c r="C3159" s="6" t="s">
        <v>159</v>
      </c>
      <c r="D3159" s="18">
        <v>1.0</v>
      </c>
      <c r="E3159" s="18">
        <v>172.5</v>
      </c>
      <c r="F3159" s="18">
        <v>172.5</v>
      </c>
    </row>
    <row r="3160">
      <c r="A3160" s="6" t="s">
        <v>8775</v>
      </c>
      <c r="B3160" s="6" t="s">
        <v>8776</v>
      </c>
      <c r="C3160" s="6" t="s">
        <v>6720</v>
      </c>
      <c r="D3160" s="18">
        <v>1.0</v>
      </c>
      <c r="E3160" s="18">
        <v>414.0</v>
      </c>
      <c r="F3160" s="18">
        <v>414.0</v>
      </c>
    </row>
    <row r="3161">
      <c r="A3161" s="6" t="s">
        <v>8779</v>
      </c>
      <c r="B3161" s="6" t="s">
        <v>8780</v>
      </c>
      <c r="C3161" s="18">
        <v>1.2539885E7</v>
      </c>
      <c r="D3161" s="18">
        <v>1.0</v>
      </c>
      <c r="E3161" s="18">
        <v>475.0</v>
      </c>
      <c r="F3161" s="18">
        <v>475.0</v>
      </c>
    </row>
    <row r="3162">
      <c r="A3162" s="6" t="s">
        <v>8781</v>
      </c>
      <c r="B3162" s="6" t="s">
        <v>8782</v>
      </c>
      <c r="C3162" s="6" t="s">
        <v>7522</v>
      </c>
      <c r="D3162" s="18">
        <v>1.0</v>
      </c>
      <c r="E3162" s="18">
        <v>22.87</v>
      </c>
      <c r="F3162" s="18">
        <v>22.87</v>
      </c>
    </row>
    <row r="3163">
      <c r="A3163" s="6" t="s">
        <v>8785</v>
      </c>
      <c r="B3163" s="18">
        <v>11603.0</v>
      </c>
      <c r="C3163" s="6" t="s">
        <v>8404</v>
      </c>
      <c r="D3163" s="18">
        <v>1.0</v>
      </c>
      <c r="E3163" s="18">
        <v>249.23</v>
      </c>
      <c r="F3163" s="18">
        <v>249.23</v>
      </c>
    </row>
    <row r="3164">
      <c r="A3164" s="6" t="s">
        <v>8786</v>
      </c>
      <c r="B3164" s="18">
        <v>11604.0</v>
      </c>
      <c r="C3164" s="6" t="s">
        <v>8404</v>
      </c>
      <c r="D3164" s="18">
        <v>1.0</v>
      </c>
      <c r="E3164" s="18">
        <v>68.56</v>
      </c>
      <c r="F3164" s="18">
        <v>68.56</v>
      </c>
    </row>
    <row r="3165">
      <c r="A3165" s="6" t="s">
        <v>8791</v>
      </c>
      <c r="B3165" s="18">
        <v>11605.0</v>
      </c>
      <c r="C3165" s="6" t="s">
        <v>8792</v>
      </c>
      <c r="D3165" s="18">
        <v>1.0</v>
      </c>
      <c r="E3165" s="18">
        <v>0.01</v>
      </c>
      <c r="F3165" s="18">
        <v>0.01</v>
      </c>
    </row>
    <row r="3166">
      <c r="A3166" s="6" t="s">
        <v>8795</v>
      </c>
      <c r="B3166" s="6" t="s">
        <v>8797</v>
      </c>
      <c r="C3166" s="6" t="s">
        <v>6720</v>
      </c>
      <c r="D3166" s="18">
        <v>1.0</v>
      </c>
      <c r="E3166" s="18">
        <v>72.0</v>
      </c>
      <c r="F3166" s="18">
        <v>72.0</v>
      </c>
    </row>
    <row r="3167">
      <c r="A3167" s="6" t="s">
        <v>8799</v>
      </c>
      <c r="B3167" s="6" t="s">
        <v>8800</v>
      </c>
      <c r="C3167" s="6" t="s">
        <v>6720</v>
      </c>
      <c r="D3167" s="18">
        <v>1.0</v>
      </c>
      <c r="E3167" s="18">
        <v>30.0</v>
      </c>
      <c r="F3167" s="18">
        <v>30.0</v>
      </c>
    </row>
    <row r="3168">
      <c r="A3168" s="6" t="s">
        <v>8801</v>
      </c>
      <c r="B3168" s="6" t="s">
        <v>8802</v>
      </c>
      <c r="C3168" s="6" t="s">
        <v>6720</v>
      </c>
      <c r="D3168" s="18">
        <v>1.0</v>
      </c>
      <c r="E3168" s="18">
        <v>200.0</v>
      </c>
      <c r="F3168" s="18">
        <v>200.0</v>
      </c>
    </row>
    <row r="3169">
      <c r="A3169" s="6" t="s">
        <v>8804</v>
      </c>
      <c r="B3169" s="6" t="s">
        <v>8805</v>
      </c>
      <c r="C3169" s="6" t="s">
        <v>6720</v>
      </c>
      <c r="D3169" s="18">
        <v>1.0</v>
      </c>
      <c r="E3169" s="18">
        <v>20.0</v>
      </c>
      <c r="F3169" s="18">
        <v>20.0</v>
      </c>
    </row>
    <row r="3170">
      <c r="A3170" s="6" t="s">
        <v>8807</v>
      </c>
      <c r="B3170" s="6" t="s">
        <v>8809</v>
      </c>
      <c r="C3170" s="6" t="s">
        <v>6720</v>
      </c>
      <c r="D3170" s="18">
        <v>1.0</v>
      </c>
      <c r="E3170" s="18">
        <v>10.0</v>
      </c>
      <c r="F3170" s="18">
        <v>10.0</v>
      </c>
    </row>
    <row r="3171">
      <c r="A3171" s="6" t="s">
        <v>8811</v>
      </c>
      <c r="B3171" s="6" t="s">
        <v>8812</v>
      </c>
      <c r="C3171" s="6" t="s">
        <v>6720</v>
      </c>
      <c r="D3171" s="18">
        <v>1.0</v>
      </c>
      <c r="E3171" s="18">
        <v>30.0</v>
      </c>
      <c r="F3171" s="18">
        <v>30.0</v>
      </c>
    </row>
    <row r="3172">
      <c r="A3172" s="6" t="s">
        <v>8816</v>
      </c>
      <c r="B3172" s="6" t="s">
        <v>8817</v>
      </c>
      <c r="C3172" s="6" t="s">
        <v>1517</v>
      </c>
      <c r="D3172" s="18">
        <v>1.0</v>
      </c>
      <c r="E3172" s="18">
        <v>3059.59</v>
      </c>
      <c r="F3172" s="18">
        <v>3059.59</v>
      </c>
    </row>
    <row r="3173">
      <c r="A3173" s="6" t="s">
        <v>8818</v>
      </c>
      <c r="B3173" s="6" t="s">
        <v>8819</v>
      </c>
      <c r="C3173" s="6" t="s">
        <v>6720</v>
      </c>
      <c r="D3173" s="18">
        <v>1.0</v>
      </c>
      <c r="E3173" s="18">
        <v>52.0</v>
      </c>
      <c r="F3173" s="18">
        <v>52.0</v>
      </c>
    </row>
    <row r="3174">
      <c r="A3174" s="6" t="s">
        <v>8822</v>
      </c>
      <c r="B3174" s="6" t="s">
        <v>8823</v>
      </c>
      <c r="C3174" s="6" t="s">
        <v>6720</v>
      </c>
      <c r="D3174" s="18">
        <v>1.0</v>
      </c>
      <c r="E3174" s="18">
        <v>41.0</v>
      </c>
      <c r="F3174" s="18">
        <v>41.0</v>
      </c>
    </row>
    <row r="3175">
      <c r="A3175" s="6" t="s">
        <v>8824</v>
      </c>
      <c r="B3175" s="6" t="s">
        <v>8825</v>
      </c>
      <c r="C3175" s="6" t="s">
        <v>6720</v>
      </c>
      <c r="D3175" s="18">
        <v>1.0</v>
      </c>
      <c r="E3175" s="18">
        <v>21.0</v>
      </c>
      <c r="F3175" s="18">
        <v>21.0</v>
      </c>
    </row>
    <row r="3176">
      <c r="A3176" s="6" t="s">
        <v>8828</v>
      </c>
      <c r="B3176" s="6" t="s">
        <v>8829</v>
      </c>
      <c r="C3176" s="6" t="s">
        <v>6720</v>
      </c>
      <c r="D3176" s="18">
        <v>1.0</v>
      </c>
      <c r="E3176" s="18">
        <v>235.0</v>
      </c>
      <c r="F3176" s="18">
        <v>235.0</v>
      </c>
    </row>
    <row r="3177">
      <c r="A3177" s="6" t="s">
        <v>8830</v>
      </c>
      <c r="B3177" s="6" t="s">
        <v>8832</v>
      </c>
      <c r="C3177" s="6" t="s">
        <v>6720</v>
      </c>
      <c r="D3177" s="18">
        <v>1.0</v>
      </c>
      <c r="E3177" s="18">
        <v>275.0</v>
      </c>
      <c r="F3177" s="18">
        <v>275.0</v>
      </c>
    </row>
    <row r="3178">
      <c r="A3178" s="6" t="s">
        <v>8834</v>
      </c>
      <c r="B3178" s="6" t="s">
        <v>8835</v>
      </c>
      <c r="C3178" s="6" t="s">
        <v>6720</v>
      </c>
      <c r="D3178" s="18">
        <v>1.0</v>
      </c>
      <c r="E3178" s="18">
        <v>21.0</v>
      </c>
      <c r="F3178" s="18">
        <v>21.0</v>
      </c>
    </row>
    <row r="3179">
      <c r="A3179" s="6" t="s">
        <v>8836</v>
      </c>
      <c r="B3179" s="6" t="s">
        <v>8837</v>
      </c>
      <c r="C3179" s="6" t="s">
        <v>6720</v>
      </c>
      <c r="D3179" s="18">
        <v>1.0</v>
      </c>
      <c r="E3179" s="18">
        <v>326.0</v>
      </c>
      <c r="F3179" s="18">
        <v>326.0</v>
      </c>
    </row>
    <row r="3180">
      <c r="A3180" s="6" t="s">
        <v>8840</v>
      </c>
      <c r="B3180" s="6" t="s">
        <v>8841</v>
      </c>
      <c r="C3180" s="6" t="s">
        <v>6720</v>
      </c>
      <c r="D3180" s="18">
        <v>1.0</v>
      </c>
      <c r="E3180" s="18">
        <v>11.0</v>
      </c>
      <c r="F3180" s="18">
        <v>11.0</v>
      </c>
    </row>
    <row r="3181">
      <c r="A3181" s="6" t="s">
        <v>8844</v>
      </c>
      <c r="B3181" s="6" t="s">
        <v>8845</v>
      </c>
      <c r="C3181" s="6" t="s">
        <v>6720</v>
      </c>
      <c r="D3181" s="18">
        <v>1.0</v>
      </c>
      <c r="E3181" s="18">
        <v>41.0</v>
      </c>
      <c r="F3181" s="18">
        <v>41.0</v>
      </c>
    </row>
    <row r="3182">
      <c r="A3182" s="6" t="s">
        <v>8849</v>
      </c>
      <c r="B3182" s="6" t="s">
        <v>8850</v>
      </c>
      <c r="C3182" s="6" t="s">
        <v>3987</v>
      </c>
      <c r="D3182" s="18">
        <v>1.0</v>
      </c>
      <c r="E3182" s="18">
        <v>124.0</v>
      </c>
      <c r="F3182" s="18">
        <v>124.0</v>
      </c>
    </row>
    <row r="3183">
      <c r="A3183" s="6" t="s">
        <v>8853</v>
      </c>
      <c r="B3183" s="6" t="s">
        <v>8854</v>
      </c>
      <c r="C3183" s="6" t="s">
        <v>3987</v>
      </c>
      <c r="D3183" s="18">
        <v>1.0</v>
      </c>
      <c r="E3183" s="18">
        <v>130.0</v>
      </c>
      <c r="F3183" s="18">
        <v>130.0</v>
      </c>
    </row>
    <row r="3184">
      <c r="A3184" s="6" t="s">
        <v>8855</v>
      </c>
      <c r="B3184" s="6" t="s">
        <v>8856</v>
      </c>
      <c r="C3184" s="6" t="s">
        <v>3987</v>
      </c>
      <c r="D3184" s="18">
        <v>1.0</v>
      </c>
      <c r="E3184" s="18">
        <v>130.0</v>
      </c>
      <c r="F3184" s="18">
        <v>130.0</v>
      </c>
    </row>
    <row r="3185">
      <c r="A3185" s="6" t="s">
        <v>8858</v>
      </c>
      <c r="B3185" s="6" t="s">
        <v>8860</v>
      </c>
      <c r="C3185" s="6" t="s">
        <v>3987</v>
      </c>
      <c r="D3185" s="18">
        <v>1.0</v>
      </c>
      <c r="E3185" s="18">
        <v>130.0</v>
      </c>
      <c r="F3185" s="18">
        <v>130.0</v>
      </c>
    </row>
    <row r="3186">
      <c r="A3186" s="6" t="s">
        <v>8861</v>
      </c>
      <c r="B3186" s="6" t="s">
        <v>8862</v>
      </c>
      <c r="C3186" s="6" t="s">
        <v>3987</v>
      </c>
      <c r="D3186" s="18">
        <v>1.0</v>
      </c>
      <c r="E3186" s="18">
        <v>130.0</v>
      </c>
      <c r="F3186" s="18">
        <v>130.0</v>
      </c>
    </row>
    <row r="3187">
      <c r="A3187" s="6" t="s">
        <v>8863</v>
      </c>
      <c r="B3187" s="6" t="s">
        <v>8865</v>
      </c>
      <c r="C3187" s="6" t="s">
        <v>3987</v>
      </c>
      <c r="D3187" s="18">
        <v>1.0</v>
      </c>
      <c r="E3187" s="18">
        <v>130.0</v>
      </c>
      <c r="F3187" s="18">
        <v>130.0</v>
      </c>
    </row>
    <row r="3188">
      <c r="A3188" s="6" t="s">
        <v>8868</v>
      </c>
      <c r="B3188" s="6" t="s">
        <v>8869</v>
      </c>
      <c r="C3188" s="6" t="s">
        <v>3987</v>
      </c>
      <c r="D3188" s="18">
        <v>1.0</v>
      </c>
      <c r="E3188" s="18">
        <v>130.0</v>
      </c>
      <c r="F3188" s="18">
        <v>130.0</v>
      </c>
    </row>
    <row r="3189">
      <c r="A3189" s="6" t="s">
        <v>8870</v>
      </c>
      <c r="B3189" s="6" t="s">
        <v>8871</v>
      </c>
      <c r="C3189" s="6" t="s">
        <v>3987</v>
      </c>
      <c r="D3189" s="18">
        <v>1.0</v>
      </c>
      <c r="E3189" s="18">
        <v>117.0</v>
      </c>
      <c r="F3189" s="18">
        <v>117.0</v>
      </c>
    </row>
    <row r="3190">
      <c r="A3190" s="6" t="s">
        <v>8874</v>
      </c>
      <c r="B3190" s="18">
        <v>4.084694E7</v>
      </c>
      <c r="C3190" s="6" t="s">
        <v>1725</v>
      </c>
      <c r="D3190" s="18">
        <v>1.0</v>
      </c>
      <c r="E3190" s="18">
        <v>143.9</v>
      </c>
      <c r="F3190" s="18">
        <v>143.9</v>
      </c>
    </row>
    <row r="3191">
      <c r="A3191" s="6" t="s">
        <v>8875</v>
      </c>
      <c r="B3191" s="6" t="s">
        <v>8876</v>
      </c>
      <c r="C3191" s="6" t="s">
        <v>6355</v>
      </c>
      <c r="D3191" s="18">
        <v>1.0</v>
      </c>
      <c r="E3191" s="18">
        <v>123.75</v>
      </c>
      <c r="F3191" s="18">
        <v>123.75</v>
      </c>
    </row>
    <row r="3192">
      <c r="A3192" s="6" t="s">
        <v>8878</v>
      </c>
      <c r="B3192" s="6" t="s">
        <v>8876</v>
      </c>
      <c r="C3192" s="6" t="s">
        <v>2990</v>
      </c>
      <c r="D3192" s="18">
        <v>1.0</v>
      </c>
      <c r="E3192" s="18">
        <v>11.98</v>
      </c>
      <c r="F3192" s="18">
        <v>11.98</v>
      </c>
    </row>
    <row r="3193">
      <c r="A3193" s="6" t="s">
        <v>8879</v>
      </c>
      <c r="B3193" s="6" t="s">
        <v>8876</v>
      </c>
      <c r="C3193" s="6" t="s">
        <v>691</v>
      </c>
      <c r="D3193" s="18">
        <v>1.0</v>
      </c>
      <c r="E3193" s="18">
        <v>86.29</v>
      </c>
      <c r="F3193" s="18">
        <v>86.29</v>
      </c>
    </row>
    <row r="3194">
      <c r="A3194" s="6" t="s">
        <v>8880</v>
      </c>
      <c r="B3194" s="6" t="s">
        <v>8881</v>
      </c>
      <c r="C3194" s="6" t="s">
        <v>3606</v>
      </c>
      <c r="D3194" s="18">
        <v>1.0</v>
      </c>
      <c r="E3194" s="18">
        <v>40.0</v>
      </c>
      <c r="F3194" s="18">
        <v>40.0</v>
      </c>
    </row>
    <row r="3195">
      <c r="A3195" s="6" t="s">
        <v>8883</v>
      </c>
      <c r="B3195" s="6" t="s">
        <v>8884</v>
      </c>
      <c r="C3195" s="6" t="s">
        <v>8885</v>
      </c>
      <c r="D3195" s="18">
        <v>1.0</v>
      </c>
      <c r="E3195" s="18">
        <v>149.0</v>
      </c>
      <c r="F3195" s="18">
        <v>149.0</v>
      </c>
    </row>
    <row r="3196">
      <c r="A3196" s="6" t="s">
        <v>8886</v>
      </c>
      <c r="B3196" s="6" t="s">
        <v>8888</v>
      </c>
      <c r="C3196" s="6" t="s">
        <v>8889</v>
      </c>
      <c r="D3196" s="18">
        <v>1.0</v>
      </c>
      <c r="E3196" s="18">
        <v>134.0</v>
      </c>
      <c r="F3196" s="18">
        <v>134.0</v>
      </c>
    </row>
    <row r="3197">
      <c r="A3197" s="6" t="s">
        <v>8890</v>
      </c>
      <c r="B3197" s="6" t="s">
        <v>8891</v>
      </c>
      <c r="C3197" s="6" t="s">
        <v>8892</v>
      </c>
      <c r="D3197" s="18">
        <v>1.0</v>
      </c>
      <c r="E3197" s="18">
        <v>75.0</v>
      </c>
      <c r="F3197" s="18">
        <v>75.0</v>
      </c>
    </row>
    <row r="3198">
      <c r="A3198" s="6" t="s">
        <v>8893</v>
      </c>
      <c r="B3198" s="6" t="s">
        <v>8895</v>
      </c>
      <c r="C3198" s="6" t="s">
        <v>8896</v>
      </c>
      <c r="D3198" s="18">
        <v>1.0</v>
      </c>
      <c r="E3198" s="18">
        <v>180.0</v>
      </c>
      <c r="F3198" s="18">
        <v>180.0</v>
      </c>
    </row>
    <row r="3199">
      <c r="A3199" s="6" t="s">
        <v>8897</v>
      </c>
      <c r="B3199" s="6" t="s">
        <v>8898</v>
      </c>
      <c r="C3199" s="6" t="s">
        <v>8899</v>
      </c>
      <c r="D3199" s="18">
        <v>1.0</v>
      </c>
      <c r="E3199" s="18">
        <v>89.0</v>
      </c>
      <c r="F3199" s="18">
        <v>89.0</v>
      </c>
    </row>
    <row r="3200">
      <c r="A3200" s="6" t="s">
        <v>8900</v>
      </c>
      <c r="B3200" s="6" t="s">
        <v>8901</v>
      </c>
      <c r="C3200" s="6" t="s">
        <v>4937</v>
      </c>
      <c r="D3200" s="18">
        <v>1.0</v>
      </c>
      <c r="E3200" s="18">
        <v>20.0</v>
      </c>
      <c r="F3200" s="18">
        <v>20.0</v>
      </c>
    </row>
    <row r="3201">
      <c r="A3201" s="6" t="s">
        <v>8903</v>
      </c>
      <c r="B3201" s="6" t="s">
        <v>8904</v>
      </c>
      <c r="C3201" s="6" t="s">
        <v>1239</v>
      </c>
      <c r="D3201" s="18">
        <v>1.0</v>
      </c>
      <c r="E3201" s="18">
        <v>0.01</v>
      </c>
      <c r="F3201" s="18">
        <v>0.01</v>
      </c>
    </row>
    <row r="3202">
      <c r="A3202" s="6" t="s">
        <v>8906</v>
      </c>
      <c r="B3202" s="6" t="s">
        <v>8907</v>
      </c>
      <c r="C3202" s="6" t="s">
        <v>1239</v>
      </c>
      <c r="D3202" s="18">
        <v>1.0</v>
      </c>
      <c r="E3202" s="18">
        <v>0.01</v>
      </c>
      <c r="F3202" s="18">
        <v>0.01</v>
      </c>
    </row>
    <row r="3203">
      <c r="A3203" s="6" t="s">
        <v>8908</v>
      </c>
      <c r="B3203" s="6" t="s">
        <v>8909</v>
      </c>
      <c r="C3203" s="6" t="s">
        <v>1239</v>
      </c>
      <c r="D3203" s="18">
        <v>1.0</v>
      </c>
      <c r="E3203" s="18">
        <v>993.15</v>
      </c>
      <c r="F3203" s="18">
        <v>993.15</v>
      </c>
    </row>
    <row r="3204">
      <c r="A3204" s="6" t="s">
        <v>8911</v>
      </c>
      <c r="B3204" s="6" t="s">
        <v>8912</v>
      </c>
      <c r="C3204" s="6" t="s">
        <v>1239</v>
      </c>
      <c r="D3204" s="18">
        <v>1.0</v>
      </c>
      <c r="E3204" s="18">
        <v>0.01</v>
      </c>
      <c r="F3204" s="18">
        <v>0.01</v>
      </c>
    </row>
    <row r="3205">
      <c r="A3205" s="6" t="s">
        <v>8913</v>
      </c>
      <c r="B3205" s="6" t="s">
        <v>8914</v>
      </c>
      <c r="C3205" s="6" t="s">
        <v>1239</v>
      </c>
      <c r="D3205" s="18">
        <v>1.0</v>
      </c>
      <c r="E3205" s="18">
        <v>1002.12</v>
      </c>
      <c r="F3205" s="18">
        <v>1002.12</v>
      </c>
    </row>
    <row r="3206">
      <c r="A3206" s="6" t="s">
        <v>8915</v>
      </c>
      <c r="B3206" s="6" t="s">
        <v>8916</v>
      </c>
      <c r="C3206" s="6" t="s">
        <v>1239</v>
      </c>
      <c r="D3206" s="18">
        <v>1.0</v>
      </c>
      <c r="E3206" s="18">
        <v>0.01</v>
      </c>
      <c r="F3206" s="18">
        <v>0.01</v>
      </c>
    </row>
    <row r="3207">
      <c r="A3207" s="6" t="s">
        <v>8919</v>
      </c>
      <c r="B3207" s="6" t="s">
        <v>8920</v>
      </c>
      <c r="C3207" s="6" t="s">
        <v>1239</v>
      </c>
      <c r="D3207" s="18">
        <v>1.0</v>
      </c>
      <c r="E3207" s="18">
        <v>975.65</v>
      </c>
      <c r="F3207" s="18">
        <v>975.65</v>
      </c>
    </row>
    <row r="3208">
      <c r="A3208" s="6" t="s">
        <v>8921</v>
      </c>
      <c r="B3208" s="6" t="s">
        <v>8923</v>
      </c>
      <c r="C3208" s="6" t="s">
        <v>1239</v>
      </c>
      <c r="D3208" s="18">
        <v>1.0</v>
      </c>
      <c r="E3208" s="18">
        <v>0.01</v>
      </c>
      <c r="F3208" s="18">
        <v>0.01</v>
      </c>
    </row>
    <row r="3209">
      <c r="A3209" s="6" t="s">
        <v>8925</v>
      </c>
      <c r="B3209" s="6" t="s">
        <v>8926</v>
      </c>
      <c r="C3209" s="6" t="s">
        <v>1239</v>
      </c>
      <c r="D3209" s="18">
        <v>1.0</v>
      </c>
      <c r="E3209" s="18">
        <v>899.18</v>
      </c>
      <c r="F3209" s="18">
        <v>899.18</v>
      </c>
    </row>
    <row r="3210">
      <c r="A3210" s="6" t="s">
        <v>8929</v>
      </c>
      <c r="B3210" s="6" t="s">
        <v>8930</v>
      </c>
      <c r="C3210" s="6" t="s">
        <v>1239</v>
      </c>
      <c r="D3210" s="18">
        <v>1.0</v>
      </c>
      <c r="E3210" s="18">
        <v>0.01</v>
      </c>
      <c r="F3210" s="18">
        <v>0.01</v>
      </c>
    </row>
    <row r="3211">
      <c r="A3211" s="6" t="s">
        <v>8931</v>
      </c>
      <c r="B3211" s="6" t="s">
        <v>8932</v>
      </c>
      <c r="C3211" s="6" t="s">
        <v>1239</v>
      </c>
      <c r="D3211" s="18">
        <v>1.0</v>
      </c>
      <c r="E3211" s="18">
        <v>2041.5</v>
      </c>
      <c r="F3211" s="18">
        <v>2041.5</v>
      </c>
    </row>
    <row r="3212">
      <c r="A3212" s="6" t="s">
        <v>8935</v>
      </c>
      <c r="B3212" s="6" t="s">
        <v>8936</v>
      </c>
      <c r="C3212" s="6" t="s">
        <v>1239</v>
      </c>
      <c r="D3212" s="18">
        <v>1.0</v>
      </c>
      <c r="E3212" s="18">
        <v>2041.5</v>
      </c>
      <c r="F3212" s="18">
        <v>2041.5</v>
      </c>
    </row>
    <row r="3213">
      <c r="A3213" s="6" t="s">
        <v>8937</v>
      </c>
      <c r="B3213" s="18">
        <v>11625.0</v>
      </c>
      <c r="C3213" s="6" t="s">
        <v>2870</v>
      </c>
      <c r="D3213" s="18">
        <v>1.0</v>
      </c>
      <c r="E3213" s="18">
        <v>1.0</v>
      </c>
      <c r="F3213" s="18">
        <v>1.0</v>
      </c>
    </row>
    <row r="3214">
      <c r="A3214" s="6" t="s">
        <v>8938</v>
      </c>
      <c r="B3214" s="18">
        <v>11626.0</v>
      </c>
      <c r="C3214" s="6" t="s">
        <v>2870</v>
      </c>
      <c r="D3214" s="18">
        <v>1.0</v>
      </c>
      <c r="E3214" s="18">
        <v>1.0</v>
      </c>
      <c r="F3214" s="18">
        <v>1.0</v>
      </c>
    </row>
    <row r="3215">
      <c r="A3215" s="6" t="s">
        <v>8940</v>
      </c>
      <c r="B3215" s="18">
        <v>11627.0</v>
      </c>
      <c r="C3215" s="6" t="s">
        <v>1239</v>
      </c>
      <c r="D3215" s="18">
        <v>1.0</v>
      </c>
      <c r="E3215" s="18">
        <v>4083.0</v>
      </c>
      <c r="F3215" s="18">
        <v>4083.0</v>
      </c>
    </row>
    <row r="3216">
      <c r="A3216" s="6" t="s">
        <v>8941</v>
      </c>
      <c r="B3216" s="18">
        <v>11628.0</v>
      </c>
      <c r="C3216" s="6" t="s">
        <v>1126</v>
      </c>
      <c r="D3216" s="18">
        <v>1.0</v>
      </c>
      <c r="E3216" s="18">
        <v>40.0</v>
      </c>
      <c r="F3216" s="18">
        <v>40.0</v>
      </c>
    </row>
    <row r="3217">
      <c r="A3217" s="6" t="s">
        <v>8942</v>
      </c>
      <c r="B3217" s="18">
        <v>11629.0</v>
      </c>
      <c r="C3217" s="6" t="s">
        <v>5636</v>
      </c>
      <c r="D3217" s="18">
        <v>1.0</v>
      </c>
      <c r="E3217" s="18">
        <v>200.0</v>
      </c>
      <c r="F3217" s="18">
        <v>200.0</v>
      </c>
    </row>
    <row r="3218">
      <c r="A3218" s="6" t="s">
        <v>8943</v>
      </c>
      <c r="B3218" s="18">
        <v>11630.0</v>
      </c>
      <c r="C3218" s="6" t="s">
        <v>5640</v>
      </c>
      <c r="D3218" s="18">
        <v>1.0</v>
      </c>
      <c r="E3218" s="18">
        <v>22.0</v>
      </c>
      <c r="F3218" s="18">
        <v>22.0</v>
      </c>
    </row>
    <row r="3219">
      <c r="A3219" s="6" t="s">
        <v>8944</v>
      </c>
      <c r="B3219" s="18">
        <v>11631.0</v>
      </c>
      <c r="C3219" s="6" t="s">
        <v>5973</v>
      </c>
      <c r="D3219" s="18">
        <v>1.0</v>
      </c>
      <c r="E3219" s="18">
        <v>10.0</v>
      </c>
      <c r="F3219" s="18">
        <v>10.0</v>
      </c>
    </row>
    <row r="3220">
      <c r="A3220" s="6" t="s">
        <v>8945</v>
      </c>
      <c r="B3220" s="18">
        <v>11632.0</v>
      </c>
      <c r="C3220" s="6" t="s">
        <v>1239</v>
      </c>
      <c r="D3220" s="18">
        <v>1.0</v>
      </c>
      <c r="E3220" s="18">
        <v>1.0</v>
      </c>
      <c r="F3220" s="18">
        <v>1.0</v>
      </c>
    </row>
    <row r="3221">
      <c r="A3221" s="6" t="s">
        <v>8947</v>
      </c>
      <c r="B3221" s="18">
        <v>11633.0</v>
      </c>
      <c r="C3221" s="6" t="s">
        <v>1239</v>
      </c>
      <c r="D3221" s="18">
        <v>1.0</v>
      </c>
      <c r="E3221" s="18">
        <v>1.0</v>
      </c>
      <c r="F3221" s="18">
        <v>1.0</v>
      </c>
    </row>
    <row r="3222">
      <c r="A3222" s="6" t="s">
        <v>8948</v>
      </c>
      <c r="B3222" s="18">
        <v>11634.0</v>
      </c>
      <c r="C3222" s="6" t="s">
        <v>1239</v>
      </c>
      <c r="D3222" s="18">
        <v>1.0</v>
      </c>
      <c r="E3222" s="18">
        <v>1.0</v>
      </c>
      <c r="F3222" s="18">
        <v>1.0</v>
      </c>
    </row>
    <row r="3223">
      <c r="A3223" s="6" t="s">
        <v>8949</v>
      </c>
      <c r="B3223" s="18">
        <v>11635.0</v>
      </c>
      <c r="C3223" s="6" t="s">
        <v>1239</v>
      </c>
      <c r="D3223" s="18">
        <v>1.0</v>
      </c>
      <c r="E3223" s="18">
        <v>1.0</v>
      </c>
      <c r="F3223" s="18">
        <v>1.0</v>
      </c>
    </row>
    <row r="3224">
      <c r="A3224" s="6" t="s">
        <v>8950</v>
      </c>
      <c r="B3224" s="18">
        <v>11636.0</v>
      </c>
      <c r="C3224" s="6" t="s">
        <v>1239</v>
      </c>
      <c r="D3224" s="18">
        <v>1.0</v>
      </c>
      <c r="E3224" s="18">
        <v>1.0</v>
      </c>
      <c r="F3224" s="18">
        <v>1.0</v>
      </c>
    </row>
    <row r="3225">
      <c r="A3225" s="6" t="s">
        <v>8951</v>
      </c>
      <c r="B3225" s="6" t="s">
        <v>8952</v>
      </c>
      <c r="C3225" s="18">
        <v>1.2539885E7</v>
      </c>
      <c r="D3225" s="18">
        <v>1.0</v>
      </c>
      <c r="E3225" s="18">
        <v>225.0</v>
      </c>
      <c r="F3225" s="18">
        <v>225.0</v>
      </c>
    </row>
    <row r="3226">
      <c r="A3226" s="6" t="s">
        <v>8953</v>
      </c>
      <c r="B3226" s="6" t="s">
        <v>8954</v>
      </c>
      <c r="C3226" s="18">
        <v>1.2539885E7</v>
      </c>
      <c r="D3226" s="18">
        <v>1.0</v>
      </c>
      <c r="E3226" s="18">
        <v>525.0</v>
      </c>
      <c r="F3226" s="18">
        <v>525.0</v>
      </c>
    </row>
    <row r="3227">
      <c r="A3227" s="6" t="s">
        <v>8955</v>
      </c>
      <c r="B3227" s="6" t="s">
        <v>8956</v>
      </c>
      <c r="C3227" s="6" t="s">
        <v>226</v>
      </c>
      <c r="D3227" s="18">
        <v>7.0</v>
      </c>
      <c r="E3227" s="18">
        <v>9.0</v>
      </c>
      <c r="F3227" s="18">
        <v>63.0</v>
      </c>
    </row>
    <row r="3228">
      <c r="A3228" s="6" t="s">
        <v>8958</v>
      </c>
      <c r="B3228" s="6" t="s">
        <v>8956</v>
      </c>
      <c r="C3228" s="6" t="s">
        <v>152</v>
      </c>
      <c r="D3228" s="18">
        <v>1.0</v>
      </c>
      <c r="E3228" s="18">
        <v>27.01</v>
      </c>
      <c r="F3228" s="18">
        <v>27.01</v>
      </c>
    </row>
    <row r="3229">
      <c r="A3229" s="6" t="s">
        <v>8960</v>
      </c>
      <c r="B3229" s="6" t="s">
        <v>8956</v>
      </c>
      <c r="C3229" s="6" t="s">
        <v>230</v>
      </c>
      <c r="D3229" s="18">
        <v>1.0</v>
      </c>
      <c r="E3229" s="18">
        <v>174.0</v>
      </c>
      <c r="F3229" s="18">
        <v>174.0</v>
      </c>
    </row>
    <row r="3230">
      <c r="A3230" s="6" t="s">
        <v>8961</v>
      </c>
      <c r="B3230" s="6" t="s">
        <v>8956</v>
      </c>
      <c r="C3230" s="6" t="s">
        <v>155</v>
      </c>
      <c r="D3230" s="18">
        <v>1.0</v>
      </c>
      <c r="E3230" s="18">
        <v>46.6</v>
      </c>
      <c r="F3230" s="18">
        <v>46.6</v>
      </c>
    </row>
    <row r="3231">
      <c r="A3231" s="6" t="s">
        <v>8964</v>
      </c>
      <c r="B3231" s="6" t="s">
        <v>8965</v>
      </c>
      <c r="C3231" s="6" t="s">
        <v>226</v>
      </c>
      <c r="D3231" s="18">
        <v>7.0</v>
      </c>
      <c r="E3231" s="18">
        <v>9.0</v>
      </c>
      <c r="F3231" s="18">
        <v>63.0</v>
      </c>
    </row>
    <row r="3232">
      <c r="A3232" s="6" t="s">
        <v>8966</v>
      </c>
      <c r="B3232" s="6" t="s">
        <v>8965</v>
      </c>
      <c r="C3232" s="6" t="s">
        <v>152</v>
      </c>
      <c r="D3232" s="18">
        <v>1.0</v>
      </c>
      <c r="E3232" s="18">
        <v>15.22</v>
      </c>
      <c r="F3232" s="18">
        <v>15.22</v>
      </c>
    </row>
    <row r="3233">
      <c r="A3233" s="6" t="s">
        <v>8967</v>
      </c>
      <c r="B3233" s="6" t="s">
        <v>8965</v>
      </c>
      <c r="C3233" s="6" t="s">
        <v>230</v>
      </c>
      <c r="D3233" s="18">
        <v>1.0</v>
      </c>
      <c r="E3233" s="18">
        <v>238.81</v>
      </c>
      <c r="F3233" s="18">
        <v>238.81</v>
      </c>
    </row>
    <row r="3234">
      <c r="A3234" s="6" t="s">
        <v>8968</v>
      </c>
      <c r="B3234" s="6" t="s">
        <v>8965</v>
      </c>
      <c r="C3234" s="6" t="s">
        <v>155</v>
      </c>
      <c r="D3234" s="18">
        <v>1.0</v>
      </c>
      <c r="E3234" s="18">
        <v>28.95</v>
      </c>
      <c r="F3234" s="18">
        <v>28.95</v>
      </c>
    </row>
    <row r="3235">
      <c r="A3235" s="6" t="s">
        <v>8969</v>
      </c>
      <c r="B3235" s="6" t="s">
        <v>8965</v>
      </c>
      <c r="C3235" s="6" t="s">
        <v>159</v>
      </c>
      <c r="D3235" s="18">
        <v>15.0</v>
      </c>
      <c r="E3235" s="18">
        <v>12.0</v>
      </c>
      <c r="F3235" s="18">
        <v>180.0</v>
      </c>
    </row>
    <row r="3236">
      <c r="A3236" s="6" t="s">
        <v>8972</v>
      </c>
      <c r="B3236" s="6" t="s">
        <v>8973</v>
      </c>
      <c r="C3236" s="6" t="s">
        <v>789</v>
      </c>
      <c r="D3236" s="18">
        <v>1.0</v>
      </c>
      <c r="E3236" s="18">
        <v>110.0</v>
      </c>
      <c r="F3236" s="18">
        <v>110.0</v>
      </c>
    </row>
    <row r="3237">
      <c r="A3237" s="6" t="s">
        <v>8976</v>
      </c>
      <c r="B3237" s="6" t="s">
        <v>8977</v>
      </c>
      <c r="C3237" s="6" t="s">
        <v>1536</v>
      </c>
      <c r="D3237" s="18">
        <v>1.0</v>
      </c>
      <c r="E3237" s="18">
        <v>15.0</v>
      </c>
      <c r="F3237" s="18">
        <v>15.0</v>
      </c>
    </row>
    <row r="3238">
      <c r="A3238" s="6" t="s">
        <v>8978</v>
      </c>
      <c r="B3238" s="6" t="s">
        <v>8979</v>
      </c>
      <c r="C3238" s="6" t="s">
        <v>1079</v>
      </c>
      <c r="D3238" s="18">
        <v>25.0</v>
      </c>
      <c r="E3238" s="18">
        <v>12.9</v>
      </c>
      <c r="F3238" s="18">
        <v>322.5</v>
      </c>
    </row>
    <row r="3239">
      <c r="A3239" s="6" t="s">
        <v>8981</v>
      </c>
      <c r="B3239" s="6" t="s">
        <v>8979</v>
      </c>
      <c r="C3239" s="6" t="s">
        <v>1080</v>
      </c>
      <c r="D3239" s="18">
        <v>10.0</v>
      </c>
      <c r="E3239" s="18">
        <v>13.9</v>
      </c>
      <c r="F3239" s="18">
        <v>139.0</v>
      </c>
    </row>
    <row r="3240">
      <c r="A3240" s="6" t="s">
        <v>8982</v>
      </c>
      <c r="B3240" s="6" t="s">
        <v>8979</v>
      </c>
      <c r="C3240" s="6" t="s">
        <v>8679</v>
      </c>
      <c r="D3240" s="18">
        <v>2.0</v>
      </c>
      <c r="E3240" s="18">
        <v>32.9</v>
      </c>
      <c r="F3240" s="18">
        <v>65.8</v>
      </c>
    </row>
    <row r="3241">
      <c r="A3241" s="6" t="s">
        <v>8983</v>
      </c>
      <c r="B3241" s="6" t="s">
        <v>8984</v>
      </c>
      <c r="C3241" s="6" t="s">
        <v>8985</v>
      </c>
      <c r="D3241" s="18">
        <v>1.0</v>
      </c>
      <c r="E3241" s="18">
        <v>27.8</v>
      </c>
      <c r="F3241" s="18">
        <v>27.8</v>
      </c>
    </row>
    <row r="3242">
      <c r="A3242" s="6" t="s">
        <v>8986</v>
      </c>
      <c r="B3242" s="6" t="s">
        <v>8987</v>
      </c>
      <c r="C3242" s="6" t="s">
        <v>3987</v>
      </c>
      <c r="D3242" s="18">
        <v>1.0</v>
      </c>
      <c r="E3242" s="18">
        <v>100.0</v>
      </c>
      <c r="F3242" s="18">
        <v>100.0</v>
      </c>
    </row>
    <row r="3243">
      <c r="A3243" s="6" t="s">
        <v>8988</v>
      </c>
      <c r="B3243" s="6" t="s">
        <v>8990</v>
      </c>
      <c r="C3243" s="6" t="s">
        <v>3987</v>
      </c>
      <c r="D3243" s="18">
        <v>1.0</v>
      </c>
      <c r="E3243" s="18">
        <v>130.0</v>
      </c>
      <c r="F3243" s="18">
        <v>130.0</v>
      </c>
    </row>
    <row r="3244">
      <c r="A3244" s="6" t="s">
        <v>8992</v>
      </c>
      <c r="B3244" s="6" t="s">
        <v>8993</v>
      </c>
      <c r="C3244" s="6" t="s">
        <v>3987</v>
      </c>
      <c r="D3244" s="18">
        <v>1.0</v>
      </c>
      <c r="E3244" s="18">
        <v>104.0</v>
      </c>
      <c r="F3244" s="18">
        <v>104.0</v>
      </c>
    </row>
    <row r="3245">
      <c r="A3245" s="6" t="s">
        <v>8994</v>
      </c>
      <c r="B3245" s="6" t="s">
        <v>8995</v>
      </c>
      <c r="C3245" s="6" t="s">
        <v>3987</v>
      </c>
      <c r="D3245" s="18">
        <v>1.0</v>
      </c>
      <c r="E3245" s="18">
        <v>90.0</v>
      </c>
      <c r="F3245" s="18">
        <v>90.0</v>
      </c>
    </row>
    <row r="3246">
      <c r="A3246" s="6" t="s">
        <v>8998</v>
      </c>
      <c r="B3246" s="6" t="s">
        <v>8999</v>
      </c>
      <c r="C3246" s="6" t="s">
        <v>3987</v>
      </c>
      <c r="D3246" s="18">
        <v>1.0</v>
      </c>
      <c r="E3246" s="18">
        <v>130.0</v>
      </c>
      <c r="F3246" s="18">
        <v>130.0</v>
      </c>
    </row>
    <row r="3247">
      <c r="A3247" s="6" t="s">
        <v>9001</v>
      </c>
      <c r="B3247" s="6" t="s">
        <v>9003</v>
      </c>
      <c r="C3247" s="6" t="s">
        <v>3987</v>
      </c>
      <c r="D3247" s="18">
        <v>1.0</v>
      </c>
      <c r="E3247" s="18">
        <v>130.0</v>
      </c>
      <c r="F3247" s="18">
        <v>130.0</v>
      </c>
    </row>
    <row r="3248">
      <c r="A3248" s="6" t="s">
        <v>9004</v>
      </c>
      <c r="B3248" s="6" t="s">
        <v>9005</v>
      </c>
      <c r="C3248" s="6" t="s">
        <v>3987</v>
      </c>
      <c r="D3248" s="18">
        <v>1.0</v>
      </c>
      <c r="E3248" s="18">
        <v>65.0</v>
      </c>
      <c r="F3248" s="18">
        <v>65.0</v>
      </c>
    </row>
    <row r="3249">
      <c r="A3249" s="6" t="s">
        <v>9007</v>
      </c>
      <c r="B3249" s="6" t="s">
        <v>9008</v>
      </c>
      <c r="C3249" s="6" t="s">
        <v>3987</v>
      </c>
      <c r="D3249" s="18">
        <v>1.0</v>
      </c>
      <c r="E3249" s="18">
        <v>130.0</v>
      </c>
      <c r="F3249" s="18">
        <v>130.0</v>
      </c>
    </row>
    <row r="3250">
      <c r="A3250" s="6" t="s">
        <v>9009</v>
      </c>
      <c r="B3250" s="6" t="s">
        <v>9010</v>
      </c>
      <c r="C3250" s="6" t="s">
        <v>3987</v>
      </c>
      <c r="D3250" s="18">
        <v>1.0</v>
      </c>
      <c r="E3250" s="18">
        <v>130.0</v>
      </c>
      <c r="F3250" s="18">
        <v>130.0</v>
      </c>
    </row>
    <row r="3251">
      <c r="A3251" s="6" t="s">
        <v>9011</v>
      </c>
      <c r="B3251" s="6" t="s">
        <v>9012</v>
      </c>
      <c r="C3251" s="6" t="s">
        <v>6720</v>
      </c>
      <c r="D3251" s="18">
        <v>1.0</v>
      </c>
      <c r="E3251" s="18">
        <v>75.0</v>
      </c>
      <c r="F3251" s="18">
        <v>75.0</v>
      </c>
    </row>
    <row r="3252">
      <c r="A3252" s="6" t="s">
        <v>9013</v>
      </c>
      <c r="B3252" s="6" t="s">
        <v>9014</v>
      </c>
      <c r="C3252" s="6" t="s">
        <v>6720</v>
      </c>
      <c r="D3252" s="18">
        <v>1.0</v>
      </c>
      <c r="E3252" s="18">
        <v>20.0</v>
      </c>
      <c r="F3252" s="18">
        <v>20.0</v>
      </c>
    </row>
    <row r="3253">
      <c r="A3253" s="6" t="s">
        <v>9015</v>
      </c>
      <c r="B3253" s="6" t="s">
        <v>9016</v>
      </c>
      <c r="C3253" s="6" t="s">
        <v>6720</v>
      </c>
      <c r="D3253" s="18">
        <v>1.0</v>
      </c>
      <c r="E3253" s="18">
        <v>80.0</v>
      </c>
      <c r="F3253" s="18">
        <v>80.0</v>
      </c>
    </row>
    <row r="3254">
      <c r="A3254" s="6" t="s">
        <v>9017</v>
      </c>
      <c r="B3254" s="6" t="s">
        <v>9018</v>
      </c>
      <c r="C3254" s="6" t="s">
        <v>6720</v>
      </c>
      <c r="D3254" s="18">
        <v>1.0</v>
      </c>
      <c r="E3254" s="18">
        <v>273.0</v>
      </c>
      <c r="F3254" s="18">
        <v>273.0</v>
      </c>
    </row>
    <row r="3255">
      <c r="A3255" s="6" t="s">
        <v>9019</v>
      </c>
      <c r="B3255" s="6" t="s">
        <v>9020</v>
      </c>
      <c r="C3255" s="6" t="s">
        <v>6720</v>
      </c>
      <c r="D3255" s="18">
        <v>1.0</v>
      </c>
      <c r="E3255" s="18">
        <v>58.0</v>
      </c>
      <c r="F3255" s="18">
        <v>58.0</v>
      </c>
    </row>
    <row r="3256">
      <c r="A3256" s="6" t="s">
        <v>9021</v>
      </c>
      <c r="B3256" s="6" t="s">
        <v>9022</v>
      </c>
      <c r="C3256" s="6" t="s">
        <v>6720</v>
      </c>
      <c r="D3256" s="18">
        <v>1.0</v>
      </c>
      <c r="E3256" s="18">
        <v>101.0</v>
      </c>
      <c r="F3256" s="18">
        <v>101.0</v>
      </c>
    </row>
    <row r="3257">
      <c r="A3257" s="6" t="s">
        <v>9025</v>
      </c>
      <c r="B3257" s="6" t="s">
        <v>9026</v>
      </c>
      <c r="C3257" s="6" t="s">
        <v>6720</v>
      </c>
      <c r="D3257" s="18">
        <v>1.0</v>
      </c>
      <c r="E3257" s="18">
        <v>35.0</v>
      </c>
      <c r="F3257" s="18">
        <v>35.0</v>
      </c>
    </row>
    <row r="3258">
      <c r="A3258" s="6" t="s">
        <v>9027</v>
      </c>
      <c r="B3258" s="6" t="s">
        <v>9028</v>
      </c>
      <c r="C3258" s="6" t="s">
        <v>6720</v>
      </c>
      <c r="D3258" s="18">
        <v>1.0</v>
      </c>
      <c r="E3258" s="18">
        <v>105.0</v>
      </c>
      <c r="F3258" s="18">
        <v>105.0</v>
      </c>
    </row>
    <row r="3259">
      <c r="A3259" s="6" t="s">
        <v>9031</v>
      </c>
      <c r="B3259" s="6" t="s">
        <v>9033</v>
      </c>
      <c r="C3259" s="6" t="s">
        <v>8534</v>
      </c>
      <c r="D3259" s="18">
        <v>1.0</v>
      </c>
      <c r="E3259" s="18">
        <v>48.0</v>
      </c>
      <c r="F3259" s="18">
        <v>48.0</v>
      </c>
    </row>
    <row r="3260">
      <c r="A3260" s="6" t="s">
        <v>9034</v>
      </c>
      <c r="B3260" s="6" t="s">
        <v>9036</v>
      </c>
      <c r="C3260" s="6" t="s">
        <v>1668</v>
      </c>
      <c r="D3260" s="18">
        <v>1.0</v>
      </c>
      <c r="E3260" s="18">
        <v>124.16</v>
      </c>
      <c r="F3260" s="18">
        <v>124.16</v>
      </c>
    </row>
    <row r="3261">
      <c r="A3261" s="6" t="s">
        <v>9038</v>
      </c>
      <c r="B3261" s="6" t="s">
        <v>9039</v>
      </c>
      <c r="C3261" s="6" t="s">
        <v>5713</v>
      </c>
      <c r="D3261" s="18">
        <v>1.0</v>
      </c>
      <c r="E3261" s="18">
        <v>386.17</v>
      </c>
      <c r="F3261" s="18">
        <v>386.17</v>
      </c>
    </row>
    <row r="3262">
      <c r="A3262" s="6" t="s">
        <v>9042</v>
      </c>
      <c r="B3262" s="6" t="s">
        <v>9043</v>
      </c>
      <c r="C3262" s="6" t="s">
        <v>338</v>
      </c>
      <c r="D3262" s="18">
        <v>1.0</v>
      </c>
      <c r="E3262" s="18">
        <v>48.36</v>
      </c>
      <c r="F3262" s="18">
        <v>48.36</v>
      </c>
    </row>
    <row r="3263">
      <c r="A3263" s="6" t="s">
        <v>9044</v>
      </c>
      <c r="B3263" s="6" t="s">
        <v>9043</v>
      </c>
      <c r="C3263" s="6" t="s">
        <v>338</v>
      </c>
      <c r="D3263" s="18">
        <v>2.0</v>
      </c>
      <c r="E3263" s="18">
        <v>32.24</v>
      </c>
      <c r="F3263" s="18">
        <v>64.48</v>
      </c>
    </row>
    <row r="3264">
      <c r="A3264" s="6" t="s">
        <v>9047</v>
      </c>
      <c r="B3264" s="6" t="s">
        <v>9043</v>
      </c>
      <c r="C3264" s="6" t="s">
        <v>335</v>
      </c>
      <c r="D3264" s="18">
        <v>4.0</v>
      </c>
      <c r="E3264" s="18">
        <v>47.04</v>
      </c>
      <c r="F3264" s="18">
        <v>188.16</v>
      </c>
    </row>
    <row r="3265">
      <c r="A3265" s="6" t="s">
        <v>9050</v>
      </c>
      <c r="B3265" s="6" t="s">
        <v>9043</v>
      </c>
      <c r="C3265" s="6" t="s">
        <v>1777</v>
      </c>
      <c r="D3265" s="18">
        <v>1.0</v>
      </c>
      <c r="E3265" s="18">
        <v>33.96</v>
      </c>
      <c r="F3265" s="18">
        <v>33.96</v>
      </c>
    </row>
    <row r="3266">
      <c r="A3266" s="6" t="s">
        <v>9053</v>
      </c>
      <c r="B3266" s="6" t="s">
        <v>9043</v>
      </c>
      <c r="C3266" s="6" t="s">
        <v>7086</v>
      </c>
      <c r="D3266" s="18">
        <v>1.0</v>
      </c>
      <c r="E3266" s="18">
        <v>33.96</v>
      </c>
      <c r="F3266" s="18">
        <v>33.96</v>
      </c>
    </row>
    <row r="3267">
      <c r="A3267" s="6" t="s">
        <v>9055</v>
      </c>
      <c r="B3267" s="6" t="s">
        <v>9043</v>
      </c>
      <c r="C3267" s="6" t="s">
        <v>7086</v>
      </c>
      <c r="D3267" s="18">
        <v>1.0</v>
      </c>
      <c r="E3267" s="18">
        <v>31.58</v>
      </c>
      <c r="F3267" s="18">
        <v>31.58</v>
      </c>
    </row>
    <row r="3268">
      <c r="A3268" s="6" t="s">
        <v>9057</v>
      </c>
      <c r="B3268" s="6" t="s">
        <v>9043</v>
      </c>
      <c r="C3268" s="6" t="s">
        <v>338</v>
      </c>
      <c r="D3268" s="18">
        <v>2.0</v>
      </c>
      <c r="E3268" s="18">
        <v>28.36</v>
      </c>
      <c r="F3268" s="18">
        <v>56.72</v>
      </c>
    </row>
    <row r="3269">
      <c r="A3269" s="6" t="s">
        <v>9058</v>
      </c>
      <c r="B3269" s="6" t="s">
        <v>9043</v>
      </c>
      <c r="C3269" s="6" t="s">
        <v>7086</v>
      </c>
      <c r="D3269" s="18">
        <v>2.0</v>
      </c>
      <c r="E3269" s="18">
        <v>33.96</v>
      </c>
      <c r="F3269" s="18">
        <v>67.92</v>
      </c>
    </row>
    <row r="3270">
      <c r="A3270" s="6" t="s">
        <v>9061</v>
      </c>
      <c r="B3270" s="6" t="s">
        <v>9062</v>
      </c>
      <c r="C3270" s="6" t="s">
        <v>1168</v>
      </c>
      <c r="D3270" s="18">
        <v>1.0</v>
      </c>
      <c r="E3270" s="18">
        <v>500.0</v>
      </c>
      <c r="F3270" s="18">
        <v>500.0</v>
      </c>
    </row>
    <row r="3271">
      <c r="A3271" s="6" t="s">
        <v>9064</v>
      </c>
      <c r="B3271" s="6" t="s">
        <v>9066</v>
      </c>
      <c r="C3271" s="6" t="s">
        <v>1168</v>
      </c>
      <c r="D3271" s="18">
        <v>1.0</v>
      </c>
      <c r="E3271" s="18">
        <v>500.0</v>
      </c>
      <c r="F3271" s="18">
        <v>500.0</v>
      </c>
    </row>
    <row r="3272">
      <c r="A3272" s="6" t="s">
        <v>9068</v>
      </c>
      <c r="B3272" s="6" t="s">
        <v>9069</v>
      </c>
      <c r="C3272" s="6" t="s">
        <v>1168</v>
      </c>
      <c r="D3272" s="18">
        <v>1.0</v>
      </c>
      <c r="E3272" s="18">
        <v>500.0</v>
      </c>
      <c r="F3272" s="18">
        <v>500.0</v>
      </c>
    </row>
    <row r="3273">
      <c r="A3273" s="6" t="s">
        <v>9070</v>
      </c>
      <c r="B3273" s="6" t="s">
        <v>9071</v>
      </c>
      <c r="C3273" s="6" t="s">
        <v>1510</v>
      </c>
      <c r="D3273" s="18">
        <v>1.0</v>
      </c>
      <c r="E3273" s="18">
        <v>23237.56</v>
      </c>
      <c r="F3273" s="18">
        <v>23237.56</v>
      </c>
    </row>
    <row r="3274">
      <c r="A3274" s="6" t="s">
        <v>9074</v>
      </c>
      <c r="B3274" s="6" t="s">
        <v>9075</v>
      </c>
      <c r="C3274" s="6" t="s">
        <v>226</v>
      </c>
      <c r="D3274" s="18">
        <v>3.0</v>
      </c>
      <c r="E3274" s="18">
        <v>9.5</v>
      </c>
      <c r="F3274" s="18">
        <v>28.5</v>
      </c>
    </row>
    <row r="3275">
      <c r="A3275" s="6" t="s">
        <v>9076</v>
      </c>
      <c r="B3275" s="6" t="s">
        <v>9075</v>
      </c>
      <c r="C3275" s="6" t="s">
        <v>152</v>
      </c>
      <c r="D3275" s="18">
        <v>1.0</v>
      </c>
      <c r="E3275" s="18">
        <v>11.27</v>
      </c>
      <c r="F3275" s="18">
        <v>11.27</v>
      </c>
    </row>
    <row r="3276">
      <c r="A3276" s="6" t="s">
        <v>9079</v>
      </c>
      <c r="B3276" s="6" t="s">
        <v>9075</v>
      </c>
      <c r="C3276" s="6" t="s">
        <v>230</v>
      </c>
      <c r="D3276" s="18">
        <v>1.0</v>
      </c>
      <c r="E3276" s="18">
        <v>240.7</v>
      </c>
      <c r="F3276" s="18">
        <v>240.7</v>
      </c>
    </row>
    <row r="3277">
      <c r="A3277" s="6" t="s">
        <v>9080</v>
      </c>
      <c r="B3277" s="6" t="s">
        <v>9075</v>
      </c>
      <c r="C3277" s="6" t="s">
        <v>155</v>
      </c>
      <c r="D3277" s="18">
        <v>1.0</v>
      </c>
      <c r="E3277" s="18">
        <v>24.05</v>
      </c>
      <c r="F3277" s="18">
        <v>24.05</v>
      </c>
    </row>
    <row r="3278">
      <c r="A3278" s="6" t="s">
        <v>9082</v>
      </c>
      <c r="B3278" s="6" t="s">
        <v>9075</v>
      </c>
      <c r="C3278" s="6" t="s">
        <v>159</v>
      </c>
      <c r="D3278" s="18">
        <v>1.0</v>
      </c>
      <c r="E3278" s="18">
        <v>60.0</v>
      </c>
      <c r="F3278" s="18">
        <v>60.0</v>
      </c>
    </row>
    <row r="3279">
      <c r="A3279" s="6" t="s">
        <v>9085</v>
      </c>
      <c r="B3279" s="6" t="s">
        <v>9086</v>
      </c>
      <c r="C3279" s="6" t="s">
        <v>305</v>
      </c>
      <c r="D3279" s="18">
        <v>1.0</v>
      </c>
      <c r="E3279" s="18">
        <v>86.72</v>
      </c>
      <c r="F3279" s="18">
        <v>86.72</v>
      </c>
    </row>
    <row r="3280">
      <c r="A3280" s="6" t="s">
        <v>9087</v>
      </c>
      <c r="B3280" s="6" t="s">
        <v>9088</v>
      </c>
      <c r="C3280" s="6" t="s">
        <v>6720</v>
      </c>
      <c r="D3280" s="18">
        <v>1.0</v>
      </c>
      <c r="E3280" s="18">
        <v>53.0</v>
      </c>
      <c r="F3280" s="18">
        <v>53.0</v>
      </c>
    </row>
    <row r="3281">
      <c r="A3281" s="6" t="s">
        <v>9091</v>
      </c>
      <c r="B3281" s="6" t="s">
        <v>9093</v>
      </c>
      <c r="C3281" s="6" t="s">
        <v>6720</v>
      </c>
      <c r="D3281" s="18">
        <v>1.0</v>
      </c>
      <c r="E3281" s="18">
        <v>10.0</v>
      </c>
      <c r="F3281" s="18">
        <v>10.0</v>
      </c>
    </row>
    <row r="3282">
      <c r="A3282" s="6" t="s">
        <v>9094</v>
      </c>
      <c r="B3282" s="18">
        <v>4.4606334E7</v>
      </c>
      <c r="C3282" s="6" t="s">
        <v>6720</v>
      </c>
      <c r="D3282" s="18">
        <v>1.0</v>
      </c>
      <c r="E3282" s="18">
        <v>93.0</v>
      </c>
      <c r="F3282" s="18">
        <v>93.0</v>
      </c>
    </row>
    <row r="3283">
      <c r="A3283" s="6" t="s">
        <v>9095</v>
      </c>
      <c r="B3283" s="6" t="s">
        <v>9096</v>
      </c>
      <c r="C3283" s="6" t="s">
        <v>6720</v>
      </c>
      <c r="D3283" s="18">
        <v>1.0</v>
      </c>
      <c r="E3283" s="18">
        <v>34.0</v>
      </c>
      <c r="F3283" s="18">
        <v>34.0</v>
      </c>
    </row>
    <row r="3284">
      <c r="A3284" s="6" t="s">
        <v>9099</v>
      </c>
      <c r="B3284" s="6" t="s">
        <v>9100</v>
      </c>
      <c r="C3284" s="6" t="s">
        <v>6720</v>
      </c>
      <c r="D3284" s="18">
        <v>1.0</v>
      </c>
      <c r="E3284" s="18">
        <v>30.0</v>
      </c>
      <c r="F3284" s="18">
        <v>30.0</v>
      </c>
    </row>
    <row r="3285">
      <c r="A3285" s="6" t="s">
        <v>9101</v>
      </c>
      <c r="B3285" s="6" t="s">
        <v>9102</v>
      </c>
      <c r="C3285" s="6" t="s">
        <v>3987</v>
      </c>
      <c r="D3285" s="18">
        <v>1.0</v>
      </c>
      <c r="E3285" s="18">
        <v>66.0</v>
      </c>
      <c r="F3285" s="18">
        <v>66.0</v>
      </c>
    </row>
    <row r="3286">
      <c r="A3286" s="6" t="s">
        <v>9104</v>
      </c>
      <c r="B3286" s="6" t="s">
        <v>9105</v>
      </c>
      <c r="C3286" s="6" t="s">
        <v>3987</v>
      </c>
      <c r="D3286" s="18">
        <v>1.0</v>
      </c>
      <c r="E3286" s="18">
        <v>91.0</v>
      </c>
      <c r="F3286" s="18">
        <v>91.0</v>
      </c>
    </row>
    <row r="3287">
      <c r="A3287" s="6" t="s">
        <v>9107</v>
      </c>
      <c r="B3287" s="6" t="s">
        <v>9108</v>
      </c>
      <c r="C3287" s="6" t="s">
        <v>3987</v>
      </c>
      <c r="D3287" s="18">
        <v>1.0</v>
      </c>
      <c r="E3287" s="18">
        <v>65.0</v>
      </c>
      <c r="F3287" s="18">
        <v>65.0</v>
      </c>
    </row>
    <row r="3288">
      <c r="A3288" s="6" t="s">
        <v>9109</v>
      </c>
      <c r="B3288" s="6" t="s">
        <v>9110</v>
      </c>
      <c r="C3288" s="18">
        <v>7.5375964E7</v>
      </c>
      <c r="D3288" s="18">
        <v>1.0</v>
      </c>
      <c r="E3288" s="18">
        <v>19.8</v>
      </c>
      <c r="F3288" s="18">
        <v>19.8</v>
      </c>
    </row>
    <row r="3289">
      <c r="A3289" s="6" t="s">
        <v>9112</v>
      </c>
      <c r="B3289" s="6" t="s">
        <v>9110</v>
      </c>
      <c r="C3289" s="6" t="s">
        <v>1384</v>
      </c>
      <c r="D3289" s="18">
        <v>1.0</v>
      </c>
      <c r="E3289" s="18">
        <v>19.8</v>
      </c>
      <c r="F3289" s="18">
        <v>19.8</v>
      </c>
    </row>
    <row r="3290">
      <c r="A3290" s="6" t="s">
        <v>9115</v>
      </c>
      <c r="B3290" s="6" t="s">
        <v>9110</v>
      </c>
      <c r="C3290" s="6" t="s">
        <v>1404</v>
      </c>
      <c r="D3290" s="18">
        <v>1.0</v>
      </c>
      <c r="E3290" s="18">
        <v>19.8</v>
      </c>
      <c r="F3290" s="18">
        <v>19.8</v>
      </c>
    </row>
    <row r="3291">
      <c r="A3291" s="6" t="s">
        <v>9116</v>
      </c>
      <c r="B3291" s="6" t="s">
        <v>9110</v>
      </c>
      <c r="C3291" s="6" t="s">
        <v>1074</v>
      </c>
      <c r="D3291" s="18">
        <v>4.0</v>
      </c>
      <c r="E3291" s="18">
        <v>40.0</v>
      </c>
      <c r="F3291" s="18">
        <v>160.0</v>
      </c>
    </row>
    <row r="3292">
      <c r="A3292" s="6" t="s">
        <v>9118</v>
      </c>
      <c r="B3292" s="6" t="s">
        <v>9110</v>
      </c>
      <c r="C3292" s="6" t="s">
        <v>1075</v>
      </c>
      <c r="D3292" s="18">
        <v>4.0</v>
      </c>
      <c r="E3292" s="18">
        <v>20.0</v>
      </c>
      <c r="F3292" s="18">
        <v>80.0</v>
      </c>
    </row>
    <row r="3293">
      <c r="A3293" s="6" t="s">
        <v>9120</v>
      </c>
      <c r="B3293" s="6" t="s">
        <v>9110</v>
      </c>
      <c r="C3293" s="6" t="s">
        <v>1077</v>
      </c>
      <c r="D3293" s="18">
        <v>4.0</v>
      </c>
      <c r="E3293" s="18">
        <v>24.0</v>
      </c>
      <c r="F3293" s="18">
        <v>96.0</v>
      </c>
    </row>
    <row r="3294">
      <c r="A3294" s="6" t="s">
        <v>9121</v>
      </c>
      <c r="B3294" s="6" t="s">
        <v>9110</v>
      </c>
      <c r="C3294" s="6" t="s">
        <v>1081</v>
      </c>
      <c r="D3294" s="18">
        <v>1.0</v>
      </c>
      <c r="E3294" s="18">
        <v>45.0</v>
      </c>
      <c r="F3294" s="18">
        <v>45.0</v>
      </c>
    </row>
    <row r="3295">
      <c r="A3295" s="6" t="s">
        <v>9124</v>
      </c>
      <c r="B3295" s="6" t="s">
        <v>9110</v>
      </c>
      <c r="C3295" s="6" t="s">
        <v>1081</v>
      </c>
      <c r="D3295" s="18">
        <v>3.0</v>
      </c>
      <c r="E3295" s="18">
        <v>48.0</v>
      </c>
      <c r="F3295" s="18">
        <v>144.0</v>
      </c>
    </row>
    <row r="3296">
      <c r="A3296" s="6" t="s">
        <v>9125</v>
      </c>
      <c r="B3296" s="6" t="s">
        <v>9110</v>
      </c>
      <c r="C3296" s="6" t="s">
        <v>1085</v>
      </c>
      <c r="D3296" s="18">
        <v>3.0</v>
      </c>
      <c r="E3296" s="18">
        <v>40.2</v>
      </c>
      <c r="F3296" s="18">
        <v>120.6</v>
      </c>
    </row>
    <row r="3297">
      <c r="A3297" s="6" t="s">
        <v>9128</v>
      </c>
      <c r="B3297" s="6" t="s">
        <v>9110</v>
      </c>
      <c r="C3297" s="6" t="s">
        <v>5605</v>
      </c>
      <c r="D3297" s="18">
        <v>1.0</v>
      </c>
      <c r="E3297" s="18">
        <v>19.57</v>
      </c>
      <c r="F3297" s="18">
        <v>19.57</v>
      </c>
    </row>
    <row r="3298">
      <c r="A3298" s="6" t="s">
        <v>9130</v>
      </c>
      <c r="B3298" s="6" t="s">
        <v>9110</v>
      </c>
      <c r="C3298" s="6" t="s">
        <v>1077</v>
      </c>
      <c r="D3298" s="18">
        <v>1.0</v>
      </c>
      <c r="E3298" s="18">
        <v>24.25</v>
      </c>
      <c r="F3298" s="18">
        <v>24.25</v>
      </c>
    </row>
    <row r="3299">
      <c r="A3299" s="6" t="s">
        <v>9131</v>
      </c>
      <c r="B3299" s="6" t="s">
        <v>9110</v>
      </c>
      <c r="C3299" s="6" t="s">
        <v>1091</v>
      </c>
      <c r="D3299" s="18">
        <v>1.0</v>
      </c>
      <c r="E3299" s="18">
        <v>37.0</v>
      </c>
      <c r="F3299" s="18">
        <v>37.0</v>
      </c>
    </row>
    <row r="3300">
      <c r="A3300" s="6" t="s">
        <v>9133</v>
      </c>
      <c r="B3300" s="6" t="s">
        <v>9134</v>
      </c>
      <c r="C3300" s="6" t="s">
        <v>7522</v>
      </c>
      <c r="D3300" s="18">
        <v>1.0</v>
      </c>
      <c r="E3300" s="18">
        <v>87.22</v>
      </c>
      <c r="F3300" s="18">
        <v>87.22</v>
      </c>
    </row>
    <row r="3301">
      <c r="A3301" s="6" t="s">
        <v>9135</v>
      </c>
      <c r="B3301" s="6" t="s">
        <v>9136</v>
      </c>
      <c r="C3301" s="6" t="s">
        <v>1653</v>
      </c>
      <c r="D3301" s="18">
        <v>1.0</v>
      </c>
      <c r="E3301" s="18">
        <v>928.16</v>
      </c>
      <c r="F3301" s="18">
        <v>928.16</v>
      </c>
    </row>
    <row r="3302">
      <c r="A3302" s="6" t="s">
        <v>9138</v>
      </c>
      <c r="B3302" s="6" t="s">
        <v>9139</v>
      </c>
      <c r="C3302" s="6" t="s">
        <v>226</v>
      </c>
      <c r="D3302" s="18">
        <v>1.0</v>
      </c>
      <c r="E3302" s="18">
        <v>76.0</v>
      </c>
      <c r="F3302" s="18">
        <v>76.0</v>
      </c>
    </row>
    <row r="3303">
      <c r="A3303" s="6" t="s">
        <v>9140</v>
      </c>
      <c r="B3303" s="6" t="s">
        <v>9139</v>
      </c>
      <c r="C3303" s="6" t="s">
        <v>152</v>
      </c>
      <c r="D3303" s="18">
        <v>1.0</v>
      </c>
      <c r="E3303" s="18">
        <v>25.97</v>
      </c>
      <c r="F3303" s="18">
        <v>25.97</v>
      </c>
    </row>
    <row r="3304">
      <c r="A3304" s="6" t="s">
        <v>9141</v>
      </c>
      <c r="B3304" s="6" t="s">
        <v>9139</v>
      </c>
      <c r="C3304" s="6" t="s">
        <v>230</v>
      </c>
      <c r="D3304" s="18">
        <v>1.0</v>
      </c>
      <c r="E3304" s="18">
        <v>234.9</v>
      </c>
      <c r="F3304" s="18">
        <v>234.9</v>
      </c>
    </row>
    <row r="3305">
      <c r="A3305" s="6" t="s">
        <v>9143</v>
      </c>
      <c r="B3305" s="6" t="s">
        <v>9139</v>
      </c>
      <c r="C3305" s="6" t="s">
        <v>155</v>
      </c>
      <c r="D3305" s="18">
        <v>1.0</v>
      </c>
      <c r="E3305" s="18">
        <v>44.85</v>
      </c>
      <c r="F3305" s="18">
        <v>44.85</v>
      </c>
    </row>
    <row r="3306">
      <c r="A3306" s="6" t="s">
        <v>9144</v>
      </c>
      <c r="B3306" s="6" t="s">
        <v>9139</v>
      </c>
      <c r="C3306" s="6" t="s">
        <v>159</v>
      </c>
      <c r="D3306" s="18">
        <v>1.0</v>
      </c>
      <c r="E3306" s="18">
        <v>240.0</v>
      </c>
      <c r="F3306" s="18">
        <v>240.0</v>
      </c>
    </row>
    <row r="3307">
      <c r="A3307" s="6" t="s">
        <v>9147</v>
      </c>
      <c r="B3307" s="6" t="s">
        <v>9148</v>
      </c>
      <c r="C3307" s="18">
        <v>1.2539885E7</v>
      </c>
      <c r="D3307" s="18">
        <v>1.0</v>
      </c>
      <c r="E3307" s="18">
        <v>250.0</v>
      </c>
      <c r="F3307" s="18">
        <v>250.0</v>
      </c>
    </row>
    <row r="3308">
      <c r="A3308" s="6" t="s">
        <v>9149</v>
      </c>
      <c r="B3308" s="6" t="s">
        <v>9150</v>
      </c>
      <c r="C3308" s="18">
        <v>1.2539885E7</v>
      </c>
      <c r="D3308" s="18">
        <v>1.0</v>
      </c>
      <c r="E3308" s="18">
        <v>400.0</v>
      </c>
      <c r="F3308" s="18">
        <v>400.0</v>
      </c>
    </row>
    <row r="3309">
      <c r="A3309" s="6" t="s">
        <v>9153</v>
      </c>
      <c r="B3309" s="6" t="s">
        <v>9154</v>
      </c>
      <c r="C3309" s="6" t="s">
        <v>305</v>
      </c>
      <c r="D3309" s="18">
        <v>1.0</v>
      </c>
      <c r="E3309" s="18">
        <v>169.13</v>
      </c>
      <c r="F3309" s="18">
        <v>169.13</v>
      </c>
    </row>
    <row r="3310">
      <c r="A3310" s="6" t="s">
        <v>9155</v>
      </c>
      <c r="B3310" s="6" t="s">
        <v>9156</v>
      </c>
      <c r="C3310" s="6" t="s">
        <v>1517</v>
      </c>
      <c r="D3310" s="18">
        <v>1.0</v>
      </c>
      <c r="E3310" s="18">
        <v>737.54</v>
      </c>
      <c r="F3310" s="18">
        <v>737.54</v>
      </c>
    </row>
    <row r="3311">
      <c r="A3311" s="6" t="s">
        <v>9157</v>
      </c>
      <c r="B3311" s="6" t="s">
        <v>9158</v>
      </c>
      <c r="C3311" s="6" t="s">
        <v>1517</v>
      </c>
      <c r="D3311" s="18">
        <v>1.0</v>
      </c>
      <c r="E3311" s="18">
        <v>11242.49</v>
      </c>
      <c r="F3311" s="18">
        <v>11242.49</v>
      </c>
    </row>
    <row r="3312">
      <c r="A3312" s="6" t="s">
        <v>9161</v>
      </c>
      <c r="B3312" s="6" t="s">
        <v>9162</v>
      </c>
      <c r="C3312" s="6" t="s">
        <v>1725</v>
      </c>
      <c r="D3312" s="18">
        <v>1.0</v>
      </c>
      <c r="E3312" s="18">
        <v>3440.66</v>
      </c>
      <c r="F3312" s="18">
        <v>3440.66</v>
      </c>
    </row>
    <row r="3313">
      <c r="A3313" s="6" t="s">
        <v>9163</v>
      </c>
      <c r="B3313" s="6" t="s">
        <v>9164</v>
      </c>
      <c r="C3313" s="6" t="s">
        <v>152</v>
      </c>
      <c r="D3313" s="18">
        <v>1.0</v>
      </c>
      <c r="E3313" s="18">
        <v>19.2</v>
      </c>
      <c r="F3313" s="18">
        <v>19.2</v>
      </c>
    </row>
    <row r="3314">
      <c r="A3314" s="6" t="s">
        <v>9165</v>
      </c>
      <c r="B3314" s="6" t="s">
        <v>9164</v>
      </c>
      <c r="C3314" s="6" t="s">
        <v>230</v>
      </c>
      <c r="D3314" s="18">
        <v>1.0</v>
      </c>
      <c r="E3314" s="18">
        <v>226.8</v>
      </c>
      <c r="F3314" s="18">
        <v>226.8</v>
      </c>
    </row>
    <row r="3315">
      <c r="A3315" s="6" t="s">
        <v>9166</v>
      </c>
      <c r="B3315" s="6" t="s">
        <v>9164</v>
      </c>
      <c r="C3315" s="6" t="s">
        <v>155</v>
      </c>
      <c r="D3315" s="18">
        <v>1.0</v>
      </c>
      <c r="E3315" s="18">
        <v>42.9</v>
      </c>
      <c r="F3315" s="18">
        <v>42.9</v>
      </c>
    </row>
    <row r="3316">
      <c r="A3316" s="6" t="s">
        <v>9168</v>
      </c>
      <c r="B3316" s="6" t="s">
        <v>9164</v>
      </c>
      <c r="C3316" s="6" t="s">
        <v>159</v>
      </c>
      <c r="D3316" s="18">
        <v>1.0</v>
      </c>
      <c r="E3316" s="18">
        <v>275.0</v>
      </c>
      <c r="F3316" s="18">
        <v>275.0</v>
      </c>
    </row>
    <row r="3317">
      <c r="A3317" s="6" t="s">
        <v>9171</v>
      </c>
      <c r="B3317" s="6" t="s">
        <v>9172</v>
      </c>
      <c r="C3317" s="18">
        <v>1.2539885E7</v>
      </c>
      <c r="D3317" s="18">
        <v>1.0</v>
      </c>
      <c r="E3317" s="18">
        <v>275.0</v>
      </c>
      <c r="F3317" s="18">
        <v>275.0</v>
      </c>
    </row>
    <row r="3318">
      <c r="A3318" s="6" t="s">
        <v>9173</v>
      </c>
      <c r="B3318" s="6" t="s">
        <v>9174</v>
      </c>
      <c r="C3318" s="6" t="s">
        <v>5713</v>
      </c>
      <c r="D3318" s="18">
        <v>1.0</v>
      </c>
      <c r="E3318" s="18">
        <v>83.75</v>
      </c>
      <c r="F3318" s="18">
        <v>83.75</v>
      </c>
    </row>
    <row r="3319">
      <c r="A3319" s="6" t="s">
        <v>9175</v>
      </c>
      <c r="B3319" s="6" t="s">
        <v>9176</v>
      </c>
      <c r="C3319" s="18">
        <v>7.9792017E7</v>
      </c>
      <c r="D3319" s="18">
        <v>1.0</v>
      </c>
      <c r="E3319" s="18">
        <v>773.39</v>
      </c>
      <c r="F3319" s="18">
        <v>773.39</v>
      </c>
    </row>
    <row r="3320">
      <c r="A3320" s="6" t="s">
        <v>9177</v>
      </c>
      <c r="B3320" s="6" t="s">
        <v>9178</v>
      </c>
      <c r="C3320" s="6" t="s">
        <v>1394</v>
      </c>
      <c r="D3320" s="18">
        <v>1.0</v>
      </c>
      <c r="E3320" s="18">
        <v>645.16</v>
      </c>
      <c r="F3320" s="18">
        <v>645.16</v>
      </c>
    </row>
    <row r="3321">
      <c r="A3321" s="6" t="s">
        <v>9180</v>
      </c>
      <c r="B3321" s="6" t="s">
        <v>9181</v>
      </c>
      <c r="C3321" s="6" t="s">
        <v>1195</v>
      </c>
      <c r="D3321" s="18">
        <v>5.0</v>
      </c>
      <c r="E3321" s="18">
        <v>24.0</v>
      </c>
      <c r="F3321" s="18">
        <v>120.0</v>
      </c>
    </row>
    <row r="3322">
      <c r="A3322" s="6" t="s">
        <v>9183</v>
      </c>
      <c r="B3322" s="6" t="s">
        <v>9181</v>
      </c>
      <c r="C3322" s="6" t="s">
        <v>1041</v>
      </c>
      <c r="D3322" s="18">
        <v>1.0</v>
      </c>
      <c r="E3322" s="18">
        <v>24.0</v>
      </c>
      <c r="F3322" s="18">
        <v>24.0</v>
      </c>
    </row>
    <row r="3323">
      <c r="A3323" s="6" t="s">
        <v>9185</v>
      </c>
      <c r="B3323" s="6" t="s">
        <v>9181</v>
      </c>
      <c r="C3323" s="6" t="s">
        <v>1197</v>
      </c>
      <c r="D3323" s="18">
        <v>6.0</v>
      </c>
      <c r="E3323" s="18">
        <v>22.0</v>
      </c>
      <c r="F3323" s="18">
        <v>132.0</v>
      </c>
    </row>
    <row r="3324">
      <c r="A3324" s="6" t="s">
        <v>9187</v>
      </c>
      <c r="B3324" s="6" t="s">
        <v>9181</v>
      </c>
      <c r="C3324" s="6" t="s">
        <v>7032</v>
      </c>
      <c r="D3324" s="18">
        <v>1.0</v>
      </c>
      <c r="E3324" s="18">
        <v>24.0</v>
      </c>
      <c r="F3324" s="18">
        <v>24.0</v>
      </c>
    </row>
    <row r="3325">
      <c r="A3325" s="6" t="s">
        <v>9188</v>
      </c>
      <c r="B3325" s="6" t="s">
        <v>9181</v>
      </c>
      <c r="C3325" s="18">
        <v>7.9788768E7</v>
      </c>
      <c r="D3325" s="18">
        <v>3.0</v>
      </c>
      <c r="E3325" s="18">
        <v>5.5</v>
      </c>
      <c r="F3325" s="18">
        <v>16.5</v>
      </c>
    </row>
    <row r="3326">
      <c r="A3326" s="6" t="s">
        <v>9191</v>
      </c>
      <c r="B3326" s="6" t="s">
        <v>9193</v>
      </c>
      <c r="C3326" s="18">
        <v>1.2539885E7</v>
      </c>
      <c r="D3326" s="18">
        <v>1.0</v>
      </c>
      <c r="E3326" s="18">
        <v>500.0</v>
      </c>
      <c r="F3326" s="18">
        <v>500.0</v>
      </c>
    </row>
    <row r="3327">
      <c r="A3327" s="6" t="s">
        <v>9194</v>
      </c>
      <c r="B3327" s="6" t="s">
        <v>9195</v>
      </c>
      <c r="C3327" s="6" t="s">
        <v>1536</v>
      </c>
      <c r="D3327" s="18">
        <v>1.0</v>
      </c>
      <c r="E3327" s="18">
        <v>15.0</v>
      </c>
      <c r="F3327" s="18">
        <v>15.0</v>
      </c>
    </row>
    <row r="3328">
      <c r="A3328" s="6" t="s">
        <v>9196</v>
      </c>
      <c r="B3328" s="6" t="s">
        <v>9197</v>
      </c>
      <c r="C3328" s="6" t="s">
        <v>1079</v>
      </c>
      <c r="D3328" s="18">
        <v>1.0</v>
      </c>
      <c r="E3328" s="18">
        <v>322.5</v>
      </c>
      <c r="F3328" s="18">
        <v>322.5</v>
      </c>
    </row>
    <row r="3329">
      <c r="A3329" s="6" t="s">
        <v>9198</v>
      </c>
      <c r="B3329" s="6" t="s">
        <v>9197</v>
      </c>
      <c r="C3329" s="6" t="s">
        <v>1080</v>
      </c>
      <c r="D3329" s="18">
        <v>1.0</v>
      </c>
      <c r="E3329" s="18">
        <v>278.0</v>
      </c>
      <c r="F3329" s="18">
        <v>278.0</v>
      </c>
    </row>
    <row r="3330">
      <c r="A3330" s="6" t="s">
        <v>9199</v>
      </c>
      <c r="B3330" s="6" t="s">
        <v>9197</v>
      </c>
      <c r="C3330" s="6" t="s">
        <v>8679</v>
      </c>
      <c r="D3330" s="18">
        <v>3.0</v>
      </c>
      <c r="E3330" s="18">
        <v>32.9</v>
      </c>
      <c r="F3330" s="18">
        <v>98.7</v>
      </c>
    </row>
    <row r="3331">
      <c r="A3331" s="6" t="s">
        <v>9201</v>
      </c>
      <c r="B3331" s="6" t="s">
        <v>9202</v>
      </c>
      <c r="C3331" s="6" t="s">
        <v>1787</v>
      </c>
      <c r="D3331" s="18">
        <v>1.0</v>
      </c>
      <c r="E3331" s="18">
        <v>199.8</v>
      </c>
      <c r="F3331" s="18">
        <v>199.8</v>
      </c>
    </row>
    <row r="3332">
      <c r="A3332" s="6" t="s">
        <v>9204</v>
      </c>
      <c r="B3332" s="6" t="s">
        <v>9205</v>
      </c>
      <c r="C3332" s="6" t="s">
        <v>226</v>
      </c>
      <c r="D3332" s="18">
        <v>8.0</v>
      </c>
      <c r="E3332" s="18">
        <v>9.0</v>
      </c>
      <c r="F3332" s="18">
        <v>72.0</v>
      </c>
    </row>
    <row r="3333">
      <c r="A3333" s="6" t="s">
        <v>9207</v>
      </c>
      <c r="B3333" s="6" t="s">
        <v>9205</v>
      </c>
      <c r="C3333" s="6" t="s">
        <v>230</v>
      </c>
      <c r="D3333" s="18">
        <v>10.0</v>
      </c>
      <c r="E3333" s="18">
        <v>26.0</v>
      </c>
      <c r="F3333" s="18">
        <v>260.0</v>
      </c>
    </row>
    <row r="3334">
      <c r="A3334" s="6" t="s">
        <v>9208</v>
      </c>
      <c r="B3334" s="6" t="s">
        <v>9205</v>
      </c>
      <c r="C3334" s="6" t="s">
        <v>155</v>
      </c>
      <c r="D3334" s="18">
        <v>9.0</v>
      </c>
      <c r="E3334" s="18">
        <v>6.5</v>
      </c>
      <c r="F3334" s="18">
        <v>58.5</v>
      </c>
    </row>
    <row r="3335">
      <c r="A3335" s="6" t="s">
        <v>9210</v>
      </c>
      <c r="B3335" s="6" t="s">
        <v>9211</v>
      </c>
      <c r="C3335" s="6" t="s">
        <v>226</v>
      </c>
      <c r="D3335" s="18">
        <v>6.0</v>
      </c>
      <c r="E3335" s="18">
        <v>9.0</v>
      </c>
      <c r="F3335" s="18">
        <v>54.0</v>
      </c>
    </row>
    <row r="3336">
      <c r="A3336" s="6" t="s">
        <v>9213</v>
      </c>
      <c r="B3336" s="6" t="s">
        <v>9211</v>
      </c>
      <c r="C3336" s="6" t="s">
        <v>152</v>
      </c>
      <c r="D3336" s="18">
        <v>1.0</v>
      </c>
      <c r="E3336" s="18">
        <v>15.84</v>
      </c>
      <c r="F3336" s="18">
        <v>15.84</v>
      </c>
    </row>
    <row r="3337">
      <c r="A3337" s="6" t="s">
        <v>9214</v>
      </c>
      <c r="B3337" s="6" t="s">
        <v>9211</v>
      </c>
      <c r="C3337" s="6" t="s">
        <v>155</v>
      </c>
      <c r="D3337" s="18">
        <v>1.0</v>
      </c>
      <c r="E3337" s="18">
        <v>48.75</v>
      </c>
      <c r="F3337" s="18">
        <v>48.75</v>
      </c>
    </row>
    <row r="3338">
      <c r="A3338" s="6" t="s">
        <v>9215</v>
      </c>
      <c r="B3338" s="6" t="s">
        <v>9211</v>
      </c>
      <c r="C3338" s="6" t="s">
        <v>159</v>
      </c>
      <c r="D3338" s="18">
        <v>1.0</v>
      </c>
      <c r="E3338" s="18">
        <v>220.0</v>
      </c>
      <c r="F3338" s="18">
        <v>220.0</v>
      </c>
    </row>
    <row r="3339">
      <c r="A3339" s="6" t="s">
        <v>9216</v>
      </c>
      <c r="B3339" s="6" t="s">
        <v>9217</v>
      </c>
      <c r="C3339" s="6" t="s">
        <v>9218</v>
      </c>
      <c r="D3339" s="18">
        <v>1.0</v>
      </c>
      <c r="E3339" s="18">
        <v>682.47</v>
      </c>
      <c r="F3339" s="18">
        <v>682.47</v>
      </c>
    </row>
    <row r="3340">
      <c r="A3340" s="6" t="s">
        <v>9220</v>
      </c>
      <c r="B3340" s="6" t="s">
        <v>9221</v>
      </c>
      <c r="C3340" s="6" t="s">
        <v>1081</v>
      </c>
      <c r="D3340" s="18">
        <v>7.0</v>
      </c>
      <c r="E3340" s="18">
        <v>48.0</v>
      </c>
      <c r="F3340" s="18">
        <v>336.0</v>
      </c>
    </row>
    <row r="3341">
      <c r="A3341" s="6" t="s">
        <v>9223</v>
      </c>
      <c r="B3341" s="6" t="s">
        <v>9221</v>
      </c>
      <c r="C3341" s="6" t="s">
        <v>1077</v>
      </c>
      <c r="D3341" s="18">
        <v>3.0</v>
      </c>
      <c r="E3341" s="18">
        <v>25.8</v>
      </c>
      <c r="F3341" s="18">
        <v>77.4</v>
      </c>
    </row>
    <row r="3342">
      <c r="A3342" s="6" t="s">
        <v>9224</v>
      </c>
      <c r="B3342" s="6" t="s">
        <v>9221</v>
      </c>
      <c r="C3342" s="6" t="s">
        <v>1085</v>
      </c>
      <c r="D3342" s="18">
        <v>2.0</v>
      </c>
      <c r="E3342" s="18">
        <v>40.2</v>
      </c>
      <c r="F3342" s="18">
        <v>80.4</v>
      </c>
    </row>
    <row r="3343">
      <c r="A3343" s="6" t="s">
        <v>9225</v>
      </c>
      <c r="B3343" s="6" t="s">
        <v>9221</v>
      </c>
      <c r="C3343" s="6" t="s">
        <v>1074</v>
      </c>
      <c r="D3343" s="18">
        <v>1.0</v>
      </c>
      <c r="E3343" s="18">
        <v>75.0</v>
      </c>
      <c r="F3343" s="18">
        <v>75.0</v>
      </c>
    </row>
    <row r="3344">
      <c r="A3344" s="6" t="s">
        <v>9226</v>
      </c>
      <c r="B3344" s="6" t="s">
        <v>9221</v>
      </c>
      <c r="C3344" s="6" t="s">
        <v>5605</v>
      </c>
      <c r="D3344" s="18">
        <v>1.0</v>
      </c>
      <c r="E3344" s="18">
        <v>19.57</v>
      </c>
      <c r="F3344" s="18">
        <v>19.57</v>
      </c>
    </row>
    <row r="3345">
      <c r="A3345" s="6" t="s">
        <v>9227</v>
      </c>
      <c r="B3345" s="6" t="s">
        <v>9221</v>
      </c>
      <c r="C3345" s="6" t="s">
        <v>1073</v>
      </c>
      <c r="D3345" s="18">
        <v>1.0</v>
      </c>
      <c r="E3345" s="18">
        <v>21.0</v>
      </c>
      <c r="F3345" s="18">
        <v>21.0</v>
      </c>
    </row>
    <row r="3346">
      <c r="A3346" s="6" t="s">
        <v>9229</v>
      </c>
      <c r="B3346" s="6" t="s">
        <v>9221</v>
      </c>
      <c r="C3346" s="18">
        <v>7.5375964E7</v>
      </c>
      <c r="D3346" s="18">
        <v>1.0</v>
      </c>
      <c r="E3346" s="18">
        <v>19.8</v>
      </c>
      <c r="F3346" s="18">
        <v>19.8</v>
      </c>
    </row>
    <row r="3347">
      <c r="A3347" s="6" t="s">
        <v>9230</v>
      </c>
      <c r="B3347" s="6" t="s">
        <v>9221</v>
      </c>
      <c r="C3347" s="6" t="s">
        <v>1384</v>
      </c>
      <c r="D3347" s="18">
        <v>1.0</v>
      </c>
      <c r="E3347" s="18">
        <v>19.8</v>
      </c>
      <c r="F3347" s="18">
        <v>19.8</v>
      </c>
    </row>
    <row r="3348">
      <c r="A3348" s="6" t="s">
        <v>9231</v>
      </c>
      <c r="B3348" s="6" t="s">
        <v>9221</v>
      </c>
      <c r="C3348" s="6" t="s">
        <v>1384</v>
      </c>
      <c r="D3348" s="18">
        <v>1.0</v>
      </c>
      <c r="E3348" s="18">
        <v>65.0</v>
      </c>
      <c r="F3348" s="18">
        <v>65.0</v>
      </c>
    </row>
    <row r="3349">
      <c r="A3349" s="6" t="s">
        <v>9232</v>
      </c>
      <c r="B3349" s="6" t="s">
        <v>9221</v>
      </c>
      <c r="C3349" s="6" t="s">
        <v>1074</v>
      </c>
      <c r="D3349" s="18">
        <v>5.0</v>
      </c>
      <c r="E3349" s="18">
        <v>38.0</v>
      </c>
      <c r="F3349" s="18">
        <v>190.0</v>
      </c>
    </row>
    <row r="3350">
      <c r="A3350" s="6" t="s">
        <v>9233</v>
      </c>
      <c r="B3350" s="6" t="s">
        <v>9221</v>
      </c>
      <c r="C3350" s="6" t="s">
        <v>1075</v>
      </c>
      <c r="D3350" s="18">
        <v>6.0</v>
      </c>
      <c r="E3350" s="18">
        <v>19.0</v>
      </c>
      <c r="F3350" s="18">
        <v>114.0</v>
      </c>
    </row>
    <row r="3351">
      <c r="A3351" s="6" t="s">
        <v>9235</v>
      </c>
      <c r="B3351" s="6" t="s">
        <v>9236</v>
      </c>
      <c r="C3351" s="6" t="s">
        <v>7344</v>
      </c>
      <c r="D3351" s="18">
        <v>1.0</v>
      </c>
      <c r="E3351" s="18">
        <v>280.0</v>
      </c>
      <c r="F3351" s="18">
        <v>280.0</v>
      </c>
    </row>
    <row r="3352">
      <c r="A3352" s="6" t="s">
        <v>9237</v>
      </c>
      <c r="B3352" s="6" t="s">
        <v>9238</v>
      </c>
      <c r="C3352" s="18">
        <v>1.2539885E7</v>
      </c>
      <c r="D3352" s="18">
        <v>1.0</v>
      </c>
      <c r="E3352" s="18">
        <v>375.0</v>
      </c>
      <c r="F3352" s="18">
        <v>375.0</v>
      </c>
    </row>
    <row r="3353">
      <c r="A3353" s="6" t="s">
        <v>9239</v>
      </c>
      <c r="B3353" s="6" t="s">
        <v>9240</v>
      </c>
      <c r="C3353" s="6" t="s">
        <v>1517</v>
      </c>
      <c r="D3353" s="18">
        <v>1.0</v>
      </c>
      <c r="E3353" s="18">
        <v>2438.06</v>
      </c>
      <c r="F3353" s="18">
        <v>2438.06</v>
      </c>
    </row>
    <row r="3354">
      <c r="A3354" s="6" t="s">
        <v>9241</v>
      </c>
      <c r="B3354" s="6" t="s">
        <v>9242</v>
      </c>
      <c r="C3354" s="6" t="s">
        <v>8458</v>
      </c>
      <c r="D3354" s="18">
        <v>1.0</v>
      </c>
      <c r="E3354" s="18">
        <v>4979.0</v>
      </c>
      <c r="F3354" s="18">
        <v>4979.0</v>
      </c>
    </row>
    <row r="3355">
      <c r="A3355" s="6" t="s">
        <v>9243</v>
      </c>
      <c r="B3355" s="18">
        <v>11656.0</v>
      </c>
      <c r="C3355" s="6" t="s">
        <v>3218</v>
      </c>
      <c r="D3355" s="18">
        <v>1.0</v>
      </c>
      <c r="E3355" s="18">
        <v>8930.0</v>
      </c>
      <c r="F3355" s="18">
        <v>8930.0</v>
      </c>
    </row>
    <row r="3356">
      <c r="A3356" s="6" t="s">
        <v>9246</v>
      </c>
      <c r="B3356" s="18">
        <v>11657.0</v>
      </c>
      <c r="C3356" s="6" t="s">
        <v>8501</v>
      </c>
      <c r="D3356" s="18">
        <v>1.0</v>
      </c>
      <c r="E3356" s="18">
        <v>1000.0</v>
      </c>
      <c r="F3356" s="18">
        <v>1000.0</v>
      </c>
    </row>
    <row r="3357">
      <c r="A3357" s="6" t="s">
        <v>9249</v>
      </c>
      <c r="B3357" s="18">
        <v>11658.0</v>
      </c>
      <c r="C3357" s="6" t="s">
        <v>873</v>
      </c>
      <c r="D3357" s="18">
        <v>1.0</v>
      </c>
      <c r="E3357" s="18">
        <v>0.0</v>
      </c>
      <c r="F3357" s="18">
        <v>0.0</v>
      </c>
    </row>
    <row r="3358">
      <c r="A3358" s="6" t="s">
        <v>9250</v>
      </c>
      <c r="B3358" s="18">
        <v>11660.0</v>
      </c>
      <c r="C3358" s="6" t="s">
        <v>8792</v>
      </c>
      <c r="D3358" s="18">
        <v>1.0</v>
      </c>
      <c r="E3358" s="18">
        <v>0.01</v>
      </c>
      <c r="F3358" s="18">
        <v>0.01</v>
      </c>
    </row>
    <row r="3359">
      <c r="A3359" s="6" t="s">
        <v>9251</v>
      </c>
      <c r="B3359" s="6" t="s">
        <v>9252</v>
      </c>
      <c r="C3359" s="6" t="s">
        <v>1517</v>
      </c>
      <c r="D3359" s="18">
        <v>1.0</v>
      </c>
      <c r="E3359" s="18">
        <v>159.94</v>
      </c>
      <c r="F3359" s="18">
        <v>159.94</v>
      </c>
    </row>
    <row r="3360">
      <c r="A3360" s="6" t="s">
        <v>9253</v>
      </c>
      <c r="B3360" s="18">
        <v>11665.0</v>
      </c>
      <c r="C3360" s="6" t="s">
        <v>9254</v>
      </c>
      <c r="D3360" s="18">
        <v>1.0</v>
      </c>
      <c r="E3360" s="18">
        <v>0.01</v>
      </c>
      <c r="F3360" s="18">
        <v>0.01</v>
      </c>
    </row>
    <row r="3361">
      <c r="A3361" s="6" t="s">
        <v>9255</v>
      </c>
      <c r="B3361" s="18">
        <v>11678.0</v>
      </c>
      <c r="C3361" s="6" t="s">
        <v>8603</v>
      </c>
      <c r="D3361" s="18">
        <v>1.0</v>
      </c>
      <c r="E3361" s="18">
        <v>181.37</v>
      </c>
      <c r="F3361" s="18">
        <v>181.37</v>
      </c>
    </row>
    <row r="3362">
      <c r="A3362" s="6" t="s">
        <v>9256</v>
      </c>
      <c r="B3362" s="18">
        <v>11679.0</v>
      </c>
      <c r="C3362" s="6" t="s">
        <v>9257</v>
      </c>
      <c r="D3362" s="18">
        <v>1.0</v>
      </c>
      <c r="E3362" s="18">
        <v>922.29</v>
      </c>
      <c r="F3362" s="18">
        <v>922.29</v>
      </c>
    </row>
    <row r="3363">
      <c r="A3363" s="6" t="s">
        <v>9258</v>
      </c>
      <c r="B3363" s="18">
        <v>11680.0</v>
      </c>
      <c r="C3363" s="6" t="s">
        <v>3218</v>
      </c>
      <c r="D3363" s="18">
        <v>1.0</v>
      </c>
      <c r="E3363" s="18">
        <v>185.0</v>
      </c>
      <c r="F3363" s="18">
        <v>185.0</v>
      </c>
    </row>
    <row r="3364">
      <c r="A3364" s="6" t="s">
        <v>9259</v>
      </c>
      <c r="B3364" s="6" t="s">
        <v>9261</v>
      </c>
      <c r="C3364" s="18">
        <v>7.9792017E7</v>
      </c>
      <c r="D3364" s="18">
        <v>1.0</v>
      </c>
      <c r="E3364" s="18">
        <v>6972.21</v>
      </c>
      <c r="F3364" s="18">
        <v>6972.21</v>
      </c>
    </row>
    <row r="3365">
      <c r="A3365" s="6" t="s">
        <v>9262</v>
      </c>
      <c r="B3365" s="6" t="s">
        <v>9263</v>
      </c>
      <c r="C3365" s="6" t="s">
        <v>9264</v>
      </c>
      <c r="D3365" s="18">
        <v>1.0</v>
      </c>
      <c r="E3365" s="18">
        <v>950.0</v>
      </c>
      <c r="F3365" s="18">
        <v>950.0</v>
      </c>
    </row>
    <row r="3366">
      <c r="A3366" s="6" t="s">
        <v>9266</v>
      </c>
      <c r="B3366" s="6" t="s">
        <v>9267</v>
      </c>
      <c r="C3366" s="6" t="s">
        <v>3833</v>
      </c>
      <c r="D3366" s="18">
        <v>1.0</v>
      </c>
      <c r="E3366" s="18">
        <v>13868.09</v>
      </c>
      <c r="F3366" s="18">
        <v>13868.09</v>
      </c>
    </row>
    <row r="3367">
      <c r="A3367" s="6" t="s">
        <v>9268</v>
      </c>
      <c r="B3367" s="6" t="s">
        <v>9269</v>
      </c>
      <c r="C3367" s="6" t="s">
        <v>3833</v>
      </c>
      <c r="D3367" s="18">
        <v>1.0</v>
      </c>
      <c r="E3367" s="18">
        <v>159.94</v>
      </c>
      <c r="F3367" s="18">
        <v>159.94</v>
      </c>
    </row>
    <row r="3368">
      <c r="A3368" s="6" t="s">
        <v>9270</v>
      </c>
      <c r="B3368" s="6" t="s">
        <v>9271</v>
      </c>
      <c r="C3368" s="6" t="s">
        <v>338</v>
      </c>
      <c r="D3368" s="18">
        <v>4.0</v>
      </c>
      <c r="E3368" s="18">
        <v>29.56</v>
      </c>
      <c r="F3368" s="18">
        <v>118.24</v>
      </c>
    </row>
    <row r="3369">
      <c r="A3369" s="6" t="s">
        <v>9273</v>
      </c>
      <c r="B3369" s="6" t="s">
        <v>9271</v>
      </c>
      <c r="C3369" s="6" t="s">
        <v>9274</v>
      </c>
      <c r="D3369" s="18">
        <v>1.0</v>
      </c>
      <c r="E3369" s="18">
        <v>32.13</v>
      </c>
      <c r="F3369" s="18">
        <v>32.13</v>
      </c>
    </row>
    <row r="3370">
      <c r="A3370" s="6" t="s">
        <v>9275</v>
      </c>
      <c r="B3370" s="6" t="s">
        <v>9271</v>
      </c>
      <c r="C3370" s="6" t="s">
        <v>335</v>
      </c>
      <c r="D3370" s="18">
        <v>2.0</v>
      </c>
      <c r="E3370" s="18">
        <v>47.04</v>
      </c>
      <c r="F3370" s="18">
        <v>94.08</v>
      </c>
    </row>
    <row r="3371">
      <c r="A3371" s="6" t="s">
        <v>9276</v>
      </c>
      <c r="B3371" s="6" t="s">
        <v>9271</v>
      </c>
      <c r="C3371" s="6" t="s">
        <v>7086</v>
      </c>
      <c r="D3371" s="18">
        <v>9.0</v>
      </c>
      <c r="E3371" s="18">
        <v>33.96</v>
      </c>
      <c r="F3371" s="18">
        <v>305.64</v>
      </c>
    </row>
    <row r="3372">
      <c r="A3372" s="6" t="s">
        <v>9277</v>
      </c>
      <c r="B3372" s="6" t="s">
        <v>9279</v>
      </c>
      <c r="C3372" s="6" t="s">
        <v>1022</v>
      </c>
      <c r="D3372" s="18">
        <v>1.0</v>
      </c>
      <c r="E3372" s="18">
        <v>130.0</v>
      </c>
      <c r="F3372" s="18">
        <v>130.0</v>
      </c>
    </row>
    <row r="3373">
      <c r="A3373" s="6" t="s">
        <v>9280</v>
      </c>
      <c r="B3373" s="6" t="s">
        <v>9281</v>
      </c>
      <c r="C3373" s="6" t="s">
        <v>1904</v>
      </c>
      <c r="D3373" s="18">
        <v>1.0</v>
      </c>
      <c r="E3373" s="18">
        <v>14.0</v>
      </c>
      <c r="F3373" s="18">
        <v>14.0</v>
      </c>
    </row>
    <row r="3374">
      <c r="A3374" s="6" t="s">
        <v>9282</v>
      </c>
      <c r="B3374" s="6" t="s">
        <v>9283</v>
      </c>
      <c r="C3374" s="6" t="s">
        <v>1510</v>
      </c>
      <c r="D3374" s="18">
        <v>1.0</v>
      </c>
      <c r="E3374" s="18">
        <v>20090.34</v>
      </c>
      <c r="F3374" s="18">
        <v>20090.34</v>
      </c>
    </row>
    <row r="3375">
      <c r="A3375" s="6" t="s">
        <v>9284</v>
      </c>
      <c r="B3375" s="6" t="s">
        <v>9285</v>
      </c>
      <c r="C3375" s="6" t="s">
        <v>1668</v>
      </c>
      <c r="D3375" s="18">
        <v>1.0</v>
      </c>
      <c r="E3375" s="18">
        <v>124.16</v>
      </c>
      <c r="F3375" s="18">
        <v>124.16</v>
      </c>
    </row>
    <row r="3376">
      <c r="A3376" s="6" t="s">
        <v>9286</v>
      </c>
      <c r="B3376" s="6" t="s">
        <v>9287</v>
      </c>
      <c r="C3376" s="6" t="s">
        <v>1054</v>
      </c>
      <c r="D3376" s="18">
        <v>1.0</v>
      </c>
      <c r="E3376" s="18">
        <v>2375.99</v>
      </c>
      <c r="F3376" s="18">
        <v>2375.99</v>
      </c>
    </row>
    <row r="3377">
      <c r="A3377" s="6" t="s">
        <v>9288</v>
      </c>
      <c r="B3377" s="6" t="s">
        <v>9289</v>
      </c>
      <c r="C3377" s="6" t="s">
        <v>9290</v>
      </c>
      <c r="D3377" s="18">
        <v>1.0</v>
      </c>
      <c r="E3377" s="18">
        <v>150.0</v>
      </c>
      <c r="F3377" s="18">
        <v>150.0</v>
      </c>
    </row>
    <row r="3378">
      <c r="A3378" s="6" t="s">
        <v>9291</v>
      </c>
      <c r="B3378" s="6" t="s">
        <v>9292</v>
      </c>
      <c r="C3378" s="6" t="s">
        <v>2725</v>
      </c>
      <c r="D3378" s="18">
        <v>1.0</v>
      </c>
      <c r="E3378" s="18">
        <v>48.74</v>
      </c>
      <c r="F3378" s="18">
        <v>48.74</v>
      </c>
    </row>
    <row r="3379">
      <c r="A3379" s="6" t="s">
        <v>9294</v>
      </c>
      <c r="B3379" s="6" t="s">
        <v>9295</v>
      </c>
      <c r="C3379" s="6" t="s">
        <v>305</v>
      </c>
      <c r="D3379" s="18">
        <v>1.0</v>
      </c>
      <c r="E3379" s="18">
        <v>68.07</v>
      </c>
      <c r="F3379" s="18">
        <v>68.07</v>
      </c>
    </row>
    <row r="3380">
      <c r="A3380" s="6" t="s">
        <v>9296</v>
      </c>
      <c r="B3380" s="6" t="s">
        <v>9297</v>
      </c>
      <c r="C3380" s="6" t="s">
        <v>2725</v>
      </c>
      <c r="D3380" s="18">
        <v>1.0</v>
      </c>
      <c r="E3380" s="18">
        <v>22.73</v>
      </c>
      <c r="F3380" s="18">
        <v>22.73</v>
      </c>
    </row>
    <row r="3381">
      <c r="A3381" s="6" t="s">
        <v>9298</v>
      </c>
      <c r="B3381" s="6" t="s">
        <v>9299</v>
      </c>
      <c r="C3381" s="6" t="s">
        <v>1080</v>
      </c>
      <c r="D3381" s="18">
        <v>15.0</v>
      </c>
      <c r="E3381" s="18">
        <v>13.9</v>
      </c>
      <c r="F3381" s="18">
        <v>208.5</v>
      </c>
    </row>
    <row r="3382">
      <c r="A3382" s="6" t="s">
        <v>9300</v>
      </c>
      <c r="B3382" s="6" t="s">
        <v>9299</v>
      </c>
      <c r="C3382" s="6" t="s">
        <v>1079</v>
      </c>
      <c r="D3382" s="18">
        <v>25.0</v>
      </c>
      <c r="E3382" s="18">
        <v>12.9</v>
      </c>
      <c r="F3382" s="18">
        <v>322.5</v>
      </c>
    </row>
    <row r="3383">
      <c r="A3383" s="6" t="s">
        <v>9301</v>
      </c>
      <c r="B3383" s="6" t="s">
        <v>9302</v>
      </c>
      <c r="C3383" s="6" t="s">
        <v>226</v>
      </c>
      <c r="D3383" s="18">
        <v>1.0</v>
      </c>
      <c r="E3383" s="18">
        <v>85.5</v>
      </c>
      <c r="F3383" s="18">
        <v>85.5</v>
      </c>
    </row>
    <row r="3384">
      <c r="A3384" s="6" t="s">
        <v>9303</v>
      </c>
      <c r="B3384" s="6" t="s">
        <v>9302</v>
      </c>
      <c r="C3384" s="6" t="s">
        <v>152</v>
      </c>
      <c r="D3384" s="18">
        <v>1.0</v>
      </c>
      <c r="E3384" s="18">
        <v>14.65</v>
      </c>
      <c r="F3384" s="18">
        <v>14.65</v>
      </c>
    </row>
    <row r="3385">
      <c r="A3385" s="6" t="s">
        <v>9304</v>
      </c>
      <c r="B3385" s="6" t="s">
        <v>9302</v>
      </c>
      <c r="C3385" s="6" t="s">
        <v>230</v>
      </c>
      <c r="D3385" s="18">
        <v>1.0</v>
      </c>
      <c r="E3385" s="18">
        <v>262.6</v>
      </c>
      <c r="F3385" s="18">
        <v>262.6</v>
      </c>
    </row>
    <row r="3386">
      <c r="A3386" s="6" t="s">
        <v>9305</v>
      </c>
      <c r="B3386" s="6" t="s">
        <v>9302</v>
      </c>
      <c r="C3386" s="6" t="s">
        <v>155</v>
      </c>
      <c r="D3386" s="18">
        <v>1.0</v>
      </c>
      <c r="E3386" s="18">
        <v>59.32</v>
      </c>
      <c r="F3386" s="18">
        <v>59.32</v>
      </c>
    </row>
    <row r="3387">
      <c r="A3387" s="6" t="s">
        <v>9308</v>
      </c>
      <c r="B3387" s="6" t="s">
        <v>9309</v>
      </c>
      <c r="C3387" s="6" t="s">
        <v>794</v>
      </c>
      <c r="D3387" s="18">
        <v>1.0</v>
      </c>
      <c r="E3387" s="18">
        <v>1476.75</v>
      </c>
      <c r="F3387" s="18">
        <v>1476.75</v>
      </c>
    </row>
    <row r="3388">
      <c r="A3388" s="6" t="s">
        <v>9310</v>
      </c>
      <c r="B3388" s="6" t="s">
        <v>9311</v>
      </c>
      <c r="C3388" s="18">
        <v>1.2539885E7</v>
      </c>
      <c r="D3388" s="18">
        <v>1.0</v>
      </c>
      <c r="E3388" s="18">
        <v>150.0</v>
      </c>
      <c r="F3388" s="18">
        <v>150.0</v>
      </c>
    </row>
    <row r="3389">
      <c r="A3389" s="6" t="s">
        <v>9312</v>
      </c>
      <c r="B3389" s="6" t="s">
        <v>9313</v>
      </c>
      <c r="C3389" s="6" t="s">
        <v>152</v>
      </c>
      <c r="D3389" s="18">
        <v>1.0</v>
      </c>
      <c r="E3389" s="18">
        <v>20.21</v>
      </c>
      <c r="F3389" s="18">
        <v>20.21</v>
      </c>
    </row>
    <row r="3390">
      <c r="A3390" s="6" t="s">
        <v>9317</v>
      </c>
      <c r="B3390" s="6" t="s">
        <v>9313</v>
      </c>
      <c r="C3390" s="6" t="s">
        <v>230</v>
      </c>
      <c r="D3390" s="18">
        <v>1.0</v>
      </c>
      <c r="E3390" s="18">
        <v>15.79</v>
      </c>
      <c r="F3390" s="18">
        <v>15.79</v>
      </c>
    </row>
    <row r="3391">
      <c r="A3391" s="6" t="s">
        <v>9318</v>
      </c>
      <c r="B3391" s="6" t="s">
        <v>9313</v>
      </c>
      <c r="C3391" s="6" t="s">
        <v>155</v>
      </c>
      <c r="D3391" s="18">
        <v>1.0</v>
      </c>
      <c r="E3391" s="18">
        <v>56.29</v>
      </c>
      <c r="F3391" s="18">
        <v>56.29</v>
      </c>
    </row>
    <row r="3392">
      <c r="A3392" s="6" t="s">
        <v>9319</v>
      </c>
      <c r="B3392" s="6" t="s">
        <v>9313</v>
      </c>
      <c r="C3392" s="6" t="s">
        <v>159</v>
      </c>
      <c r="D3392" s="18">
        <v>1.0</v>
      </c>
      <c r="E3392" s="18">
        <v>199.8</v>
      </c>
      <c r="F3392" s="18">
        <v>199.8</v>
      </c>
    </row>
    <row r="3393">
      <c r="A3393" s="6" t="s">
        <v>9320</v>
      </c>
      <c r="B3393" s="18">
        <v>11676.0</v>
      </c>
      <c r="C3393" s="6" t="s">
        <v>6956</v>
      </c>
      <c r="D3393" s="18">
        <v>1.0</v>
      </c>
      <c r="E3393" s="18">
        <v>1098.0</v>
      </c>
      <c r="F3393" s="18">
        <v>1098.0</v>
      </c>
    </row>
    <row r="3394">
      <c r="A3394" s="6" t="s">
        <v>9321</v>
      </c>
      <c r="B3394" s="18">
        <v>11681.0</v>
      </c>
      <c r="C3394" s="6" t="s">
        <v>4831</v>
      </c>
      <c r="D3394" s="18">
        <v>1.0</v>
      </c>
      <c r="E3394" s="18">
        <v>375.0</v>
      </c>
      <c r="F3394" s="18">
        <v>375.0</v>
      </c>
    </row>
    <row r="3395">
      <c r="A3395" s="6" t="s">
        <v>9324</v>
      </c>
      <c r="B3395" s="6" t="s">
        <v>9325</v>
      </c>
      <c r="C3395" s="6" t="s">
        <v>2448</v>
      </c>
      <c r="D3395" s="18">
        <v>1.0</v>
      </c>
      <c r="E3395" s="18">
        <v>839.42</v>
      </c>
      <c r="F3395" s="18">
        <v>839.42</v>
      </c>
    </row>
    <row r="3396">
      <c r="A3396" s="6" t="s">
        <v>9327</v>
      </c>
      <c r="B3396" s="6" t="s">
        <v>9328</v>
      </c>
      <c r="C3396" s="6" t="s">
        <v>8458</v>
      </c>
      <c r="D3396" s="18">
        <v>1.0</v>
      </c>
      <c r="E3396" s="18">
        <v>148.0</v>
      </c>
      <c r="F3396" s="18">
        <v>148.0</v>
      </c>
    </row>
    <row r="3397">
      <c r="A3397" s="6" t="s">
        <v>9329</v>
      </c>
      <c r="B3397" s="6" t="s">
        <v>9331</v>
      </c>
      <c r="C3397" s="6" t="s">
        <v>7522</v>
      </c>
      <c r="D3397" s="18">
        <v>1.0</v>
      </c>
      <c r="E3397" s="18">
        <v>185.1</v>
      </c>
      <c r="F3397" s="18">
        <v>185.1</v>
      </c>
    </row>
    <row r="3398">
      <c r="A3398" s="6" t="s">
        <v>9333</v>
      </c>
      <c r="B3398" s="6" t="s">
        <v>9334</v>
      </c>
      <c r="C3398" s="18">
        <v>1.2539885E7</v>
      </c>
      <c r="D3398" s="18">
        <v>1.0</v>
      </c>
      <c r="E3398" s="18">
        <v>300.0</v>
      </c>
      <c r="F3398" s="18">
        <v>300.0</v>
      </c>
    </row>
    <row r="3399">
      <c r="A3399" s="6" t="s">
        <v>9335</v>
      </c>
      <c r="B3399" s="6" t="s">
        <v>9336</v>
      </c>
      <c r="C3399" s="6" t="s">
        <v>226</v>
      </c>
      <c r="D3399" s="18">
        <v>5.0</v>
      </c>
      <c r="E3399" s="18">
        <v>8.0</v>
      </c>
      <c r="F3399" s="18">
        <v>40.0</v>
      </c>
    </row>
    <row r="3400">
      <c r="A3400" s="6" t="s">
        <v>9337</v>
      </c>
      <c r="B3400" s="6" t="s">
        <v>9336</v>
      </c>
      <c r="C3400" s="6" t="s">
        <v>152</v>
      </c>
      <c r="D3400" s="18">
        <v>1.0</v>
      </c>
      <c r="E3400" s="18">
        <v>15.99</v>
      </c>
      <c r="F3400" s="18">
        <v>15.99</v>
      </c>
    </row>
    <row r="3401">
      <c r="A3401" s="6" t="s">
        <v>9339</v>
      </c>
      <c r="B3401" s="6" t="s">
        <v>9336</v>
      </c>
      <c r="C3401" s="6" t="s">
        <v>230</v>
      </c>
      <c r="D3401" s="18">
        <v>1.0</v>
      </c>
      <c r="E3401" s="18">
        <v>148.19</v>
      </c>
      <c r="F3401" s="18">
        <v>148.19</v>
      </c>
    </row>
    <row r="3402">
      <c r="A3402" s="6" t="s">
        <v>9341</v>
      </c>
      <c r="B3402" s="6" t="s">
        <v>9336</v>
      </c>
      <c r="C3402" s="6" t="s">
        <v>155</v>
      </c>
      <c r="D3402" s="18">
        <v>1.0</v>
      </c>
      <c r="E3402" s="18">
        <v>45.5</v>
      </c>
      <c r="F3402" s="18">
        <v>45.5</v>
      </c>
    </row>
    <row r="3403">
      <c r="A3403" s="6" t="s">
        <v>9342</v>
      </c>
      <c r="B3403" s="6" t="s">
        <v>9343</v>
      </c>
      <c r="C3403" s="6" t="s">
        <v>5715</v>
      </c>
      <c r="D3403" s="18">
        <v>1.0</v>
      </c>
      <c r="E3403" s="18">
        <v>92.76</v>
      </c>
      <c r="F3403" s="18">
        <v>92.76</v>
      </c>
    </row>
    <row r="3404">
      <c r="A3404" s="6" t="s">
        <v>9344</v>
      </c>
      <c r="B3404" s="18">
        <v>11689.0</v>
      </c>
      <c r="C3404" s="6" t="s">
        <v>7522</v>
      </c>
      <c r="D3404" s="18">
        <v>1.0</v>
      </c>
      <c r="E3404" s="18">
        <v>1062.54</v>
      </c>
      <c r="F3404" s="18">
        <v>1062.54</v>
      </c>
    </row>
    <row r="3405">
      <c r="A3405" s="6" t="s">
        <v>9345</v>
      </c>
      <c r="B3405" s="6" t="s">
        <v>9346</v>
      </c>
      <c r="C3405" s="6" t="s">
        <v>6470</v>
      </c>
      <c r="D3405" s="18">
        <v>1.0</v>
      </c>
      <c r="E3405" s="18">
        <v>150.0</v>
      </c>
      <c r="F3405" s="18">
        <v>150.0</v>
      </c>
    </row>
    <row r="3406">
      <c r="A3406" s="6" t="s">
        <v>9348</v>
      </c>
      <c r="B3406" s="18">
        <v>11696.0</v>
      </c>
      <c r="C3406" s="6" t="s">
        <v>2448</v>
      </c>
      <c r="D3406" s="18">
        <v>1.0</v>
      </c>
      <c r="E3406" s="18">
        <v>1921.19</v>
      </c>
      <c r="F3406" s="18">
        <v>1921.19</v>
      </c>
    </row>
    <row r="3407">
      <c r="A3407" s="6" t="s">
        <v>9350</v>
      </c>
      <c r="B3407" s="18">
        <v>11697.0</v>
      </c>
      <c r="C3407" s="6" t="s">
        <v>7522</v>
      </c>
      <c r="D3407" s="18">
        <v>1.0</v>
      </c>
      <c r="E3407" s="18">
        <v>17116.26</v>
      </c>
      <c r="F3407" s="18">
        <v>17116.26</v>
      </c>
    </row>
    <row r="3408">
      <c r="A3408" s="6" t="s">
        <v>9351</v>
      </c>
      <c r="B3408" s="6" t="s">
        <v>9352</v>
      </c>
      <c r="C3408" s="6" t="s">
        <v>1159</v>
      </c>
      <c r="D3408" s="18">
        <v>1.0</v>
      </c>
      <c r="E3408" s="18">
        <v>761.91</v>
      </c>
      <c r="F3408" s="18">
        <v>761.91</v>
      </c>
    </row>
    <row r="3409">
      <c r="A3409" s="6" t="s">
        <v>9353</v>
      </c>
      <c r="B3409" s="6" t="s">
        <v>9354</v>
      </c>
      <c r="C3409" s="6" t="s">
        <v>8651</v>
      </c>
      <c r="D3409" s="18">
        <v>1.0</v>
      </c>
      <c r="E3409" s="18">
        <v>1062.96</v>
      </c>
      <c r="F3409" s="18">
        <v>1062.96</v>
      </c>
    </row>
    <row r="3410">
      <c r="A3410" s="6" t="s">
        <v>9355</v>
      </c>
      <c r="B3410" s="6" t="s">
        <v>9356</v>
      </c>
      <c r="C3410" s="6" t="s">
        <v>1517</v>
      </c>
      <c r="D3410" s="18">
        <v>1.0</v>
      </c>
      <c r="E3410" s="18">
        <v>12803.87</v>
      </c>
      <c r="F3410" s="18">
        <v>12803.87</v>
      </c>
    </row>
    <row r="3411">
      <c r="A3411" s="6" t="s">
        <v>9357</v>
      </c>
      <c r="B3411" s="6" t="s">
        <v>9358</v>
      </c>
      <c r="C3411" s="6" t="s">
        <v>1073</v>
      </c>
      <c r="D3411" s="18">
        <v>2.0</v>
      </c>
      <c r="E3411" s="18">
        <v>21.0</v>
      </c>
      <c r="F3411" s="18">
        <v>42.0</v>
      </c>
    </row>
    <row r="3412">
      <c r="A3412" s="6" t="s">
        <v>9360</v>
      </c>
      <c r="B3412" s="6" t="s">
        <v>9358</v>
      </c>
      <c r="C3412" s="18">
        <v>7.5375964E7</v>
      </c>
      <c r="D3412" s="18">
        <v>1.0</v>
      </c>
      <c r="E3412" s="18">
        <v>19.8</v>
      </c>
      <c r="F3412" s="18">
        <v>19.8</v>
      </c>
    </row>
    <row r="3413">
      <c r="A3413" s="6" t="s">
        <v>9362</v>
      </c>
      <c r="B3413" s="6" t="s">
        <v>9358</v>
      </c>
      <c r="C3413" s="6" t="s">
        <v>1384</v>
      </c>
      <c r="D3413" s="18">
        <v>1.0</v>
      </c>
      <c r="E3413" s="18">
        <v>19.8</v>
      </c>
      <c r="F3413" s="18">
        <v>19.8</v>
      </c>
    </row>
    <row r="3414">
      <c r="A3414" s="6" t="s">
        <v>9364</v>
      </c>
      <c r="B3414" s="6" t="s">
        <v>9358</v>
      </c>
      <c r="C3414" s="6" t="s">
        <v>1404</v>
      </c>
      <c r="D3414" s="18">
        <v>1.0</v>
      </c>
      <c r="E3414" s="18">
        <v>19.8</v>
      </c>
      <c r="F3414" s="18">
        <v>19.8</v>
      </c>
    </row>
    <row r="3415">
      <c r="A3415" s="6" t="s">
        <v>9365</v>
      </c>
      <c r="B3415" s="6" t="s">
        <v>9358</v>
      </c>
      <c r="C3415" s="6" t="s">
        <v>1404</v>
      </c>
      <c r="D3415" s="18">
        <v>1.0</v>
      </c>
      <c r="E3415" s="18">
        <v>65.0</v>
      </c>
      <c r="F3415" s="18">
        <v>65.0</v>
      </c>
    </row>
    <row r="3416">
      <c r="A3416" s="6" t="s">
        <v>9366</v>
      </c>
      <c r="B3416" s="6" t="s">
        <v>9358</v>
      </c>
      <c r="C3416" s="6" t="s">
        <v>1074</v>
      </c>
      <c r="D3416" s="18">
        <v>8.0</v>
      </c>
      <c r="E3416" s="18">
        <v>40.0</v>
      </c>
      <c r="F3416" s="18">
        <v>320.0</v>
      </c>
    </row>
    <row r="3417">
      <c r="A3417" s="6" t="s">
        <v>9367</v>
      </c>
      <c r="B3417" s="18">
        <v>11719.0</v>
      </c>
      <c r="C3417" s="6" t="s">
        <v>9368</v>
      </c>
      <c r="D3417" s="18">
        <v>1.0</v>
      </c>
      <c r="E3417" s="18">
        <v>1307.62</v>
      </c>
      <c r="F3417" s="18">
        <v>1307.62</v>
      </c>
    </row>
    <row r="3418">
      <c r="A3418" s="6" t="s">
        <v>9371</v>
      </c>
      <c r="B3418" s="6" t="s">
        <v>9372</v>
      </c>
      <c r="C3418" s="6" t="s">
        <v>226</v>
      </c>
      <c r="D3418" s="18">
        <v>15.0</v>
      </c>
      <c r="E3418" s="18">
        <v>8.0</v>
      </c>
      <c r="F3418" s="18">
        <v>120.0</v>
      </c>
    </row>
    <row r="3419">
      <c r="A3419" s="6" t="s">
        <v>9373</v>
      </c>
      <c r="B3419" s="6" t="s">
        <v>9372</v>
      </c>
      <c r="C3419" s="6" t="s">
        <v>155</v>
      </c>
      <c r="D3419" s="18">
        <v>1.0</v>
      </c>
      <c r="E3419" s="18">
        <v>62.4</v>
      </c>
      <c r="F3419" s="18">
        <v>62.4</v>
      </c>
    </row>
    <row r="3420">
      <c r="A3420" s="6" t="s">
        <v>9374</v>
      </c>
      <c r="B3420" s="6" t="s">
        <v>9372</v>
      </c>
      <c r="C3420" s="6" t="s">
        <v>159</v>
      </c>
      <c r="D3420" s="18">
        <v>10.0</v>
      </c>
      <c r="E3420" s="18">
        <v>10.0</v>
      </c>
      <c r="F3420" s="18">
        <v>100.0</v>
      </c>
    </row>
    <row r="3421">
      <c r="A3421" s="6" t="s">
        <v>9376</v>
      </c>
      <c r="B3421" s="6" t="s">
        <v>9377</v>
      </c>
      <c r="C3421" s="6" t="s">
        <v>226</v>
      </c>
      <c r="D3421" s="18">
        <v>1.0</v>
      </c>
      <c r="E3421" s="18">
        <v>64.0</v>
      </c>
      <c r="F3421" s="18">
        <v>64.0</v>
      </c>
    </row>
    <row r="3422">
      <c r="A3422" s="6" t="s">
        <v>9379</v>
      </c>
      <c r="B3422" s="6" t="s">
        <v>9377</v>
      </c>
      <c r="C3422" s="6" t="s">
        <v>152</v>
      </c>
      <c r="D3422" s="18">
        <v>1.0</v>
      </c>
      <c r="E3422" s="18">
        <v>14.7</v>
      </c>
      <c r="F3422" s="18">
        <v>14.7</v>
      </c>
    </row>
    <row r="3423">
      <c r="A3423" s="6" t="s">
        <v>9381</v>
      </c>
      <c r="B3423" s="6" t="s">
        <v>9377</v>
      </c>
      <c r="C3423" s="6" t="s">
        <v>230</v>
      </c>
      <c r="D3423" s="18">
        <v>1.0</v>
      </c>
      <c r="E3423" s="18">
        <v>29.0</v>
      </c>
      <c r="F3423" s="18">
        <v>29.0</v>
      </c>
    </row>
    <row r="3424">
      <c r="A3424" s="6" t="s">
        <v>9382</v>
      </c>
      <c r="B3424" s="6" t="s">
        <v>9377</v>
      </c>
      <c r="C3424" s="6" t="s">
        <v>155</v>
      </c>
      <c r="D3424" s="18">
        <v>1.0</v>
      </c>
      <c r="E3424" s="18">
        <v>67.27</v>
      </c>
      <c r="F3424" s="18">
        <v>67.27</v>
      </c>
    </row>
    <row r="3425">
      <c r="A3425" s="6" t="s">
        <v>9385</v>
      </c>
      <c r="B3425" s="6" t="s">
        <v>9377</v>
      </c>
      <c r="C3425" s="6" t="s">
        <v>159</v>
      </c>
      <c r="D3425" s="18">
        <v>1.0</v>
      </c>
      <c r="E3425" s="18">
        <v>300.0</v>
      </c>
      <c r="F3425" s="18">
        <v>300.0</v>
      </c>
    </row>
    <row r="3426">
      <c r="A3426" s="6" t="s">
        <v>9388</v>
      </c>
      <c r="B3426" s="6" t="s">
        <v>9389</v>
      </c>
      <c r="C3426" s="6" t="s">
        <v>305</v>
      </c>
      <c r="D3426" s="18">
        <v>1.0</v>
      </c>
      <c r="E3426" s="18">
        <v>62.94</v>
      </c>
      <c r="F3426" s="18">
        <v>62.94</v>
      </c>
    </row>
    <row r="3427">
      <c r="A3427" s="6" t="s">
        <v>9390</v>
      </c>
      <c r="B3427" s="6" t="s">
        <v>9391</v>
      </c>
      <c r="C3427" s="6" t="s">
        <v>305</v>
      </c>
      <c r="D3427" s="18">
        <v>1.0</v>
      </c>
      <c r="E3427" s="18">
        <v>213.46</v>
      </c>
      <c r="F3427" s="18">
        <v>213.46</v>
      </c>
    </row>
    <row r="3428">
      <c r="A3428" s="6" t="s">
        <v>9394</v>
      </c>
      <c r="B3428" s="6" t="s">
        <v>9395</v>
      </c>
      <c r="C3428" s="6" t="s">
        <v>1080</v>
      </c>
      <c r="D3428" s="18">
        <v>1.0</v>
      </c>
      <c r="E3428" s="18">
        <v>208.5</v>
      </c>
      <c r="F3428" s="18">
        <v>208.5</v>
      </c>
    </row>
    <row r="3429">
      <c r="A3429" s="6" t="s">
        <v>9396</v>
      </c>
      <c r="B3429" s="6" t="s">
        <v>9395</v>
      </c>
      <c r="C3429" s="6" t="s">
        <v>1079</v>
      </c>
      <c r="D3429" s="18">
        <v>1.0</v>
      </c>
      <c r="E3429" s="18">
        <v>322.5</v>
      </c>
      <c r="F3429" s="18">
        <v>322.5</v>
      </c>
    </row>
    <row r="3430">
      <c r="A3430" s="6" t="s">
        <v>9397</v>
      </c>
      <c r="B3430" s="6" t="s">
        <v>9398</v>
      </c>
      <c r="C3430" s="6" t="s">
        <v>8458</v>
      </c>
      <c r="D3430" s="18">
        <v>1.0</v>
      </c>
      <c r="E3430" s="18">
        <v>3957.12</v>
      </c>
      <c r="F3430" s="18">
        <v>3957.12</v>
      </c>
    </row>
    <row r="3431">
      <c r="A3431" s="6" t="s">
        <v>9400</v>
      </c>
      <c r="B3431" s="6" t="s">
        <v>9402</v>
      </c>
      <c r="C3431" s="6" t="s">
        <v>1517</v>
      </c>
      <c r="D3431" s="18">
        <v>1.0</v>
      </c>
      <c r="E3431" s="18">
        <v>2776.66</v>
      </c>
      <c r="F3431" s="18">
        <v>2776.66</v>
      </c>
    </row>
    <row r="3432">
      <c r="A3432" s="6" t="s">
        <v>9403</v>
      </c>
      <c r="B3432" s="6" t="s">
        <v>9405</v>
      </c>
      <c r="C3432" s="18">
        <v>1.2539885E7</v>
      </c>
      <c r="D3432" s="18">
        <v>1.0</v>
      </c>
      <c r="E3432" s="18">
        <v>750.0</v>
      </c>
      <c r="F3432" s="18">
        <v>750.0</v>
      </c>
    </row>
    <row r="3433">
      <c r="A3433" s="6" t="s">
        <v>9406</v>
      </c>
      <c r="B3433" s="6" t="s">
        <v>9407</v>
      </c>
      <c r="C3433" s="6" t="s">
        <v>7344</v>
      </c>
      <c r="D3433" s="18">
        <v>1.0</v>
      </c>
      <c r="E3433" s="18">
        <v>625.0</v>
      </c>
      <c r="F3433" s="18">
        <v>625.0</v>
      </c>
    </row>
    <row r="3434">
      <c r="A3434" s="6" t="s">
        <v>9408</v>
      </c>
      <c r="B3434" s="6" t="s">
        <v>9409</v>
      </c>
      <c r="C3434" s="6" t="s">
        <v>2448</v>
      </c>
      <c r="D3434" s="18">
        <v>1.0</v>
      </c>
      <c r="E3434" s="18">
        <v>344.17</v>
      </c>
      <c r="F3434" s="18">
        <v>344.17</v>
      </c>
    </row>
    <row r="3435">
      <c r="A3435" s="6" t="s">
        <v>9412</v>
      </c>
      <c r="B3435" s="18">
        <v>11717.0</v>
      </c>
      <c r="C3435" s="6" t="s">
        <v>8404</v>
      </c>
      <c r="D3435" s="18">
        <v>1.0</v>
      </c>
      <c r="E3435" s="18">
        <v>249.23</v>
      </c>
      <c r="F3435" s="18">
        <v>249.23</v>
      </c>
    </row>
    <row r="3436">
      <c r="A3436" s="6" t="s">
        <v>9413</v>
      </c>
      <c r="B3436" s="18">
        <v>11718.0</v>
      </c>
      <c r="C3436" s="6" t="s">
        <v>8404</v>
      </c>
      <c r="D3436" s="18">
        <v>1.0</v>
      </c>
      <c r="E3436" s="18">
        <v>68.56</v>
      </c>
      <c r="F3436" s="18">
        <v>68.56</v>
      </c>
    </row>
    <row r="3437">
      <c r="A3437" s="6" t="s">
        <v>9414</v>
      </c>
      <c r="B3437" s="6" t="s">
        <v>9415</v>
      </c>
      <c r="C3437" s="6" t="s">
        <v>9417</v>
      </c>
      <c r="D3437" s="18">
        <v>1.0</v>
      </c>
      <c r="E3437" s="18">
        <v>32.5</v>
      </c>
      <c r="F3437" s="18">
        <v>32.5</v>
      </c>
    </row>
    <row r="3438">
      <c r="A3438" s="6" t="s">
        <v>9420</v>
      </c>
      <c r="B3438" s="6" t="s">
        <v>9421</v>
      </c>
      <c r="C3438" s="18">
        <v>7.9792017E7</v>
      </c>
      <c r="D3438" s="18">
        <v>1.0</v>
      </c>
      <c r="E3438" s="18">
        <v>1305.85</v>
      </c>
      <c r="F3438" s="18">
        <v>1305.85</v>
      </c>
    </row>
    <row r="3439">
      <c r="A3439" s="6" t="s">
        <v>9422</v>
      </c>
      <c r="B3439" s="6" t="s">
        <v>9423</v>
      </c>
      <c r="C3439" s="6" t="s">
        <v>7522</v>
      </c>
      <c r="D3439" s="18">
        <v>1.0</v>
      </c>
      <c r="E3439" s="18">
        <v>2825.53</v>
      </c>
      <c r="F3439" s="18">
        <v>2825.53</v>
      </c>
    </row>
    <row r="3440">
      <c r="A3440" s="6" t="s">
        <v>9424</v>
      </c>
      <c r="B3440" s="6" t="s">
        <v>9425</v>
      </c>
      <c r="C3440" s="6" t="s">
        <v>2448</v>
      </c>
      <c r="D3440" s="18">
        <v>1.0</v>
      </c>
      <c r="E3440" s="18">
        <v>563.24</v>
      </c>
      <c r="F3440" s="18">
        <v>563.24</v>
      </c>
    </row>
    <row r="3441">
      <c r="A3441" s="6" t="s">
        <v>9427</v>
      </c>
      <c r="B3441" s="6" t="s">
        <v>9428</v>
      </c>
      <c r="C3441" s="6" t="s">
        <v>1510</v>
      </c>
      <c r="D3441" s="18">
        <v>1.0</v>
      </c>
      <c r="E3441" s="18">
        <v>28192.87</v>
      </c>
      <c r="F3441" s="18">
        <v>28192.87</v>
      </c>
    </row>
    <row r="3442">
      <c r="A3442" s="6" t="s">
        <v>9430</v>
      </c>
      <c r="B3442" s="6" t="s">
        <v>9431</v>
      </c>
      <c r="C3442" s="6" t="s">
        <v>1168</v>
      </c>
      <c r="D3442" s="18">
        <v>1.0</v>
      </c>
      <c r="E3442" s="18">
        <v>500.0</v>
      </c>
      <c r="F3442" s="18">
        <v>500.0</v>
      </c>
    </row>
    <row r="3443">
      <c r="A3443" s="6" t="s">
        <v>9432</v>
      </c>
      <c r="B3443" s="6" t="s">
        <v>9433</v>
      </c>
      <c r="C3443" s="6" t="s">
        <v>1168</v>
      </c>
      <c r="D3443" s="18">
        <v>1.0</v>
      </c>
      <c r="E3443" s="18">
        <v>500.0</v>
      </c>
      <c r="F3443" s="18">
        <v>500.0</v>
      </c>
    </row>
    <row r="3444">
      <c r="A3444" s="6" t="s">
        <v>9434</v>
      </c>
      <c r="B3444" s="18">
        <v>11729.0</v>
      </c>
      <c r="C3444" s="6" t="s">
        <v>1239</v>
      </c>
      <c r="D3444" s="18">
        <v>1.0</v>
      </c>
      <c r="E3444" s="18">
        <v>4083.0</v>
      </c>
      <c r="F3444" s="18">
        <v>4083.0</v>
      </c>
    </row>
    <row r="3445">
      <c r="A3445" s="6" t="s">
        <v>9439</v>
      </c>
      <c r="B3445" s="6" t="s">
        <v>9440</v>
      </c>
      <c r="C3445" s="6" t="s">
        <v>1168</v>
      </c>
      <c r="D3445" s="18">
        <v>1.0</v>
      </c>
      <c r="E3445" s="18">
        <v>500.0</v>
      </c>
      <c r="F3445" s="18">
        <v>500.0</v>
      </c>
    </row>
    <row r="3446">
      <c r="A3446" s="6" t="s">
        <v>9441</v>
      </c>
      <c r="B3446" s="6" t="s">
        <v>9442</v>
      </c>
      <c r="C3446" s="6" t="s">
        <v>226</v>
      </c>
      <c r="D3446" s="18">
        <v>15.0</v>
      </c>
      <c r="E3446" s="18">
        <v>8.0</v>
      </c>
      <c r="F3446" s="18">
        <v>120.0</v>
      </c>
    </row>
    <row r="3447">
      <c r="A3447" s="6" t="s">
        <v>9443</v>
      </c>
      <c r="B3447" s="6" t="s">
        <v>9442</v>
      </c>
      <c r="C3447" s="6" t="s">
        <v>230</v>
      </c>
      <c r="D3447" s="18">
        <v>1.0</v>
      </c>
      <c r="E3447" s="18">
        <v>234.9</v>
      </c>
      <c r="F3447" s="18">
        <v>234.9</v>
      </c>
    </row>
    <row r="3448">
      <c r="A3448" s="6" t="s">
        <v>9446</v>
      </c>
      <c r="B3448" s="6" t="s">
        <v>9442</v>
      </c>
      <c r="C3448" s="6" t="s">
        <v>155</v>
      </c>
      <c r="D3448" s="18">
        <v>1.0</v>
      </c>
      <c r="E3448" s="18">
        <v>58.8</v>
      </c>
      <c r="F3448" s="18">
        <v>58.8</v>
      </c>
    </row>
    <row r="3449">
      <c r="A3449" s="6" t="s">
        <v>9447</v>
      </c>
      <c r="B3449" s="6" t="s">
        <v>9442</v>
      </c>
      <c r="C3449" s="6" t="s">
        <v>159</v>
      </c>
      <c r="D3449" s="18">
        <v>1.0</v>
      </c>
      <c r="E3449" s="18">
        <v>300.0</v>
      </c>
      <c r="F3449" s="18">
        <v>300.0</v>
      </c>
    </row>
    <row r="3450">
      <c r="A3450" s="6" t="s">
        <v>9448</v>
      </c>
      <c r="B3450" s="6" t="s">
        <v>9449</v>
      </c>
      <c r="C3450" s="6" t="s">
        <v>226</v>
      </c>
      <c r="D3450" s="18">
        <v>1.0</v>
      </c>
      <c r="E3450" s="18">
        <v>24.0</v>
      </c>
      <c r="F3450" s="18">
        <v>24.0</v>
      </c>
    </row>
    <row r="3451">
      <c r="A3451" s="6" t="s">
        <v>9450</v>
      </c>
      <c r="B3451" s="6" t="s">
        <v>9449</v>
      </c>
      <c r="C3451" s="6" t="s">
        <v>152</v>
      </c>
      <c r="D3451" s="18">
        <v>1.0</v>
      </c>
      <c r="E3451" s="18">
        <v>15.82</v>
      </c>
      <c r="F3451" s="18">
        <v>15.82</v>
      </c>
    </row>
    <row r="3452">
      <c r="A3452" s="6" t="s">
        <v>9452</v>
      </c>
      <c r="B3452" s="6" t="s">
        <v>9449</v>
      </c>
      <c r="C3452" s="6" t="s">
        <v>230</v>
      </c>
      <c r="D3452" s="18">
        <v>1.0</v>
      </c>
      <c r="E3452" s="18">
        <v>291.16</v>
      </c>
      <c r="F3452" s="18">
        <v>291.16</v>
      </c>
    </row>
    <row r="3453">
      <c r="A3453" s="6" t="s">
        <v>9454</v>
      </c>
      <c r="B3453" s="6" t="s">
        <v>9449</v>
      </c>
      <c r="C3453" s="6" t="s">
        <v>155</v>
      </c>
      <c r="D3453" s="18">
        <v>1.0</v>
      </c>
      <c r="E3453" s="18">
        <v>35.13</v>
      </c>
      <c r="F3453" s="18">
        <v>35.13</v>
      </c>
    </row>
    <row r="3454">
      <c r="A3454" s="6" t="s">
        <v>9455</v>
      </c>
      <c r="B3454" s="6" t="s">
        <v>9449</v>
      </c>
      <c r="C3454" s="6" t="s">
        <v>159</v>
      </c>
      <c r="D3454" s="18">
        <v>1.0</v>
      </c>
      <c r="E3454" s="18">
        <v>120.0</v>
      </c>
      <c r="F3454" s="18">
        <v>120.0</v>
      </c>
    </row>
    <row r="3455">
      <c r="A3455" s="6" t="s">
        <v>9456</v>
      </c>
      <c r="B3455" s="6" t="s">
        <v>9457</v>
      </c>
      <c r="C3455" s="6" t="s">
        <v>685</v>
      </c>
      <c r="D3455" s="18">
        <v>1.0</v>
      </c>
      <c r="E3455" s="18">
        <v>7.99</v>
      </c>
      <c r="F3455" s="18">
        <v>7.99</v>
      </c>
    </row>
    <row r="3456">
      <c r="A3456" s="6" t="s">
        <v>9458</v>
      </c>
      <c r="B3456" s="6" t="s">
        <v>9459</v>
      </c>
      <c r="C3456" s="6" t="s">
        <v>305</v>
      </c>
      <c r="D3456" s="18">
        <v>1.0</v>
      </c>
      <c r="E3456" s="18">
        <v>85.93</v>
      </c>
      <c r="F3456" s="18">
        <v>85.93</v>
      </c>
    </row>
    <row r="3457">
      <c r="A3457" s="6" t="s">
        <v>9460</v>
      </c>
      <c r="B3457" s="6" t="s">
        <v>9461</v>
      </c>
      <c r="C3457" s="6" t="s">
        <v>1195</v>
      </c>
      <c r="D3457" s="18">
        <v>3.0</v>
      </c>
      <c r="E3457" s="18">
        <v>24.0</v>
      </c>
      <c r="F3457" s="18">
        <v>72.0</v>
      </c>
    </row>
    <row r="3458">
      <c r="A3458" s="6" t="s">
        <v>9463</v>
      </c>
      <c r="B3458" s="6" t="s">
        <v>9461</v>
      </c>
      <c r="C3458" s="6" t="s">
        <v>1197</v>
      </c>
      <c r="D3458" s="18">
        <v>4.0</v>
      </c>
      <c r="E3458" s="18">
        <v>22.0</v>
      </c>
      <c r="F3458" s="18">
        <v>88.0</v>
      </c>
    </row>
    <row r="3459">
      <c r="A3459" s="6" t="s">
        <v>9465</v>
      </c>
      <c r="B3459" s="6" t="s">
        <v>9461</v>
      </c>
      <c r="C3459" s="6" t="s">
        <v>266</v>
      </c>
      <c r="D3459" s="18">
        <v>3.0</v>
      </c>
      <c r="E3459" s="18">
        <v>20.0</v>
      </c>
      <c r="F3459" s="18">
        <v>60.0</v>
      </c>
    </row>
    <row r="3460">
      <c r="A3460" s="6" t="s">
        <v>9466</v>
      </c>
      <c r="B3460" s="6" t="s">
        <v>9461</v>
      </c>
      <c r="C3460" s="6" t="s">
        <v>1683</v>
      </c>
      <c r="D3460" s="18">
        <v>1.0</v>
      </c>
      <c r="E3460" s="18">
        <v>30.0</v>
      </c>
      <c r="F3460" s="18">
        <v>30.0</v>
      </c>
    </row>
    <row r="3461">
      <c r="A3461" s="6" t="s">
        <v>9467</v>
      </c>
      <c r="B3461" s="6" t="s">
        <v>9468</v>
      </c>
      <c r="C3461" s="6" t="s">
        <v>1074</v>
      </c>
      <c r="D3461" s="18">
        <v>7.0</v>
      </c>
      <c r="E3461" s="18">
        <v>40.0</v>
      </c>
      <c r="F3461" s="18">
        <v>280.0</v>
      </c>
    </row>
    <row r="3462">
      <c r="A3462" s="6" t="s">
        <v>9469</v>
      </c>
      <c r="B3462" s="6" t="s">
        <v>9468</v>
      </c>
      <c r="C3462" s="6" t="s">
        <v>1075</v>
      </c>
      <c r="D3462" s="18">
        <v>6.0</v>
      </c>
      <c r="E3462" s="18">
        <v>20.0</v>
      </c>
      <c r="F3462" s="18">
        <v>120.0</v>
      </c>
    </row>
    <row r="3463">
      <c r="A3463" s="6" t="s">
        <v>9470</v>
      </c>
      <c r="B3463" s="6" t="s">
        <v>9468</v>
      </c>
      <c r="C3463" s="6" t="s">
        <v>1081</v>
      </c>
      <c r="D3463" s="18">
        <v>6.0</v>
      </c>
      <c r="E3463" s="18">
        <v>45.0</v>
      </c>
      <c r="F3463" s="18">
        <v>270.0</v>
      </c>
    </row>
    <row r="3464">
      <c r="A3464" s="6" t="s">
        <v>9472</v>
      </c>
      <c r="B3464" s="6" t="s">
        <v>9468</v>
      </c>
      <c r="C3464" s="6" t="s">
        <v>1081</v>
      </c>
      <c r="D3464" s="18">
        <v>1.0</v>
      </c>
      <c r="E3464" s="18">
        <v>19.57</v>
      </c>
      <c r="F3464" s="18">
        <v>19.57</v>
      </c>
    </row>
    <row r="3465">
      <c r="A3465" s="6" t="s">
        <v>9474</v>
      </c>
      <c r="B3465" s="18">
        <v>11727.0</v>
      </c>
      <c r="C3465" s="6" t="s">
        <v>2870</v>
      </c>
      <c r="D3465" s="18">
        <v>1.0</v>
      </c>
      <c r="E3465" s="18">
        <v>436.88</v>
      </c>
      <c r="F3465" s="18">
        <v>436.88</v>
      </c>
    </row>
    <row r="3466">
      <c r="A3466" s="6" t="s">
        <v>9475</v>
      </c>
      <c r="B3466" s="18">
        <v>11728.0</v>
      </c>
      <c r="C3466" s="6" t="s">
        <v>2870</v>
      </c>
      <c r="D3466" s="18">
        <v>1.0</v>
      </c>
      <c r="E3466" s="18">
        <v>87.68</v>
      </c>
      <c r="F3466" s="18">
        <v>87.68</v>
      </c>
    </row>
    <row r="3467">
      <c r="A3467" s="6" t="s">
        <v>9476</v>
      </c>
      <c r="B3467" s="18">
        <v>11730.0</v>
      </c>
      <c r="C3467" s="6" t="s">
        <v>1126</v>
      </c>
      <c r="D3467" s="18">
        <v>1.0</v>
      </c>
      <c r="E3467" s="18">
        <v>72.0</v>
      </c>
      <c r="F3467" s="18">
        <v>72.0</v>
      </c>
    </row>
    <row r="3468">
      <c r="A3468" s="6" t="s">
        <v>9477</v>
      </c>
      <c r="B3468" s="18">
        <v>11735.0</v>
      </c>
      <c r="C3468" s="6" t="s">
        <v>1239</v>
      </c>
      <c r="D3468" s="18">
        <v>1.0</v>
      </c>
      <c r="E3468" s="18">
        <v>1863.44</v>
      </c>
      <c r="F3468" s="18">
        <v>1863.44</v>
      </c>
    </row>
    <row r="3469">
      <c r="A3469" s="6" t="s">
        <v>9478</v>
      </c>
      <c r="B3469" s="18">
        <v>11736.0</v>
      </c>
      <c r="C3469" s="6" t="s">
        <v>1239</v>
      </c>
      <c r="D3469" s="18">
        <v>1.0</v>
      </c>
      <c r="E3469" s="18">
        <v>1858.58</v>
      </c>
      <c r="F3469" s="18">
        <v>1858.58</v>
      </c>
    </row>
    <row r="3470">
      <c r="A3470" s="6" t="s">
        <v>9479</v>
      </c>
      <c r="B3470" s="18">
        <v>11737.0</v>
      </c>
      <c r="C3470" s="6" t="s">
        <v>1239</v>
      </c>
      <c r="D3470" s="18">
        <v>1.0</v>
      </c>
      <c r="E3470" s="18">
        <v>1624.92</v>
      </c>
      <c r="F3470" s="18">
        <v>1624.92</v>
      </c>
    </row>
    <row r="3471">
      <c r="A3471" s="6" t="s">
        <v>9481</v>
      </c>
      <c r="B3471" s="6" t="s">
        <v>9482</v>
      </c>
      <c r="C3471" s="6" t="s">
        <v>8458</v>
      </c>
      <c r="D3471" s="18">
        <v>1.0</v>
      </c>
      <c r="E3471" s="18">
        <v>6019.0</v>
      </c>
      <c r="F3471" s="18">
        <v>6019.0</v>
      </c>
    </row>
    <row r="3472">
      <c r="A3472" s="6" t="s">
        <v>9483</v>
      </c>
      <c r="B3472" s="6" t="s">
        <v>9484</v>
      </c>
      <c r="C3472" s="18">
        <v>1.2539885E7</v>
      </c>
      <c r="D3472" s="18">
        <v>1.0</v>
      </c>
      <c r="E3472" s="18">
        <v>550.0</v>
      </c>
      <c r="F3472" s="18">
        <v>550.0</v>
      </c>
    </row>
    <row r="3473">
      <c r="A3473" s="6" t="s">
        <v>9485</v>
      </c>
      <c r="B3473" s="6" t="s">
        <v>9486</v>
      </c>
      <c r="C3473" s="6" t="s">
        <v>9487</v>
      </c>
      <c r="D3473" s="18">
        <v>1.0</v>
      </c>
      <c r="E3473" s="18">
        <v>100.0</v>
      </c>
      <c r="F3473" s="18">
        <v>100.0</v>
      </c>
    </row>
    <row r="3474">
      <c r="A3474" s="6" t="s">
        <v>9488</v>
      </c>
      <c r="B3474" s="6" t="s">
        <v>9489</v>
      </c>
      <c r="C3474" s="18">
        <v>1.2539885E7</v>
      </c>
      <c r="D3474" s="18">
        <v>1.0</v>
      </c>
      <c r="E3474" s="18">
        <v>150.0</v>
      </c>
      <c r="F3474" s="18">
        <v>150.0</v>
      </c>
    </row>
    <row r="3475">
      <c r="A3475" s="6" t="s">
        <v>9490</v>
      </c>
      <c r="B3475" s="6" t="s">
        <v>9491</v>
      </c>
      <c r="C3475" s="6" t="s">
        <v>152</v>
      </c>
      <c r="D3475" s="18">
        <v>1.0</v>
      </c>
      <c r="E3475" s="18">
        <v>4.54</v>
      </c>
      <c r="F3475" s="18">
        <v>4.54</v>
      </c>
    </row>
    <row r="3476">
      <c r="A3476" s="6" t="s">
        <v>9492</v>
      </c>
      <c r="B3476" s="6" t="s">
        <v>9493</v>
      </c>
      <c r="C3476" s="6" t="s">
        <v>226</v>
      </c>
      <c r="D3476" s="18">
        <v>10.0</v>
      </c>
      <c r="E3476" s="18">
        <v>8.5</v>
      </c>
      <c r="F3476" s="18">
        <v>85.0</v>
      </c>
    </row>
    <row r="3477">
      <c r="A3477" s="6" t="s">
        <v>9494</v>
      </c>
      <c r="B3477" s="6" t="s">
        <v>9493</v>
      </c>
      <c r="C3477" s="6" t="s">
        <v>152</v>
      </c>
      <c r="D3477" s="18">
        <v>1.0</v>
      </c>
      <c r="E3477" s="18">
        <v>11.52</v>
      </c>
      <c r="F3477" s="18">
        <v>11.52</v>
      </c>
    </row>
    <row r="3478">
      <c r="A3478" s="6" t="s">
        <v>9495</v>
      </c>
      <c r="B3478" s="6" t="s">
        <v>9493</v>
      </c>
      <c r="C3478" s="6" t="s">
        <v>155</v>
      </c>
      <c r="D3478" s="18">
        <v>1.0</v>
      </c>
      <c r="E3478" s="18">
        <v>48.0</v>
      </c>
      <c r="F3478" s="18">
        <v>48.0</v>
      </c>
    </row>
    <row r="3479">
      <c r="A3479" s="6" t="s">
        <v>9496</v>
      </c>
      <c r="B3479" s="6" t="s">
        <v>9493</v>
      </c>
      <c r="C3479" s="6" t="s">
        <v>159</v>
      </c>
      <c r="D3479" s="18">
        <v>20.0</v>
      </c>
      <c r="E3479" s="18">
        <v>12.0</v>
      </c>
      <c r="F3479" s="18">
        <v>240.0</v>
      </c>
    </row>
    <row r="3480">
      <c r="A3480" s="6" t="s">
        <v>9498</v>
      </c>
      <c r="B3480" s="6" t="s">
        <v>9499</v>
      </c>
      <c r="C3480" s="6" t="s">
        <v>230</v>
      </c>
      <c r="D3480" s="18">
        <v>1.0</v>
      </c>
      <c r="E3480" s="18">
        <v>290.0</v>
      </c>
      <c r="F3480" s="18">
        <v>290.0</v>
      </c>
    </row>
    <row r="3481">
      <c r="A3481" s="6" t="s">
        <v>9500</v>
      </c>
      <c r="B3481" s="6" t="s">
        <v>9501</v>
      </c>
      <c r="C3481" s="6" t="s">
        <v>155</v>
      </c>
      <c r="D3481" s="18">
        <v>1.0</v>
      </c>
      <c r="E3481" s="18">
        <v>65.65</v>
      </c>
      <c r="F3481" s="18">
        <v>65.65</v>
      </c>
    </row>
    <row r="3482">
      <c r="A3482" s="6" t="s">
        <v>9502</v>
      </c>
      <c r="B3482" s="6" t="s">
        <v>9503</v>
      </c>
      <c r="C3482" s="6" t="s">
        <v>305</v>
      </c>
      <c r="D3482" s="18">
        <v>1.0</v>
      </c>
      <c r="E3482" s="18">
        <v>70.3</v>
      </c>
      <c r="F3482" s="18">
        <v>70.3</v>
      </c>
    </row>
    <row r="3483">
      <c r="A3483" s="6" t="s">
        <v>9504</v>
      </c>
      <c r="B3483" s="6" t="s">
        <v>9506</v>
      </c>
      <c r="C3483" s="6" t="s">
        <v>230</v>
      </c>
      <c r="D3483" s="18">
        <v>1.0</v>
      </c>
      <c r="E3483" s="18">
        <v>290.0</v>
      </c>
      <c r="F3483" s="18">
        <v>290.0</v>
      </c>
    </row>
    <row r="3484">
      <c r="A3484" s="6" t="s">
        <v>9508</v>
      </c>
      <c r="B3484" s="6" t="s">
        <v>9506</v>
      </c>
      <c r="C3484" s="6" t="s">
        <v>152</v>
      </c>
      <c r="D3484" s="18">
        <v>1.0</v>
      </c>
      <c r="E3484" s="18">
        <v>10.78</v>
      </c>
      <c r="F3484" s="18">
        <v>10.78</v>
      </c>
    </row>
    <row r="3485">
      <c r="A3485" s="6" t="s">
        <v>9509</v>
      </c>
      <c r="B3485" s="6" t="s">
        <v>9510</v>
      </c>
      <c r="C3485" s="6" t="s">
        <v>8710</v>
      </c>
      <c r="D3485" s="18">
        <v>1.0</v>
      </c>
      <c r="E3485" s="18">
        <v>128.11</v>
      </c>
      <c r="F3485" s="18">
        <v>128.11</v>
      </c>
    </row>
    <row r="3486">
      <c r="A3486" s="6" t="s">
        <v>9511</v>
      </c>
      <c r="B3486" s="6" t="s">
        <v>9512</v>
      </c>
      <c r="C3486" s="6" t="s">
        <v>1517</v>
      </c>
      <c r="D3486" s="18">
        <v>1.0</v>
      </c>
      <c r="E3486" s="18">
        <v>7964.49</v>
      </c>
      <c r="F3486" s="18">
        <v>7964.49</v>
      </c>
    </row>
    <row r="3487">
      <c r="A3487" s="6" t="s">
        <v>9513</v>
      </c>
      <c r="B3487" s="6" t="s">
        <v>9515</v>
      </c>
      <c r="C3487" s="6" t="s">
        <v>1239</v>
      </c>
      <c r="D3487" s="18">
        <v>1.0</v>
      </c>
      <c r="E3487" s="18">
        <v>1276.81</v>
      </c>
      <c r="F3487" s="18">
        <v>1276.81</v>
      </c>
    </row>
    <row r="3488">
      <c r="A3488" s="6" t="s">
        <v>9518</v>
      </c>
      <c r="B3488" s="6" t="s">
        <v>9519</v>
      </c>
      <c r="C3488" s="6" t="s">
        <v>5853</v>
      </c>
      <c r="D3488" s="18">
        <v>1.0</v>
      </c>
      <c r="E3488" s="18">
        <v>649.5</v>
      </c>
      <c r="F3488" s="18">
        <v>649.5</v>
      </c>
    </row>
    <row r="3489">
      <c r="A3489" s="6" t="s">
        <v>9520</v>
      </c>
      <c r="B3489" s="18">
        <v>1.45728967E8</v>
      </c>
      <c r="C3489" s="6" t="s">
        <v>3822</v>
      </c>
      <c r="D3489" s="18">
        <v>1.0</v>
      </c>
      <c r="E3489" s="18">
        <v>981.05</v>
      </c>
      <c r="F3489" s="18">
        <v>981.05</v>
      </c>
    </row>
    <row r="3490">
      <c r="A3490" s="6" t="s">
        <v>9521</v>
      </c>
      <c r="B3490" s="6" t="s">
        <v>9522</v>
      </c>
      <c r="C3490" s="6" t="s">
        <v>3987</v>
      </c>
      <c r="D3490" s="18">
        <v>1.0</v>
      </c>
      <c r="E3490" s="18">
        <v>299.0</v>
      </c>
      <c r="F3490" s="18">
        <v>299.0</v>
      </c>
    </row>
    <row r="3491">
      <c r="A3491" s="6" t="s">
        <v>9525</v>
      </c>
      <c r="B3491" s="18">
        <v>1.36261781E8</v>
      </c>
      <c r="C3491" s="6" t="s">
        <v>9526</v>
      </c>
      <c r="D3491" s="18">
        <v>1.0</v>
      </c>
      <c r="E3491" s="18">
        <v>144.0</v>
      </c>
      <c r="F3491" s="18">
        <v>144.0</v>
      </c>
    </row>
    <row r="3492">
      <c r="A3492" s="6" t="s">
        <v>9527</v>
      </c>
      <c r="B3492" s="18">
        <v>1.56182674E8</v>
      </c>
      <c r="C3492" s="6" t="s">
        <v>9528</v>
      </c>
      <c r="D3492" s="18">
        <v>1.0</v>
      </c>
      <c r="E3492" s="18">
        <v>4191.0</v>
      </c>
      <c r="F3492" s="18">
        <v>4191.0</v>
      </c>
    </row>
    <row r="3493">
      <c r="A3493" s="6" t="s">
        <v>9529</v>
      </c>
      <c r="B3493" s="6" t="s">
        <v>9530</v>
      </c>
      <c r="C3493" s="6" t="s">
        <v>249</v>
      </c>
      <c r="D3493" s="18">
        <v>1.0</v>
      </c>
      <c r="E3493" s="18">
        <v>4.99</v>
      </c>
      <c r="F3493" s="18">
        <v>4.99</v>
      </c>
    </row>
    <row r="3494">
      <c r="A3494" s="6" t="s">
        <v>9534</v>
      </c>
      <c r="B3494" s="6" t="s">
        <v>9535</v>
      </c>
      <c r="C3494" s="18">
        <v>1.2539885E7</v>
      </c>
      <c r="D3494" s="18">
        <v>1.0</v>
      </c>
      <c r="E3494" s="18">
        <v>150.0</v>
      </c>
      <c r="F3494" s="18">
        <v>150.0</v>
      </c>
    </row>
    <row r="3495">
      <c r="A3495" s="6" t="s">
        <v>9536</v>
      </c>
      <c r="B3495" s="6" t="s">
        <v>9537</v>
      </c>
      <c r="C3495" s="6" t="s">
        <v>155</v>
      </c>
      <c r="D3495" s="18">
        <v>1.0</v>
      </c>
      <c r="E3495" s="18">
        <v>33.57</v>
      </c>
      <c r="F3495" s="18">
        <v>33.57</v>
      </c>
    </row>
    <row r="3496">
      <c r="A3496" s="6" t="s">
        <v>9538</v>
      </c>
      <c r="B3496" s="6" t="s">
        <v>9537</v>
      </c>
      <c r="C3496" s="6" t="s">
        <v>230</v>
      </c>
      <c r="D3496" s="18">
        <v>1.0</v>
      </c>
      <c r="E3496" s="18">
        <v>146.16</v>
      </c>
      <c r="F3496" s="18">
        <v>146.16</v>
      </c>
    </row>
    <row r="3497">
      <c r="A3497" s="6" t="s">
        <v>9541</v>
      </c>
      <c r="B3497" s="6" t="s">
        <v>9537</v>
      </c>
      <c r="C3497" s="6" t="s">
        <v>152</v>
      </c>
      <c r="D3497" s="18">
        <v>1.0</v>
      </c>
      <c r="E3497" s="18">
        <v>9.33</v>
      </c>
      <c r="F3497" s="18">
        <v>9.33</v>
      </c>
    </row>
    <row r="3498">
      <c r="A3498" s="6" t="s">
        <v>9542</v>
      </c>
      <c r="B3498" s="6" t="s">
        <v>9537</v>
      </c>
      <c r="C3498" s="6" t="s">
        <v>226</v>
      </c>
      <c r="D3498" s="18">
        <v>1.0</v>
      </c>
      <c r="E3498" s="18">
        <v>40.0</v>
      </c>
      <c r="F3498" s="18">
        <v>40.0</v>
      </c>
    </row>
    <row r="3499">
      <c r="A3499" s="6" t="s">
        <v>9544</v>
      </c>
      <c r="B3499" s="6" t="s">
        <v>9545</v>
      </c>
      <c r="C3499" s="6" t="s">
        <v>249</v>
      </c>
      <c r="D3499" s="18">
        <v>1.0</v>
      </c>
      <c r="E3499" s="18">
        <v>69.87</v>
      </c>
      <c r="F3499" s="18">
        <v>69.87</v>
      </c>
    </row>
    <row r="3500">
      <c r="A3500" s="6" t="s">
        <v>9547</v>
      </c>
      <c r="B3500" s="6" t="s">
        <v>9548</v>
      </c>
      <c r="C3500" s="6" t="s">
        <v>981</v>
      </c>
      <c r="D3500" s="18">
        <v>6.0</v>
      </c>
      <c r="E3500" s="18">
        <v>4.9</v>
      </c>
      <c r="F3500" s="18">
        <v>29.400000000000002</v>
      </c>
    </row>
    <row r="3501">
      <c r="A3501" s="6" t="s">
        <v>9550</v>
      </c>
      <c r="B3501" s="6" t="s">
        <v>9548</v>
      </c>
      <c r="C3501" s="6" t="s">
        <v>238</v>
      </c>
      <c r="D3501" s="18">
        <v>12.0</v>
      </c>
      <c r="E3501" s="18">
        <v>5.2</v>
      </c>
      <c r="F3501" s="18">
        <v>62.4</v>
      </c>
    </row>
    <row r="3502">
      <c r="A3502" s="6" t="s">
        <v>9552</v>
      </c>
      <c r="B3502" s="6" t="s">
        <v>9548</v>
      </c>
      <c r="C3502" s="6" t="s">
        <v>243</v>
      </c>
      <c r="D3502" s="18">
        <v>6.0</v>
      </c>
      <c r="E3502" s="18">
        <v>6.2</v>
      </c>
      <c r="F3502" s="18">
        <v>37.2</v>
      </c>
    </row>
    <row r="3503">
      <c r="A3503" s="6" t="s">
        <v>9556</v>
      </c>
      <c r="B3503" s="6" t="s">
        <v>9548</v>
      </c>
      <c r="C3503" s="6" t="s">
        <v>6604</v>
      </c>
      <c r="D3503" s="18">
        <v>8.0</v>
      </c>
      <c r="E3503" s="18">
        <v>3.6</v>
      </c>
      <c r="F3503" s="18">
        <v>28.8</v>
      </c>
    </row>
    <row r="3504">
      <c r="A3504" s="6" t="s">
        <v>9557</v>
      </c>
      <c r="B3504" s="18">
        <v>11677.0</v>
      </c>
      <c r="C3504" s="6" t="s">
        <v>7344</v>
      </c>
      <c r="D3504" s="18">
        <v>1.0</v>
      </c>
      <c r="E3504" s="18">
        <v>625.0</v>
      </c>
      <c r="F3504" s="18">
        <v>625.0</v>
      </c>
    </row>
    <row r="3505">
      <c r="A3505" s="6" t="s">
        <v>9558</v>
      </c>
      <c r="B3505" s="6" t="s">
        <v>9559</v>
      </c>
      <c r="C3505" s="6" t="s">
        <v>1517</v>
      </c>
      <c r="D3505" s="18">
        <v>1.0</v>
      </c>
      <c r="E3505" s="18">
        <v>1727.19</v>
      </c>
      <c r="F3505" s="18">
        <v>1727.19</v>
      </c>
    </row>
    <row r="3506">
      <c r="A3506" s="6" t="s">
        <v>9562</v>
      </c>
      <c r="B3506" s="18">
        <v>11757.0</v>
      </c>
      <c r="C3506" s="6" t="s">
        <v>3218</v>
      </c>
      <c r="D3506" s="18">
        <v>1.0</v>
      </c>
      <c r="E3506" s="18">
        <v>9200.0</v>
      </c>
      <c r="F3506" s="18">
        <v>9200.0</v>
      </c>
    </row>
    <row r="3507">
      <c r="A3507" s="6" t="s">
        <v>9563</v>
      </c>
      <c r="B3507" s="18">
        <v>11758.0</v>
      </c>
      <c r="C3507" s="6" t="s">
        <v>8501</v>
      </c>
      <c r="D3507" s="18">
        <v>1.0</v>
      </c>
      <c r="E3507" s="18">
        <v>500.0</v>
      </c>
      <c r="F3507" s="18">
        <v>500.0</v>
      </c>
    </row>
    <row r="3508">
      <c r="A3508" s="6" t="s">
        <v>9564</v>
      </c>
      <c r="B3508" s="18">
        <v>11759.0</v>
      </c>
      <c r="C3508" s="6" t="s">
        <v>873</v>
      </c>
      <c r="D3508" s="18">
        <v>1.0</v>
      </c>
      <c r="E3508" s="18">
        <v>0.0</v>
      </c>
      <c r="F3508" s="18">
        <v>0.0</v>
      </c>
    </row>
    <row r="3509">
      <c r="A3509" s="6" t="s">
        <v>9565</v>
      </c>
      <c r="B3509" s="18">
        <v>11761.0</v>
      </c>
      <c r="C3509" s="6" t="s">
        <v>8792</v>
      </c>
      <c r="D3509" s="18">
        <v>1.0</v>
      </c>
      <c r="E3509" s="18">
        <v>0.01</v>
      </c>
      <c r="F3509" s="18">
        <v>0.01</v>
      </c>
    </row>
    <row r="3510">
      <c r="A3510" s="6" t="s">
        <v>9568</v>
      </c>
      <c r="B3510" s="18">
        <v>11762.0</v>
      </c>
      <c r="C3510" s="6" t="s">
        <v>9254</v>
      </c>
      <c r="D3510" s="18">
        <v>1.0</v>
      </c>
      <c r="E3510" s="18">
        <v>0.0</v>
      </c>
      <c r="F3510" s="18">
        <v>0.0</v>
      </c>
    </row>
    <row r="3511">
      <c r="A3511" s="6" t="s">
        <v>9569</v>
      </c>
      <c r="B3511" s="6" t="s">
        <v>9570</v>
      </c>
      <c r="C3511" s="6" t="s">
        <v>9368</v>
      </c>
      <c r="D3511" s="18">
        <v>1.0</v>
      </c>
      <c r="E3511" s="18">
        <v>1267.49</v>
      </c>
      <c r="F3511" s="18">
        <v>1267.49</v>
      </c>
    </row>
    <row r="3512">
      <c r="A3512" s="6" t="s">
        <v>9572</v>
      </c>
      <c r="B3512" s="6" t="s">
        <v>9573</v>
      </c>
      <c r="C3512" s="6" t="s">
        <v>338</v>
      </c>
      <c r="D3512" s="18">
        <v>3.0</v>
      </c>
      <c r="E3512" s="18">
        <v>31.56</v>
      </c>
      <c r="F3512" s="18">
        <v>94.67999999999999</v>
      </c>
    </row>
    <row r="3513">
      <c r="A3513" s="6" t="s">
        <v>9574</v>
      </c>
      <c r="B3513" s="6" t="s">
        <v>9573</v>
      </c>
      <c r="C3513" s="6" t="s">
        <v>7086</v>
      </c>
      <c r="D3513" s="18">
        <v>5.0</v>
      </c>
      <c r="E3513" s="18">
        <v>33.96</v>
      </c>
      <c r="F3513" s="18">
        <v>169.8</v>
      </c>
    </row>
    <row r="3514">
      <c r="A3514" s="6" t="s">
        <v>9575</v>
      </c>
      <c r="B3514" s="6" t="s">
        <v>9573</v>
      </c>
      <c r="C3514" s="6" t="s">
        <v>335</v>
      </c>
      <c r="D3514" s="18">
        <v>6.0</v>
      </c>
      <c r="E3514" s="18">
        <v>47.04</v>
      </c>
      <c r="F3514" s="18">
        <v>282.24</v>
      </c>
    </row>
    <row r="3515">
      <c r="A3515" s="6" t="s">
        <v>9576</v>
      </c>
      <c r="B3515" s="6" t="s">
        <v>9573</v>
      </c>
      <c r="C3515" s="6" t="s">
        <v>1777</v>
      </c>
      <c r="D3515" s="18">
        <v>2.0</v>
      </c>
      <c r="E3515" s="18">
        <v>33.96</v>
      </c>
      <c r="F3515" s="18">
        <v>67.92</v>
      </c>
    </row>
    <row r="3516">
      <c r="A3516" s="6" t="s">
        <v>9580</v>
      </c>
      <c r="B3516" s="6" t="s">
        <v>9573</v>
      </c>
      <c r="C3516" s="6" t="s">
        <v>9274</v>
      </c>
      <c r="D3516" s="18">
        <v>1.0</v>
      </c>
      <c r="E3516" s="18">
        <v>34.92</v>
      </c>
      <c r="F3516" s="18">
        <v>34.92</v>
      </c>
    </row>
    <row r="3517">
      <c r="A3517" s="6" t="s">
        <v>9581</v>
      </c>
      <c r="B3517" s="6" t="s">
        <v>9582</v>
      </c>
      <c r="C3517" s="6" t="s">
        <v>338</v>
      </c>
      <c r="D3517" s="18">
        <v>1.0</v>
      </c>
      <c r="E3517" s="18">
        <v>79.46</v>
      </c>
      <c r="F3517" s="18">
        <v>79.46</v>
      </c>
    </row>
    <row r="3518">
      <c r="A3518" s="6" t="s">
        <v>9583</v>
      </c>
      <c r="B3518" s="18">
        <v>2.4399162E7</v>
      </c>
      <c r="C3518" s="6" t="s">
        <v>1510</v>
      </c>
      <c r="D3518" s="18">
        <v>1.0</v>
      </c>
      <c r="E3518" s="18">
        <v>21318.33</v>
      </c>
      <c r="F3518" s="18">
        <v>21318.33</v>
      </c>
    </row>
    <row r="3519">
      <c r="A3519" s="6" t="s">
        <v>9584</v>
      </c>
      <c r="B3519" s="6" t="s">
        <v>9585</v>
      </c>
      <c r="C3519" s="18">
        <v>1.2539885E7</v>
      </c>
      <c r="D3519" s="18">
        <v>1.0</v>
      </c>
      <c r="E3519" s="18">
        <v>1050.0</v>
      </c>
      <c r="F3519" s="18">
        <v>1050.0</v>
      </c>
    </row>
    <row r="3520">
      <c r="A3520" s="6" t="s">
        <v>9586</v>
      </c>
      <c r="B3520" s="6" t="s">
        <v>9587</v>
      </c>
      <c r="C3520" s="6" t="s">
        <v>3768</v>
      </c>
      <c r="D3520" s="18">
        <v>1.0</v>
      </c>
      <c r="E3520" s="18">
        <v>693.5</v>
      </c>
      <c r="F3520" s="18">
        <v>693.5</v>
      </c>
    </row>
    <row r="3521">
      <c r="A3521" s="6" t="s">
        <v>9589</v>
      </c>
      <c r="B3521" s="6" t="s">
        <v>9590</v>
      </c>
      <c r="C3521" s="6" t="s">
        <v>9591</v>
      </c>
      <c r="D3521" s="18">
        <v>1.0</v>
      </c>
      <c r="E3521" s="18">
        <v>50.0</v>
      </c>
      <c r="F3521" s="18">
        <v>50.0</v>
      </c>
    </row>
    <row r="3522">
      <c r="A3522" s="6" t="s">
        <v>9593</v>
      </c>
      <c r="B3522" s="6" t="s">
        <v>9594</v>
      </c>
      <c r="C3522" s="6" t="s">
        <v>1168</v>
      </c>
      <c r="D3522" s="18">
        <v>1.0</v>
      </c>
      <c r="E3522" s="18">
        <v>500.0</v>
      </c>
      <c r="F3522" s="18">
        <v>500.0</v>
      </c>
    </row>
    <row r="3523">
      <c r="A3523" s="6" t="s">
        <v>9595</v>
      </c>
      <c r="B3523" s="6" t="s">
        <v>9597</v>
      </c>
      <c r="C3523" s="6" t="s">
        <v>152</v>
      </c>
      <c r="D3523" s="18">
        <v>1.0</v>
      </c>
      <c r="E3523" s="18">
        <v>11.58</v>
      </c>
      <c r="F3523" s="18">
        <v>11.58</v>
      </c>
    </row>
    <row r="3524">
      <c r="A3524" s="6" t="s">
        <v>9598</v>
      </c>
      <c r="B3524" s="18">
        <v>11769.0</v>
      </c>
      <c r="C3524" s="6" t="s">
        <v>9257</v>
      </c>
      <c r="D3524" s="18">
        <v>1.0</v>
      </c>
      <c r="E3524" s="18">
        <v>1013.13</v>
      </c>
      <c r="F3524" s="18">
        <v>1013.13</v>
      </c>
    </row>
    <row r="3525">
      <c r="A3525" s="6" t="s">
        <v>9599</v>
      </c>
      <c r="B3525" s="18">
        <v>11770.0</v>
      </c>
      <c r="C3525" s="6" t="s">
        <v>3218</v>
      </c>
      <c r="D3525" s="18">
        <v>1.0</v>
      </c>
      <c r="E3525" s="18">
        <v>185.0</v>
      </c>
      <c r="F3525" s="18">
        <v>185.0</v>
      </c>
    </row>
    <row r="3526">
      <c r="A3526" s="6" t="s">
        <v>9602</v>
      </c>
      <c r="B3526" s="6" t="s">
        <v>9603</v>
      </c>
      <c r="C3526" s="6" t="s">
        <v>2735</v>
      </c>
      <c r="D3526" s="18">
        <v>1.0</v>
      </c>
      <c r="E3526" s="18">
        <v>175.0</v>
      </c>
      <c r="F3526" s="18">
        <v>175.0</v>
      </c>
    </row>
    <row r="3527">
      <c r="A3527" s="6" t="s">
        <v>9604</v>
      </c>
      <c r="B3527" s="6" t="s">
        <v>9605</v>
      </c>
      <c r="C3527" s="6" t="s">
        <v>3987</v>
      </c>
      <c r="D3527" s="18">
        <v>1.0</v>
      </c>
      <c r="E3527" s="18">
        <v>39.0</v>
      </c>
      <c r="F3527" s="18">
        <v>39.0</v>
      </c>
    </row>
    <row r="3528">
      <c r="A3528" s="6" t="s">
        <v>9606</v>
      </c>
      <c r="B3528" s="6" t="s">
        <v>9607</v>
      </c>
      <c r="C3528" s="6" t="s">
        <v>9609</v>
      </c>
      <c r="D3528" s="18">
        <v>1.0</v>
      </c>
      <c r="E3528" s="18">
        <v>212.0</v>
      </c>
      <c r="F3528" s="18">
        <v>212.0</v>
      </c>
    </row>
    <row r="3529">
      <c r="A3529" s="6" t="s">
        <v>9611</v>
      </c>
      <c r="B3529" s="18">
        <v>1.10266669E8</v>
      </c>
      <c r="C3529" s="6" t="s">
        <v>1653</v>
      </c>
      <c r="D3529" s="18">
        <v>1.0</v>
      </c>
      <c r="E3529" s="18">
        <v>114.9</v>
      </c>
      <c r="F3529" s="18">
        <v>114.9</v>
      </c>
    </row>
    <row r="3530">
      <c r="A3530" s="6" t="s">
        <v>9612</v>
      </c>
      <c r="B3530" s="6" t="s">
        <v>9613</v>
      </c>
      <c r="C3530" s="6" t="s">
        <v>9614</v>
      </c>
      <c r="D3530" s="18">
        <v>1.0</v>
      </c>
      <c r="E3530" s="18">
        <v>173.94</v>
      </c>
      <c r="F3530" s="18">
        <v>173.94</v>
      </c>
    </row>
    <row r="3531">
      <c r="A3531" s="6" t="s">
        <v>9615</v>
      </c>
      <c r="B3531" s="6" t="s">
        <v>9616</v>
      </c>
      <c r="C3531" s="6" t="s">
        <v>1653</v>
      </c>
      <c r="D3531" s="18">
        <v>1.0</v>
      </c>
      <c r="E3531" s="18">
        <v>175.0</v>
      </c>
      <c r="F3531" s="18">
        <v>175.0</v>
      </c>
    </row>
    <row r="3532">
      <c r="A3532" s="6" t="s">
        <v>9619</v>
      </c>
      <c r="B3532" s="6" t="s">
        <v>9620</v>
      </c>
      <c r="C3532" s="6" t="s">
        <v>305</v>
      </c>
      <c r="D3532" s="18">
        <v>1.0</v>
      </c>
      <c r="E3532" s="18">
        <v>82.95</v>
      </c>
      <c r="F3532" s="18">
        <v>82.95</v>
      </c>
    </row>
    <row r="3533">
      <c r="A3533" s="6" t="s">
        <v>9623</v>
      </c>
      <c r="B3533" s="6" t="s">
        <v>9624</v>
      </c>
      <c r="C3533" s="18">
        <v>7.9792017E7</v>
      </c>
      <c r="D3533" s="18">
        <v>1.0</v>
      </c>
      <c r="E3533" s="18">
        <v>3792.59</v>
      </c>
      <c r="F3533" s="18">
        <v>3792.59</v>
      </c>
    </row>
    <row r="3534">
      <c r="A3534" s="6" t="s">
        <v>9626</v>
      </c>
      <c r="B3534" s="6" t="s">
        <v>9627</v>
      </c>
      <c r="C3534" s="6" t="s">
        <v>8651</v>
      </c>
      <c r="D3534" s="18">
        <v>1.0</v>
      </c>
      <c r="E3534" s="18">
        <v>1070.61</v>
      </c>
      <c r="F3534" s="18">
        <v>1070.61</v>
      </c>
    </row>
    <row r="3535">
      <c r="A3535" s="6" t="s">
        <v>9630</v>
      </c>
      <c r="B3535" s="6" t="s">
        <v>9631</v>
      </c>
      <c r="C3535" s="6" t="s">
        <v>8458</v>
      </c>
      <c r="D3535" s="18">
        <v>1.0</v>
      </c>
      <c r="E3535" s="18">
        <v>4543.0</v>
      </c>
      <c r="F3535" s="18">
        <v>4543.0</v>
      </c>
    </row>
    <row r="3536">
      <c r="A3536" s="6" t="s">
        <v>9632</v>
      </c>
      <c r="B3536" s="6" t="s">
        <v>9633</v>
      </c>
      <c r="C3536" s="6" t="s">
        <v>9634</v>
      </c>
      <c r="D3536" s="18">
        <v>1.0</v>
      </c>
      <c r="E3536" s="18">
        <v>1312.0</v>
      </c>
      <c r="F3536" s="18">
        <v>1312.0</v>
      </c>
    </row>
    <row r="3537">
      <c r="A3537" s="6" t="s">
        <v>9635</v>
      </c>
      <c r="B3537" s="6" t="s">
        <v>9636</v>
      </c>
      <c r="C3537" s="6" t="s">
        <v>305</v>
      </c>
      <c r="D3537" s="18">
        <v>1.0</v>
      </c>
      <c r="E3537" s="18">
        <v>187.44</v>
      </c>
      <c r="F3537" s="18">
        <v>187.44</v>
      </c>
    </row>
    <row r="3538">
      <c r="A3538" s="6" t="s">
        <v>9637</v>
      </c>
      <c r="B3538" s="18">
        <v>11768.0</v>
      </c>
      <c r="C3538" s="6" t="s">
        <v>8603</v>
      </c>
      <c r="D3538" s="18">
        <v>1.0</v>
      </c>
      <c r="E3538" s="18">
        <v>181.37</v>
      </c>
      <c r="F3538" s="18">
        <v>181.37</v>
      </c>
    </row>
    <row r="3539">
      <c r="A3539" s="6" t="s">
        <v>9640</v>
      </c>
      <c r="B3539" s="6" t="s">
        <v>9641</v>
      </c>
      <c r="C3539" s="6" t="s">
        <v>2448</v>
      </c>
      <c r="D3539" s="18">
        <v>1.0</v>
      </c>
      <c r="E3539" s="18">
        <v>81.93</v>
      </c>
      <c r="F3539" s="18">
        <v>81.93</v>
      </c>
    </row>
    <row r="3540">
      <c r="A3540" s="6" t="s">
        <v>9642</v>
      </c>
      <c r="B3540" s="6" t="s">
        <v>9643</v>
      </c>
      <c r="C3540" s="6" t="s">
        <v>9526</v>
      </c>
      <c r="D3540" s="18">
        <v>1.0</v>
      </c>
      <c r="E3540" s="18">
        <v>985.85</v>
      </c>
      <c r="F3540" s="18">
        <v>985.85</v>
      </c>
    </row>
    <row r="3541">
      <c r="A3541" s="6" t="s">
        <v>9644</v>
      </c>
      <c r="B3541" s="6" t="s">
        <v>9645</v>
      </c>
      <c r="C3541" s="6" t="s">
        <v>1081</v>
      </c>
      <c r="D3541" s="18">
        <v>6.0</v>
      </c>
      <c r="E3541" s="18">
        <v>48.0</v>
      </c>
      <c r="F3541" s="18">
        <v>288.0</v>
      </c>
    </row>
    <row r="3542">
      <c r="A3542" s="6" t="s">
        <v>9646</v>
      </c>
      <c r="B3542" s="6" t="s">
        <v>9645</v>
      </c>
      <c r="C3542" s="6" t="s">
        <v>1077</v>
      </c>
      <c r="D3542" s="18">
        <v>8.0</v>
      </c>
      <c r="E3542" s="18">
        <v>23.0</v>
      </c>
      <c r="F3542" s="18">
        <v>184.0</v>
      </c>
    </row>
    <row r="3543">
      <c r="A3543" s="6" t="s">
        <v>9648</v>
      </c>
      <c r="B3543" s="6" t="s">
        <v>9645</v>
      </c>
      <c r="C3543" s="6" t="s">
        <v>1075</v>
      </c>
      <c r="D3543" s="18">
        <v>4.0</v>
      </c>
      <c r="E3543" s="18">
        <v>20.0</v>
      </c>
      <c r="F3543" s="18">
        <v>80.0</v>
      </c>
    </row>
    <row r="3544">
      <c r="A3544" s="6" t="s">
        <v>9650</v>
      </c>
      <c r="B3544" s="6" t="s">
        <v>9645</v>
      </c>
      <c r="C3544" s="6" t="s">
        <v>1404</v>
      </c>
      <c r="D3544" s="18">
        <v>2.0</v>
      </c>
      <c r="E3544" s="18">
        <v>19.8</v>
      </c>
      <c r="F3544" s="18">
        <v>39.6</v>
      </c>
    </row>
    <row r="3545">
      <c r="A3545" s="6" t="s">
        <v>9651</v>
      </c>
      <c r="B3545" s="6" t="s">
        <v>9645</v>
      </c>
      <c r="C3545" s="18">
        <v>7.5375964E7</v>
      </c>
      <c r="D3545" s="18">
        <v>2.0</v>
      </c>
      <c r="E3545" s="18">
        <v>19.8</v>
      </c>
      <c r="F3545" s="18">
        <v>39.6</v>
      </c>
    </row>
    <row r="3546">
      <c r="A3546" s="6" t="s">
        <v>9652</v>
      </c>
      <c r="B3546" s="6" t="s">
        <v>9653</v>
      </c>
      <c r="C3546" s="6" t="s">
        <v>152</v>
      </c>
      <c r="D3546" s="18">
        <v>1.0</v>
      </c>
      <c r="E3546" s="18">
        <v>12.25</v>
      </c>
      <c r="F3546" s="18">
        <v>12.25</v>
      </c>
    </row>
    <row r="3547">
      <c r="A3547" s="6" t="s">
        <v>9654</v>
      </c>
      <c r="B3547" s="6" t="s">
        <v>9656</v>
      </c>
      <c r="C3547" s="6" t="s">
        <v>1079</v>
      </c>
      <c r="D3547" s="18">
        <v>180.0</v>
      </c>
      <c r="E3547" s="18">
        <v>1.09</v>
      </c>
      <c r="F3547" s="18">
        <v>196.20000000000002</v>
      </c>
    </row>
    <row r="3548">
      <c r="A3548" s="6" t="s">
        <v>9658</v>
      </c>
      <c r="B3548" s="6" t="s">
        <v>9656</v>
      </c>
      <c r="C3548" s="6" t="s">
        <v>1197</v>
      </c>
      <c r="D3548" s="18">
        <v>1.0</v>
      </c>
      <c r="E3548" s="18">
        <v>15.99</v>
      </c>
      <c r="F3548" s="18">
        <v>15.99</v>
      </c>
    </row>
    <row r="3549">
      <c r="A3549" s="6" t="s">
        <v>9659</v>
      </c>
      <c r="B3549" s="18">
        <v>1.5786028E7</v>
      </c>
      <c r="C3549" s="6" t="s">
        <v>159</v>
      </c>
      <c r="D3549" s="18">
        <v>15.0</v>
      </c>
      <c r="E3549" s="18">
        <v>12.0</v>
      </c>
      <c r="F3549" s="18">
        <v>180.0</v>
      </c>
    </row>
    <row r="3550">
      <c r="A3550" s="6" t="s">
        <v>9660</v>
      </c>
      <c r="B3550" s="18">
        <v>1.5786028E7</v>
      </c>
      <c r="C3550" s="6" t="s">
        <v>155</v>
      </c>
      <c r="D3550" s="18">
        <v>1.0</v>
      </c>
      <c r="E3550" s="18">
        <v>45.42</v>
      </c>
      <c r="F3550" s="18">
        <v>45.42</v>
      </c>
    </row>
    <row r="3551">
      <c r="A3551" s="6" t="s">
        <v>9663</v>
      </c>
      <c r="B3551" s="18">
        <v>1.5786028E7</v>
      </c>
      <c r="C3551" s="6" t="s">
        <v>230</v>
      </c>
      <c r="D3551" s="18">
        <v>1.0</v>
      </c>
      <c r="E3551" s="18">
        <v>185.6</v>
      </c>
      <c r="F3551" s="18">
        <v>185.6</v>
      </c>
    </row>
    <row r="3552">
      <c r="A3552" s="6" t="s">
        <v>9664</v>
      </c>
      <c r="B3552" s="18">
        <v>1.5786028E7</v>
      </c>
      <c r="C3552" s="6" t="s">
        <v>152</v>
      </c>
      <c r="D3552" s="18">
        <v>1.0</v>
      </c>
      <c r="E3552" s="18">
        <v>10.35</v>
      </c>
      <c r="F3552" s="18">
        <v>10.35</v>
      </c>
    </row>
    <row r="3553">
      <c r="A3553" s="6" t="s">
        <v>9665</v>
      </c>
      <c r="B3553" s="18">
        <v>1.5786028E7</v>
      </c>
      <c r="C3553" s="6" t="s">
        <v>226</v>
      </c>
      <c r="D3553" s="18">
        <v>1.0</v>
      </c>
      <c r="E3553" s="18">
        <v>63.0</v>
      </c>
      <c r="F3553" s="18">
        <v>63.0</v>
      </c>
    </row>
    <row r="3554">
      <c r="A3554" s="6" t="s">
        <v>9668</v>
      </c>
      <c r="B3554" s="6" t="s">
        <v>9669</v>
      </c>
      <c r="C3554" s="6" t="s">
        <v>230</v>
      </c>
      <c r="D3554" s="18">
        <v>1.0</v>
      </c>
      <c r="E3554" s="18">
        <v>185.02</v>
      </c>
      <c r="F3554" s="18">
        <v>185.02</v>
      </c>
    </row>
    <row r="3555">
      <c r="A3555" s="6" t="s">
        <v>9670</v>
      </c>
      <c r="B3555" s="6" t="s">
        <v>9669</v>
      </c>
      <c r="C3555" s="6" t="s">
        <v>155</v>
      </c>
      <c r="D3555" s="18">
        <v>1.0</v>
      </c>
      <c r="E3555" s="18">
        <v>44.39</v>
      </c>
      <c r="F3555" s="18">
        <v>44.39</v>
      </c>
    </row>
    <row r="3556">
      <c r="A3556" s="6" t="s">
        <v>9672</v>
      </c>
      <c r="B3556" s="6" t="s">
        <v>9669</v>
      </c>
      <c r="C3556" s="6" t="s">
        <v>159</v>
      </c>
      <c r="D3556" s="18">
        <v>15.0</v>
      </c>
      <c r="E3556" s="18">
        <v>12.0</v>
      </c>
      <c r="F3556" s="18">
        <v>180.0</v>
      </c>
    </row>
    <row r="3557">
      <c r="A3557" s="6" t="s">
        <v>9675</v>
      </c>
      <c r="B3557" s="6" t="s">
        <v>9676</v>
      </c>
      <c r="C3557" s="6" t="s">
        <v>152</v>
      </c>
      <c r="D3557" s="18">
        <v>1.0</v>
      </c>
      <c r="E3557" s="18">
        <v>10.51</v>
      </c>
      <c r="F3557" s="18">
        <v>10.51</v>
      </c>
    </row>
    <row r="3558">
      <c r="A3558" s="6" t="s">
        <v>9677</v>
      </c>
      <c r="B3558" s="6" t="s">
        <v>9676</v>
      </c>
      <c r="C3558" s="6" t="s">
        <v>230</v>
      </c>
      <c r="D3558" s="18">
        <v>1.0</v>
      </c>
      <c r="E3558" s="18">
        <v>232.0</v>
      </c>
      <c r="F3558" s="18">
        <v>232.0</v>
      </c>
    </row>
    <row r="3559">
      <c r="A3559" s="6" t="s">
        <v>9680</v>
      </c>
      <c r="B3559" s="6" t="s">
        <v>9676</v>
      </c>
      <c r="C3559" s="6" t="s">
        <v>155</v>
      </c>
      <c r="D3559" s="18">
        <v>1.0</v>
      </c>
      <c r="E3559" s="18">
        <v>60.45</v>
      </c>
      <c r="F3559" s="18">
        <v>60.45</v>
      </c>
    </row>
    <row r="3560">
      <c r="A3560" s="6" t="s">
        <v>9681</v>
      </c>
      <c r="B3560" s="6" t="s">
        <v>9682</v>
      </c>
      <c r="C3560" s="6" t="s">
        <v>305</v>
      </c>
      <c r="D3560" s="18">
        <v>1.0</v>
      </c>
      <c r="E3560" s="18">
        <v>108.4</v>
      </c>
      <c r="F3560" s="18">
        <v>108.4</v>
      </c>
    </row>
    <row r="3561">
      <c r="A3561" s="6" t="s">
        <v>9685</v>
      </c>
      <c r="B3561" s="6" t="s">
        <v>9686</v>
      </c>
      <c r="C3561" s="6" t="s">
        <v>887</v>
      </c>
      <c r="D3561" s="18">
        <v>1.0</v>
      </c>
      <c r="E3561" s="18">
        <v>47.88</v>
      </c>
      <c r="F3561" s="18">
        <v>47.88</v>
      </c>
    </row>
    <row r="3562">
      <c r="A3562" s="6" t="s">
        <v>9687</v>
      </c>
      <c r="B3562" s="6" t="s">
        <v>9688</v>
      </c>
      <c r="C3562" s="6" t="s">
        <v>9689</v>
      </c>
      <c r="D3562" s="18">
        <v>1.0</v>
      </c>
      <c r="E3562" s="18">
        <v>120.0</v>
      </c>
      <c r="F3562" s="18">
        <v>120.0</v>
      </c>
    </row>
    <row r="3563">
      <c r="A3563" s="6" t="s">
        <v>9690</v>
      </c>
      <c r="B3563" s="6" t="s">
        <v>9692</v>
      </c>
      <c r="C3563" s="6" t="s">
        <v>8710</v>
      </c>
      <c r="D3563" s="18">
        <v>1.0</v>
      </c>
      <c r="E3563" s="18">
        <v>3781.75</v>
      </c>
      <c r="F3563" s="18">
        <v>3781.75</v>
      </c>
    </row>
    <row r="3564">
      <c r="A3564" s="6" t="s">
        <v>9694</v>
      </c>
      <c r="B3564" s="6" t="s">
        <v>9695</v>
      </c>
      <c r="C3564" s="6" t="s">
        <v>1517</v>
      </c>
      <c r="D3564" s="18">
        <v>1.0</v>
      </c>
      <c r="E3564" s="18">
        <v>10831.92</v>
      </c>
      <c r="F3564" s="18">
        <v>10831.92</v>
      </c>
    </row>
    <row r="3565">
      <c r="A3565" s="6" t="s">
        <v>9696</v>
      </c>
      <c r="B3565" s="18">
        <v>11793.0</v>
      </c>
      <c r="C3565" s="6" t="s">
        <v>1159</v>
      </c>
      <c r="D3565" s="18">
        <v>1.0</v>
      </c>
      <c r="E3565" s="18">
        <v>1148.51</v>
      </c>
      <c r="F3565" s="18">
        <v>1148.51</v>
      </c>
    </row>
    <row r="3566">
      <c r="A3566" s="6" t="s">
        <v>9699</v>
      </c>
      <c r="B3566" s="18">
        <v>11801.0</v>
      </c>
      <c r="C3566" s="6" t="s">
        <v>2448</v>
      </c>
      <c r="D3566" s="18">
        <v>1.0</v>
      </c>
      <c r="E3566" s="18">
        <v>513.53</v>
      </c>
      <c r="F3566" s="18">
        <v>513.53</v>
      </c>
    </row>
    <row r="3567">
      <c r="A3567" s="6" t="s">
        <v>9700</v>
      </c>
      <c r="B3567" s="18">
        <v>11802.0</v>
      </c>
      <c r="C3567" s="6" t="s">
        <v>2662</v>
      </c>
      <c r="D3567" s="18">
        <v>1.0</v>
      </c>
      <c r="E3567" s="18">
        <v>18933.49</v>
      </c>
      <c r="F3567" s="18">
        <v>18933.49</v>
      </c>
    </row>
    <row r="3568">
      <c r="A3568" s="6" t="s">
        <v>9704</v>
      </c>
      <c r="B3568" s="6" t="s">
        <v>9705</v>
      </c>
      <c r="C3568" s="6" t="s">
        <v>9706</v>
      </c>
      <c r="D3568" s="18">
        <v>1.0</v>
      </c>
      <c r="E3568" s="18">
        <v>46.12</v>
      </c>
      <c r="F3568" s="18">
        <v>46.12</v>
      </c>
    </row>
    <row r="3569">
      <c r="A3569" s="6" t="s">
        <v>9707</v>
      </c>
      <c r="B3569" s="18">
        <v>11810.0</v>
      </c>
      <c r="C3569" s="6" t="s">
        <v>8404</v>
      </c>
      <c r="D3569" s="18">
        <v>1.0</v>
      </c>
      <c r="E3569" s="18">
        <v>249.23</v>
      </c>
      <c r="F3569" s="18">
        <v>249.23</v>
      </c>
    </row>
    <row r="3570">
      <c r="A3570" s="6" t="s">
        <v>9708</v>
      </c>
      <c r="B3570" s="18">
        <v>11811.0</v>
      </c>
      <c r="C3570" s="6" t="s">
        <v>8404</v>
      </c>
      <c r="D3570" s="18">
        <v>1.0</v>
      </c>
      <c r="E3570" s="18">
        <v>68.56</v>
      </c>
      <c r="F3570" s="18">
        <v>68.56</v>
      </c>
    </row>
    <row r="3571">
      <c r="A3571" s="6" t="s">
        <v>9709</v>
      </c>
      <c r="B3571" s="6" t="s">
        <v>9710</v>
      </c>
      <c r="C3571" s="6" t="s">
        <v>3768</v>
      </c>
      <c r="D3571" s="18">
        <v>1.0</v>
      </c>
      <c r="E3571" s="18">
        <v>433.5</v>
      </c>
      <c r="F3571" s="18">
        <v>433.5</v>
      </c>
    </row>
    <row r="3572">
      <c r="A3572" s="6" t="s">
        <v>9711</v>
      </c>
      <c r="B3572" s="6" t="s">
        <v>9712</v>
      </c>
      <c r="C3572" s="6" t="s">
        <v>9713</v>
      </c>
      <c r="D3572" s="18">
        <v>1.0</v>
      </c>
      <c r="E3572" s="18">
        <v>1196.73</v>
      </c>
      <c r="F3572" s="18">
        <v>1196.73</v>
      </c>
    </row>
    <row r="3573">
      <c r="A3573" s="6" t="s">
        <v>9714</v>
      </c>
      <c r="B3573" s="6" t="s">
        <v>9715</v>
      </c>
      <c r="C3573" s="18">
        <v>1.2539885E7</v>
      </c>
      <c r="D3573" s="18">
        <v>1.0</v>
      </c>
      <c r="E3573" s="18">
        <v>1250.0</v>
      </c>
      <c r="F3573" s="18">
        <v>1250.0</v>
      </c>
    </row>
    <row r="3574">
      <c r="A3574" s="6" t="s">
        <v>9716</v>
      </c>
      <c r="B3574" s="6" t="s">
        <v>9717</v>
      </c>
      <c r="C3574" s="6" t="s">
        <v>9713</v>
      </c>
      <c r="D3574" s="18">
        <v>1.0</v>
      </c>
      <c r="E3574" s="18">
        <v>1177.79</v>
      </c>
      <c r="F3574" s="18">
        <v>1177.79</v>
      </c>
    </row>
    <row r="3575">
      <c r="A3575" s="6" t="s">
        <v>9718</v>
      </c>
      <c r="B3575" s="6" t="s">
        <v>9719</v>
      </c>
      <c r="C3575" s="6" t="s">
        <v>1510</v>
      </c>
      <c r="D3575" s="18">
        <v>1.0</v>
      </c>
      <c r="E3575" s="18">
        <v>1604.72</v>
      </c>
      <c r="F3575" s="18">
        <v>1604.72</v>
      </c>
    </row>
    <row r="3576">
      <c r="A3576" s="6" t="s">
        <v>9720</v>
      </c>
      <c r="B3576" s="6" t="s">
        <v>9721</v>
      </c>
      <c r="C3576" s="6" t="s">
        <v>1510</v>
      </c>
      <c r="D3576" s="18">
        <v>1.0</v>
      </c>
      <c r="E3576" s="18">
        <v>22035.55</v>
      </c>
      <c r="F3576" s="18">
        <v>22035.55</v>
      </c>
    </row>
    <row r="3577">
      <c r="A3577" s="6" t="s">
        <v>9722</v>
      </c>
      <c r="B3577" s="6" t="s">
        <v>9723</v>
      </c>
      <c r="C3577" s="6" t="s">
        <v>1022</v>
      </c>
      <c r="D3577" s="18">
        <v>1.0</v>
      </c>
      <c r="E3577" s="18">
        <v>291.6</v>
      </c>
      <c r="F3577" s="18">
        <v>291.6</v>
      </c>
    </row>
    <row r="3578">
      <c r="A3578" s="6" t="s">
        <v>9724</v>
      </c>
      <c r="B3578" s="6" t="s">
        <v>9725</v>
      </c>
      <c r="C3578" s="6" t="s">
        <v>1022</v>
      </c>
      <c r="D3578" s="18">
        <v>1.0</v>
      </c>
      <c r="E3578" s="18">
        <v>151.2</v>
      </c>
      <c r="F3578" s="18">
        <v>151.2</v>
      </c>
    </row>
    <row r="3579">
      <c r="A3579" s="6" t="s">
        <v>9726</v>
      </c>
      <c r="B3579" s="6" t="s">
        <v>9727</v>
      </c>
      <c r="C3579" s="6" t="s">
        <v>1517</v>
      </c>
      <c r="D3579" s="18">
        <v>1.0</v>
      </c>
      <c r="E3579" s="18">
        <v>8139.39</v>
      </c>
      <c r="F3579" s="18">
        <v>8139.39</v>
      </c>
    </row>
    <row r="3580">
      <c r="A3580" s="6" t="s">
        <v>9728</v>
      </c>
      <c r="B3580" s="6" t="s">
        <v>9729</v>
      </c>
      <c r="C3580" s="6" t="s">
        <v>1085</v>
      </c>
      <c r="D3580" s="18">
        <v>1.0</v>
      </c>
      <c r="E3580" s="18">
        <v>40.2</v>
      </c>
      <c r="F3580" s="18">
        <v>40.2</v>
      </c>
    </row>
    <row r="3581">
      <c r="A3581" s="6" t="s">
        <v>9730</v>
      </c>
      <c r="B3581" s="6" t="s">
        <v>9729</v>
      </c>
      <c r="C3581" s="6" t="s">
        <v>1081</v>
      </c>
      <c r="D3581" s="18">
        <v>2.0</v>
      </c>
      <c r="E3581" s="18">
        <v>48.0</v>
      </c>
      <c r="F3581" s="18">
        <v>96.0</v>
      </c>
    </row>
    <row r="3582">
      <c r="A3582" s="6" t="s">
        <v>9731</v>
      </c>
      <c r="B3582" s="6" t="s">
        <v>9729</v>
      </c>
      <c r="C3582" s="6" t="s">
        <v>1079</v>
      </c>
      <c r="D3582" s="18">
        <v>12.0</v>
      </c>
      <c r="E3582" s="18">
        <v>18.0</v>
      </c>
      <c r="F3582" s="18">
        <v>216.0</v>
      </c>
    </row>
    <row r="3583">
      <c r="A3583" s="6" t="s">
        <v>9732</v>
      </c>
      <c r="B3583" s="6" t="s">
        <v>9729</v>
      </c>
      <c r="C3583" s="6" t="s">
        <v>1080</v>
      </c>
      <c r="D3583" s="18">
        <v>2.0</v>
      </c>
      <c r="E3583" s="18">
        <v>18.0</v>
      </c>
      <c r="F3583" s="18">
        <v>36.0</v>
      </c>
    </row>
    <row r="3584">
      <c r="A3584" s="6" t="s">
        <v>9733</v>
      </c>
      <c r="B3584" s="6" t="s">
        <v>9729</v>
      </c>
      <c r="C3584" s="6" t="s">
        <v>1077</v>
      </c>
      <c r="D3584" s="18">
        <v>4.0</v>
      </c>
      <c r="E3584" s="18">
        <v>25.8</v>
      </c>
      <c r="F3584" s="18">
        <v>103.2</v>
      </c>
    </row>
    <row r="3585">
      <c r="A3585" s="6" t="s">
        <v>9735</v>
      </c>
      <c r="B3585" s="6" t="s">
        <v>9729</v>
      </c>
      <c r="C3585" s="6" t="s">
        <v>1075</v>
      </c>
      <c r="D3585" s="18">
        <v>5.0</v>
      </c>
      <c r="E3585" s="18">
        <v>21.3</v>
      </c>
      <c r="F3585" s="18">
        <v>106.5</v>
      </c>
    </row>
    <row r="3586">
      <c r="A3586" s="6" t="s">
        <v>9736</v>
      </c>
      <c r="B3586" s="6" t="s">
        <v>9729</v>
      </c>
      <c r="C3586" s="6" t="s">
        <v>1074</v>
      </c>
      <c r="D3586" s="18">
        <v>7.0</v>
      </c>
      <c r="E3586" s="18">
        <v>42.6</v>
      </c>
      <c r="F3586" s="18">
        <v>298.2</v>
      </c>
    </row>
    <row r="3587">
      <c r="A3587" s="6" t="s">
        <v>9737</v>
      </c>
      <c r="B3587" s="6" t="s">
        <v>9729</v>
      </c>
      <c r="C3587" s="18">
        <v>7.5375964E7</v>
      </c>
      <c r="D3587" s="18">
        <v>2.0</v>
      </c>
      <c r="E3587" s="18">
        <v>19.8</v>
      </c>
      <c r="F3587" s="18">
        <v>39.6</v>
      </c>
    </row>
    <row r="3588">
      <c r="A3588" s="6" t="s">
        <v>9738</v>
      </c>
      <c r="B3588" s="6" t="s">
        <v>9729</v>
      </c>
      <c r="C3588" s="6" t="s">
        <v>1073</v>
      </c>
      <c r="D3588" s="18">
        <v>2.0</v>
      </c>
      <c r="E3588" s="18">
        <v>21.0</v>
      </c>
      <c r="F3588" s="18">
        <v>42.0</v>
      </c>
    </row>
    <row r="3589">
      <c r="A3589" s="6" t="s">
        <v>9739</v>
      </c>
      <c r="B3589" s="6" t="s">
        <v>9741</v>
      </c>
      <c r="C3589" s="6" t="s">
        <v>305</v>
      </c>
      <c r="D3589" s="18">
        <v>1.0</v>
      </c>
      <c r="E3589" s="18">
        <v>126.54</v>
      </c>
      <c r="F3589" s="18">
        <v>126.54</v>
      </c>
    </row>
    <row r="3590">
      <c r="A3590" s="6" t="s">
        <v>9742</v>
      </c>
      <c r="B3590" s="6" t="s">
        <v>9743</v>
      </c>
      <c r="C3590" s="6" t="s">
        <v>226</v>
      </c>
      <c r="D3590" s="18">
        <v>1.0</v>
      </c>
      <c r="E3590" s="18">
        <v>135.0</v>
      </c>
      <c r="F3590" s="18">
        <v>135.0</v>
      </c>
    </row>
    <row r="3591">
      <c r="A3591" s="6" t="s">
        <v>9744</v>
      </c>
      <c r="B3591" s="6" t="s">
        <v>9743</v>
      </c>
      <c r="C3591" s="6" t="s">
        <v>152</v>
      </c>
      <c r="D3591" s="18">
        <v>1.0</v>
      </c>
      <c r="E3591" s="18">
        <v>4.26</v>
      </c>
      <c r="F3591" s="18">
        <v>4.26</v>
      </c>
    </row>
    <row r="3592">
      <c r="A3592" s="6" t="s">
        <v>9745</v>
      </c>
      <c r="B3592" s="6" t="s">
        <v>9743</v>
      </c>
      <c r="C3592" s="6" t="s">
        <v>230</v>
      </c>
      <c r="D3592" s="18">
        <v>1.0</v>
      </c>
      <c r="E3592" s="18">
        <v>235.33</v>
      </c>
      <c r="F3592" s="18">
        <v>235.33</v>
      </c>
    </row>
    <row r="3593">
      <c r="A3593" s="6" t="s">
        <v>9746</v>
      </c>
      <c r="B3593" s="6" t="s">
        <v>9743</v>
      </c>
      <c r="C3593" s="6" t="s">
        <v>155</v>
      </c>
      <c r="D3593" s="18">
        <v>1.0</v>
      </c>
      <c r="E3593" s="18">
        <v>77.07</v>
      </c>
      <c r="F3593" s="18">
        <v>77.07</v>
      </c>
    </row>
    <row r="3594">
      <c r="A3594" s="6" t="s">
        <v>9747</v>
      </c>
      <c r="B3594" s="6" t="s">
        <v>9743</v>
      </c>
      <c r="C3594" s="6" t="s">
        <v>159</v>
      </c>
      <c r="D3594" s="18">
        <v>1.0</v>
      </c>
      <c r="E3594" s="18">
        <v>180.0</v>
      </c>
      <c r="F3594" s="18">
        <v>180.0</v>
      </c>
    </row>
    <row r="3595">
      <c r="A3595" s="6" t="s">
        <v>9748</v>
      </c>
      <c r="B3595" s="6" t="s">
        <v>9749</v>
      </c>
      <c r="C3595" s="6" t="s">
        <v>152</v>
      </c>
      <c r="D3595" s="18">
        <v>1.0</v>
      </c>
      <c r="E3595" s="18">
        <v>8.1</v>
      </c>
      <c r="F3595" s="18">
        <v>8.1</v>
      </c>
    </row>
    <row r="3596">
      <c r="A3596" s="6" t="s">
        <v>9750</v>
      </c>
      <c r="B3596" s="6" t="s">
        <v>9749</v>
      </c>
      <c r="C3596" s="6" t="s">
        <v>230</v>
      </c>
      <c r="D3596" s="18">
        <v>1.0</v>
      </c>
      <c r="E3596" s="18">
        <v>232.0</v>
      </c>
      <c r="F3596" s="18">
        <v>232.0</v>
      </c>
    </row>
    <row r="3597">
      <c r="A3597" s="6" t="s">
        <v>9751</v>
      </c>
      <c r="B3597" s="6" t="s">
        <v>9749</v>
      </c>
      <c r="C3597" s="6" t="s">
        <v>155</v>
      </c>
      <c r="D3597" s="18">
        <v>1.0</v>
      </c>
      <c r="E3597" s="18">
        <v>68.22</v>
      </c>
      <c r="F3597" s="18">
        <v>68.22</v>
      </c>
    </row>
    <row r="3598">
      <c r="A3598" s="6" t="s">
        <v>9753</v>
      </c>
      <c r="B3598" s="6" t="s">
        <v>9754</v>
      </c>
      <c r="C3598" s="6" t="s">
        <v>1904</v>
      </c>
      <c r="D3598" s="18">
        <v>1.0</v>
      </c>
      <c r="E3598" s="18">
        <v>18.0</v>
      </c>
      <c r="F3598" s="18">
        <v>18.0</v>
      </c>
    </row>
    <row r="3599">
      <c r="A3599" s="6" t="s">
        <v>9756</v>
      </c>
      <c r="B3599" s="6" t="s">
        <v>9757</v>
      </c>
      <c r="C3599" s="6" t="s">
        <v>247</v>
      </c>
      <c r="D3599" s="18">
        <v>10.0</v>
      </c>
      <c r="E3599" s="18">
        <v>0.99</v>
      </c>
      <c r="F3599" s="18">
        <v>9.9</v>
      </c>
    </row>
    <row r="3600">
      <c r="A3600" s="6" t="s">
        <v>9758</v>
      </c>
      <c r="B3600" s="6" t="s">
        <v>9757</v>
      </c>
      <c r="C3600" s="6" t="s">
        <v>1046</v>
      </c>
      <c r="D3600" s="18">
        <v>1.0</v>
      </c>
      <c r="E3600" s="18">
        <v>9.98</v>
      </c>
      <c r="F3600" s="18">
        <v>9.98</v>
      </c>
    </row>
    <row r="3601">
      <c r="A3601" s="6" t="s">
        <v>9760</v>
      </c>
      <c r="B3601" s="6" t="s">
        <v>9757</v>
      </c>
      <c r="C3601" s="6" t="s">
        <v>691</v>
      </c>
      <c r="D3601" s="18">
        <v>1.0</v>
      </c>
      <c r="E3601" s="18">
        <v>11.99</v>
      </c>
      <c r="F3601" s="18">
        <v>11.99</v>
      </c>
    </row>
    <row r="3602">
      <c r="A3602" s="6" t="s">
        <v>9761</v>
      </c>
      <c r="B3602" s="6" t="s">
        <v>9757</v>
      </c>
      <c r="C3602" s="6" t="s">
        <v>5563</v>
      </c>
      <c r="D3602" s="18">
        <v>1.0</v>
      </c>
      <c r="E3602" s="18">
        <v>12.99</v>
      </c>
      <c r="F3602" s="18">
        <v>12.99</v>
      </c>
    </row>
    <row r="3603">
      <c r="A3603" s="6" t="s">
        <v>9763</v>
      </c>
      <c r="B3603" s="6" t="s">
        <v>9764</v>
      </c>
      <c r="C3603" s="6" t="s">
        <v>5808</v>
      </c>
      <c r="D3603" s="18">
        <v>1.0</v>
      </c>
      <c r="E3603" s="18">
        <v>322.18</v>
      </c>
      <c r="F3603" s="18">
        <v>322.18</v>
      </c>
    </row>
    <row r="3604">
      <c r="A3604" s="6" t="s">
        <v>9765</v>
      </c>
      <c r="B3604" s="6" t="s">
        <v>9766</v>
      </c>
      <c r="C3604" s="6" t="s">
        <v>152</v>
      </c>
      <c r="D3604" s="18">
        <v>1.0</v>
      </c>
      <c r="E3604" s="18">
        <v>12.35</v>
      </c>
      <c r="F3604" s="18">
        <v>12.35</v>
      </c>
    </row>
    <row r="3605">
      <c r="A3605" s="6" t="s">
        <v>9767</v>
      </c>
      <c r="B3605" s="6" t="s">
        <v>9768</v>
      </c>
      <c r="C3605" s="6" t="s">
        <v>1168</v>
      </c>
      <c r="D3605" s="18">
        <v>1.0</v>
      </c>
      <c r="E3605" s="18">
        <v>500.0</v>
      </c>
      <c r="F3605" s="18">
        <v>500.0</v>
      </c>
    </row>
    <row r="3606">
      <c r="A3606" s="6" t="s">
        <v>9769</v>
      </c>
      <c r="B3606" s="6" t="s">
        <v>9770</v>
      </c>
      <c r="C3606" s="6" t="s">
        <v>1168</v>
      </c>
      <c r="D3606" s="18">
        <v>1.0</v>
      </c>
      <c r="E3606" s="18">
        <v>500.0</v>
      </c>
      <c r="F3606" s="18">
        <v>500.0</v>
      </c>
    </row>
    <row r="3607">
      <c r="A3607" s="6" t="s">
        <v>9772</v>
      </c>
      <c r="B3607" s="6" t="s">
        <v>9773</v>
      </c>
      <c r="C3607" s="6" t="s">
        <v>1168</v>
      </c>
      <c r="D3607" s="18">
        <v>1.0</v>
      </c>
      <c r="E3607" s="18">
        <v>500.0</v>
      </c>
      <c r="F3607" s="18">
        <v>500.0</v>
      </c>
    </row>
    <row r="3608">
      <c r="A3608" s="6" t="s">
        <v>9774</v>
      </c>
      <c r="B3608" s="6" t="s">
        <v>9775</v>
      </c>
      <c r="C3608" s="6" t="s">
        <v>1168</v>
      </c>
      <c r="D3608" s="18">
        <v>1.0</v>
      </c>
      <c r="E3608" s="18">
        <v>500.0</v>
      </c>
      <c r="F3608" s="18">
        <v>500.0</v>
      </c>
    </row>
    <row r="3609">
      <c r="A3609" s="6" t="s">
        <v>9776</v>
      </c>
      <c r="B3609" s="6" t="s">
        <v>9777</v>
      </c>
      <c r="C3609" s="6" t="s">
        <v>152</v>
      </c>
      <c r="D3609" s="18">
        <v>1.0</v>
      </c>
      <c r="E3609" s="18">
        <v>10.85</v>
      </c>
      <c r="F3609" s="18">
        <v>10.85</v>
      </c>
    </row>
    <row r="3610">
      <c r="A3610" s="6" t="s">
        <v>9778</v>
      </c>
      <c r="B3610" s="6" t="s">
        <v>9779</v>
      </c>
      <c r="C3610" s="6" t="s">
        <v>1668</v>
      </c>
      <c r="D3610" s="18">
        <v>1.0</v>
      </c>
      <c r="E3610" s="18">
        <v>128.0</v>
      </c>
      <c r="F3610" s="18">
        <v>128.0</v>
      </c>
    </row>
    <row r="3611">
      <c r="A3611" s="6" t="s">
        <v>9781</v>
      </c>
      <c r="B3611" s="18">
        <v>11812.0</v>
      </c>
      <c r="C3611" s="6" t="s">
        <v>8792</v>
      </c>
      <c r="D3611" s="18">
        <v>1.0</v>
      </c>
      <c r="E3611" s="18">
        <v>0.01</v>
      </c>
      <c r="F3611" s="18">
        <v>0.01</v>
      </c>
    </row>
    <row r="3612">
      <c r="A3612" s="6" t="s">
        <v>9782</v>
      </c>
      <c r="B3612" s="6" t="s">
        <v>9783</v>
      </c>
      <c r="C3612" s="6" t="s">
        <v>3822</v>
      </c>
      <c r="D3612" s="18">
        <v>1.0</v>
      </c>
      <c r="E3612" s="18">
        <v>538.95</v>
      </c>
      <c r="F3612" s="18">
        <v>538.95</v>
      </c>
    </row>
    <row r="3613">
      <c r="A3613" s="6" t="s">
        <v>9784</v>
      </c>
      <c r="B3613" s="18">
        <v>11822.0</v>
      </c>
      <c r="C3613" s="6" t="s">
        <v>2870</v>
      </c>
      <c r="D3613" s="18">
        <v>1.0</v>
      </c>
      <c r="E3613" s="18">
        <v>524.18</v>
      </c>
      <c r="F3613" s="18">
        <v>524.18</v>
      </c>
    </row>
    <row r="3614">
      <c r="A3614" s="6" t="s">
        <v>9785</v>
      </c>
      <c r="B3614" s="18">
        <v>11823.0</v>
      </c>
      <c r="C3614" s="6" t="s">
        <v>2870</v>
      </c>
      <c r="D3614" s="18">
        <v>1.0</v>
      </c>
      <c r="E3614" s="18">
        <v>87.68</v>
      </c>
      <c r="F3614" s="18">
        <v>87.68</v>
      </c>
    </row>
    <row r="3615">
      <c r="A3615" s="6" t="s">
        <v>9786</v>
      </c>
      <c r="B3615" s="18">
        <v>11824.0</v>
      </c>
      <c r="C3615" s="6" t="s">
        <v>1239</v>
      </c>
      <c r="D3615" s="18">
        <v>1.0</v>
      </c>
      <c r="E3615" s="18">
        <v>4083.0</v>
      </c>
      <c r="F3615" s="18">
        <v>4083.0</v>
      </c>
    </row>
    <row r="3616">
      <c r="A3616" s="6" t="s">
        <v>9787</v>
      </c>
      <c r="B3616" s="18">
        <v>11825.0</v>
      </c>
      <c r="C3616" s="6" t="s">
        <v>1126</v>
      </c>
      <c r="D3616" s="18">
        <v>1.0</v>
      </c>
      <c r="E3616" s="18">
        <v>72.0</v>
      </c>
      <c r="F3616" s="18">
        <v>72.0</v>
      </c>
    </row>
    <row r="3617">
      <c r="A3617" s="6" t="s">
        <v>9788</v>
      </c>
      <c r="B3617" s="18">
        <v>11826.0</v>
      </c>
      <c r="C3617" s="6" t="s">
        <v>5640</v>
      </c>
      <c r="D3617" s="18">
        <v>1.0</v>
      </c>
      <c r="E3617" s="18">
        <v>22.0</v>
      </c>
      <c r="F3617" s="18">
        <v>22.0</v>
      </c>
    </row>
    <row r="3618">
      <c r="A3618" s="6" t="s">
        <v>9789</v>
      </c>
      <c r="B3618" s="18">
        <v>11827.0</v>
      </c>
      <c r="C3618" s="6" t="s">
        <v>5973</v>
      </c>
      <c r="D3618" s="18">
        <v>1.0</v>
      </c>
      <c r="E3618" s="18">
        <v>10.0</v>
      </c>
      <c r="F3618" s="18">
        <v>10.0</v>
      </c>
    </row>
    <row r="3619">
      <c r="A3619" s="6" t="s">
        <v>9790</v>
      </c>
      <c r="B3619" s="6" t="s">
        <v>9791</v>
      </c>
      <c r="C3619" s="6" t="s">
        <v>4176</v>
      </c>
      <c r="D3619" s="18">
        <v>1.0</v>
      </c>
      <c r="E3619" s="18">
        <v>46.5</v>
      </c>
      <c r="F3619" s="18">
        <v>46.5</v>
      </c>
    </row>
    <row r="3620">
      <c r="A3620" s="6" t="s">
        <v>9792</v>
      </c>
      <c r="B3620" s="6" t="s">
        <v>9793</v>
      </c>
      <c r="C3620" s="18">
        <v>1.2539885E7</v>
      </c>
      <c r="D3620" s="18">
        <v>1.0</v>
      </c>
      <c r="E3620" s="18">
        <v>500.0</v>
      </c>
      <c r="F3620" s="18">
        <v>500.0</v>
      </c>
    </row>
    <row r="3621">
      <c r="A3621" s="6" t="s">
        <v>9794</v>
      </c>
      <c r="B3621" s="6" t="s">
        <v>9795</v>
      </c>
      <c r="C3621" s="18">
        <v>1.2539885E7</v>
      </c>
      <c r="D3621" s="18">
        <v>1.0</v>
      </c>
      <c r="E3621" s="18">
        <v>500.0</v>
      </c>
      <c r="F3621" s="18">
        <v>500.0</v>
      </c>
    </row>
    <row r="3622">
      <c r="A3622" s="6" t="s">
        <v>9796</v>
      </c>
      <c r="B3622" s="6" t="s">
        <v>9797</v>
      </c>
      <c r="C3622" s="6" t="s">
        <v>1022</v>
      </c>
      <c r="D3622" s="18">
        <v>1.0</v>
      </c>
      <c r="E3622" s="18">
        <v>97.2</v>
      </c>
      <c r="F3622" s="18">
        <v>97.2</v>
      </c>
    </row>
    <row r="3623">
      <c r="A3623" s="6" t="s">
        <v>9798</v>
      </c>
      <c r="B3623" s="18">
        <v>11828.0</v>
      </c>
      <c r="C3623" s="6" t="s">
        <v>1239</v>
      </c>
      <c r="D3623" s="18">
        <v>1.0</v>
      </c>
      <c r="E3623" s="18">
        <v>1780.35</v>
      </c>
      <c r="F3623" s="18">
        <v>1780.35</v>
      </c>
    </row>
    <row r="3624">
      <c r="A3624" s="6" t="s">
        <v>9799</v>
      </c>
      <c r="B3624" s="18">
        <v>11829.0</v>
      </c>
      <c r="C3624" s="6" t="s">
        <v>1239</v>
      </c>
      <c r="D3624" s="18">
        <v>1.0</v>
      </c>
      <c r="E3624" s="18">
        <v>1744.98</v>
      </c>
      <c r="F3624" s="18">
        <v>1744.98</v>
      </c>
    </row>
    <row r="3625">
      <c r="A3625" s="6" t="s">
        <v>9800</v>
      </c>
      <c r="B3625" s="18">
        <v>11830.0</v>
      </c>
      <c r="C3625" s="6" t="s">
        <v>1239</v>
      </c>
      <c r="D3625" s="18">
        <v>1.0</v>
      </c>
      <c r="E3625" s="18">
        <v>933.52</v>
      </c>
      <c r="F3625" s="18">
        <v>933.52</v>
      </c>
    </row>
    <row r="3626">
      <c r="A3626" s="6" t="s">
        <v>9801</v>
      </c>
      <c r="B3626" s="18">
        <v>11831.0</v>
      </c>
      <c r="C3626" s="6" t="s">
        <v>1239</v>
      </c>
      <c r="D3626" s="18">
        <v>1.0</v>
      </c>
      <c r="E3626" s="18">
        <v>3589.08</v>
      </c>
      <c r="F3626" s="18">
        <v>3589.08</v>
      </c>
    </row>
    <row r="3627">
      <c r="A3627" s="6" t="s">
        <v>9802</v>
      </c>
      <c r="B3627" s="6" t="s">
        <v>9803</v>
      </c>
      <c r="C3627" s="6" t="s">
        <v>1239</v>
      </c>
      <c r="D3627" s="18">
        <v>1.0</v>
      </c>
      <c r="E3627" s="18">
        <v>2826.6</v>
      </c>
      <c r="F3627" s="18">
        <v>2826.6</v>
      </c>
    </row>
    <row r="3628">
      <c r="A3628" s="6" t="s">
        <v>9804</v>
      </c>
      <c r="B3628" s="6" t="s">
        <v>9805</v>
      </c>
      <c r="C3628" s="6" t="s">
        <v>1239</v>
      </c>
      <c r="D3628" s="18">
        <v>1.0</v>
      </c>
      <c r="E3628" s="18">
        <v>2127.13</v>
      </c>
      <c r="F3628" s="18">
        <v>2127.13</v>
      </c>
    </row>
    <row r="3629">
      <c r="A3629" s="6" t="s">
        <v>9806</v>
      </c>
      <c r="B3629" s="6" t="s">
        <v>9807</v>
      </c>
      <c r="C3629" s="6" t="s">
        <v>4937</v>
      </c>
      <c r="D3629" s="18">
        <v>1.0</v>
      </c>
      <c r="E3629" s="18">
        <v>20.0</v>
      </c>
      <c r="F3629" s="18">
        <v>20.0</v>
      </c>
    </row>
    <row r="3630">
      <c r="A3630" s="6" t="s">
        <v>9808</v>
      </c>
      <c r="B3630" s="6" t="s">
        <v>9809</v>
      </c>
      <c r="C3630" s="6" t="s">
        <v>2012</v>
      </c>
      <c r="D3630" s="18">
        <v>1.0</v>
      </c>
      <c r="E3630" s="18">
        <v>539.8</v>
      </c>
      <c r="F3630" s="18">
        <v>539.8</v>
      </c>
    </row>
    <row r="3631">
      <c r="A3631" s="6" t="s">
        <v>9810</v>
      </c>
      <c r="B3631" s="6" t="s">
        <v>9812</v>
      </c>
      <c r="C3631" s="6" t="s">
        <v>6829</v>
      </c>
      <c r="D3631" s="18">
        <v>1.0</v>
      </c>
      <c r="E3631" s="18">
        <v>764.0</v>
      </c>
      <c r="F3631" s="18">
        <v>764.0</v>
      </c>
    </row>
    <row r="3632">
      <c r="A3632" s="6" t="s">
        <v>9813</v>
      </c>
      <c r="B3632" s="6" t="s">
        <v>9814</v>
      </c>
      <c r="C3632" s="6" t="s">
        <v>6274</v>
      </c>
      <c r="D3632" s="18">
        <v>1.0</v>
      </c>
      <c r="E3632" s="18">
        <v>218.95</v>
      </c>
      <c r="F3632" s="18">
        <v>218.95</v>
      </c>
    </row>
    <row r="3633">
      <c r="A3633" s="6" t="s">
        <v>9815</v>
      </c>
      <c r="B3633" s="6" t="s">
        <v>9817</v>
      </c>
      <c r="C3633" s="6" t="s">
        <v>1434</v>
      </c>
      <c r="D3633" s="18">
        <v>1.0</v>
      </c>
      <c r="E3633" s="18">
        <v>204.0</v>
      </c>
      <c r="F3633" s="18">
        <v>204.0</v>
      </c>
    </row>
    <row r="3634">
      <c r="A3634" s="6" t="s">
        <v>9818</v>
      </c>
      <c r="B3634" s="6" t="s">
        <v>9819</v>
      </c>
      <c r="C3634" s="6" t="s">
        <v>1848</v>
      </c>
      <c r="D3634" s="18">
        <v>1.0</v>
      </c>
      <c r="E3634" s="18">
        <v>100.0</v>
      </c>
      <c r="F3634" s="18">
        <v>100.0</v>
      </c>
    </row>
    <row r="3635">
      <c r="A3635" s="6" t="s">
        <v>9820</v>
      </c>
      <c r="B3635" s="6" t="s">
        <v>9821</v>
      </c>
      <c r="C3635" s="6" t="s">
        <v>1280</v>
      </c>
      <c r="D3635" s="18">
        <v>1.0</v>
      </c>
      <c r="E3635" s="18">
        <v>866.98</v>
      </c>
      <c r="F3635" s="18">
        <v>866.98</v>
      </c>
    </row>
    <row r="3636">
      <c r="A3636" s="6" t="s">
        <v>9822</v>
      </c>
      <c r="B3636" s="18">
        <v>11861.0</v>
      </c>
      <c r="C3636" s="6" t="s">
        <v>1668</v>
      </c>
      <c r="D3636" s="18">
        <v>1.0</v>
      </c>
      <c r="E3636" s="18">
        <v>124.16</v>
      </c>
      <c r="F3636" s="18">
        <v>124.16</v>
      </c>
    </row>
    <row r="3637">
      <c r="A3637" s="6" t="s">
        <v>9824</v>
      </c>
      <c r="B3637" s="18">
        <v>11862.0</v>
      </c>
      <c r="C3637" s="6" t="s">
        <v>3218</v>
      </c>
      <c r="D3637" s="18">
        <v>1.0</v>
      </c>
      <c r="E3637" s="18">
        <v>9200.0</v>
      </c>
      <c r="F3637" s="18">
        <v>9200.0</v>
      </c>
    </row>
    <row r="3638">
      <c r="A3638" s="6" t="s">
        <v>9827</v>
      </c>
      <c r="B3638" s="18">
        <v>11863.0</v>
      </c>
      <c r="C3638" s="6" t="s">
        <v>8501</v>
      </c>
      <c r="D3638" s="18">
        <v>1.0</v>
      </c>
      <c r="E3638" s="18">
        <v>533.95</v>
      </c>
      <c r="F3638" s="18">
        <v>533.95</v>
      </c>
    </row>
    <row r="3639">
      <c r="A3639" s="6" t="s">
        <v>9828</v>
      </c>
      <c r="B3639" s="18">
        <v>11864.0</v>
      </c>
      <c r="C3639" s="6" t="s">
        <v>873</v>
      </c>
      <c r="D3639" s="18">
        <v>1.0</v>
      </c>
      <c r="E3639" s="18">
        <v>0.0</v>
      </c>
      <c r="F3639" s="18">
        <v>0.0</v>
      </c>
    </row>
    <row r="3640">
      <c r="A3640" s="6" t="s">
        <v>9829</v>
      </c>
      <c r="B3640" s="6" t="s">
        <v>9830</v>
      </c>
      <c r="C3640" s="6" t="s">
        <v>7136</v>
      </c>
      <c r="D3640" s="18">
        <v>1.0</v>
      </c>
      <c r="E3640" s="18">
        <v>16.6</v>
      </c>
      <c r="F3640" s="18">
        <v>16.6</v>
      </c>
    </row>
    <row r="3641">
      <c r="A3641" s="6" t="s">
        <v>9831</v>
      </c>
      <c r="B3641" s="6" t="s">
        <v>9832</v>
      </c>
      <c r="C3641" s="6" t="s">
        <v>9833</v>
      </c>
      <c r="D3641" s="18">
        <v>1.0</v>
      </c>
      <c r="E3641" s="18">
        <v>50.0</v>
      </c>
      <c r="F3641" s="18">
        <v>50.0</v>
      </c>
    </row>
    <row r="3642">
      <c r="A3642" s="6" t="s">
        <v>9834</v>
      </c>
      <c r="B3642" s="18">
        <v>11866.0</v>
      </c>
      <c r="C3642" s="6" t="s">
        <v>8792</v>
      </c>
      <c r="D3642" s="18">
        <v>1.0</v>
      </c>
      <c r="E3642" s="18">
        <v>0.01</v>
      </c>
      <c r="F3642" s="18">
        <v>0.01</v>
      </c>
    </row>
    <row r="3643">
      <c r="A3643" s="6" t="s">
        <v>9836</v>
      </c>
      <c r="B3643" s="18">
        <v>11868.0</v>
      </c>
      <c r="C3643" s="6" t="s">
        <v>6322</v>
      </c>
      <c r="D3643" s="18">
        <v>1.0</v>
      </c>
      <c r="E3643" s="18">
        <v>0.01</v>
      </c>
      <c r="F3643" s="18">
        <v>0.01</v>
      </c>
    </row>
    <row r="3644">
      <c r="A3644" s="6" t="s">
        <v>9837</v>
      </c>
      <c r="B3644" s="18">
        <v>11877.0</v>
      </c>
      <c r="C3644" s="6" t="s">
        <v>8603</v>
      </c>
      <c r="D3644" s="18">
        <v>1.0</v>
      </c>
      <c r="E3644" s="18">
        <v>181.37</v>
      </c>
      <c r="F3644" s="18">
        <v>181.37</v>
      </c>
    </row>
    <row r="3645">
      <c r="A3645" s="6" t="s">
        <v>9838</v>
      </c>
      <c r="B3645" s="18">
        <v>11878.0</v>
      </c>
      <c r="C3645" s="6" t="s">
        <v>9257</v>
      </c>
      <c r="D3645" s="18">
        <v>1.0</v>
      </c>
      <c r="E3645" s="18">
        <v>989.73</v>
      </c>
      <c r="F3645" s="18">
        <v>989.73</v>
      </c>
    </row>
    <row r="3646">
      <c r="A3646" s="6" t="s">
        <v>9840</v>
      </c>
      <c r="B3646" s="18">
        <v>11879.0</v>
      </c>
      <c r="C3646" s="6" t="s">
        <v>3218</v>
      </c>
      <c r="D3646" s="18">
        <v>1.0</v>
      </c>
      <c r="E3646" s="18">
        <v>185.0</v>
      </c>
      <c r="F3646" s="18">
        <v>185.0</v>
      </c>
    </row>
    <row r="3647">
      <c r="A3647" s="6" t="s">
        <v>9841</v>
      </c>
      <c r="B3647" s="18">
        <v>11885.0</v>
      </c>
      <c r="C3647" s="6" t="s">
        <v>1159</v>
      </c>
      <c r="D3647" s="18">
        <v>1.0</v>
      </c>
      <c r="E3647" s="18">
        <v>1432.01</v>
      </c>
      <c r="F3647" s="18">
        <v>1432.01</v>
      </c>
    </row>
    <row r="3648">
      <c r="A3648" s="6" t="s">
        <v>9842</v>
      </c>
      <c r="B3648" s="6" t="s">
        <v>9843</v>
      </c>
      <c r="C3648" s="6" t="s">
        <v>2448</v>
      </c>
      <c r="D3648" s="18">
        <v>1.0</v>
      </c>
      <c r="E3648" s="18">
        <v>1183.57</v>
      </c>
      <c r="F3648" s="18">
        <v>1183.57</v>
      </c>
    </row>
    <row r="3649">
      <c r="A3649" s="6" t="s">
        <v>9844</v>
      </c>
      <c r="B3649" s="6" t="s">
        <v>9845</v>
      </c>
      <c r="C3649" s="6" t="s">
        <v>2448</v>
      </c>
      <c r="D3649" s="18">
        <v>1.0</v>
      </c>
      <c r="E3649" s="18">
        <v>164.07</v>
      </c>
      <c r="F3649" s="18">
        <v>164.07</v>
      </c>
    </row>
    <row r="3650">
      <c r="A3650" s="6" t="s">
        <v>9846</v>
      </c>
      <c r="B3650" s="18">
        <v>11895.0</v>
      </c>
      <c r="C3650" s="6" t="s">
        <v>2662</v>
      </c>
      <c r="D3650" s="18">
        <v>1.0</v>
      </c>
      <c r="E3650" s="18">
        <v>15844.56</v>
      </c>
      <c r="F3650" s="18">
        <v>15844.56</v>
      </c>
    </row>
    <row r="3651">
      <c r="A3651" s="6" t="s">
        <v>9847</v>
      </c>
      <c r="B3651" s="6" t="s">
        <v>9848</v>
      </c>
      <c r="C3651" s="6" t="s">
        <v>8651</v>
      </c>
      <c r="D3651" s="18">
        <v>1.0</v>
      </c>
      <c r="E3651" s="18">
        <v>1497.92</v>
      </c>
      <c r="F3651" s="18">
        <v>1497.92</v>
      </c>
    </row>
    <row r="3652">
      <c r="A3652" s="6" t="s">
        <v>9849</v>
      </c>
      <c r="B3652" s="6" t="s">
        <v>9850</v>
      </c>
      <c r="C3652" s="6" t="s">
        <v>9706</v>
      </c>
      <c r="D3652" s="18">
        <v>1.0</v>
      </c>
      <c r="E3652" s="18">
        <v>49.5</v>
      </c>
      <c r="F3652" s="18">
        <v>49.5</v>
      </c>
    </row>
    <row r="3653">
      <c r="A3653" s="6" t="s">
        <v>9851</v>
      </c>
      <c r="B3653" s="6" t="s">
        <v>9852</v>
      </c>
      <c r="C3653" s="6" t="s">
        <v>4406</v>
      </c>
      <c r="D3653" s="18">
        <v>1.0</v>
      </c>
      <c r="E3653" s="18">
        <v>149.5</v>
      </c>
      <c r="F3653" s="18">
        <v>149.5</v>
      </c>
    </row>
    <row r="3654">
      <c r="A3654" s="6" t="s">
        <v>9854</v>
      </c>
      <c r="B3654" s="6" t="s">
        <v>9855</v>
      </c>
      <c r="C3654" s="6" t="s">
        <v>305</v>
      </c>
      <c r="D3654" s="18">
        <v>1.0</v>
      </c>
      <c r="E3654" s="18">
        <v>87.9</v>
      </c>
      <c r="F3654" s="18">
        <v>87.9</v>
      </c>
    </row>
    <row r="3655">
      <c r="A3655" s="6" t="s">
        <v>9856</v>
      </c>
      <c r="B3655" s="18">
        <v>11894.0</v>
      </c>
      <c r="C3655" s="6" t="s">
        <v>2448</v>
      </c>
      <c r="D3655" s="18">
        <v>1.0</v>
      </c>
      <c r="E3655" s="18">
        <v>1460.79</v>
      </c>
      <c r="F3655" s="18">
        <v>1460.79</v>
      </c>
    </row>
    <row r="3656">
      <c r="A3656" s="6" t="s">
        <v>9857</v>
      </c>
      <c r="B3656" s="6" t="s">
        <v>9858</v>
      </c>
      <c r="C3656" s="6" t="s">
        <v>8458</v>
      </c>
      <c r="D3656" s="18">
        <v>1.0</v>
      </c>
      <c r="E3656" s="18">
        <v>2945.92</v>
      </c>
      <c r="F3656" s="18">
        <v>2945.92</v>
      </c>
    </row>
    <row r="3657">
      <c r="A3657" s="6" t="s">
        <v>9859</v>
      </c>
      <c r="B3657" s="18">
        <v>11766.0</v>
      </c>
      <c r="C3657" s="6" t="s">
        <v>6956</v>
      </c>
      <c r="D3657" s="18">
        <v>1.0</v>
      </c>
      <c r="E3657" s="18">
        <v>1098.0</v>
      </c>
      <c r="F3657" s="18">
        <v>1098.0</v>
      </c>
    </row>
    <row r="3658">
      <c r="A3658" s="6" t="s">
        <v>9860</v>
      </c>
      <c r="B3658" s="18">
        <v>11767.0</v>
      </c>
      <c r="C3658" s="6" t="s">
        <v>7344</v>
      </c>
      <c r="D3658" s="18">
        <v>1.0</v>
      </c>
      <c r="E3658" s="18">
        <v>625.0</v>
      </c>
      <c r="F3658" s="18">
        <v>625.0</v>
      </c>
    </row>
    <row r="3659">
      <c r="A3659" s="6" t="s">
        <v>9861</v>
      </c>
      <c r="B3659" s="18">
        <v>11771.0</v>
      </c>
      <c r="C3659" s="6" t="s">
        <v>4831</v>
      </c>
      <c r="D3659" s="18">
        <v>1.0</v>
      </c>
      <c r="E3659" s="18">
        <v>375.0</v>
      </c>
      <c r="F3659" s="18">
        <v>375.0</v>
      </c>
    </row>
    <row r="3660">
      <c r="A3660" s="6" t="s">
        <v>9862</v>
      </c>
      <c r="B3660" s="6" t="s">
        <v>9863</v>
      </c>
      <c r="C3660" s="6" t="s">
        <v>1517</v>
      </c>
      <c r="D3660" s="18">
        <v>1.0</v>
      </c>
      <c r="E3660" s="18">
        <v>1362.87</v>
      </c>
      <c r="F3660" s="18">
        <v>1362.87</v>
      </c>
    </row>
    <row r="3661">
      <c r="A3661" s="6" t="s">
        <v>9864</v>
      </c>
      <c r="B3661" s="6" t="s">
        <v>9865</v>
      </c>
      <c r="C3661" s="6" t="s">
        <v>1517</v>
      </c>
      <c r="D3661" s="18">
        <v>1.0</v>
      </c>
      <c r="E3661" s="18">
        <v>6.24</v>
      </c>
      <c r="F3661" s="18">
        <v>6.24</v>
      </c>
    </row>
    <row r="3662">
      <c r="A3662" s="6" t="s">
        <v>9866</v>
      </c>
      <c r="B3662" s="18">
        <v>11911.0</v>
      </c>
      <c r="C3662" s="6" t="s">
        <v>8404</v>
      </c>
      <c r="D3662" s="18">
        <v>1.0</v>
      </c>
      <c r="E3662" s="18">
        <v>249.23</v>
      </c>
      <c r="F3662" s="18">
        <v>249.23</v>
      </c>
    </row>
    <row r="3663">
      <c r="A3663" s="6" t="s">
        <v>9867</v>
      </c>
      <c r="B3663" s="18">
        <v>11914.0</v>
      </c>
      <c r="C3663" s="6" t="s">
        <v>2870</v>
      </c>
      <c r="D3663" s="18">
        <v>1.0</v>
      </c>
      <c r="E3663" s="18">
        <v>422.33</v>
      </c>
      <c r="F3663" s="18">
        <v>422.33</v>
      </c>
    </row>
    <row r="3664">
      <c r="A3664" s="6" t="s">
        <v>9868</v>
      </c>
      <c r="B3664" s="18">
        <v>11915.0</v>
      </c>
      <c r="C3664" s="6" t="s">
        <v>2870</v>
      </c>
      <c r="D3664" s="18">
        <v>1.0</v>
      </c>
      <c r="E3664" s="18">
        <v>87.68</v>
      </c>
      <c r="F3664" s="18">
        <v>87.68</v>
      </c>
    </row>
    <row r="3665">
      <c r="A3665" s="6" t="s">
        <v>9869</v>
      </c>
      <c r="B3665" s="18">
        <v>11916.0</v>
      </c>
      <c r="C3665" s="6" t="s">
        <v>1239</v>
      </c>
      <c r="D3665" s="18">
        <v>1.0</v>
      </c>
      <c r="E3665" s="18">
        <v>4083.0</v>
      </c>
      <c r="F3665" s="18">
        <v>4083.0</v>
      </c>
    </row>
    <row r="3666">
      <c r="A3666" s="6" t="s">
        <v>9870</v>
      </c>
      <c r="B3666" s="18">
        <v>11917.0</v>
      </c>
      <c r="C3666" s="6" t="s">
        <v>1126</v>
      </c>
      <c r="D3666" s="18">
        <v>1.0</v>
      </c>
      <c r="E3666" s="18">
        <v>72.0</v>
      </c>
      <c r="F3666" s="18">
        <v>72.0</v>
      </c>
    </row>
    <row r="3667">
      <c r="A3667" s="6" t="s">
        <v>9871</v>
      </c>
      <c r="B3667" s="18">
        <v>11918.0</v>
      </c>
      <c r="C3667" s="6" t="s">
        <v>5640</v>
      </c>
      <c r="D3667" s="18">
        <v>1.0</v>
      </c>
      <c r="E3667" s="18">
        <v>22.0</v>
      </c>
      <c r="F3667" s="18">
        <v>22.0</v>
      </c>
    </row>
    <row r="3668">
      <c r="A3668" s="6" t="s">
        <v>9872</v>
      </c>
      <c r="B3668" s="18">
        <v>11919.0</v>
      </c>
      <c r="C3668" s="6" t="s">
        <v>5973</v>
      </c>
      <c r="D3668" s="18">
        <v>1.0</v>
      </c>
      <c r="E3668" s="18">
        <v>10.0</v>
      </c>
      <c r="F3668" s="18">
        <v>10.0</v>
      </c>
    </row>
    <row r="3669">
      <c r="A3669" s="6" t="s">
        <v>9873</v>
      </c>
      <c r="B3669" s="18">
        <v>11925.0</v>
      </c>
      <c r="C3669" s="6" t="s">
        <v>9874</v>
      </c>
      <c r="D3669" s="18">
        <v>1.0</v>
      </c>
      <c r="E3669" s="18">
        <v>70.0</v>
      </c>
      <c r="F3669" s="18">
        <v>70.0</v>
      </c>
    </row>
    <row r="3670">
      <c r="A3670" s="6" t="s">
        <v>9875</v>
      </c>
      <c r="B3670" s="6" t="s">
        <v>9876</v>
      </c>
      <c r="C3670" s="6" t="s">
        <v>1517</v>
      </c>
      <c r="D3670" s="18">
        <v>1.0</v>
      </c>
      <c r="E3670" s="18">
        <v>2265.27</v>
      </c>
      <c r="F3670" s="18">
        <v>2265.27</v>
      </c>
    </row>
    <row r="3671">
      <c r="A3671" s="6" t="s">
        <v>9877</v>
      </c>
      <c r="B3671" s="6" t="s">
        <v>9878</v>
      </c>
      <c r="C3671" s="6" t="s">
        <v>8458</v>
      </c>
      <c r="D3671" s="18">
        <v>1.0</v>
      </c>
      <c r="E3671" s="18">
        <v>4549.85</v>
      </c>
      <c r="F3671" s="18">
        <v>4549.85</v>
      </c>
    </row>
    <row r="3672">
      <c r="A3672" s="6" t="s">
        <v>9879</v>
      </c>
      <c r="B3672" s="6" t="s">
        <v>9880</v>
      </c>
      <c r="C3672" s="6" t="s">
        <v>8458</v>
      </c>
      <c r="D3672" s="18">
        <v>1.0</v>
      </c>
      <c r="E3672" s="18">
        <v>348.0</v>
      </c>
      <c r="F3672" s="18">
        <v>348.0</v>
      </c>
    </row>
    <row r="3673">
      <c r="A3673" s="6" t="s">
        <v>9881</v>
      </c>
      <c r="B3673" s="6" t="s">
        <v>9882</v>
      </c>
      <c r="C3673" s="6" t="s">
        <v>8458</v>
      </c>
      <c r="D3673" s="18">
        <v>1.0</v>
      </c>
      <c r="E3673" s="18">
        <v>5290.0</v>
      </c>
      <c r="F3673" s="18">
        <v>5290.0</v>
      </c>
    </row>
    <row r="3674">
      <c r="A3674" s="6" t="s">
        <v>9884</v>
      </c>
      <c r="B3674" s="6" t="s">
        <v>9885</v>
      </c>
      <c r="C3674" s="6" t="s">
        <v>1168</v>
      </c>
      <c r="D3674" s="18">
        <v>1.0</v>
      </c>
      <c r="E3674" s="18">
        <v>500.0</v>
      </c>
      <c r="F3674" s="18">
        <v>500.0</v>
      </c>
    </row>
    <row r="3675">
      <c r="A3675" s="6" t="s">
        <v>9886</v>
      </c>
      <c r="B3675" s="6" t="s">
        <v>9887</v>
      </c>
      <c r="C3675" s="6" t="s">
        <v>1168</v>
      </c>
      <c r="D3675" s="18">
        <v>1.0</v>
      </c>
      <c r="E3675" s="18">
        <v>500.0</v>
      </c>
      <c r="F3675" s="18">
        <v>500.0</v>
      </c>
    </row>
    <row r="3676">
      <c r="A3676" s="6" t="s">
        <v>9889</v>
      </c>
      <c r="B3676" s="6" t="s">
        <v>9890</v>
      </c>
      <c r="C3676" s="6" t="s">
        <v>1168</v>
      </c>
      <c r="D3676" s="18">
        <v>1.0</v>
      </c>
      <c r="E3676" s="18">
        <v>500.0</v>
      </c>
      <c r="F3676" s="18">
        <v>500.0</v>
      </c>
    </row>
    <row r="3677">
      <c r="A3677" s="6" t="s">
        <v>9892</v>
      </c>
      <c r="B3677" s="18">
        <v>11922.0</v>
      </c>
      <c r="C3677" s="6" t="s">
        <v>1239</v>
      </c>
      <c r="D3677" s="18">
        <v>1.0</v>
      </c>
      <c r="E3677" s="18">
        <v>1362.7</v>
      </c>
      <c r="F3677" s="18">
        <v>1362.7</v>
      </c>
    </row>
    <row r="3678">
      <c r="A3678" s="6" t="s">
        <v>9895</v>
      </c>
      <c r="B3678" s="6" t="s">
        <v>9896</v>
      </c>
      <c r="C3678" s="6" t="s">
        <v>9897</v>
      </c>
      <c r="D3678" s="18">
        <v>1.0</v>
      </c>
      <c r="E3678" s="18">
        <v>264.55</v>
      </c>
      <c r="F3678" s="18">
        <v>264.55</v>
      </c>
    </row>
    <row r="3679">
      <c r="A3679" s="6" t="s">
        <v>9899</v>
      </c>
      <c r="B3679" s="18">
        <v>11913.0</v>
      </c>
      <c r="C3679" s="6" t="s">
        <v>8792</v>
      </c>
      <c r="D3679" s="18">
        <v>1.0</v>
      </c>
      <c r="E3679" s="18">
        <v>0.01</v>
      </c>
      <c r="F3679" s="18">
        <v>0.01</v>
      </c>
    </row>
    <row r="3680">
      <c r="A3680" s="6" t="s">
        <v>9902</v>
      </c>
      <c r="B3680" s="18">
        <v>11920.0</v>
      </c>
      <c r="C3680" s="6" t="s">
        <v>1239</v>
      </c>
      <c r="D3680" s="18">
        <v>1.0</v>
      </c>
      <c r="E3680" s="18">
        <v>1710.65</v>
      </c>
      <c r="F3680" s="18">
        <v>1710.65</v>
      </c>
    </row>
    <row r="3681">
      <c r="A3681" s="6" t="s">
        <v>9905</v>
      </c>
      <c r="B3681" s="18">
        <v>11921.0</v>
      </c>
      <c r="C3681" s="6" t="s">
        <v>1239</v>
      </c>
      <c r="D3681" s="18">
        <v>1.0</v>
      </c>
      <c r="E3681" s="18">
        <v>1681.43</v>
      </c>
      <c r="F3681" s="18">
        <v>1681.43</v>
      </c>
    </row>
    <row r="3682">
      <c r="A3682" s="6" t="s">
        <v>9906</v>
      </c>
      <c r="B3682" s="18">
        <v>11923.0</v>
      </c>
      <c r="C3682" s="6" t="s">
        <v>1239</v>
      </c>
      <c r="D3682" s="18">
        <v>1.0</v>
      </c>
      <c r="E3682" s="18">
        <v>4540.04</v>
      </c>
      <c r="F3682" s="18">
        <v>4540.04</v>
      </c>
    </row>
    <row r="3683">
      <c r="A3683" s="6" t="s">
        <v>9910</v>
      </c>
      <c r="B3683" s="18">
        <v>11924.0</v>
      </c>
      <c r="C3683" s="6" t="s">
        <v>1239</v>
      </c>
      <c r="D3683" s="18">
        <v>1.0</v>
      </c>
      <c r="E3683" s="18">
        <v>2191.19</v>
      </c>
      <c r="F3683" s="18">
        <v>2191.19</v>
      </c>
    </row>
    <row r="3684">
      <c r="A3684" s="6" t="s">
        <v>9911</v>
      </c>
      <c r="B3684" s="6" t="s">
        <v>9914</v>
      </c>
      <c r="C3684" s="6" t="s">
        <v>9257</v>
      </c>
      <c r="D3684" s="18">
        <v>1.0</v>
      </c>
      <c r="E3684" s="18">
        <v>3322.57</v>
      </c>
      <c r="F3684" s="18">
        <v>3322.57</v>
      </c>
    </row>
    <row r="3685">
      <c r="A3685" s="6" t="s">
        <v>9916</v>
      </c>
      <c r="B3685" s="18">
        <v>11964.0</v>
      </c>
      <c r="C3685" s="6" t="s">
        <v>873</v>
      </c>
      <c r="D3685" s="18">
        <v>1.0</v>
      </c>
      <c r="E3685" s="18">
        <v>0.0</v>
      </c>
      <c r="F3685" s="18">
        <v>0.0</v>
      </c>
    </row>
    <row r="3686">
      <c r="A3686" s="6" t="s">
        <v>9917</v>
      </c>
      <c r="B3686" s="18">
        <v>11965.0</v>
      </c>
      <c r="C3686" s="6" t="s">
        <v>8792</v>
      </c>
      <c r="D3686" s="18">
        <v>1.0</v>
      </c>
      <c r="E3686" s="18">
        <v>0.01</v>
      </c>
      <c r="F3686" s="18">
        <v>0.01</v>
      </c>
    </row>
    <row r="3687">
      <c r="A3687" s="6" t="s">
        <v>9918</v>
      </c>
      <c r="B3687" s="6" t="s">
        <v>9919</v>
      </c>
      <c r="C3687" s="6" t="s">
        <v>8651</v>
      </c>
      <c r="D3687" s="18">
        <v>1.0</v>
      </c>
      <c r="E3687" s="18">
        <v>939.11</v>
      </c>
      <c r="F3687" s="18">
        <v>939.11</v>
      </c>
    </row>
    <row r="3688">
      <c r="A3688" s="6" t="s">
        <v>9920</v>
      </c>
      <c r="B3688" s="6" t="s">
        <v>9921</v>
      </c>
      <c r="C3688" s="6" t="s">
        <v>8458</v>
      </c>
      <c r="D3688" s="18">
        <v>1.0</v>
      </c>
      <c r="E3688" s="18">
        <v>1197.98</v>
      </c>
      <c r="F3688" s="18">
        <v>1197.98</v>
      </c>
    </row>
    <row r="3689">
      <c r="A3689" s="6" t="s">
        <v>9922</v>
      </c>
      <c r="B3689" s="6" t="s">
        <v>9923</v>
      </c>
      <c r="C3689" s="6" t="s">
        <v>8501</v>
      </c>
      <c r="D3689" s="18">
        <v>1.0</v>
      </c>
      <c r="E3689" s="18">
        <v>533.95</v>
      </c>
      <c r="F3689" s="18">
        <v>533.95</v>
      </c>
    </row>
    <row r="3690">
      <c r="A3690" s="6" t="s">
        <v>9924</v>
      </c>
      <c r="B3690" s="6" t="s">
        <v>9925</v>
      </c>
      <c r="C3690" s="6" t="s">
        <v>8603</v>
      </c>
      <c r="D3690" s="18">
        <v>1.0</v>
      </c>
      <c r="E3690" s="18">
        <v>181.37</v>
      </c>
      <c r="F3690" s="18">
        <v>181.37</v>
      </c>
    </row>
    <row r="3691">
      <c r="A3691" s="6" t="s">
        <v>9927</v>
      </c>
      <c r="B3691" s="18">
        <v>11962.0</v>
      </c>
      <c r="C3691" s="6" t="s">
        <v>3218</v>
      </c>
      <c r="D3691" s="18">
        <v>1.0</v>
      </c>
      <c r="E3691" s="18">
        <v>9200.0</v>
      </c>
      <c r="F3691" s="18">
        <v>9200.0</v>
      </c>
    </row>
    <row r="3692">
      <c r="A3692" s="6" t="s">
        <v>9928</v>
      </c>
      <c r="B3692" s="18">
        <v>11966.0</v>
      </c>
      <c r="C3692" s="6" t="s">
        <v>9254</v>
      </c>
      <c r="D3692" s="18">
        <v>1.0</v>
      </c>
      <c r="E3692" s="18">
        <v>0.0</v>
      </c>
      <c r="F3692" s="18">
        <v>0.0</v>
      </c>
    </row>
    <row r="3693">
      <c r="A3693" s="6" t="s">
        <v>9931</v>
      </c>
      <c r="B3693" s="18">
        <v>11971.0</v>
      </c>
      <c r="C3693" s="6" t="s">
        <v>3218</v>
      </c>
      <c r="D3693" s="18">
        <v>1.0</v>
      </c>
      <c r="E3693" s="18">
        <v>185.0</v>
      </c>
      <c r="F3693" s="18">
        <v>185.0</v>
      </c>
    </row>
    <row r="3694">
      <c r="A3694" s="6" t="s">
        <v>9932</v>
      </c>
      <c r="B3694" s="18">
        <v>11973.0</v>
      </c>
      <c r="C3694" s="6" t="s">
        <v>1159</v>
      </c>
      <c r="D3694" s="18">
        <v>1.0</v>
      </c>
      <c r="E3694" s="18">
        <v>1472.97</v>
      </c>
      <c r="F3694" s="18">
        <v>1472.97</v>
      </c>
    </row>
    <row r="3695">
      <c r="A3695" s="6" t="s">
        <v>9934</v>
      </c>
      <c r="B3695" s="6" t="s">
        <v>9935</v>
      </c>
      <c r="C3695" s="18">
        <v>1.2539885E7</v>
      </c>
      <c r="D3695" s="18">
        <v>1.0</v>
      </c>
      <c r="E3695" s="18">
        <v>221.88</v>
      </c>
      <c r="F3695" s="18">
        <v>221.88</v>
      </c>
    </row>
    <row r="3696">
      <c r="A3696" s="6" t="s">
        <v>9936</v>
      </c>
      <c r="B3696" s="6" t="s">
        <v>9937</v>
      </c>
      <c r="C3696" s="6" t="s">
        <v>9938</v>
      </c>
      <c r="D3696" s="18">
        <v>1.0</v>
      </c>
      <c r="E3696" s="18">
        <v>28.12</v>
      </c>
      <c r="F3696" s="18">
        <v>28.12</v>
      </c>
    </row>
    <row r="3697">
      <c r="A3697" s="6" t="s">
        <v>9939</v>
      </c>
      <c r="B3697" s="6" t="s">
        <v>9940</v>
      </c>
      <c r="C3697" s="18">
        <v>1.2539885E7</v>
      </c>
      <c r="D3697" s="18">
        <v>1.0</v>
      </c>
      <c r="E3697" s="18">
        <v>250.0</v>
      </c>
      <c r="F3697" s="18">
        <v>250.0</v>
      </c>
    </row>
    <row r="3698">
      <c r="A3698" s="6" t="s">
        <v>9942</v>
      </c>
      <c r="B3698" s="6" t="s">
        <v>9943</v>
      </c>
      <c r="C3698" s="6" t="s">
        <v>2448</v>
      </c>
      <c r="D3698" s="18">
        <v>1.0</v>
      </c>
      <c r="E3698" s="18">
        <v>29.09</v>
      </c>
      <c r="F3698" s="18">
        <v>29.09</v>
      </c>
    </row>
    <row r="3699">
      <c r="A3699" s="6" t="s">
        <v>9944</v>
      </c>
      <c r="B3699" s="6" t="s">
        <v>9945</v>
      </c>
      <c r="C3699" s="6" t="s">
        <v>1517</v>
      </c>
      <c r="D3699" s="18">
        <v>1.0</v>
      </c>
      <c r="E3699" s="18">
        <v>280.66</v>
      </c>
      <c r="F3699" s="18">
        <v>280.66</v>
      </c>
    </row>
    <row r="3700">
      <c r="A3700" s="6" t="s">
        <v>9947</v>
      </c>
      <c r="B3700" s="6" t="s">
        <v>9948</v>
      </c>
      <c r="C3700" s="6" t="s">
        <v>8458</v>
      </c>
      <c r="D3700" s="18">
        <v>1.0</v>
      </c>
      <c r="E3700" s="18">
        <v>1336.0</v>
      </c>
      <c r="F3700" s="18">
        <v>1336.0</v>
      </c>
    </row>
    <row r="3701">
      <c r="A3701" s="6" t="s">
        <v>9950</v>
      </c>
      <c r="B3701" s="6" t="s">
        <v>9951</v>
      </c>
      <c r="C3701" s="6" t="s">
        <v>9952</v>
      </c>
      <c r="D3701" s="18">
        <v>1.0</v>
      </c>
      <c r="E3701" s="18">
        <v>9779.0</v>
      </c>
      <c r="F3701" s="18">
        <v>9779.0</v>
      </c>
    </row>
    <row r="3702">
      <c r="A3702" s="6" t="s">
        <v>9955</v>
      </c>
      <c r="B3702" s="18">
        <v>11978.0</v>
      </c>
      <c r="C3702" s="6" t="s">
        <v>2662</v>
      </c>
      <c r="D3702" s="18">
        <v>1.0</v>
      </c>
      <c r="E3702" s="18">
        <v>12718.91</v>
      </c>
      <c r="F3702" s="18">
        <v>12718.91</v>
      </c>
    </row>
    <row r="3703">
      <c r="A3703" s="6" t="s">
        <v>9957</v>
      </c>
      <c r="B3703" s="6" t="s">
        <v>9958</v>
      </c>
      <c r="C3703" s="6" t="s">
        <v>1517</v>
      </c>
      <c r="D3703" s="18">
        <v>1.0</v>
      </c>
      <c r="E3703" s="18">
        <v>494.24</v>
      </c>
      <c r="F3703" s="18">
        <v>494.24</v>
      </c>
    </row>
    <row r="3704">
      <c r="A3704" s="6" t="s">
        <v>9961</v>
      </c>
      <c r="B3704" s="6" t="s">
        <v>9962</v>
      </c>
      <c r="C3704" s="6" t="s">
        <v>1517</v>
      </c>
      <c r="D3704" s="18">
        <v>1.0</v>
      </c>
      <c r="E3704" s="18">
        <v>1765.11</v>
      </c>
      <c r="F3704" s="18">
        <v>1765.11</v>
      </c>
    </row>
    <row r="3705">
      <c r="A3705" s="6" t="s">
        <v>9964</v>
      </c>
      <c r="B3705" s="6" t="s">
        <v>9966</v>
      </c>
      <c r="C3705" s="6" t="s">
        <v>1517</v>
      </c>
      <c r="D3705" s="18">
        <v>1.0</v>
      </c>
      <c r="E3705" s="18">
        <v>69.87</v>
      </c>
      <c r="F3705" s="18">
        <v>69.87</v>
      </c>
    </row>
    <row r="3706">
      <c r="A3706" s="6" t="s">
        <v>9968</v>
      </c>
      <c r="B3706" s="6" t="s">
        <v>9969</v>
      </c>
      <c r="C3706" s="6" t="s">
        <v>1653</v>
      </c>
      <c r="D3706" s="18">
        <v>1.0</v>
      </c>
      <c r="E3706" s="18">
        <v>722.96</v>
      </c>
      <c r="F3706" s="18">
        <v>722.96</v>
      </c>
    </row>
    <row r="3707">
      <c r="A3707" s="6" t="s">
        <v>9971</v>
      </c>
      <c r="B3707" s="6" t="s">
        <v>9973</v>
      </c>
      <c r="C3707" s="6" t="s">
        <v>1517</v>
      </c>
      <c r="D3707" s="18">
        <v>1.0</v>
      </c>
      <c r="E3707" s="18">
        <v>3008.05</v>
      </c>
      <c r="F3707" s="18">
        <v>3008.05</v>
      </c>
    </row>
    <row r="3708">
      <c r="A3708" s="6" t="s">
        <v>9974</v>
      </c>
      <c r="B3708" s="6" t="s">
        <v>9975</v>
      </c>
      <c r="C3708" s="6" t="s">
        <v>1517</v>
      </c>
      <c r="D3708" s="18">
        <v>1.0</v>
      </c>
      <c r="E3708" s="18">
        <v>61.83</v>
      </c>
      <c r="F3708" s="18">
        <v>61.83</v>
      </c>
    </row>
    <row r="3709">
      <c r="A3709" s="6" t="s">
        <v>9976</v>
      </c>
      <c r="B3709" s="18">
        <v>11977.0</v>
      </c>
      <c r="C3709" s="6" t="s">
        <v>2448</v>
      </c>
      <c r="D3709" s="18">
        <v>1.0</v>
      </c>
      <c r="E3709" s="18">
        <v>907.14</v>
      </c>
      <c r="F3709" s="18">
        <v>907.14</v>
      </c>
    </row>
    <row r="3710">
      <c r="A3710" s="6" t="s">
        <v>9980</v>
      </c>
      <c r="B3710" s="6" t="s">
        <v>9981</v>
      </c>
      <c r="C3710" s="6" t="s">
        <v>1517</v>
      </c>
      <c r="D3710" s="18">
        <v>1.0</v>
      </c>
      <c r="E3710" s="18">
        <v>3.6</v>
      </c>
      <c r="F3710" s="18">
        <v>3.6</v>
      </c>
    </row>
    <row r="3711">
      <c r="A3711" s="6" t="s">
        <v>9982</v>
      </c>
      <c r="B3711" s="6" t="s">
        <v>9983</v>
      </c>
      <c r="C3711" s="6" t="s">
        <v>4937</v>
      </c>
      <c r="D3711" s="18">
        <v>1.0</v>
      </c>
      <c r="E3711" s="18">
        <v>20.0</v>
      </c>
      <c r="F3711" s="18">
        <v>20.0</v>
      </c>
    </row>
    <row r="3712">
      <c r="A3712" s="6" t="s">
        <v>9985</v>
      </c>
      <c r="B3712" s="18">
        <v>11875.0</v>
      </c>
      <c r="C3712" s="6" t="s">
        <v>6956</v>
      </c>
      <c r="D3712" s="18">
        <v>1.0</v>
      </c>
      <c r="E3712" s="18">
        <v>1098.0</v>
      </c>
      <c r="F3712" s="18">
        <v>1098.0</v>
      </c>
    </row>
    <row r="3713">
      <c r="A3713" s="6" t="s">
        <v>9987</v>
      </c>
      <c r="B3713" s="18">
        <v>11876.0</v>
      </c>
      <c r="C3713" s="6" t="s">
        <v>7344</v>
      </c>
      <c r="D3713" s="18">
        <v>1.0</v>
      </c>
      <c r="E3713" s="18">
        <v>700.0</v>
      </c>
      <c r="F3713" s="18">
        <v>700.0</v>
      </c>
    </row>
    <row r="3714">
      <c r="A3714" s="6" t="s">
        <v>9988</v>
      </c>
      <c r="B3714" s="18">
        <v>11880.0</v>
      </c>
      <c r="C3714" s="6" t="s">
        <v>4831</v>
      </c>
      <c r="D3714" s="18">
        <v>1.0</v>
      </c>
      <c r="E3714" s="18">
        <v>396.0</v>
      </c>
      <c r="F3714" s="18">
        <v>396.0</v>
      </c>
    </row>
    <row r="3715">
      <c r="A3715" s="6" t="s">
        <v>9992</v>
      </c>
      <c r="B3715" s="6" t="s">
        <v>9994</v>
      </c>
      <c r="C3715" s="6" t="s">
        <v>3987</v>
      </c>
      <c r="D3715" s="18">
        <v>1.0</v>
      </c>
      <c r="E3715" s="18">
        <v>635.0</v>
      </c>
      <c r="F3715" s="18">
        <v>635.0</v>
      </c>
    </row>
    <row r="3716">
      <c r="A3716" s="6" t="s">
        <v>9995</v>
      </c>
      <c r="B3716" s="18">
        <v>11996.0</v>
      </c>
      <c r="C3716" s="6" t="s">
        <v>8404</v>
      </c>
      <c r="D3716" s="18">
        <v>1.0</v>
      </c>
      <c r="E3716" s="18">
        <v>249.23</v>
      </c>
      <c r="F3716" s="18">
        <v>249.23</v>
      </c>
    </row>
    <row r="3717">
      <c r="A3717" s="6" t="s">
        <v>9998</v>
      </c>
      <c r="B3717" s="18">
        <v>11997.0</v>
      </c>
      <c r="C3717" s="6" t="s">
        <v>8792</v>
      </c>
      <c r="D3717" s="18">
        <v>1.0</v>
      </c>
      <c r="E3717" s="18">
        <v>0.01</v>
      </c>
      <c r="F3717" s="18">
        <v>0.01</v>
      </c>
    </row>
    <row r="3718">
      <c r="A3718" s="6" t="s">
        <v>10000</v>
      </c>
      <c r="B3718" s="6" t="s">
        <v>10002</v>
      </c>
      <c r="C3718" s="6" t="s">
        <v>9609</v>
      </c>
      <c r="D3718" s="18">
        <v>1.0</v>
      </c>
      <c r="E3718" s="18">
        <v>133.3</v>
      </c>
      <c r="F3718" s="18">
        <v>133.3</v>
      </c>
    </row>
    <row r="3719">
      <c r="A3719" s="6" t="s">
        <v>10003</v>
      </c>
      <c r="B3719" s="6" t="s">
        <v>10004</v>
      </c>
      <c r="C3719" s="6" t="s">
        <v>8458</v>
      </c>
      <c r="D3719" s="18">
        <v>1.0</v>
      </c>
      <c r="E3719" s="18">
        <v>4875.0</v>
      </c>
      <c r="F3719" s="18">
        <v>4875.0</v>
      </c>
    </row>
    <row r="3720">
      <c r="A3720" s="6" t="s">
        <v>10005</v>
      </c>
      <c r="B3720" s="18">
        <v>11967.0</v>
      </c>
      <c r="C3720" s="6" t="s">
        <v>6956</v>
      </c>
      <c r="D3720" s="18">
        <v>1.0</v>
      </c>
      <c r="E3720" s="18">
        <v>1148.0</v>
      </c>
      <c r="F3720" s="18">
        <v>1148.0</v>
      </c>
    </row>
    <row r="3721">
      <c r="A3721" s="6" t="s">
        <v>10008</v>
      </c>
      <c r="B3721" s="18">
        <v>11968.0</v>
      </c>
      <c r="C3721" s="6" t="s">
        <v>7344</v>
      </c>
      <c r="D3721" s="18">
        <v>1.0</v>
      </c>
      <c r="E3721" s="18">
        <v>700.0</v>
      </c>
      <c r="F3721" s="18">
        <v>700.0</v>
      </c>
    </row>
    <row r="3722">
      <c r="A3722" s="6" t="s">
        <v>10010</v>
      </c>
      <c r="B3722" s="18">
        <v>11972.0</v>
      </c>
      <c r="C3722" s="6" t="s">
        <v>4831</v>
      </c>
      <c r="D3722" s="18">
        <v>1.0</v>
      </c>
      <c r="E3722" s="18">
        <v>396.0</v>
      </c>
      <c r="F3722" s="18">
        <v>396.0</v>
      </c>
    </row>
    <row r="3723">
      <c r="A3723" s="6" t="s">
        <v>10013</v>
      </c>
      <c r="B3723" s="6" t="s">
        <v>10014</v>
      </c>
      <c r="C3723" s="6" t="s">
        <v>1653</v>
      </c>
      <c r="D3723" s="18">
        <v>1.0</v>
      </c>
      <c r="E3723" s="18">
        <v>722.95</v>
      </c>
      <c r="F3723" s="18">
        <v>722.95</v>
      </c>
    </row>
    <row r="3724">
      <c r="A3724" s="6" t="s">
        <v>10017</v>
      </c>
      <c r="B3724" s="6" t="s">
        <v>10018</v>
      </c>
      <c r="C3724" s="6" t="s">
        <v>1517</v>
      </c>
      <c r="D3724" s="18">
        <v>1.0</v>
      </c>
      <c r="E3724" s="18">
        <v>2039.89</v>
      </c>
      <c r="F3724" s="18">
        <v>2039.89</v>
      </c>
    </row>
    <row r="3725">
      <c r="A3725" s="6" t="s">
        <v>10021</v>
      </c>
      <c r="B3725" s="18">
        <v>12022.0</v>
      </c>
      <c r="C3725" s="6" t="s">
        <v>2870</v>
      </c>
      <c r="D3725" s="18">
        <v>1.0</v>
      </c>
      <c r="E3725" s="18">
        <v>87.68</v>
      </c>
      <c r="F3725" s="18">
        <v>87.68</v>
      </c>
    </row>
    <row r="3726">
      <c r="A3726" s="6" t="s">
        <v>10022</v>
      </c>
      <c r="B3726" s="18">
        <v>12023.0</v>
      </c>
      <c r="C3726" s="6" t="s">
        <v>2870</v>
      </c>
      <c r="D3726" s="18">
        <v>1.0</v>
      </c>
      <c r="E3726" s="18">
        <v>553.28</v>
      </c>
      <c r="F3726" s="18">
        <v>553.28</v>
      </c>
    </row>
    <row r="3727">
      <c r="A3727" s="6" t="s">
        <v>10025</v>
      </c>
      <c r="B3727" s="18">
        <v>12024.0</v>
      </c>
      <c r="C3727" s="6" t="s">
        <v>1239</v>
      </c>
      <c r="D3727" s="18">
        <v>1.0</v>
      </c>
      <c r="E3727" s="18">
        <v>4083.0</v>
      </c>
      <c r="F3727" s="18">
        <v>4083.0</v>
      </c>
    </row>
    <row r="3728">
      <c r="A3728" s="6" t="s">
        <v>10028</v>
      </c>
      <c r="B3728" s="18">
        <v>12025.0</v>
      </c>
      <c r="C3728" s="6" t="s">
        <v>1126</v>
      </c>
      <c r="D3728" s="18">
        <v>1.0</v>
      </c>
      <c r="E3728" s="18">
        <v>72.0</v>
      </c>
      <c r="F3728" s="18">
        <v>72.0</v>
      </c>
    </row>
    <row r="3729">
      <c r="A3729" s="6" t="s">
        <v>10030</v>
      </c>
      <c r="B3729" s="18">
        <v>12026.0</v>
      </c>
      <c r="C3729" s="6" t="s">
        <v>1239</v>
      </c>
      <c r="D3729" s="18">
        <v>1.0</v>
      </c>
      <c r="E3729" s="18">
        <v>1846.78</v>
      </c>
      <c r="F3729" s="18">
        <v>1846.78</v>
      </c>
    </row>
    <row r="3730">
      <c r="A3730" s="6" t="s">
        <v>10032</v>
      </c>
      <c r="B3730" s="18">
        <v>12027.0</v>
      </c>
      <c r="C3730" s="6" t="s">
        <v>1239</v>
      </c>
      <c r="D3730" s="18">
        <v>1.0</v>
      </c>
      <c r="E3730" s="18">
        <v>975.91</v>
      </c>
      <c r="F3730" s="18">
        <v>975.91</v>
      </c>
    </row>
    <row r="3731">
      <c r="A3731" s="6" t="s">
        <v>10037</v>
      </c>
      <c r="B3731" s="18">
        <v>12028.0</v>
      </c>
      <c r="C3731" s="6" t="s">
        <v>1239</v>
      </c>
      <c r="D3731" s="18">
        <v>1.0</v>
      </c>
      <c r="E3731" s="18">
        <v>1592.32</v>
      </c>
      <c r="F3731" s="18">
        <v>1592.32</v>
      </c>
    </row>
    <row r="3732">
      <c r="A3732" s="6" t="s">
        <v>10041</v>
      </c>
      <c r="B3732" s="18">
        <v>12029.0</v>
      </c>
      <c r="C3732" s="6" t="s">
        <v>1239</v>
      </c>
      <c r="D3732" s="18">
        <v>1.0</v>
      </c>
      <c r="E3732" s="18">
        <v>4608.33</v>
      </c>
      <c r="F3732" s="18">
        <v>4608.33</v>
      </c>
    </row>
    <row r="3733">
      <c r="A3733" s="6" t="s">
        <v>10044</v>
      </c>
      <c r="B3733" s="18">
        <v>12030.0</v>
      </c>
      <c r="C3733" s="6" t="s">
        <v>1239</v>
      </c>
      <c r="D3733" s="18">
        <v>1.0</v>
      </c>
      <c r="E3733" s="18">
        <v>2266.83</v>
      </c>
      <c r="F3733" s="18">
        <v>2266.83</v>
      </c>
    </row>
    <row r="3734">
      <c r="A3734" s="6" t="s">
        <v>10046</v>
      </c>
      <c r="B3734" s="18">
        <v>12031.0</v>
      </c>
      <c r="C3734" s="6" t="s">
        <v>9874</v>
      </c>
      <c r="D3734" s="18">
        <v>1.0</v>
      </c>
      <c r="E3734" s="18">
        <v>70.0</v>
      </c>
      <c r="F3734" s="18">
        <v>70.0</v>
      </c>
    </row>
    <row r="3735">
      <c r="A3735" s="6" t="s">
        <v>10050</v>
      </c>
      <c r="B3735" s="18">
        <v>12015.0</v>
      </c>
      <c r="C3735" s="6" t="s">
        <v>1668</v>
      </c>
      <c r="D3735" s="18">
        <v>1.0</v>
      </c>
      <c r="E3735" s="18">
        <v>134.83</v>
      </c>
      <c r="F3735" s="18">
        <v>134.83</v>
      </c>
    </row>
    <row r="3736">
      <c r="A3736" s="6" t="s">
        <v>10053</v>
      </c>
      <c r="B3736" s="18">
        <v>12016.0</v>
      </c>
      <c r="C3736" s="6" t="s">
        <v>3218</v>
      </c>
      <c r="D3736" s="18">
        <v>1.0</v>
      </c>
      <c r="E3736" s="18">
        <v>9200.0</v>
      </c>
      <c r="F3736" s="18">
        <v>9200.0</v>
      </c>
    </row>
    <row r="3737">
      <c r="A3737" s="6" t="s">
        <v>10054</v>
      </c>
      <c r="B3737" s="18">
        <v>12017.0</v>
      </c>
      <c r="C3737" s="6" t="s">
        <v>8501</v>
      </c>
      <c r="D3737" s="18">
        <v>1.0</v>
      </c>
      <c r="E3737" s="18">
        <v>533.95</v>
      </c>
      <c r="F3737" s="18">
        <v>533.95</v>
      </c>
    </row>
    <row r="3738">
      <c r="A3738" s="6" t="s">
        <v>10057</v>
      </c>
      <c r="B3738" s="18">
        <v>12018.0</v>
      </c>
      <c r="C3738" s="6" t="s">
        <v>873</v>
      </c>
      <c r="D3738" s="18">
        <v>1.0</v>
      </c>
      <c r="E3738" s="18">
        <v>0.0</v>
      </c>
      <c r="F3738" s="18">
        <v>0.0</v>
      </c>
    </row>
    <row r="3739">
      <c r="A3739" s="6" t="s">
        <v>10060</v>
      </c>
      <c r="B3739" s="18">
        <v>12019.0</v>
      </c>
      <c r="C3739" s="6" t="s">
        <v>8792</v>
      </c>
      <c r="D3739" s="18">
        <v>1.0</v>
      </c>
      <c r="E3739" s="18">
        <v>0.01</v>
      </c>
      <c r="F3739" s="18">
        <v>0.01</v>
      </c>
    </row>
    <row r="3740">
      <c r="A3740" s="6" t="s">
        <v>10061</v>
      </c>
      <c r="B3740" s="6" t="s">
        <v>10062</v>
      </c>
      <c r="C3740" s="6" t="s">
        <v>10065</v>
      </c>
      <c r="D3740" s="18">
        <v>1.0</v>
      </c>
      <c r="E3740" s="18">
        <v>145.0</v>
      </c>
      <c r="F3740" s="18">
        <v>145.0</v>
      </c>
    </row>
    <row r="3741">
      <c r="A3741" s="6" t="s">
        <v>10068</v>
      </c>
      <c r="B3741" s="6" t="s">
        <v>10069</v>
      </c>
      <c r="C3741" s="6" t="s">
        <v>5856</v>
      </c>
      <c r="D3741" s="18">
        <v>1.0</v>
      </c>
      <c r="E3741" s="18">
        <v>62.9</v>
      </c>
      <c r="F3741" s="18">
        <v>62.9</v>
      </c>
    </row>
    <row r="3742">
      <c r="A3742" s="6" t="s">
        <v>10073</v>
      </c>
      <c r="B3742" s="18">
        <v>12034.0</v>
      </c>
      <c r="C3742" s="6" t="s">
        <v>9254</v>
      </c>
      <c r="D3742" s="18">
        <v>1.0</v>
      </c>
      <c r="E3742" s="18">
        <v>0.0</v>
      </c>
      <c r="F3742" s="18">
        <v>0.0</v>
      </c>
    </row>
    <row r="3743">
      <c r="A3743" s="6" t="s">
        <v>10075</v>
      </c>
      <c r="B3743" s="6" t="s">
        <v>10077</v>
      </c>
      <c r="C3743" s="6" t="s">
        <v>10078</v>
      </c>
      <c r="D3743" s="18">
        <v>1.0</v>
      </c>
      <c r="E3743" s="18">
        <v>1136.0</v>
      </c>
      <c r="F3743" s="18">
        <v>1136.0</v>
      </c>
    </row>
    <row r="3744">
      <c r="A3744" s="6" t="s">
        <v>10079</v>
      </c>
      <c r="B3744" s="6" t="s">
        <v>10080</v>
      </c>
      <c r="C3744" s="6" t="s">
        <v>1239</v>
      </c>
      <c r="D3744" s="18">
        <v>1.0</v>
      </c>
      <c r="E3744" s="18">
        <v>2790.21</v>
      </c>
      <c r="F3744" s="18">
        <v>2790.21</v>
      </c>
    </row>
    <row r="3745">
      <c r="A3745" s="6" t="s">
        <v>10082</v>
      </c>
      <c r="B3745" s="6" t="s">
        <v>10083</v>
      </c>
      <c r="C3745" s="6" t="s">
        <v>10084</v>
      </c>
      <c r="D3745" s="18">
        <v>1.0</v>
      </c>
      <c r="E3745" s="18">
        <v>131.62</v>
      </c>
      <c r="F3745" s="18">
        <v>131.62</v>
      </c>
    </row>
    <row r="3746">
      <c r="A3746" s="6" t="s">
        <v>10086</v>
      </c>
      <c r="B3746" s="6" t="s">
        <v>10087</v>
      </c>
      <c r="C3746" s="6" t="s">
        <v>8458</v>
      </c>
      <c r="D3746" s="18">
        <v>1.0</v>
      </c>
      <c r="E3746" s="18">
        <v>6692.0</v>
      </c>
      <c r="F3746" s="18">
        <v>6692.0</v>
      </c>
    </row>
    <row r="3747">
      <c r="A3747" s="6" t="s">
        <v>10088</v>
      </c>
      <c r="B3747" s="6" t="s">
        <v>10090</v>
      </c>
      <c r="C3747" s="6" t="s">
        <v>1517</v>
      </c>
      <c r="D3747" s="18">
        <v>1.0</v>
      </c>
      <c r="E3747" s="18">
        <v>2607.37</v>
      </c>
      <c r="F3747" s="18">
        <v>2607.37</v>
      </c>
    </row>
    <row r="3748">
      <c r="A3748" s="6" t="s">
        <v>10091</v>
      </c>
      <c r="B3748" s="18">
        <v>12045.0</v>
      </c>
      <c r="C3748" s="6" t="s">
        <v>8603</v>
      </c>
      <c r="D3748" s="18">
        <v>1.0</v>
      </c>
      <c r="E3748" s="18">
        <v>181.37</v>
      </c>
      <c r="F3748" s="18">
        <v>181.37</v>
      </c>
    </row>
    <row r="3749">
      <c r="A3749" s="6" t="s">
        <v>10094</v>
      </c>
      <c r="B3749" s="18">
        <v>12046.0</v>
      </c>
      <c r="C3749" s="6" t="s">
        <v>9257</v>
      </c>
      <c r="D3749" s="18">
        <v>1.0</v>
      </c>
      <c r="E3749" s="18">
        <v>3720.53</v>
      </c>
      <c r="F3749" s="18">
        <v>3720.53</v>
      </c>
    </row>
    <row r="3750">
      <c r="A3750" s="6" t="s">
        <v>10096</v>
      </c>
      <c r="B3750" s="18">
        <v>12047.0</v>
      </c>
      <c r="C3750" s="6" t="s">
        <v>3218</v>
      </c>
      <c r="D3750" s="18">
        <v>1.0</v>
      </c>
      <c r="E3750" s="18">
        <v>185.0</v>
      </c>
      <c r="F3750" s="18">
        <v>185.0</v>
      </c>
    </row>
    <row r="3751">
      <c r="A3751" s="6" t="s">
        <v>10097</v>
      </c>
      <c r="B3751" s="18">
        <v>12049.0</v>
      </c>
      <c r="C3751" s="6" t="s">
        <v>1159</v>
      </c>
      <c r="D3751" s="18">
        <v>1.0</v>
      </c>
      <c r="E3751" s="18">
        <v>1470.0</v>
      </c>
      <c r="F3751" s="18">
        <v>1470.0</v>
      </c>
    </row>
    <row r="3752">
      <c r="A3752" s="6" t="s">
        <v>10098</v>
      </c>
      <c r="B3752" s="6" t="s">
        <v>10099</v>
      </c>
      <c r="C3752" s="6" t="s">
        <v>8651</v>
      </c>
      <c r="D3752" s="18">
        <v>1.0</v>
      </c>
      <c r="E3752" s="18">
        <v>906.48</v>
      </c>
      <c r="F3752" s="18">
        <v>906.48</v>
      </c>
    </row>
    <row r="3753">
      <c r="A3753" s="6" t="s">
        <v>10100</v>
      </c>
      <c r="B3753" s="18">
        <v>12062.0</v>
      </c>
      <c r="C3753" s="6" t="s">
        <v>2448</v>
      </c>
      <c r="D3753" s="18">
        <v>1.0</v>
      </c>
      <c r="E3753" s="18">
        <v>1626.37</v>
      </c>
      <c r="F3753" s="18">
        <v>1626.37</v>
      </c>
    </row>
    <row r="3754">
      <c r="A3754" s="6" t="s">
        <v>10103</v>
      </c>
      <c r="B3754" s="6" t="s">
        <v>10104</v>
      </c>
      <c r="C3754" s="6" t="s">
        <v>9706</v>
      </c>
      <c r="D3754" s="18">
        <v>1.0</v>
      </c>
      <c r="E3754" s="18">
        <v>30.75</v>
      </c>
      <c r="F3754" s="18">
        <v>30.75</v>
      </c>
    </row>
    <row r="3755">
      <c r="A3755" s="6" t="s">
        <v>10107</v>
      </c>
      <c r="B3755" s="6" t="s">
        <v>10108</v>
      </c>
      <c r="C3755" s="6" t="s">
        <v>1517</v>
      </c>
      <c r="D3755" s="18">
        <v>1.0</v>
      </c>
      <c r="E3755" s="18">
        <v>12023.24</v>
      </c>
      <c r="F3755" s="18">
        <v>12023.24</v>
      </c>
    </row>
    <row r="3756">
      <c r="A3756" s="6" t="s">
        <v>10110</v>
      </c>
      <c r="B3756" s="6" t="s">
        <v>10112</v>
      </c>
      <c r="C3756" s="6" t="s">
        <v>1168</v>
      </c>
      <c r="D3756" s="18">
        <v>1.0</v>
      </c>
      <c r="E3756" s="18">
        <v>500.0</v>
      </c>
      <c r="F3756" s="18">
        <v>500.0</v>
      </c>
    </row>
    <row r="3757">
      <c r="A3757" s="6" t="s">
        <v>10113</v>
      </c>
      <c r="B3757" s="6" t="s">
        <v>10114</v>
      </c>
      <c r="C3757" s="6" t="s">
        <v>1168</v>
      </c>
      <c r="D3757" s="18">
        <v>1.0</v>
      </c>
      <c r="E3757" s="18">
        <v>500.0</v>
      </c>
      <c r="F3757" s="18">
        <v>500.0</v>
      </c>
    </row>
    <row r="3758">
      <c r="A3758" s="6" t="s">
        <v>10117</v>
      </c>
      <c r="B3758" s="6" t="s">
        <v>10118</v>
      </c>
      <c r="C3758" s="6" t="s">
        <v>1168</v>
      </c>
      <c r="D3758" s="18">
        <v>1.0</v>
      </c>
      <c r="E3758" s="18">
        <v>500.0</v>
      </c>
      <c r="F3758" s="18">
        <v>500.0</v>
      </c>
    </row>
    <row r="3759">
      <c r="A3759" s="6" t="s">
        <v>10119</v>
      </c>
      <c r="B3759" s="6" t="s">
        <v>10122</v>
      </c>
      <c r="C3759" s="6" t="s">
        <v>1168</v>
      </c>
      <c r="D3759" s="18">
        <v>1.0</v>
      </c>
      <c r="E3759" s="18">
        <v>500.0</v>
      </c>
      <c r="F3759" s="18">
        <v>500.0</v>
      </c>
    </row>
    <row r="3760">
      <c r="A3760" s="6" t="s">
        <v>10123</v>
      </c>
      <c r="B3760" s="6" t="s">
        <v>10124</v>
      </c>
      <c r="C3760" s="6" t="s">
        <v>1168</v>
      </c>
      <c r="D3760" s="18">
        <v>1.0</v>
      </c>
      <c r="E3760" s="18">
        <v>500.0</v>
      </c>
      <c r="F3760" s="18">
        <v>500.0</v>
      </c>
    </row>
    <row r="3761">
      <c r="A3761" s="6" t="s">
        <v>10128</v>
      </c>
      <c r="B3761" s="18">
        <v>12043.0</v>
      </c>
      <c r="C3761" s="6" t="s">
        <v>6956</v>
      </c>
      <c r="D3761" s="18">
        <v>1.0</v>
      </c>
      <c r="E3761" s="18">
        <v>1148.0</v>
      </c>
      <c r="F3761" s="18">
        <v>1148.0</v>
      </c>
    </row>
    <row r="3762">
      <c r="A3762" s="6" t="s">
        <v>10129</v>
      </c>
      <c r="B3762" s="18">
        <v>12044.0</v>
      </c>
      <c r="C3762" s="6" t="s">
        <v>7344</v>
      </c>
      <c r="D3762" s="18">
        <v>1.0</v>
      </c>
      <c r="E3762" s="18">
        <v>700.0</v>
      </c>
      <c r="F3762" s="18">
        <v>700.0</v>
      </c>
    </row>
    <row r="3763">
      <c r="A3763" s="6" t="s">
        <v>10130</v>
      </c>
      <c r="B3763" s="18">
        <v>12048.0</v>
      </c>
      <c r="C3763" s="6" t="s">
        <v>4831</v>
      </c>
      <c r="D3763" s="18">
        <v>1.0</v>
      </c>
      <c r="E3763" s="18">
        <v>396.0</v>
      </c>
      <c r="F3763" s="18">
        <v>396.0</v>
      </c>
    </row>
    <row r="3764">
      <c r="A3764" s="6" t="s">
        <v>10132</v>
      </c>
      <c r="B3764" s="18">
        <v>12063.0</v>
      </c>
      <c r="C3764" s="6" t="s">
        <v>2662</v>
      </c>
      <c r="D3764" s="18">
        <v>1.0</v>
      </c>
      <c r="E3764" s="18">
        <v>15577.0</v>
      </c>
      <c r="F3764" s="18">
        <v>15577.0</v>
      </c>
    </row>
    <row r="3765">
      <c r="A3765" s="6" t="s">
        <v>10134</v>
      </c>
      <c r="B3765" s="6" t="s">
        <v>10136</v>
      </c>
      <c r="C3765" s="6" t="s">
        <v>1517</v>
      </c>
      <c r="D3765" s="18">
        <v>1.0</v>
      </c>
      <c r="E3765" s="18">
        <v>125.89</v>
      </c>
      <c r="F3765" s="18">
        <v>125.89</v>
      </c>
    </row>
    <row r="3766">
      <c r="A3766" s="6" t="s">
        <v>10137</v>
      </c>
      <c r="B3766" s="6" t="s">
        <v>10139</v>
      </c>
      <c r="C3766" s="6" t="s">
        <v>2715</v>
      </c>
      <c r="D3766" s="18">
        <v>1.0</v>
      </c>
      <c r="E3766" s="18">
        <v>1427.54</v>
      </c>
      <c r="F3766" s="18">
        <v>1427.54</v>
      </c>
    </row>
    <row r="3767">
      <c r="A3767" s="6" t="s">
        <v>10141</v>
      </c>
      <c r="B3767" s="6" t="s">
        <v>10142</v>
      </c>
      <c r="C3767" s="6" t="s">
        <v>2715</v>
      </c>
      <c r="D3767" s="18">
        <v>1.0</v>
      </c>
      <c r="E3767" s="18">
        <v>1427.54</v>
      </c>
      <c r="F3767" s="18">
        <v>1427.54</v>
      </c>
    </row>
    <row r="3768">
      <c r="A3768" s="6" t="s">
        <v>10143</v>
      </c>
      <c r="B3768" s="18">
        <v>12082.0</v>
      </c>
      <c r="C3768" s="6" t="s">
        <v>8792</v>
      </c>
      <c r="D3768" s="18">
        <v>1.0</v>
      </c>
      <c r="E3768" s="18">
        <v>0.01</v>
      </c>
      <c r="F3768" s="18">
        <v>0.01</v>
      </c>
    </row>
    <row r="3769">
      <c r="A3769" s="6" t="s">
        <v>10144</v>
      </c>
      <c r="B3769" s="18">
        <v>12081.0</v>
      </c>
      <c r="C3769" s="6" t="s">
        <v>8404</v>
      </c>
      <c r="D3769" s="18">
        <v>1.0</v>
      </c>
      <c r="E3769" s="18">
        <v>249.23</v>
      </c>
      <c r="F3769" s="18">
        <v>249.23</v>
      </c>
    </row>
    <row r="3770">
      <c r="A3770" s="6" t="s">
        <v>10145</v>
      </c>
      <c r="B3770" s="6" t="s">
        <v>10146</v>
      </c>
      <c r="C3770" s="6" t="s">
        <v>10147</v>
      </c>
      <c r="D3770" s="18">
        <v>1.0</v>
      </c>
      <c r="E3770" s="18">
        <v>1093.4</v>
      </c>
      <c r="F3770" s="18">
        <v>1093.4</v>
      </c>
    </row>
    <row r="3771">
      <c r="A3771" s="6" t="s">
        <v>10150</v>
      </c>
      <c r="B3771" s="6" t="s">
        <v>10151</v>
      </c>
      <c r="C3771" s="6" t="s">
        <v>8458</v>
      </c>
      <c r="D3771" s="18">
        <v>1.0</v>
      </c>
      <c r="E3771" s="18">
        <v>2324.0</v>
      </c>
      <c r="F3771" s="18">
        <v>2324.0</v>
      </c>
    </row>
    <row r="3772">
      <c r="A3772" s="6" t="s">
        <v>10153</v>
      </c>
      <c r="B3772" s="6" t="s">
        <v>10155</v>
      </c>
      <c r="C3772" s="6" t="s">
        <v>1517</v>
      </c>
      <c r="D3772" s="18">
        <v>1.0</v>
      </c>
      <c r="E3772" s="18">
        <v>303.81</v>
      </c>
      <c r="F3772" s="18">
        <v>303.81</v>
      </c>
    </row>
    <row r="3773">
      <c r="A3773" s="6" t="s">
        <v>10156</v>
      </c>
      <c r="B3773" s="18">
        <v>12087.0</v>
      </c>
      <c r="C3773" s="6" t="s">
        <v>2870</v>
      </c>
      <c r="D3773" s="18">
        <v>1.0</v>
      </c>
      <c r="E3773" s="18">
        <v>422.33</v>
      </c>
      <c r="F3773" s="18">
        <v>422.33</v>
      </c>
    </row>
    <row r="3774">
      <c r="A3774" s="6" t="s">
        <v>10158</v>
      </c>
      <c r="B3774" s="18">
        <v>12088.0</v>
      </c>
      <c r="C3774" s="6" t="s">
        <v>2870</v>
      </c>
      <c r="D3774" s="18">
        <v>1.0</v>
      </c>
      <c r="E3774" s="18">
        <v>87.68</v>
      </c>
      <c r="F3774" s="18">
        <v>87.68</v>
      </c>
    </row>
    <row r="3775">
      <c r="A3775" s="6" t="s">
        <v>10160</v>
      </c>
      <c r="B3775" s="18">
        <v>12089.0</v>
      </c>
      <c r="C3775" s="6" t="s">
        <v>1239</v>
      </c>
      <c r="D3775" s="18">
        <v>1.0</v>
      </c>
      <c r="E3775" s="18">
        <v>4619.0</v>
      </c>
      <c r="F3775" s="18">
        <v>4619.0</v>
      </c>
    </row>
    <row r="3776">
      <c r="A3776" s="6" t="s">
        <v>10161</v>
      </c>
      <c r="B3776" s="18">
        <v>12090.0</v>
      </c>
      <c r="C3776" s="6" t="s">
        <v>1126</v>
      </c>
      <c r="D3776" s="18">
        <v>1.0</v>
      </c>
      <c r="E3776" s="18">
        <v>72.0</v>
      </c>
      <c r="F3776" s="18">
        <v>72.0</v>
      </c>
    </row>
    <row r="3777">
      <c r="A3777" s="6" t="s">
        <v>10164</v>
      </c>
      <c r="B3777" s="18">
        <v>12096.0</v>
      </c>
      <c r="C3777" s="6" t="s">
        <v>9874</v>
      </c>
      <c r="D3777" s="18">
        <v>1.0</v>
      </c>
      <c r="E3777" s="18">
        <v>70.0</v>
      </c>
      <c r="F3777" s="18">
        <v>70.0</v>
      </c>
    </row>
    <row r="3778">
      <c r="A3778" s="6" t="s">
        <v>10168</v>
      </c>
      <c r="B3778" s="6" t="s">
        <v>10169</v>
      </c>
      <c r="C3778" s="6" t="s">
        <v>1239</v>
      </c>
      <c r="D3778" s="18">
        <v>1.0</v>
      </c>
      <c r="E3778" s="18">
        <v>2835.38</v>
      </c>
      <c r="F3778" s="18">
        <v>2835.38</v>
      </c>
    </row>
    <row r="3779">
      <c r="A3779" s="6" t="s">
        <v>10171</v>
      </c>
      <c r="B3779" s="18">
        <v>12091.0</v>
      </c>
      <c r="C3779" s="6" t="s">
        <v>1239</v>
      </c>
      <c r="D3779" s="18">
        <v>1.0</v>
      </c>
      <c r="E3779" s="18">
        <v>1952.22</v>
      </c>
      <c r="F3779" s="18">
        <v>1952.22</v>
      </c>
    </row>
    <row r="3780">
      <c r="A3780" s="6" t="s">
        <v>10173</v>
      </c>
      <c r="B3780" s="18">
        <v>12092.0</v>
      </c>
      <c r="C3780" s="6" t="s">
        <v>1239</v>
      </c>
      <c r="D3780" s="18">
        <v>1.0</v>
      </c>
      <c r="E3780" s="18">
        <v>2007.04</v>
      </c>
      <c r="F3780" s="18">
        <v>2007.04</v>
      </c>
    </row>
    <row r="3781">
      <c r="A3781" s="6" t="s">
        <v>10176</v>
      </c>
      <c r="B3781" s="18">
        <v>12093.0</v>
      </c>
      <c r="C3781" s="6" t="s">
        <v>1239</v>
      </c>
      <c r="D3781" s="18">
        <v>1.0</v>
      </c>
      <c r="E3781" s="18">
        <v>1575.04</v>
      </c>
      <c r="F3781" s="18">
        <v>1575.04</v>
      </c>
    </row>
    <row r="3782">
      <c r="A3782" s="6" t="s">
        <v>10178</v>
      </c>
      <c r="B3782" s="18">
        <v>12094.0</v>
      </c>
      <c r="C3782" s="6" t="s">
        <v>1239</v>
      </c>
      <c r="D3782" s="18">
        <v>1.0</v>
      </c>
      <c r="E3782" s="18">
        <v>4479.15</v>
      </c>
      <c r="F3782" s="18">
        <v>4479.15</v>
      </c>
    </row>
    <row r="3783">
      <c r="A3783" s="6" t="s">
        <v>10181</v>
      </c>
      <c r="B3783" s="18">
        <v>12095.0</v>
      </c>
      <c r="C3783" s="6" t="s">
        <v>1239</v>
      </c>
      <c r="D3783" s="18">
        <v>1.0</v>
      </c>
      <c r="E3783" s="18">
        <v>1967.46</v>
      </c>
      <c r="F3783" s="18">
        <v>1967.46</v>
      </c>
    </row>
    <row r="3784">
      <c r="A3784" s="6" t="s">
        <v>10182</v>
      </c>
      <c r="B3784" s="18">
        <v>12104.0</v>
      </c>
      <c r="C3784" s="6" t="s">
        <v>3218</v>
      </c>
      <c r="D3784" s="18">
        <v>1.0</v>
      </c>
      <c r="E3784" s="18">
        <v>9200.0</v>
      </c>
      <c r="F3784" s="18">
        <v>9200.0</v>
      </c>
    </row>
    <row r="3785">
      <c r="A3785" s="6" t="s">
        <v>10185</v>
      </c>
      <c r="B3785" s="18">
        <v>12105.0</v>
      </c>
      <c r="C3785" s="6" t="s">
        <v>8501</v>
      </c>
      <c r="D3785" s="18">
        <v>1.0</v>
      </c>
      <c r="E3785" s="18">
        <v>533.95</v>
      </c>
      <c r="F3785" s="18">
        <v>533.95</v>
      </c>
    </row>
    <row r="3786">
      <c r="A3786" s="6" t="s">
        <v>10186</v>
      </c>
      <c r="B3786" s="18">
        <v>12106.0</v>
      </c>
      <c r="C3786" s="6" t="s">
        <v>873</v>
      </c>
      <c r="D3786" s="18">
        <v>1.0</v>
      </c>
      <c r="E3786" s="18">
        <v>0.0</v>
      </c>
      <c r="F3786" s="18">
        <v>0.0</v>
      </c>
    </row>
    <row r="3787">
      <c r="A3787" s="6" t="s">
        <v>10189</v>
      </c>
      <c r="B3787" s="18">
        <v>12107.0</v>
      </c>
      <c r="C3787" s="6" t="s">
        <v>8792</v>
      </c>
      <c r="D3787" s="18">
        <v>1.0</v>
      </c>
      <c r="E3787" s="18">
        <v>0.01</v>
      </c>
      <c r="F3787" s="18">
        <v>0.01</v>
      </c>
    </row>
    <row r="3788">
      <c r="A3788" s="6" t="s">
        <v>10190</v>
      </c>
      <c r="B3788" s="18">
        <v>12113.0</v>
      </c>
      <c r="C3788" s="6" t="s">
        <v>9254</v>
      </c>
      <c r="D3788" s="18">
        <v>1.0</v>
      </c>
      <c r="E3788" s="18">
        <v>0.0</v>
      </c>
      <c r="F3788" s="18">
        <v>0.0</v>
      </c>
    </row>
    <row r="3789">
      <c r="A3789" s="6" t="s">
        <v>10193</v>
      </c>
      <c r="B3789" s="6" t="s">
        <v>10194</v>
      </c>
      <c r="C3789" s="6" t="s">
        <v>8458</v>
      </c>
      <c r="D3789" s="18">
        <v>1.0</v>
      </c>
      <c r="E3789" s="18">
        <v>30.0</v>
      </c>
      <c r="F3789" s="18">
        <v>30.0</v>
      </c>
    </row>
    <row r="3790">
      <c r="A3790" s="6" t="s">
        <v>10197</v>
      </c>
      <c r="B3790" s="6" t="s">
        <v>10198</v>
      </c>
      <c r="C3790" s="6" t="s">
        <v>1517</v>
      </c>
      <c r="D3790" s="18">
        <v>1.0</v>
      </c>
      <c r="E3790" s="18">
        <v>1.75</v>
      </c>
      <c r="F3790" s="18">
        <v>1.75</v>
      </c>
    </row>
    <row r="3791">
      <c r="A3791" s="6" t="s">
        <v>10199</v>
      </c>
      <c r="B3791" s="18">
        <v>1.4564904E8</v>
      </c>
      <c r="C3791" s="6" t="s">
        <v>8458</v>
      </c>
      <c r="D3791" s="18">
        <v>1.0</v>
      </c>
      <c r="E3791" s="18">
        <v>2223.0</v>
      </c>
      <c r="F3791" s="18">
        <v>2223.0</v>
      </c>
    </row>
    <row r="3792">
      <c r="A3792" s="6" t="s">
        <v>10201</v>
      </c>
      <c r="B3792" s="6" t="s">
        <v>10203</v>
      </c>
      <c r="C3792" s="6" t="s">
        <v>1517</v>
      </c>
      <c r="D3792" s="18">
        <v>1.0</v>
      </c>
      <c r="E3792" s="18">
        <v>647.58</v>
      </c>
      <c r="F3792" s="18">
        <v>647.58</v>
      </c>
    </row>
    <row r="3793">
      <c r="A3793" s="6" t="s">
        <v>10204</v>
      </c>
      <c r="B3793" s="6" t="s">
        <v>10205</v>
      </c>
      <c r="C3793" s="6" t="s">
        <v>1517</v>
      </c>
      <c r="D3793" s="18">
        <v>1.0</v>
      </c>
      <c r="E3793" s="18">
        <v>5.18</v>
      </c>
      <c r="F3793" s="18">
        <v>5.18</v>
      </c>
    </row>
    <row r="3794">
      <c r="A3794" s="6" t="s">
        <v>10207</v>
      </c>
      <c r="B3794" s="18">
        <v>12123.0</v>
      </c>
      <c r="C3794" s="6" t="s">
        <v>8603</v>
      </c>
      <c r="D3794" s="18">
        <v>1.0</v>
      </c>
      <c r="E3794" s="18">
        <v>181.37</v>
      </c>
      <c r="F3794" s="18">
        <v>181.37</v>
      </c>
    </row>
    <row r="3795">
      <c r="A3795" s="6" t="s">
        <v>10209</v>
      </c>
      <c r="B3795" s="18">
        <v>12124.0</v>
      </c>
      <c r="C3795" s="6" t="s">
        <v>9257</v>
      </c>
      <c r="D3795" s="18">
        <v>1.0</v>
      </c>
      <c r="E3795" s="18">
        <v>1644.72</v>
      </c>
      <c r="F3795" s="18">
        <v>1644.72</v>
      </c>
    </row>
    <row r="3796">
      <c r="A3796" s="6" t="s">
        <v>10210</v>
      </c>
      <c r="B3796" s="18">
        <v>12125.0</v>
      </c>
      <c r="C3796" s="6" t="s">
        <v>3218</v>
      </c>
      <c r="D3796" s="18">
        <v>1.0</v>
      </c>
      <c r="E3796" s="18">
        <v>185.0</v>
      </c>
      <c r="F3796" s="18">
        <v>185.0</v>
      </c>
    </row>
    <row r="3797">
      <c r="A3797" s="6" t="s">
        <v>10211</v>
      </c>
      <c r="B3797" s="18">
        <v>12126.0</v>
      </c>
      <c r="C3797" s="6" t="s">
        <v>4831</v>
      </c>
      <c r="D3797" s="18">
        <v>1.0</v>
      </c>
      <c r="E3797" s="18">
        <v>396.0</v>
      </c>
      <c r="F3797" s="18">
        <v>396.0</v>
      </c>
    </row>
    <row r="3798">
      <c r="A3798" s="6" t="s">
        <v>10212</v>
      </c>
      <c r="B3798" s="6" t="s">
        <v>10213</v>
      </c>
      <c r="C3798" s="6" t="s">
        <v>10214</v>
      </c>
      <c r="D3798" s="18">
        <v>1.0</v>
      </c>
      <c r="E3798" s="18">
        <v>42.7</v>
      </c>
      <c r="F3798" s="18">
        <v>42.7</v>
      </c>
    </row>
    <row r="3799">
      <c r="A3799" s="6" t="s">
        <v>10216</v>
      </c>
      <c r="B3799" s="6" t="s">
        <v>10218</v>
      </c>
      <c r="C3799" s="6" t="s">
        <v>5636</v>
      </c>
      <c r="D3799" s="18">
        <v>1.0</v>
      </c>
      <c r="E3799" s="18">
        <v>240.5</v>
      </c>
      <c r="F3799" s="18">
        <v>240.5</v>
      </c>
    </row>
    <row r="3800">
      <c r="A3800" s="6" t="s">
        <v>10219</v>
      </c>
      <c r="B3800" s="6" t="s">
        <v>10220</v>
      </c>
      <c r="C3800" s="6" t="s">
        <v>10065</v>
      </c>
      <c r="D3800" s="18">
        <v>1.0</v>
      </c>
      <c r="E3800" s="18">
        <v>83.0</v>
      </c>
      <c r="F3800" s="18">
        <v>83.0</v>
      </c>
    </row>
    <row r="3801">
      <c r="A3801" s="6" t="s">
        <v>10221</v>
      </c>
      <c r="B3801" s="6" t="s">
        <v>10223</v>
      </c>
      <c r="C3801" s="6" t="s">
        <v>3833</v>
      </c>
      <c r="D3801" s="18">
        <v>1.0</v>
      </c>
      <c r="E3801" s="18">
        <v>2986.17</v>
      </c>
      <c r="F3801" s="18">
        <v>2986.17</v>
      </c>
    </row>
    <row r="3802">
      <c r="A3802" s="6" t="s">
        <v>10225</v>
      </c>
      <c r="B3802" s="6" t="s">
        <v>10226</v>
      </c>
      <c r="C3802" s="6" t="s">
        <v>9706</v>
      </c>
      <c r="D3802" s="18">
        <v>1.0</v>
      </c>
      <c r="E3802" s="18">
        <v>23.47</v>
      </c>
      <c r="F3802" s="18">
        <v>23.47</v>
      </c>
    </row>
    <row r="3803">
      <c r="A3803" s="10" t="s">
        <v>10227</v>
      </c>
      <c r="B3803" s="28">
        <v>12121.0</v>
      </c>
      <c r="C3803" s="10" t="s">
        <v>6956</v>
      </c>
      <c r="D3803" s="28">
        <v>1.0</v>
      </c>
      <c r="E3803" s="28">
        <v>1148.0</v>
      </c>
      <c r="F3803" s="28">
        <v>1148.0</v>
      </c>
    </row>
    <row r="3804">
      <c r="A3804" s="10" t="s">
        <v>10231</v>
      </c>
      <c r="B3804" s="28">
        <v>12122.0</v>
      </c>
      <c r="C3804" s="10" t="s">
        <v>7344</v>
      </c>
      <c r="D3804" s="28">
        <v>1.0</v>
      </c>
      <c r="E3804" s="28">
        <v>1033.0</v>
      </c>
      <c r="F3804" s="28">
        <v>1033.0</v>
      </c>
    </row>
    <row r="3805">
      <c r="A3805" s="10" t="s">
        <v>10232</v>
      </c>
      <c r="B3805" s="10" t="s">
        <v>10233</v>
      </c>
      <c r="C3805" s="10" t="s">
        <v>1168</v>
      </c>
      <c r="D3805" s="28">
        <v>1.0</v>
      </c>
      <c r="E3805" s="28">
        <v>500.0</v>
      </c>
      <c r="F3805" s="28">
        <v>500.0</v>
      </c>
    </row>
    <row r="3806">
      <c r="A3806" s="10" t="s">
        <v>10234</v>
      </c>
      <c r="B3806" s="10" t="s">
        <v>10236</v>
      </c>
      <c r="C3806" s="10" t="s">
        <v>1168</v>
      </c>
      <c r="D3806" s="28">
        <v>1.0</v>
      </c>
      <c r="E3806" s="28">
        <v>500.0</v>
      </c>
      <c r="F3806" s="28">
        <v>500.0</v>
      </c>
    </row>
    <row r="3807">
      <c r="A3807" s="10" t="s">
        <v>10237</v>
      </c>
      <c r="B3807" s="10" t="s">
        <v>10238</v>
      </c>
      <c r="C3807" s="10" t="s">
        <v>1168</v>
      </c>
      <c r="D3807" s="28">
        <v>1.0</v>
      </c>
      <c r="E3807" s="28">
        <v>500.0</v>
      </c>
      <c r="F3807" s="28">
        <v>500.0</v>
      </c>
    </row>
    <row r="3808">
      <c r="A3808" s="10" t="s">
        <v>10239</v>
      </c>
      <c r="B3808" s="10" t="s">
        <v>10240</v>
      </c>
      <c r="C3808" s="10" t="s">
        <v>1168</v>
      </c>
      <c r="D3808" s="28">
        <v>1.0</v>
      </c>
      <c r="E3808" s="28">
        <v>500.0</v>
      </c>
      <c r="F3808" s="28">
        <v>500.0</v>
      </c>
    </row>
    <row r="3809">
      <c r="A3809" s="10" t="s">
        <v>10243</v>
      </c>
      <c r="B3809" s="10" t="s">
        <v>10244</v>
      </c>
      <c r="C3809" s="10" t="s">
        <v>1168</v>
      </c>
      <c r="D3809" s="28">
        <v>1.0</v>
      </c>
      <c r="E3809" s="28">
        <v>500.0</v>
      </c>
      <c r="F3809" s="28">
        <v>500.0</v>
      </c>
    </row>
    <row r="3810">
      <c r="A3810" s="10" t="s">
        <v>10245</v>
      </c>
      <c r="B3810" s="28">
        <v>12127.0</v>
      </c>
      <c r="C3810" s="10" t="s">
        <v>1159</v>
      </c>
      <c r="D3810" s="28">
        <v>1.0</v>
      </c>
      <c r="E3810" s="28">
        <v>1632.87</v>
      </c>
      <c r="F3810" s="28">
        <v>1632.87</v>
      </c>
    </row>
    <row r="3811">
      <c r="A3811" s="10" t="s">
        <v>10246</v>
      </c>
      <c r="B3811" s="28">
        <v>12131.0</v>
      </c>
      <c r="C3811" s="10" t="s">
        <v>2448</v>
      </c>
      <c r="D3811" s="28">
        <v>1.0</v>
      </c>
      <c r="E3811" s="28">
        <v>1067.79</v>
      </c>
      <c r="F3811" s="28">
        <v>1067.79</v>
      </c>
    </row>
    <row r="3812">
      <c r="A3812" s="10" t="s">
        <v>10248</v>
      </c>
      <c r="B3812" s="28">
        <v>12132.0</v>
      </c>
      <c r="C3812" s="10" t="s">
        <v>2662</v>
      </c>
      <c r="D3812" s="28">
        <v>1.0</v>
      </c>
      <c r="E3812" s="28">
        <v>10440.59</v>
      </c>
      <c r="F3812" s="28">
        <v>10440.59</v>
      </c>
    </row>
    <row r="3813">
      <c r="A3813" s="10" t="s">
        <v>10251</v>
      </c>
      <c r="B3813" s="10" t="s">
        <v>10252</v>
      </c>
      <c r="C3813" s="10" t="s">
        <v>8651</v>
      </c>
      <c r="D3813" s="28">
        <v>1.0</v>
      </c>
      <c r="E3813" s="28">
        <v>850.41</v>
      </c>
      <c r="F3813" s="28">
        <v>850.41</v>
      </c>
    </row>
    <row r="3814">
      <c r="A3814" s="10" t="s">
        <v>10253</v>
      </c>
      <c r="B3814" s="10" t="s">
        <v>10254</v>
      </c>
      <c r="C3814" s="10" t="s">
        <v>8458</v>
      </c>
      <c r="D3814" s="28">
        <v>1.0</v>
      </c>
      <c r="E3814" s="28">
        <v>166.87</v>
      </c>
      <c r="F3814" s="28">
        <v>166.87</v>
      </c>
    </row>
    <row r="3815">
      <c r="A3815" s="26" t="s">
        <v>10257</v>
      </c>
      <c r="B3815" s="26" t="s">
        <v>10258</v>
      </c>
      <c r="C3815" s="26" t="s">
        <v>1536</v>
      </c>
      <c r="D3815" s="26">
        <v>1.0</v>
      </c>
      <c r="E3815" s="26">
        <v>15.3</v>
      </c>
      <c r="F3815" s="26">
        <v>15.3</v>
      </c>
    </row>
    <row r="3816">
      <c r="A3816" s="26" t="s">
        <v>10260</v>
      </c>
      <c r="B3816" s="26" t="s">
        <v>10258</v>
      </c>
      <c r="C3816" s="26" t="s">
        <v>10261</v>
      </c>
      <c r="D3816" s="26">
        <v>1.0</v>
      </c>
      <c r="E3816" s="26">
        <v>1.3</v>
      </c>
      <c r="F3816" s="26">
        <v>1.3</v>
      </c>
    </row>
    <row r="3817">
      <c r="A3817" s="26" t="s">
        <v>10262</v>
      </c>
      <c r="B3817" s="26" t="s">
        <v>10264</v>
      </c>
      <c r="C3817" s="26" t="s">
        <v>152</v>
      </c>
      <c r="D3817" s="26">
        <v>1.75</v>
      </c>
      <c r="E3817" s="26">
        <v>4.99</v>
      </c>
      <c r="F3817" s="26">
        <v>8.73</v>
      </c>
    </row>
    <row r="3818">
      <c r="A3818" s="26" t="s">
        <v>10266</v>
      </c>
      <c r="B3818" s="26" t="s">
        <v>10264</v>
      </c>
      <c r="C3818" s="26" t="s">
        <v>1079</v>
      </c>
      <c r="D3818" s="26">
        <v>24.0</v>
      </c>
      <c r="E3818" s="26">
        <v>2.25</v>
      </c>
      <c r="F3818" s="26">
        <v>54.0</v>
      </c>
    </row>
    <row r="3819">
      <c r="A3819" s="26" t="s">
        <v>10267</v>
      </c>
      <c r="B3819" s="26" t="s">
        <v>10264</v>
      </c>
      <c r="C3819" s="26" t="s">
        <v>10268</v>
      </c>
      <c r="D3819" s="26">
        <v>1.0</v>
      </c>
      <c r="E3819" s="26">
        <v>5.69</v>
      </c>
      <c r="F3819" s="26">
        <v>5.69</v>
      </c>
    </row>
    <row r="3820">
      <c r="A3820" s="26" t="s">
        <v>10269</v>
      </c>
      <c r="B3820" s="26" t="s">
        <v>10270</v>
      </c>
      <c r="C3820" s="26" t="s">
        <v>10271</v>
      </c>
      <c r="D3820" s="26">
        <v>1.0</v>
      </c>
      <c r="E3820" s="26">
        <v>2534.99</v>
      </c>
      <c r="F3820" s="26">
        <v>2534.99</v>
      </c>
    </row>
    <row r="3821">
      <c r="A3821" s="26" t="s">
        <v>10272</v>
      </c>
      <c r="B3821" s="26" t="s">
        <v>10274</v>
      </c>
      <c r="C3821" s="26" t="s">
        <v>1075</v>
      </c>
      <c r="D3821" s="26">
        <v>4.0</v>
      </c>
      <c r="E3821" s="26">
        <v>20.0</v>
      </c>
      <c r="F3821" s="26">
        <v>80.0</v>
      </c>
    </row>
    <row r="3822">
      <c r="A3822" s="26" t="s">
        <v>10276</v>
      </c>
      <c r="B3822" s="26" t="s">
        <v>10274</v>
      </c>
      <c r="C3822" s="26" t="s">
        <v>1079</v>
      </c>
      <c r="D3822" s="26">
        <v>18.0</v>
      </c>
      <c r="E3822" s="26">
        <v>18.0</v>
      </c>
      <c r="F3822" s="26">
        <v>324.0</v>
      </c>
    </row>
    <row r="3823">
      <c r="A3823" s="26" t="s">
        <v>10279</v>
      </c>
      <c r="B3823" s="26" t="s">
        <v>10274</v>
      </c>
      <c r="C3823" s="26" t="s">
        <v>1080</v>
      </c>
      <c r="D3823" s="26">
        <v>5.0</v>
      </c>
      <c r="E3823" s="26">
        <v>18.0</v>
      </c>
      <c r="F3823" s="26">
        <v>90.0</v>
      </c>
    </row>
    <row r="3824">
      <c r="A3824" s="26" t="s">
        <v>10282</v>
      </c>
      <c r="B3824" s="26" t="s">
        <v>10274</v>
      </c>
      <c r="C3824" s="26" t="s">
        <v>1081</v>
      </c>
      <c r="D3824" s="26">
        <v>3.0</v>
      </c>
      <c r="E3824" s="26">
        <v>48.0</v>
      </c>
      <c r="F3824" s="26">
        <v>144.0</v>
      </c>
    </row>
    <row r="3825">
      <c r="A3825" s="26" t="s">
        <v>10284</v>
      </c>
      <c r="B3825" s="26" t="s">
        <v>10285</v>
      </c>
      <c r="C3825" s="26" t="s">
        <v>10286</v>
      </c>
      <c r="D3825" s="26">
        <v>1.0</v>
      </c>
      <c r="E3825" s="26">
        <v>44.0</v>
      </c>
      <c r="F3825" s="26">
        <v>44.0</v>
      </c>
    </row>
    <row r="3826">
      <c r="A3826" s="26" t="s">
        <v>10289</v>
      </c>
      <c r="B3826" s="26" t="s">
        <v>10290</v>
      </c>
      <c r="C3826" s="26" t="s">
        <v>10286</v>
      </c>
      <c r="D3826" s="26">
        <v>1.0</v>
      </c>
      <c r="E3826" s="26">
        <v>44.0</v>
      </c>
      <c r="F3826" s="26">
        <v>44.0</v>
      </c>
    </row>
    <row r="3827">
      <c r="A3827" s="26" t="s">
        <v>10291</v>
      </c>
      <c r="B3827" s="26" t="s">
        <v>10292</v>
      </c>
      <c r="C3827" s="26" t="s">
        <v>10293</v>
      </c>
      <c r="D3827" s="26">
        <v>1.0</v>
      </c>
      <c r="E3827" s="26">
        <v>4.97</v>
      </c>
      <c r="F3827" s="26">
        <v>4.97</v>
      </c>
    </row>
    <row r="3828">
      <c r="A3828" s="26" t="s">
        <v>10295</v>
      </c>
      <c r="B3828" s="26" t="s">
        <v>10292</v>
      </c>
      <c r="C3828" s="26" t="s">
        <v>10297</v>
      </c>
      <c r="D3828" s="26">
        <v>1.0</v>
      </c>
      <c r="E3828" s="26">
        <v>7.69</v>
      </c>
      <c r="F3828" s="26">
        <v>7.69</v>
      </c>
    </row>
    <row r="3829">
      <c r="A3829" s="26" t="s">
        <v>10298</v>
      </c>
      <c r="B3829" s="26" t="s">
        <v>10292</v>
      </c>
      <c r="C3829" s="26" t="s">
        <v>10293</v>
      </c>
      <c r="D3829" s="26">
        <v>1.0</v>
      </c>
      <c r="E3829" s="26">
        <v>4.97</v>
      </c>
      <c r="F3829" s="26">
        <v>4.97</v>
      </c>
    </row>
    <row r="3830">
      <c r="A3830" s="26" t="s">
        <v>10299</v>
      </c>
      <c r="B3830" s="26" t="s">
        <v>10292</v>
      </c>
      <c r="C3830" s="26" t="s">
        <v>10297</v>
      </c>
      <c r="D3830" s="26">
        <v>1.0</v>
      </c>
      <c r="E3830" s="26">
        <v>7.69</v>
      </c>
      <c r="F3830" s="26">
        <v>7.69</v>
      </c>
    </row>
    <row r="3831">
      <c r="A3831" s="26" t="s">
        <v>10302</v>
      </c>
      <c r="B3831" s="26" t="s">
        <v>10292</v>
      </c>
      <c r="C3831" s="26" t="s">
        <v>10303</v>
      </c>
      <c r="D3831" s="26">
        <v>1.0</v>
      </c>
      <c r="E3831" s="26">
        <v>16.99</v>
      </c>
      <c r="F3831" s="26">
        <v>16.99</v>
      </c>
    </row>
    <row r="3832">
      <c r="A3832" s="29" t="s">
        <v>10304</v>
      </c>
      <c r="B3832" s="26" t="s">
        <v>10292</v>
      </c>
      <c r="C3832" s="26" t="s">
        <v>10305</v>
      </c>
      <c r="D3832" s="26">
        <v>1.0</v>
      </c>
      <c r="E3832" s="26">
        <v>13.99</v>
      </c>
      <c r="F3832" s="26">
        <v>13.99</v>
      </c>
    </row>
    <row r="3833">
      <c r="A3833" s="26" t="s">
        <v>10306</v>
      </c>
      <c r="B3833" s="26" t="s">
        <v>10307</v>
      </c>
      <c r="C3833" s="26" t="s">
        <v>5215</v>
      </c>
      <c r="D3833" s="26">
        <v>1.0</v>
      </c>
      <c r="E3833" s="26">
        <v>3.5</v>
      </c>
      <c r="F3833" s="26">
        <v>3.5</v>
      </c>
    </row>
    <row r="3834">
      <c r="A3834" s="26" t="s">
        <v>10308</v>
      </c>
      <c r="B3834" s="26" t="s">
        <v>10307</v>
      </c>
      <c r="C3834" s="26" t="s">
        <v>10309</v>
      </c>
      <c r="D3834" s="26">
        <v>4.0</v>
      </c>
      <c r="E3834" s="26">
        <v>5.99</v>
      </c>
      <c r="F3834" s="26">
        <v>23.96</v>
      </c>
    </row>
    <row r="3835">
      <c r="A3835" s="26" t="s">
        <v>10310</v>
      </c>
      <c r="B3835" s="26" t="s">
        <v>10307</v>
      </c>
      <c r="C3835" s="26" t="s">
        <v>10311</v>
      </c>
      <c r="D3835" s="26">
        <v>1.0</v>
      </c>
      <c r="E3835" s="26">
        <v>16.99</v>
      </c>
      <c r="F3835" s="26">
        <v>16.99</v>
      </c>
    </row>
    <row r="3836">
      <c r="A3836" s="29" t="s">
        <v>10312</v>
      </c>
      <c r="B3836" s="26" t="s">
        <v>10307</v>
      </c>
      <c r="C3836" s="26" t="s">
        <v>10309</v>
      </c>
      <c r="D3836" s="26">
        <v>1.0</v>
      </c>
      <c r="E3836" s="26">
        <v>24.5</v>
      </c>
      <c r="F3836" s="26">
        <v>24.5</v>
      </c>
    </row>
    <row r="3837">
      <c r="A3837" s="26" t="s">
        <v>10313</v>
      </c>
      <c r="B3837" s="26" t="s">
        <v>10314</v>
      </c>
      <c r="C3837" s="26" t="s">
        <v>794</v>
      </c>
      <c r="D3837" s="26">
        <v>2.0</v>
      </c>
      <c r="E3837" s="26">
        <v>25.35</v>
      </c>
      <c r="F3837" s="26">
        <v>50.7</v>
      </c>
    </row>
    <row r="3838">
      <c r="A3838" s="29" t="s">
        <v>10317</v>
      </c>
      <c r="B3838" s="26" t="s">
        <v>10314</v>
      </c>
      <c r="C3838" s="26" t="s">
        <v>249</v>
      </c>
      <c r="D3838" s="26">
        <v>1.0</v>
      </c>
      <c r="E3838" s="26">
        <v>10.69</v>
      </c>
      <c r="F3838" s="26">
        <v>10.69</v>
      </c>
    </row>
    <row r="3839">
      <c r="A3839" s="26" t="s">
        <v>10318</v>
      </c>
      <c r="B3839" s="26" t="s">
        <v>10319</v>
      </c>
      <c r="C3839" s="26" t="s">
        <v>691</v>
      </c>
      <c r="D3839" s="26">
        <v>1.0</v>
      </c>
      <c r="E3839" s="26">
        <v>45.0</v>
      </c>
      <c r="F3839" s="26">
        <v>45.0</v>
      </c>
    </row>
    <row r="3840">
      <c r="A3840" s="26" t="s">
        <v>10321</v>
      </c>
      <c r="B3840" s="26" t="s">
        <v>10319</v>
      </c>
      <c r="C3840" s="26" t="s">
        <v>1046</v>
      </c>
      <c r="D3840" s="26">
        <v>2.0</v>
      </c>
      <c r="E3840" s="26">
        <v>18.0</v>
      </c>
      <c r="F3840" s="26">
        <v>36.0</v>
      </c>
    </row>
    <row r="3841">
      <c r="A3841" s="26" t="s">
        <v>10323</v>
      </c>
      <c r="B3841" s="26" t="s">
        <v>10324</v>
      </c>
      <c r="C3841" s="26" t="s">
        <v>152</v>
      </c>
      <c r="D3841" s="26">
        <v>2.0</v>
      </c>
      <c r="E3841" s="26">
        <v>3.9</v>
      </c>
      <c r="F3841" s="26">
        <v>7.8</v>
      </c>
    </row>
    <row r="3842">
      <c r="A3842" s="26" t="s">
        <v>10325</v>
      </c>
      <c r="B3842" s="26" t="s">
        <v>10324</v>
      </c>
      <c r="C3842" s="26" t="s">
        <v>230</v>
      </c>
      <c r="D3842" s="26">
        <v>8.11</v>
      </c>
      <c r="E3842" s="26">
        <v>29.0</v>
      </c>
      <c r="F3842" s="26">
        <v>235.19</v>
      </c>
    </row>
    <row r="3843">
      <c r="A3843" s="26" t="s">
        <v>10328</v>
      </c>
      <c r="B3843" s="26" t="s">
        <v>10324</v>
      </c>
      <c r="C3843" s="26" t="s">
        <v>159</v>
      </c>
      <c r="D3843" s="26">
        <v>10.0</v>
      </c>
      <c r="E3843" s="26">
        <v>11.5</v>
      </c>
      <c r="F3843" s="26">
        <v>115.0</v>
      </c>
    </row>
    <row r="3844">
      <c r="A3844" s="26" t="s">
        <v>10329</v>
      </c>
      <c r="B3844" s="26" t="s">
        <v>10330</v>
      </c>
      <c r="C3844" s="26" t="s">
        <v>226</v>
      </c>
      <c r="D3844" s="26">
        <v>3.0</v>
      </c>
      <c r="E3844" s="26">
        <v>9.5</v>
      </c>
      <c r="F3844" s="26">
        <v>28.5</v>
      </c>
    </row>
    <row r="3845">
      <c r="A3845" s="26" t="s">
        <v>10331</v>
      </c>
      <c r="B3845" s="26" t="s">
        <v>10330</v>
      </c>
      <c r="C3845" s="26" t="s">
        <v>152</v>
      </c>
      <c r="D3845" s="26">
        <v>1.0</v>
      </c>
      <c r="E3845" s="26">
        <v>3.9</v>
      </c>
      <c r="F3845" s="26">
        <v>3.9</v>
      </c>
    </row>
    <row r="3846">
      <c r="A3846" s="26" t="s">
        <v>10332</v>
      </c>
      <c r="B3846" s="26" t="s">
        <v>10330</v>
      </c>
      <c r="C3846" s="26" t="s">
        <v>155</v>
      </c>
      <c r="D3846" s="26">
        <v>2.6</v>
      </c>
      <c r="E3846" s="26">
        <v>6.0</v>
      </c>
      <c r="F3846" s="26">
        <v>15.6</v>
      </c>
    </row>
    <row r="3847">
      <c r="A3847" s="26" t="s">
        <v>10333</v>
      </c>
      <c r="B3847" s="26" t="s">
        <v>10330</v>
      </c>
      <c r="C3847" s="26" t="s">
        <v>159</v>
      </c>
      <c r="D3847" s="26">
        <v>5.0</v>
      </c>
      <c r="E3847" s="26">
        <v>11.5</v>
      </c>
      <c r="F3847" s="26">
        <v>57.5</v>
      </c>
    </row>
    <row r="3848">
      <c r="A3848" s="26" t="s">
        <v>10335</v>
      </c>
      <c r="B3848" s="26" t="s">
        <v>10330</v>
      </c>
      <c r="C3848" s="26" t="s">
        <v>230</v>
      </c>
      <c r="D3848" s="26">
        <v>5.4</v>
      </c>
      <c r="E3848" s="26">
        <v>29.0</v>
      </c>
      <c r="F3848" s="26">
        <v>156.6</v>
      </c>
    </row>
    <row r="3849">
      <c r="A3849" s="26" t="s">
        <v>10337</v>
      </c>
      <c r="B3849" s="26" t="s">
        <v>10338</v>
      </c>
      <c r="C3849" s="26" t="s">
        <v>10297</v>
      </c>
      <c r="D3849" s="26">
        <v>1.0</v>
      </c>
      <c r="E3849" s="26">
        <v>7.69</v>
      </c>
      <c r="F3849" s="26">
        <v>7.69</v>
      </c>
    </row>
    <row r="3850">
      <c r="A3850" s="26" t="s">
        <v>10339</v>
      </c>
      <c r="B3850" s="26" t="s">
        <v>10340</v>
      </c>
      <c r="C3850" s="26" t="s">
        <v>10303</v>
      </c>
      <c r="D3850" s="26">
        <v>1.0</v>
      </c>
      <c r="E3850" s="26">
        <v>13.99</v>
      </c>
      <c r="F3850" s="26">
        <v>13.99</v>
      </c>
    </row>
    <row r="3851">
      <c r="A3851" s="26" t="s">
        <v>10342</v>
      </c>
      <c r="B3851" s="26" t="s">
        <v>10340</v>
      </c>
      <c r="C3851" s="26" t="s">
        <v>10305</v>
      </c>
      <c r="D3851" s="26">
        <v>1.0</v>
      </c>
      <c r="E3851" s="26">
        <v>12.99</v>
      </c>
      <c r="F3851" s="26">
        <v>12.99</v>
      </c>
    </row>
    <row r="3852">
      <c r="A3852" s="26" t="s">
        <v>10343</v>
      </c>
      <c r="B3852" s="26" t="s">
        <v>10340</v>
      </c>
      <c r="C3852" s="26" t="s">
        <v>10344</v>
      </c>
      <c r="D3852" s="26">
        <v>1.0</v>
      </c>
      <c r="E3852" s="26">
        <v>8.49</v>
      </c>
      <c r="F3852" s="26">
        <v>8.49</v>
      </c>
    </row>
    <row r="3853">
      <c r="A3853" s="26" t="s">
        <v>10346</v>
      </c>
      <c r="B3853" s="26" t="s">
        <v>10348</v>
      </c>
      <c r="C3853" s="26" t="s">
        <v>1653</v>
      </c>
      <c r="D3853" s="26">
        <v>1.0</v>
      </c>
      <c r="E3853" s="26">
        <v>1980.0</v>
      </c>
      <c r="F3853" s="26">
        <v>1980.0</v>
      </c>
    </row>
    <row r="3854">
      <c r="A3854" s="26" t="s">
        <v>10349</v>
      </c>
      <c r="B3854" s="26" t="s">
        <v>10348</v>
      </c>
      <c r="C3854" s="26" t="s">
        <v>10350</v>
      </c>
      <c r="D3854" s="26">
        <v>1.0</v>
      </c>
      <c r="E3854" s="26">
        <v>133.65</v>
      </c>
      <c r="F3854" s="26">
        <v>133.65</v>
      </c>
    </row>
    <row r="3855">
      <c r="A3855" s="26" t="s">
        <v>10351</v>
      </c>
      <c r="B3855" s="26" t="s">
        <v>10352</v>
      </c>
      <c r="C3855" s="26" t="s">
        <v>8458</v>
      </c>
      <c r="D3855" s="26">
        <v>1.0</v>
      </c>
      <c r="E3855" s="26">
        <v>12520.18</v>
      </c>
      <c r="F3855" s="26">
        <v>12520.18</v>
      </c>
    </row>
    <row r="3856">
      <c r="A3856" s="29" t="s">
        <v>10355</v>
      </c>
      <c r="B3856" s="26" t="s">
        <v>10352</v>
      </c>
      <c r="C3856" s="26" t="s">
        <v>10261</v>
      </c>
      <c r="D3856" s="26">
        <v>1.0</v>
      </c>
      <c r="E3856" s="26">
        <v>1064.22</v>
      </c>
      <c r="F3856" s="26">
        <v>1064.22</v>
      </c>
    </row>
    <row r="3857">
      <c r="A3857" s="26" t="s">
        <v>10356</v>
      </c>
      <c r="B3857" s="26" t="s">
        <v>10352</v>
      </c>
      <c r="C3857" s="26" t="s">
        <v>10350</v>
      </c>
      <c r="D3857" s="26">
        <v>1.0</v>
      </c>
      <c r="E3857" s="26">
        <v>211.16</v>
      </c>
      <c r="F3857" s="26">
        <v>211.16</v>
      </c>
    </row>
    <row r="3858">
      <c r="A3858" s="26" t="s">
        <v>10358</v>
      </c>
      <c r="B3858" s="26" t="s">
        <v>10359</v>
      </c>
      <c r="C3858" s="26" t="s">
        <v>1074</v>
      </c>
      <c r="D3858" s="26">
        <v>2.0</v>
      </c>
      <c r="E3858" s="26">
        <v>42.6</v>
      </c>
      <c r="F3858" s="26">
        <v>85.2</v>
      </c>
    </row>
    <row r="3859">
      <c r="A3859" s="26" t="s">
        <v>10360</v>
      </c>
      <c r="B3859" s="26" t="s">
        <v>10359</v>
      </c>
      <c r="C3859" s="26" t="s">
        <v>1075</v>
      </c>
      <c r="D3859" s="26">
        <v>3.0</v>
      </c>
      <c r="E3859" s="26">
        <v>21.3</v>
      </c>
      <c r="F3859" s="26">
        <v>63.9</v>
      </c>
    </row>
    <row r="3860">
      <c r="A3860" s="26" t="s">
        <v>10363</v>
      </c>
      <c r="B3860" s="26" t="s">
        <v>10359</v>
      </c>
      <c r="C3860" s="26" t="s">
        <v>1077</v>
      </c>
      <c r="D3860" s="26">
        <v>4.0</v>
      </c>
      <c r="E3860" s="26">
        <v>25.8</v>
      </c>
      <c r="F3860" s="26">
        <v>103.2</v>
      </c>
    </row>
    <row r="3861">
      <c r="A3861" s="26" t="s">
        <v>10364</v>
      </c>
      <c r="B3861" s="26" t="s">
        <v>10359</v>
      </c>
      <c r="C3861" s="26" t="s">
        <v>1079</v>
      </c>
      <c r="D3861" s="26">
        <v>20.0</v>
      </c>
      <c r="E3861" s="26">
        <v>18.0</v>
      </c>
      <c r="F3861" s="26">
        <v>360.0</v>
      </c>
    </row>
    <row r="3862">
      <c r="A3862" s="26" t="s">
        <v>10367</v>
      </c>
      <c r="B3862" s="26" t="s">
        <v>10359</v>
      </c>
      <c r="C3862" s="26" t="s">
        <v>1080</v>
      </c>
      <c r="D3862" s="26">
        <v>8.0</v>
      </c>
      <c r="E3862" s="26">
        <v>18.0</v>
      </c>
      <c r="F3862" s="26">
        <v>144.0</v>
      </c>
    </row>
    <row r="3863">
      <c r="A3863" s="26" t="s">
        <v>10368</v>
      </c>
      <c r="B3863" s="26" t="s">
        <v>10359</v>
      </c>
      <c r="C3863" s="26" t="s">
        <v>1081</v>
      </c>
      <c r="D3863" s="26">
        <v>2.0</v>
      </c>
      <c r="E3863" s="26">
        <v>50.0</v>
      </c>
      <c r="F3863" s="26">
        <v>100.0</v>
      </c>
    </row>
    <row r="3864">
      <c r="A3864" s="26" t="s">
        <v>10369</v>
      </c>
      <c r="B3864" s="26" t="s">
        <v>10370</v>
      </c>
      <c r="C3864" s="26" t="s">
        <v>226</v>
      </c>
      <c r="D3864" s="26">
        <v>5.0</v>
      </c>
      <c r="E3864" s="26">
        <v>9.0</v>
      </c>
      <c r="F3864" s="26">
        <v>45.0</v>
      </c>
    </row>
    <row r="3865">
      <c r="A3865" s="26" t="s">
        <v>10373</v>
      </c>
      <c r="B3865" s="26" t="s">
        <v>10370</v>
      </c>
      <c r="C3865" s="26" t="s">
        <v>152</v>
      </c>
      <c r="D3865" s="26">
        <v>3.415</v>
      </c>
      <c r="E3865" s="26">
        <v>3.9</v>
      </c>
      <c r="F3865" s="26">
        <v>13.32</v>
      </c>
    </row>
    <row r="3866">
      <c r="A3866" s="26" t="s">
        <v>10374</v>
      </c>
      <c r="B3866" s="26" t="s">
        <v>10370</v>
      </c>
      <c r="C3866" s="26" t="s">
        <v>230</v>
      </c>
      <c r="D3866" s="26">
        <v>5.11</v>
      </c>
      <c r="E3866" s="26">
        <v>29.0</v>
      </c>
      <c r="F3866" s="26">
        <v>148.19</v>
      </c>
    </row>
    <row r="3867">
      <c r="A3867" s="26" t="s">
        <v>10377</v>
      </c>
      <c r="B3867" s="26" t="s">
        <v>10370</v>
      </c>
      <c r="C3867" s="26" t="s">
        <v>155</v>
      </c>
      <c r="D3867" s="26">
        <v>4.055</v>
      </c>
      <c r="E3867" s="26">
        <v>6.3</v>
      </c>
      <c r="F3867" s="26">
        <v>25.55</v>
      </c>
    </row>
    <row r="3868">
      <c r="A3868" s="26" t="s">
        <v>10378</v>
      </c>
      <c r="B3868" s="26" t="s">
        <v>10379</v>
      </c>
      <c r="C3868" s="26" t="s">
        <v>1653</v>
      </c>
      <c r="D3868" s="26">
        <v>1.0</v>
      </c>
      <c r="E3868" s="26">
        <v>2084.2</v>
      </c>
      <c r="F3868" s="26">
        <v>2084.2</v>
      </c>
    </row>
    <row r="3869">
      <c r="A3869" s="26" t="s">
        <v>10382</v>
      </c>
      <c r="B3869" s="26" t="s">
        <v>10379</v>
      </c>
      <c r="C3869" s="26" t="s">
        <v>10350</v>
      </c>
      <c r="D3869" s="26">
        <v>1.0</v>
      </c>
      <c r="E3869" s="26">
        <v>133.03</v>
      </c>
      <c r="F3869" s="26">
        <v>133.03</v>
      </c>
    </row>
    <row r="3870">
      <c r="A3870" s="26" t="s">
        <v>10383</v>
      </c>
      <c r="B3870" s="26" t="s">
        <v>10384</v>
      </c>
      <c r="C3870" s="26" t="s">
        <v>691</v>
      </c>
      <c r="D3870" s="26">
        <v>2.0</v>
      </c>
      <c r="E3870" s="26">
        <v>45.0</v>
      </c>
      <c r="F3870" s="26">
        <v>90.0</v>
      </c>
    </row>
    <row r="3871">
      <c r="A3871" s="26" t="s">
        <v>10385</v>
      </c>
      <c r="B3871" s="26" t="s">
        <v>10384</v>
      </c>
      <c r="C3871" s="26" t="s">
        <v>1197</v>
      </c>
      <c r="D3871" s="26">
        <v>2.0</v>
      </c>
      <c r="E3871" s="26">
        <v>18.0</v>
      </c>
      <c r="F3871" s="26">
        <v>36.0</v>
      </c>
    </row>
    <row r="3872">
      <c r="A3872" s="26" t="s">
        <v>10388</v>
      </c>
      <c r="B3872" s="26" t="s">
        <v>10384</v>
      </c>
      <c r="C3872" s="26" t="s">
        <v>10389</v>
      </c>
      <c r="D3872" s="26">
        <v>1.0</v>
      </c>
      <c r="E3872" s="26">
        <v>25.0</v>
      </c>
      <c r="F3872" s="26">
        <v>25.0</v>
      </c>
    </row>
    <row r="3873">
      <c r="A3873" s="26" t="s">
        <v>10390</v>
      </c>
      <c r="B3873" s="26" t="s">
        <v>10391</v>
      </c>
      <c r="C3873" s="26" t="s">
        <v>1517</v>
      </c>
      <c r="D3873" s="26">
        <v>1.0</v>
      </c>
      <c r="E3873" s="26">
        <v>5792.18</v>
      </c>
      <c r="F3873" s="26">
        <v>5792.18</v>
      </c>
    </row>
    <row r="3874">
      <c r="A3874" s="26" t="s">
        <v>10393</v>
      </c>
      <c r="B3874" s="26" t="s">
        <v>10391</v>
      </c>
      <c r="C3874" s="26" t="s">
        <v>10261</v>
      </c>
      <c r="D3874" s="26">
        <v>1.0</v>
      </c>
      <c r="E3874" s="26">
        <v>492.34</v>
      </c>
      <c r="F3874" s="26">
        <v>492.34</v>
      </c>
    </row>
    <row r="3875">
      <c r="A3875" s="26" t="s">
        <v>10395</v>
      </c>
      <c r="B3875" s="26" t="s">
        <v>10396</v>
      </c>
      <c r="C3875" s="26" t="s">
        <v>3447</v>
      </c>
      <c r="D3875" s="26">
        <v>1.0</v>
      </c>
      <c r="E3875" s="26">
        <v>43.7</v>
      </c>
      <c r="F3875" s="26">
        <v>43.7</v>
      </c>
    </row>
    <row r="3876">
      <c r="A3876" s="26" t="s">
        <v>10397</v>
      </c>
      <c r="B3876" s="26" t="s">
        <v>10399</v>
      </c>
      <c r="C3876" s="26" t="s">
        <v>1517</v>
      </c>
      <c r="D3876" s="26">
        <v>1.0</v>
      </c>
      <c r="E3876" s="26">
        <v>26.52</v>
      </c>
      <c r="F3876" s="26">
        <v>26.52</v>
      </c>
    </row>
    <row r="3877">
      <c r="A3877" s="26" t="s">
        <v>10402</v>
      </c>
      <c r="B3877" s="26" t="s">
        <v>10399</v>
      </c>
      <c r="C3877" s="26" t="s">
        <v>10261</v>
      </c>
      <c r="D3877" s="26">
        <v>1.0</v>
      </c>
      <c r="E3877" s="26">
        <v>2.25</v>
      </c>
      <c r="F3877" s="26">
        <v>2.25</v>
      </c>
    </row>
    <row r="3878">
      <c r="A3878" s="26" t="s">
        <v>10403</v>
      </c>
      <c r="B3878" s="26" t="s">
        <v>10406</v>
      </c>
      <c r="C3878" s="26" t="s">
        <v>226</v>
      </c>
      <c r="D3878" s="26">
        <v>6.0</v>
      </c>
      <c r="E3878" s="26">
        <v>9.0</v>
      </c>
      <c r="F3878" s="26">
        <v>54.0</v>
      </c>
    </row>
    <row r="3879">
      <c r="A3879" s="26" t="s">
        <v>10407</v>
      </c>
      <c r="B3879" s="26" t="s">
        <v>10406</v>
      </c>
      <c r="C3879" s="26" t="s">
        <v>230</v>
      </c>
      <c r="D3879" s="26">
        <v>9.0</v>
      </c>
      <c r="E3879" s="26">
        <v>29.0</v>
      </c>
      <c r="F3879" s="26">
        <v>261.0</v>
      </c>
    </row>
    <row r="3880">
      <c r="A3880" s="26" t="s">
        <v>10410</v>
      </c>
      <c r="B3880" s="26" t="s">
        <v>10406</v>
      </c>
      <c r="C3880" s="26" t="s">
        <v>155</v>
      </c>
      <c r="D3880" s="26">
        <v>2.6</v>
      </c>
      <c r="E3880" s="26">
        <v>6.0</v>
      </c>
      <c r="F3880" s="26">
        <v>15.6</v>
      </c>
    </row>
    <row r="3881">
      <c r="A3881" s="26" t="s">
        <v>10411</v>
      </c>
      <c r="B3881" s="26" t="s">
        <v>10406</v>
      </c>
      <c r="C3881" s="26" t="s">
        <v>159</v>
      </c>
      <c r="D3881" s="26">
        <v>10.0</v>
      </c>
      <c r="E3881" s="26">
        <v>10.0</v>
      </c>
      <c r="F3881" s="26">
        <v>100.0</v>
      </c>
    </row>
    <row r="3882">
      <c r="A3882" s="26" t="s">
        <v>10413</v>
      </c>
      <c r="B3882" s="26" t="s">
        <v>10415</v>
      </c>
      <c r="C3882" s="26" t="s">
        <v>854</v>
      </c>
      <c r="D3882" s="26">
        <v>5.0</v>
      </c>
      <c r="E3882" s="26">
        <v>0.99</v>
      </c>
      <c r="F3882" s="26">
        <v>4.95</v>
      </c>
    </row>
    <row r="3883">
      <c r="A3883" s="26" t="s">
        <v>10417</v>
      </c>
      <c r="B3883" s="26" t="s">
        <v>10418</v>
      </c>
      <c r="C3883" s="26" t="s">
        <v>10419</v>
      </c>
      <c r="D3883" s="26">
        <v>2.0</v>
      </c>
      <c r="E3883" s="26">
        <v>74.9</v>
      </c>
      <c r="F3883" s="26">
        <v>149.8</v>
      </c>
    </row>
    <row r="3884">
      <c r="A3884" s="26" t="s">
        <v>10420</v>
      </c>
      <c r="B3884" s="26" t="s">
        <v>10422</v>
      </c>
      <c r="C3884" s="29" t="s">
        <v>10424</v>
      </c>
      <c r="D3884" s="26">
        <v>5.0</v>
      </c>
      <c r="E3884" s="26">
        <v>25.0</v>
      </c>
      <c r="F3884" s="26">
        <v>125.0</v>
      </c>
    </row>
    <row r="3885">
      <c r="A3885" s="26" t="s">
        <v>10426</v>
      </c>
      <c r="B3885" s="26" t="s">
        <v>10427</v>
      </c>
      <c r="C3885" s="26" t="s">
        <v>152</v>
      </c>
      <c r="D3885" s="26">
        <v>1.14</v>
      </c>
      <c r="E3885" s="26">
        <v>3.99</v>
      </c>
      <c r="F3885" s="26">
        <v>4.55</v>
      </c>
    </row>
    <row r="3886">
      <c r="A3886" s="26" t="s">
        <v>10428</v>
      </c>
      <c r="B3886" s="26" t="s">
        <v>10427</v>
      </c>
      <c r="C3886" s="26" t="s">
        <v>152</v>
      </c>
      <c r="D3886" s="26">
        <v>1.085</v>
      </c>
      <c r="E3886" s="26">
        <v>3.99</v>
      </c>
      <c r="F3886" s="26">
        <v>4.33</v>
      </c>
    </row>
    <row r="3887">
      <c r="A3887" s="26" t="s">
        <v>10430</v>
      </c>
      <c r="B3887" s="26" t="s">
        <v>10431</v>
      </c>
      <c r="C3887" s="29" t="s">
        <v>10424</v>
      </c>
      <c r="D3887" s="26">
        <v>5.0</v>
      </c>
      <c r="E3887" s="26">
        <v>25.0</v>
      </c>
      <c r="F3887" s="26">
        <v>125.0</v>
      </c>
    </row>
    <row r="3888">
      <c r="A3888" s="26" t="s">
        <v>10433</v>
      </c>
      <c r="B3888" s="26" t="s">
        <v>9625</v>
      </c>
      <c r="C3888" s="26" t="s">
        <v>3768</v>
      </c>
      <c r="D3888" s="26">
        <v>1.0</v>
      </c>
      <c r="E3888" s="26">
        <v>0.01</v>
      </c>
      <c r="F3888" s="26">
        <v>0.01</v>
      </c>
    </row>
    <row r="3889">
      <c r="A3889" s="26" t="s">
        <v>10434</v>
      </c>
      <c r="B3889" s="26" t="s">
        <v>10435</v>
      </c>
      <c r="C3889" s="26" t="s">
        <v>226</v>
      </c>
      <c r="D3889" s="26">
        <v>3.0</v>
      </c>
      <c r="E3889" s="26">
        <v>9.0</v>
      </c>
      <c r="F3889" s="26">
        <v>27.0</v>
      </c>
    </row>
    <row r="3890">
      <c r="A3890" s="26" t="s">
        <v>10438</v>
      </c>
      <c r="B3890" s="26" t="s">
        <v>10435</v>
      </c>
      <c r="C3890" s="26" t="s">
        <v>230</v>
      </c>
      <c r="D3890" s="26">
        <v>4.2</v>
      </c>
      <c r="E3890" s="26">
        <v>29.0</v>
      </c>
      <c r="F3890" s="26">
        <v>121.8</v>
      </c>
    </row>
    <row r="3891">
      <c r="A3891" s="26" t="s">
        <v>10439</v>
      </c>
      <c r="B3891" s="26" t="s">
        <v>10435</v>
      </c>
      <c r="C3891" s="26" t="s">
        <v>155</v>
      </c>
      <c r="D3891" s="26">
        <v>5.25</v>
      </c>
      <c r="E3891" s="26">
        <v>6.0</v>
      </c>
      <c r="F3891" s="26">
        <v>31.5</v>
      </c>
    </row>
    <row r="3892">
      <c r="A3892" s="26" t="s">
        <v>10440</v>
      </c>
      <c r="B3892" s="26" t="s">
        <v>10435</v>
      </c>
      <c r="C3892" s="26" t="s">
        <v>159</v>
      </c>
      <c r="D3892" s="26">
        <v>15.0</v>
      </c>
      <c r="E3892" s="26">
        <v>10.0</v>
      </c>
      <c r="F3892" s="26">
        <v>150.0</v>
      </c>
    </row>
    <row r="3893">
      <c r="A3893" s="26" t="s">
        <v>10443</v>
      </c>
      <c r="B3893" s="26" t="s">
        <v>10444</v>
      </c>
      <c r="C3893" s="26" t="s">
        <v>794</v>
      </c>
      <c r="D3893" s="26">
        <v>3.0</v>
      </c>
      <c r="E3893" s="26">
        <v>25.35</v>
      </c>
      <c r="F3893" s="26">
        <v>76.05</v>
      </c>
    </row>
    <row r="3894">
      <c r="A3894" s="26" t="s">
        <v>10445</v>
      </c>
      <c r="B3894" s="26" t="s">
        <v>10444</v>
      </c>
      <c r="C3894" s="26" t="s">
        <v>794</v>
      </c>
      <c r="D3894" s="26">
        <v>1.0</v>
      </c>
      <c r="E3894" s="26">
        <v>25.35</v>
      </c>
      <c r="F3894" s="26">
        <v>25.35</v>
      </c>
    </row>
    <row r="3895">
      <c r="A3895" s="26" t="s">
        <v>10448</v>
      </c>
      <c r="B3895" s="26" t="s">
        <v>10444</v>
      </c>
      <c r="C3895" s="26" t="s">
        <v>249</v>
      </c>
      <c r="D3895" s="26">
        <v>1.0</v>
      </c>
      <c r="E3895" s="26">
        <v>43.99</v>
      </c>
      <c r="F3895" s="26">
        <v>43.99</v>
      </c>
    </row>
    <row r="3896">
      <c r="A3896" s="26" t="s">
        <v>10450</v>
      </c>
      <c r="B3896" s="26" t="s">
        <v>10444</v>
      </c>
      <c r="C3896" s="26" t="s">
        <v>249</v>
      </c>
      <c r="D3896" s="26">
        <v>1.0</v>
      </c>
      <c r="E3896" s="26">
        <v>54.0</v>
      </c>
      <c r="F3896" s="26">
        <v>54.0</v>
      </c>
    </row>
    <row r="3897">
      <c r="A3897" s="26" t="s">
        <v>10451</v>
      </c>
      <c r="B3897" s="26" t="s">
        <v>10444</v>
      </c>
      <c r="C3897" s="26" t="s">
        <v>10452</v>
      </c>
      <c r="D3897" s="26">
        <v>1.0</v>
      </c>
      <c r="E3897" s="26">
        <v>5.89</v>
      </c>
      <c r="F3897" s="26">
        <v>5.89</v>
      </c>
    </row>
    <row r="3898">
      <c r="A3898" s="26" t="s">
        <v>10455</v>
      </c>
      <c r="B3898" s="26" t="s">
        <v>10456</v>
      </c>
      <c r="C3898" s="26" t="s">
        <v>10457</v>
      </c>
      <c r="D3898" s="26">
        <v>4.0</v>
      </c>
      <c r="E3898" s="26">
        <v>22.38</v>
      </c>
      <c r="F3898" s="26">
        <v>89.52</v>
      </c>
    </row>
    <row r="3899">
      <c r="A3899" s="26" t="s">
        <v>10458</v>
      </c>
      <c r="B3899" s="26" t="s">
        <v>10456</v>
      </c>
      <c r="C3899" s="29" t="s">
        <v>10459</v>
      </c>
      <c r="D3899" s="26">
        <v>3.0</v>
      </c>
      <c r="E3899" s="26">
        <v>20.28</v>
      </c>
      <c r="F3899" s="26">
        <v>60.84</v>
      </c>
    </row>
    <row r="3900">
      <c r="A3900" s="26" t="s">
        <v>10460</v>
      </c>
      <c r="B3900" s="26" t="s">
        <v>10456</v>
      </c>
      <c r="C3900" s="26" t="s">
        <v>1384</v>
      </c>
      <c r="D3900" s="26">
        <v>1.0</v>
      </c>
      <c r="E3900" s="26">
        <v>20.28</v>
      </c>
      <c r="F3900" s="26">
        <v>20.28</v>
      </c>
    </row>
    <row r="3901">
      <c r="A3901" s="26" t="s">
        <v>10464</v>
      </c>
      <c r="B3901" s="26" t="s">
        <v>10456</v>
      </c>
      <c r="C3901" s="26" t="s">
        <v>1074</v>
      </c>
      <c r="D3901" s="26">
        <v>2.0</v>
      </c>
      <c r="E3901" s="26">
        <v>45.47</v>
      </c>
      <c r="F3901" s="26">
        <v>90.94</v>
      </c>
    </row>
    <row r="3902">
      <c r="A3902" s="26" t="s">
        <v>10465</v>
      </c>
      <c r="B3902" s="26" t="s">
        <v>10456</v>
      </c>
      <c r="C3902" s="26" t="s">
        <v>1075</v>
      </c>
      <c r="D3902" s="26">
        <v>6.0</v>
      </c>
      <c r="E3902" s="26">
        <v>22.74</v>
      </c>
      <c r="F3902" s="26">
        <v>136.44</v>
      </c>
    </row>
    <row r="3903">
      <c r="A3903" s="26" t="s">
        <v>10466</v>
      </c>
      <c r="B3903" s="26" t="s">
        <v>10456</v>
      </c>
      <c r="C3903" s="26" t="s">
        <v>1079</v>
      </c>
      <c r="D3903" s="26">
        <v>20.0</v>
      </c>
      <c r="E3903" s="26">
        <v>18.0</v>
      </c>
      <c r="F3903" s="26">
        <v>360.0</v>
      </c>
    </row>
    <row r="3904">
      <c r="A3904" s="26" t="s">
        <v>10470</v>
      </c>
      <c r="B3904" s="26" t="s">
        <v>10456</v>
      </c>
      <c r="C3904" s="26" t="s">
        <v>1080</v>
      </c>
      <c r="D3904" s="26">
        <v>20.0</v>
      </c>
      <c r="E3904" s="26">
        <v>18.0</v>
      </c>
      <c r="F3904" s="26">
        <v>360.0</v>
      </c>
    </row>
    <row r="3905">
      <c r="A3905" s="26" t="s">
        <v>10471</v>
      </c>
      <c r="B3905" s="26" t="s">
        <v>10456</v>
      </c>
      <c r="C3905" s="26" t="s">
        <v>1081</v>
      </c>
      <c r="D3905" s="26">
        <v>12.0</v>
      </c>
      <c r="E3905" s="26">
        <v>50.0</v>
      </c>
      <c r="F3905" s="26">
        <v>600.0</v>
      </c>
    </row>
    <row r="3906">
      <c r="A3906" s="26" t="s">
        <v>10473</v>
      </c>
      <c r="B3906" s="26" t="s">
        <v>10474</v>
      </c>
      <c r="C3906" s="26" t="s">
        <v>1022</v>
      </c>
      <c r="D3906" s="26">
        <v>1.0</v>
      </c>
      <c r="E3906" s="26">
        <v>201.6</v>
      </c>
      <c r="F3906" s="26">
        <v>201.6</v>
      </c>
    </row>
    <row r="3907">
      <c r="A3907" s="26" t="s">
        <v>10477</v>
      </c>
      <c r="B3907" s="26" t="s">
        <v>10478</v>
      </c>
      <c r="C3907" s="26" t="s">
        <v>1904</v>
      </c>
      <c r="D3907" s="26">
        <v>8.0</v>
      </c>
      <c r="E3907" s="26">
        <v>1.0</v>
      </c>
      <c r="F3907" s="26">
        <v>8.0</v>
      </c>
    </row>
    <row r="3908">
      <c r="A3908" s="26" t="s">
        <v>10479</v>
      </c>
      <c r="B3908" s="26" t="s">
        <v>10480</v>
      </c>
      <c r="C3908" s="26" t="s">
        <v>1387</v>
      </c>
      <c r="D3908" s="26">
        <v>1.0</v>
      </c>
      <c r="E3908" s="26">
        <v>48.0</v>
      </c>
      <c r="F3908" s="26">
        <v>48.0</v>
      </c>
    </row>
    <row r="3909">
      <c r="A3909" s="26" t="s">
        <v>10483</v>
      </c>
      <c r="B3909" s="26" t="s">
        <v>10484</v>
      </c>
      <c r="C3909" s="26" t="s">
        <v>152</v>
      </c>
      <c r="D3909" s="26">
        <v>1.93</v>
      </c>
      <c r="E3909" s="26">
        <v>3.7</v>
      </c>
      <c r="F3909" s="26">
        <v>7.14</v>
      </c>
    </row>
    <row r="3910">
      <c r="A3910" s="26" t="s">
        <v>10485</v>
      </c>
      <c r="B3910" s="26" t="s">
        <v>10484</v>
      </c>
      <c r="C3910" s="26" t="s">
        <v>230</v>
      </c>
      <c r="D3910" s="26">
        <v>5.15</v>
      </c>
      <c r="E3910" s="26">
        <v>29.0</v>
      </c>
      <c r="F3910" s="26">
        <v>149.35</v>
      </c>
    </row>
    <row r="3911">
      <c r="A3911" s="26" t="s">
        <v>10486</v>
      </c>
      <c r="B3911" s="26" t="s">
        <v>10484</v>
      </c>
      <c r="C3911" s="26" t="s">
        <v>155</v>
      </c>
      <c r="D3911" s="26">
        <v>2.1</v>
      </c>
      <c r="E3911" s="26">
        <v>6.3</v>
      </c>
      <c r="F3911" s="26">
        <v>13.23</v>
      </c>
    </row>
    <row r="3912">
      <c r="A3912" s="26" t="s">
        <v>10488</v>
      </c>
      <c r="B3912" s="26" t="s">
        <v>10489</v>
      </c>
      <c r="C3912" s="26" t="s">
        <v>10293</v>
      </c>
      <c r="D3912" s="26">
        <v>2.0</v>
      </c>
      <c r="E3912" s="26">
        <v>8.99</v>
      </c>
      <c r="F3912" s="26">
        <v>17.98</v>
      </c>
    </row>
    <row r="3913">
      <c r="A3913" s="26" t="s">
        <v>10490</v>
      </c>
      <c r="B3913" s="26" t="s">
        <v>10489</v>
      </c>
      <c r="C3913" s="26" t="s">
        <v>10491</v>
      </c>
      <c r="D3913" s="26">
        <v>0.376</v>
      </c>
      <c r="E3913" s="26">
        <v>14.99</v>
      </c>
      <c r="F3913" s="26">
        <v>5.64</v>
      </c>
    </row>
    <row r="3914">
      <c r="A3914" s="26" t="s">
        <v>10492</v>
      </c>
      <c r="B3914" s="26" t="s">
        <v>10489</v>
      </c>
      <c r="C3914" s="26" t="s">
        <v>10491</v>
      </c>
      <c r="D3914" s="26">
        <v>0.374</v>
      </c>
      <c r="E3914" s="26">
        <v>14.99</v>
      </c>
      <c r="F3914" s="26">
        <v>5.61</v>
      </c>
    </row>
    <row r="3915">
      <c r="A3915" s="26" t="s">
        <v>10494</v>
      </c>
      <c r="B3915" s="26" t="s">
        <v>10489</v>
      </c>
      <c r="C3915" s="26" t="s">
        <v>10303</v>
      </c>
      <c r="D3915" s="26">
        <v>1.0</v>
      </c>
      <c r="E3915" s="26">
        <v>13.99</v>
      </c>
      <c r="F3915" s="26">
        <v>13.99</v>
      </c>
    </row>
    <row r="3916">
      <c r="A3916" s="26" t="s">
        <v>10495</v>
      </c>
      <c r="B3916" s="26" t="s">
        <v>10489</v>
      </c>
      <c r="C3916" s="26" t="s">
        <v>10496</v>
      </c>
      <c r="D3916" s="26">
        <v>1.0</v>
      </c>
      <c r="E3916" s="26">
        <v>6.99</v>
      </c>
      <c r="F3916" s="26">
        <v>6.99</v>
      </c>
    </row>
    <row r="3917">
      <c r="A3917" s="26" t="s">
        <v>10498</v>
      </c>
      <c r="B3917" s="26" t="s">
        <v>10489</v>
      </c>
      <c r="C3917" s="26" t="s">
        <v>10303</v>
      </c>
      <c r="D3917" s="26">
        <v>1.0</v>
      </c>
      <c r="E3917" s="26">
        <v>13.99</v>
      </c>
      <c r="F3917" s="26">
        <v>13.99</v>
      </c>
    </row>
    <row r="3918">
      <c r="A3918" s="26" t="s">
        <v>10499</v>
      </c>
      <c r="B3918" s="26" t="s">
        <v>10489</v>
      </c>
      <c r="C3918" s="26" t="s">
        <v>10500</v>
      </c>
      <c r="D3918" s="26">
        <v>1.0</v>
      </c>
      <c r="E3918" s="26">
        <v>4.99</v>
      </c>
      <c r="F3918" s="26">
        <v>4.99</v>
      </c>
    </row>
    <row r="3919">
      <c r="A3919" s="26" t="s">
        <v>10501</v>
      </c>
      <c r="B3919" s="26" t="s">
        <v>10489</v>
      </c>
      <c r="C3919" s="26" t="s">
        <v>10500</v>
      </c>
      <c r="D3919" s="26">
        <v>1.0</v>
      </c>
      <c r="E3919" s="26">
        <v>9.99</v>
      </c>
      <c r="F3919" s="26">
        <v>9.99</v>
      </c>
    </row>
    <row r="3920">
      <c r="A3920" s="26" t="s">
        <v>10502</v>
      </c>
      <c r="B3920" s="26" t="s">
        <v>10489</v>
      </c>
      <c r="C3920" s="26" t="s">
        <v>10503</v>
      </c>
      <c r="D3920" s="26">
        <v>1.0</v>
      </c>
      <c r="E3920" s="26">
        <v>11.99</v>
      </c>
      <c r="F3920" s="26">
        <v>11.99</v>
      </c>
    </row>
    <row r="3921">
      <c r="A3921" s="26" t="s">
        <v>10504</v>
      </c>
      <c r="B3921" s="26" t="s">
        <v>10505</v>
      </c>
      <c r="C3921" s="26" t="s">
        <v>226</v>
      </c>
      <c r="D3921" s="26">
        <v>5.0</v>
      </c>
      <c r="E3921" s="26">
        <v>9.0</v>
      </c>
      <c r="F3921" s="26">
        <v>45.0</v>
      </c>
    </row>
    <row r="3922">
      <c r="A3922" s="26" t="s">
        <v>10506</v>
      </c>
      <c r="B3922" s="26" t="s">
        <v>10505</v>
      </c>
      <c r="C3922" s="26" t="s">
        <v>152</v>
      </c>
      <c r="D3922" s="26">
        <v>2.145</v>
      </c>
      <c r="E3922" s="26">
        <v>3.7</v>
      </c>
      <c r="F3922" s="26">
        <v>7.94</v>
      </c>
    </row>
    <row r="3923">
      <c r="A3923" s="26" t="s">
        <v>10507</v>
      </c>
      <c r="B3923" s="26" t="s">
        <v>10505</v>
      </c>
      <c r="C3923" s="26" t="s">
        <v>230</v>
      </c>
      <c r="D3923" s="26">
        <v>5.11</v>
      </c>
      <c r="E3923" s="26">
        <v>29.0</v>
      </c>
      <c r="F3923" s="26">
        <v>148.19</v>
      </c>
    </row>
    <row r="3924">
      <c r="A3924" s="26" t="s">
        <v>10509</v>
      </c>
      <c r="B3924" s="26" t="s">
        <v>10505</v>
      </c>
      <c r="C3924" s="26" t="s">
        <v>155</v>
      </c>
      <c r="D3924" s="26">
        <v>3.87</v>
      </c>
      <c r="E3924" s="26">
        <v>6.0</v>
      </c>
      <c r="F3924" s="26">
        <v>23.22</v>
      </c>
    </row>
    <row r="3925">
      <c r="A3925" s="26" t="s">
        <v>10510</v>
      </c>
      <c r="B3925" s="26" t="s">
        <v>10505</v>
      </c>
      <c r="C3925" s="26" t="s">
        <v>159</v>
      </c>
      <c r="D3925" s="26">
        <v>10.0</v>
      </c>
      <c r="E3925" s="26">
        <v>12.0</v>
      </c>
      <c r="F3925" s="26">
        <v>120.0</v>
      </c>
    </row>
    <row r="3926">
      <c r="A3926" s="26" t="s">
        <v>10511</v>
      </c>
      <c r="B3926" s="26" t="s">
        <v>10513</v>
      </c>
      <c r="C3926" s="29" t="s">
        <v>10424</v>
      </c>
      <c r="D3926" s="26">
        <v>20.0</v>
      </c>
      <c r="E3926" s="26">
        <v>25.0</v>
      </c>
      <c r="F3926" s="26">
        <v>500.0</v>
      </c>
    </row>
    <row r="3927">
      <c r="A3927" s="26" t="s">
        <v>10514</v>
      </c>
      <c r="B3927" s="26" t="s">
        <v>10515</v>
      </c>
      <c r="C3927" s="26" t="s">
        <v>691</v>
      </c>
      <c r="D3927" s="26">
        <v>1.0</v>
      </c>
      <c r="E3927" s="26">
        <v>45.0</v>
      </c>
      <c r="F3927" s="26">
        <v>45.0</v>
      </c>
    </row>
    <row r="3928">
      <c r="A3928" s="26" t="s">
        <v>10516</v>
      </c>
      <c r="B3928" s="26" t="s">
        <v>10515</v>
      </c>
      <c r="C3928" s="26" t="s">
        <v>1197</v>
      </c>
      <c r="D3928" s="26">
        <v>4.0</v>
      </c>
      <c r="E3928" s="26">
        <v>18.0</v>
      </c>
      <c r="F3928" s="26">
        <v>72.0</v>
      </c>
    </row>
    <row r="3929">
      <c r="A3929" s="26" t="s">
        <v>10517</v>
      </c>
      <c r="B3929" s="26" t="s">
        <v>10518</v>
      </c>
      <c r="C3929" s="26" t="s">
        <v>1517</v>
      </c>
      <c r="D3929" s="26">
        <v>1.0</v>
      </c>
      <c r="E3929" s="26">
        <v>12784.21</v>
      </c>
      <c r="F3929" s="26">
        <v>12784.21</v>
      </c>
    </row>
    <row r="3930">
      <c r="A3930" s="26" t="s">
        <v>10519</v>
      </c>
      <c r="B3930" s="26" t="s">
        <v>10518</v>
      </c>
      <c r="C3930" s="26" t="s">
        <v>10261</v>
      </c>
      <c r="D3930" s="26">
        <v>1.0</v>
      </c>
      <c r="E3930" s="26">
        <v>1086.66</v>
      </c>
      <c r="F3930" s="26">
        <v>1086.66</v>
      </c>
    </row>
    <row r="3931">
      <c r="A3931" s="26" t="s">
        <v>10520</v>
      </c>
      <c r="B3931" s="26" t="s">
        <v>10521</v>
      </c>
      <c r="C3931" s="26" t="s">
        <v>10522</v>
      </c>
      <c r="D3931" s="26">
        <v>1.0</v>
      </c>
      <c r="E3931" s="26">
        <v>13.0</v>
      </c>
      <c r="F3931" s="26">
        <v>13.0</v>
      </c>
    </row>
    <row r="3932">
      <c r="A3932" s="26" t="s">
        <v>10523</v>
      </c>
      <c r="B3932" s="26" t="s">
        <v>10524</v>
      </c>
      <c r="C3932" s="26" t="s">
        <v>247</v>
      </c>
      <c r="D3932" s="26">
        <v>4.0</v>
      </c>
      <c r="E3932" s="26">
        <v>1.09</v>
      </c>
      <c r="F3932" s="26">
        <v>4.36</v>
      </c>
    </row>
    <row r="3933">
      <c r="A3933" s="26" t="s">
        <v>10525</v>
      </c>
      <c r="B3933" s="26" t="s">
        <v>10526</v>
      </c>
      <c r="C3933" s="26" t="s">
        <v>226</v>
      </c>
      <c r="D3933" s="26">
        <v>5.0</v>
      </c>
      <c r="E3933" s="26">
        <v>8.5</v>
      </c>
      <c r="F3933" s="26">
        <v>42.5</v>
      </c>
    </row>
    <row r="3934">
      <c r="A3934" s="26" t="s">
        <v>10527</v>
      </c>
      <c r="B3934" s="26" t="s">
        <v>10526</v>
      </c>
      <c r="C3934" s="26" t="s">
        <v>152</v>
      </c>
      <c r="D3934" s="26">
        <v>1.2</v>
      </c>
      <c r="E3934" s="26">
        <v>3.9</v>
      </c>
      <c r="F3934" s="26">
        <v>4.68</v>
      </c>
    </row>
    <row r="3935">
      <c r="A3935" s="29" t="s">
        <v>10528</v>
      </c>
      <c r="B3935" s="26" t="s">
        <v>10526</v>
      </c>
      <c r="C3935" s="26" t="s">
        <v>230</v>
      </c>
      <c r="D3935" s="26">
        <v>5.025</v>
      </c>
      <c r="E3935" s="26">
        <v>29.0</v>
      </c>
      <c r="F3935" s="26">
        <v>145.73</v>
      </c>
    </row>
    <row r="3936">
      <c r="A3936" s="26" t="s">
        <v>10529</v>
      </c>
      <c r="B3936" s="26" t="s">
        <v>10526</v>
      </c>
      <c r="C3936" s="26" t="s">
        <v>155</v>
      </c>
      <c r="D3936" s="26">
        <v>2.525</v>
      </c>
      <c r="E3936" s="26">
        <v>6.0</v>
      </c>
      <c r="F3936" s="26">
        <v>15.15</v>
      </c>
    </row>
    <row r="3937">
      <c r="A3937" s="26" t="s">
        <v>10530</v>
      </c>
      <c r="B3937" s="26" t="s">
        <v>10526</v>
      </c>
      <c r="C3937" s="26" t="s">
        <v>159</v>
      </c>
      <c r="D3937" s="26">
        <v>5.0</v>
      </c>
      <c r="E3937" s="26">
        <v>11.5</v>
      </c>
      <c r="F3937" s="26">
        <v>57.5</v>
      </c>
    </row>
    <row r="3938">
      <c r="A3938" s="26" t="s">
        <v>10531</v>
      </c>
      <c r="B3938" s="26" t="s">
        <v>10532</v>
      </c>
      <c r="C3938" s="26" t="s">
        <v>1653</v>
      </c>
      <c r="D3938" s="26">
        <v>1.0</v>
      </c>
      <c r="E3938" s="26">
        <v>84.0</v>
      </c>
      <c r="F3938" s="26">
        <v>84.0</v>
      </c>
    </row>
    <row r="3939">
      <c r="A3939" s="26" t="s">
        <v>10533</v>
      </c>
      <c r="B3939" s="26" t="s">
        <v>10534</v>
      </c>
      <c r="C3939" s="29" t="s">
        <v>10459</v>
      </c>
      <c r="D3939" s="26">
        <v>1.0</v>
      </c>
      <c r="E3939" s="26">
        <v>20.28</v>
      </c>
      <c r="F3939" s="26">
        <v>20.28</v>
      </c>
    </row>
    <row r="3940">
      <c r="A3940" s="26" t="s">
        <v>10535</v>
      </c>
      <c r="B3940" s="26" t="s">
        <v>10534</v>
      </c>
      <c r="C3940" s="26" t="s">
        <v>1404</v>
      </c>
      <c r="D3940" s="26">
        <v>1.0</v>
      </c>
      <c r="E3940" s="26">
        <v>20.28</v>
      </c>
      <c r="F3940" s="26">
        <v>20.28</v>
      </c>
    </row>
    <row r="3941">
      <c r="A3941" s="26" t="s">
        <v>10536</v>
      </c>
      <c r="B3941" s="26" t="s">
        <v>10534</v>
      </c>
      <c r="C3941" s="26" t="s">
        <v>1074</v>
      </c>
      <c r="D3941" s="26">
        <v>3.0</v>
      </c>
      <c r="E3941" s="26">
        <v>42.0</v>
      </c>
      <c r="F3941" s="26">
        <v>126.0</v>
      </c>
    </row>
    <row r="3942">
      <c r="A3942" s="26" t="s">
        <v>10537</v>
      </c>
      <c r="B3942" s="26" t="s">
        <v>10534</v>
      </c>
      <c r="C3942" s="26" t="s">
        <v>1075</v>
      </c>
      <c r="D3942" s="26">
        <v>7.0</v>
      </c>
      <c r="E3942" s="26">
        <v>21.0</v>
      </c>
      <c r="F3942" s="26">
        <v>147.0</v>
      </c>
    </row>
    <row r="3943">
      <c r="A3943" s="26" t="s">
        <v>10538</v>
      </c>
      <c r="B3943" s="26" t="s">
        <v>10534</v>
      </c>
      <c r="C3943" s="26" t="s">
        <v>1077</v>
      </c>
      <c r="D3943" s="26">
        <v>3.0</v>
      </c>
      <c r="E3943" s="26">
        <v>25.8</v>
      </c>
      <c r="F3943" s="26">
        <v>77.4</v>
      </c>
    </row>
    <row r="3944">
      <c r="A3944" s="26" t="s">
        <v>10539</v>
      </c>
      <c r="B3944" s="26" t="s">
        <v>10534</v>
      </c>
      <c r="C3944" s="26" t="s">
        <v>1079</v>
      </c>
      <c r="D3944" s="26">
        <v>13.0</v>
      </c>
      <c r="E3944" s="26">
        <v>18.0</v>
      </c>
      <c r="F3944" s="26">
        <v>234.0</v>
      </c>
    </row>
    <row r="3945">
      <c r="A3945" s="26" t="s">
        <v>10540</v>
      </c>
      <c r="B3945" s="26" t="s">
        <v>10534</v>
      </c>
      <c r="C3945" s="26" t="s">
        <v>1081</v>
      </c>
      <c r="D3945" s="26">
        <v>1.0</v>
      </c>
      <c r="E3945" s="26">
        <v>50.0</v>
      </c>
      <c r="F3945" s="26">
        <v>50.0</v>
      </c>
    </row>
    <row r="3946">
      <c r="A3946" s="26" t="s">
        <v>10541</v>
      </c>
      <c r="B3946" s="26" t="s">
        <v>10534</v>
      </c>
      <c r="C3946" s="26" t="s">
        <v>1081</v>
      </c>
      <c r="D3946" s="26">
        <v>5.0</v>
      </c>
      <c r="E3946" s="26">
        <v>50.0</v>
      </c>
      <c r="F3946" s="26">
        <v>250.0</v>
      </c>
    </row>
    <row r="3947">
      <c r="A3947" s="26" t="s">
        <v>10542</v>
      </c>
      <c r="B3947" s="26" t="s">
        <v>10543</v>
      </c>
      <c r="C3947" s="26" t="s">
        <v>10293</v>
      </c>
      <c r="D3947" s="26">
        <v>2.0</v>
      </c>
      <c r="E3947" s="26">
        <v>7.99</v>
      </c>
      <c r="F3947" s="26">
        <v>15.98</v>
      </c>
    </row>
    <row r="3948">
      <c r="A3948" s="26" t="s">
        <v>10544</v>
      </c>
      <c r="B3948" s="26" t="s">
        <v>10543</v>
      </c>
      <c r="C3948" s="26" t="s">
        <v>10491</v>
      </c>
      <c r="D3948" s="26">
        <v>0.346</v>
      </c>
      <c r="E3948" s="26">
        <v>14.99</v>
      </c>
      <c r="F3948" s="26">
        <v>5.19</v>
      </c>
    </row>
    <row r="3949">
      <c r="A3949" s="26" t="s">
        <v>10545</v>
      </c>
      <c r="B3949" s="26" t="s">
        <v>10543</v>
      </c>
      <c r="C3949" s="26" t="s">
        <v>10303</v>
      </c>
      <c r="D3949" s="26">
        <v>2.0</v>
      </c>
      <c r="E3949" s="26">
        <v>9.98</v>
      </c>
      <c r="F3949" s="26">
        <v>19.96</v>
      </c>
    </row>
    <row r="3950">
      <c r="A3950" s="26" t="s">
        <v>10546</v>
      </c>
      <c r="B3950" s="26" t="s">
        <v>10543</v>
      </c>
      <c r="C3950" s="26" t="s">
        <v>10303</v>
      </c>
      <c r="D3950" s="26">
        <v>1.0</v>
      </c>
      <c r="E3950" s="26">
        <v>8.99</v>
      </c>
      <c r="F3950" s="26">
        <v>8.99</v>
      </c>
    </row>
    <row r="3951">
      <c r="A3951" s="26" t="s">
        <v>10547</v>
      </c>
      <c r="B3951" s="26" t="s">
        <v>10543</v>
      </c>
      <c r="C3951" s="26" t="s">
        <v>10500</v>
      </c>
      <c r="D3951" s="26">
        <v>1.0</v>
      </c>
      <c r="E3951" s="26">
        <v>4.99</v>
      </c>
      <c r="F3951" s="26">
        <v>4.99</v>
      </c>
    </row>
    <row r="3952">
      <c r="A3952" s="26" t="s">
        <v>10548</v>
      </c>
      <c r="B3952" s="26" t="s">
        <v>10543</v>
      </c>
      <c r="C3952" s="26" t="s">
        <v>10305</v>
      </c>
      <c r="D3952" s="26">
        <v>2.0</v>
      </c>
      <c r="E3952" s="26">
        <v>6.99</v>
      </c>
      <c r="F3952" s="26">
        <v>13.98</v>
      </c>
    </row>
    <row r="3953">
      <c r="A3953" s="26" t="s">
        <v>10549</v>
      </c>
      <c r="B3953" s="26" t="s">
        <v>10543</v>
      </c>
      <c r="C3953" s="26" t="s">
        <v>10496</v>
      </c>
      <c r="D3953" s="26">
        <v>1.0</v>
      </c>
      <c r="E3953" s="26">
        <v>6.99</v>
      </c>
      <c r="F3953" s="26">
        <v>6.99</v>
      </c>
    </row>
    <row r="3954">
      <c r="A3954" s="26" t="s">
        <v>10551</v>
      </c>
      <c r="B3954" s="26" t="s">
        <v>10543</v>
      </c>
      <c r="C3954" s="26" t="s">
        <v>10491</v>
      </c>
      <c r="D3954" s="26">
        <v>0.364</v>
      </c>
      <c r="E3954" s="26">
        <v>14.99</v>
      </c>
      <c r="F3954" s="26">
        <v>5.46</v>
      </c>
    </row>
    <row r="3955">
      <c r="A3955" s="26" t="s">
        <v>10552</v>
      </c>
      <c r="B3955" s="26" t="s">
        <v>10553</v>
      </c>
      <c r="C3955" s="26" t="s">
        <v>226</v>
      </c>
      <c r="D3955" s="26">
        <v>4.0</v>
      </c>
      <c r="E3955" s="26">
        <v>9.0</v>
      </c>
      <c r="F3955" s="26">
        <v>36.0</v>
      </c>
    </row>
    <row r="3956">
      <c r="A3956" s="26" t="s">
        <v>10554</v>
      </c>
      <c r="B3956" s="26" t="s">
        <v>10553</v>
      </c>
      <c r="C3956" s="26" t="s">
        <v>152</v>
      </c>
      <c r="D3956" s="26">
        <v>2.6</v>
      </c>
      <c r="E3956" s="26">
        <v>3.7</v>
      </c>
      <c r="F3956" s="26">
        <v>9.62</v>
      </c>
    </row>
    <row r="3957">
      <c r="A3957" s="26" t="s">
        <v>10555</v>
      </c>
      <c r="B3957" s="26" t="s">
        <v>10553</v>
      </c>
      <c r="C3957" s="26" t="s">
        <v>230</v>
      </c>
      <c r="D3957" s="26">
        <v>4.1</v>
      </c>
      <c r="E3957" s="26">
        <v>29.0</v>
      </c>
      <c r="F3957" s="26">
        <v>118.9</v>
      </c>
    </row>
    <row r="3958">
      <c r="A3958" s="26" t="s">
        <v>10556</v>
      </c>
      <c r="B3958" s="26" t="s">
        <v>10553</v>
      </c>
      <c r="C3958" s="26" t="s">
        <v>159</v>
      </c>
      <c r="D3958" s="26">
        <v>10.0</v>
      </c>
      <c r="E3958" s="26">
        <v>11.5</v>
      </c>
      <c r="F3958" s="26">
        <v>115.0</v>
      </c>
    </row>
    <row r="3959">
      <c r="A3959" s="26" t="s">
        <v>10558</v>
      </c>
      <c r="B3959" s="26" t="s">
        <v>10559</v>
      </c>
      <c r="C3959" s="26" t="s">
        <v>1668</v>
      </c>
      <c r="D3959" s="26">
        <v>1.0</v>
      </c>
      <c r="E3959" s="26">
        <v>124.16</v>
      </c>
      <c r="F3959" s="26">
        <v>124.16</v>
      </c>
    </row>
    <row r="3960">
      <c r="A3960" s="26" t="s">
        <v>10560</v>
      </c>
      <c r="B3960" s="26" t="s">
        <v>10561</v>
      </c>
      <c r="C3960" s="26" t="s">
        <v>10562</v>
      </c>
      <c r="D3960" s="26">
        <v>2.0</v>
      </c>
      <c r="E3960" s="26">
        <v>2.0</v>
      </c>
      <c r="F3960" s="26">
        <v>4.0</v>
      </c>
    </row>
    <row r="3961">
      <c r="A3961" s="26" t="s">
        <v>10563</v>
      </c>
      <c r="B3961" s="26" t="s">
        <v>10561</v>
      </c>
      <c r="C3961" s="26" t="s">
        <v>10564</v>
      </c>
      <c r="D3961" s="26">
        <v>1.0</v>
      </c>
      <c r="E3961" s="26">
        <v>7.0</v>
      </c>
      <c r="F3961" s="26">
        <v>7.0</v>
      </c>
    </row>
    <row r="3962">
      <c r="A3962" s="26" t="s">
        <v>10565</v>
      </c>
      <c r="B3962" s="26" t="s">
        <v>10561</v>
      </c>
      <c r="C3962" s="26" t="s">
        <v>8985</v>
      </c>
      <c r="D3962" s="26">
        <v>1.0</v>
      </c>
      <c r="E3962" s="26">
        <v>15.0</v>
      </c>
      <c r="F3962" s="26">
        <v>15.0</v>
      </c>
    </row>
    <row r="3963">
      <c r="A3963" s="26" t="s">
        <v>10566</v>
      </c>
      <c r="B3963" s="26" t="s">
        <v>10561</v>
      </c>
      <c r="C3963" s="26" t="s">
        <v>10567</v>
      </c>
      <c r="D3963" s="26">
        <v>1.0</v>
      </c>
      <c r="E3963" s="26">
        <v>8.0</v>
      </c>
      <c r="F3963" s="26">
        <v>8.0</v>
      </c>
    </row>
    <row r="3964">
      <c r="A3964" s="26" t="s">
        <v>10568</v>
      </c>
      <c r="B3964" s="26" t="s">
        <v>10569</v>
      </c>
      <c r="C3964" s="26" t="s">
        <v>10570</v>
      </c>
      <c r="D3964" s="26">
        <v>0.0</v>
      </c>
      <c r="E3964" s="26">
        <v>0.0</v>
      </c>
      <c r="F3964" s="26">
        <v>0.0</v>
      </c>
    </row>
    <row r="3965">
      <c r="A3965" s="26" t="s">
        <v>10571</v>
      </c>
      <c r="B3965" s="26" t="s">
        <v>10569</v>
      </c>
      <c r="C3965" s="26" t="s">
        <v>10309</v>
      </c>
      <c r="D3965" s="26">
        <v>0.0</v>
      </c>
      <c r="E3965" s="26">
        <v>0.0</v>
      </c>
      <c r="F3965" s="26">
        <v>0.0</v>
      </c>
    </row>
    <row r="3966">
      <c r="A3966" s="26" t="s">
        <v>10572</v>
      </c>
      <c r="B3966" s="26" t="s">
        <v>10569</v>
      </c>
      <c r="C3966" s="26" t="s">
        <v>10309</v>
      </c>
      <c r="D3966" s="26">
        <v>0.0</v>
      </c>
      <c r="E3966" s="26">
        <v>0.0</v>
      </c>
      <c r="F3966" s="26">
        <v>0.0</v>
      </c>
    </row>
    <row r="3967">
      <c r="A3967" s="26" t="s">
        <v>10573</v>
      </c>
      <c r="B3967" s="26" t="s">
        <v>10569</v>
      </c>
      <c r="C3967" s="26" t="s">
        <v>661</v>
      </c>
      <c r="D3967" s="26">
        <v>0.0</v>
      </c>
      <c r="E3967" s="26">
        <v>0.0</v>
      </c>
      <c r="F3967" s="26">
        <v>0.0</v>
      </c>
    </row>
    <row r="3968">
      <c r="A3968" s="26" t="s">
        <v>10574</v>
      </c>
      <c r="B3968" s="26" t="s">
        <v>10575</v>
      </c>
      <c r="C3968" s="26" t="s">
        <v>10570</v>
      </c>
      <c r="D3968" s="26">
        <v>1.0</v>
      </c>
      <c r="E3968" s="26">
        <v>13.99</v>
      </c>
      <c r="F3968" s="26">
        <v>13.99</v>
      </c>
    </row>
    <row r="3969">
      <c r="A3969" s="26" t="s">
        <v>10576</v>
      </c>
      <c r="B3969" s="26" t="s">
        <v>10575</v>
      </c>
      <c r="C3969" s="26" t="s">
        <v>10309</v>
      </c>
      <c r="D3969" s="26">
        <v>1.0</v>
      </c>
      <c r="E3969" s="26">
        <v>5.99</v>
      </c>
      <c r="F3969" s="26">
        <v>5.99</v>
      </c>
    </row>
    <row r="3970">
      <c r="A3970" s="26" t="s">
        <v>10577</v>
      </c>
      <c r="B3970" s="26" t="s">
        <v>10575</v>
      </c>
      <c r="C3970" s="26" t="s">
        <v>10309</v>
      </c>
      <c r="D3970" s="26">
        <v>2.0</v>
      </c>
      <c r="E3970" s="26">
        <v>24.5</v>
      </c>
      <c r="F3970" s="26">
        <v>49.0</v>
      </c>
    </row>
    <row r="3971">
      <c r="A3971" s="26" t="s">
        <v>10578</v>
      </c>
      <c r="B3971" s="26" t="s">
        <v>10575</v>
      </c>
      <c r="C3971" s="26" t="s">
        <v>661</v>
      </c>
      <c r="D3971" s="26">
        <v>1.0</v>
      </c>
      <c r="E3971" s="26">
        <v>86.99</v>
      </c>
      <c r="F3971" s="26">
        <v>86.99</v>
      </c>
    </row>
    <row r="3972">
      <c r="A3972" s="26" t="s">
        <v>10579</v>
      </c>
      <c r="B3972" s="26" t="s">
        <v>10580</v>
      </c>
      <c r="C3972" s="26" t="s">
        <v>10581</v>
      </c>
      <c r="D3972" s="26">
        <v>1.0</v>
      </c>
      <c r="E3972" s="26">
        <v>16.9</v>
      </c>
      <c r="F3972" s="26">
        <v>16.9</v>
      </c>
    </row>
    <row r="3973">
      <c r="A3973" s="26" t="s">
        <v>10582</v>
      </c>
      <c r="B3973" s="26" t="s">
        <v>10583</v>
      </c>
      <c r="C3973" s="29" t="s">
        <v>10424</v>
      </c>
      <c r="D3973" s="26">
        <v>10.0</v>
      </c>
      <c r="E3973" s="26">
        <v>25.0</v>
      </c>
      <c r="F3973" s="26">
        <v>250.0</v>
      </c>
    </row>
    <row r="3974">
      <c r="A3974" s="26" t="s">
        <v>10584</v>
      </c>
      <c r="B3974" s="26" t="s">
        <v>10585</v>
      </c>
      <c r="C3974" s="26" t="s">
        <v>249</v>
      </c>
      <c r="D3974" s="26">
        <v>1.0</v>
      </c>
      <c r="E3974" s="26">
        <v>55.5</v>
      </c>
      <c r="F3974" s="26">
        <v>55.5</v>
      </c>
    </row>
    <row r="3975">
      <c r="A3975" s="26" t="s">
        <v>10586</v>
      </c>
      <c r="B3975" s="26" t="s">
        <v>10585</v>
      </c>
      <c r="C3975" s="26" t="s">
        <v>794</v>
      </c>
      <c r="D3975" s="26">
        <v>3.0</v>
      </c>
      <c r="E3975" s="26">
        <v>25.35</v>
      </c>
      <c r="F3975" s="26">
        <v>76.05</v>
      </c>
    </row>
    <row r="3976">
      <c r="A3976" s="26" t="s">
        <v>10587</v>
      </c>
      <c r="B3976" s="26" t="s">
        <v>10588</v>
      </c>
      <c r="C3976" s="26" t="s">
        <v>8458</v>
      </c>
      <c r="D3976" s="26">
        <v>1.0</v>
      </c>
      <c r="E3976" s="26">
        <v>5678.0</v>
      </c>
      <c r="F3976" s="26">
        <v>5678.0</v>
      </c>
    </row>
    <row r="3977">
      <c r="A3977" s="26" t="s">
        <v>10591</v>
      </c>
      <c r="B3977" s="26" t="s">
        <v>10588</v>
      </c>
      <c r="C3977" s="26" t="s">
        <v>10261</v>
      </c>
      <c r="D3977" s="26">
        <v>1.0</v>
      </c>
      <c r="E3977" s="26">
        <v>482.63</v>
      </c>
      <c r="F3977" s="26">
        <v>482.63</v>
      </c>
    </row>
    <row r="3978">
      <c r="A3978" s="26" t="s">
        <v>10592</v>
      </c>
      <c r="B3978" s="26" t="s">
        <v>10588</v>
      </c>
      <c r="C3978" s="26" t="s">
        <v>10350</v>
      </c>
      <c r="D3978" s="26">
        <v>1.0</v>
      </c>
      <c r="E3978" s="26">
        <v>86.92</v>
      </c>
      <c r="F3978" s="26">
        <v>86.92</v>
      </c>
    </row>
    <row r="3979">
      <c r="A3979" s="26" t="s">
        <v>10593</v>
      </c>
      <c r="B3979" s="26" t="s">
        <v>10595</v>
      </c>
      <c r="C3979" s="26" t="s">
        <v>2003</v>
      </c>
      <c r="D3979" s="26">
        <v>1.0</v>
      </c>
      <c r="E3979" s="26">
        <v>1192.82</v>
      </c>
      <c r="F3979" s="26">
        <v>1192.82</v>
      </c>
    </row>
    <row r="3980">
      <c r="A3980" s="26" t="s">
        <v>10597</v>
      </c>
      <c r="B3980" s="26" t="s">
        <v>10595</v>
      </c>
      <c r="C3980" s="26" t="s">
        <v>10261</v>
      </c>
      <c r="D3980" s="26">
        <v>1.0</v>
      </c>
      <c r="E3980" s="26">
        <v>101.39</v>
      </c>
      <c r="F3980" s="26">
        <v>101.39</v>
      </c>
    </row>
    <row r="3981">
      <c r="A3981" s="26" t="s">
        <v>10598</v>
      </c>
      <c r="B3981" s="26" t="s">
        <v>10599</v>
      </c>
      <c r="C3981" s="26" t="s">
        <v>691</v>
      </c>
      <c r="D3981" s="26">
        <v>3.0</v>
      </c>
      <c r="E3981" s="26">
        <v>45.0</v>
      </c>
      <c r="F3981" s="26">
        <v>135.0</v>
      </c>
    </row>
    <row r="3982">
      <c r="A3982" s="26" t="s">
        <v>10602</v>
      </c>
      <c r="B3982" s="26" t="s">
        <v>10599</v>
      </c>
      <c r="C3982" s="26" t="s">
        <v>2305</v>
      </c>
      <c r="D3982" s="26">
        <v>2.0</v>
      </c>
      <c r="E3982" s="26">
        <v>30.0</v>
      </c>
      <c r="F3982" s="26">
        <v>60.0</v>
      </c>
    </row>
    <row r="3983">
      <c r="A3983" s="26" t="s">
        <v>10603</v>
      </c>
      <c r="B3983" s="26" t="s">
        <v>10599</v>
      </c>
      <c r="C3983" s="26" t="s">
        <v>1195</v>
      </c>
      <c r="D3983" s="26">
        <v>2.0</v>
      </c>
      <c r="E3983" s="26">
        <v>21.0</v>
      </c>
      <c r="F3983" s="26">
        <v>42.0</v>
      </c>
    </row>
    <row r="3984">
      <c r="A3984" s="26" t="s">
        <v>10604</v>
      </c>
      <c r="B3984" s="26" t="s">
        <v>10599</v>
      </c>
      <c r="C3984" s="26" t="s">
        <v>1197</v>
      </c>
      <c r="D3984" s="26">
        <v>1.0</v>
      </c>
      <c r="E3984" s="26">
        <v>18.0</v>
      </c>
      <c r="F3984" s="26">
        <v>18.0</v>
      </c>
    </row>
    <row r="3985">
      <c r="A3985" s="26" t="s">
        <v>10607</v>
      </c>
      <c r="B3985" s="26" t="s">
        <v>10608</v>
      </c>
      <c r="C3985" s="26" t="s">
        <v>10570</v>
      </c>
      <c r="D3985" s="26">
        <v>1.0</v>
      </c>
      <c r="E3985" s="26">
        <v>29.9</v>
      </c>
      <c r="F3985" s="26">
        <v>29.9</v>
      </c>
    </row>
    <row r="3986">
      <c r="A3986" s="26" t="s">
        <v>10609</v>
      </c>
      <c r="B3986" s="26" t="s">
        <v>10610</v>
      </c>
      <c r="C3986" s="26" t="s">
        <v>152</v>
      </c>
      <c r="D3986" s="26">
        <v>1.48</v>
      </c>
      <c r="E3986" s="26">
        <v>4.99</v>
      </c>
      <c r="F3986" s="26">
        <v>7.39</v>
      </c>
    </row>
    <row r="3987">
      <c r="A3987" s="26" t="s">
        <v>10612</v>
      </c>
      <c r="B3987" s="26" t="s">
        <v>10614</v>
      </c>
      <c r="C3987" s="26" t="s">
        <v>5325</v>
      </c>
      <c r="D3987" s="26">
        <v>1.0</v>
      </c>
      <c r="E3987" s="26">
        <v>350.0</v>
      </c>
      <c r="F3987" s="26">
        <v>350.0</v>
      </c>
    </row>
    <row r="3988">
      <c r="A3988" s="26" t="s">
        <v>10616</v>
      </c>
      <c r="B3988" s="26" t="s">
        <v>10617</v>
      </c>
      <c r="C3988" s="26" t="s">
        <v>10457</v>
      </c>
      <c r="D3988" s="26">
        <v>2.0</v>
      </c>
      <c r="E3988" s="26">
        <v>22.38</v>
      </c>
      <c r="F3988" s="26">
        <v>44.76</v>
      </c>
    </row>
    <row r="3989">
      <c r="A3989" s="26" t="s">
        <v>10618</v>
      </c>
      <c r="B3989" s="26" t="s">
        <v>10617</v>
      </c>
      <c r="C3989" s="29" t="s">
        <v>10459</v>
      </c>
      <c r="D3989" s="26">
        <v>2.0</v>
      </c>
      <c r="E3989" s="26">
        <v>20.28</v>
      </c>
      <c r="F3989" s="26">
        <v>40.56</v>
      </c>
    </row>
    <row r="3990">
      <c r="A3990" s="26" t="s">
        <v>10619</v>
      </c>
      <c r="B3990" s="26" t="s">
        <v>10617</v>
      </c>
      <c r="C3990" s="26" t="s">
        <v>1384</v>
      </c>
      <c r="D3990" s="26">
        <v>1.0</v>
      </c>
      <c r="E3990" s="26">
        <v>20.28</v>
      </c>
      <c r="F3990" s="26">
        <v>20.28</v>
      </c>
    </row>
    <row r="3991">
      <c r="A3991" s="29" t="s">
        <v>10621</v>
      </c>
      <c r="B3991" s="26" t="s">
        <v>10617</v>
      </c>
      <c r="C3991" s="26" t="s">
        <v>1079</v>
      </c>
      <c r="D3991" s="26">
        <v>10.0</v>
      </c>
      <c r="E3991" s="26">
        <v>18.0</v>
      </c>
      <c r="F3991" s="26">
        <v>180.0</v>
      </c>
    </row>
    <row r="3992">
      <c r="A3992" s="26" t="s">
        <v>10624</v>
      </c>
      <c r="B3992" s="26" t="s">
        <v>10617</v>
      </c>
      <c r="C3992" s="26" t="s">
        <v>1083</v>
      </c>
      <c r="D3992" s="26">
        <v>2.0</v>
      </c>
      <c r="E3992" s="26">
        <v>18.9</v>
      </c>
      <c r="F3992" s="26">
        <v>37.8</v>
      </c>
    </row>
    <row r="3993">
      <c r="A3993" s="26" t="s">
        <v>10625</v>
      </c>
      <c r="B3993" s="26" t="s">
        <v>10617</v>
      </c>
      <c r="C3993" s="26" t="s">
        <v>1085</v>
      </c>
      <c r="D3993" s="26">
        <v>3.0</v>
      </c>
      <c r="E3993" s="26">
        <v>38.0</v>
      </c>
      <c r="F3993" s="26">
        <v>114.0</v>
      </c>
    </row>
    <row r="3994">
      <c r="A3994" s="26" t="s">
        <v>10629</v>
      </c>
      <c r="B3994" s="26" t="s">
        <v>10630</v>
      </c>
      <c r="C3994" s="26" t="s">
        <v>226</v>
      </c>
      <c r="D3994" s="26">
        <v>5.0</v>
      </c>
      <c r="E3994" s="26">
        <v>9.0</v>
      </c>
      <c r="F3994" s="26">
        <v>45.0</v>
      </c>
    </row>
    <row r="3995">
      <c r="A3995" s="26" t="s">
        <v>10631</v>
      </c>
      <c r="B3995" s="26" t="s">
        <v>10630</v>
      </c>
      <c r="C3995" s="26" t="s">
        <v>152</v>
      </c>
      <c r="D3995" s="26">
        <v>2.5</v>
      </c>
      <c r="E3995" s="26">
        <v>3.9</v>
      </c>
      <c r="F3995" s="26">
        <v>9.75</v>
      </c>
    </row>
    <row r="3996">
      <c r="A3996" s="26" t="s">
        <v>10632</v>
      </c>
      <c r="B3996" s="26" t="s">
        <v>10630</v>
      </c>
      <c r="C3996" s="26" t="s">
        <v>230</v>
      </c>
      <c r="D3996" s="26">
        <v>8.2</v>
      </c>
      <c r="E3996" s="26">
        <v>29.0</v>
      </c>
      <c r="F3996" s="26">
        <v>237.8</v>
      </c>
    </row>
    <row r="3997">
      <c r="A3997" s="26" t="s">
        <v>10636</v>
      </c>
      <c r="B3997" s="26" t="s">
        <v>10630</v>
      </c>
      <c r="C3997" s="26" t="s">
        <v>155</v>
      </c>
      <c r="D3997" s="26">
        <v>3.98</v>
      </c>
      <c r="E3997" s="26">
        <v>6.0</v>
      </c>
      <c r="F3997" s="26">
        <v>23.88</v>
      </c>
    </row>
    <row r="3998">
      <c r="A3998" s="26" t="s">
        <v>10637</v>
      </c>
      <c r="B3998" s="26" t="s">
        <v>10630</v>
      </c>
      <c r="C3998" s="26" t="s">
        <v>159</v>
      </c>
      <c r="D3998" s="26">
        <v>15.0</v>
      </c>
      <c r="E3998" s="26">
        <v>12.0</v>
      </c>
      <c r="F3998" s="26">
        <v>180.0</v>
      </c>
    </row>
    <row r="3999">
      <c r="A3999" s="26" t="s">
        <v>10639</v>
      </c>
      <c r="B3999" s="26" t="s">
        <v>10640</v>
      </c>
      <c r="C3999" s="26" t="s">
        <v>5563</v>
      </c>
      <c r="D3999" s="26">
        <v>1.0</v>
      </c>
      <c r="E3999" s="26">
        <v>19.9</v>
      </c>
      <c r="F3999" s="26">
        <v>19.9</v>
      </c>
    </row>
    <row r="4000">
      <c r="A4000" s="26" t="s">
        <v>10642</v>
      </c>
      <c r="B4000" s="26" t="s">
        <v>10640</v>
      </c>
      <c r="C4000" s="26" t="s">
        <v>5563</v>
      </c>
      <c r="D4000" s="26">
        <v>1.0</v>
      </c>
      <c r="E4000" s="26">
        <v>35.9</v>
      </c>
      <c r="F4000" s="26">
        <v>35.9</v>
      </c>
    </row>
    <row r="4001">
      <c r="A4001" s="26" t="s">
        <v>10643</v>
      </c>
      <c r="B4001" s="26" t="s">
        <v>10640</v>
      </c>
      <c r="C4001" s="26" t="s">
        <v>10644</v>
      </c>
      <c r="D4001" s="26">
        <v>1.0</v>
      </c>
      <c r="E4001" s="26">
        <v>19.9</v>
      </c>
      <c r="F4001" s="26">
        <v>19.9</v>
      </c>
    </row>
    <row r="4002">
      <c r="A4002" s="26" t="s">
        <v>10647</v>
      </c>
      <c r="B4002" s="26" t="s">
        <v>10640</v>
      </c>
      <c r="C4002" s="26" t="s">
        <v>10648</v>
      </c>
      <c r="D4002" s="26">
        <v>1.0</v>
      </c>
      <c r="E4002" s="26">
        <v>9.98</v>
      </c>
      <c r="F4002" s="26">
        <v>9.98</v>
      </c>
    </row>
    <row r="4003">
      <c r="A4003" s="26" t="s">
        <v>10649</v>
      </c>
      <c r="B4003" s="26" t="s">
        <v>10650</v>
      </c>
      <c r="C4003" s="26" t="s">
        <v>10293</v>
      </c>
      <c r="D4003" s="26">
        <v>3.0</v>
      </c>
      <c r="E4003" s="26">
        <v>8.99</v>
      </c>
      <c r="F4003" s="26">
        <v>26.97</v>
      </c>
    </row>
    <row r="4004">
      <c r="A4004" s="26" t="s">
        <v>10651</v>
      </c>
      <c r="B4004" s="26" t="s">
        <v>10650</v>
      </c>
      <c r="C4004" s="26" t="s">
        <v>10496</v>
      </c>
      <c r="D4004" s="26">
        <v>1.0</v>
      </c>
      <c r="E4004" s="26">
        <v>13.99</v>
      </c>
      <c r="F4004" s="26">
        <v>13.99</v>
      </c>
    </row>
    <row r="4005">
      <c r="A4005" s="26" t="s">
        <v>10654</v>
      </c>
      <c r="B4005" s="26" t="s">
        <v>10650</v>
      </c>
      <c r="C4005" s="26" t="s">
        <v>10655</v>
      </c>
      <c r="D4005" s="26">
        <v>2.0</v>
      </c>
      <c r="E4005" s="26">
        <v>5.99</v>
      </c>
      <c r="F4005" s="26">
        <v>11.98</v>
      </c>
    </row>
    <row r="4006">
      <c r="A4006" s="26" t="s">
        <v>10656</v>
      </c>
      <c r="B4006" s="26" t="s">
        <v>10650</v>
      </c>
      <c r="C4006" s="26" t="s">
        <v>247</v>
      </c>
      <c r="D4006" s="26">
        <v>3.0</v>
      </c>
      <c r="E4006" s="26">
        <v>1.19</v>
      </c>
      <c r="F4006" s="26">
        <v>3.57</v>
      </c>
    </row>
    <row r="4007">
      <c r="A4007" s="26" t="s">
        <v>10659</v>
      </c>
      <c r="B4007" s="26" t="s">
        <v>10650</v>
      </c>
      <c r="C4007" s="26" t="s">
        <v>10305</v>
      </c>
      <c r="D4007" s="26">
        <v>3.0</v>
      </c>
      <c r="E4007" s="26">
        <v>6.99</v>
      </c>
      <c r="F4007" s="26">
        <v>20.97</v>
      </c>
    </row>
    <row r="4008">
      <c r="A4008" s="26" t="s">
        <v>10660</v>
      </c>
      <c r="B4008" s="26" t="s">
        <v>10650</v>
      </c>
      <c r="C4008" s="26" t="s">
        <v>10303</v>
      </c>
      <c r="D4008" s="26">
        <v>3.0</v>
      </c>
      <c r="E4008" s="26">
        <v>5.99</v>
      </c>
      <c r="F4008" s="26">
        <v>17.97</v>
      </c>
    </row>
    <row r="4009">
      <c r="A4009" s="26" t="s">
        <v>10662</v>
      </c>
      <c r="B4009" s="26" t="s">
        <v>10664</v>
      </c>
      <c r="C4009" s="26" t="s">
        <v>2003</v>
      </c>
      <c r="D4009" s="26">
        <v>1.0</v>
      </c>
      <c r="E4009" s="26">
        <v>262.76</v>
      </c>
      <c r="F4009" s="26">
        <v>262.76</v>
      </c>
    </row>
    <row r="4010">
      <c r="A4010" s="26" t="s">
        <v>10666</v>
      </c>
      <c r="B4010" s="26" t="s">
        <v>10664</v>
      </c>
      <c r="C4010" s="26" t="s">
        <v>10261</v>
      </c>
      <c r="D4010" s="26">
        <v>1.0</v>
      </c>
      <c r="E4010" s="26">
        <v>22.33</v>
      </c>
      <c r="F4010" s="26">
        <v>22.33</v>
      </c>
    </row>
    <row r="4011">
      <c r="A4011" s="26" t="s">
        <v>10667</v>
      </c>
      <c r="B4011" s="26" t="s">
        <v>10668</v>
      </c>
      <c r="C4011" s="29" t="s">
        <v>10424</v>
      </c>
      <c r="D4011" s="26">
        <v>15.0</v>
      </c>
      <c r="E4011" s="26">
        <v>25.0</v>
      </c>
      <c r="F4011" s="26">
        <v>375.0</v>
      </c>
    </row>
    <row r="4012">
      <c r="A4012" s="26" t="s">
        <v>10671</v>
      </c>
      <c r="B4012" s="26" t="s">
        <v>10672</v>
      </c>
      <c r="C4012" s="26" t="s">
        <v>10673</v>
      </c>
      <c r="D4012" s="26">
        <v>1.0</v>
      </c>
      <c r="E4012" s="26">
        <v>8.9</v>
      </c>
      <c r="F4012" s="26">
        <v>8.9</v>
      </c>
    </row>
    <row r="4013">
      <c r="A4013" s="26" t="s">
        <v>10674</v>
      </c>
      <c r="B4013" s="26" t="s">
        <v>10569</v>
      </c>
      <c r="C4013" s="29" t="s">
        <v>10675</v>
      </c>
      <c r="D4013" s="26">
        <v>1.0</v>
      </c>
      <c r="E4013" s="26">
        <v>15.29</v>
      </c>
      <c r="F4013" s="26">
        <v>15.29</v>
      </c>
    </row>
    <row r="4014">
      <c r="A4014" s="26" t="s">
        <v>10677</v>
      </c>
      <c r="B4014" s="26" t="s">
        <v>10569</v>
      </c>
      <c r="C4014" s="26" t="s">
        <v>10679</v>
      </c>
      <c r="D4014" s="26">
        <v>1.0</v>
      </c>
      <c r="E4014" s="26">
        <v>4.29</v>
      </c>
      <c r="F4014" s="26">
        <v>4.29</v>
      </c>
    </row>
    <row r="4015">
      <c r="A4015" s="26" t="s">
        <v>10681</v>
      </c>
      <c r="B4015" s="26" t="s">
        <v>10569</v>
      </c>
      <c r="C4015" s="26" t="s">
        <v>10682</v>
      </c>
      <c r="D4015" s="26">
        <v>1.0</v>
      </c>
      <c r="E4015" s="26">
        <v>13.9</v>
      </c>
      <c r="F4015" s="26">
        <v>13.9</v>
      </c>
    </row>
    <row r="4016">
      <c r="A4016" s="26" t="s">
        <v>10683</v>
      </c>
      <c r="B4016" s="26" t="s">
        <v>10569</v>
      </c>
      <c r="C4016" s="26" t="s">
        <v>10684</v>
      </c>
      <c r="D4016" s="26">
        <v>1.0</v>
      </c>
      <c r="E4016" s="26">
        <v>26.49</v>
      </c>
      <c r="F4016" s="26">
        <v>26.49</v>
      </c>
    </row>
    <row r="4017">
      <c r="A4017" s="26" t="s">
        <v>10686</v>
      </c>
      <c r="B4017" s="26" t="s">
        <v>10569</v>
      </c>
      <c r="C4017" s="26" t="s">
        <v>10688</v>
      </c>
      <c r="D4017" s="26">
        <v>1.0</v>
      </c>
      <c r="E4017" s="26">
        <v>13.9</v>
      </c>
      <c r="F4017" s="26">
        <v>13.9</v>
      </c>
    </row>
    <row r="4018">
      <c r="A4018" s="26" t="s">
        <v>10689</v>
      </c>
      <c r="B4018" s="26" t="s">
        <v>10569</v>
      </c>
      <c r="C4018" s="26" t="s">
        <v>10690</v>
      </c>
      <c r="D4018" s="26">
        <v>1.0</v>
      </c>
      <c r="E4018" s="26">
        <v>9.9</v>
      </c>
      <c r="F4018" s="26">
        <v>9.9</v>
      </c>
    </row>
    <row r="4019">
      <c r="A4019" s="26" t="s">
        <v>10691</v>
      </c>
      <c r="B4019" s="26" t="s">
        <v>10693</v>
      </c>
      <c r="C4019" s="26" t="s">
        <v>155</v>
      </c>
      <c r="D4019" s="26">
        <v>3.465</v>
      </c>
      <c r="E4019" s="26">
        <v>6.98</v>
      </c>
      <c r="F4019" s="26">
        <v>24.19</v>
      </c>
    </row>
    <row r="4020">
      <c r="A4020" s="26" t="s">
        <v>10695</v>
      </c>
      <c r="B4020" s="26" t="s">
        <v>10696</v>
      </c>
      <c r="C4020" s="26" t="s">
        <v>10697</v>
      </c>
      <c r="D4020" s="26">
        <v>2.0</v>
      </c>
      <c r="E4020" s="26">
        <v>24.49</v>
      </c>
      <c r="F4020" s="26">
        <v>48.98</v>
      </c>
    </row>
    <row r="4021">
      <c r="A4021" s="26" t="s">
        <v>10698</v>
      </c>
      <c r="B4021" s="26" t="s">
        <v>10696</v>
      </c>
      <c r="C4021" s="26" t="s">
        <v>10697</v>
      </c>
      <c r="D4021" s="26">
        <v>1.0</v>
      </c>
      <c r="E4021" s="26">
        <v>29.99</v>
      </c>
      <c r="F4021" s="26">
        <v>29.99</v>
      </c>
    </row>
    <row r="4022">
      <c r="A4022" s="26" t="s">
        <v>10701</v>
      </c>
      <c r="B4022" s="26" t="s">
        <v>10702</v>
      </c>
      <c r="C4022" s="26" t="s">
        <v>226</v>
      </c>
      <c r="D4022" s="26">
        <v>5.0</v>
      </c>
      <c r="E4022" s="26">
        <v>9.0</v>
      </c>
      <c r="F4022" s="26">
        <v>45.0</v>
      </c>
    </row>
    <row r="4023">
      <c r="A4023" s="26" t="s">
        <v>10703</v>
      </c>
      <c r="B4023" s="26" t="s">
        <v>10702</v>
      </c>
      <c r="C4023" s="26" t="s">
        <v>152</v>
      </c>
      <c r="D4023" s="26">
        <v>11.6</v>
      </c>
      <c r="E4023" s="26">
        <v>3.9</v>
      </c>
      <c r="F4023" s="26">
        <v>45.24</v>
      </c>
    </row>
    <row r="4024">
      <c r="A4024" s="26" t="s">
        <v>10705</v>
      </c>
      <c r="B4024" s="26" t="s">
        <v>10702</v>
      </c>
      <c r="C4024" s="26" t="s">
        <v>230</v>
      </c>
      <c r="D4024" s="26">
        <v>8.0</v>
      </c>
      <c r="E4024" s="26">
        <v>29.0</v>
      </c>
      <c r="F4024" s="26">
        <v>232.0</v>
      </c>
    </row>
    <row r="4025">
      <c r="A4025" s="26" t="s">
        <v>10707</v>
      </c>
      <c r="B4025" s="26" t="s">
        <v>10702</v>
      </c>
      <c r="C4025" s="26" t="s">
        <v>155</v>
      </c>
      <c r="D4025" s="26">
        <v>4.4</v>
      </c>
      <c r="E4025" s="26">
        <v>6.5</v>
      </c>
      <c r="F4025" s="26">
        <v>28.6</v>
      </c>
    </row>
    <row r="4026">
      <c r="A4026" s="26" t="s">
        <v>10708</v>
      </c>
      <c r="B4026" s="26" t="s">
        <v>10702</v>
      </c>
      <c r="C4026" s="26" t="s">
        <v>159</v>
      </c>
      <c r="D4026" s="26">
        <v>10.0</v>
      </c>
      <c r="E4026" s="26">
        <v>12.0</v>
      </c>
      <c r="F4026" s="26">
        <v>120.0</v>
      </c>
    </row>
    <row r="4027">
      <c r="A4027" s="26" t="s">
        <v>10711</v>
      </c>
      <c r="B4027" s="26" t="s">
        <v>10712</v>
      </c>
      <c r="C4027" s="29" t="s">
        <v>10424</v>
      </c>
      <c r="D4027" s="26">
        <v>10.0</v>
      </c>
      <c r="E4027" s="26">
        <v>25.0</v>
      </c>
      <c r="F4027" s="26">
        <v>250.0</v>
      </c>
    </row>
    <row r="4028">
      <c r="A4028" s="26" t="s">
        <v>10713</v>
      </c>
      <c r="B4028" s="26" t="s">
        <v>10714</v>
      </c>
      <c r="C4028" s="26" t="s">
        <v>8458</v>
      </c>
      <c r="D4028" s="26">
        <v>1.0</v>
      </c>
      <c r="E4028" s="26">
        <v>5091.42</v>
      </c>
      <c r="F4028" s="26">
        <v>5091.42</v>
      </c>
    </row>
    <row r="4029">
      <c r="A4029" s="26" t="s">
        <v>10715</v>
      </c>
      <c r="B4029" s="26" t="s">
        <v>10714</v>
      </c>
      <c r="C4029" s="26" t="s">
        <v>10261</v>
      </c>
      <c r="D4029" s="26">
        <v>1.0</v>
      </c>
      <c r="E4029" s="26">
        <v>432.77</v>
      </c>
      <c r="F4029" s="26">
        <v>432.77</v>
      </c>
    </row>
    <row r="4030">
      <c r="A4030" s="26" t="s">
        <v>10718</v>
      </c>
      <c r="B4030" s="26" t="s">
        <v>10714</v>
      </c>
      <c r="C4030" s="26" t="s">
        <v>10350</v>
      </c>
      <c r="D4030" s="26">
        <v>1.0</v>
      </c>
      <c r="E4030" s="26">
        <v>133.53</v>
      </c>
      <c r="F4030" s="26">
        <v>133.53</v>
      </c>
    </row>
    <row r="4031">
      <c r="A4031" s="26" t="s">
        <v>10719</v>
      </c>
      <c r="B4031" s="26" t="s">
        <v>10720</v>
      </c>
      <c r="C4031" s="26" t="s">
        <v>10721</v>
      </c>
      <c r="D4031" s="26">
        <v>1.0</v>
      </c>
      <c r="E4031" s="26">
        <v>6.0</v>
      </c>
      <c r="F4031" s="26">
        <v>6.0</v>
      </c>
    </row>
    <row r="4032">
      <c r="A4032" s="26" t="s">
        <v>10722</v>
      </c>
      <c r="B4032" s="26" t="s">
        <v>10724</v>
      </c>
      <c r="C4032" s="26" t="s">
        <v>10725</v>
      </c>
      <c r="D4032" s="26">
        <v>25.0</v>
      </c>
      <c r="E4032" s="26">
        <v>5.18</v>
      </c>
      <c r="F4032" s="26">
        <v>129.5</v>
      </c>
    </row>
    <row r="4033">
      <c r="A4033" s="26" t="s">
        <v>10727</v>
      </c>
      <c r="B4033" s="26" t="s">
        <v>10724</v>
      </c>
      <c r="C4033" s="26" t="s">
        <v>693</v>
      </c>
      <c r="D4033" s="26">
        <v>3.0</v>
      </c>
      <c r="E4033" s="26">
        <v>5.4</v>
      </c>
      <c r="F4033" s="26">
        <v>16.2</v>
      </c>
    </row>
    <row r="4034">
      <c r="A4034" s="26" t="s">
        <v>10728</v>
      </c>
      <c r="B4034" s="26" t="s">
        <v>10724</v>
      </c>
      <c r="C4034" s="26" t="s">
        <v>10729</v>
      </c>
      <c r="D4034" s="26">
        <v>2.0</v>
      </c>
      <c r="E4034" s="26">
        <v>6.84</v>
      </c>
      <c r="F4034" s="26">
        <v>13.68</v>
      </c>
    </row>
    <row r="4035">
      <c r="A4035" s="26" t="s">
        <v>10730</v>
      </c>
      <c r="B4035" s="26" t="s">
        <v>10724</v>
      </c>
      <c r="C4035" s="26" t="s">
        <v>10731</v>
      </c>
      <c r="D4035" s="26">
        <v>2.0</v>
      </c>
      <c r="E4035" s="26">
        <v>76.4</v>
      </c>
      <c r="F4035" s="26">
        <v>152.8</v>
      </c>
    </row>
    <row r="4036">
      <c r="A4036" s="26" t="s">
        <v>10733</v>
      </c>
      <c r="B4036" s="26" t="s">
        <v>10724</v>
      </c>
      <c r="C4036" s="29" t="s">
        <v>10735</v>
      </c>
      <c r="D4036" s="26">
        <v>1.0</v>
      </c>
      <c r="E4036" s="26">
        <v>33.86</v>
      </c>
      <c r="F4036" s="26">
        <v>33.86</v>
      </c>
    </row>
    <row r="4037">
      <c r="A4037" s="26" t="s">
        <v>10736</v>
      </c>
      <c r="B4037" s="26" t="s">
        <v>10724</v>
      </c>
      <c r="C4037" s="26" t="s">
        <v>249</v>
      </c>
      <c r="D4037" s="26">
        <v>36.0</v>
      </c>
      <c r="E4037" s="26">
        <v>8.08</v>
      </c>
      <c r="F4037" s="26">
        <v>290.88</v>
      </c>
    </row>
    <row r="4038">
      <c r="A4038" s="26" t="s">
        <v>10737</v>
      </c>
      <c r="B4038" s="26" t="s">
        <v>10724</v>
      </c>
      <c r="C4038" s="26" t="s">
        <v>2777</v>
      </c>
      <c r="D4038" s="26">
        <v>12.0</v>
      </c>
      <c r="E4038" s="26">
        <v>12.83</v>
      </c>
      <c r="F4038" s="26">
        <v>153.96</v>
      </c>
    </row>
    <row r="4039">
      <c r="A4039" s="26" t="s">
        <v>10739</v>
      </c>
      <c r="B4039" s="26" t="s">
        <v>10724</v>
      </c>
      <c r="C4039" s="26" t="s">
        <v>266</v>
      </c>
      <c r="D4039" s="26">
        <v>12.0</v>
      </c>
      <c r="E4039" s="26">
        <v>14.19</v>
      </c>
      <c r="F4039" s="26">
        <v>170.28</v>
      </c>
    </row>
    <row r="4040">
      <c r="A4040" s="26" t="s">
        <v>10741</v>
      </c>
      <c r="B4040" s="26" t="s">
        <v>10724</v>
      </c>
      <c r="C4040" s="26" t="s">
        <v>5215</v>
      </c>
      <c r="D4040" s="26">
        <v>60.0</v>
      </c>
      <c r="E4040" s="26">
        <v>1.1</v>
      </c>
      <c r="F4040" s="26">
        <v>66.0</v>
      </c>
    </row>
    <row r="4041">
      <c r="A4041" s="26" t="s">
        <v>10742</v>
      </c>
      <c r="B4041" s="26" t="s">
        <v>10724</v>
      </c>
      <c r="C4041" s="26" t="s">
        <v>794</v>
      </c>
      <c r="D4041" s="26">
        <v>9.0</v>
      </c>
      <c r="E4041" s="26">
        <v>20.64</v>
      </c>
      <c r="F4041" s="26">
        <v>185.76</v>
      </c>
    </row>
    <row r="4042">
      <c r="A4042" s="26" t="s">
        <v>10745</v>
      </c>
      <c r="B4042" s="26" t="s">
        <v>10724</v>
      </c>
      <c r="C4042" s="26" t="s">
        <v>794</v>
      </c>
      <c r="D4042" s="26">
        <v>2.0</v>
      </c>
      <c r="E4042" s="26">
        <v>24.34</v>
      </c>
      <c r="F4042" s="26">
        <v>48.68</v>
      </c>
    </row>
    <row r="4043">
      <c r="A4043" s="26" t="s">
        <v>10746</v>
      </c>
      <c r="B4043" s="26" t="s">
        <v>10724</v>
      </c>
      <c r="C4043" s="26" t="s">
        <v>3447</v>
      </c>
      <c r="D4043" s="26">
        <v>10.0</v>
      </c>
      <c r="E4043" s="26">
        <v>2.87</v>
      </c>
      <c r="F4043" s="26">
        <v>28.7</v>
      </c>
    </row>
    <row r="4044">
      <c r="A4044" s="26" t="s">
        <v>10748</v>
      </c>
      <c r="B4044" s="26" t="s">
        <v>10724</v>
      </c>
      <c r="C4044" s="26" t="s">
        <v>802</v>
      </c>
      <c r="D4044" s="26">
        <v>18.0</v>
      </c>
      <c r="E4044" s="26">
        <v>10.23</v>
      </c>
      <c r="F4044" s="26">
        <v>184.14</v>
      </c>
    </row>
    <row r="4045">
      <c r="A4045" s="26" t="s">
        <v>10751</v>
      </c>
      <c r="B4045" s="26" t="s">
        <v>10724</v>
      </c>
      <c r="C4045" s="26" t="s">
        <v>802</v>
      </c>
      <c r="D4045" s="26">
        <v>12.0</v>
      </c>
      <c r="E4045" s="26">
        <v>12.37</v>
      </c>
      <c r="F4045" s="26">
        <v>148.44</v>
      </c>
    </row>
    <row r="4046">
      <c r="A4046" s="26" t="s">
        <v>10752</v>
      </c>
      <c r="B4046" s="26" t="s">
        <v>10724</v>
      </c>
      <c r="C4046" s="26" t="s">
        <v>802</v>
      </c>
      <c r="D4046" s="26">
        <v>12.0</v>
      </c>
      <c r="E4046" s="26">
        <v>14.71</v>
      </c>
      <c r="F4046" s="26">
        <v>176.52</v>
      </c>
    </row>
    <row r="4047">
      <c r="A4047" s="26" t="s">
        <v>10755</v>
      </c>
      <c r="B4047" s="26" t="s">
        <v>10724</v>
      </c>
      <c r="C4047" s="26" t="s">
        <v>249</v>
      </c>
      <c r="D4047" s="26">
        <v>20.0</v>
      </c>
      <c r="E4047" s="26">
        <v>10.9</v>
      </c>
      <c r="F4047" s="26">
        <v>218.0</v>
      </c>
    </row>
    <row r="4048">
      <c r="A4048" s="26" t="s">
        <v>10758</v>
      </c>
      <c r="B4048" s="26" t="s">
        <v>10724</v>
      </c>
      <c r="C4048" s="26" t="s">
        <v>10350</v>
      </c>
      <c r="D4048" s="26">
        <v>1.0</v>
      </c>
      <c r="E4048" s="26">
        <v>2.97</v>
      </c>
      <c r="F4048" s="26">
        <v>2.97</v>
      </c>
    </row>
    <row r="4049">
      <c r="A4049" s="26" t="s">
        <v>10759</v>
      </c>
      <c r="B4049" s="26" t="s">
        <v>10760</v>
      </c>
      <c r="C4049" s="26" t="s">
        <v>152</v>
      </c>
      <c r="D4049" s="26">
        <v>1.385</v>
      </c>
      <c r="E4049" s="26">
        <v>4.49</v>
      </c>
      <c r="F4049" s="26">
        <v>6.22</v>
      </c>
    </row>
    <row r="4050">
      <c r="A4050" s="26" t="s">
        <v>10763</v>
      </c>
      <c r="B4050" s="26" t="s">
        <v>10764</v>
      </c>
      <c r="C4050" s="26" t="s">
        <v>1384</v>
      </c>
      <c r="D4050" s="26">
        <v>1.0</v>
      </c>
      <c r="E4050" s="26">
        <v>18.0</v>
      </c>
      <c r="F4050" s="26">
        <v>18.0</v>
      </c>
    </row>
    <row r="4051">
      <c r="A4051" s="26" t="s">
        <v>10765</v>
      </c>
      <c r="B4051" s="26" t="s">
        <v>10764</v>
      </c>
      <c r="C4051" s="26" t="s">
        <v>1074</v>
      </c>
      <c r="D4051" s="26">
        <v>5.0</v>
      </c>
      <c r="E4051" s="26">
        <v>42.0</v>
      </c>
      <c r="F4051" s="26">
        <v>210.0</v>
      </c>
    </row>
    <row r="4052">
      <c r="A4052" s="26" t="s">
        <v>10766</v>
      </c>
      <c r="B4052" s="26" t="s">
        <v>10764</v>
      </c>
      <c r="C4052" s="26" t="s">
        <v>1387</v>
      </c>
      <c r="D4052" s="26">
        <v>1.0</v>
      </c>
      <c r="E4052" s="26">
        <v>48.0</v>
      </c>
      <c r="F4052" s="26">
        <v>48.0</v>
      </c>
    </row>
    <row r="4053">
      <c r="A4053" s="26" t="s">
        <v>10770</v>
      </c>
      <c r="B4053" s="26" t="s">
        <v>10764</v>
      </c>
      <c r="C4053" s="26" t="s">
        <v>1075</v>
      </c>
      <c r="D4053" s="26">
        <v>6.0</v>
      </c>
      <c r="E4053" s="26">
        <v>21.0</v>
      </c>
      <c r="F4053" s="26">
        <v>126.0</v>
      </c>
    </row>
    <row r="4054">
      <c r="A4054" s="29" t="s">
        <v>10772</v>
      </c>
      <c r="B4054" s="26" t="s">
        <v>10764</v>
      </c>
      <c r="C4054" s="26" t="s">
        <v>1077</v>
      </c>
      <c r="D4054" s="26">
        <v>3.0</v>
      </c>
      <c r="E4054" s="26">
        <v>25.8</v>
      </c>
      <c r="F4054" s="26">
        <v>77.4</v>
      </c>
    </row>
    <row r="4055">
      <c r="A4055" s="26" t="s">
        <v>10773</v>
      </c>
      <c r="B4055" s="26" t="s">
        <v>10764</v>
      </c>
      <c r="C4055" s="26" t="s">
        <v>1079</v>
      </c>
      <c r="D4055" s="26">
        <v>15.0</v>
      </c>
      <c r="E4055" s="26">
        <v>18.0</v>
      </c>
      <c r="F4055" s="26">
        <v>270.0</v>
      </c>
    </row>
    <row r="4056">
      <c r="A4056" s="26" t="s">
        <v>10774</v>
      </c>
      <c r="B4056" s="26" t="s">
        <v>10764</v>
      </c>
      <c r="C4056" s="26" t="s">
        <v>1080</v>
      </c>
      <c r="D4056" s="26">
        <v>10.0</v>
      </c>
      <c r="E4056" s="26">
        <v>18.0</v>
      </c>
      <c r="F4056" s="26">
        <v>180.0</v>
      </c>
    </row>
    <row r="4057">
      <c r="A4057" s="26" t="s">
        <v>10775</v>
      </c>
      <c r="B4057" s="26" t="s">
        <v>10764</v>
      </c>
      <c r="C4057" s="26" t="s">
        <v>1081</v>
      </c>
      <c r="D4057" s="26">
        <v>8.0</v>
      </c>
      <c r="E4057" s="26">
        <v>50.0</v>
      </c>
      <c r="F4057" s="26">
        <v>400.0</v>
      </c>
    </row>
    <row r="4058">
      <c r="A4058" s="26" t="s">
        <v>10776</v>
      </c>
      <c r="B4058" s="26" t="s">
        <v>10764</v>
      </c>
      <c r="C4058" s="26" t="s">
        <v>1083</v>
      </c>
      <c r="D4058" s="26">
        <v>1.0</v>
      </c>
      <c r="E4058" s="26">
        <v>18.0</v>
      </c>
      <c r="F4058" s="26">
        <v>18.0</v>
      </c>
    </row>
    <row r="4059">
      <c r="A4059" s="26" t="s">
        <v>10777</v>
      </c>
      <c r="B4059" s="26" t="s">
        <v>10778</v>
      </c>
      <c r="C4059" s="26" t="s">
        <v>10779</v>
      </c>
      <c r="D4059" s="26">
        <v>1.0</v>
      </c>
      <c r="E4059" s="26">
        <v>28.9</v>
      </c>
      <c r="F4059" s="26">
        <v>28.9</v>
      </c>
    </row>
    <row r="4060">
      <c r="A4060" s="26" t="s">
        <v>10780</v>
      </c>
      <c r="B4060" s="26" t="s">
        <v>10778</v>
      </c>
      <c r="C4060" s="26" t="s">
        <v>10781</v>
      </c>
      <c r="D4060" s="26">
        <v>1.0</v>
      </c>
      <c r="E4060" s="26">
        <v>99.9</v>
      </c>
      <c r="F4060" s="26">
        <v>99.9</v>
      </c>
    </row>
    <row r="4061">
      <c r="A4061" s="26" t="s">
        <v>10782</v>
      </c>
      <c r="B4061" s="26" t="s">
        <v>10783</v>
      </c>
      <c r="C4061" s="26" t="s">
        <v>1517</v>
      </c>
      <c r="D4061" s="26">
        <v>1.0</v>
      </c>
      <c r="E4061" s="26">
        <v>2100.51</v>
      </c>
      <c r="F4061" s="26">
        <v>2100.51</v>
      </c>
    </row>
    <row r="4062">
      <c r="A4062" s="29" t="s">
        <v>10785</v>
      </c>
      <c r="B4062" s="26" t="s">
        <v>10783</v>
      </c>
      <c r="C4062" s="26" t="s">
        <v>10261</v>
      </c>
      <c r="D4062" s="26">
        <v>1.0</v>
      </c>
      <c r="E4062" s="26">
        <v>178.54</v>
      </c>
      <c r="F4062" s="26">
        <v>178.54</v>
      </c>
    </row>
    <row r="4063">
      <c r="A4063" s="26" t="s">
        <v>10787</v>
      </c>
      <c r="B4063" s="26" t="s">
        <v>10789</v>
      </c>
      <c r="C4063" s="26" t="s">
        <v>691</v>
      </c>
      <c r="D4063" s="26">
        <v>3.0</v>
      </c>
      <c r="E4063" s="26">
        <v>45.0</v>
      </c>
      <c r="F4063" s="26">
        <v>135.0</v>
      </c>
    </row>
    <row r="4064">
      <c r="A4064" s="26" t="s">
        <v>10791</v>
      </c>
      <c r="B4064" s="26" t="s">
        <v>10789</v>
      </c>
      <c r="C4064" s="26" t="s">
        <v>1197</v>
      </c>
      <c r="D4064" s="26">
        <v>5.0</v>
      </c>
      <c r="E4064" s="26">
        <v>18.0</v>
      </c>
      <c r="F4064" s="26">
        <v>90.0</v>
      </c>
    </row>
    <row r="4065">
      <c r="A4065" s="26" t="s">
        <v>10794</v>
      </c>
      <c r="B4065" s="26" t="s">
        <v>10789</v>
      </c>
      <c r="C4065" s="26" t="s">
        <v>266</v>
      </c>
      <c r="D4065" s="26">
        <v>2.0</v>
      </c>
      <c r="E4065" s="26">
        <v>16.0</v>
      </c>
      <c r="F4065" s="26">
        <v>32.0</v>
      </c>
    </row>
    <row r="4066">
      <c r="A4066" s="26" t="s">
        <v>10795</v>
      </c>
      <c r="B4066" s="26" t="s">
        <v>10796</v>
      </c>
      <c r="C4066" s="26" t="s">
        <v>10491</v>
      </c>
      <c r="D4066" s="26">
        <v>0.41</v>
      </c>
      <c r="E4066" s="26">
        <v>12.99</v>
      </c>
      <c r="F4066" s="26">
        <v>5.33</v>
      </c>
    </row>
    <row r="4067">
      <c r="A4067" s="26" t="s">
        <v>10798</v>
      </c>
      <c r="B4067" s="26" t="s">
        <v>10796</v>
      </c>
      <c r="C4067" s="26" t="s">
        <v>10491</v>
      </c>
      <c r="D4067" s="26">
        <v>0.4</v>
      </c>
      <c r="E4067" s="26">
        <v>12.99</v>
      </c>
      <c r="F4067" s="26">
        <v>5.2</v>
      </c>
    </row>
    <row r="4068">
      <c r="A4068" s="26" t="s">
        <v>10800</v>
      </c>
      <c r="B4068" s="26" t="s">
        <v>10796</v>
      </c>
      <c r="C4068" s="26" t="s">
        <v>10305</v>
      </c>
      <c r="D4068" s="26">
        <v>2.0</v>
      </c>
      <c r="E4068" s="26">
        <v>6.89</v>
      </c>
      <c r="F4068" s="26">
        <v>13.78</v>
      </c>
    </row>
    <row r="4069">
      <c r="A4069" s="26" t="s">
        <v>10801</v>
      </c>
      <c r="B4069" s="26" t="s">
        <v>10796</v>
      </c>
      <c r="C4069" s="26" t="s">
        <v>10303</v>
      </c>
      <c r="D4069" s="26">
        <v>1.0</v>
      </c>
      <c r="E4069" s="26">
        <v>14.99</v>
      </c>
      <c r="F4069" s="26">
        <v>14.99</v>
      </c>
    </row>
    <row r="4070">
      <c r="A4070" s="26" t="s">
        <v>10804</v>
      </c>
      <c r="B4070" s="26" t="s">
        <v>10796</v>
      </c>
      <c r="C4070" s="26" t="s">
        <v>10303</v>
      </c>
      <c r="D4070" s="26">
        <v>1.0</v>
      </c>
      <c r="E4070" s="26">
        <v>16.99</v>
      </c>
      <c r="F4070" s="26">
        <v>16.99</v>
      </c>
    </row>
    <row r="4071">
      <c r="A4071" s="26" t="s">
        <v>10805</v>
      </c>
      <c r="B4071" s="26" t="s">
        <v>10796</v>
      </c>
      <c r="C4071" s="26" t="s">
        <v>10500</v>
      </c>
      <c r="D4071" s="26">
        <v>1.0</v>
      </c>
      <c r="E4071" s="26">
        <v>7.99</v>
      </c>
      <c r="F4071" s="26">
        <v>7.99</v>
      </c>
    </row>
    <row r="4072">
      <c r="A4072" s="26" t="s">
        <v>10807</v>
      </c>
      <c r="B4072" s="26" t="s">
        <v>10796</v>
      </c>
      <c r="C4072" s="26" t="s">
        <v>10500</v>
      </c>
      <c r="D4072" s="26">
        <v>1.0</v>
      </c>
      <c r="E4072" s="26">
        <v>5.49</v>
      </c>
      <c r="F4072" s="26">
        <v>5.49</v>
      </c>
    </row>
    <row r="4073">
      <c r="A4073" s="26" t="s">
        <v>10809</v>
      </c>
      <c r="B4073" s="26" t="s">
        <v>10796</v>
      </c>
      <c r="C4073" s="26" t="s">
        <v>10293</v>
      </c>
      <c r="D4073" s="26">
        <v>3.0</v>
      </c>
      <c r="E4073" s="26">
        <v>6.99</v>
      </c>
      <c r="F4073" s="26">
        <v>20.97</v>
      </c>
    </row>
    <row r="4074">
      <c r="A4074" s="26" t="s">
        <v>10810</v>
      </c>
      <c r="B4074" s="26" t="s">
        <v>10796</v>
      </c>
      <c r="C4074" s="26" t="s">
        <v>6846</v>
      </c>
      <c r="D4074" s="26">
        <v>1.0</v>
      </c>
      <c r="E4074" s="26">
        <v>6.99</v>
      </c>
      <c r="F4074" s="26">
        <v>6.99</v>
      </c>
    </row>
    <row r="4075">
      <c r="A4075" s="26" t="s">
        <v>10813</v>
      </c>
      <c r="B4075" s="26" t="s">
        <v>10814</v>
      </c>
      <c r="C4075" s="26" t="s">
        <v>10815</v>
      </c>
      <c r="D4075" s="26">
        <v>1.0</v>
      </c>
      <c r="E4075" s="26">
        <v>12.99</v>
      </c>
      <c r="F4075" s="26">
        <v>12.99</v>
      </c>
    </row>
    <row r="4076">
      <c r="A4076" s="26" t="s">
        <v>10816</v>
      </c>
      <c r="B4076" s="29" t="s">
        <v>10817</v>
      </c>
      <c r="C4076" s="26" t="s">
        <v>10818</v>
      </c>
      <c r="D4076" s="26">
        <v>1.0</v>
      </c>
      <c r="E4076" s="26">
        <v>9.99</v>
      </c>
      <c r="F4076" s="26">
        <v>9.99</v>
      </c>
    </row>
    <row r="4077">
      <c r="A4077" s="26" t="s">
        <v>10821</v>
      </c>
      <c r="B4077" s="29" t="s">
        <v>10817</v>
      </c>
      <c r="C4077" s="26" t="s">
        <v>10822</v>
      </c>
      <c r="D4077" s="26">
        <v>1.0</v>
      </c>
      <c r="E4077" s="26">
        <v>5.99</v>
      </c>
      <c r="F4077" s="26">
        <v>5.99</v>
      </c>
    </row>
    <row r="4078">
      <c r="A4078" s="26" t="s">
        <v>10823</v>
      </c>
      <c r="B4078" s="29" t="s">
        <v>10817</v>
      </c>
      <c r="C4078" s="26" t="s">
        <v>10824</v>
      </c>
      <c r="D4078" s="26">
        <v>1.0</v>
      </c>
      <c r="E4078" s="26">
        <v>34.99</v>
      </c>
      <c r="F4078" s="26">
        <v>34.99</v>
      </c>
    </row>
    <row r="4079">
      <c r="A4079" s="26" t="s">
        <v>10825</v>
      </c>
      <c r="B4079" s="29" t="s">
        <v>10817</v>
      </c>
      <c r="C4079" s="26" t="s">
        <v>2368</v>
      </c>
      <c r="D4079" s="26">
        <v>4.0</v>
      </c>
      <c r="E4079" s="26">
        <v>13.99</v>
      </c>
      <c r="F4079" s="26">
        <v>55.96</v>
      </c>
    </row>
    <row r="4080">
      <c r="A4080" s="26" t="s">
        <v>10828</v>
      </c>
      <c r="B4080" s="29" t="s">
        <v>10817</v>
      </c>
      <c r="C4080" s="26" t="s">
        <v>10829</v>
      </c>
      <c r="D4080" s="26">
        <v>1.0</v>
      </c>
      <c r="E4080" s="26">
        <v>27.99</v>
      </c>
      <c r="F4080" s="26">
        <v>27.99</v>
      </c>
    </row>
    <row r="4081">
      <c r="A4081" s="26" t="s">
        <v>10830</v>
      </c>
      <c r="B4081" s="26" t="s">
        <v>10831</v>
      </c>
      <c r="C4081" s="26" t="s">
        <v>1653</v>
      </c>
      <c r="D4081" s="26">
        <v>1.0</v>
      </c>
      <c r="E4081" s="26">
        <v>1340.0</v>
      </c>
      <c r="F4081" s="26">
        <v>1340.0</v>
      </c>
    </row>
    <row r="4082">
      <c r="A4082" s="26" t="s">
        <v>10833</v>
      </c>
      <c r="B4082" s="26" t="s">
        <v>10831</v>
      </c>
      <c r="C4082" s="26" t="s">
        <v>10350</v>
      </c>
      <c r="D4082" s="26">
        <v>1.0</v>
      </c>
      <c r="E4082" s="26">
        <v>105.91</v>
      </c>
      <c r="F4082" s="26">
        <v>105.91</v>
      </c>
    </row>
    <row r="4083">
      <c r="A4083" s="26" t="s">
        <v>10835</v>
      </c>
      <c r="B4083" s="26" t="s">
        <v>10836</v>
      </c>
      <c r="C4083" s="26" t="s">
        <v>226</v>
      </c>
      <c r="D4083" s="26">
        <v>5.0</v>
      </c>
      <c r="E4083" s="26">
        <v>8.5</v>
      </c>
      <c r="F4083" s="26">
        <v>42.5</v>
      </c>
    </row>
    <row r="4084">
      <c r="A4084" s="26" t="s">
        <v>10839</v>
      </c>
      <c r="B4084" s="26" t="s">
        <v>10836</v>
      </c>
      <c r="C4084" s="26" t="s">
        <v>152</v>
      </c>
      <c r="D4084" s="26">
        <v>1.3</v>
      </c>
      <c r="E4084" s="26">
        <v>3.99</v>
      </c>
      <c r="F4084" s="26">
        <v>5.19</v>
      </c>
    </row>
    <row r="4085">
      <c r="A4085" s="26" t="s">
        <v>10840</v>
      </c>
      <c r="B4085" s="26" t="s">
        <v>10836</v>
      </c>
      <c r="C4085" s="26" t="s">
        <v>230</v>
      </c>
      <c r="D4085" s="26">
        <v>7.1</v>
      </c>
      <c r="E4085" s="26">
        <v>28.0</v>
      </c>
      <c r="F4085" s="26">
        <v>198.8</v>
      </c>
    </row>
    <row r="4086">
      <c r="A4086" s="29" t="s">
        <v>10843</v>
      </c>
      <c r="B4086" s="26" t="s">
        <v>10836</v>
      </c>
      <c r="C4086" s="26" t="s">
        <v>155</v>
      </c>
      <c r="D4086" s="26">
        <v>2.3</v>
      </c>
      <c r="E4086" s="26">
        <v>6.3</v>
      </c>
      <c r="F4086" s="26">
        <v>14.49</v>
      </c>
    </row>
    <row r="4087">
      <c r="A4087" s="26" t="s">
        <v>10844</v>
      </c>
      <c r="B4087" s="26" t="s">
        <v>10836</v>
      </c>
      <c r="C4087" s="26" t="s">
        <v>159</v>
      </c>
      <c r="D4087" s="26">
        <v>10.0</v>
      </c>
      <c r="E4087" s="26">
        <v>11.0</v>
      </c>
      <c r="F4087" s="26">
        <v>110.0</v>
      </c>
    </row>
    <row r="4088">
      <c r="A4088" s="26" t="s">
        <v>10847</v>
      </c>
      <c r="B4088" s="26" t="s">
        <v>10848</v>
      </c>
      <c r="C4088" s="26" t="s">
        <v>152</v>
      </c>
      <c r="D4088" s="26">
        <v>1.07</v>
      </c>
      <c r="E4088" s="26">
        <v>5.99</v>
      </c>
      <c r="F4088" s="26">
        <v>6.41</v>
      </c>
    </row>
    <row r="4089">
      <c r="A4089" s="29" t="s">
        <v>10850</v>
      </c>
      <c r="B4089" s="26" t="s">
        <v>10848</v>
      </c>
      <c r="C4089" s="26" t="s">
        <v>247</v>
      </c>
      <c r="D4089" s="26">
        <v>8.0</v>
      </c>
      <c r="E4089" s="26">
        <v>0.99</v>
      </c>
      <c r="F4089" s="26">
        <v>7.92</v>
      </c>
    </row>
    <row r="4090">
      <c r="A4090" s="26" t="s">
        <v>10851</v>
      </c>
      <c r="B4090" s="26" t="s">
        <v>10848</v>
      </c>
      <c r="C4090" s="26" t="s">
        <v>6846</v>
      </c>
      <c r="D4090" s="26">
        <v>1.0</v>
      </c>
      <c r="E4090" s="26">
        <v>8.99</v>
      </c>
      <c r="F4090" s="26">
        <v>8.99</v>
      </c>
    </row>
    <row r="4091">
      <c r="A4091" s="26" t="s">
        <v>10853</v>
      </c>
      <c r="B4091" s="26" t="s">
        <v>10854</v>
      </c>
      <c r="C4091" s="26" t="s">
        <v>6846</v>
      </c>
      <c r="D4091" s="26">
        <v>1.0</v>
      </c>
      <c r="E4091" s="26">
        <v>37.7</v>
      </c>
      <c r="F4091" s="26">
        <v>37.7</v>
      </c>
    </row>
    <row r="4092">
      <c r="A4092" s="26" t="s">
        <v>10855</v>
      </c>
      <c r="B4092" s="26" t="s">
        <v>10854</v>
      </c>
      <c r="C4092" s="26" t="s">
        <v>10697</v>
      </c>
      <c r="D4092" s="26">
        <v>1.0</v>
      </c>
      <c r="E4092" s="26">
        <v>29.99</v>
      </c>
      <c r="F4092" s="26">
        <v>29.99</v>
      </c>
    </row>
    <row r="4093">
      <c r="A4093" s="26" t="s">
        <v>10857</v>
      </c>
      <c r="B4093" s="26" t="s">
        <v>10858</v>
      </c>
      <c r="C4093" s="29" t="s">
        <v>10424</v>
      </c>
      <c r="D4093" s="26">
        <v>5.0</v>
      </c>
      <c r="E4093" s="26">
        <v>25.0</v>
      </c>
      <c r="F4093" s="26">
        <v>125.0</v>
      </c>
    </row>
    <row r="4094">
      <c r="A4094" s="26" t="s">
        <v>10859</v>
      </c>
      <c r="B4094" s="26" t="s">
        <v>10860</v>
      </c>
      <c r="C4094" s="26" t="s">
        <v>10861</v>
      </c>
      <c r="D4094" s="26">
        <v>100.0</v>
      </c>
      <c r="E4094" s="26">
        <v>0.9</v>
      </c>
      <c r="F4094" s="26">
        <v>90.0</v>
      </c>
    </row>
    <row r="4095">
      <c r="A4095" s="26" t="s">
        <v>10864</v>
      </c>
      <c r="B4095" s="26" t="s">
        <v>10865</v>
      </c>
      <c r="C4095" s="26" t="s">
        <v>10293</v>
      </c>
      <c r="D4095" s="26">
        <v>2.0</v>
      </c>
      <c r="E4095" s="26">
        <v>7.99</v>
      </c>
      <c r="F4095" s="26">
        <v>15.98</v>
      </c>
    </row>
    <row r="4096">
      <c r="A4096" s="29" t="s">
        <v>10866</v>
      </c>
      <c r="B4096" s="26" t="s">
        <v>10865</v>
      </c>
      <c r="C4096" s="26" t="s">
        <v>10303</v>
      </c>
      <c r="D4096" s="26">
        <v>2.0</v>
      </c>
      <c r="E4096" s="26">
        <v>8.99</v>
      </c>
      <c r="F4096" s="26">
        <v>17.98</v>
      </c>
    </row>
    <row r="4097">
      <c r="A4097" s="26" t="s">
        <v>10869</v>
      </c>
      <c r="B4097" s="26" t="s">
        <v>10865</v>
      </c>
      <c r="C4097" s="26" t="s">
        <v>10500</v>
      </c>
      <c r="D4097" s="26">
        <v>1.0</v>
      </c>
      <c r="E4097" s="26">
        <v>4.49</v>
      </c>
      <c r="F4097" s="26">
        <v>4.49</v>
      </c>
    </row>
    <row r="4098">
      <c r="A4098" s="26" t="s">
        <v>10870</v>
      </c>
      <c r="B4098" s="26" t="s">
        <v>10865</v>
      </c>
      <c r="C4098" s="26" t="s">
        <v>10305</v>
      </c>
      <c r="D4098" s="26">
        <v>1.0</v>
      </c>
      <c r="E4098" s="26">
        <v>8.97</v>
      </c>
      <c r="F4098" s="26">
        <v>8.97</v>
      </c>
    </row>
    <row r="4099">
      <c r="A4099" s="26" t="s">
        <v>10871</v>
      </c>
      <c r="B4099" s="26" t="s">
        <v>10872</v>
      </c>
      <c r="C4099" s="26" t="s">
        <v>1536</v>
      </c>
      <c r="D4099" s="26">
        <v>1.0</v>
      </c>
      <c r="E4099" s="26">
        <v>45.0</v>
      </c>
      <c r="F4099" s="26">
        <v>45.0</v>
      </c>
    </row>
    <row r="4100">
      <c r="A4100" s="26" t="s">
        <v>10874</v>
      </c>
      <c r="B4100" s="26" t="s">
        <v>10875</v>
      </c>
      <c r="C4100" s="29" t="s">
        <v>10424</v>
      </c>
      <c r="D4100" s="26">
        <v>12.0</v>
      </c>
      <c r="E4100" s="26">
        <v>25.0</v>
      </c>
      <c r="F4100" s="26">
        <v>300.0</v>
      </c>
    </row>
    <row r="4101">
      <c r="A4101" s="26" t="s">
        <v>10876</v>
      </c>
      <c r="B4101" s="26" t="s">
        <v>10878</v>
      </c>
      <c r="C4101" s="26" t="s">
        <v>159</v>
      </c>
      <c r="D4101" s="26">
        <v>4.0</v>
      </c>
      <c r="E4101" s="26">
        <v>8.99</v>
      </c>
      <c r="F4101" s="26">
        <v>35.96</v>
      </c>
    </row>
    <row r="4102">
      <c r="A4102" s="26" t="s">
        <v>10880</v>
      </c>
      <c r="B4102" s="26" t="s">
        <v>10878</v>
      </c>
      <c r="C4102" s="29" t="s">
        <v>10424</v>
      </c>
      <c r="D4102" s="26">
        <v>5.0</v>
      </c>
      <c r="E4102" s="26">
        <v>8.99</v>
      </c>
      <c r="F4102" s="26">
        <v>44.95</v>
      </c>
    </row>
    <row r="4103">
      <c r="A4103" s="26" t="s">
        <v>10881</v>
      </c>
      <c r="B4103" s="26" t="s">
        <v>10878</v>
      </c>
      <c r="C4103" s="26" t="s">
        <v>152</v>
      </c>
      <c r="D4103" s="26">
        <v>2.9</v>
      </c>
      <c r="E4103" s="26">
        <v>4.99</v>
      </c>
      <c r="F4103" s="26">
        <v>14.47</v>
      </c>
    </row>
    <row r="4104">
      <c r="A4104" s="26" t="s">
        <v>10883</v>
      </c>
      <c r="B4104" s="26" t="s">
        <v>10878</v>
      </c>
      <c r="C4104" s="26" t="s">
        <v>159</v>
      </c>
      <c r="D4104" s="26">
        <v>1.0</v>
      </c>
      <c r="E4104" s="26">
        <v>8.99</v>
      </c>
      <c r="F4104" s="26">
        <v>8.99</v>
      </c>
    </row>
    <row r="4105">
      <c r="A4105" s="26" t="s">
        <v>10886</v>
      </c>
      <c r="B4105" s="26" t="s">
        <v>10887</v>
      </c>
      <c r="C4105" s="29" t="s">
        <v>10424</v>
      </c>
      <c r="D4105" s="26">
        <v>10.0</v>
      </c>
      <c r="E4105" s="26">
        <v>25.0</v>
      </c>
      <c r="F4105" s="26">
        <v>250.0</v>
      </c>
    </row>
    <row r="4106">
      <c r="A4106" s="26" t="s">
        <v>10888</v>
      </c>
      <c r="B4106" s="26" t="s">
        <v>10889</v>
      </c>
      <c r="C4106" s="26" t="s">
        <v>1653</v>
      </c>
      <c r="D4106" s="26">
        <v>1.0</v>
      </c>
      <c r="E4106" s="26">
        <v>1650.0</v>
      </c>
      <c r="F4106" s="26">
        <v>1650.0</v>
      </c>
    </row>
    <row r="4107">
      <c r="A4107" s="26" t="s">
        <v>10892</v>
      </c>
      <c r="B4107" s="26" t="s">
        <v>10889</v>
      </c>
      <c r="C4107" s="26" t="s">
        <v>10350</v>
      </c>
      <c r="D4107" s="26">
        <v>1.0</v>
      </c>
      <c r="E4107" s="26">
        <v>111.38</v>
      </c>
      <c r="F4107" s="26">
        <v>111.38</v>
      </c>
    </row>
    <row r="4108">
      <c r="A4108" s="26" t="s">
        <v>10895</v>
      </c>
      <c r="B4108" s="26" t="s">
        <v>10896</v>
      </c>
      <c r="C4108" s="26" t="s">
        <v>8458</v>
      </c>
      <c r="D4108" s="26">
        <v>1.0</v>
      </c>
      <c r="E4108" s="26">
        <v>20718.75</v>
      </c>
      <c r="F4108" s="26">
        <v>20718.75</v>
      </c>
    </row>
    <row r="4109">
      <c r="A4109" s="26" t="s">
        <v>10898</v>
      </c>
      <c r="B4109" s="26" t="s">
        <v>10896</v>
      </c>
      <c r="C4109" s="26" t="s">
        <v>10261</v>
      </c>
      <c r="D4109" s="26">
        <v>1.0</v>
      </c>
      <c r="E4109" s="26">
        <v>1761.09</v>
      </c>
      <c r="F4109" s="26">
        <v>1761.09</v>
      </c>
    </row>
    <row r="4110">
      <c r="A4110" s="26" t="s">
        <v>10901</v>
      </c>
      <c r="B4110" s="26" t="s">
        <v>10896</v>
      </c>
      <c r="C4110" s="26" t="s">
        <v>10350</v>
      </c>
      <c r="D4110" s="26">
        <v>1.0</v>
      </c>
      <c r="E4110" s="26">
        <v>372.27</v>
      </c>
      <c r="F4110" s="26">
        <v>372.27</v>
      </c>
    </row>
    <row r="4111">
      <c r="A4111" s="26" t="s">
        <v>10902</v>
      </c>
      <c r="B4111" s="26" t="s">
        <v>10903</v>
      </c>
      <c r="C4111" s="26" t="s">
        <v>1517</v>
      </c>
      <c r="D4111" s="26">
        <v>1.0</v>
      </c>
      <c r="E4111" s="26">
        <v>8669.55</v>
      </c>
      <c r="F4111" s="26">
        <v>8669.55</v>
      </c>
    </row>
    <row r="4112">
      <c r="A4112" s="26" t="s">
        <v>10906</v>
      </c>
      <c r="B4112" s="26" t="s">
        <v>10903</v>
      </c>
      <c r="C4112" s="26" t="s">
        <v>10261</v>
      </c>
      <c r="D4112" s="26">
        <v>1.0</v>
      </c>
      <c r="E4112" s="26">
        <v>736.91</v>
      </c>
      <c r="F4112" s="26">
        <v>736.91</v>
      </c>
    </row>
    <row r="4113">
      <c r="A4113" s="26" t="s">
        <v>10907</v>
      </c>
      <c r="B4113" s="26" t="s">
        <v>10908</v>
      </c>
      <c r="C4113" s="26" t="s">
        <v>691</v>
      </c>
      <c r="D4113" s="26">
        <v>2.0</v>
      </c>
      <c r="E4113" s="26">
        <v>45.0</v>
      </c>
      <c r="F4113" s="26">
        <v>90.0</v>
      </c>
    </row>
    <row r="4114">
      <c r="A4114" s="26" t="s">
        <v>10911</v>
      </c>
      <c r="B4114" s="26" t="s">
        <v>10908</v>
      </c>
      <c r="C4114" s="26" t="s">
        <v>6563</v>
      </c>
      <c r="D4114" s="26">
        <v>1.0</v>
      </c>
      <c r="E4114" s="26">
        <v>32.0</v>
      </c>
      <c r="F4114" s="26">
        <v>32.0</v>
      </c>
    </row>
    <row r="4115">
      <c r="A4115" s="26" t="s">
        <v>10912</v>
      </c>
      <c r="B4115" s="26" t="s">
        <v>10908</v>
      </c>
      <c r="C4115" s="26" t="s">
        <v>1195</v>
      </c>
      <c r="D4115" s="26">
        <v>2.0</v>
      </c>
      <c r="E4115" s="26">
        <v>21.0</v>
      </c>
      <c r="F4115" s="26">
        <v>42.0</v>
      </c>
    </row>
    <row r="4116">
      <c r="A4116" s="26" t="s">
        <v>10913</v>
      </c>
      <c r="B4116" s="26" t="s">
        <v>10908</v>
      </c>
      <c r="C4116" s="26" t="s">
        <v>1197</v>
      </c>
      <c r="D4116" s="26">
        <v>4.0</v>
      </c>
      <c r="E4116" s="26">
        <v>18.0</v>
      </c>
      <c r="F4116" s="26">
        <v>72.0</v>
      </c>
    </row>
    <row r="4117">
      <c r="A4117" s="26" t="s">
        <v>10915</v>
      </c>
      <c r="B4117" s="26" t="s">
        <v>10916</v>
      </c>
      <c r="C4117" s="29" t="s">
        <v>10459</v>
      </c>
      <c r="D4117" s="26">
        <v>3.0</v>
      </c>
      <c r="E4117" s="26">
        <v>20.28</v>
      </c>
      <c r="F4117" s="26">
        <v>60.84</v>
      </c>
    </row>
    <row r="4118">
      <c r="A4118" s="26" t="s">
        <v>10917</v>
      </c>
      <c r="B4118" s="26" t="s">
        <v>10916</v>
      </c>
      <c r="C4118" s="26" t="s">
        <v>1384</v>
      </c>
      <c r="D4118" s="26">
        <v>1.0</v>
      </c>
      <c r="E4118" s="26">
        <v>20.28</v>
      </c>
      <c r="F4118" s="26">
        <v>20.28</v>
      </c>
    </row>
    <row r="4119">
      <c r="A4119" s="26" t="s">
        <v>10919</v>
      </c>
      <c r="B4119" s="26" t="s">
        <v>10916</v>
      </c>
      <c r="C4119" s="26" t="s">
        <v>1074</v>
      </c>
      <c r="D4119" s="26">
        <v>3.0</v>
      </c>
      <c r="E4119" s="26">
        <v>44.0</v>
      </c>
      <c r="F4119" s="26">
        <v>132.0</v>
      </c>
    </row>
    <row r="4120">
      <c r="A4120" s="26" t="s">
        <v>10920</v>
      </c>
      <c r="B4120" s="26" t="s">
        <v>10916</v>
      </c>
      <c r="C4120" s="26" t="s">
        <v>1075</v>
      </c>
      <c r="D4120" s="26">
        <v>4.0</v>
      </c>
      <c r="E4120" s="26">
        <v>21.0</v>
      </c>
      <c r="F4120" s="26">
        <v>84.0</v>
      </c>
    </row>
    <row r="4121">
      <c r="A4121" s="26" t="s">
        <v>10924</v>
      </c>
      <c r="B4121" s="26" t="s">
        <v>10916</v>
      </c>
      <c r="C4121" s="26" t="s">
        <v>1077</v>
      </c>
      <c r="D4121" s="26">
        <v>2.0</v>
      </c>
      <c r="E4121" s="26">
        <v>25.8</v>
      </c>
      <c r="F4121" s="26">
        <v>51.6</v>
      </c>
    </row>
    <row r="4122">
      <c r="A4122" s="26" t="s">
        <v>10925</v>
      </c>
      <c r="B4122" s="26" t="s">
        <v>10916</v>
      </c>
      <c r="C4122" s="26" t="s">
        <v>1079</v>
      </c>
      <c r="D4122" s="26">
        <v>10.0</v>
      </c>
      <c r="E4122" s="26">
        <v>18.0</v>
      </c>
      <c r="F4122" s="26">
        <v>180.0</v>
      </c>
    </row>
    <row r="4123">
      <c r="A4123" s="26" t="s">
        <v>10927</v>
      </c>
      <c r="B4123" s="26" t="s">
        <v>10916</v>
      </c>
      <c r="C4123" s="26" t="s">
        <v>1080</v>
      </c>
      <c r="D4123" s="26">
        <v>9.0</v>
      </c>
      <c r="E4123" s="26">
        <v>18.0</v>
      </c>
      <c r="F4123" s="26">
        <v>162.0</v>
      </c>
    </row>
    <row r="4124">
      <c r="A4124" s="26" t="s">
        <v>10929</v>
      </c>
      <c r="B4124" s="26" t="s">
        <v>10916</v>
      </c>
      <c r="C4124" s="26" t="s">
        <v>1083</v>
      </c>
      <c r="D4124" s="26">
        <v>2.0</v>
      </c>
      <c r="E4124" s="26">
        <v>18.9</v>
      </c>
      <c r="F4124" s="26">
        <v>37.8</v>
      </c>
    </row>
    <row r="4125">
      <c r="A4125" s="26" t="s">
        <v>10930</v>
      </c>
      <c r="B4125" s="26" t="s">
        <v>10916</v>
      </c>
      <c r="C4125" s="26" t="s">
        <v>1081</v>
      </c>
      <c r="D4125" s="26">
        <v>2.0</v>
      </c>
      <c r="E4125" s="26">
        <v>50.0</v>
      </c>
      <c r="F4125" s="26">
        <v>100.0</v>
      </c>
    </row>
    <row r="4126">
      <c r="A4126" s="26" t="s">
        <v>10933</v>
      </c>
      <c r="B4126" s="26" t="s">
        <v>10934</v>
      </c>
      <c r="C4126" s="26" t="s">
        <v>226</v>
      </c>
      <c r="D4126" s="26">
        <v>4.0</v>
      </c>
      <c r="E4126" s="26">
        <v>9.0</v>
      </c>
      <c r="F4126" s="26">
        <v>36.0</v>
      </c>
    </row>
    <row r="4127">
      <c r="A4127" s="26" t="s">
        <v>10936</v>
      </c>
      <c r="B4127" s="26" t="s">
        <v>10934</v>
      </c>
      <c r="C4127" s="26" t="s">
        <v>152</v>
      </c>
      <c r="D4127" s="26">
        <v>2.76</v>
      </c>
      <c r="E4127" s="26">
        <v>4.5</v>
      </c>
      <c r="F4127" s="26">
        <v>12.42</v>
      </c>
    </row>
    <row r="4128">
      <c r="A4128" s="26" t="s">
        <v>10938</v>
      </c>
      <c r="B4128" s="26" t="s">
        <v>10934</v>
      </c>
      <c r="C4128" s="26" t="s">
        <v>230</v>
      </c>
      <c r="D4128" s="26">
        <v>8.5</v>
      </c>
      <c r="E4128" s="26">
        <v>29.0</v>
      </c>
      <c r="F4128" s="26">
        <v>246.5</v>
      </c>
    </row>
    <row r="4129">
      <c r="A4129" s="26" t="s">
        <v>10942</v>
      </c>
      <c r="B4129" s="26" t="s">
        <v>10934</v>
      </c>
      <c r="C4129" s="26" t="s">
        <v>155</v>
      </c>
      <c r="D4129" s="26">
        <v>4.74</v>
      </c>
      <c r="E4129" s="26">
        <v>6.5</v>
      </c>
      <c r="F4129" s="26">
        <v>30.81</v>
      </c>
    </row>
    <row r="4130">
      <c r="A4130" s="26" t="s">
        <v>10943</v>
      </c>
      <c r="B4130" s="26" t="s">
        <v>10934</v>
      </c>
      <c r="C4130" s="26" t="s">
        <v>159</v>
      </c>
      <c r="D4130" s="26">
        <v>10.0</v>
      </c>
      <c r="E4130" s="26">
        <v>12.0</v>
      </c>
      <c r="F4130" s="26">
        <v>120.0</v>
      </c>
    </row>
    <row r="4131">
      <c r="A4131" s="26" t="s">
        <v>10944</v>
      </c>
      <c r="B4131" s="29" t="s">
        <v>10945</v>
      </c>
      <c r="C4131" s="26" t="s">
        <v>230</v>
      </c>
      <c r="D4131" s="26">
        <v>8.0</v>
      </c>
      <c r="E4131" s="26">
        <v>29.0</v>
      </c>
      <c r="F4131" s="26">
        <v>232.0</v>
      </c>
    </row>
    <row r="4132">
      <c r="A4132" s="26" t="s">
        <v>10948</v>
      </c>
      <c r="B4132" s="29" t="s">
        <v>10945</v>
      </c>
      <c r="C4132" s="26" t="s">
        <v>155</v>
      </c>
      <c r="D4132" s="26">
        <v>3.5</v>
      </c>
      <c r="E4132" s="26">
        <v>6.3</v>
      </c>
      <c r="F4132" s="26">
        <v>22.05</v>
      </c>
    </row>
    <row r="4133">
      <c r="A4133" s="26" t="s">
        <v>10950</v>
      </c>
      <c r="B4133" s="29" t="s">
        <v>10945</v>
      </c>
      <c r="C4133" s="26" t="s">
        <v>159</v>
      </c>
      <c r="D4133" s="26">
        <v>10.0</v>
      </c>
      <c r="E4133" s="26">
        <v>12.0</v>
      </c>
      <c r="F4133" s="26">
        <v>120.0</v>
      </c>
    </row>
    <row r="4134">
      <c r="A4134" s="26" t="s">
        <v>10951</v>
      </c>
      <c r="B4134" s="26" t="s">
        <v>10952</v>
      </c>
      <c r="C4134" s="26" t="s">
        <v>10457</v>
      </c>
      <c r="D4134" s="26">
        <v>3.0</v>
      </c>
      <c r="E4134" s="26">
        <v>22.38</v>
      </c>
      <c r="F4134" s="26">
        <v>67.14</v>
      </c>
    </row>
    <row r="4135">
      <c r="A4135" s="26" t="s">
        <v>10953</v>
      </c>
      <c r="B4135" s="26" t="s">
        <v>10952</v>
      </c>
      <c r="C4135" s="29" t="s">
        <v>10459</v>
      </c>
      <c r="D4135" s="26">
        <v>1.0</v>
      </c>
      <c r="E4135" s="26">
        <v>20.28</v>
      </c>
      <c r="F4135" s="26">
        <v>20.28</v>
      </c>
    </row>
    <row r="4136">
      <c r="A4136" s="29" t="s">
        <v>10957</v>
      </c>
      <c r="B4136" s="26" t="s">
        <v>10952</v>
      </c>
      <c r="C4136" s="26" t="s">
        <v>1384</v>
      </c>
      <c r="D4136" s="26">
        <v>2.0</v>
      </c>
      <c r="E4136" s="26">
        <v>20.28</v>
      </c>
      <c r="F4136" s="26">
        <v>40.56</v>
      </c>
    </row>
    <row r="4137">
      <c r="A4137" s="26" t="s">
        <v>10958</v>
      </c>
      <c r="B4137" s="26" t="s">
        <v>10952</v>
      </c>
      <c r="C4137" s="26" t="s">
        <v>1074</v>
      </c>
      <c r="D4137" s="26">
        <v>1.0</v>
      </c>
      <c r="E4137" s="26">
        <v>45.47</v>
      </c>
      <c r="F4137" s="26">
        <v>45.47</v>
      </c>
    </row>
    <row r="4138">
      <c r="A4138" s="26" t="s">
        <v>10961</v>
      </c>
      <c r="B4138" s="26" t="s">
        <v>10952</v>
      </c>
      <c r="C4138" s="26" t="s">
        <v>1075</v>
      </c>
      <c r="D4138" s="26">
        <v>6.0</v>
      </c>
      <c r="E4138" s="26">
        <v>22.74</v>
      </c>
      <c r="F4138" s="26">
        <v>136.44</v>
      </c>
    </row>
    <row r="4139">
      <c r="A4139" s="26" t="s">
        <v>10962</v>
      </c>
      <c r="B4139" s="26" t="s">
        <v>10952</v>
      </c>
      <c r="C4139" s="26" t="s">
        <v>1077</v>
      </c>
      <c r="D4139" s="26">
        <v>3.0</v>
      </c>
      <c r="E4139" s="26">
        <v>25.8</v>
      </c>
      <c r="F4139" s="26">
        <v>77.4</v>
      </c>
    </row>
    <row r="4140">
      <c r="A4140" s="26" t="s">
        <v>10964</v>
      </c>
      <c r="B4140" s="26" t="s">
        <v>10952</v>
      </c>
      <c r="C4140" s="26" t="s">
        <v>1079</v>
      </c>
      <c r="D4140" s="26">
        <v>15.0</v>
      </c>
      <c r="E4140" s="26">
        <v>18.0</v>
      </c>
      <c r="F4140" s="26">
        <v>270.0</v>
      </c>
    </row>
    <row r="4141">
      <c r="A4141" s="26" t="s">
        <v>10966</v>
      </c>
      <c r="B4141" s="26" t="s">
        <v>10952</v>
      </c>
      <c r="C4141" s="26" t="s">
        <v>1080</v>
      </c>
      <c r="D4141" s="26">
        <v>8.0</v>
      </c>
      <c r="E4141" s="26">
        <v>18.0</v>
      </c>
      <c r="F4141" s="26">
        <v>144.0</v>
      </c>
    </row>
    <row r="4142">
      <c r="A4142" s="26" t="s">
        <v>10967</v>
      </c>
      <c r="B4142" s="26" t="s">
        <v>10952</v>
      </c>
      <c r="C4142" s="26" t="s">
        <v>1081</v>
      </c>
      <c r="D4142" s="26">
        <v>6.0</v>
      </c>
      <c r="E4142" s="26">
        <v>50.0</v>
      </c>
      <c r="F4142" s="26">
        <v>300.0</v>
      </c>
    </row>
    <row r="4143">
      <c r="A4143" s="26" t="s">
        <v>10971</v>
      </c>
      <c r="B4143" s="26" t="s">
        <v>10952</v>
      </c>
      <c r="C4143" s="26" t="s">
        <v>1083</v>
      </c>
      <c r="D4143" s="26">
        <v>2.0</v>
      </c>
      <c r="E4143" s="26">
        <v>18.9</v>
      </c>
      <c r="F4143" s="26">
        <v>37.8</v>
      </c>
    </row>
    <row r="4144">
      <c r="A4144" s="26" t="s">
        <v>10972</v>
      </c>
      <c r="B4144" s="26" t="s">
        <v>10952</v>
      </c>
      <c r="C4144" s="26" t="s">
        <v>1085</v>
      </c>
      <c r="D4144" s="26">
        <v>3.0</v>
      </c>
      <c r="E4144" s="26">
        <v>41.04</v>
      </c>
      <c r="F4144" s="26">
        <v>123.12</v>
      </c>
    </row>
    <row r="4145">
      <c r="A4145" s="26" t="s">
        <v>10974</v>
      </c>
      <c r="B4145" s="26" t="s">
        <v>10976</v>
      </c>
      <c r="C4145" s="26" t="s">
        <v>10344</v>
      </c>
      <c r="D4145" s="26">
        <v>1.0</v>
      </c>
      <c r="E4145" s="26">
        <v>10.99</v>
      </c>
      <c r="F4145" s="26">
        <v>10.99</v>
      </c>
    </row>
    <row r="4146">
      <c r="A4146" s="26" t="s">
        <v>10978</v>
      </c>
      <c r="B4146" s="26" t="s">
        <v>10976</v>
      </c>
      <c r="C4146" s="26" t="s">
        <v>10293</v>
      </c>
      <c r="D4146" s="26">
        <v>1.0</v>
      </c>
      <c r="E4146" s="26">
        <v>7.99</v>
      </c>
      <c r="F4146" s="26">
        <v>7.99</v>
      </c>
    </row>
    <row r="4147">
      <c r="A4147" s="26" t="s">
        <v>10979</v>
      </c>
      <c r="B4147" s="26" t="s">
        <v>10976</v>
      </c>
      <c r="C4147" s="26" t="s">
        <v>10500</v>
      </c>
      <c r="D4147" s="26">
        <v>1.0</v>
      </c>
      <c r="E4147" s="26">
        <v>9.99</v>
      </c>
      <c r="F4147" s="26">
        <v>9.99</v>
      </c>
    </row>
    <row r="4148">
      <c r="A4148" s="26" t="s">
        <v>10982</v>
      </c>
      <c r="B4148" s="26" t="s">
        <v>10976</v>
      </c>
      <c r="C4148" s="26" t="s">
        <v>10500</v>
      </c>
      <c r="D4148" s="26">
        <v>1.0</v>
      </c>
      <c r="E4148" s="26">
        <v>4.99</v>
      </c>
      <c r="F4148" s="26">
        <v>4.99</v>
      </c>
    </row>
    <row r="4149">
      <c r="A4149" s="26" t="s">
        <v>10983</v>
      </c>
      <c r="B4149" s="26" t="s">
        <v>10976</v>
      </c>
      <c r="C4149" s="26" t="s">
        <v>10303</v>
      </c>
      <c r="D4149" s="26">
        <v>2.0</v>
      </c>
      <c r="E4149" s="26">
        <v>9.98</v>
      </c>
      <c r="F4149" s="26">
        <v>19.96</v>
      </c>
    </row>
    <row r="4150">
      <c r="A4150" s="26" t="s">
        <v>10985</v>
      </c>
      <c r="B4150" s="26" t="s">
        <v>10976</v>
      </c>
      <c r="C4150" s="26" t="s">
        <v>10491</v>
      </c>
      <c r="D4150" s="26">
        <v>0.616</v>
      </c>
      <c r="E4150" s="26">
        <v>14.99</v>
      </c>
      <c r="F4150" s="26">
        <v>9.23</v>
      </c>
    </row>
    <row r="4151">
      <c r="A4151" s="26" t="s">
        <v>10987</v>
      </c>
      <c r="B4151" s="26" t="s">
        <v>10976</v>
      </c>
      <c r="C4151" s="26" t="s">
        <v>10503</v>
      </c>
      <c r="D4151" s="26">
        <v>1.0</v>
      </c>
      <c r="E4151" s="26">
        <v>23.99</v>
      </c>
      <c r="F4151" s="26">
        <v>23.99</v>
      </c>
    </row>
    <row r="4152">
      <c r="A4152" s="26" t="s">
        <v>10988</v>
      </c>
      <c r="B4152" s="26" t="s">
        <v>10989</v>
      </c>
      <c r="C4152" s="29" t="s">
        <v>10424</v>
      </c>
      <c r="D4152" s="26">
        <v>12.0</v>
      </c>
      <c r="E4152" s="26">
        <v>25.0</v>
      </c>
      <c r="F4152" s="26">
        <v>300.0</v>
      </c>
    </row>
    <row r="4153">
      <c r="A4153" s="26" t="s">
        <v>10991</v>
      </c>
      <c r="B4153" s="26" t="s">
        <v>10992</v>
      </c>
      <c r="C4153" s="26" t="s">
        <v>226</v>
      </c>
      <c r="D4153" s="26">
        <v>2.0</v>
      </c>
      <c r="E4153" s="26">
        <v>9.0</v>
      </c>
      <c r="F4153" s="26">
        <v>18.0</v>
      </c>
    </row>
    <row r="4154">
      <c r="A4154" s="26" t="s">
        <v>10993</v>
      </c>
      <c r="B4154" s="26" t="s">
        <v>10992</v>
      </c>
      <c r="C4154" s="26" t="s">
        <v>152</v>
      </c>
      <c r="D4154" s="26">
        <v>1.6</v>
      </c>
      <c r="E4154" s="26">
        <v>4.9</v>
      </c>
      <c r="F4154" s="26">
        <v>7.84</v>
      </c>
    </row>
    <row r="4155">
      <c r="A4155" s="26" t="s">
        <v>10995</v>
      </c>
      <c r="B4155" s="26" t="s">
        <v>10992</v>
      </c>
      <c r="C4155" s="26" t="s">
        <v>230</v>
      </c>
      <c r="D4155" s="26">
        <v>8.0</v>
      </c>
      <c r="E4155" s="26">
        <v>29.0</v>
      </c>
      <c r="F4155" s="26">
        <v>232.0</v>
      </c>
    </row>
    <row r="4156">
      <c r="A4156" s="26" t="s">
        <v>10996</v>
      </c>
      <c r="B4156" s="26" t="s">
        <v>10992</v>
      </c>
      <c r="C4156" s="26" t="s">
        <v>155</v>
      </c>
      <c r="D4156" s="26">
        <v>3.4</v>
      </c>
      <c r="E4156" s="26">
        <v>6.5</v>
      </c>
      <c r="F4156" s="26">
        <v>22.1</v>
      </c>
    </row>
    <row r="4157">
      <c r="A4157" s="26" t="s">
        <v>10997</v>
      </c>
      <c r="B4157" s="26" t="s">
        <v>10992</v>
      </c>
      <c r="C4157" s="26" t="s">
        <v>159</v>
      </c>
      <c r="D4157" s="26">
        <v>10.0</v>
      </c>
      <c r="E4157" s="26">
        <v>12.0</v>
      </c>
      <c r="F4157" s="26">
        <v>120.0</v>
      </c>
    </row>
    <row r="4158">
      <c r="A4158" s="26" t="s">
        <v>10998</v>
      </c>
      <c r="B4158" s="26" t="s">
        <v>10999</v>
      </c>
      <c r="C4158" s="26" t="s">
        <v>230</v>
      </c>
      <c r="D4158" s="26">
        <v>4.0</v>
      </c>
      <c r="E4158" s="26">
        <v>10.99</v>
      </c>
      <c r="F4158" s="26">
        <v>43.96</v>
      </c>
    </row>
    <row r="4159">
      <c r="A4159" s="26" t="s">
        <v>11000</v>
      </c>
      <c r="B4159" s="26" t="s">
        <v>10999</v>
      </c>
      <c r="C4159" s="26" t="s">
        <v>226</v>
      </c>
      <c r="D4159" s="26">
        <v>1.0</v>
      </c>
      <c r="E4159" s="26">
        <v>6.99</v>
      </c>
      <c r="F4159" s="26">
        <v>6.99</v>
      </c>
    </row>
    <row r="4160">
      <c r="A4160" s="26" t="s">
        <v>11001</v>
      </c>
      <c r="B4160" s="26" t="s">
        <v>11002</v>
      </c>
      <c r="C4160" s="26" t="s">
        <v>159</v>
      </c>
      <c r="D4160" s="26">
        <v>8.0</v>
      </c>
      <c r="E4160" s="26">
        <v>9.9</v>
      </c>
      <c r="F4160" s="26">
        <v>79.2</v>
      </c>
    </row>
    <row r="4161">
      <c r="A4161" s="26" t="s">
        <v>11003</v>
      </c>
      <c r="B4161" s="26" t="s">
        <v>11002</v>
      </c>
      <c r="C4161" s="26" t="s">
        <v>152</v>
      </c>
      <c r="D4161" s="26">
        <v>1.98</v>
      </c>
      <c r="E4161" s="26">
        <v>6.69</v>
      </c>
      <c r="F4161" s="26">
        <v>13.25</v>
      </c>
    </row>
    <row r="4162">
      <c r="A4162" s="26" t="s">
        <v>11004</v>
      </c>
      <c r="B4162" s="26" t="s">
        <v>11002</v>
      </c>
      <c r="C4162" s="26" t="s">
        <v>155</v>
      </c>
      <c r="D4162" s="26">
        <v>1.46</v>
      </c>
      <c r="E4162" s="26">
        <v>7.99</v>
      </c>
      <c r="F4162" s="26">
        <v>11.67</v>
      </c>
    </row>
    <row r="4163">
      <c r="A4163" s="26" t="s">
        <v>11005</v>
      </c>
      <c r="B4163" s="26" t="s">
        <v>11006</v>
      </c>
      <c r="C4163" s="29" t="s">
        <v>10424</v>
      </c>
      <c r="D4163" s="26">
        <v>9.0</v>
      </c>
      <c r="E4163" s="26">
        <v>25.0</v>
      </c>
      <c r="F4163" s="26">
        <v>225.0</v>
      </c>
    </row>
    <row r="4164">
      <c r="A4164" s="26" t="s">
        <v>11008</v>
      </c>
      <c r="B4164" s="26" t="s">
        <v>11009</v>
      </c>
      <c r="C4164" s="26" t="s">
        <v>226</v>
      </c>
      <c r="D4164" s="26">
        <v>2.0</v>
      </c>
      <c r="E4164" s="26">
        <v>5.99</v>
      </c>
      <c r="F4164" s="26">
        <v>11.98</v>
      </c>
    </row>
    <row r="4165">
      <c r="A4165" s="26" t="s">
        <v>11010</v>
      </c>
      <c r="B4165" s="26" t="s">
        <v>11011</v>
      </c>
      <c r="C4165" s="26" t="s">
        <v>152</v>
      </c>
      <c r="D4165" s="26">
        <v>2.085</v>
      </c>
      <c r="E4165" s="26">
        <v>5.99</v>
      </c>
      <c r="F4165" s="26">
        <v>12.49</v>
      </c>
    </row>
    <row r="4166">
      <c r="A4166" s="26" t="s">
        <v>11013</v>
      </c>
      <c r="B4166" s="26" t="s">
        <v>11014</v>
      </c>
      <c r="C4166" s="26" t="s">
        <v>10457</v>
      </c>
      <c r="D4166" s="26">
        <v>2.0</v>
      </c>
      <c r="E4166" s="26">
        <v>22.38</v>
      </c>
      <c r="F4166" s="26">
        <v>44.76</v>
      </c>
    </row>
    <row r="4167">
      <c r="A4167" s="26" t="s">
        <v>11016</v>
      </c>
      <c r="B4167" s="26" t="s">
        <v>11014</v>
      </c>
      <c r="C4167" s="29" t="s">
        <v>10459</v>
      </c>
      <c r="D4167" s="26">
        <v>1.0</v>
      </c>
      <c r="E4167" s="26">
        <v>20.28</v>
      </c>
      <c r="F4167" s="26">
        <v>20.28</v>
      </c>
    </row>
    <row r="4168">
      <c r="A4168" s="26" t="s">
        <v>11017</v>
      </c>
      <c r="B4168" s="26" t="s">
        <v>11014</v>
      </c>
      <c r="C4168" s="26" t="s">
        <v>1074</v>
      </c>
      <c r="D4168" s="26">
        <v>4.0</v>
      </c>
      <c r="E4168" s="26">
        <v>42.0</v>
      </c>
      <c r="F4168" s="26">
        <v>168.0</v>
      </c>
    </row>
    <row r="4169">
      <c r="A4169" s="26" t="s">
        <v>11018</v>
      </c>
      <c r="B4169" s="26" t="s">
        <v>11014</v>
      </c>
      <c r="C4169" s="26" t="s">
        <v>1075</v>
      </c>
      <c r="D4169" s="26">
        <v>3.0</v>
      </c>
      <c r="E4169" s="26">
        <v>21.0</v>
      </c>
      <c r="F4169" s="26">
        <v>63.0</v>
      </c>
    </row>
    <row r="4170">
      <c r="A4170" s="26" t="s">
        <v>11019</v>
      </c>
      <c r="B4170" s="26" t="s">
        <v>11014</v>
      </c>
      <c r="C4170" s="26" t="s">
        <v>1079</v>
      </c>
      <c r="D4170" s="26">
        <v>15.0</v>
      </c>
      <c r="E4170" s="26">
        <v>19.0</v>
      </c>
      <c r="F4170" s="26">
        <v>285.0</v>
      </c>
    </row>
    <row r="4171">
      <c r="A4171" s="26" t="s">
        <v>11020</v>
      </c>
      <c r="B4171" s="26" t="s">
        <v>11014</v>
      </c>
      <c r="C4171" s="26" t="s">
        <v>1080</v>
      </c>
      <c r="D4171" s="26">
        <v>8.0</v>
      </c>
      <c r="E4171" s="26">
        <v>19.0</v>
      </c>
      <c r="F4171" s="26">
        <v>152.0</v>
      </c>
    </row>
    <row r="4172">
      <c r="A4172" s="26" t="s">
        <v>11021</v>
      </c>
      <c r="B4172" s="26" t="s">
        <v>11014</v>
      </c>
      <c r="C4172" s="26" t="s">
        <v>1081</v>
      </c>
      <c r="D4172" s="26">
        <v>3.0</v>
      </c>
      <c r="E4172" s="26">
        <v>48.0</v>
      </c>
      <c r="F4172" s="26">
        <v>144.0</v>
      </c>
    </row>
    <row r="4173">
      <c r="A4173" s="26" t="s">
        <v>11022</v>
      </c>
      <c r="B4173" s="26" t="s">
        <v>11014</v>
      </c>
      <c r="C4173" s="26" t="s">
        <v>1077</v>
      </c>
      <c r="D4173" s="26">
        <v>2.0</v>
      </c>
      <c r="E4173" s="26">
        <v>24.0</v>
      </c>
      <c r="F4173" s="26">
        <v>48.0</v>
      </c>
    </row>
    <row r="4174">
      <c r="A4174" s="26" t="s">
        <v>11023</v>
      </c>
      <c r="B4174" s="26" t="s">
        <v>11014</v>
      </c>
      <c r="C4174" s="26" t="s">
        <v>1081</v>
      </c>
      <c r="D4174" s="26">
        <v>6.0</v>
      </c>
      <c r="E4174" s="26">
        <v>48.0</v>
      </c>
      <c r="F4174" s="26">
        <v>288.0</v>
      </c>
    </row>
    <row r="4175">
      <c r="A4175" s="26" t="s">
        <v>11024</v>
      </c>
      <c r="B4175" s="26" t="s">
        <v>11025</v>
      </c>
      <c r="C4175" s="29" t="s">
        <v>10424</v>
      </c>
      <c r="D4175" s="26">
        <v>12.0</v>
      </c>
      <c r="E4175" s="26">
        <v>25.0</v>
      </c>
      <c r="F4175" s="26">
        <v>300.0</v>
      </c>
    </row>
    <row r="4176">
      <c r="A4176" s="26" t="s">
        <v>11026</v>
      </c>
      <c r="B4176" s="26" t="s">
        <v>11027</v>
      </c>
      <c r="C4176" s="26" t="s">
        <v>226</v>
      </c>
      <c r="D4176" s="26">
        <v>4.0</v>
      </c>
      <c r="E4176" s="26">
        <v>9.0</v>
      </c>
      <c r="F4176" s="26">
        <v>36.0</v>
      </c>
    </row>
    <row r="4177">
      <c r="A4177" s="26" t="s">
        <v>11028</v>
      </c>
      <c r="B4177" s="26" t="s">
        <v>11027</v>
      </c>
      <c r="C4177" s="26" t="s">
        <v>230</v>
      </c>
      <c r="D4177" s="26">
        <v>8.065</v>
      </c>
      <c r="E4177" s="26">
        <v>36.0</v>
      </c>
      <c r="F4177" s="26">
        <v>290.34</v>
      </c>
    </row>
    <row r="4178">
      <c r="A4178" s="26" t="s">
        <v>11030</v>
      </c>
      <c r="B4178" s="26" t="s">
        <v>11027</v>
      </c>
      <c r="C4178" s="26" t="s">
        <v>155</v>
      </c>
      <c r="D4178" s="26">
        <v>2.29</v>
      </c>
      <c r="E4178" s="26">
        <v>6.3</v>
      </c>
      <c r="F4178" s="26">
        <v>14.43</v>
      </c>
    </row>
    <row r="4179">
      <c r="A4179" s="26" t="s">
        <v>11031</v>
      </c>
      <c r="B4179" s="26" t="s">
        <v>11027</v>
      </c>
      <c r="C4179" s="26" t="s">
        <v>159</v>
      </c>
      <c r="D4179" s="26">
        <v>7.0</v>
      </c>
      <c r="E4179" s="26">
        <v>12.0</v>
      </c>
      <c r="F4179" s="26">
        <v>84.0</v>
      </c>
    </row>
    <row r="4180">
      <c r="A4180" s="26" t="s">
        <v>11032</v>
      </c>
      <c r="B4180" s="26" t="s">
        <v>11033</v>
      </c>
      <c r="C4180" s="26" t="s">
        <v>1668</v>
      </c>
      <c r="D4180" s="26">
        <v>1.0</v>
      </c>
      <c r="E4180" s="26">
        <v>134.83</v>
      </c>
      <c r="F4180" s="26">
        <v>134.83</v>
      </c>
    </row>
    <row r="4181">
      <c r="A4181" s="26" t="s">
        <v>11034</v>
      </c>
      <c r="B4181" s="26" t="s">
        <v>11035</v>
      </c>
      <c r="C4181" s="26" t="s">
        <v>152</v>
      </c>
      <c r="D4181" s="26">
        <v>0.85</v>
      </c>
      <c r="E4181" s="26">
        <v>5.49</v>
      </c>
      <c r="F4181" s="26">
        <v>4.67</v>
      </c>
    </row>
    <row r="4182">
      <c r="A4182" s="26" t="s">
        <v>11037</v>
      </c>
      <c r="B4182" s="26" t="s">
        <v>11035</v>
      </c>
      <c r="C4182" s="26" t="s">
        <v>10491</v>
      </c>
      <c r="D4182" s="26">
        <v>0.288</v>
      </c>
      <c r="E4182" s="26">
        <v>11.99</v>
      </c>
      <c r="F4182" s="26">
        <v>3.45</v>
      </c>
    </row>
    <row r="4183">
      <c r="A4183" s="26" t="s">
        <v>11038</v>
      </c>
      <c r="B4183" s="26" t="s">
        <v>11035</v>
      </c>
      <c r="C4183" s="26" t="s">
        <v>10491</v>
      </c>
      <c r="D4183" s="26">
        <v>0.414</v>
      </c>
      <c r="E4183" s="26">
        <v>11.99</v>
      </c>
      <c r="F4183" s="26">
        <v>4.96</v>
      </c>
    </row>
    <row r="4184">
      <c r="A4184" s="26" t="s">
        <v>11039</v>
      </c>
      <c r="B4184" s="26" t="s">
        <v>11035</v>
      </c>
      <c r="C4184" s="26" t="s">
        <v>10293</v>
      </c>
      <c r="D4184" s="26">
        <v>1.0</v>
      </c>
      <c r="E4184" s="26">
        <v>4.99</v>
      </c>
      <c r="F4184" s="26">
        <v>4.99</v>
      </c>
    </row>
    <row r="4185">
      <c r="A4185" s="29" t="s">
        <v>11041</v>
      </c>
      <c r="B4185" s="26" t="s">
        <v>11035</v>
      </c>
      <c r="C4185" s="26" t="s">
        <v>10268</v>
      </c>
      <c r="D4185" s="26">
        <v>1.0</v>
      </c>
      <c r="E4185" s="26">
        <v>4.69</v>
      </c>
      <c r="F4185" s="26">
        <v>4.69</v>
      </c>
    </row>
    <row r="4186">
      <c r="A4186" s="26" t="s">
        <v>11042</v>
      </c>
      <c r="B4186" s="26" t="s">
        <v>11035</v>
      </c>
      <c r="C4186" s="26" t="s">
        <v>10305</v>
      </c>
      <c r="D4186" s="26">
        <v>1.0</v>
      </c>
      <c r="E4186" s="26">
        <v>8.99</v>
      </c>
      <c r="F4186" s="26">
        <v>8.99</v>
      </c>
    </row>
    <row r="4187">
      <c r="A4187" s="26" t="s">
        <v>11044</v>
      </c>
      <c r="B4187" s="26" t="s">
        <v>11035</v>
      </c>
      <c r="C4187" s="26" t="s">
        <v>10500</v>
      </c>
      <c r="D4187" s="26">
        <v>1.0</v>
      </c>
      <c r="E4187" s="26">
        <v>6.99</v>
      </c>
      <c r="F4187" s="26">
        <v>6.99</v>
      </c>
    </row>
    <row r="4188">
      <c r="A4188" s="26" t="s">
        <v>11046</v>
      </c>
      <c r="B4188" s="26" t="s">
        <v>11035</v>
      </c>
      <c r="C4188" s="26" t="s">
        <v>10303</v>
      </c>
      <c r="D4188" s="26">
        <v>1.0</v>
      </c>
      <c r="E4188" s="26">
        <v>11.99</v>
      </c>
      <c r="F4188" s="26">
        <v>11.99</v>
      </c>
    </row>
    <row r="4189">
      <c r="A4189" s="26" t="s">
        <v>11048</v>
      </c>
      <c r="B4189" s="26" t="s">
        <v>11035</v>
      </c>
      <c r="C4189" s="26" t="s">
        <v>247</v>
      </c>
      <c r="D4189" s="26">
        <v>1.0</v>
      </c>
      <c r="E4189" s="26">
        <v>0.89</v>
      </c>
      <c r="F4189" s="26">
        <v>0.89</v>
      </c>
    </row>
    <row r="4190">
      <c r="A4190" s="26" t="s">
        <v>11050</v>
      </c>
      <c r="B4190" s="26" t="s">
        <v>11035</v>
      </c>
      <c r="C4190" s="26" t="s">
        <v>10644</v>
      </c>
      <c r="D4190" s="26">
        <v>1.0</v>
      </c>
      <c r="E4190" s="26">
        <v>36.9</v>
      </c>
      <c r="F4190" s="26">
        <v>36.9</v>
      </c>
    </row>
    <row r="4191">
      <c r="A4191" s="26" t="s">
        <v>11052</v>
      </c>
      <c r="B4191" s="26" t="s">
        <v>11035</v>
      </c>
      <c r="C4191" s="26" t="s">
        <v>247</v>
      </c>
      <c r="D4191" s="26">
        <v>1.0</v>
      </c>
      <c r="E4191" s="26">
        <v>0.89</v>
      </c>
      <c r="F4191" s="26">
        <v>0.89</v>
      </c>
    </row>
    <row r="4192">
      <c r="A4192" s="26" t="s">
        <v>11053</v>
      </c>
      <c r="B4192" s="26" t="s">
        <v>11054</v>
      </c>
      <c r="C4192" s="26" t="s">
        <v>1195</v>
      </c>
      <c r="D4192" s="26">
        <v>1.0</v>
      </c>
      <c r="E4192" s="26">
        <v>22.5</v>
      </c>
      <c r="F4192" s="26">
        <v>22.5</v>
      </c>
    </row>
    <row r="4193">
      <c r="A4193" s="26" t="s">
        <v>11057</v>
      </c>
      <c r="B4193" s="26" t="s">
        <v>11054</v>
      </c>
      <c r="C4193" s="26" t="s">
        <v>10389</v>
      </c>
      <c r="D4193" s="26">
        <v>1.0</v>
      </c>
      <c r="E4193" s="26">
        <v>26.5</v>
      </c>
      <c r="F4193" s="26">
        <v>26.5</v>
      </c>
    </row>
    <row r="4194">
      <c r="A4194" s="26" t="s">
        <v>11059</v>
      </c>
      <c r="B4194" s="26" t="s">
        <v>11060</v>
      </c>
      <c r="C4194" s="26" t="s">
        <v>691</v>
      </c>
      <c r="D4194" s="26">
        <v>3.0</v>
      </c>
      <c r="E4194" s="26">
        <v>45.0</v>
      </c>
      <c r="F4194" s="26">
        <v>135.0</v>
      </c>
    </row>
    <row r="4195">
      <c r="A4195" s="29" t="s">
        <v>11061</v>
      </c>
      <c r="B4195" s="26" t="s">
        <v>11060</v>
      </c>
      <c r="C4195" s="26" t="s">
        <v>1197</v>
      </c>
      <c r="D4195" s="26">
        <v>1.0</v>
      </c>
      <c r="E4195" s="26">
        <v>18.5</v>
      </c>
      <c r="F4195" s="26">
        <v>18.5</v>
      </c>
    </row>
    <row r="4196">
      <c r="A4196" s="26" t="s">
        <v>11064</v>
      </c>
      <c r="B4196" s="26" t="s">
        <v>11060</v>
      </c>
      <c r="C4196" s="26" t="s">
        <v>1197</v>
      </c>
      <c r="D4196" s="26">
        <v>1.0</v>
      </c>
      <c r="E4196" s="26">
        <v>22.0</v>
      </c>
      <c r="F4196" s="26">
        <v>22.0</v>
      </c>
    </row>
    <row r="4197">
      <c r="A4197" s="26" t="s">
        <v>11066</v>
      </c>
      <c r="B4197" s="26" t="s">
        <v>11060</v>
      </c>
      <c r="C4197" s="26" t="s">
        <v>10389</v>
      </c>
      <c r="D4197" s="26">
        <v>1.0</v>
      </c>
      <c r="E4197" s="26">
        <v>26.5</v>
      </c>
      <c r="F4197" s="26">
        <v>26.5</v>
      </c>
    </row>
    <row r="4198">
      <c r="A4198" s="26" t="s">
        <v>11068</v>
      </c>
      <c r="B4198" s="26" t="s">
        <v>11070</v>
      </c>
      <c r="C4198" s="26" t="s">
        <v>152</v>
      </c>
      <c r="D4198" s="26">
        <v>1.315</v>
      </c>
      <c r="E4198" s="26">
        <v>4.99</v>
      </c>
      <c r="F4198" s="26">
        <v>6.56</v>
      </c>
    </row>
    <row r="4199">
      <c r="A4199" s="26" t="s">
        <v>11071</v>
      </c>
      <c r="B4199" s="26" t="s">
        <v>11070</v>
      </c>
      <c r="C4199" s="26" t="s">
        <v>152</v>
      </c>
      <c r="D4199" s="26">
        <v>1.25</v>
      </c>
      <c r="E4199" s="26">
        <v>4.99</v>
      </c>
      <c r="F4199" s="26">
        <v>6.24</v>
      </c>
    </row>
    <row r="4200">
      <c r="A4200" s="26" t="s">
        <v>11072</v>
      </c>
      <c r="B4200" s="26" t="s">
        <v>11073</v>
      </c>
      <c r="C4200" s="29" t="s">
        <v>10424</v>
      </c>
      <c r="D4200" s="26">
        <v>12.0</v>
      </c>
      <c r="E4200" s="26">
        <v>25.0</v>
      </c>
      <c r="F4200" s="26">
        <v>300.0</v>
      </c>
    </row>
    <row r="4201">
      <c r="A4201" s="26" t="s">
        <v>11075</v>
      </c>
      <c r="B4201" s="26" t="s">
        <v>11076</v>
      </c>
      <c r="C4201" s="26" t="s">
        <v>226</v>
      </c>
      <c r="D4201" s="26">
        <v>5.0</v>
      </c>
      <c r="E4201" s="26">
        <v>9.0</v>
      </c>
      <c r="F4201" s="26">
        <v>45.0</v>
      </c>
    </row>
    <row r="4202">
      <c r="A4202" s="26" t="s">
        <v>11077</v>
      </c>
      <c r="B4202" s="26" t="s">
        <v>11076</v>
      </c>
      <c r="C4202" s="26" t="s">
        <v>230</v>
      </c>
      <c r="D4202" s="26">
        <v>6.1</v>
      </c>
      <c r="E4202" s="26">
        <v>16.0</v>
      </c>
      <c r="F4202" s="26">
        <v>97.6</v>
      </c>
    </row>
    <row r="4203">
      <c r="A4203" s="26" t="s">
        <v>11080</v>
      </c>
      <c r="B4203" s="26" t="s">
        <v>11076</v>
      </c>
      <c r="C4203" s="26" t="s">
        <v>155</v>
      </c>
      <c r="D4203" s="26">
        <v>3.9</v>
      </c>
      <c r="E4203" s="26">
        <v>6.5</v>
      </c>
      <c r="F4203" s="26">
        <v>25.35</v>
      </c>
    </row>
    <row r="4204">
      <c r="A4204" s="26" t="s">
        <v>11083</v>
      </c>
      <c r="B4204" s="26" t="s">
        <v>11076</v>
      </c>
      <c r="C4204" s="26" t="s">
        <v>159</v>
      </c>
      <c r="D4204" s="26">
        <v>10.0</v>
      </c>
      <c r="E4204" s="26">
        <v>12.0</v>
      </c>
      <c r="F4204" s="26">
        <v>120.0</v>
      </c>
    </row>
    <row r="4205">
      <c r="A4205" s="26" t="s">
        <v>11084</v>
      </c>
      <c r="B4205" s="26" t="s">
        <v>11085</v>
      </c>
      <c r="C4205" s="26" t="s">
        <v>8458</v>
      </c>
      <c r="D4205" s="26">
        <v>1.0</v>
      </c>
      <c r="E4205" s="26">
        <v>28441.0</v>
      </c>
      <c r="F4205" s="26">
        <v>28441.0</v>
      </c>
    </row>
    <row r="4206">
      <c r="A4206" s="26" t="s">
        <v>11089</v>
      </c>
      <c r="B4206" s="26" t="s">
        <v>11085</v>
      </c>
      <c r="C4206" s="26" t="s">
        <v>10261</v>
      </c>
      <c r="D4206" s="26">
        <v>1.0</v>
      </c>
      <c r="E4206" s="26">
        <v>2417.49</v>
      </c>
      <c r="F4206" s="26">
        <v>2417.49</v>
      </c>
    </row>
    <row r="4207">
      <c r="A4207" s="26" t="s">
        <v>11091</v>
      </c>
      <c r="B4207" s="26" t="s">
        <v>11085</v>
      </c>
      <c r="C4207" s="26" t="s">
        <v>10350</v>
      </c>
      <c r="D4207" s="26">
        <v>1.0</v>
      </c>
      <c r="E4207" s="26">
        <v>451.4</v>
      </c>
      <c r="F4207" s="26">
        <v>451.4</v>
      </c>
    </row>
    <row r="4208">
      <c r="A4208" s="26" t="s">
        <v>11092</v>
      </c>
      <c r="B4208" s="26" t="s">
        <v>11093</v>
      </c>
      <c r="C4208" s="26" t="s">
        <v>789</v>
      </c>
      <c r="D4208" s="26">
        <v>3.0</v>
      </c>
      <c r="E4208" s="26">
        <v>100.27</v>
      </c>
      <c r="F4208" s="26">
        <v>300.81</v>
      </c>
    </row>
    <row r="4209">
      <c r="A4209" s="26" t="s">
        <v>11096</v>
      </c>
      <c r="B4209" s="26" t="s">
        <v>11093</v>
      </c>
      <c r="C4209" s="26" t="s">
        <v>249</v>
      </c>
      <c r="D4209" s="26">
        <v>48.0</v>
      </c>
      <c r="E4209" s="26">
        <v>8.93</v>
      </c>
      <c r="F4209" s="26">
        <v>428.64</v>
      </c>
    </row>
    <row r="4210">
      <c r="A4210" s="26" t="s">
        <v>11097</v>
      </c>
      <c r="B4210" s="26" t="s">
        <v>11093</v>
      </c>
      <c r="C4210" s="26" t="s">
        <v>794</v>
      </c>
      <c r="D4210" s="26">
        <v>5.0</v>
      </c>
      <c r="E4210" s="26">
        <v>29.18</v>
      </c>
      <c r="F4210" s="26">
        <v>145.9</v>
      </c>
    </row>
    <row r="4211">
      <c r="A4211" s="26" t="s">
        <v>11099</v>
      </c>
      <c r="B4211" s="26" t="s">
        <v>11093</v>
      </c>
      <c r="C4211" s="26" t="s">
        <v>794</v>
      </c>
      <c r="D4211" s="26">
        <v>3.0</v>
      </c>
      <c r="E4211" s="26">
        <v>29.18</v>
      </c>
      <c r="F4211" s="26">
        <v>87.54</v>
      </c>
    </row>
    <row r="4212">
      <c r="A4212" s="26" t="s">
        <v>11102</v>
      </c>
      <c r="B4212" s="26" t="s">
        <v>11093</v>
      </c>
      <c r="C4212" s="26" t="s">
        <v>802</v>
      </c>
      <c r="D4212" s="26">
        <v>12.0</v>
      </c>
      <c r="E4212" s="26">
        <v>10.23</v>
      </c>
      <c r="F4212" s="26">
        <v>122.76</v>
      </c>
    </row>
    <row r="4213">
      <c r="A4213" s="26" t="s">
        <v>11103</v>
      </c>
      <c r="B4213" s="26" t="s">
        <v>11093</v>
      </c>
      <c r="C4213" s="26" t="s">
        <v>802</v>
      </c>
      <c r="D4213" s="26">
        <v>18.0</v>
      </c>
      <c r="E4213" s="26">
        <v>14.71</v>
      </c>
      <c r="F4213" s="26">
        <v>264.78</v>
      </c>
    </row>
    <row r="4214">
      <c r="A4214" s="26" t="s">
        <v>11106</v>
      </c>
      <c r="B4214" s="26" t="s">
        <v>11093</v>
      </c>
      <c r="C4214" s="26" t="s">
        <v>1350</v>
      </c>
      <c r="D4214" s="26">
        <v>1.0</v>
      </c>
      <c r="E4214" s="26">
        <v>142.12</v>
      </c>
      <c r="F4214" s="26">
        <v>142.12</v>
      </c>
    </row>
    <row r="4215">
      <c r="A4215" s="26" t="s">
        <v>11107</v>
      </c>
      <c r="B4215" s="26" t="s">
        <v>11093</v>
      </c>
      <c r="C4215" s="26" t="s">
        <v>887</v>
      </c>
      <c r="D4215" s="26">
        <v>3.0</v>
      </c>
      <c r="E4215" s="26">
        <v>15.35</v>
      </c>
      <c r="F4215" s="26">
        <v>46.05</v>
      </c>
    </row>
    <row r="4216">
      <c r="A4216" s="26" t="s">
        <v>11109</v>
      </c>
      <c r="B4216" s="26" t="s">
        <v>11093</v>
      </c>
      <c r="C4216" s="26" t="s">
        <v>10350</v>
      </c>
      <c r="D4216" s="26">
        <v>1.0</v>
      </c>
      <c r="E4216" s="26">
        <v>4.62</v>
      </c>
      <c r="F4216" s="26">
        <v>4.62</v>
      </c>
    </row>
    <row r="4217">
      <c r="A4217" s="26" t="s">
        <v>11111</v>
      </c>
      <c r="B4217" s="26" t="s">
        <v>11112</v>
      </c>
      <c r="C4217" s="26" t="s">
        <v>10084</v>
      </c>
      <c r="D4217" s="26">
        <v>1.0</v>
      </c>
      <c r="E4217" s="26">
        <v>559.4</v>
      </c>
      <c r="F4217" s="26">
        <v>559.4</v>
      </c>
    </row>
    <row r="4218">
      <c r="A4218" s="26" t="s">
        <v>11114</v>
      </c>
      <c r="B4218" s="26" t="s">
        <v>11112</v>
      </c>
      <c r="C4218" s="26" t="s">
        <v>10261</v>
      </c>
      <c r="D4218" s="26">
        <v>1.0</v>
      </c>
      <c r="E4218" s="26">
        <v>47.55</v>
      </c>
      <c r="F4218" s="26">
        <v>47.55</v>
      </c>
    </row>
    <row r="4219">
      <c r="A4219" s="26" t="s">
        <v>11117</v>
      </c>
      <c r="B4219" s="26" t="s">
        <v>11119</v>
      </c>
      <c r="C4219" s="26" t="s">
        <v>1517</v>
      </c>
      <c r="D4219" s="26">
        <v>1.0</v>
      </c>
      <c r="E4219" s="26">
        <v>11081.33</v>
      </c>
      <c r="F4219" s="26">
        <v>11081.33</v>
      </c>
    </row>
    <row r="4220">
      <c r="A4220" s="26" t="s">
        <v>11120</v>
      </c>
      <c r="B4220" s="26" t="s">
        <v>11119</v>
      </c>
      <c r="C4220" s="26" t="s">
        <v>10261</v>
      </c>
      <c r="D4220" s="26">
        <v>1.0</v>
      </c>
      <c r="E4220" s="26">
        <v>941.91</v>
      </c>
      <c r="F4220" s="26">
        <v>941.91</v>
      </c>
    </row>
    <row r="4221">
      <c r="A4221" s="26" t="s">
        <v>11122</v>
      </c>
      <c r="B4221" s="26" t="s">
        <v>11123</v>
      </c>
      <c r="C4221" s="29" t="s">
        <v>10459</v>
      </c>
      <c r="D4221" s="26">
        <v>2.0</v>
      </c>
      <c r="E4221" s="26">
        <v>20.28</v>
      </c>
      <c r="F4221" s="26">
        <v>40.56</v>
      </c>
    </row>
    <row r="4222">
      <c r="A4222" s="26" t="s">
        <v>11126</v>
      </c>
      <c r="B4222" s="26" t="s">
        <v>11123</v>
      </c>
      <c r="C4222" s="26" t="s">
        <v>1074</v>
      </c>
      <c r="D4222" s="26">
        <v>1.0</v>
      </c>
      <c r="E4222" s="26">
        <v>45.47</v>
      </c>
      <c r="F4222" s="26">
        <v>45.47</v>
      </c>
    </row>
    <row r="4223">
      <c r="A4223" s="26" t="s">
        <v>11127</v>
      </c>
      <c r="B4223" s="26" t="s">
        <v>11123</v>
      </c>
      <c r="C4223" s="26" t="s">
        <v>1075</v>
      </c>
      <c r="D4223" s="26">
        <v>5.0</v>
      </c>
      <c r="E4223" s="26">
        <v>22.74</v>
      </c>
      <c r="F4223" s="26">
        <v>113.7</v>
      </c>
    </row>
    <row r="4224">
      <c r="A4224" s="26" t="s">
        <v>11130</v>
      </c>
      <c r="B4224" s="26" t="s">
        <v>11123</v>
      </c>
      <c r="C4224" s="26" t="s">
        <v>1077</v>
      </c>
      <c r="D4224" s="26">
        <v>2.0</v>
      </c>
      <c r="E4224" s="26">
        <v>25.8</v>
      </c>
      <c r="F4224" s="26">
        <v>51.6</v>
      </c>
    </row>
    <row r="4225">
      <c r="A4225" s="26" t="s">
        <v>11131</v>
      </c>
      <c r="B4225" s="26" t="s">
        <v>11123</v>
      </c>
      <c r="C4225" s="26" t="s">
        <v>1079</v>
      </c>
      <c r="D4225" s="26">
        <v>25.0</v>
      </c>
      <c r="E4225" s="26">
        <v>19.0</v>
      </c>
      <c r="F4225" s="26">
        <v>475.0</v>
      </c>
    </row>
    <row r="4226">
      <c r="A4226" s="26" t="s">
        <v>11134</v>
      </c>
      <c r="B4226" s="26" t="s">
        <v>11123</v>
      </c>
      <c r="C4226" s="26" t="s">
        <v>1080</v>
      </c>
      <c r="D4226" s="26">
        <v>10.0</v>
      </c>
      <c r="E4226" s="26">
        <v>19.0</v>
      </c>
      <c r="F4226" s="26">
        <v>190.0</v>
      </c>
    </row>
    <row r="4227">
      <c r="A4227" s="26" t="s">
        <v>11135</v>
      </c>
      <c r="B4227" s="26" t="s">
        <v>11123</v>
      </c>
      <c r="C4227" s="26" t="s">
        <v>1081</v>
      </c>
      <c r="D4227" s="26">
        <v>3.0</v>
      </c>
      <c r="E4227" s="26">
        <v>47.0</v>
      </c>
      <c r="F4227" s="26">
        <v>141.0</v>
      </c>
    </row>
    <row r="4228">
      <c r="A4228" s="26" t="s">
        <v>11136</v>
      </c>
      <c r="B4228" s="26" t="s">
        <v>11123</v>
      </c>
      <c r="C4228" s="26" t="s">
        <v>1085</v>
      </c>
      <c r="D4228" s="26">
        <v>3.0</v>
      </c>
      <c r="E4228" s="26">
        <v>41.04</v>
      </c>
      <c r="F4228" s="26">
        <v>123.12</v>
      </c>
    </row>
    <row r="4229">
      <c r="A4229" s="26" t="s">
        <v>11137</v>
      </c>
      <c r="B4229" s="26" t="s">
        <v>11123</v>
      </c>
      <c r="C4229" s="26" t="s">
        <v>1081</v>
      </c>
      <c r="D4229" s="26">
        <v>12.0</v>
      </c>
      <c r="E4229" s="26">
        <v>47.0</v>
      </c>
      <c r="F4229" s="26">
        <v>564.0</v>
      </c>
    </row>
    <row r="4230">
      <c r="A4230" s="26" t="s">
        <v>11138</v>
      </c>
      <c r="B4230" s="26" t="s">
        <v>11123</v>
      </c>
      <c r="C4230" s="26" t="s">
        <v>1077</v>
      </c>
      <c r="D4230" s="26">
        <v>3.0</v>
      </c>
      <c r="E4230" s="26">
        <v>25.8</v>
      </c>
      <c r="F4230" s="26">
        <v>77.4</v>
      </c>
    </row>
    <row r="4231">
      <c r="A4231" s="26" t="s">
        <v>11139</v>
      </c>
      <c r="B4231" s="26" t="s">
        <v>11140</v>
      </c>
      <c r="C4231" s="26" t="s">
        <v>1653</v>
      </c>
      <c r="D4231" s="26">
        <v>1.0</v>
      </c>
      <c r="E4231" s="26">
        <v>3583.0</v>
      </c>
      <c r="F4231" s="26">
        <v>3583.0</v>
      </c>
    </row>
    <row r="4232">
      <c r="A4232" s="26" t="s">
        <v>11141</v>
      </c>
      <c r="B4232" s="26" t="s">
        <v>11140</v>
      </c>
      <c r="C4232" s="26" t="s">
        <v>10350</v>
      </c>
      <c r="D4232" s="26">
        <v>1.0</v>
      </c>
      <c r="E4232" s="26">
        <v>222.95</v>
      </c>
      <c r="F4232" s="26">
        <v>222.95</v>
      </c>
    </row>
    <row r="4233">
      <c r="A4233" s="29" t="s">
        <v>11142</v>
      </c>
      <c r="B4233" s="26" t="s">
        <v>11143</v>
      </c>
      <c r="C4233" s="26" t="s">
        <v>1653</v>
      </c>
      <c r="D4233" s="26">
        <v>1.0</v>
      </c>
      <c r="E4233" s="26">
        <v>2242.5</v>
      </c>
      <c r="F4233" s="26">
        <v>2242.5</v>
      </c>
    </row>
    <row r="4234">
      <c r="A4234" s="26" t="s">
        <v>11145</v>
      </c>
      <c r="B4234" s="26" t="s">
        <v>11143</v>
      </c>
      <c r="C4234" s="26" t="s">
        <v>10350</v>
      </c>
      <c r="D4234" s="26">
        <v>1.0</v>
      </c>
      <c r="E4234" s="26">
        <v>107.08</v>
      </c>
      <c r="F4234" s="26">
        <v>107.08</v>
      </c>
    </row>
    <row r="4235">
      <c r="A4235" s="26" t="s">
        <v>11146</v>
      </c>
      <c r="B4235" s="26" t="s">
        <v>11147</v>
      </c>
      <c r="C4235" s="26" t="s">
        <v>1904</v>
      </c>
      <c r="D4235" s="26">
        <v>5.0</v>
      </c>
      <c r="E4235" s="26">
        <v>1.5</v>
      </c>
      <c r="F4235" s="26">
        <v>7.5</v>
      </c>
    </row>
    <row r="4236">
      <c r="A4236" s="26" t="s">
        <v>11149</v>
      </c>
      <c r="B4236" s="26" t="s">
        <v>11150</v>
      </c>
      <c r="C4236" s="26" t="s">
        <v>10293</v>
      </c>
      <c r="D4236" s="26">
        <v>4.0</v>
      </c>
      <c r="E4236" s="26">
        <v>5.99</v>
      </c>
      <c r="F4236" s="26">
        <v>23.96</v>
      </c>
    </row>
    <row r="4237">
      <c r="A4237" s="26" t="s">
        <v>11151</v>
      </c>
      <c r="B4237" s="26" t="s">
        <v>11150</v>
      </c>
      <c r="C4237" s="26" t="s">
        <v>10496</v>
      </c>
      <c r="D4237" s="26">
        <v>1.0</v>
      </c>
      <c r="E4237" s="26">
        <v>14.98</v>
      </c>
      <c r="F4237" s="26">
        <v>14.98</v>
      </c>
    </row>
    <row r="4238">
      <c r="A4238" s="26" t="s">
        <v>11153</v>
      </c>
      <c r="B4238" s="26" t="s">
        <v>11150</v>
      </c>
      <c r="C4238" s="26" t="s">
        <v>10305</v>
      </c>
      <c r="D4238" s="26">
        <v>1.0</v>
      </c>
      <c r="E4238" s="26">
        <v>8.99</v>
      </c>
      <c r="F4238" s="26">
        <v>8.99</v>
      </c>
    </row>
    <row r="4239">
      <c r="A4239" s="26" t="s">
        <v>11154</v>
      </c>
      <c r="B4239" s="26" t="s">
        <v>11150</v>
      </c>
      <c r="C4239" s="26" t="s">
        <v>10500</v>
      </c>
      <c r="D4239" s="26">
        <v>1.0</v>
      </c>
      <c r="E4239" s="26">
        <v>6.99</v>
      </c>
      <c r="F4239" s="26">
        <v>6.99</v>
      </c>
    </row>
    <row r="4240">
      <c r="A4240" s="26" t="s">
        <v>11157</v>
      </c>
      <c r="B4240" s="26" t="s">
        <v>11150</v>
      </c>
      <c r="C4240" s="26" t="s">
        <v>10303</v>
      </c>
      <c r="D4240" s="26">
        <v>1.0</v>
      </c>
      <c r="E4240" s="26">
        <v>29.9</v>
      </c>
      <c r="F4240" s="26">
        <v>29.9</v>
      </c>
    </row>
    <row r="4241">
      <c r="A4241" s="26" t="s">
        <v>11158</v>
      </c>
      <c r="B4241" s="26" t="s">
        <v>11150</v>
      </c>
      <c r="C4241" s="26" t="s">
        <v>10500</v>
      </c>
      <c r="D4241" s="26">
        <v>1.0</v>
      </c>
      <c r="E4241" s="26">
        <v>6.99</v>
      </c>
      <c r="F4241" s="26">
        <v>6.99</v>
      </c>
    </row>
    <row r="4242">
      <c r="A4242" s="26" t="s">
        <v>11161</v>
      </c>
      <c r="B4242" s="26" t="s">
        <v>11162</v>
      </c>
      <c r="C4242" s="29" t="s">
        <v>10424</v>
      </c>
      <c r="D4242" s="26">
        <v>15.0</v>
      </c>
      <c r="E4242" s="26">
        <v>30.0</v>
      </c>
      <c r="F4242" s="26">
        <v>450.0</v>
      </c>
    </row>
    <row r="4243">
      <c r="A4243" s="26" t="s">
        <v>11164</v>
      </c>
      <c r="B4243" s="26" t="s">
        <v>11166</v>
      </c>
      <c r="C4243" s="26" t="s">
        <v>226</v>
      </c>
      <c r="D4243" s="26">
        <v>5.0</v>
      </c>
      <c r="E4243" s="26">
        <v>9.0</v>
      </c>
      <c r="F4243" s="26">
        <v>45.0</v>
      </c>
    </row>
    <row r="4244">
      <c r="A4244" s="26" t="s">
        <v>11168</v>
      </c>
      <c r="B4244" s="26" t="s">
        <v>11166</v>
      </c>
      <c r="C4244" s="26" t="s">
        <v>152</v>
      </c>
      <c r="D4244" s="26">
        <v>2.0</v>
      </c>
      <c r="E4244" s="26">
        <v>4.8</v>
      </c>
      <c r="F4244" s="26">
        <v>9.6</v>
      </c>
    </row>
    <row r="4245">
      <c r="A4245" s="26" t="s">
        <v>11169</v>
      </c>
      <c r="B4245" s="26" t="s">
        <v>11166</v>
      </c>
      <c r="C4245" s="26" t="s">
        <v>230</v>
      </c>
      <c r="D4245" s="26">
        <v>8.055</v>
      </c>
      <c r="E4245" s="26">
        <v>36.0</v>
      </c>
      <c r="F4245" s="26">
        <v>289.98</v>
      </c>
    </row>
    <row r="4246">
      <c r="A4246" s="26" t="s">
        <v>11170</v>
      </c>
      <c r="B4246" s="26" t="s">
        <v>11166</v>
      </c>
      <c r="C4246" s="26" t="s">
        <v>155</v>
      </c>
      <c r="D4246" s="26">
        <v>4.085</v>
      </c>
      <c r="E4246" s="26">
        <v>6.5</v>
      </c>
      <c r="F4246" s="26">
        <v>26.55</v>
      </c>
    </row>
    <row r="4247">
      <c r="A4247" s="26" t="s">
        <v>11171</v>
      </c>
      <c r="B4247" s="26" t="s">
        <v>11166</v>
      </c>
      <c r="C4247" s="26" t="s">
        <v>159</v>
      </c>
      <c r="D4247" s="26">
        <v>12.0</v>
      </c>
      <c r="E4247" s="26">
        <v>12.0</v>
      </c>
      <c r="F4247" s="26">
        <v>144.0</v>
      </c>
    </row>
    <row r="4248">
      <c r="A4248" s="26" t="s">
        <v>11172</v>
      </c>
      <c r="B4248" s="26" t="s">
        <v>11173</v>
      </c>
      <c r="C4248" s="26" t="s">
        <v>11174</v>
      </c>
      <c r="D4248" s="26">
        <v>1.0</v>
      </c>
      <c r="E4248" s="26">
        <v>200.0</v>
      </c>
      <c r="F4248" s="26">
        <v>200.0</v>
      </c>
    </row>
    <row r="4249">
      <c r="A4249" s="26" t="s">
        <v>11176</v>
      </c>
      <c r="B4249" s="26" t="s">
        <v>11177</v>
      </c>
      <c r="C4249" s="26" t="s">
        <v>152</v>
      </c>
      <c r="D4249" s="26">
        <v>1.0</v>
      </c>
      <c r="E4249" s="26">
        <v>11.2</v>
      </c>
      <c r="F4249" s="26">
        <v>11.2</v>
      </c>
    </row>
    <row r="4250">
      <c r="A4250" s="26" t="s">
        <v>11178</v>
      </c>
      <c r="B4250" s="26" t="s">
        <v>11179</v>
      </c>
      <c r="C4250" s="26" t="s">
        <v>10305</v>
      </c>
      <c r="D4250" s="26">
        <v>2.0</v>
      </c>
      <c r="E4250" s="26">
        <v>10.99</v>
      </c>
      <c r="F4250" s="26">
        <v>21.98</v>
      </c>
    </row>
    <row r="4251">
      <c r="A4251" s="26" t="s">
        <v>11180</v>
      </c>
      <c r="B4251" s="26" t="s">
        <v>11181</v>
      </c>
      <c r="C4251" s="26" t="s">
        <v>1022</v>
      </c>
      <c r="D4251" s="26">
        <v>1.0</v>
      </c>
      <c r="E4251" s="26">
        <v>280.0</v>
      </c>
      <c r="F4251" s="26">
        <v>280.0</v>
      </c>
    </row>
    <row r="4252">
      <c r="A4252" s="26" t="s">
        <v>11182</v>
      </c>
      <c r="B4252" s="26" t="s">
        <v>11183</v>
      </c>
      <c r="C4252" s="26" t="s">
        <v>11184</v>
      </c>
      <c r="D4252" s="26">
        <v>20.0</v>
      </c>
      <c r="E4252" s="26">
        <v>5.1</v>
      </c>
      <c r="F4252" s="26">
        <v>102.0</v>
      </c>
    </row>
    <row r="4253">
      <c r="A4253" s="26" t="s">
        <v>11185</v>
      </c>
      <c r="B4253" s="26" t="s">
        <v>11183</v>
      </c>
      <c r="C4253" s="26" t="s">
        <v>11186</v>
      </c>
      <c r="D4253" s="26">
        <v>30.0</v>
      </c>
      <c r="E4253" s="26">
        <v>2.55</v>
      </c>
      <c r="F4253" s="26">
        <v>76.5</v>
      </c>
    </row>
    <row r="4254">
      <c r="A4254" s="26" t="s">
        <v>11187</v>
      </c>
      <c r="B4254" s="26" t="s">
        <v>11183</v>
      </c>
      <c r="C4254" s="26" t="s">
        <v>11188</v>
      </c>
      <c r="D4254" s="26">
        <v>6.0</v>
      </c>
      <c r="E4254" s="26">
        <v>59.42</v>
      </c>
      <c r="F4254" s="26">
        <v>356.52</v>
      </c>
    </row>
    <row r="4255">
      <c r="A4255" s="26" t="s">
        <v>11190</v>
      </c>
      <c r="B4255" s="26" t="s">
        <v>11183</v>
      </c>
      <c r="C4255" s="26" t="s">
        <v>10261</v>
      </c>
      <c r="D4255" s="26">
        <v>1.0</v>
      </c>
      <c r="E4255" s="26">
        <v>45.48</v>
      </c>
      <c r="F4255" s="26">
        <v>45.48</v>
      </c>
    </row>
    <row r="4256">
      <c r="A4256" s="26" t="s">
        <v>11191</v>
      </c>
      <c r="B4256" s="26" t="s">
        <v>11192</v>
      </c>
      <c r="C4256" s="29" t="s">
        <v>10424</v>
      </c>
      <c r="D4256" s="26">
        <v>10.0</v>
      </c>
      <c r="E4256" s="26">
        <v>30.0</v>
      </c>
      <c r="F4256" s="26">
        <v>300.0</v>
      </c>
    </row>
    <row r="4257">
      <c r="A4257" s="26" t="s">
        <v>11194</v>
      </c>
      <c r="B4257" s="26" t="s">
        <v>11195</v>
      </c>
      <c r="C4257" s="26" t="s">
        <v>1074</v>
      </c>
      <c r="D4257" s="26">
        <v>3.0</v>
      </c>
      <c r="E4257" s="26">
        <v>42.0</v>
      </c>
      <c r="F4257" s="26">
        <v>126.0</v>
      </c>
    </row>
    <row r="4258">
      <c r="A4258" s="26" t="s">
        <v>11196</v>
      </c>
      <c r="B4258" s="26" t="s">
        <v>11195</v>
      </c>
      <c r="C4258" s="26" t="s">
        <v>1075</v>
      </c>
      <c r="D4258" s="26">
        <v>4.0</v>
      </c>
      <c r="E4258" s="26">
        <v>21.0</v>
      </c>
      <c r="F4258" s="26">
        <v>84.0</v>
      </c>
    </row>
    <row r="4259">
      <c r="A4259" s="26" t="s">
        <v>11198</v>
      </c>
      <c r="B4259" s="26" t="s">
        <v>11195</v>
      </c>
      <c r="C4259" s="26" t="s">
        <v>1079</v>
      </c>
      <c r="D4259" s="26">
        <v>6.0</v>
      </c>
      <c r="E4259" s="26">
        <v>19.0</v>
      </c>
      <c r="F4259" s="26">
        <v>114.0</v>
      </c>
    </row>
    <row r="4260">
      <c r="A4260" s="26" t="s">
        <v>11201</v>
      </c>
      <c r="B4260" s="26" t="s">
        <v>11195</v>
      </c>
      <c r="C4260" s="26" t="s">
        <v>1081</v>
      </c>
      <c r="D4260" s="26">
        <v>4.0</v>
      </c>
      <c r="E4260" s="26">
        <v>48.0</v>
      </c>
      <c r="F4260" s="26">
        <v>192.0</v>
      </c>
    </row>
    <row r="4261">
      <c r="A4261" s="26" t="s">
        <v>11202</v>
      </c>
      <c r="B4261" s="26" t="s">
        <v>11195</v>
      </c>
      <c r="C4261" s="26" t="s">
        <v>1081</v>
      </c>
      <c r="D4261" s="26">
        <v>1.0</v>
      </c>
      <c r="E4261" s="26">
        <v>48.0</v>
      </c>
      <c r="F4261" s="26">
        <v>48.0</v>
      </c>
    </row>
    <row r="4262">
      <c r="A4262" s="26" t="s">
        <v>11205</v>
      </c>
      <c r="B4262" s="26" t="s">
        <v>11206</v>
      </c>
      <c r="C4262" s="26" t="s">
        <v>1904</v>
      </c>
      <c r="D4262" s="26">
        <v>3.0</v>
      </c>
      <c r="E4262" s="26">
        <v>1.5</v>
      </c>
      <c r="F4262" s="26">
        <v>4.5</v>
      </c>
    </row>
    <row r="4263">
      <c r="A4263" s="26" t="s">
        <v>11207</v>
      </c>
      <c r="B4263" s="26" t="s">
        <v>11208</v>
      </c>
      <c r="C4263" s="26" t="s">
        <v>10491</v>
      </c>
      <c r="D4263" s="26">
        <v>0.6</v>
      </c>
      <c r="E4263" s="26">
        <v>14.99</v>
      </c>
      <c r="F4263" s="26">
        <v>8.99</v>
      </c>
    </row>
    <row r="4264">
      <c r="A4264" s="26" t="s">
        <v>11211</v>
      </c>
      <c r="B4264" s="26" t="s">
        <v>11208</v>
      </c>
      <c r="C4264" s="26" t="s">
        <v>10293</v>
      </c>
      <c r="D4264" s="26">
        <v>3.0</v>
      </c>
      <c r="E4264" s="26">
        <v>8.99</v>
      </c>
      <c r="F4264" s="26">
        <v>26.97</v>
      </c>
    </row>
    <row r="4265">
      <c r="A4265" s="26" t="s">
        <v>11214</v>
      </c>
      <c r="B4265" s="26" t="s">
        <v>11208</v>
      </c>
      <c r="C4265" s="26" t="s">
        <v>10500</v>
      </c>
      <c r="D4265" s="26">
        <v>1.0</v>
      </c>
      <c r="E4265" s="26">
        <v>9.99</v>
      </c>
      <c r="F4265" s="26">
        <v>9.99</v>
      </c>
    </row>
    <row r="4266">
      <c r="A4266" s="26" t="s">
        <v>11216</v>
      </c>
      <c r="B4266" s="26" t="s">
        <v>11208</v>
      </c>
      <c r="C4266" s="26" t="s">
        <v>10303</v>
      </c>
      <c r="D4266" s="26">
        <v>2.0</v>
      </c>
      <c r="E4266" s="26">
        <v>14.99</v>
      </c>
      <c r="F4266" s="26">
        <v>29.98</v>
      </c>
    </row>
    <row r="4267">
      <c r="A4267" s="26" t="s">
        <v>11218</v>
      </c>
      <c r="B4267" s="26" t="s">
        <v>11208</v>
      </c>
      <c r="C4267" s="26" t="s">
        <v>10305</v>
      </c>
      <c r="D4267" s="26">
        <v>1.0</v>
      </c>
      <c r="E4267" s="26">
        <v>9.9</v>
      </c>
      <c r="F4267" s="26">
        <v>9.9</v>
      </c>
    </row>
    <row r="4268">
      <c r="A4268" s="26" t="s">
        <v>11223</v>
      </c>
      <c r="B4268" s="26" t="s">
        <v>11208</v>
      </c>
      <c r="C4268" s="26" t="s">
        <v>688</v>
      </c>
      <c r="D4268" s="26">
        <v>1.0</v>
      </c>
      <c r="E4268" s="26">
        <v>5.29</v>
      </c>
      <c r="F4268" s="26">
        <v>5.29</v>
      </c>
    </row>
    <row r="4269">
      <c r="A4269" s="26" t="s">
        <v>11224</v>
      </c>
      <c r="B4269" s="26" t="s">
        <v>11226</v>
      </c>
      <c r="C4269" s="26" t="s">
        <v>854</v>
      </c>
      <c r="D4269" s="26">
        <v>1.0</v>
      </c>
      <c r="E4269" s="26">
        <v>7.99</v>
      </c>
      <c r="F4269" s="26">
        <v>7.99</v>
      </c>
    </row>
    <row r="4270">
      <c r="A4270" s="26" t="s">
        <v>11228</v>
      </c>
      <c r="B4270" s="26" t="s">
        <v>11226</v>
      </c>
      <c r="C4270" s="26" t="s">
        <v>854</v>
      </c>
      <c r="D4270" s="26">
        <v>5.0</v>
      </c>
      <c r="E4270" s="26">
        <v>7.99</v>
      </c>
      <c r="F4270" s="26">
        <v>39.95</v>
      </c>
    </row>
    <row r="4271">
      <c r="A4271" s="26" t="s">
        <v>11232</v>
      </c>
      <c r="B4271" s="26" t="s">
        <v>11233</v>
      </c>
      <c r="C4271" s="26" t="s">
        <v>226</v>
      </c>
      <c r="D4271" s="26">
        <v>3.0</v>
      </c>
      <c r="E4271" s="26">
        <v>9.0</v>
      </c>
      <c r="F4271" s="26">
        <v>27.0</v>
      </c>
    </row>
    <row r="4272">
      <c r="A4272" s="26" t="s">
        <v>11234</v>
      </c>
      <c r="B4272" s="26" t="s">
        <v>11233</v>
      </c>
      <c r="C4272" s="26" t="s">
        <v>152</v>
      </c>
      <c r="D4272" s="26">
        <v>2.18</v>
      </c>
      <c r="E4272" s="26">
        <v>4.9</v>
      </c>
      <c r="F4272" s="26">
        <v>10.68</v>
      </c>
    </row>
    <row r="4273">
      <c r="A4273" s="26" t="s">
        <v>11236</v>
      </c>
      <c r="B4273" s="26" t="s">
        <v>11233</v>
      </c>
      <c r="C4273" s="26" t="s">
        <v>230</v>
      </c>
      <c r="D4273" s="26">
        <v>5.1</v>
      </c>
      <c r="E4273" s="26">
        <v>30.0</v>
      </c>
      <c r="F4273" s="26">
        <v>153.0</v>
      </c>
    </row>
    <row r="4274">
      <c r="A4274" s="26" t="s">
        <v>11237</v>
      </c>
      <c r="B4274" s="26" t="s">
        <v>11233</v>
      </c>
      <c r="C4274" s="26" t="s">
        <v>155</v>
      </c>
      <c r="D4274" s="26">
        <v>2.57</v>
      </c>
      <c r="E4274" s="26">
        <v>7.0</v>
      </c>
      <c r="F4274" s="26">
        <v>17.99</v>
      </c>
    </row>
    <row r="4275">
      <c r="A4275" s="26" t="s">
        <v>11239</v>
      </c>
      <c r="B4275" s="26" t="s">
        <v>11233</v>
      </c>
      <c r="C4275" s="26" t="s">
        <v>159</v>
      </c>
      <c r="D4275" s="26">
        <v>10.0</v>
      </c>
      <c r="E4275" s="26">
        <v>12.0</v>
      </c>
      <c r="F4275" s="26">
        <v>120.0</v>
      </c>
    </row>
    <row r="4276">
      <c r="A4276" s="26" t="s">
        <v>11241</v>
      </c>
      <c r="B4276" s="26" t="s">
        <v>11242</v>
      </c>
      <c r="C4276" s="26" t="s">
        <v>688</v>
      </c>
      <c r="D4276" s="26">
        <v>1.0</v>
      </c>
      <c r="E4276" s="26">
        <v>5.79</v>
      </c>
      <c r="F4276" s="26">
        <v>5.79</v>
      </c>
    </row>
    <row r="4277">
      <c r="A4277" s="26" t="s">
        <v>11244</v>
      </c>
      <c r="B4277" s="26" t="s">
        <v>11245</v>
      </c>
      <c r="C4277" s="26" t="s">
        <v>1653</v>
      </c>
      <c r="D4277" s="26">
        <v>1.0</v>
      </c>
      <c r="E4277" s="26">
        <v>20.0</v>
      </c>
      <c r="F4277" s="26">
        <v>20.0</v>
      </c>
    </row>
    <row r="4278">
      <c r="A4278" s="26" t="s">
        <v>11246</v>
      </c>
      <c r="B4278" s="26" t="s">
        <v>11247</v>
      </c>
      <c r="C4278" s="26" t="s">
        <v>8458</v>
      </c>
      <c r="D4278" s="26">
        <v>1.0</v>
      </c>
      <c r="E4278" s="26">
        <v>9877.0</v>
      </c>
      <c r="F4278" s="26">
        <v>9877.0</v>
      </c>
    </row>
    <row r="4279">
      <c r="A4279" s="26" t="s">
        <v>11248</v>
      </c>
      <c r="B4279" s="26" t="s">
        <v>11247</v>
      </c>
      <c r="C4279" s="26" t="s">
        <v>10261</v>
      </c>
      <c r="D4279" s="26">
        <v>1.0</v>
      </c>
      <c r="E4279" s="26">
        <v>831.36</v>
      </c>
      <c r="F4279" s="26">
        <v>831.36</v>
      </c>
    </row>
    <row r="4280">
      <c r="A4280" s="26" t="s">
        <v>11249</v>
      </c>
      <c r="B4280" s="26" t="s">
        <v>11247</v>
      </c>
      <c r="C4280" s="26" t="s">
        <v>10350</v>
      </c>
      <c r="D4280" s="26">
        <v>1.0</v>
      </c>
      <c r="E4280" s="26">
        <v>143.31</v>
      </c>
      <c r="F4280" s="26">
        <v>143.31</v>
      </c>
    </row>
    <row r="4281">
      <c r="A4281" s="26" t="s">
        <v>11250</v>
      </c>
      <c r="B4281" s="26" t="s">
        <v>11251</v>
      </c>
      <c r="C4281" s="26" t="s">
        <v>1517</v>
      </c>
      <c r="D4281" s="26">
        <v>1.0</v>
      </c>
      <c r="E4281" s="26">
        <v>1291.21</v>
      </c>
      <c r="F4281" s="26">
        <v>1291.21</v>
      </c>
    </row>
    <row r="4282">
      <c r="A4282" s="26" t="s">
        <v>11252</v>
      </c>
      <c r="B4282" s="26" t="s">
        <v>11251</v>
      </c>
      <c r="C4282" s="26" t="s">
        <v>10261</v>
      </c>
      <c r="D4282" s="26">
        <v>1.0</v>
      </c>
      <c r="E4282" s="26">
        <v>109.75</v>
      </c>
      <c r="F4282" s="26">
        <v>109.75</v>
      </c>
    </row>
    <row r="4283">
      <c r="A4283" s="26" t="s">
        <v>11254</v>
      </c>
      <c r="B4283" s="26" t="s">
        <v>11255</v>
      </c>
      <c r="C4283" s="26" t="s">
        <v>1668</v>
      </c>
      <c r="D4283" s="26">
        <v>1.0</v>
      </c>
      <c r="E4283" s="26">
        <v>134.83</v>
      </c>
      <c r="F4283" s="26">
        <v>134.83</v>
      </c>
    </row>
    <row r="4284">
      <c r="A4284" s="26" t="s">
        <v>11257</v>
      </c>
      <c r="B4284" s="26" t="s">
        <v>11258</v>
      </c>
      <c r="C4284" s="29" t="s">
        <v>10424</v>
      </c>
      <c r="D4284" s="26">
        <v>9.0</v>
      </c>
      <c r="E4284" s="26">
        <v>30.0</v>
      </c>
      <c r="F4284" s="26">
        <v>270.0</v>
      </c>
    </row>
    <row r="4285">
      <c r="A4285" s="26" t="s">
        <v>11260</v>
      </c>
      <c r="B4285" s="26" t="s">
        <v>11261</v>
      </c>
      <c r="C4285" s="26" t="s">
        <v>1074</v>
      </c>
      <c r="D4285" s="26">
        <v>2.0</v>
      </c>
      <c r="E4285" s="26">
        <v>42.0</v>
      </c>
      <c r="F4285" s="26">
        <v>84.0</v>
      </c>
    </row>
    <row r="4286">
      <c r="A4286" s="26" t="s">
        <v>11262</v>
      </c>
      <c r="B4286" s="26" t="s">
        <v>11261</v>
      </c>
      <c r="C4286" s="26" t="s">
        <v>1075</v>
      </c>
      <c r="D4286" s="26">
        <v>5.0</v>
      </c>
      <c r="E4286" s="26">
        <v>21.0</v>
      </c>
      <c r="F4286" s="26">
        <v>105.0</v>
      </c>
    </row>
    <row r="4287">
      <c r="A4287" s="26" t="s">
        <v>11264</v>
      </c>
      <c r="B4287" s="26" t="s">
        <v>11261</v>
      </c>
      <c r="C4287" s="26" t="s">
        <v>1079</v>
      </c>
      <c r="D4287" s="26">
        <v>8.0</v>
      </c>
      <c r="E4287" s="26">
        <v>19.0</v>
      </c>
      <c r="F4287" s="26">
        <v>152.0</v>
      </c>
    </row>
    <row r="4288">
      <c r="A4288" s="26" t="s">
        <v>11265</v>
      </c>
      <c r="B4288" s="26" t="s">
        <v>11266</v>
      </c>
      <c r="C4288" s="26" t="s">
        <v>10491</v>
      </c>
      <c r="D4288" s="26">
        <v>0.716</v>
      </c>
      <c r="E4288" s="26">
        <v>11.98</v>
      </c>
      <c r="F4288" s="26">
        <v>8.58</v>
      </c>
    </row>
    <row r="4289">
      <c r="A4289" s="26" t="s">
        <v>11269</v>
      </c>
      <c r="B4289" s="26" t="s">
        <v>11266</v>
      </c>
      <c r="C4289" s="26" t="s">
        <v>10293</v>
      </c>
      <c r="D4289" s="26">
        <v>4.0</v>
      </c>
      <c r="E4289" s="26">
        <v>8.99</v>
      </c>
      <c r="F4289" s="26">
        <v>35.96</v>
      </c>
    </row>
    <row r="4290">
      <c r="A4290" s="26" t="s">
        <v>11272</v>
      </c>
      <c r="B4290" s="26" t="s">
        <v>11266</v>
      </c>
      <c r="C4290" s="26" t="s">
        <v>10500</v>
      </c>
      <c r="D4290" s="26">
        <v>2.0</v>
      </c>
      <c r="E4290" s="26">
        <v>7.79</v>
      </c>
      <c r="F4290" s="26">
        <v>15.58</v>
      </c>
    </row>
    <row r="4291">
      <c r="A4291" s="26" t="s">
        <v>11273</v>
      </c>
      <c r="B4291" s="26" t="s">
        <v>11266</v>
      </c>
      <c r="C4291" s="26" t="s">
        <v>10303</v>
      </c>
      <c r="D4291" s="26">
        <v>3.0</v>
      </c>
      <c r="E4291" s="26">
        <v>16.99</v>
      </c>
      <c r="F4291" s="26">
        <v>50.97</v>
      </c>
    </row>
    <row r="4292">
      <c r="A4292" s="26" t="s">
        <v>11274</v>
      </c>
      <c r="B4292" s="26" t="s">
        <v>11266</v>
      </c>
      <c r="C4292" s="26" t="s">
        <v>152</v>
      </c>
      <c r="D4292" s="26">
        <v>1.895</v>
      </c>
      <c r="E4292" s="26">
        <v>4.99</v>
      </c>
      <c r="F4292" s="26">
        <v>9.46</v>
      </c>
    </row>
    <row r="4293">
      <c r="A4293" s="26" t="s">
        <v>11275</v>
      </c>
      <c r="B4293" s="26" t="s">
        <v>11266</v>
      </c>
      <c r="C4293" s="26" t="s">
        <v>10305</v>
      </c>
      <c r="D4293" s="26">
        <v>2.0</v>
      </c>
      <c r="E4293" s="26">
        <v>6.99</v>
      </c>
      <c r="F4293" s="26">
        <v>13.98</v>
      </c>
    </row>
    <row r="4294">
      <c r="A4294" s="26" t="s">
        <v>11276</v>
      </c>
      <c r="B4294" s="26" t="s">
        <v>11266</v>
      </c>
      <c r="C4294" s="26" t="s">
        <v>11277</v>
      </c>
      <c r="D4294" s="26">
        <v>1.0</v>
      </c>
      <c r="E4294" s="26">
        <v>6.49</v>
      </c>
      <c r="F4294" s="26">
        <v>6.49</v>
      </c>
    </row>
    <row r="4295">
      <c r="A4295" s="26" t="s">
        <v>11278</v>
      </c>
      <c r="B4295" s="26" t="s">
        <v>11266</v>
      </c>
      <c r="C4295" s="26" t="s">
        <v>688</v>
      </c>
      <c r="D4295" s="26">
        <v>1.0</v>
      </c>
      <c r="E4295" s="26">
        <v>4.99</v>
      </c>
      <c r="F4295" s="26">
        <v>4.99</v>
      </c>
    </row>
    <row r="4296">
      <c r="A4296" s="26" t="s">
        <v>11279</v>
      </c>
      <c r="B4296" s="26" t="s">
        <v>11280</v>
      </c>
      <c r="C4296" s="26" t="s">
        <v>691</v>
      </c>
      <c r="D4296" s="26">
        <v>4.0</v>
      </c>
      <c r="E4296" s="26">
        <v>45.0</v>
      </c>
      <c r="F4296" s="26">
        <v>180.0</v>
      </c>
    </row>
    <row r="4297">
      <c r="A4297" s="26" t="s">
        <v>11281</v>
      </c>
      <c r="B4297" s="26" t="s">
        <v>11280</v>
      </c>
      <c r="C4297" s="26" t="s">
        <v>1195</v>
      </c>
      <c r="D4297" s="26">
        <v>3.0</v>
      </c>
      <c r="E4297" s="26">
        <v>22.5</v>
      </c>
      <c r="F4297" s="26">
        <v>67.5</v>
      </c>
    </row>
    <row r="4298">
      <c r="A4298" s="26" t="s">
        <v>11282</v>
      </c>
      <c r="B4298" s="26" t="s">
        <v>11280</v>
      </c>
      <c r="C4298" s="26" t="s">
        <v>1197</v>
      </c>
      <c r="D4298" s="26">
        <v>5.0</v>
      </c>
      <c r="E4298" s="26">
        <v>18.5</v>
      </c>
      <c r="F4298" s="26">
        <v>92.5</v>
      </c>
    </row>
    <row r="4299">
      <c r="A4299" s="26" t="s">
        <v>11283</v>
      </c>
      <c r="B4299" s="26" t="s">
        <v>11284</v>
      </c>
      <c r="C4299" s="26" t="s">
        <v>226</v>
      </c>
      <c r="D4299" s="26">
        <v>4.0</v>
      </c>
      <c r="E4299" s="26">
        <v>9.0</v>
      </c>
      <c r="F4299" s="26">
        <v>36.0</v>
      </c>
    </row>
    <row r="4300">
      <c r="A4300" s="26" t="s">
        <v>11285</v>
      </c>
      <c r="B4300" s="26" t="s">
        <v>11284</v>
      </c>
      <c r="C4300" s="26" t="s">
        <v>230</v>
      </c>
      <c r="D4300" s="26">
        <v>6.245</v>
      </c>
      <c r="E4300" s="26">
        <v>37.0</v>
      </c>
      <c r="F4300" s="26">
        <v>231.07</v>
      </c>
    </row>
    <row r="4301">
      <c r="A4301" s="26" t="s">
        <v>11288</v>
      </c>
      <c r="B4301" s="26" t="s">
        <v>11284</v>
      </c>
      <c r="C4301" s="26" t="s">
        <v>155</v>
      </c>
      <c r="D4301" s="26">
        <v>2.75</v>
      </c>
      <c r="E4301" s="26">
        <v>7.5</v>
      </c>
      <c r="F4301" s="26">
        <v>20.63</v>
      </c>
    </row>
    <row r="4302">
      <c r="A4302" s="26" t="s">
        <v>11289</v>
      </c>
      <c r="B4302" s="26" t="s">
        <v>11284</v>
      </c>
      <c r="C4302" s="26" t="s">
        <v>159</v>
      </c>
      <c r="D4302" s="26">
        <v>10.0</v>
      </c>
      <c r="E4302" s="26">
        <v>12.0</v>
      </c>
      <c r="F4302" s="26">
        <v>120.0</v>
      </c>
    </row>
    <row r="4303">
      <c r="A4303" s="26" t="s">
        <v>11292</v>
      </c>
      <c r="B4303" s="26" t="s">
        <v>11293</v>
      </c>
      <c r="C4303" s="26" t="s">
        <v>152</v>
      </c>
      <c r="D4303" s="26">
        <v>2.195</v>
      </c>
      <c r="E4303" s="26">
        <v>3.99</v>
      </c>
      <c r="F4303" s="26">
        <v>8.76</v>
      </c>
    </row>
    <row r="4304">
      <c r="A4304" s="26" t="s">
        <v>11294</v>
      </c>
      <c r="B4304" s="26" t="s">
        <v>11293</v>
      </c>
      <c r="C4304" s="26" t="s">
        <v>152</v>
      </c>
      <c r="D4304" s="26">
        <v>2.905</v>
      </c>
      <c r="E4304" s="26">
        <v>3.99</v>
      </c>
      <c r="F4304" s="26">
        <v>11.59</v>
      </c>
    </row>
    <row r="4305">
      <c r="A4305" s="26" t="s">
        <v>11298</v>
      </c>
      <c r="B4305" s="26" t="s">
        <v>11299</v>
      </c>
      <c r="C4305" s="26" t="s">
        <v>230</v>
      </c>
      <c r="D4305" s="26">
        <v>6.2</v>
      </c>
      <c r="E4305" s="26">
        <v>26.0</v>
      </c>
      <c r="F4305" s="26">
        <v>161.2</v>
      </c>
    </row>
    <row r="4306">
      <c r="A4306" s="26" t="s">
        <v>11303</v>
      </c>
      <c r="B4306" s="26" t="s">
        <v>11299</v>
      </c>
      <c r="C4306" s="26" t="s">
        <v>159</v>
      </c>
      <c r="D4306" s="26">
        <v>10.0</v>
      </c>
      <c r="E4306" s="26">
        <v>12.0</v>
      </c>
      <c r="F4306" s="26">
        <v>120.0</v>
      </c>
    </row>
    <row r="4307">
      <c r="A4307" s="26" t="s">
        <v>11304</v>
      </c>
      <c r="B4307" s="26" t="s">
        <v>11305</v>
      </c>
      <c r="C4307" s="29" t="s">
        <v>10424</v>
      </c>
      <c r="D4307" s="26">
        <v>10.0</v>
      </c>
      <c r="E4307" s="26">
        <v>30.0</v>
      </c>
      <c r="F4307" s="26">
        <v>300.0</v>
      </c>
    </row>
    <row r="4308">
      <c r="A4308" s="26" t="s">
        <v>11308</v>
      </c>
      <c r="B4308" s="26" t="s">
        <v>11309</v>
      </c>
      <c r="C4308" s="26" t="s">
        <v>155</v>
      </c>
      <c r="D4308" s="26">
        <v>2.44</v>
      </c>
      <c r="E4308" s="26">
        <v>5.99</v>
      </c>
      <c r="F4308" s="26">
        <v>14.62</v>
      </c>
    </row>
    <row r="4309">
      <c r="A4309" s="26" t="s">
        <v>11310</v>
      </c>
      <c r="B4309" s="26" t="s">
        <v>11311</v>
      </c>
      <c r="C4309" s="26" t="s">
        <v>8463</v>
      </c>
      <c r="D4309" s="26">
        <v>1.0</v>
      </c>
      <c r="E4309" s="26">
        <v>145.0</v>
      </c>
      <c r="F4309" s="26">
        <v>145.0</v>
      </c>
    </row>
    <row r="4310">
      <c r="A4310" s="26" t="s">
        <v>11312</v>
      </c>
      <c r="B4310" s="26" t="s">
        <v>11314</v>
      </c>
      <c r="C4310" s="26" t="s">
        <v>8067</v>
      </c>
      <c r="D4310" s="26">
        <v>1.0</v>
      </c>
      <c r="E4310" s="26">
        <v>30.0</v>
      </c>
      <c r="F4310" s="26">
        <v>30.0</v>
      </c>
    </row>
    <row r="4311">
      <c r="A4311" s="26" t="s">
        <v>11316</v>
      </c>
      <c r="B4311" s="26" t="s">
        <v>11318</v>
      </c>
      <c r="C4311" s="26" t="s">
        <v>1074</v>
      </c>
      <c r="D4311" s="26">
        <v>3.0</v>
      </c>
      <c r="E4311" s="26">
        <v>42.0</v>
      </c>
      <c r="F4311" s="26">
        <v>126.0</v>
      </c>
    </row>
    <row r="4312">
      <c r="A4312" s="26" t="s">
        <v>11319</v>
      </c>
      <c r="B4312" s="26" t="s">
        <v>11318</v>
      </c>
      <c r="C4312" s="26" t="s">
        <v>1075</v>
      </c>
      <c r="D4312" s="26">
        <v>3.0</v>
      </c>
      <c r="E4312" s="26">
        <v>22.0</v>
      </c>
      <c r="F4312" s="26">
        <v>66.0</v>
      </c>
    </row>
    <row r="4313">
      <c r="A4313" s="26" t="s">
        <v>11320</v>
      </c>
      <c r="B4313" s="26" t="s">
        <v>11318</v>
      </c>
      <c r="C4313" s="26" t="s">
        <v>1083</v>
      </c>
      <c r="D4313" s="26">
        <v>1.0</v>
      </c>
      <c r="E4313" s="26">
        <v>18.9</v>
      </c>
      <c r="F4313" s="26">
        <v>18.9</v>
      </c>
    </row>
    <row r="4314">
      <c r="A4314" s="26" t="s">
        <v>11321</v>
      </c>
      <c r="B4314" s="26" t="s">
        <v>11318</v>
      </c>
      <c r="C4314" s="26" t="s">
        <v>1404</v>
      </c>
      <c r="D4314" s="26">
        <v>1.0</v>
      </c>
      <c r="E4314" s="26">
        <v>20.28</v>
      </c>
      <c r="F4314" s="26">
        <v>20.28</v>
      </c>
    </row>
    <row r="4315">
      <c r="A4315" s="26" t="s">
        <v>11322</v>
      </c>
      <c r="B4315" s="26" t="s">
        <v>11318</v>
      </c>
      <c r="C4315" s="26" t="s">
        <v>1085</v>
      </c>
      <c r="D4315" s="26">
        <v>2.0</v>
      </c>
      <c r="E4315" s="26">
        <v>41.04</v>
      </c>
      <c r="F4315" s="26">
        <v>82.08</v>
      </c>
    </row>
    <row r="4316">
      <c r="A4316" s="26" t="s">
        <v>11323</v>
      </c>
      <c r="B4316" s="26" t="s">
        <v>11318</v>
      </c>
      <c r="C4316" s="26" t="s">
        <v>1080</v>
      </c>
      <c r="D4316" s="26">
        <v>6.0</v>
      </c>
      <c r="E4316" s="26">
        <v>18.0</v>
      </c>
      <c r="F4316" s="26">
        <v>108.0</v>
      </c>
    </row>
    <row r="4317">
      <c r="A4317" s="26" t="s">
        <v>11324</v>
      </c>
      <c r="B4317" s="26" t="s">
        <v>11318</v>
      </c>
      <c r="C4317" s="26" t="s">
        <v>1079</v>
      </c>
      <c r="D4317" s="26">
        <v>12.0</v>
      </c>
      <c r="E4317" s="26">
        <v>18.0</v>
      </c>
      <c r="F4317" s="26">
        <v>216.0</v>
      </c>
    </row>
    <row r="4318">
      <c r="A4318" s="26" t="s">
        <v>11325</v>
      </c>
      <c r="B4318" s="26" t="s">
        <v>11318</v>
      </c>
      <c r="C4318" s="26" t="s">
        <v>1077</v>
      </c>
      <c r="D4318" s="26">
        <v>2.0</v>
      </c>
      <c r="E4318" s="26">
        <v>25.8</v>
      </c>
      <c r="F4318" s="26">
        <v>51.6</v>
      </c>
    </row>
    <row r="4319">
      <c r="A4319" s="26" t="s">
        <v>11327</v>
      </c>
      <c r="B4319" s="26" t="s">
        <v>11318</v>
      </c>
      <c r="C4319" s="26" t="s">
        <v>1081</v>
      </c>
      <c r="D4319" s="26">
        <v>6.0</v>
      </c>
      <c r="E4319" s="26">
        <v>48.0</v>
      </c>
      <c r="F4319" s="26">
        <v>288.0</v>
      </c>
    </row>
    <row r="4320">
      <c r="A4320" s="26" t="s">
        <v>11328</v>
      </c>
      <c r="B4320" s="26" t="s">
        <v>11329</v>
      </c>
      <c r="C4320" s="29" t="s">
        <v>10424</v>
      </c>
      <c r="D4320" s="26">
        <v>8.0</v>
      </c>
      <c r="E4320" s="26">
        <v>30.0</v>
      </c>
      <c r="F4320" s="26">
        <v>240.0</v>
      </c>
    </row>
    <row r="4321">
      <c r="A4321" s="26" t="s">
        <v>11330</v>
      </c>
      <c r="B4321" s="26" t="s">
        <v>11331</v>
      </c>
      <c r="C4321" s="26" t="s">
        <v>226</v>
      </c>
      <c r="D4321" s="26">
        <v>3.0</v>
      </c>
      <c r="E4321" s="26">
        <v>8.5</v>
      </c>
      <c r="F4321" s="26">
        <v>25.5</v>
      </c>
    </row>
    <row r="4322">
      <c r="A4322" s="26" t="s">
        <v>11332</v>
      </c>
      <c r="B4322" s="26" t="s">
        <v>11331</v>
      </c>
      <c r="C4322" s="26" t="s">
        <v>152</v>
      </c>
      <c r="D4322" s="26">
        <v>2.155</v>
      </c>
      <c r="E4322" s="26">
        <v>3.75</v>
      </c>
      <c r="F4322" s="26">
        <v>8.08</v>
      </c>
    </row>
    <row r="4323">
      <c r="A4323" s="26" t="s">
        <v>11333</v>
      </c>
      <c r="B4323" s="26" t="s">
        <v>11331</v>
      </c>
      <c r="C4323" s="26" t="s">
        <v>230</v>
      </c>
      <c r="D4323" s="26">
        <v>6.075</v>
      </c>
      <c r="E4323" s="26">
        <v>27.0</v>
      </c>
      <c r="F4323" s="26">
        <v>164.03</v>
      </c>
    </row>
    <row r="4324">
      <c r="A4324" s="26" t="s">
        <v>11334</v>
      </c>
      <c r="B4324" s="26" t="s">
        <v>11331</v>
      </c>
      <c r="C4324" s="26" t="s">
        <v>155</v>
      </c>
      <c r="D4324" s="26">
        <v>3.19</v>
      </c>
      <c r="E4324" s="26">
        <v>6.2</v>
      </c>
      <c r="F4324" s="26">
        <v>19.78</v>
      </c>
    </row>
    <row r="4325">
      <c r="A4325" s="26" t="s">
        <v>11335</v>
      </c>
      <c r="B4325" s="26" t="s">
        <v>11331</v>
      </c>
      <c r="C4325" s="26" t="s">
        <v>159</v>
      </c>
      <c r="D4325" s="26">
        <v>10.0</v>
      </c>
      <c r="E4325" s="26">
        <v>11.5</v>
      </c>
      <c r="F4325" s="26">
        <v>115.0</v>
      </c>
    </row>
    <row r="4326">
      <c r="A4326" s="26" t="s">
        <v>11336</v>
      </c>
      <c r="B4326" s="26" t="s">
        <v>11337</v>
      </c>
      <c r="C4326" s="26" t="s">
        <v>10344</v>
      </c>
      <c r="D4326" s="26">
        <v>1.0</v>
      </c>
      <c r="E4326" s="26">
        <v>9.9</v>
      </c>
      <c r="F4326" s="26">
        <v>9.9</v>
      </c>
    </row>
    <row r="4327">
      <c r="A4327" s="26" t="s">
        <v>11338</v>
      </c>
      <c r="B4327" s="26" t="s">
        <v>11337</v>
      </c>
      <c r="C4327" s="26" t="s">
        <v>247</v>
      </c>
      <c r="D4327" s="26">
        <v>8.0</v>
      </c>
      <c r="E4327" s="26">
        <v>0.95</v>
      </c>
      <c r="F4327" s="26">
        <v>7.6</v>
      </c>
    </row>
    <row r="4328">
      <c r="A4328" s="26" t="s">
        <v>11339</v>
      </c>
      <c r="B4328" s="26" t="s">
        <v>11337</v>
      </c>
      <c r="C4328" s="26" t="s">
        <v>10500</v>
      </c>
      <c r="D4328" s="26">
        <v>2.0</v>
      </c>
      <c r="E4328" s="26">
        <v>6.79</v>
      </c>
      <c r="F4328" s="26">
        <v>13.58</v>
      </c>
    </row>
    <row r="4329">
      <c r="A4329" s="26" t="s">
        <v>11341</v>
      </c>
      <c r="B4329" s="26" t="s">
        <v>11337</v>
      </c>
      <c r="C4329" s="26" t="s">
        <v>10305</v>
      </c>
      <c r="D4329" s="26">
        <v>1.0</v>
      </c>
      <c r="E4329" s="26">
        <v>10.99</v>
      </c>
      <c r="F4329" s="26">
        <v>10.99</v>
      </c>
    </row>
    <row r="4330">
      <c r="A4330" s="26" t="s">
        <v>11342</v>
      </c>
      <c r="B4330" s="26" t="s">
        <v>11337</v>
      </c>
      <c r="C4330" s="26" t="s">
        <v>10303</v>
      </c>
      <c r="D4330" s="26">
        <v>1.0</v>
      </c>
      <c r="E4330" s="26">
        <v>34.91</v>
      </c>
      <c r="F4330" s="26">
        <v>34.91</v>
      </c>
    </row>
    <row r="4331">
      <c r="A4331" s="26" t="s">
        <v>11343</v>
      </c>
      <c r="B4331" s="26" t="s">
        <v>11337</v>
      </c>
      <c r="C4331" s="26" t="s">
        <v>5563</v>
      </c>
      <c r="D4331" s="26">
        <v>1.0</v>
      </c>
      <c r="E4331" s="26">
        <v>35.9</v>
      </c>
      <c r="F4331" s="26">
        <v>35.9</v>
      </c>
    </row>
    <row r="4332">
      <c r="A4332" s="26" t="s">
        <v>11344</v>
      </c>
      <c r="B4332" s="26" t="s">
        <v>11346</v>
      </c>
      <c r="C4332" s="26" t="s">
        <v>10491</v>
      </c>
      <c r="D4332" s="26">
        <v>0.6</v>
      </c>
      <c r="E4332" s="26">
        <v>14.99</v>
      </c>
      <c r="F4332" s="26">
        <v>8.99</v>
      </c>
    </row>
    <row r="4333">
      <c r="A4333" s="26" t="s">
        <v>11348</v>
      </c>
      <c r="B4333" s="26" t="s">
        <v>11346</v>
      </c>
      <c r="C4333" s="26" t="s">
        <v>10293</v>
      </c>
      <c r="D4333" s="26">
        <v>2.0</v>
      </c>
      <c r="E4333" s="26">
        <v>8.99</v>
      </c>
      <c r="F4333" s="26">
        <v>17.98</v>
      </c>
    </row>
    <row r="4334">
      <c r="A4334" s="26" t="s">
        <v>11349</v>
      </c>
      <c r="B4334" s="26" t="s">
        <v>11350</v>
      </c>
      <c r="C4334" s="26" t="s">
        <v>11351</v>
      </c>
      <c r="D4334" s="26">
        <v>1.0</v>
      </c>
      <c r="E4334" s="26">
        <v>18.99</v>
      </c>
      <c r="F4334" s="26">
        <v>18.99</v>
      </c>
    </row>
    <row r="4335">
      <c r="A4335" s="26" t="s">
        <v>11352</v>
      </c>
      <c r="B4335" s="26" t="s">
        <v>11350</v>
      </c>
      <c r="C4335" s="26" t="s">
        <v>11353</v>
      </c>
      <c r="D4335" s="26">
        <v>3.0</v>
      </c>
      <c r="E4335" s="26">
        <v>15.5</v>
      </c>
      <c r="F4335" s="26">
        <v>46.5</v>
      </c>
    </row>
    <row r="4336">
      <c r="A4336" s="26" t="s">
        <v>11354</v>
      </c>
      <c r="B4336" s="26" t="s">
        <v>11355</v>
      </c>
      <c r="C4336" s="29" t="s">
        <v>10424</v>
      </c>
      <c r="D4336" s="26">
        <v>5.0</v>
      </c>
      <c r="E4336" s="26">
        <v>30.0</v>
      </c>
      <c r="F4336" s="26">
        <v>150.0</v>
      </c>
    </row>
    <row r="4337">
      <c r="A4337" s="26" t="s">
        <v>11357</v>
      </c>
      <c r="B4337" s="26" t="s">
        <v>172</v>
      </c>
      <c r="C4337" s="26" t="s">
        <v>11359</v>
      </c>
      <c r="D4337" s="26">
        <v>1.0</v>
      </c>
      <c r="E4337" s="26">
        <v>58.0</v>
      </c>
      <c r="F4337" s="26">
        <v>58.0</v>
      </c>
    </row>
    <row r="4338">
      <c r="A4338" s="26" t="s">
        <v>11362</v>
      </c>
      <c r="B4338" s="26" t="s">
        <v>11363</v>
      </c>
      <c r="C4338" s="26" t="s">
        <v>4071</v>
      </c>
      <c r="D4338" s="26">
        <v>1.0</v>
      </c>
      <c r="E4338" s="26">
        <v>7.45</v>
      </c>
      <c r="F4338" s="26">
        <v>7.45</v>
      </c>
    </row>
    <row r="4339">
      <c r="A4339" s="26" t="s">
        <v>11364</v>
      </c>
      <c r="B4339" s="26" t="s">
        <v>11363</v>
      </c>
      <c r="C4339" s="26" t="s">
        <v>10261</v>
      </c>
      <c r="D4339" s="26">
        <v>1.0</v>
      </c>
      <c r="E4339" s="26">
        <v>0.63</v>
      </c>
      <c r="F4339" s="26">
        <v>0.63</v>
      </c>
    </row>
    <row r="4340">
      <c r="A4340" s="26" t="s">
        <v>11367</v>
      </c>
      <c r="B4340" s="26" t="s">
        <v>11368</v>
      </c>
      <c r="C4340" s="26" t="s">
        <v>8458</v>
      </c>
      <c r="D4340" s="26">
        <v>1.0</v>
      </c>
      <c r="E4340" s="26">
        <v>9447.75</v>
      </c>
      <c r="F4340" s="26">
        <v>9447.75</v>
      </c>
    </row>
    <row r="4341">
      <c r="A4341" s="26" t="s">
        <v>11369</v>
      </c>
      <c r="B4341" s="26" t="s">
        <v>11368</v>
      </c>
      <c r="C4341" s="26" t="s">
        <v>10261</v>
      </c>
      <c r="D4341" s="26">
        <v>1.0</v>
      </c>
      <c r="E4341" s="26">
        <v>803.06</v>
      </c>
      <c r="F4341" s="26">
        <v>803.06</v>
      </c>
    </row>
    <row r="4342">
      <c r="A4342" s="26" t="s">
        <v>11370</v>
      </c>
      <c r="B4342" s="26" t="s">
        <v>11368</v>
      </c>
      <c r="C4342" s="26" t="s">
        <v>10350</v>
      </c>
      <c r="D4342" s="26">
        <v>1.0</v>
      </c>
      <c r="E4342" s="26">
        <v>150.91</v>
      </c>
      <c r="F4342" s="26">
        <v>150.91</v>
      </c>
    </row>
    <row r="4343">
      <c r="A4343" s="26" t="s">
        <v>11372</v>
      </c>
      <c r="B4343" s="26" t="s">
        <v>11373</v>
      </c>
      <c r="C4343" s="26" t="s">
        <v>8458</v>
      </c>
      <c r="D4343" s="26">
        <v>1.0</v>
      </c>
      <c r="E4343" s="26">
        <v>127.5</v>
      </c>
      <c r="F4343" s="26">
        <v>127.5</v>
      </c>
    </row>
    <row r="4344">
      <c r="A4344" s="26" t="s">
        <v>11374</v>
      </c>
      <c r="B4344" s="26" t="s">
        <v>11373</v>
      </c>
      <c r="C4344" s="26" t="s">
        <v>10261</v>
      </c>
      <c r="D4344" s="26">
        <v>1.0</v>
      </c>
      <c r="E4344" s="26">
        <v>10.84</v>
      </c>
      <c r="F4344" s="26">
        <v>10.84</v>
      </c>
    </row>
    <row r="4345">
      <c r="A4345" s="26" t="s">
        <v>11377</v>
      </c>
      <c r="B4345" s="26" t="s">
        <v>11378</v>
      </c>
      <c r="C4345" s="26" t="s">
        <v>1517</v>
      </c>
      <c r="D4345" s="26">
        <v>1.0</v>
      </c>
      <c r="E4345" s="26">
        <v>22.02</v>
      </c>
      <c r="F4345" s="26">
        <v>22.02</v>
      </c>
    </row>
    <row r="4346">
      <c r="A4346" s="26" t="s">
        <v>11381</v>
      </c>
      <c r="B4346" s="26" t="s">
        <v>11378</v>
      </c>
      <c r="C4346" s="26" t="s">
        <v>10261</v>
      </c>
      <c r="D4346" s="26">
        <v>1.0</v>
      </c>
      <c r="E4346" s="26">
        <v>1.87</v>
      </c>
      <c r="F4346" s="26">
        <v>1.87</v>
      </c>
    </row>
    <row r="4347">
      <c r="A4347" s="26" t="s">
        <v>11383</v>
      </c>
      <c r="B4347" s="26" t="s">
        <v>11384</v>
      </c>
      <c r="C4347" s="26" t="s">
        <v>1517</v>
      </c>
      <c r="D4347" s="26">
        <v>1.0</v>
      </c>
      <c r="E4347" s="26">
        <v>2752.23</v>
      </c>
      <c r="F4347" s="26">
        <v>2752.23</v>
      </c>
    </row>
    <row r="4348">
      <c r="A4348" s="26" t="s">
        <v>11385</v>
      </c>
      <c r="B4348" s="26" t="s">
        <v>11384</v>
      </c>
      <c r="C4348" s="26" t="s">
        <v>10261</v>
      </c>
      <c r="D4348" s="26">
        <v>1.0</v>
      </c>
      <c r="E4348" s="26">
        <v>233.94</v>
      </c>
      <c r="F4348" s="26">
        <v>233.94</v>
      </c>
    </row>
    <row r="4349">
      <c r="A4349" s="26" t="s">
        <v>11388</v>
      </c>
      <c r="B4349" s="26" t="s">
        <v>278</v>
      </c>
      <c r="C4349" s="26" t="s">
        <v>1904</v>
      </c>
      <c r="D4349" s="26">
        <v>4.0</v>
      </c>
      <c r="E4349" s="26">
        <v>1.5</v>
      </c>
      <c r="F4349" s="26">
        <v>6.0</v>
      </c>
    </row>
    <row r="4350">
      <c r="A4350" s="26" t="s">
        <v>11389</v>
      </c>
      <c r="B4350" s="26" t="s">
        <v>283</v>
      </c>
      <c r="C4350" s="26" t="s">
        <v>10293</v>
      </c>
      <c r="D4350" s="26">
        <v>2.0</v>
      </c>
      <c r="E4350" s="26">
        <v>8.99</v>
      </c>
      <c r="F4350" s="26">
        <v>17.98</v>
      </c>
    </row>
    <row r="4351">
      <c r="A4351" s="26" t="s">
        <v>11393</v>
      </c>
      <c r="B4351" s="26" t="s">
        <v>283</v>
      </c>
      <c r="C4351" s="26" t="s">
        <v>10500</v>
      </c>
      <c r="D4351" s="26">
        <v>1.0</v>
      </c>
      <c r="E4351" s="26">
        <v>6.99</v>
      </c>
      <c r="F4351" s="26">
        <v>6.99</v>
      </c>
    </row>
    <row r="4352">
      <c r="A4352" s="26" t="s">
        <v>11394</v>
      </c>
      <c r="B4352" s="26" t="s">
        <v>283</v>
      </c>
      <c r="C4352" s="26" t="s">
        <v>10303</v>
      </c>
      <c r="D4352" s="26">
        <v>1.0</v>
      </c>
      <c r="E4352" s="26">
        <v>16.99</v>
      </c>
      <c r="F4352" s="26">
        <v>16.99</v>
      </c>
    </row>
    <row r="4353">
      <c r="A4353" s="29" t="s">
        <v>11395</v>
      </c>
      <c r="B4353" s="26" t="s">
        <v>11396</v>
      </c>
      <c r="C4353" s="29" t="s">
        <v>10424</v>
      </c>
      <c r="D4353" s="26">
        <v>6.0</v>
      </c>
      <c r="E4353" s="26">
        <v>30.0</v>
      </c>
      <c r="F4353" s="26">
        <v>180.0</v>
      </c>
    </row>
    <row r="4354">
      <c r="A4354" s="26" t="s">
        <v>11399</v>
      </c>
      <c r="B4354" s="26" t="s">
        <v>11400</v>
      </c>
      <c r="C4354" s="26" t="s">
        <v>226</v>
      </c>
      <c r="D4354" s="26">
        <v>2.0</v>
      </c>
      <c r="E4354" s="26">
        <v>9.0</v>
      </c>
      <c r="F4354" s="26">
        <v>18.0</v>
      </c>
    </row>
    <row r="4355">
      <c r="A4355" s="26" t="s">
        <v>11402</v>
      </c>
      <c r="B4355" s="26" t="s">
        <v>11400</v>
      </c>
      <c r="C4355" s="26" t="s">
        <v>152</v>
      </c>
      <c r="D4355" s="26">
        <v>1.705</v>
      </c>
      <c r="E4355" s="26">
        <v>3.8</v>
      </c>
      <c r="F4355" s="26">
        <v>6.48</v>
      </c>
    </row>
    <row r="4356">
      <c r="A4356" s="26" t="s">
        <v>11403</v>
      </c>
      <c r="B4356" s="26" t="s">
        <v>11400</v>
      </c>
      <c r="C4356" s="26" t="s">
        <v>230</v>
      </c>
      <c r="D4356" s="26">
        <v>5.275</v>
      </c>
      <c r="E4356" s="26">
        <v>29.0</v>
      </c>
      <c r="F4356" s="26">
        <v>152.98</v>
      </c>
    </row>
    <row r="4357">
      <c r="A4357" s="26" t="s">
        <v>11405</v>
      </c>
      <c r="B4357" s="26" t="s">
        <v>11400</v>
      </c>
      <c r="C4357" s="26" t="s">
        <v>155</v>
      </c>
      <c r="D4357" s="26">
        <v>3.2</v>
      </c>
      <c r="E4357" s="26">
        <v>6.5</v>
      </c>
      <c r="F4357" s="26">
        <v>20.8</v>
      </c>
    </row>
    <row r="4358">
      <c r="A4358" s="26" t="s">
        <v>11406</v>
      </c>
      <c r="B4358" s="26" t="s">
        <v>11400</v>
      </c>
      <c r="C4358" s="26" t="s">
        <v>159</v>
      </c>
      <c r="D4358" s="26">
        <v>8.0</v>
      </c>
      <c r="E4358" s="26">
        <v>12.0</v>
      </c>
      <c r="F4358" s="26">
        <v>96.0</v>
      </c>
    </row>
    <row r="4359">
      <c r="A4359" s="26" t="s">
        <v>11408</v>
      </c>
      <c r="B4359" s="26" t="s">
        <v>11409</v>
      </c>
      <c r="C4359" s="26" t="s">
        <v>152</v>
      </c>
      <c r="D4359" s="26">
        <v>1.75</v>
      </c>
      <c r="E4359" s="26">
        <v>3.99</v>
      </c>
      <c r="F4359" s="26">
        <v>6.98</v>
      </c>
    </row>
    <row r="4360">
      <c r="A4360" s="26" t="s">
        <v>11410</v>
      </c>
      <c r="B4360" s="26" t="s">
        <v>11409</v>
      </c>
      <c r="C4360" s="26" t="s">
        <v>155</v>
      </c>
      <c r="D4360" s="26">
        <v>2.75</v>
      </c>
      <c r="E4360" s="26">
        <v>6.5</v>
      </c>
      <c r="F4360" s="26">
        <v>17.88</v>
      </c>
    </row>
    <row r="4361">
      <c r="A4361" s="29" t="s">
        <v>11412</v>
      </c>
      <c r="B4361" s="26" t="s">
        <v>11409</v>
      </c>
      <c r="C4361" s="26" t="s">
        <v>159</v>
      </c>
      <c r="D4361" s="26">
        <v>8.0</v>
      </c>
      <c r="E4361" s="26">
        <v>12.0</v>
      </c>
      <c r="F4361" s="26">
        <v>96.0</v>
      </c>
    </row>
    <row r="4362">
      <c r="A4362" s="26" t="s">
        <v>11413</v>
      </c>
      <c r="B4362" s="26" t="s">
        <v>11414</v>
      </c>
      <c r="C4362" s="26" t="s">
        <v>11415</v>
      </c>
      <c r="D4362" s="26">
        <v>1.0</v>
      </c>
      <c r="E4362" s="26">
        <v>11.99</v>
      </c>
      <c r="F4362" s="26">
        <v>11.99</v>
      </c>
    </row>
    <row r="4363">
      <c r="A4363" s="26" t="s">
        <v>11416</v>
      </c>
      <c r="B4363" s="26" t="s">
        <v>11414</v>
      </c>
      <c r="C4363" s="26" t="s">
        <v>11418</v>
      </c>
      <c r="D4363" s="26">
        <v>0.308</v>
      </c>
      <c r="E4363" s="26">
        <v>39.9</v>
      </c>
      <c r="F4363" s="26">
        <v>12.29</v>
      </c>
    </row>
    <row r="4364">
      <c r="A4364" s="26" t="s">
        <v>11419</v>
      </c>
      <c r="B4364" s="26" t="s">
        <v>11414</v>
      </c>
      <c r="C4364" s="26" t="s">
        <v>11420</v>
      </c>
      <c r="D4364" s="26">
        <v>0.416</v>
      </c>
      <c r="E4364" s="26">
        <v>39.9</v>
      </c>
      <c r="F4364" s="26">
        <v>16.6</v>
      </c>
    </row>
    <row r="4365">
      <c r="A4365" s="26" t="s">
        <v>11421</v>
      </c>
      <c r="B4365" s="26" t="s">
        <v>11414</v>
      </c>
      <c r="C4365" s="26" t="s">
        <v>11422</v>
      </c>
      <c r="D4365" s="26">
        <v>0.248</v>
      </c>
      <c r="E4365" s="26">
        <v>49.9</v>
      </c>
      <c r="F4365" s="26">
        <v>12.38</v>
      </c>
    </row>
    <row r="4366">
      <c r="A4366" s="26" t="s">
        <v>11424</v>
      </c>
      <c r="B4366" s="26" t="s">
        <v>11414</v>
      </c>
      <c r="C4366" s="26" t="s">
        <v>11420</v>
      </c>
      <c r="D4366" s="26">
        <v>0.554</v>
      </c>
      <c r="E4366" s="26">
        <v>54.9</v>
      </c>
      <c r="F4366" s="26">
        <v>30.41</v>
      </c>
    </row>
    <row r="4367">
      <c r="A4367" s="26" t="s">
        <v>11425</v>
      </c>
      <c r="B4367" s="26" t="s">
        <v>11414</v>
      </c>
      <c r="C4367" s="26" t="s">
        <v>11426</v>
      </c>
      <c r="D4367" s="26">
        <v>0.626</v>
      </c>
      <c r="E4367" s="26">
        <v>39.9</v>
      </c>
      <c r="F4367" s="26">
        <v>24.98</v>
      </c>
    </row>
    <row r="4368">
      <c r="A4368" s="26" t="s">
        <v>11428</v>
      </c>
      <c r="B4368" s="26" t="s">
        <v>11414</v>
      </c>
      <c r="C4368" s="26" t="s">
        <v>11429</v>
      </c>
      <c r="D4368" s="26">
        <v>0.298</v>
      </c>
      <c r="E4368" s="26">
        <v>39.9</v>
      </c>
      <c r="F4368" s="26">
        <v>11.89</v>
      </c>
    </row>
    <row r="4369">
      <c r="A4369" s="26" t="s">
        <v>11430</v>
      </c>
      <c r="B4369" s="26" t="s">
        <v>385</v>
      </c>
      <c r="C4369" s="26" t="s">
        <v>11431</v>
      </c>
      <c r="D4369" s="26">
        <v>1.191</v>
      </c>
      <c r="E4369" s="26">
        <v>52.5</v>
      </c>
      <c r="F4369" s="26">
        <v>62.53</v>
      </c>
    </row>
    <row r="4370">
      <c r="A4370" s="26" t="s">
        <v>11434</v>
      </c>
      <c r="B4370" s="26" t="s">
        <v>11435</v>
      </c>
      <c r="C4370" s="26" t="s">
        <v>691</v>
      </c>
      <c r="D4370" s="26">
        <v>6.0</v>
      </c>
      <c r="E4370" s="26">
        <v>50.0</v>
      </c>
      <c r="F4370" s="26">
        <v>300.0</v>
      </c>
    </row>
    <row r="4371">
      <c r="A4371" s="26" t="s">
        <v>11436</v>
      </c>
      <c r="B4371" s="26" t="s">
        <v>11435</v>
      </c>
      <c r="C4371" s="26" t="s">
        <v>6563</v>
      </c>
      <c r="D4371" s="26">
        <v>1.0</v>
      </c>
      <c r="E4371" s="26">
        <v>36.0</v>
      </c>
      <c r="F4371" s="26">
        <v>36.0</v>
      </c>
    </row>
    <row r="4372">
      <c r="A4372" s="26" t="s">
        <v>11438</v>
      </c>
      <c r="B4372" s="26" t="s">
        <v>11435</v>
      </c>
      <c r="C4372" s="26" t="s">
        <v>1195</v>
      </c>
      <c r="D4372" s="26">
        <v>1.0</v>
      </c>
      <c r="E4372" s="26">
        <v>26.0</v>
      </c>
      <c r="F4372" s="26">
        <v>26.0</v>
      </c>
    </row>
    <row r="4373">
      <c r="A4373" s="26" t="s">
        <v>11441</v>
      </c>
      <c r="B4373" s="26" t="s">
        <v>11435</v>
      </c>
      <c r="C4373" s="26" t="s">
        <v>1197</v>
      </c>
      <c r="D4373" s="26">
        <v>5.0</v>
      </c>
      <c r="E4373" s="26">
        <v>18.5</v>
      </c>
      <c r="F4373" s="26">
        <v>92.5</v>
      </c>
    </row>
    <row r="4374">
      <c r="A4374" s="26" t="s">
        <v>11442</v>
      </c>
      <c r="B4374" s="26" t="s">
        <v>11435</v>
      </c>
      <c r="C4374" s="26" t="s">
        <v>1197</v>
      </c>
      <c r="D4374" s="26">
        <v>1.0</v>
      </c>
      <c r="E4374" s="26">
        <v>22.0</v>
      </c>
      <c r="F4374" s="26">
        <v>22.0</v>
      </c>
    </row>
    <row r="4375">
      <c r="A4375" s="26" t="s">
        <v>11445</v>
      </c>
      <c r="B4375" s="26" t="s">
        <v>11446</v>
      </c>
      <c r="C4375" s="26" t="s">
        <v>152</v>
      </c>
      <c r="D4375" s="26">
        <v>1.52</v>
      </c>
      <c r="E4375" s="26">
        <v>3.99</v>
      </c>
      <c r="F4375" s="26">
        <v>6.06</v>
      </c>
    </row>
    <row r="4376">
      <c r="A4376" s="26" t="s">
        <v>11447</v>
      </c>
      <c r="B4376" s="26" t="s">
        <v>11448</v>
      </c>
      <c r="C4376" s="26" t="s">
        <v>10500</v>
      </c>
      <c r="D4376" s="26">
        <v>1.0</v>
      </c>
      <c r="E4376" s="26">
        <v>8.99</v>
      </c>
      <c r="F4376" s="26">
        <v>8.99</v>
      </c>
    </row>
    <row r="4377">
      <c r="A4377" s="26" t="s">
        <v>11452</v>
      </c>
      <c r="B4377" s="26" t="s">
        <v>11448</v>
      </c>
      <c r="C4377" s="26" t="s">
        <v>10303</v>
      </c>
      <c r="D4377" s="26">
        <v>1.0</v>
      </c>
      <c r="E4377" s="26">
        <v>13.0</v>
      </c>
      <c r="F4377" s="26">
        <v>13.0</v>
      </c>
    </row>
    <row r="4378">
      <c r="A4378" s="26" t="s">
        <v>11453</v>
      </c>
      <c r="B4378" s="26" t="s">
        <v>11448</v>
      </c>
      <c r="C4378" s="26" t="s">
        <v>10305</v>
      </c>
      <c r="D4378" s="26">
        <v>1.0</v>
      </c>
      <c r="E4378" s="26">
        <v>8.99</v>
      </c>
      <c r="F4378" s="26">
        <v>8.99</v>
      </c>
    </row>
    <row r="4379">
      <c r="A4379" s="26" t="s">
        <v>11454</v>
      </c>
      <c r="B4379" s="26" t="s">
        <v>11455</v>
      </c>
      <c r="C4379" s="26" t="s">
        <v>5225</v>
      </c>
      <c r="D4379" s="26">
        <v>1.0</v>
      </c>
      <c r="E4379" s="26">
        <v>25.0</v>
      </c>
      <c r="F4379" s="26">
        <v>25.0</v>
      </c>
    </row>
    <row r="4380">
      <c r="A4380" s="26" t="s">
        <v>11456</v>
      </c>
      <c r="B4380" s="26" t="s">
        <v>11457</v>
      </c>
      <c r="C4380" s="26" t="s">
        <v>11458</v>
      </c>
      <c r="D4380" s="26">
        <v>1.0</v>
      </c>
      <c r="E4380" s="26">
        <v>10.0</v>
      </c>
      <c r="F4380" s="26">
        <v>10.0</v>
      </c>
    </row>
    <row r="4381">
      <c r="A4381" s="26" t="s">
        <v>11460</v>
      </c>
      <c r="B4381" s="26" t="s">
        <v>11462</v>
      </c>
      <c r="C4381" s="26" t="s">
        <v>1536</v>
      </c>
      <c r="D4381" s="26">
        <v>1.0</v>
      </c>
      <c r="E4381" s="26">
        <v>50.0</v>
      </c>
      <c r="F4381" s="26">
        <v>50.0</v>
      </c>
    </row>
    <row r="4382">
      <c r="A4382" s="26" t="s">
        <v>11463</v>
      </c>
      <c r="B4382" s="26" t="s">
        <v>11464</v>
      </c>
      <c r="C4382" s="26" t="s">
        <v>10491</v>
      </c>
      <c r="D4382" s="26">
        <v>0.488</v>
      </c>
      <c r="E4382" s="26">
        <v>14.99</v>
      </c>
      <c r="F4382" s="26">
        <v>7.32</v>
      </c>
    </row>
    <row r="4383">
      <c r="A4383" s="26" t="s">
        <v>11465</v>
      </c>
      <c r="B4383" s="26" t="s">
        <v>11464</v>
      </c>
      <c r="C4383" s="26" t="s">
        <v>11466</v>
      </c>
      <c r="D4383" s="26">
        <v>1.0</v>
      </c>
      <c r="E4383" s="26">
        <v>4.49</v>
      </c>
      <c r="F4383" s="26">
        <v>4.49</v>
      </c>
    </row>
    <row r="4384">
      <c r="A4384" s="26" t="s">
        <v>11467</v>
      </c>
      <c r="B4384" s="26" t="s">
        <v>11464</v>
      </c>
      <c r="C4384" s="26" t="s">
        <v>11468</v>
      </c>
      <c r="D4384" s="26">
        <v>1.0</v>
      </c>
      <c r="E4384" s="26">
        <v>25.99</v>
      </c>
      <c r="F4384" s="26">
        <v>25.99</v>
      </c>
    </row>
    <row r="4385">
      <c r="A4385" s="26" t="s">
        <v>11469</v>
      </c>
      <c r="B4385" s="26" t="s">
        <v>11464</v>
      </c>
      <c r="C4385" s="26" t="s">
        <v>11470</v>
      </c>
      <c r="D4385" s="26">
        <v>1.0</v>
      </c>
      <c r="E4385" s="26">
        <v>5.79</v>
      </c>
      <c r="F4385" s="26">
        <v>5.79</v>
      </c>
    </row>
    <row r="4386">
      <c r="A4386" s="26" t="s">
        <v>11471</v>
      </c>
      <c r="B4386" s="26" t="s">
        <v>11473</v>
      </c>
      <c r="C4386" s="26" t="s">
        <v>152</v>
      </c>
      <c r="D4386" s="26">
        <v>1.292</v>
      </c>
      <c r="E4386" s="26">
        <v>5.79</v>
      </c>
      <c r="F4386" s="26">
        <v>7.48</v>
      </c>
    </row>
    <row r="4387">
      <c r="A4387" s="26" t="s">
        <v>11474</v>
      </c>
      <c r="B4387" s="26" t="s">
        <v>11473</v>
      </c>
      <c r="C4387" s="26" t="s">
        <v>688</v>
      </c>
      <c r="D4387" s="26">
        <v>1.0</v>
      </c>
      <c r="E4387" s="26">
        <v>6.99</v>
      </c>
      <c r="F4387" s="26">
        <v>6.99</v>
      </c>
    </row>
    <row r="4388">
      <c r="A4388" s="26" t="s">
        <v>11475</v>
      </c>
      <c r="B4388" s="29" t="s">
        <v>11476</v>
      </c>
      <c r="C4388" s="26" t="s">
        <v>8458</v>
      </c>
      <c r="D4388" s="26">
        <v>1.0</v>
      </c>
      <c r="E4388" s="26">
        <v>255.0</v>
      </c>
      <c r="F4388" s="26">
        <v>255.0</v>
      </c>
    </row>
    <row r="4389">
      <c r="A4389" s="26" t="s">
        <v>11477</v>
      </c>
      <c r="B4389" s="29" t="s">
        <v>11476</v>
      </c>
      <c r="C4389" s="26" t="s">
        <v>10261</v>
      </c>
      <c r="D4389" s="26">
        <v>1.0</v>
      </c>
      <c r="E4389" s="26">
        <v>21.68</v>
      </c>
      <c r="F4389" s="26">
        <v>21.68</v>
      </c>
    </row>
    <row r="4390">
      <c r="A4390" s="26" t="s">
        <v>11478</v>
      </c>
      <c r="B4390" s="26" t="s">
        <v>11479</v>
      </c>
      <c r="C4390" s="26" t="s">
        <v>6039</v>
      </c>
      <c r="D4390" s="26">
        <v>2.0</v>
      </c>
      <c r="E4390" s="26">
        <v>18.9</v>
      </c>
      <c r="F4390" s="26">
        <v>37.8</v>
      </c>
    </row>
    <row r="4391">
      <c r="A4391" s="26" t="s">
        <v>11480</v>
      </c>
      <c r="B4391" s="26" t="s">
        <v>11481</v>
      </c>
      <c r="C4391" s="26" t="s">
        <v>10293</v>
      </c>
      <c r="D4391" s="26">
        <v>2.0</v>
      </c>
      <c r="E4391" s="26">
        <v>7.99</v>
      </c>
      <c r="F4391" s="26">
        <v>15.98</v>
      </c>
    </row>
    <row r="4392">
      <c r="A4392" s="26" t="s">
        <v>11482</v>
      </c>
      <c r="B4392" s="26" t="s">
        <v>11481</v>
      </c>
      <c r="C4392" s="26" t="s">
        <v>10500</v>
      </c>
      <c r="D4392" s="26">
        <v>1.0</v>
      </c>
      <c r="E4392" s="26">
        <v>8.99</v>
      </c>
      <c r="F4392" s="26">
        <v>8.99</v>
      </c>
    </row>
    <row r="4393">
      <c r="A4393" s="26" t="s">
        <v>11483</v>
      </c>
      <c r="B4393" s="26" t="s">
        <v>11481</v>
      </c>
      <c r="C4393" s="26" t="s">
        <v>10305</v>
      </c>
      <c r="D4393" s="26">
        <v>1.0</v>
      </c>
      <c r="E4393" s="26">
        <v>6.99</v>
      </c>
      <c r="F4393" s="26">
        <v>6.99</v>
      </c>
    </row>
    <row r="4394">
      <c r="A4394" s="26" t="s">
        <v>11484</v>
      </c>
      <c r="B4394" s="26" t="s">
        <v>11481</v>
      </c>
      <c r="C4394" s="26" t="s">
        <v>10303</v>
      </c>
      <c r="D4394" s="26">
        <v>2.0</v>
      </c>
      <c r="E4394" s="26">
        <v>9.98</v>
      </c>
      <c r="F4394" s="26">
        <v>19.96</v>
      </c>
    </row>
    <row r="4395">
      <c r="A4395" s="26" t="s">
        <v>11485</v>
      </c>
      <c r="B4395" s="26" t="s">
        <v>753</v>
      </c>
      <c r="C4395" s="26" t="s">
        <v>3606</v>
      </c>
      <c r="D4395" s="26">
        <v>1.0</v>
      </c>
      <c r="E4395" s="26">
        <v>16.99</v>
      </c>
      <c r="F4395" s="26">
        <v>16.99</v>
      </c>
    </row>
    <row r="4396">
      <c r="A4396" s="26" t="s">
        <v>11486</v>
      </c>
      <c r="B4396" s="26" t="s">
        <v>11487</v>
      </c>
      <c r="C4396" s="26" t="s">
        <v>155</v>
      </c>
      <c r="D4396" s="26">
        <v>2.01</v>
      </c>
      <c r="E4396" s="26">
        <v>7.49</v>
      </c>
      <c r="F4396" s="26">
        <v>15.05</v>
      </c>
    </row>
    <row r="4397">
      <c r="A4397" s="26" t="s">
        <v>11488</v>
      </c>
      <c r="B4397" s="26" t="s">
        <v>11489</v>
      </c>
      <c r="C4397" s="26" t="s">
        <v>8458</v>
      </c>
      <c r="D4397" s="26">
        <v>1.0</v>
      </c>
      <c r="E4397" s="26">
        <v>1491.75</v>
      </c>
      <c r="F4397" s="26">
        <v>1491.75</v>
      </c>
    </row>
    <row r="4398">
      <c r="A4398" s="26" t="s">
        <v>11490</v>
      </c>
      <c r="B4398" s="26" t="s">
        <v>11489</v>
      </c>
      <c r="C4398" s="26" t="s">
        <v>10261</v>
      </c>
      <c r="D4398" s="26">
        <v>1.0</v>
      </c>
      <c r="E4398" s="26">
        <v>126.8</v>
      </c>
      <c r="F4398" s="26">
        <v>126.8</v>
      </c>
    </row>
    <row r="4399">
      <c r="A4399" s="26" t="s">
        <v>11491</v>
      </c>
      <c r="B4399" s="26" t="s">
        <v>11489</v>
      </c>
      <c r="C4399" s="26" t="s">
        <v>10350</v>
      </c>
      <c r="D4399" s="26">
        <v>1.0</v>
      </c>
      <c r="E4399" s="26">
        <v>47.81</v>
      </c>
      <c r="F4399" s="26">
        <v>47.81</v>
      </c>
    </row>
    <row r="4400">
      <c r="A4400" s="26" t="s">
        <v>11493</v>
      </c>
      <c r="B4400" s="26" t="s">
        <v>842</v>
      </c>
      <c r="C4400" s="26" t="s">
        <v>152</v>
      </c>
      <c r="D4400" s="26">
        <v>1.315</v>
      </c>
      <c r="E4400" s="26">
        <v>3.99</v>
      </c>
      <c r="F4400" s="26">
        <v>5.25</v>
      </c>
    </row>
    <row r="4401">
      <c r="A4401" s="26" t="s">
        <v>11494</v>
      </c>
      <c r="B4401" s="26" t="s">
        <v>11495</v>
      </c>
      <c r="C4401" s="26" t="s">
        <v>1668</v>
      </c>
      <c r="D4401" s="26">
        <v>1.0</v>
      </c>
      <c r="E4401" s="26">
        <v>134.83</v>
      </c>
      <c r="F4401" s="26">
        <v>134.83</v>
      </c>
    </row>
    <row r="4402">
      <c r="A4402" s="26" t="s">
        <v>11497</v>
      </c>
      <c r="B4402" s="26" t="s">
        <v>11498</v>
      </c>
      <c r="C4402" s="29" t="s">
        <v>10424</v>
      </c>
      <c r="D4402" s="26">
        <v>4.0</v>
      </c>
      <c r="E4402" s="26">
        <v>30.0</v>
      </c>
      <c r="F4402" s="26">
        <v>120.0</v>
      </c>
    </row>
    <row r="4403">
      <c r="A4403" s="26" t="s">
        <v>11500</v>
      </c>
      <c r="B4403" s="26" t="s">
        <v>11501</v>
      </c>
      <c r="C4403" s="26" t="s">
        <v>1536</v>
      </c>
      <c r="D4403" s="26">
        <v>1.0</v>
      </c>
      <c r="E4403" s="26">
        <v>378.0</v>
      </c>
      <c r="F4403" s="26">
        <v>378.0</v>
      </c>
    </row>
    <row r="4404">
      <c r="A4404" s="26" t="s">
        <v>11502</v>
      </c>
      <c r="B4404" s="26" t="s">
        <v>11503</v>
      </c>
      <c r="C4404" s="26" t="s">
        <v>10293</v>
      </c>
      <c r="D4404" s="26">
        <v>2.0</v>
      </c>
      <c r="E4404" s="26">
        <v>8.99</v>
      </c>
      <c r="F4404" s="26">
        <v>17.98</v>
      </c>
    </row>
    <row r="4405">
      <c r="A4405" s="26" t="s">
        <v>11505</v>
      </c>
      <c r="B4405" s="26" t="s">
        <v>11503</v>
      </c>
      <c r="C4405" s="26" t="s">
        <v>688</v>
      </c>
      <c r="D4405" s="26">
        <v>2.0</v>
      </c>
      <c r="E4405" s="26">
        <v>3.99</v>
      </c>
      <c r="F4405" s="26">
        <v>7.98</v>
      </c>
    </row>
    <row r="4406">
      <c r="A4406" s="26" t="s">
        <v>11506</v>
      </c>
      <c r="B4406" s="26" t="s">
        <v>11503</v>
      </c>
      <c r="C4406" s="26" t="s">
        <v>10491</v>
      </c>
      <c r="D4406" s="26">
        <v>0.524</v>
      </c>
      <c r="E4406" s="26">
        <v>14.99</v>
      </c>
      <c r="F4406" s="26">
        <v>7.85</v>
      </c>
    </row>
    <row r="4407">
      <c r="A4407" s="26" t="s">
        <v>11508</v>
      </c>
      <c r="B4407" s="26" t="s">
        <v>11503</v>
      </c>
      <c r="C4407" s="26" t="s">
        <v>11510</v>
      </c>
      <c r="D4407" s="26">
        <v>0.5</v>
      </c>
      <c r="E4407" s="26">
        <v>12.99</v>
      </c>
      <c r="F4407" s="26">
        <v>6.5</v>
      </c>
    </row>
    <row r="4408">
      <c r="A4408" s="26" t="s">
        <v>11512</v>
      </c>
      <c r="B4408" s="26" t="s">
        <v>11503</v>
      </c>
      <c r="C4408" s="26" t="s">
        <v>10303</v>
      </c>
      <c r="D4408" s="26">
        <v>1.0</v>
      </c>
      <c r="E4408" s="26">
        <v>14.99</v>
      </c>
      <c r="F4408" s="26">
        <v>14.99</v>
      </c>
    </row>
    <row r="4409">
      <c r="A4409" s="26" t="s">
        <v>11514</v>
      </c>
      <c r="B4409" s="26" t="s">
        <v>11503</v>
      </c>
      <c r="C4409" s="26" t="s">
        <v>10500</v>
      </c>
      <c r="D4409" s="26">
        <v>1.0</v>
      </c>
      <c r="E4409" s="26">
        <v>6.99</v>
      </c>
      <c r="F4409" s="26">
        <v>6.99</v>
      </c>
    </row>
    <row r="4410">
      <c r="A4410" s="26" t="s">
        <v>11515</v>
      </c>
      <c r="B4410" s="26" t="s">
        <v>11517</v>
      </c>
      <c r="C4410" s="26" t="s">
        <v>1653</v>
      </c>
      <c r="D4410" s="26">
        <v>1.0</v>
      </c>
      <c r="E4410" s="26">
        <v>709.17</v>
      </c>
      <c r="F4410" s="26">
        <v>709.17</v>
      </c>
    </row>
    <row r="4411">
      <c r="A4411" s="26" t="s">
        <v>11518</v>
      </c>
      <c r="B4411" s="26" t="s">
        <v>11517</v>
      </c>
      <c r="C4411" s="26" t="s">
        <v>10350</v>
      </c>
      <c r="D4411" s="26">
        <v>1.0</v>
      </c>
      <c r="E4411" s="26">
        <v>38.04</v>
      </c>
      <c r="F4411" s="26">
        <v>38.04</v>
      </c>
    </row>
    <row r="4412">
      <c r="A4412" s="26" t="s">
        <v>11519</v>
      </c>
      <c r="B4412" s="26" t="s">
        <v>11520</v>
      </c>
      <c r="C4412" s="26" t="s">
        <v>226</v>
      </c>
      <c r="D4412" s="26">
        <v>4.0</v>
      </c>
      <c r="E4412" s="26">
        <v>10.0</v>
      </c>
      <c r="F4412" s="26">
        <v>40.0</v>
      </c>
    </row>
    <row r="4413">
      <c r="A4413" s="26" t="s">
        <v>11522</v>
      </c>
      <c r="B4413" s="26" t="s">
        <v>11520</v>
      </c>
      <c r="C4413" s="26" t="s">
        <v>230</v>
      </c>
      <c r="D4413" s="26">
        <v>3.1</v>
      </c>
      <c r="E4413" s="26">
        <v>27.0</v>
      </c>
      <c r="F4413" s="26">
        <v>83.7</v>
      </c>
    </row>
    <row r="4414">
      <c r="A4414" s="26" t="s">
        <v>11523</v>
      </c>
      <c r="B4414" s="26" t="s">
        <v>11520</v>
      </c>
      <c r="C4414" s="26" t="s">
        <v>155</v>
      </c>
      <c r="D4414" s="26">
        <v>2.26</v>
      </c>
      <c r="E4414" s="26">
        <v>7.2</v>
      </c>
      <c r="F4414" s="26">
        <v>16.27</v>
      </c>
    </row>
    <row r="4415">
      <c r="A4415" s="26" t="s">
        <v>11526</v>
      </c>
      <c r="B4415" s="26" t="s">
        <v>11520</v>
      </c>
      <c r="C4415" s="26" t="s">
        <v>159</v>
      </c>
      <c r="D4415" s="26">
        <v>6.0</v>
      </c>
      <c r="E4415" s="26">
        <v>13.0</v>
      </c>
      <c r="F4415" s="26">
        <v>78.0</v>
      </c>
    </row>
    <row r="4416">
      <c r="A4416" s="26" t="s">
        <v>11527</v>
      </c>
      <c r="B4416" s="26" t="s">
        <v>963</v>
      </c>
      <c r="C4416" s="26" t="s">
        <v>691</v>
      </c>
      <c r="D4416" s="26">
        <v>2.0</v>
      </c>
      <c r="E4416" s="26">
        <v>50.0</v>
      </c>
      <c r="F4416" s="26">
        <v>100.0</v>
      </c>
    </row>
    <row r="4417">
      <c r="A4417" s="26" t="s">
        <v>11529</v>
      </c>
      <c r="B4417" s="26" t="s">
        <v>963</v>
      </c>
      <c r="C4417" s="26" t="s">
        <v>1195</v>
      </c>
      <c r="D4417" s="26">
        <v>1.0</v>
      </c>
      <c r="E4417" s="26">
        <v>26.0</v>
      </c>
      <c r="F4417" s="26">
        <v>26.0</v>
      </c>
    </row>
    <row r="4418">
      <c r="A4418" s="26" t="s">
        <v>11532</v>
      </c>
      <c r="B4418" s="26" t="s">
        <v>963</v>
      </c>
      <c r="C4418" s="26" t="s">
        <v>1197</v>
      </c>
      <c r="D4418" s="26">
        <v>5.0</v>
      </c>
      <c r="E4418" s="26">
        <v>18.5</v>
      </c>
      <c r="F4418" s="26">
        <v>92.5</v>
      </c>
    </row>
    <row r="4419">
      <c r="A4419" s="26" t="s">
        <v>11534</v>
      </c>
      <c r="B4419" s="26" t="s">
        <v>963</v>
      </c>
      <c r="C4419" s="26" t="s">
        <v>3547</v>
      </c>
      <c r="D4419" s="26">
        <v>1.0</v>
      </c>
      <c r="E4419" s="26">
        <v>40.0</v>
      </c>
      <c r="F4419" s="26">
        <v>40.0</v>
      </c>
    </row>
    <row r="4420">
      <c r="A4420" s="26" t="s">
        <v>11535</v>
      </c>
      <c r="B4420" s="26" t="s">
        <v>968</v>
      </c>
      <c r="C4420" s="26" t="s">
        <v>152</v>
      </c>
      <c r="D4420" s="26">
        <v>1.915</v>
      </c>
      <c r="E4420" s="26">
        <v>1.99</v>
      </c>
      <c r="F4420" s="26">
        <v>3.81</v>
      </c>
    </row>
    <row r="4421">
      <c r="A4421" s="26" t="s">
        <v>11536</v>
      </c>
      <c r="B4421" s="26" t="s">
        <v>968</v>
      </c>
      <c r="C4421" s="26" t="s">
        <v>11466</v>
      </c>
      <c r="D4421" s="26">
        <v>1.0</v>
      </c>
      <c r="E4421" s="26">
        <v>3.99</v>
      </c>
      <c r="F4421" s="26">
        <v>3.99</v>
      </c>
    </row>
    <row r="4422">
      <c r="A4422" s="26" t="s">
        <v>11537</v>
      </c>
      <c r="B4422" s="26" t="s">
        <v>11538</v>
      </c>
      <c r="C4422" s="26" t="s">
        <v>1536</v>
      </c>
      <c r="D4422" s="26">
        <v>1.0</v>
      </c>
      <c r="E4422" s="26">
        <v>10.0</v>
      </c>
      <c r="F4422" s="26">
        <v>10.0</v>
      </c>
    </row>
    <row r="4423">
      <c r="A4423" s="26" t="s">
        <v>11539</v>
      </c>
      <c r="B4423" s="26" t="s">
        <v>11540</v>
      </c>
      <c r="C4423" s="26" t="s">
        <v>1022</v>
      </c>
      <c r="D4423" s="26">
        <v>1.0</v>
      </c>
      <c r="E4423" s="26">
        <v>291.2</v>
      </c>
      <c r="F4423" s="26">
        <v>291.2</v>
      </c>
    </row>
    <row r="4424">
      <c r="A4424" s="26" t="s">
        <v>11542</v>
      </c>
      <c r="B4424" s="26" t="s">
        <v>11543</v>
      </c>
      <c r="C4424" s="26" t="s">
        <v>794</v>
      </c>
      <c r="D4424" s="26">
        <v>3.0</v>
      </c>
      <c r="E4424" s="26">
        <v>33.18</v>
      </c>
      <c r="F4424" s="26">
        <v>99.54</v>
      </c>
    </row>
    <row r="4425">
      <c r="A4425" s="26" t="s">
        <v>11544</v>
      </c>
      <c r="B4425" s="26" t="s">
        <v>11543</v>
      </c>
      <c r="C4425" s="26" t="s">
        <v>249</v>
      </c>
      <c r="D4425" s="26">
        <v>36.0</v>
      </c>
      <c r="E4425" s="26">
        <v>9.32</v>
      </c>
      <c r="F4425" s="26">
        <v>335.52</v>
      </c>
    </row>
    <row r="4426">
      <c r="A4426" s="26" t="s">
        <v>11545</v>
      </c>
      <c r="B4426" s="26" t="s">
        <v>11543</v>
      </c>
      <c r="C4426" s="26" t="s">
        <v>802</v>
      </c>
      <c r="D4426" s="26">
        <v>36.0</v>
      </c>
      <c r="E4426" s="26">
        <v>10.23</v>
      </c>
      <c r="F4426" s="26">
        <v>368.28</v>
      </c>
    </row>
    <row r="4427">
      <c r="A4427" s="26" t="s">
        <v>11547</v>
      </c>
      <c r="B4427" s="26" t="s">
        <v>11548</v>
      </c>
      <c r="C4427" s="26" t="s">
        <v>1074</v>
      </c>
      <c r="D4427" s="26">
        <v>1.0</v>
      </c>
      <c r="E4427" s="26">
        <v>42.0</v>
      </c>
      <c r="F4427" s="26">
        <v>42.0</v>
      </c>
    </row>
    <row r="4428">
      <c r="A4428" s="26" t="s">
        <v>11549</v>
      </c>
      <c r="B4428" s="26" t="s">
        <v>11548</v>
      </c>
      <c r="C4428" s="26" t="s">
        <v>1075</v>
      </c>
      <c r="D4428" s="26">
        <v>2.0</v>
      </c>
      <c r="E4428" s="26">
        <v>21.0</v>
      </c>
      <c r="F4428" s="26">
        <v>42.0</v>
      </c>
    </row>
    <row r="4429">
      <c r="A4429" s="26" t="s">
        <v>11551</v>
      </c>
      <c r="B4429" s="26" t="s">
        <v>11548</v>
      </c>
      <c r="C4429" s="26" t="s">
        <v>1083</v>
      </c>
      <c r="D4429" s="26">
        <v>1.0</v>
      </c>
      <c r="E4429" s="26">
        <v>18.9</v>
      </c>
      <c r="F4429" s="26">
        <v>18.9</v>
      </c>
    </row>
    <row r="4430">
      <c r="A4430" s="26" t="s">
        <v>11552</v>
      </c>
      <c r="B4430" s="26" t="s">
        <v>11548</v>
      </c>
      <c r="C4430" s="26" t="s">
        <v>1404</v>
      </c>
      <c r="D4430" s="26">
        <v>1.0</v>
      </c>
      <c r="E4430" s="26">
        <v>20.28</v>
      </c>
      <c r="F4430" s="26">
        <v>20.28</v>
      </c>
    </row>
    <row r="4431">
      <c r="A4431" s="26" t="s">
        <v>11554</v>
      </c>
      <c r="B4431" s="26" t="s">
        <v>11548</v>
      </c>
      <c r="C4431" s="26" t="s">
        <v>1384</v>
      </c>
      <c r="D4431" s="26">
        <v>1.0</v>
      </c>
      <c r="E4431" s="26">
        <v>20.28</v>
      </c>
      <c r="F4431" s="26">
        <v>20.28</v>
      </c>
    </row>
    <row r="4432">
      <c r="A4432" s="26" t="s">
        <v>11555</v>
      </c>
      <c r="B4432" s="26" t="s">
        <v>11548</v>
      </c>
      <c r="C4432" s="26" t="s">
        <v>10457</v>
      </c>
      <c r="D4432" s="26">
        <v>1.0</v>
      </c>
      <c r="E4432" s="26">
        <v>22.38</v>
      </c>
      <c r="F4432" s="26">
        <v>22.38</v>
      </c>
    </row>
    <row r="4433">
      <c r="A4433" s="26" t="s">
        <v>11557</v>
      </c>
      <c r="B4433" s="26" t="s">
        <v>11548</v>
      </c>
      <c r="C4433" s="26" t="s">
        <v>1077</v>
      </c>
      <c r="D4433" s="26">
        <v>1.0</v>
      </c>
      <c r="E4433" s="26">
        <v>25.8</v>
      </c>
      <c r="F4433" s="26">
        <v>25.8</v>
      </c>
    </row>
    <row r="4434">
      <c r="A4434" s="26" t="s">
        <v>11558</v>
      </c>
      <c r="B4434" s="26" t="s">
        <v>11548</v>
      </c>
      <c r="C4434" s="26" t="s">
        <v>1081</v>
      </c>
      <c r="D4434" s="26">
        <v>2.0</v>
      </c>
      <c r="E4434" s="26">
        <v>48.0</v>
      </c>
      <c r="F4434" s="26">
        <v>96.0</v>
      </c>
    </row>
    <row r="4435">
      <c r="A4435" s="26" t="s">
        <v>11560</v>
      </c>
      <c r="B4435" s="26" t="s">
        <v>11548</v>
      </c>
      <c r="C4435" s="26" t="s">
        <v>1081</v>
      </c>
      <c r="D4435" s="26">
        <v>2.0</v>
      </c>
      <c r="E4435" s="26">
        <v>47.0</v>
      </c>
      <c r="F4435" s="26">
        <v>94.0</v>
      </c>
    </row>
    <row r="4436">
      <c r="A4436" s="26" t="s">
        <v>11561</v>
      </c>
      <c r="B4436" s="26" t="s">
        <v>11562</v>
      </c>
      <c r="C4436" s="26" t="s">
        <v>1517</v>
      </c>
      <c r="D4436" s="26">
        <v>1.0</v>
      </c>
      <c r="E4436" s="26">
        <v>2890.37</v>
      </c>
      <c r="F4436" s="26">
        <v>2890.37</v>
      </c>
    </row>
    <row r="4437">
      <c r="A4437" s="26" t="s">
        <v>11564</v>
      </c>
      <c r="B4437" s="26" t="s">
        <v>11562</v>
      </c>
      <c r="C4437" s="26" t="s">
        <v>10261</v>
      </c>
      <c r="D4437" s="26">
        <v>1.0</v>
      </c>
      <c r="E4437" s="26">
        <v>245.68</v>
      </c>
      <c r="F4437" s="26">
        <v>245.68</v>
      </c>
    </row>
    <row r="4438">
      <c r="A4438" s="26" t="s">
        <v>11565</v>
      </c>
      <c r="B4438" s="26" t="s">
        <v>11566</v>
      </c>
      <c r="C4438" s="29" t="s">
        <v>10424</v>
      </c>
      <c r="D4438" s="26">
        <v>4.0</v>
      </c>
      <c r="E4438" s="26">
        <v>30.0</v>
      </c>
      <c r="F4438" s="26">
        <v>120.0</v>
      </c>
    </row>
    <row r="4439">
      <c r="A4439" s="26" t="s">
        <v>11567</v>
      </c>
      <c r="B4439" s="26" t="s">
        <v>11569</v>
      </c>
      <c r="C4439" s="26" t="s">
        <v>230</v>
      </c>
      <c r="D4439" s="26">
        <v>4.05</v>
      </c>
      <c r="E4439" s="26">
        <v>27.0</v>
      </c>
      <c r="F4439" s="26">
        <v>109.35</v>
      </c>
    </row>
    <row r="4440">
      <c r="A4440" s="26" t="s">
        <v>11570</v>
      </c>
      <c r="B4440" s="26" t="s">
        <v>11569</v>
      </c>
      <c r="C4440" s="26" t="s">
        <v>159</v>
      </c>
      <c r="D4440" s="26">
        <v>8.0</v>
      </c>
      <c r="E4440" s="26">
        <v>13.0</v>
      </c>
      <c r="F4440" s="26">
        <v>104.0</v>
      </c>
    </row>
    <row r="4441">
      <c r="A4441" s="26" t="s">
        <v>11571</v>
      </c>
      <c r="B4441" s="26" t="s">
        <v>11572</v>
      </c>
      <c r="C4441" s="26" t="s">
        <v>10491</v>
      </c>
      <c r="D4441" s="26">
        <v>0.502</v>
      </c>
      <c r="E4441" s="26">
        <v>14.99</v>
      </c>
      <c r="F4441" s="26">
        <v>7.52</v>
      </c>
    </row>
    <row r="4442">
      <c r="A4442" s="26" t="s">
        <v>11573</v>
      </c>
      <c r="B4442" s="26" t="s">
        <v>11572</v>
      </c>
      <c r="C4442" s="26" t="s">
        <v>10500</v>
      </c>
      <c r="D4442" s="26">
        <v>1.0</v>
      </c>
      <c r="E4442" s="26">
        <v>6.99</v>
      </c>
      <c r="F4442" s="26">
        <v>6.99</v>
      </c>
    </row>
    <row r="4443">
      <c r="A4443" s="26" t="s">
        <v>11574</v>
      </c>
      <c r="B4443" s="26" t="s">
        <v>11572</v>
      </c>
      <c r="C4443" s="26" t="s">
        <v>10303</v>
      </c>
      <c r="D4443" s="26">
        <v>3.0</v>
      </c>
      <c r="E4443" s="26">
        <v>13.99</v>
      </c>
      <c r="F4443" s="26">
        <v>41.97</v>
      </c>
    </row>
    <row r="4444">
      <c r="A4444" s="26" t="s">
        <v>11576</v>
      </c>
      <c r="B4444" s="26" t="s">
        <v>11572</v>
      </c>
      <c r="C4444" s="26" t="s">
        <v>10305</v>
      </c>
      <c r="D4444" s="26">
        <v>3.0</v>
      </c>
      <c r="E4444" s="26">
        <v>9.79</v>
      </c>
      <c r="F4444" s="26">
        <v>29.37</v>
      </c>
    </row>
    <row r="4445">
      <c r="A4445" s="26" t="s">
        <v>11577</v>
      </c>
      <c r="B4445" s="26" t="s">
        <v>11572</v>
      </c>
      <c r="C4445" s="26" t="s">
        <v>247</v>
      </c>
      <c r="D4445" s="26">
        <v>6.0</v>
      </c>
      <c r="E4445" s="26">
        <v>0.99</v>
      </c>
      <c r="F4445" s="26">
        <v>5.94</v>
      </c>
    </row>
    <row r="4446">
      <c r="A4446" s="26" t="s">
        <v>11578</v>
      </c>
      <c r="B4446" s="26" t="s">
        <v>11572</v>
      </c>
      <c r="C4446" s="26" t="s">
        <v>10293</v>
      </c>
      <c r="D4446" s="26">
        <v>2.0</v>
      </c>
      <c r="E4446" s="26">
        <v>7.99</v>
      </c>
      <c r="F4446" s="26">
        <v>15.98</v>
      </c>
    </row>
    <row r="4447">
      <c r="A4447" s="26" t="s">
        <v>11580</v>
      </c>
      <c r="B4447" s="26" t="s">
        <v>11572</v>
      </c>
      <c r="C4447" s="26" t="s">
        <v>10491</v>
      </c>
      <c r="D4447" s="26">
        <v>0.252</v>
      </c>
      <c r="E4447" s="26">
        <v>14.99</v>
      </c>
      <c r="F4447" s="26">
        <v>3.78</v>
      </c>
    </row>
    <row r="4448">
      <c r="A4448" s="26" t="s">
        <v>11581</v>
      </c>
      <c r="B4448" s="26" t="s">
        <v>11572</v>
      </c>
      <c r="C4448" s="26" t="s">
        <v>11584</v>
      </c>
      <c r="D4448" s="26">
        <v>1.0</v>
      </c>
      <c r="E4448" s="26">
        <v>4.97</v>
      </c>
      <c r="F4448" s="26">
        <v>4.97</v>
      </c>
    </row>
    <row r="4449">
      <c r="A4449" s="26" t="s">
        <v>11586</v>
      </c>
      <c r="B4449" s="26" t="s">
        <v>11572</v>
      </c>
      <c r="C4449" s="26" t="s">
        <v>11587</v>
      </c>
      <c r="D4449" s="26">
        <v>1.0</v>
      </c>
      <c r="E4449" s="26">
        <v>6.99</v>
      </c>
      <c r="F4449" s="26">
        <v>6.99</v>
      </c>
    </row>
    <row r="4450">
      <c r="A4450" s="26" t="s">
        <v>11588</v>
      </c>
      <c r="B4450" s="26" t="s">
        <v>11572</v>
      </c>
      <c r="C4450" s="26" t="s">
        <v>11584</v>
      </c>
      <c r="D4450" s="26">
        <v>1.0</v>
      </c>
      <c r="E4450" s="26">
        <v>4.97</v>
      </c>
      <c r="F4450" s="26">
        <v>4.97</v>
      </c>
    </row>
    <row r="4451">
      <c r="A4451" s="26" t="s">
        <v>11589</v>
      </c>
      <c r="B4451" s="26" t="s">
        <v>11590</v>
      </c>
      <c r="C4451" s="29" t="s">
        <v>10424</v>
      </c>
      <c r="D4451" s="26">
        <v>6.0</v>
      </c>
      <c r="E4451" s="26">
        <v>30.0</v>
      </c>
      <c r="F4451" s="26">
        <v>180.0</v>
      </c>
    </row>
    <row r="4452">
      <c r="A4452" s="29" t="s">
        <v>11591</v>
      </c>
      <c r="B4452" s="26" t="s">
        <v>11592</v>
      </c>
      <c r="C4452" s="26" t="s">
        <v>1653</v>
      </c>
      <c r="D4452" s="26">
        <v>1.0</v>
      </c>
      <c r="E4452" s="26">
        <v>2975.0</v>
      </c>
      <c r="F4452" s="26">
        <v>2975.0</v>
      </c>
    </row>
    <row r="4453">
      <c r="A4453" s="26" t="s">
        <v>11593</v>
      </c>
      <c r="B4453" s="26" t="s">
        <v>11592</v>
      </c>
      <c r="C4453" s="26" t="s">
        <v>10350</v>
      </c>
      <c r="D4453" s="26">
        <v>1.0</v>
      </c>
      <c r="E4453" s="26">
        <v>215.81</v>
      </c>
      <c r="F4453" s="26">
        <v>215.81</v>
      </c>
    </row>
    <row r="4454">
      <c r="A4454" s="26" t="s">
        <v>11595</v>
      </c>
      <c r="B4454" s="26" t="s">
        <v>1154</v>
      </c>
      <c r="C4454" s="26" t="s">
        <v>152</v>
      </c>
      <c r="D4454" s="26">
        <v>2.94</v>
      </c>
      <c r="E4454" s="26">
        <v>1.99</v>
      </c>
      <c r="F4454" s="26">
        <v>5.85</v>
      </c>
    </row>
    <row r="4455">
      <c r="A4455" s="26" t="s">
        <v>11596</v>
      </c>
      <c r="B4455" s="26" t="s">
        <v>1154</v>
      </c>
      <c r="C4455" s="26" t="s">
        <v>155</v>
      </c>
      <c r="D4455" s="26">
        <v>2.58</v>
      </c>
      <c r="E4455" s="26">
        <v>7.99</v>
      </c>
      <c r="F4455" s="26">
        <v>20.61</v>
      </c>
    </row>
    <row r="4456">
      <c r="A4456" s="26" t="s">
        <v>11598</v>
      </c>
      <c r="B4456" s="26" t="s">
        <v>11599</v>
      </c>
      <c r="C4456" s="26" t="s">
        <v>1075</v>
      </c>
      <c r="D4456" s="26">
        <v>3.0</v>
      </c>
      <c r="E4456" s="26">
        <v>21.0</v>
      </c>
      <c r="F4456" s="26">
        <v>63.0</v>
      </c>
    </row>
    <row r="4457">
      <c r="A4457" s="26" t="s">
        <v>11600</v>
      </c>
      <c r="B4457" s="26" t="s">
        <v>11599</v>
      </c>
      <c r="C4457" s="26" t="s">
        <v>1083</v>
      </c>
      <c r="D4457" s="26">
        <v>1.0</v>
      </c>
      <c r="E4457" s="26">
        <v>18.9</v>
      </c>
      <c r="F4457" s="26">
        <v>18.9</v>
      </c>
    </row>
    <row r="4458">
      <c r="A4458" s="26" t="s">
        <v>11603</v>
      </c>
      <c r="B4458" s="26" t="s">
        <v>11599</v>
      </c>
      <c r="C4458" s="26" t="s">
        <v>1384</v>
      </c>
      <c r="D4458" s="26">
        <v>1.0</v>
      </c>
      <c r="E4458" s="26">
        <v>20.28</v>
      </c>
      <c r="F4458" s="26">
        <v>20.28</v>
      </c>
    </row>
    <row r="4459">
      <c r="A4459" s="29" t="s">
        <v>11605</v>
      </c>
      <c r="B4459" s="26" t="s">
        <v>11599</v>
      </c>
      <c r="C4459" s="29" t="s">
        <v>10459</v>
      </c>
      <c r="D4459" s="26">
        <v>2.0</v>
      </c>
      <c r="E4459" s="26">
        <v>20.28</v>
      </c>
      <c r="F4459" s="26">
        <v>40.56</v>
      </c>
    </row>
    <row r="4460">
      <c r="A4460" s="26" t="s">
        <v>11608</v>
      </c>
      <c r="B4460" s="26" t="s">
        <v>11599</v>
      </c>
      <c r="C4460" s="26" t="s">
        <v>1079</v>
      </c>
      <c r="D4460" s="26">
        <v>10.0</v>
      </c>
      <c r="E4460" s="26">
        <v>18.0</v>
      </c>
      <c r="F4460" s="26">
        <v>180.0</v>
      </c>
    </row>
    <row r="4461">
      <c r="A4461" s="26" t="s">
        <v>11611</v>
      </c>
      <c r="B4461" s="26" t="s">
        <v>11599</v>
      </c>
      <c r="C4461" s="26" t="s">
        <v>1077</v>
      </c>
      <c r="D4461" s="26">
        <v>2.0</v>
      </c>
      <c r="E4461" s="26">
        <v>25.8</v>
      </c>
      <c r="F4461" s="26">
        <v>51.6</v>
      </c>
    </row>
    <row r="4462">
      <c r="A4462" s="26" t="s">
        <v>11612</v>
      </c>
      <c r="B4462" s="26" t="s">
        <v>11614</v>
      </c>
      <c r="C4462" s="26" t="s">
        <v>226</v>
      </c>
      <c r="D4462" s="26">
        <v>4.0</v>
      </c>
      <c r="E4462" s="26">
        <v>9.5</v>
      </c>
      <c r="F4462" s="26">
        <v>38.0</v>
      </c>
    </row>
    <row r="4463">
      <c r="A4463" s="26" t="s">
        <v>11616</v>
      </c>
      <c r="B4463" s="26" t="s">
        <v>11614</v>
      </c>
      <c r="C4463" s="26" t="s">
        <v>230</v>
      </c>
      <c r="D4463" s="26">
        <v>5.0</v>
      </c>
      <c r="E4463" s="26">
        <v>27.0</v>
      </c>
      <c r="F4463" s="26">
        <v>135.0</v>
      </c>
    </row>
    <row r="4464">
      <c r="A4464" s="26" t="s">
        <v>11619</v>
      </c>
      <c r="B4464" s="26" t="s">
        <v>11614</v>
      </c>
      <c r="C4464" s="26" t="s">
        <v>155</v>
      </c>
      <c r="D4464" s="26">
        <v>2.8</v>
      </c>
      <c r="E4464" s="26">
        <v>7.0</v>
      </c>
      <c r="F4464" s="26">
        <v>19.6</v>
      </c>
    </row>
    <row r="4465">
      <c r="A4465" s="26" t="s">
        <v>11622</v>
      </c>
      <c r="B4465" s="26" t="s">
        <v>11614</v>
      </c>
      <c r="C4465" s="26" t="s">
        <v>159</v>
      </c>
      <c r="D4465" s="26">
        <v>8.0</v>
      </c>
      <c r="E4465" s="26">
        <v>14.0</v>
      </c>
      <c r="F4465" s="26">
        <v>112.0</v>
      </c>
    </row>
    <row r="4466">
      <c r="A4466" s="26" t="s">
        <v>11626</v>
      </c>
      <c r="B4466" s="26" t="s">
        <v>1204</v>
      </c>
      <c r="C4466" s="26" t="s">
        <v>1536</v>
      </c>
      <c r="D4466" s="26">
        <v>1.0</v>
      </c>
      <c r="E4466" s="26">
        <v>15.0</v>
      </c>
      <c r="F4466" s="26">
        <v>15.0</v>
      </c>
    </row>
    <row r="4467">
      <c r="A4467" s="26" t="s">
        <v>11630</v>
      </c>
      <c r="B4467" s="26" t="s">
        <v>11631</v>
      </c>
      <c r="C4467" s="26" t="s">
        <v>2662</v>
      </c>
      <c r="D4467" s="26">
        <v>1.0</v>
      </c>
      <c r="E4467" s="26">
        <v>394.43</v>
      </c>
      <c r="F4467" s="26">
        <v>394.43</v>
      </c>
    </row>
    <row r="4468">
      <c r="A4468" s="26" t="s">
        <v>11635</v>
      </c>
      <c r="B4468" s="26" t="s">
        <v>11637</v>
      </c>
      <c r="C4468" s="26" t="s">
        <v>8458</v>
      </c>
      <c r="D4468" s="26">
        <v>1.0</v>
      </c>
      <c r="E4468" s="26">
        <v>60.0</v>
      </c>
      <c r="F4468" s="26">
        <v>60.0</v>
      </c>
    </row>
    <row r="4469">
      <c r="A4469" s="26" t="s">
        <v>11640</v>
      </c>
      <c r="B4469" s="26" t="s">
        <v>11643</v>
      </c>
      <c r="C4469" s="26" t="s">
        <v>8458</v>
      </c>
      <c r="D4469" s="26">
        <v>1.0</v>
      </c>
      <c r="E4469" s="26">
        <v>1764.2</v>
      </c>
      <c r="F4469" s="26">
        <v>1764.2</v>
      </c>
    </row>
    <row r="4470">
      <c r="A4470" s="26" t="s">
        <v>11644</v>
      </c>
      <c r="B4470" s="26" t="s">
        <v>11646</v>
      </c>
      <c r="C4470" s="26" t="s">
        <v>1517</v>
      </c>
      <c r="D4470" s="26">
        <v>1.0</v>
      </c>
      <c r="E4470" s="26">
        <v>680.09</v>
      </c>
      <c r="F4470" s="26">
        <v>680.09</v>
      </c>
    </row>
    <row r="4471">
      <c r="A4471" s="26" t="s">
        <v>11649</v>
      </c>
      <c r="B4471" s="26">
        <v>12155.0</v>
      </c>
      <c r="C4471" s="26" t="s">
        <v>8404</v>
      </c>
      <c r="D4471" s="26">
        <v>1.0</v>
      </c>
      <c r="E4471" s="26">
        <v>249.23</v>
      </c>
      <c r="F4471" s="26">
        <v>249.23</v>
      </c>
    </row>
    <row r="4472">
      <c r="A4472" s="26" t="s">
        <v>11650</v>
      </c>
      <c r="B4472" s="26">
        <v>12156.0</v>
      </c>
      <c r="C4472" s="26" t="s">
        <v>8792</v>
      </c>
      <c r="D4472" s="26">
        <v>1.0</v>
      </c>
      <c r="E4472" s="26">
        <v>4749.84</v>
      </c>
      <c r="F4472" s="26">
        <v>4749.84</v>
      </c>
    </row>
    <row r="4473">
      <c r="A4473" s="26" t="s">
        <v>11651</v>
      </c>
      <c r="B4473" s="26" t="s">
        <v>11652</v>
      </c>
      <c r="C4473" s="26" t="s">
        <v>8458</v>
      </c>
      <c r="D4473" s="26">
        <v>1.0</v>
      </c>
      <c r="E4473" s="26">
        <v>56.0</v>
      </c>
      <c r="F4473" s="26">
        <v>56.0</v>
      </c>
    </row>
    <row r="4474">
      <c r="A4474" s="26" t="s">
        <v>11653</v>
      </c>
      <c r="B4474" s="26" t="s">
        <v>11654</v>
      </c>
      <c r="C4474" s="26" t="s">
        <v>1517</v>
      </c>
      <c r="D4474" s="26">
        <v>1.0</v>
      </c>
      <c r="E4474" s="26">
        <v>24.15</v>
      </c>
      <c r="F4474" s="26">
        <v>24.15</v>
      </c>
    </row>
    <row r="4475">
      <c r="A4475" s="26" t="s">
        <v>11655</v>
      </c>
      <c r="B4475" s="26">
        <v>12164.0</v>
      </c>
      <c r="C4475" s="26" t="s">
        <v>2870</v>
      </c>
      <c r="D4475" s="26">
        <v>1.0</v>
      </c>
      <c r="E4475" s="26">
        <v>393.23</v>
      </c>
      <c r="F4475" s="26">
        <v>393.23</v>
      </c>
    </row>
    <row r="4476">
      <c r="A4476" s="26" t="s">
        <v>11656</v>
      </c>
      <c r="B4476" s="26">
        <v>12165.0</v>
      </c>
      <c r="C4476" s="26" t="s">
        <v>2870</v>
      </c>
      <c r="D4476" s="26">
        <v>1.0</v>
      </c>
      <c r="E4476" s="26">
        <v>87.68</v>
      </c>
      <c r="F4476" s="26">
        <v>87.68</v>
      </c>
    </row>
    <row r="4477">
      <c r="A4477" s="26" t="s">
        <v>11657</v>
      </c>
      <c r="B4477" s="26">
        <v>12166.0</v>
      </c>
      <c r="C4477" s="26" t="s">
        <v>1239</v>
      </c>
      <c r="D4477" s="26">
        <v>1.0</v>
      </c>
      <c r="E4477" s="26">
        <v>4351.0</v>
      </c>
      <c r="F4477" s="26">
        <v>4351.0</v>
      </c>
    </row>
    <row r="4478">
      <c r="A4478" s="26" t="s">
        <v>11659</v>
      </c>
      <c r="B4478" s="26">
        <v>12167.0</v>
      </c>
      <c r="C4478" s="26" t="s">
        <v>1126</v>
      </c>
      <c r="D4478" s="26">
        <v>1.0</v>
      </c>
      <c r="E4478" s="26">
        <v>72.0</v>
      </c>
      <c r="F4478" s="26">
        <v>72.0</v>
      </c>
    </row>
    <row r="4479">
      <c r="A4479" s="26" t="s">
        <v>11660</v>
      </c>
      <c r="B4479" s="26">
        <v>12173.0</v>
      </c>
      <c r="C4479" s="26" t="s">
        <v>9874</v>
      </c>
      <c r="D4479" s="26">
        <v>1.0</v>
      </c>
      <c r="E4479" s="26">
        <v>70.0</v>
      </c>
      <c r="F4479" s="26">
        <v>70.0</v>
      </c>
    </row>
    <row r="4480">
      <c r="A4480" s="26" t="s">
        <v>11662</v>
      </c>
      <c r="B4480" s="26">
        <v>12174.0</v>
      </c>
      <c r="C4480" s="26" t="s">
        <v>11663</v>
      </c>
      <c r="D4480" s="26">
        <v>1.0</v>
      </c>
      <c r="E4480" s="26">
        <v>855.0</v>
      </c>
      <c r="F4480" s="26">
        <v>855.0</v>
      </c>
    </row>
    <row r="4481">
      <c r="A4481" s="26" t="s">
        <v>11664</v>
      </c>
      <c r="B4481" s="26" t="s">
        <v>11666</v>
      </c>
      <c r="C4481" s="26" t="s">
        <v>3833</v>
      </c>
      <c r="D4481" s="26">
        <v>1.0</v>
      </c>
      <c r="E4481" s="26">
        <v>3136.05</v>
      </c>
      <c r="F4481" s="26">
        <v>3136.05</v>
      </c>
    </row>
    <row r="4482">
      <c r="A4482" s="26" t="s">
        <v>11667</v>
      </c>
      <c r="B4482" s="26">
        <v>12168.0</v>
      </c>
      <c r="C4482" s="26" t="s">
        <v>1239</v>
      </c>
      <c r="D4482" s="26">
        <v>1.0</v>
      </c>
      <c r="E4482" s="26">
        <v>564.71</v>
      </c>
      <c r="F4482" s="26">
        <v>564.71</v>
      </c>
    </row>
    <row r="4483">
      <c r="A4483" s="26" t="s">
        <v>11668</v>
      </c>
      <c r="B4483" s="26">
        <v>12169.0</v>
      </c>
      <c r="C4483" s="26" t="s">
        <v>1239</v>
      </c>
      <c r="D4483" s="26">
        <v>1.0</v>
      </c>
      <c r="E4483" s="26">
        <v>1840.75</v>
      </c>
      <c r="F4483" s="26">
        <v>1840.75</v>
      </c>
    </row>
    <row r="4484">
      <c r="A4484" s="26" t="s">
        <v>11671</v>
      </c>
      <c r="B4484" s="26">
        <v>12170.0</v>
      </c>
      <c r="C4484" s="26" t="s">
        <v>1239</v>
      </c>
      <c r="D4484" s="26">
        <v>1.0</v>
      </c>
      <c r="E4484" s="26">
        <v>1675.24</v>
      </c>
      <c r="F4484" s="26">
        <v>1675.24</v>
      </c>
    </row>
    <row r="4485">
      <c r="A4485" s="26" t="s">
        <v>11674</v>
      </c>
      <c r="B4485" s="26">
        <v>12171.0</v>
      </c>
      <c r="C4485" s="26" t="s">
        <v>1239</v>
      </c>
      <c r="D4485" s="26">
        <v>1.0</v>
      </c>
      <c r="E4485" s="26">
        <v>3613.42</v>
      </c>
      <c r="F4485" s="26">
        <v>3613.42</v>
      </c>
    </row>
    <row r="4486">
      <c r="A4486" s="26" t="s">
        <v>11678</v>
      </c>
      <c r="B4486" s="26">
        <v>12172.0</v>
      </c>
      <c r="C4486" s="26" t="s">
        <v>1239</v>
      </c>
      <c r="D4486" s="26">
        <v>1.0</v>
      </c>
      <c r="E4486" s="26">
        <v>1532.17</v>
      </c>
      <c r="F4486" s="26">
        <v>1532.17</v>
      </c>
    </row>
    <row r="4487">
      <c r="A4487" s="26" t="s">
        <v>11680</v>
      </c>
      <c r="B4487" s="26" t="s">
        <v>11681</v>
      </c>
      <c r="C4487" s="26" t="s">
        <v>8458</v>
      </c>
      <c r="D4487" s="26">
        <v>1.0</v>
      </c>
      <c r="E4487" s="26">
        <v>351.0</v>
      </c>
      <c r="F4487" s="26">
        <v>351.0</v>
      </c>
    </row>
    <row r="4488">
      <c r="A4488" s="26" t="s">
        <v>11683</v>
      </c>
      <c r="B4488" s="26">
        <v>12225.0</v>
      </c>
      <c r="C4488" s="26" t="s">
        <v>3218</v>
      </c>
      <c r="D4488" s="26">
        <v>1.0</v>
      </c>
      <c r="E4488" s="26">
        <v>9200.0</v>
      </c>
      <c r="F4488" s="26">
        <v>9200.0</v>
      </c>
    </row>
    <row r="4489">
      <c r="A4489" s="26" t="s">
        <v>11687</v>
      </c>
      <c r="B4489" s="26">
        <v>12226.0</v>
      </c>
      <c r="C4489" s="26" t="s">
        <v>8501</v>
      </c>
      <c r="D4489" s="26">
        <v>1.0</v>
      </c>
      <c r="E4489" s="26">
        <v>533.95</v>
      </c>
      <c r="F4489" s="26">
        <v>533.95</v>
      </c>
    </row>
    <row r="4490">
      <c r="A4490" s="26" t="s">
        <v>11691</v>
      </c>
      <c r="B4490" s="26">
        <v>12227.0</v>
      </c>
      <c r="C4490" s="26" t="s">
        <v>873</v>
      </c>
      <c r="D4490" s="26">
        <v>1.0</v>
      </c>
      <c r="E4490" s="26">
        <v>0.0</v>
      </c>
      <c r="F4490" s="26">
        <v>0.0</v>
      </c>
    </row>
    <row r="4491">
      <c r="A4491" s="26" t="s">
        <v>11694</v>
      </c>
      <c r="B4491" s="26">
        <v>12230.0</v>
      </c>
      <c r="C4491" s="26" t="s">
        <v>9254</v>
      </c>
      <c r="D4491" s="26">
        <v>1.0</v>
      </c>
      <c r="E4491" s="26">
        <v>0.0</v>
      </c>
      <c r="F4491" s="26">
        <v>0.0</v>
      </c>
    </row>
    <row r="4492">
      <c r="A4492" s="26" t="s">
        <v>11697</v>
      </c>
      <c r="B4492" s="26">
        <v>12238.0</v>
      </c>
      <c r="C4492" s="26" t="s">
        <v>8603</v>
      </c>
      <c r="D4492" s="26">
        <v>1.0</v>
      </c>
      <c r="E4492" s="26">
        <v>181.37</v>
      </c>
      <c r="F4492" s="26">
        <v>181.37</v>
      </c>
    </row>
    <row r="4493">
      <c r="A4493" s="26" t="s">
        <v>11699</v>
      </c>
      <c r="B4493" s="26" t="s">
        <v>11701</v>
      </c>
      <c r="C4493" s="26" t="s">
        <v>1510</v>
      </c>
      <c r="D4493" s="26">
        <v>1.0</v>
      </c>
      <c r="E4493" s="26">
        <v>2242.0</v>
      </c>
      <c r="F4493" s="26">
        <v>2242.0</v>
      </c>
    </row>
    <row r="4494">
      <c r="A4494" s="26" t="s">
        <v>11702</v>
      </c>
      <c r="B4494" s="26" t="s">
        <v>11705</v>
      </c>
      <c r="C4494" s="26" t="s">
        <v>10065</v>
      </c>
      <c r="D4494" s="26">
        <v>1.0</v>
      </c>
      <c r="E4494" s="26">
        <v>80.0</v>
      </c>
      <c r="F4494" s="26">
        <v>80.0</v>
      </c>
    </row>
    <row r="4495">
      <c r="A4495" s="26" t="s">
        <v>11708</v>
      </c>
      <c r="B4495" s="26" t="s">
        <v>11709</v>
      </c>
      <c r="C4495" s="26" t="s">
        <v>1510</v>
      </c>
      <c r="D4495" s="26">
        <v>1.0</v>
      </c>
      <c r="E4495" s="26">
        <v>1243.0</v>
      </c>
      <c r="F4495" s="26">
        <v>1243.0</v>
      </c>
    </row>
    <row r="4496">
      <c r="A4496" s="26" t="s">
        <v>11713</v>
      </c>
      <c r="B4496" s="26">
        <v>12228.0</v>
      </c>
      <c r="C4496" s="26" t="s">
        <v>8792</v>
      </c>
      <c r="D4496" s="26">
        <v>1.0</v>
      </c>
      <c r="E4496" s="26">
        <v>4521.0</v>
      </c>
      <c r="F4496" s="26">
        <v>4521.0</v>
      </c>
    </row>
    <row r="4497">
      <c r="A4497" s="26" t="s">
        <v>11717</v>
      </c>
      <c r="B4497" s="26">
        <v>12239.0</v>
      </c>
      <c r="C4497" s="26" t="s">
        <v>9257</v>
      </c>
      <c r="D4497" s="26">
        <v>1.0</v>
      </c>
      <c r="E4497" s="26">
        <v>1196.69</v>
      </c>
      <c r="F4497" s="26">
        <v>1196.69</v>
      </c>
    </row>
    <row r="4498">
      <c r="A4498" s="26" t="s">
        <v>11721</v>
      </c>
      <c r="B4498" s="26">
        <v>12240.0</v>
      </c>
      <c r="C4498" s="26" t="s">
        <v>3218</v>
      </c>
      <c r="D4498" s="26">
        <v>1.0</v>
      </c>
      <c r="E4498" s="26">
        <v>185.0</v>
      </c>
      <c r="F4498" s="26">
        <v>185.0</v>
      </c>
    </row>
    <row r="4499">
      <c r="A4499" s="26" t="s">
        <v>11722</v>
      </c>
      <c r="B4499" s="26" t="s">
        <v>11723</v>
      </c>
      <c r="C4499" s="26" t="s">
        <v>1168</v>
      </c>
      <c r="D4499" s="26">
        <v>1.0</v>
      </c>
      <c r="E4499" s="26">
        <v>500.0</v>
      </c>
      <c r="F4499" s="26">
        <v>500.0</v>
      </c>
    </row>
    <row r="4500">
      <c r="A4500" s="26" t="s">
        <v>11724</v>
      </c>
      <c r="B4500" s="26" t="s">
        <v>11725</v>
      </c>
      <c r="C4500" s="26" t="s">
        <v>1168</v>
      </c>
      <c r="D4500" s="26">
        <v>1.0</v>
      </c>
      <c r="E4500" s="26">
        <v>500.0</v>
      </c>
      <c r="F4500" s="26">
        <v>500.0</v>
      </c>
    </row>
    <row r="4501">
      <c r="A4501" s="26" t="s">
        <v>11726</v>
      </c>
      <c r="B4501" s="26" t="s">
        <v>11727</v>
      </c>
      <c r="C4501" s="26" t="s">
        <v>1168</v>
      </c>
      <c r="D4501" s="26">
        <v>1.0</v>
      </c>
      <c r="E4501" s="26">
        <v>500.0</v>
      </c>
      <c r="F4501" s="26">
        <v>500.0</v>
      </c>
    </row>
    <row r="4502">
      <c r="A4502" s="26" t="s">
        <v>11728</v>
      </c>
      <c r="B4502" s="26" t="s">
        <v>11729</v>
      </c>
      <c r="C4502" s="26" t="s">
        <v>1168</v>
      </c>
      <c r="D4502" s="26">
        <v>1.0</v>
      </c>
      <c r="E4502" s="26">
        <v>500.0</v>
      </c>
      <c r="F4502" s="26">
        <v>500.0</v>
      </c>
    </row>
    <row r="4503">
      <c r="A4503" s="26" t="s">
        <v>11730</v>
      </c>
      <c r="B4503" s="26" t="s">
        <v>11732</v>
      </c>
      <c r="C4503" s="26" t="s">
        <v>1168</v>
      </c>
      <c r="D4503" s="26">
        <v>1.0</v>
      </c>
      <c r="E4503" s="26">
        <v>500.0</v>
      </c>
      <c r="F4503" s="26">
        <v>500.0</v>
      </c>
    </row>
    <row r="4504">
      <c r="A4504" s="26" t="s">
        <v>11735</v>
      </c>
      <c r="B4504" s="26" t="s">
        <v>1217</v>
      </c>
      <c r="C4504" s="26" t="s">
        <v>10293</v>
      </c>
      <c r="D4504" s="26">
        <v>1.0</v>
      </c>
      <c r="E4504" s="26">
        <v>8.99</v>
      </c>
      <c r="F4504" s="26">
        <v>8.99</v>
      </c>
    </row>
    <row r="4505">
      <c r="A4505" s="26" t="s">
        <v>11739</v>
      </c>
      <c r="B4505" s="26" t="s">
        <v>1217</v>
      </c>
      <c r="C4505" s="26" t="s">
        <v>10305</v>
      </c>
      <c r="D4505" s="26">
        <v>1.0</v>
      </c>
      <c r="E4505" s="26">
        <v>7.97</v>
      </c>
      <c r="F4505" s="26">
        <v>7.97</v>
      </c>
    </row>
    <row r="4506">
      <c r="A4506" s="26" t="s">
        <v>11741</v>
      </c>
      <c r="B4506" s="26" t="s">
        <v>1217</v>
      </c>
      <c r="C4506" s="26" t="s">
        <v>10293</v>
      </c>
      <c r="D4506" s="26">
        <v>1.0</v>
      </c>
      <c r="E4506" s="26">
        <v>8.99</v>
      </c>
      <c r="F4506" s="26">
        <v>8.99</v>
      </c>
    </row>
    <row r="4507">
      <c r="A4507" s="26" t="s">
        <v>11743</v>
      </c>
      <c r="B4507" s="26" t="s">
        <v>1217</v>
      </c>
      <c r="C4507" s="26" t="s">
        <v>10500</v>
      </c>
      <c r="D4507" s="26">
        <v>1.0</v>
      </c>
      <c r="E4507" s="26">
        <v>6.99</v>
      </c>
      <c r="F4507" s="26">
        <v>6.99</v>
      </c>
    </row>
    <row r="4508">
      <c r="A4508" s="26" t="s">
        <v>11744</v>
      </c>
      <c r="B4508" s="26" t="s">
        <v>1217</v>
      </c>
      <c r="C4508" s="26" t="s">
        <v>11468</v>
      </c>
      <c r="D4508" s="26">
        <v>1.0</v>
      </c>
      <c r="E4508" s="26">
        <v>19.9</v>
      </c>
      <c r="F4508" s="26">
        <v>19.9</v>
      </c>
    </row>
    <row r="4509">
      <c r="A4509" s="26" t="s">
        <v>11745</v>
      </c>
      <c r="B4509" s="26" t="s">
        <v>1217</v>
      </c>
      <c r="C4509" s="26" t="s">
        <v>10303</v>
      </c>
      <c r="D4509" s="26">
        <v>2.0</v>
      </c>
      <c r="E4509" s="26">
        <v>9.98</v>
      </c>
      <c r="F4509" s="26">
        <v>19.96</v>
      </c>
    </row>
    <row r="4510">
      <c r="A4510" s="26" t="s">
        <v>11746</v>
      </c>
      <c r="B4510" s="26" t="s">
        <v>11747</v>
      </c>
      <c r="C4510" s="29" t="s">
        <v>10424</v>
      </c>
      <c r="D4510" s="26">
        <v>8.0</v>
      </c>
      <c r="E4510" s="26">
        <v>30.0</v>
      </c>
      <c r="F4510" s="26">
        <v>240.0</v>
      </c>
    </row>
    <row r="4511">
      <c r="A4511" s="26" t="s">
        <v>11748</v>
      </c>
      <c r="B4511" s="26" t="s">
        <v>11749</v>
      </c>
      <c r="C4511" s="26" t="s">
        <v>152</v>
      </c>
      <c r="D4511" s="26">
        <v>1.75</v>
      </c>
      <c r="E4511" s="26">
        <v>3.49</v>
      </c>
      <c r="F4511" s="26">
        <v>6.11</v>
      </c>
    </row>
    <row r="4512">
      <c r="A4512" s="26" t="s">
        <v>11750</v>
      </c>
      <c r="B4512" s="26" t="s">
        <v>11749</v>
      </c>
      <c r="C4512" s="26" t="s">
        <v>230</v>
      </c>
      <c r="D4512" s="26">
        <v>3.35</v>
      </c>
      <c r="E4512" s="26">
        <v>27.0</v>
      </c>
      <c r="F4512" s="26">
        <v>90.45</v>
      </c>
    </row>
    <row r="4513">
      <c r="A4513" s="26" t="s">
        <v>11751</v>
      </c>
      <c r="B4513" s="26" t="s">
        <v>11749</v>
      </c>
      <c r="C4513" s="26" t="s">
        <v>155</v>
      </c>
      <c r="D4513" s="26">
        <v>1.6</v>
      </c>
      <c r="E4513" s="26">
        <v>7.0</v>
      </c>
      <c r="F4513" s="26">
        <v>11.2</v>
      </c>
    </row>
    <row r="4514">
      <c r="A4514" s="26" t="s">
        <v>11752</v>
      </c>
      <c r="B4514" s="26" t="s">
        <v>11749</v>
      </c>
      <c r="C4514" s="26" t="s">
        <v>159</v>
      </c>
      <c r="D4514" s="26">
        <v>6.0</v>
      </c>
      <c r="E4514" s="26">
        <v>14.0</v>
      </c>
      <c r="F4514" s="26">
        <v>84.0</v>
      </c>
    </row>
    <row r="4515">
      <c r="A4515" s="26" t="s">
        <v>11754</v>
      </c>
      <c r="B4515" s="26" t="s">
        <v>11755</v>
      </c>
      <c r="C4515" s="29" t="s">
        <v>10424</v>
      </c>
      <c r="D4515" s="26">
        <v>8.0</v>
      </c>
      <c r="E4515" s="26">
        <v>30.0</v>
      </c>
      <c r="F4515" s="26">
        <v>240.0</v>
      </c>
    </row>
    <row r="4516">
      <c r="A4516" s="26" t="s">
        <v>11756</v>
      </c>
      <c r="B4516" s="26" t="s">
        <v>11758</v>
      </c>
      <c r="C4516" s="26" t="s">
        <v>152</v>
      </c>
      <c r="D4516" s="26">
        <v>1.175</v>
      </c>
      <c r="E4516" s="26">
        <v>3.3</v>
      </c>
      <c r="F4516" s="26">
        <v>3.88</v>
      </c>
    </row>
    <row r="4517">
      <c r="A4517" s="26" t="s">
        <v>11759</v>
      </c>
      <c r="B4517" s="26" t="s">
        <v>11758</v>
      </c>
      <c r="C4517" s="26" t="s">
        <v>230</v>
      </c>
      <c r="D4517" s="26">
        <v>5.0</v>
      </c>
      <c r="E4517" s="26">
        <v>27.0</v>
      </c>
      <c r="F4517" s="26">
        <v>135.0</v>
      </c>
    </row>
    <row r="4518">
      <c r="A4518" s="26" t="s">
        <v>11761</v>
      </c>
      <c r="B4518" s="26" t="s">
        <v>11758</v>
      </c>
      <c r="C4518" s="26" t="s">
        <v>159</v>
      </c>
      <c r="D4518" s="26">
        <v>3.0</v>
      </c>
      <c r="E4518" s="26">
        <v>13.5</v>
      </c>
      <c r="F4518" s="26">
        <v>40.5</v>
      </c>
    </row>
    <row r="4519">
      <c r="A4519" s="26"/>
      <c r="B4519" s="26"/>
      <c r="C4519" s="26"/>
      <c r="D4519" s="26"/>
      <c r="E4519" s="26"/>
      <c r="F4519" s="26"/>
    </row>
    <row r="4520">
      <c r="A4520" s="26"/>
      <c r="B4520" s="26"/>
      <c r="C4520" s="26"/>
      <c r="D4520" s="26"/>
      <c r="E4520" s="26"/>
      <c r="F4520" s="26"/>
    </row>
    <row r="4521">
      <c r="A4521" s="26"/>
      <c r="B4521" s="26"/>
      <c r="C4521" s="26"/>
      <c r="D4521" s="26"/>
      <c r="E4521" s="26"/>
      <c r="F4521" s="26"/>
    </row>
    <row r="4522">
      <c r="A4522" s="26" t="s">
        <v>11768</v>
      </c>
      <c r="B4522" s="26" t="s">
        <v>1332</v>
      </c>
      <c r="C4522" s="26" t="s">
        <v>691</v>
      </c>
      <c r="D4522" s="26">
        <v>5.0</v>
      </c>
      <c r="E4522" s="26">
        <v>50.0</v>
      </c>
      <c r="F4522" s="26">
        <v>250.0</v>
      </c>
    </row>
    <row r="4523">
      <c r="A4523" s="26" t="s">
        <v>11770</v>
      </c>
      <c r="B4523" s="26" t="s">
        <v>1332</v>
      </c>
      <c r="C4523" s="26" t="s">
        <v>1195</v>
      </c>
      <c r="D4523" s="26">
        <v>2.0</v>
      </c>
      <c r="E4523" s="26">
        <v>26.0</v>
      </c>
      <c r="F4523" s="26">
        <v>52.0</v>
      </c>
    </row>
    <row r="4524">
      <c r="A4524" s="26" t="s">
        <v>11773</v>
      </c>
      <c r="B4524" s="26" t="s">
        <v>1332</v>
      </c>
      <c r="C4524" s="26" t="s">
        <v>1197</v>
      </c>
      <c r="D4524" s="26">
        <v>3.0</v>
      </c>
      <c r="E4524" s="26">
        <v>18.5</v>
      </c>
      <c r="F4524" s="26">
        <v>55.5</v>
      </c>
    </row>
    <row r="4525">
      <c r="A4525" s="26" t="s">
        <v>11776</v>
      </c>
      <c r="B4525" s="26" t="s">
        <v>1332</v>
      </c>
      <c r="C4525" s="26" t="s">
        <v>266</v>
      </c>
      <c r="D4525" s="26">
        <v>1.0</v>
      </c>
      <c r="E4525" s="26">
        <v>16.0</v>
      </c>
      <c r="F4525" s="26">
        <v>16.0</v>
      </c>
    </row>
    <row r="4526">
      <c r="A4526" s="26" t="s">
        <v>11777</v>
      </c>
      <c r="B4526" s="26" t="s">
        <v>11778</v>
      </c>
      <c r="C4526" s="26" t="s">
        <v>1075</v>
      </c>
      <c r="D4526" s="26">
        <v>2.0</v>
      </c>
      <c r="E4526" s="26">
        <v>22.74</v>
      </c>
      <c r="F4526" s="26">
        <v>45.48</v>
      </c>
    </row>
    <row r="4527">
      <c r="A4527" s="26" t="s">
        <v>11783</v>
      </c>
      <c r="B4527" s="26" t="s">
        <v>11778</v>
      </c>
      <c r="C4527" s="26" t="s">
        <v>1083</v>
      </c>
      <c r="D4527" s="26">
        <v>1.0</v>
      </c>
      <c r="E4527" s="26">
        <v>18.9</v>
      </c>
      <c r="F4527" s="26">
        <v>18.9</v>
      </c>
    </row>
    <row r="4528">
      <c r="A4528" s="26" t="s">
        <v>11786</v>
      </c>
      <c r="B4528" s="26" t="s">
        <v>11778</v>
      </c>
      <c r="C4528" s="26" t="s">
        <v>10457</v>
      </c>
      <c r="D4528" s="26">
        <v>1.0</v>
      </c>
      <c r="E4528" s="26">
        <v>22.38</v>
      </c>
      <c r="F4528" s="26">
        <v>22.38</v>
      </c>
    </row>
    <row r="4529">
      <c r="A4529" s="26" t="s">
        <v>11788</v>
      </c>
      <c r="B4529" s="26" t="s">
        <v>11778</v>
      </c>
      <c r="C4529" s="26" t="s">
        <v>1080</v>
      </c>
      <c r="D4529" s="26">
        <v>5.0</v>
      </c>
      <c r="E4529" s="26">
        <v>19.0</v>
      </c>
      <c r="F4529" s="26">
        <v>95.0</v>
      </c>
    </row>
    <row r="4530">
      <c r="A4530" s="26" t="s">
        <v>11791</v>
      </c>
      <c r="B4530" s="26" t="s">
        <v>11778</v>
      </c>
      <c r="C4530" s="26" t="s">
        <v>1079</v>
      </c>
      <c r="D4530" s="26">
        <v>10.0</v>
      </c>
      <c r="E4530" s="26">
        <v>18.0</v>
      </c>
      <c r="F4530" s="26">
        <v>180.0</v>
      </c>
    </row>
    <row r="4531">
      <c r="A4531" s="26" t="s">
        <v>11792</v>
      </c>
      <c r="B4531" s="26" t="s">
        <v>11778</v>
      </c>
      <c r="C4531" s="26" t="s">
        <v>1081</v>
      </c>
      <c r="D4531" s="26">
        <v>1.0</v>
      </c>
      <c r="E4531" s="26">
        <v>48.0</v>
      </c>
      <c r="F4531" s="26">
        <v>48.0</v>
      </c>
    </row>
    <row r="4532">
      <c r="A4532" s="26" t="s">
        <v>11793</v>
      </c>
      <c r="B4532" s="26" t="s">
        <v>11794</v>
      </c>
      <c r="C4532" s="26" t="s">
        <v>226</v>
      </c>
      <c r="D4532" s="26">
        <v>2.0</v>
      </c>
      <c r="E4532" s="26">
        <v>9.5</v>
      </c>
      <c r="F4532" s="26">
        <v>19.0</v>
      </c>
    </row>
    <row r="4533">
      <c r="A4533" s="26" t="s">
        <v>11795</v>
      </c>
      <c r="B4533" s="26" t="s">
        <v>11794</v>
      </c>
      <c r="C4533" s="26" t="s">
        <v>152</v>
      </c>
      <c r="D4533" s="26">
        <v>1.66</v>
      </c>
      <c r="E4533" s="26">
        <v>3.3</v>
      </c>
      <c r="F4533" s="26">
        <v>5.48</v>
      </c>
    </row>
    <row r="4534">
      <c r="A4534" s="26" t="s">
        <v>11796</v>
      </c>
      <c r="B4534" s="26" t="s">
        <v>11794</v>
      </c>
      <c r="C4534" s="26" t="s">
        <v>230</v>
      </c>
      <c r="D4534" s="26">
        <v>2.105</v>
      </c>
      <c r="E4534" s="26">
        <v>27.0</v>
      </c>
      <c r="F4534" s="26">
        <v>56.84</v>
      </c>
    </row>
    <row r="4535">
      <c r="A4535" s="26" t="s">
        <v>11797</v>
      </c>
      <c r="B4535" s="26" t="s">
        <v>11794</v>
      </c>
      <c r="C4535" s="26" t="s">
        <v>155</v>
      </c>
      <c r="D4535" s="26">
        <v>2.35</v>
      </c>
      <c r="E4535" s="26">
        <v>6.5</v>
      </c>
      <c r="F4535" s="26">
        <v>15.28</v>
      </c>
    </row>
    <row r="4536">
      <c r="A4536" s="26" t="s">
        <v>11798</v>
      </c>
      <c r="B4536" s="26" t="s">
        <v>11794</v>
      </c>
      <c r="C4536" s="26" t="s">
        <v>159</v>
      </c>
      <c r="D4536" s="26">
        <v>4.0</v>
      </c>
      <c r="E4536" s="26">
        <v>13.5</v>
      </c>
      <c r="F4536" s="26">
        <v>54.0</v>
      </c>
    </row>
    <row r="4537">
      <c r="A4537" s="26" t="s">
        <v>11800</v>
      </c>
      <c r="B4537" s="26" t="s">
        <v>11801</v>
      </c>
      <c r="C4537" s="29" t="s">
        <v>10424</v>
      </c>
      <c r="D4537" s="26">
        <v>4.0</v>
      </c>
      <c r="E4537" s="26">
        <v>30.0</v>
      </c>
      <c r="F4537" s="26">
        <v>120.0</v>
      </c>
    </row>
    <row r="4538">
      <c r="A4538" s="26" t="s">
        <v>11802</v>
      </c>
      <c r="B4538" s="26" t="s">
        <v>1355</v>
      </c>
      <c r="C4538" s="26" t="s">
        <v>1904</v>
      </c>
      <c r="D4538" s="26">
        <v>2.0</v>
      </c>
      <c r="E4538" s="26">
        <v>2.5</v>
      </c>
      <c r="F4538" s="26">
        <v>5.0</v>
      </c>
    </row>
    <row r="4539">
      <c r="A4539" s="26" t="s">
        <v>11803</v>
      </c>
      <c r="B4539" s="26" t="s">
        <v>1360</v>
      </c>
      <c r="C4539" s="26" t="s">
        <v>10293</v>
      </c>
      <c r="D4539" s="26">
        <v>2.0</v>
      </c>
      <c r="E4539" s="26">
        <v>8.99</v>
      </c>
      <c r="F4539" s="26">
        <v>17.98</v>
      </c>
    </row>
    <row r="4540">
      <c r="A4540" s="26" t="s">
        <v>11806</v>
      </c>
      <c r="B4540" s="26" t="s">
        <v>1360</v>
      </c>
      <c r="C4540" s="26" t="s">
        <v>11807</v>
      </c>
      <c r="D4540" s="26">
        <v>1.0</v>
      </c>
      <c r="E4540" s="26">
        <v>4.99</v>
      </c>
      <c r="F4540" s="26">
        <v>4.99</v>
      </c>
    </row>
    <row r="4541">
      <c r="A4541" s="26" t="s">
        <v>11808</v>
      </c>
      <c r="B4541" s="26" t="s">
        <v>1360</v>
      </c>
      <c r="C4541" s="26" t="s">
        <v>10303</v>
      </c>
      <c r="D4541" s="26">
        <v>1.0</v>
      </c>
      <c r="E4541" s="26">
        <v>14.99</v>
      </c>
      <c r="F4541" s="26">
        <v>14.99</v>
      </c>
    </row>
    <row r="4542">
      <c r="A4542" s="29" t="s">
        <v>11811</v>
      </c>
      <c r="B4542" s="26" t="s">
        <v>1360</v>
      </c>
      <c r="C4542" s="26" t="s">
        <v>10500</v>
      </c>
      <c r="D4542" s="26">
        <v>1.0</v>
      </c>
      <c r="E4542" s="26">
        <v>6.99</v>
      </c>
      <c r="F4542" s="26">
        <v>6.99</v>
      </c>
    </row>
    <row r="4543">
      <c r="A4543" s="26" t="s">
        <v>11814</v>
      </c>
      <c r="B4543" s="26">
        <v>12236.0</v>
      </c>
      <c r="C4543" s="26" t="s">
        <v>6956</v>
      </c>
      <c r="D4543" s="30">
        <v>1.0</v>
      </c>
      <c r="E4543" s="30">
        <v>1148.0</v>
      </c>
      <c r="F4543" s="30">
        <v>1148.0</v>
      </c>
    </row>
    <row r="4544">
      <c r="A4544" s="26" t="s">
        <v>11819</v>
      </c>
      <c r="B4544" s="26">
        <v>12237.0</v>
      </c>
      <c r="C4544" s="26" t="s">
        <v>7344</v>
      </c>
      <c r="D4544" s="30">
        <v>1.0</v>
      </c>
      <c r="E4544" s="30">
        <v>1110.0</v>
      </c>
      <c r="F4544" s="30">
        <v>1110.0</v>
      </c>
    </row>
    <row r="4545">
      <c r="A4545" s="26" t="s">
        <v>11823</v>
      </c>
      <c r="B4545" s="26">
        <v>12241.0</v>
      </c>
      <c r="C4545" s="26" t="s">
        <v>4831</v>
      </c>
      <c r="D4545" s="30">
        <v>1.0</v>
      </c>
      <c r="E4545" s="30">
        <v>396.0</v>
      </c>
      <c r="F4545" s="30">
        <v>396.0</v>
      </c>
    </row>
    <row r="4546">
      <c r="A4546" s="26" t="s">
        <v>11825</v>
      </c>
      <c r="B4546" s="26" t="s">
        <v>11827</v>
      </c>
      <c r="C4546" s="26" t="s">
        <v>1517</v>
      </c>
      <c r="D4546" s="26">
        <v>1.0</v>
      </c>
      <c r="E4546" s="26">
        <v>494.38</v>
      </c>
      <c r="F4546" s="26">
        <v>494.38</v>
      </c>
    </row>
    <row r="4547">
      <c r="A4547" s="26" t="s">
        <v>11828</v>
      </c>
      <c r="B4547" s="26" t="s">
        <v>11827</v>
      </c>
      <c r="C4547" s="26" t="s">
        <v>10261</v>
      </c>
      <c r="D4547" s="26">
        <v>1.0</v>
      </c>
      <c r="E4547" s="26">
        <v>476.85</v>
      </c>
      <c r="F4547" s="26">
        <v>476.85</v>
      </c>
    </row>
    <row r="4548">
      <c r="A4548" s="26" t="s">
        <v>11831</v>
      </c>
      <c r="B4548" s="26">
        <v>12242.0</v>
      </c>
      <c r="C4548" s="26" t="s">
        <v>1159</v>
      </c>
      <c r="D4548" s="30">
        <v>1.0</v>
      </c>
      <c r="E4548" s="30">
        <v>1623.25</v>
      </c>
      <c r="F4548" s="30">
        <v>1623.25</v>
      </c>
    </row>
    <row r="4549">
      <c r="A4549" s="26" t="s">
        <v>11835</v>
      </c>
      <c r="B4549" s="26">
        <v>12250.0</v>
      </c>
      <c r="C4549" s="26" t="s">
        <v>2448</v>
      </c>
      <c r="D4549" s="30">
        <v>1.0</v>
      </c>
      <c r="E4549" s="30">
        <v>1065.74</v>
      </c>
      <c r="F4549" s="30">
        <v>1065.74</v>
      </c>
    </row>
    <row r="4550">
      <c r="A4550" s="26" t="s">
        <v>11837</v>
      </c>
      <c r="B4550" s="26" t="s">
        <v>11838</v>
      </c>
      <c r="C4550" s="26" t="s">
        <v>1517</v>
      </c>
      <c r="D4550" s="30">
        <v>1.0</v>
      </c>
      <c r="E4550" s="30">
        <v>116.32</v>
      </c>
      <c r="F4550" s="30">
        <v>116.32</v>
      </c>
    </row>
    <row r="4551">
      <c r="A4551" s="26" t="s">
        <v>11839</v>
      </c>
      <c r="B4551" s="26" t="s">
        <v>11840</v>
      </c>
      <c r="C4551" s="26" t="s">
        <v>9257</v>
      </c>
      <c r="D4551" s="30">
        <v>1.0</v>
      </c>
      <c r="E4551" s="30">
        <v>1173.88</v>
      </c>
      <c r="F4551" s="30">
        <v>1173.88</v>
      </c>
    </row>
    <row r="4552">
      <c r="A4552" s="26" t="s">
        <v>11842</v>
      </c>
      <c r="B4552" s="26" t="s">
        <v>11843</v>
      </c>
      <c r="C4552" s="26" t="s">
        <v>9257</v>
      </c>
      <c r="D4552" s="30">
        <v>1.0</v>
      </c>
      <c r="E4552" s="30">
        <v>1393.15</v>
      </c>
      <c r="F4552" s="30">
        <v>1393.15</v>
      </c>
    </row>
    <row r="4553">
      <c r="A4553" s="26" t="s">
        <v>11845</v>
      </c>
      <c r="B4553" s="26" t="s">
        <v>11846</v>
      </c>
      <c r="C4553" s="29" t="s">
        <v>10424</v>
      </c>
      <c r="D4553" s="26">
        <v>4.0</v>
      </c>
      <c r="E4553" s="26">
        <v>30.0</v>
      </c>
      <c r="F4553" s="26">
        <v>120.0</v>
      </c>
    </row>
    <row r="4554">
      <c r="A4554" s="26" t="s">
        <v>11848</v>
      </c>
      <c r="B4554" s="26" t="s">
        <v>11849</v>
      </c>
      <c r="C4554" s="26" t="s">
        <v>8458</v>
      </c>
      <c r="D4554" s="26">
        <v>1.0</v>
      </c>
      <c r="E4554" s="26">
        <v>7153.63</v>
      </c>
      <c r="F4554" s="26">
        <v>7153.63</v>
      </c>
    </row>
    <row r="4555">
      <c r="A4555" s="26" t="s">
        <v>11850</v>
      </c>
      <c r="B4555" s="26" t="s">
        <v>11849</v>
      </c>
      <c r="C4555" s="26" t="s">
        <v>10261</v>
      </c>
      <c r="D4555" s="26">
        <v>1.0</v>
      </c>
      <c r="E4555" s="26">
        <v>605.89</v>
      </c>
      <c r="F4555" s="26">
        <v>605.89</v>
      </c>
    </row>
    <row r="4556">
      <c r="A4556" s="26" t="s">
        <v>11852</v>
      </c>
      <c r="B4556" s="26" t="s">
        <v>11849</v>
      </c>
      <c r="C4556" s="26" t="s">
        <v>10350</v>
      </c>
      <c r="D4556" s="26">
        <v>1.0</v>
      </c>
      <c r="E4556" s="26">
        <v>115.66</v>
      </c>
      <c r="F4556" s="26">
        <v>115.66</v>
      </c>
    </row>
    <row r="4557">
      <c r="A4557" s="26" t="s">
        <v>11853</v>
      </c>
      <c r="B4557" s="26" t="s">
        <v>11854</v>
      </c>
      <c r="C4557" s="26" t="s">
        <v>226</v>
      </c>
      <c r="D4557" s="26">
        <v>1.0</v>
      </c>
      <c r="E4557" s="26">
        <v>9.5</v>
      </c>
      <c r="F4557" s="26">
        <v>9.5</v>
      </c>
    </row>
    <row r="4558">
      <c r="A4558" s="26" t="s">
        <v>11855</v>
      </c>
      <c r="B4558" s="26" t="s">
        <v>11854</v>
      </c>
      <c r="C4558" s="26" t="s">
        <v>230</v>
      </c>
      <c r="D4558" s="26">
        <v>2.0</v>
      </c>
      <c r="E4558" s="26">
        <v>24.0</v>
      </c>
      <c r="F4558" s="26">
        <v>48.0</v>
      </c>
    </row>
    <row r="4559">
      <c r="A4559" s="26" t="s">
        <v>11856</v>
      </c>
      <c r="B4559" s="26" t="s">
        <v>11854</v>
      </c>
      <c r="C4559" s="26" t="s">
        <v>155</v>
      </c>
      <c r="D4559" s="26">
        <v>1.71</v>
      </c>
      <c r="E4559" s="26">
        <v>8.0</v>
      </c>
      <c r="F4559" s="26">
        <v>13.68</v>
      </c>
    </row>
    <row r="4560">
      <c r="A4560" s="26" t="s">
        <v>11857</v>
      </c>
      <c r="B4560" s="26" t="s">
        <v>11854</v>
      </c>
      <c r="C4560" s="26" t="s">
        <v>159</v>
      </c>
      <c r="D4560" s="26">
        <v>6.0</v>
      </c>
      <c r="E4560" s="26">
        <v>13.5</v>
      </c>
      <c r="F4560" s="26">
        <v>81.0</v>
      </c>
    </row>
    <row r="4561">
      <c r="A4561" s="26" t="s">
        <v>11858</v>
      </c>
      <c r="B4561" s="26" t="s">
        <v>1459</v>
      </c>
      <c r="C4561" s="26" t="s">
        <v>10491</v>
      </c>
      <c r="D4561" s="26">
        <v>0.494</v>
      </c>
      <c r="E4561" s="26">
        <v>14.99</v>
      </c>
      <c r="F4561" s="26">
        <v>7.41</v>
      </c>
    </row>
    <row r="4562">
      <c r="A4562" s="26" t="s">
        <v>11859</v>
      </c>
      <c r="B4562" s="26" t="s">
        <v>1454</v>
      </c>
      <c r="C4562" s="26" t="s">
        <v>10293</v>
      </c>
      <c r="D4562" s="26">
        <v>2.0</v>
      </c>
      <c r="E4562" s="26">
        <v>8.99</v>
      </c>
      <c r="F4562" s="26">
        <v>17.98</v>
      </c>
    </row>
    <row r="4563">
      <c r="A4563" s="26" t="s">
        <v>11860</v>
      </c>
      <c r="B4563" s="26" t="s">
        <v>1454</v>
      </c>
      <c r="C4563" s="26" t="s">
        <v>10305</v>
      </c>
      <c r="D4563" s="26">
        <v>1.0</v>
      </c>
      <c r="E4563" s="26">
        <v>12.99</v>
      </c>
      <c r="F4563" s="26">
        <v>12.99</v>
      </c>
    </row>
    <row r="4564">
      <c r="A4564" s="26" t="s">
        <v>11861</v>
      </c>
      <c r="B4564" s="26" t="s">
        <v>1454</v>
      </c>
      <c r="C4564" s="26" t="s">
        <v>10303</v>
      </c>
      <c r="D4564" s="26">
        <v>1.0</v>
      </c>
      <c r="E4564" s="26">
        <v>14.99</v>
      </c>
      <c r="F4564" s="26">
        <v>14.99</v>
      </c>
    </row>
    <row r="4565">
      <c r="A4565" s="26" t="s">
        <v>11862</v>
      </c>
      <c r="B4565" s="26" t="s">
        <v>1454</v>
      </c>
      <c r="C4565" s="26" t="s">
        <v>152</v>
      </c>
      <c r="D4565" s="26">
        <v>2.565</v>
      </c>
      <c r="E4565" s="26">
        <v>3.99</v>
      </c>
      <c r="F4565" s="26">
        <v>10.23</v>
      </c>
    </row>
    <row r="4566">
      <c r="A4566" s="26" t="s">
        <v>11864</v>
      </c>
      <c r="B4566" s="26" t="s">
        <v>11865</v>
      </c>
      <c r="C4566" s="26" t="s">
        <v>8792</v>
      </c>
      <c r="D4566" s="30">
        <v>1.0</v>
      </c>
      <c r="E4566" s="30">
        <v>4744.5</v>
      </c>
      <c r="F4566" s="30">
        <v>4744.5</v>
      </c>
    </row>
    <row r="4567">
      <c r="A4567" s="26" t="s">
        <v>11867</v>
      </c>
      <c r="B4567" s="26">
        <v>12251.0</v>
      </c>
      <c r="C4567" s="26" t="s">
        <v>2662</v>
      </c>
      <c r="D4567" s="30">
        <v>1.0</v>
      </c>
      <c r="E4567" s="30">
        <v>6727.64</v>
      </c>
      <c r="F4567" s="30">
        <v>6727.64</v>
      </c>
    </row>
    <row r="4568">
      <c r="A4568" s="26" t="s">
        <v>11870</v>
      </c>
      <c r="B4568" s="26" t="s">
        <v>11871</v>
      </c>
      <c r="C4568" s="26" t="s">
        <v>8458</v>
      </c>
      <c r="D4568" s="30">
        <v>1.0</v>
      </c>
      <c r="E4568" s="30">
        <v>1683.21</v>
      </c>
      <c r="F4568" s="30">
        <v>1683.21</v>
      </c>
    </row>
    <row r="4569">
      <c r="A4569" s="26" t="s">
        <v>11874</v>
      </c>
      <c r="B4569" s="26" t="s">
        <v>11875</v>
      </c>
      <c r="C4569" s="30">
        <v>7.9792017E7</v>
      </c>
      <c r="D4569" s="30">
        <v>1.0</v>
      </c>
      <c r="E4569" s="30">
        <v>1473.42</v>
      </c>
      <c r="F4569" s="30">
        <v>1473.42</v>
      </c>
    </row>
    <row r="4570">
      <c r="A4570" s="26" t="s">
        <v>11876</v>
      </c>
      <c r="B4570" s="26">
        <v>12266.0</v>
      </c>
      <c r="C4570" s="26" t="s">
        <v>8404</v>
      </c>
      <c r="D4570" s="30">
        <v>1.0</v>
      </c>
      <c r="E4570" s="30">
        <v>249.23</v>
      </c>
      <c r="F4570" s="30">
        <v>249.23</v>
      </c>
    </row>
    <row r="4571">
      <c r="A4571" s="26" t="s">
        <v>11880</v>
      </c>
      <c r="B4571" s="26" t="s">
        <v>11881</v>
      </c>
      <c r="C4571" s="26">
        <v>7.9792017E7</v>
      </c>
      <c r="D4571" s="30">
        <v>1.0</v>
      </c>
      <c r="E4571" s="30">
        <v>24.14</v>
      </c>
      <c r="F4571" s="30">
        <v>24.14</v>
      </c>
    </row>
    <row r="4572">
      <c r="A4572" s="26" t="s">
        <v>11885</v>
      </c>
      <c r="B4572" s="26" t="s">
        <v>11886</v>
      </c>
      <c r="C4572" s="26" t="s">
        <v>152</v>
      </c>
      <c r="D4572" s="26">
        <v>1.26</v>
      </c>
      <c r="E4572" s="26">
        <v>3.4</v>
      </c>
      <c r="F4572" s="26">
        <v>4.28</v>
      </c>
    </row>
    <row r="4573">
      <c r="A4573" s="26" t="s">
        <v>11888</v>
      </c>
      <c r="B4573" s="26" t="s">
        <v>11886</v>
      </c>
      <c r="C4573" s="26" t="s">
        <v>230</v>
      </c>
      <c r="D4573" s="26">
        <v>2.045</v>
      </c>
      <c r="E4573" s="26">
        <v>29.0</v>
      </c>
      <c r="F4573" s="26">
        <v>59.31</v>
      </c>
    </row>
    <row r="4574">
      <c r="A4574" s="26" t="s">
        <v>11891</v>
      </c>
      <c r="B4574" s="26" t="s">
        <v>11886</v>
      </c>
      <c r="C4574" s="26" t="s">
        <v>155</v>
      </c>
      <c r="D4574" s="26">
        <v>1.0</v>
      </c>
      <c r="E4574" s="26">
        <v>7.5</v>
      </c>
      <c r="F4574" s="26">
        <v>7.5</v>
      </c>
    </row>
    <row r="4575">
      <c r="A4575" s="26" t="s">
        <v>11894</v>
      </c>
      <c r="B4575" s="26" t="s">
        <v>11886</v>
      </c>
      <c r="C4575" s="26" t="s">
        <v>159</v>
      </c>
      <c r="D4575" s="26">
        <v>5.0</v>
      </c>
      <c r="E4575" s="26">
        <v>14.5</v>
      </c>
      <c r="F4575" s="26">
        <v>72.5</v>
      </c>
    </row>
    <row r="4576">
      <c r="A4576" s="29" t="s">
        <v>11897</v>
      </c>
      <c r="B4576" s="26" t="s">
        <v>11899</v>
      </c>
      <c r="C4576" s="29" t="s">
        <v>10424</v>
      </c>
      <c r="D4576" s="26">
        <v>7.0</v>
      </c>
      <c r="E4576" s="26">
        <v>30.0</v>
      </c>
      <c r="F4576" s="26">
        <v>210.0</v>
      </c>
    </row>
    <row r="4577">
      <c r="A4577" s="26" t="s">
        <v>11900</v>
      </c>
      <c r="B4577" s="26" t="s">
        <v>1539</v>
      </c>
      <c r="C4577" s="26" t="s">
        <v>1904</v>
      </c>
      <c r="D4577" s="26">
        <v>1.0</v>
      </c>
      <c r="E4577" s="26">
        <v>5.0</v>
      </c>
      <c r="F4577" s="26">
        <v>5.0</v>
      </c>
    </row>
    <row r="4578">
      <c r="A4578" s="26" t="s">
        <v>11905</v>
      </c>
      <c r="B4578" s="26" t="s">
        <v>11906</v>
      </c>
      <c r="C4578" s="26" t="s">
        <v>11907</v>
      </c>
      <c r="D4578" s="26">
        <v>1.0</v>
      </c>
      <c r="E4578" s="26">
        <v>446.25</v>
      </c>
      <c r="F4578" s="26">
        <v>446.25</v>
      </c>
    </row>
    <row r="4579">
      <c r="A4579" s="26" t="s">
        <v>11910</v>
      </c>
      <c r="B4579" s="26" t="s">
        <v>11911</v>
      </c>
      <c r="C4579" s="26" t="s">
        <v>1074</v>
      </c>
      <c r="D4579" s="26">
        <v>1.0</v>
      </c>
      <c r="E4579" s="26">
        <v>45.47</v>
      </c>
      <c r="F4579" s="26">
        <v>45.47</v>
      </c>
    </row>
    <row r="4580">
      <c r="A4580" s="26" t="s">
        <v>11912</v>
      </c>
      <c r="B4580" s="26" t="s">
        <v>11911</v>
      </c>
      <c r="C4580" s="26" t="s">
        <v>1075</v>
      </c>
      <c r="D4580" s="26">
        <v>1.0</v>
      </c>
      <c r="E4580" s="26">
        <v>22.74</v>
      </c>
      <c r="F4580" s="26">
        <v>22.74</v>
      </c>
    </row>
    <row r="4581">
      <c r="A4581" s="26" t="s">
        <v>11914</v>
      </c>
      <c r="B4581" s="26" t="s">
        <v>11911</v>
      </c>
      <c r="C4581" s="26" t="s">
        <v>1083</v>
      </c>
      <c r="D4581" s="26">
        <v>1.0</v>
      </c>
      <c r="E4581" s="26">
        <v>18.9</v>
      </c>
      <c r="F4581" s="26">
        <v>18.9</v>
      </c>
    </row>
    <row r="4582">
      <c r="A4582" s="26" t="s">
        <v>11918</v>
      </c>
      <c r="B4582" s="26" t="s">
        <v>11911</v>
      </c>
      <c r="C4582" s="26" t="s">
        <v>1384</v>
      </c>
      <c r="D4582" s="26">
        <v>2.0</v>
      </c>
      <c r="E4582" s="26">
        <v>20.28</v>
      </c>
      <c r="F4582" s="26">
        <v>40.56</v>
      </c>
    </row>
    <row r="4583">
      <c r="A4583" s="26" t="s">
        <v>11923</v>
      </c>
      <c r="B4583" s="26" t="s">
        <v>11911</v>
      </c>
      <c r="C4583" s="26" t="s">
        <v>10457</v>
      </c>
      <c r="D4583" s="26">
        <v>1.0</v>
      </c>
      <c r="E4583" s="26">
        <v>22.38</v>
      </c>
      <c r="F4583" s="26">
        <v>22.38</v>
      </c>
    </row>
    <row r="4584">
      <c r="A4584" s="26" t="s">
        <v>11925</v>
      </c>
      <c r="B4584" s="26" t="s">
        <v>11911</v>
      </c>
      <c r="C4584" s="29" t="s">
        <v>10459</v>
      </c>
      <c r="D4584" s="26">
        <v>1.0</v>
      </c>
      <c r="E4584" s="26">
        <v>20.28</v>
      </c>
      <c r="F4584" s="26">
        <v>20.28</v>
      </c>
    </row>
    <row r="4585">
      <c r="A4585" s="26" t="s">
        <v>11929</v>
      </c>
      <c r="B4585" s="26" t="s">
        <v>11911</v>
      </c>
      <c r="C4585" s="26" t="s">
        <v>1085</v>
      </c>
      <c r="D4585" s="26">
        <v>1.0</v>
      </c>
      <c r="E4585" s="26">
        <v>41.04</v>
      </c>
      <c r="F4585" s="26">
        <v>41.04</v>
      </c>
    </row>
    <row r="4586">
      <c r="A4586" s="26" t="s">
        <v>11931</v>
      </c>
      <c r="B4586" s="26" t="s">
        <v>11911</v>
      </c>
      <c r="C4586" s="26" t="s">
        <v>1081</v>
      </c>
      <c r="D4586" s="26">
        <v>3.0</v>
      </c>
      <c r="E4586" s="26">
        <v>48.0</v>
      </c>
      <c r="F4586" s="26">
        <v>144.0</v>
      </c>
    </row>
    <row r="4587">
      <c r="A4587" s="29" t="s">
        <v>11933</v>
      </c>
      <c r="B4587" s="26" t="s">
        <v>11934</v>
      </c>
      <c r="C4587" s="26" t="s">
        <v>226</v>
      </c>
      <c r="D4587" s="26">
        <v>1.0</v>
      </c>
      <c r="E4587" s="26">
        <v>9.5</v>
      </c>
      <c r="F4587" s="26">
        <v>9.5</v>
      </c>
    </row>
    <row r="4588">
      <c r="A4588" s="26" t="s">
        <v>11939</v>
      </c>
      <c r="B4588" s="26" t="s">
        <v>11934</v>
      </c>
      <c r="C4588" s="26" t="s">
        <v>230</v>
      </c>
      <c r="D4588" s="26">
        <v>2.0</v>
      </c>
      <c r="E4588" s="26">
        <v>24.0</v>
      </c>
      <c r="F4588" s="26">
        <v>48.0</v>
      </c>
    </row>
    <row r="4589">
      <c r="A4589" s="26" t="s">
        <v>11941</v>
      </c>
      <c r="B4589" s="26" t="s">
        <v>11934</v>
      </c>
      <c r="C4589" s="26" t="s">
        <v>155</v>
      </c>
      <c r="D4589" s="26">
        <v>1.99</v>
      </c>
      <c r="E4589" s="26">
        <v>8.0</v>
      </c>
      <c r="F4589" s="26">
        <v>15.92</v>
      </c>
    </row>
    <row r="4590">
      <c r="A4590" s="26" t="s">
        <v>11943</v>
      </c>
      <c r="B4590" s="26" t="s">
        <v>11934</v>
      </c>
      <c r="C4590" s="26" t="s">
        <v>159</v>
      </c>
      <c r="D4590" s="26">
        <v>4.0</v>
      </c>
      <c r="E4590" s="26">
        <v>13.5</v>
      </c>
      <c r="F4590" s="26">
        <v>54.0</v>
      </c>
    </row>
    <row r="4591">
      <c r="A4591" s="26" t="s">
        <v>11947</v>
      </c>
      <c r="B4591" s="26" t="s">
        <v>1577</v>
      </c>
      <c r="C4591" s="26" t="s">
        <v>11948</v>
      </c>
      <c r="D4591" s="26">
        <v>1.0</v>
      </c>
      <c r="E4591" s="26">
        <v>28.39</v>
      </c>
      <c r="F4591" s="26">
        <v>28.39</v>
      </c>
    </row>
    <row r="4592">
      <c r="A4592" s="26" t="s">
        <v>11952</v>
      </c>
      <c r="B4592" s="26" t="s">
        <v>1582</v>
      </c>
      <c r="C4592" s="26" t="s">
        <v>10293</v>
      </c>
      <c r="D4592" s="26">
        <v>2.0</v>
      </c>
      <c r="E4592" s="26">
        <v>4.99</v>
      </c>
      <c r="F4592" s="26">
        <v>9.98</v>
      </c>
    </row>
    <row r="4593">
      <c r="A4593" s="26" t="s">
        <v>11953</v>
      </c>
      <c r="B4593" s="26" t="s">
        <v>1582</v>
      </c>
      <c r="C4593" s="26" t="s">
        <v>10491</v>
      </c>
      <c r="D4593" s="26">
        <v>0.63</v>
      </c>
      <c r="E4593" s="26">
        <v>13.99</v>
      </c>
      <c r="F4593" s="26">
        <v>8.81</v>
      </c>
    </row>
    <row r="4594">
      <c r="A4594" s="26" t="s">
        <v>11954</v>
      </c>
      <c r="B4594" s="26" t="s">
        <v>1582</v>
      </c>
      <c r="C4594" s="26" t="s">
        <v>10500</v>
      </c>
      <c r="D4594" s="26">
        <v>1.0</v>
      </c>
      <c r="E4594" s="26">
        <v>6.99</v>
      </c>
      <c r="F4594" s="26">
        <v>6.99</v>
      </c>
    </row>
    <row r="4595">
      <c r="A4595" s="26" t="s">
        <v>11956</v>
      </c>
      <c r="B4595" s="26" t="s">
        <v>1582</v>
      </c>
      <c r="C4595" s="26" t="s">
        <v>10303</v>
      </c>
      <c r="D4595" s="26">
        <v>3.0</v>
      </c>
      <c r="E4595" s="26">
        <v>11.99</v>
      </c>
      <c r="F4595" s="26">
        <v>35.97</v>
      </c>
    </row>
    <row r="4596">
      <c r="A4596" s="26" t="s">
        <v>11957</v>
      </c>
      <c r="B4596" s="26" t="s">
        <v>1582</v>
      </c>
      <c r="C4596" s="26" t="s">
        <v>10305</v>
      </c>
      <c r="D4596" s="26">
        <v>2.0</v>
      </c>
      <c r="E4596" s="26">
        <v>8.99</v>
      </c>
      <c r="F4596" s="26">
        <v>17.98</v>
      </c>
    </row>
    <row r="4597">
      <c r="A4597" s="26" t="s">
        <v>11958</v>
      </c>
      <c r="B4597" s="26" t="s">
        <v>1582</v>
      </c>
      <c r="C4597" s="26" t="s">
        <v>688</v>
      </c>
      <c r="D4597" s="26">
        <v>2.0</v>
      </c>
      <c r="E4597" s="26">
        <v>5.19</v>
      </c>
      <c r="F4597" s="26">
        <v>10.38</v>
      </c>
    </row>
    <row r="4598">
      <c r="A4598" s="26" t="s">
        <v>11959</v>
      </c>
      <c r="B4598" s="26" t="s">
        <v>1582</v>
      </c>
      <c r="C4598" s="26" t="s">
        <v>11466</v>
      </c>
      <c r="D4598" s="26">
        <v>1.0</v>
      </c>
      <c r="E4598" s="26">
        <v>4.49</v>
      </c>
      <c r="F4598" s="26">
        <v>4.49</v>
      </c>
    </row>
    <row r="4599">
      <c r="A4599" s="26" t="s">
        <v>11960</v>
      </c>
      <c r="B4599" s="26">
        <v>12271.0</v>
      </c>
      <c r="C4599" s="26" t="s">
        <v>2870</v>
      </c>
      <c r="D4599" s="30">
        <v>1.0</v>
      </c>
      <c r="E4599" s="30">
        <v>349.58</v>
      </c>
      <c r="F4599" s="30">
        <v>349.58</v>
      </c>
    </row>
    <row r="4600">
      <c r="A4600" s="26" t="s">
        <v>11961</v>
      </c>
      <c r="B4600" s="26">
        <v>12272.0</v>
      </c>
      <c r="C4600" s="26" t="s">
        <v>2870</v>
      </c>
      <c r="D4600" s="30">
        <v>1.0</v>
      </c>
      <c r="E4600" s="30">
        <v>87.68</v>
      </c>
      <c r="F4600" s="30">
        <v>87.68</v>
      </c>
    </row>
    <row r="4601">
      <c r="A4601" s="26" t="s">
        <v>11962</v>
      </c>
      <c r="B4601" s="26">
        <v>12273.0</v>
      </c>
      <c r="C4601" s="26" t="s">
        <v>1239</v>
      </c>
      <c r="D4601" s="30">
        <v>1.0</v>
      </c>
      <c r="E4601" s="30">
        <v>4351.0</v>
      </c>
      <c r="F4601" s="30">
        <v>4351.0</v>
      </c>
    </row>
    <row r="4602">
      <c r="A4602" s="26" t="s">
        <v>11964</v>
      </c>
      <c r="B4602" s="26">
        <v>12274.0</v>
      </c>
      <c r="C4602" s="26" t="s">
        <v>1126</v>
      </c>
      <c r="D4602" s="30">
        <v>1.0</v>
      </c>
      <c r="E4602" s="30">
        <v>72.0</v>
      </c>
      <c r="F4602" s="30">
        <v>72.0</v>
      </c>
    </row>
    <row r="4603">
      <c r="A4603" s="26" t="s">
        <v>11965</v>
      </c>
      <c r="B4603" s="26">
        <v>12275.0</v>
      </c>
      <c r="C4603" s="26" t="s">
        <v>1054</v>
      </c>
      <c r="D4603" s="30">
        <v>1.0</v>
      </c>
      <c r="E4603" s="30">
        <v>6356.97</v>
      </c>
      <c r="F4603" s="30">
        <v>6356.97</v>
      </c>
    </row>
    <row r="4604">
      <c r="A4604" s="26" t="s">
        <v>11967</v>
      </c>
      <c r="B4604" s="26">
        <v>12280.0</v>
      </c>
      <c r="C4604" s="26" t="s">
        <v>9874</v>
      </c>
      <c r="D4604" s="30">
        <v>1.0</v>
      </c>
      <c r="E4604" s="30">
        <v>70.0</v>
      </c>
      <c r="F4604" s="30">
        <v>70.0</v>
      </c>
    </row>
    <row r="4605">
      <c r="A4605" s="26" t="s">
        <v>11970</v>
      </c>
      <c r="B4605" s="26">
        <v>12281.0</v>
      </c>
      <c r="C4605" s="26" t="s">
        <v>11663</v>
      </c>
      <c r="D4605" s="30">
        <v>1.0</v>
      </c>
      <c r="E4605" s="30">
        <v>855.0</v>
      </c>
      <c r="F4605" s="30">
        <v>855.0</v>
      </c>
    </row>
    <row r="4606">
      <c r="A4606" s="26" t="s">
        <v>11973</v>
      </c>
      <c r="B4606" s="26" t="s">
        <v>11975</v>
      </c>
      <c r="C4606" s="26" t="s">
        <v>2448</v>
      </c>
      <c r="D4606" s="30">
        <v>1.0</v>
      </c>
      <c r="E4606" s="30">
        <v>2657.7</v>
      </c>
      <c r="F4606" s="30">
        <v>2657.7</v>
      </c>
    </row>
    <row r="4607">
      <c r="A4607" s="26" t="s">
        <v>11976</v>
      </c>
      <c r="B4607" s="26" t="s">
        <v>11977</v>
      </c>
      <c r="C4607" s="26" t="s">
        <v>152</v>
      </c>
      <c r="D4607" s="26">
        <v>1.27</v>
      </c>
      <c r="E4607" s="26">
        <v>2.99</v>
      </c>
      <c r="F4607" s="26">
        <v>3.8</v>
      </c>
    </row>
    <row r="4608">
      <c r="A4608" s="26" t="s">
        <v>11980</v>
      </c>
      <c r="B4608" s="26" t="s">
        <v>11977</v>
      </c>
      <c r="C4608" s="26" t="s">
        <v>152</v>
      </c>
      <c r="D4608" s="26">
        <v>1.065</v>
      </c>
      <c r="E4608" s="26">
        <v>2.99</v>
      </c>
      <c r="F4608" s="26">
        <v>3.18</v>
      </c>
    </row>
    <row r="4609">
      <c r="A4609" s="26" t="s">
        <v>11982</v>
      </c>
      <c r="B4609" s="26" t="s">
        <v>11977</v>
      </c>
      <c r="C4609" s="26" t="s">
        <v>152</v>
      </c>
      <c r="D4609" s="26">
        <v>0.585</v>
      </c>
      <c r="E4609" s="26">
        <v>2.99</v>
      </c>
      <c r="F4609" s="26">
        <v>1.75</v>
      </c>
    </row>
    <row r="4610">
      <c r="A4610" s="26" t="s">
        <v>11984</v>
      </c>
      <c r="B4610" s="26" t="s">
        <v>11985</v>
      </c>
      <c r="C4610" s="26" t="s">
        <v>1904</v>
      </c>
      <c r="D4610" s="26">
        <v>1.0</v>
      </c>
      <c r="E4610" s="26">
        <v>8.0</v>
      </c>
      <c r="F4610" s="26">
        <v>8.0</v>
      </c>
    </row>
    <row r="4611">
      <c r="A4611" s="26" t="s">
        <v>11988</v>
      </c>
      <c r="B4611" s="26" t="s">
        <v>1682</v>
      </c>
      <c r="C4611" s="26" t="s">
        <v>11989</v>
      </c>
      <c r="D4611" s="26">
        <v>4.0</v>
      </c>
      <c r="E4611" s="26">
        <v>50.0</v>
      </c>
      <c r="F4611" s="26">
        <v>200.0</v>
      </c>
    </row>
    <row r="4612">
      <c r="A4612" s="29" t="s">
        <v>11992</v>
      </c>
      <c r="B4612" s="26" t="s">
        <v>1682</v>
      </c>
      <c r="C4612" s="26" t="s">
        <v>1197</v>
      </c>
      <c r="D4612" s="26">
        <v>4.0</v>
      </c>
      <c r="E4612" s="26">
        <v>18.5</v>
      </c>
      <c r="F4612" s="26">
        <v>74.0</v>
      </c>
    </row>
    <row r="4613">
      <c r="A4613" s="26" t="s">
        <v>11993</v>
      </c>
      <c r="B4613" s="26" t="s">
        <v>1682</v>
      </c>
      <c r="C4613" s="26" t="s">
        <v>266</v>
      </c>
      <c r="D4613" s="26">
        <v>1.0</v>
      </c>
      <c r="E4613" s="26">
        <v>16.0</v>
      </c>
      <c r="F4613" s="26">
        <v>16.0</v>
      </c>
    </row>
    <row r="4614">
      <c r="A4614" s="26" t="s">
        <v>11994</v>
      </c>
      <c r="B4614" s="26" t="s">
        <v>1682</v>
      </c>
      <c r="C4614" s="26" t="s">
        <v>10389</v>
      </c>
      <c r="D4614" s="26">
        <v>1.0</v>
      </c>
      <c r="E4614" s="26">
        <v>31.0</v>
      </c>
      <c r="F4614" s="26">
        <v>31.0</v>
      </c>
    </row>
    <row r="4615">
      <c r="A4615" s="26" t="s">
        <v>11995</v>
      </c>
      <c r="B4615" s="26" t="s">
        <v>11996</v>
      </c>
      <c r="C4615" s="29" t="s">
        <v>10424</v>
      </c>
      <c r="D4615" s="26">
        <v>10.0</v>
      </c>
      <c r="E4615" s="26">
        <v>30.0</v>
      </c>
      <c r="F4615" s="26">
        <v>300.0</v>
      </c>
    </row>
    <row r="4616">
      <c r="A4616" s="26" t="s">
        <v>11998</v>
      </c>
      <c r="B4616" s="26">
        <v>12276.0</v>
      </c>
      <c r="C4616" s="26" t="s">
        <v>1239</v>
      </c>
      <c r="D4616" s="30">
        <v>1.0</v>
      </c>
      <c r="E4616" s="30">
        <v>288.01</v>
      </c>
      <c r="F4616" s="30">
        <v>288.01</v>
      </c>
    </row>
    <row r="4617">
      <c r="A4617" s="26" t="s">
        <v>12000</v>
      </c>
      <c r="B4617" s="26">
        <v>12277.0</v>
      </c>
      <c r="C4617" s="26" t="s">
        <v>1239</v>
      </c>
      <c r="D4617" s="30">
        <v>1.0</v>
      </c>
      <c r="E4617" s="30">
        <v>1156.51</v>
      </c>
      <c r="F4617" s="30">
        <v>1156.51</v>
      </c>
    </row>
    <row r="4618">
      <c r="A4618" s="26" t="s">
        <v>12002</v>
      </c>
      <c r="B4618" s="26">
        <v>12278.0</v>
      </c>
      <c r="C4618" s="26" t="s">
        <v>1239</v>
      </c>
      <c r="D4618" s="30">
        <v>1.0</v>
      </c>
      <c r="E4618" s="30">
        <v>3698.78</v>
      </c>
      <c r="F4618" s="30">
        <v>3698.78</v>
      </c>
    </row>
    <row r="4619">
      <c r="A4619" s="26" t="s">
        <v>12003</v>
      </c>
      <c r="B4619" s="26">
        <v>12279.0</v>
      </c>
      <c r="C4619" s="26" t="s">
        <v>1239</v>
      </c>
      <c r="D4619" s="30">
        <v>1.0</v>
      </c>
      <c r="E4619" s="30">
        <v>1583.25</v>
      </c>
      <c r="F4619" s="30">
        <v>1583.25</v>
      </c>
    </row>
    <row r="4620">
      <c r="A4620" s="26" t="s">
        <v>12004</v>
      </c>
      <c r="B4620" s="26" t="s">
        <v>12005</v>
      </c>
      <c r="C4620" s="26" t="s">
        <v>11907</v>
      </c>
      <c r="D4620" s="30">
        <v>1.0</v>
      </c>
      <c r="E4620" s="30">
        <v>105.0</v>
      </c>
      <c r="F4620" s="30">
        <v>105.0</v>
      </c>
    </row>
    <row r="4621">
      <c r="A4621" s="26" t="s">
        <v>12007</v>
      </c>
      <c r="B4621" s="26" t="s">
        <v>12008</v>
      </c>
      <c r="C4621" s="26" t="s">
        <v>12009</v>
      </c>
      <c r="D4621" s="26">
        <v>1.0</v>
      </c>
      <c r="E4621" s="26">
        <v>1756.79</v>
      </c>
      <c r="F4621" s="26">
        <v>1756.79</v>
      </c>
    </row>
    <row r="4622">
      <c r="A4622" s="26" t="s">
        <v>12012</v>
      </c>
      <c r="B4622" s="26" t="s">
        <v>12008</v>
      </c>
      <c r="C4622" s="26" t="s">
        <v>10261</v>
      </c>
      <c r="D4622" s="26">
        <v>1.0</v>
      </c>
      <c r="E4622" s="26">
        <v>147.32</v>
      </c>
      <c r="F4622" s="26">
        <v>147.32</v>
      </c>
    </row>
    <row r="4623">
      <c r="A4623" s="26" t="s">
        <v>12013</v>
      </c>
      <c r="B4623" s="26" t="s">
        <v>12014</v>
      </c>
      <c r="C4623" s="26" t="s">
        <v>12009</v>
      </c>
      <c r="D4623" s="26">
        <v>1.0</v>
      </c>
      <c r="E4623" s="26">
        <v>51.45</v>
      </c>
      <c r="F4623" s="26">
        <v>51.45</v>
      </c>
    </row>
    <row r="4624">
      <c r="A4624" s="26" t="s">
        <v>12015</v>
      </c>
      <c r="B4624" s="26" t="s">
        <v>12014</v>
      </c>
      <c r="C4624" s="26" t="s">
        <v>10261</v>
      </c>
      <c r="D4624" s="26">
        <v>1.0</v>
      </c>
      <c r="E4624" s="26">
        <v>4.37</v>
      </c>
      <c r="F4624" s="26">
        <v>4.37</v>
      </c>
    </row>
    <row r="4625">
      <c r="A4625" s="26" t="s">
        <v>12019</v>
      </c>
      <c r="B4625" s="26" t="s">
        <v>1711</v>
      </c>
      <c r="C4625" s="26" t="s">
        <v>12020</v>
      </c>
      <c r="D4625" s="26">
        <v>1.0</v>
      </c>
      <c r="E4625" s="26">
        <v>12.0</v>
      </c>
      <c r="F4625" s="26">
        <v>12.0</v>
      </c>
    </row>
    <row r="4626">
      <c r="A4626" s="26" t="s">
        <v>12024</v>
      </c>
      <c r="B4626" s="26" t="s">
        <v>12026</v>
      </c>
      <c r="C4626" s="26" t="s">
        <v>1387</v>
      </c>
      <c r="D4626" s="26">
        <v>1.0</v>
      </c>
      <c r="E4626" s="26">
        <v>48.0</v>
      </c>
      <c r="F4626" s="26">
        <v>48.0</v>
      </c>
    </row>
    <row r="4627">
      <c r="A4627" s="26" t="s">
        <v>12027</v>
      </c>
      <c r="B4627" s="26" t="s">
        <v>12026</v>
      </c>
      <c r="C4627" s="26" t="s">
        <v>1074</v>
      </c>
      <c r="D4627" s="26">
        <v>2.0</v>
      </c>
      <c r="E4627" s="26">
        <v>45.47</v>
      </c>
      <c r="F4627" s="26">
        <v>90.94</v>
      </c>
    </row>
    <row r="4628">
      <c r="A4628" s="26" t="s">
        <v>12031</v>
      </c>
      <c r="B4628" s="26" t="s">
        <v>12026</v>
      </c>
      <c r="C4628" s="26" t="s">
        <v>12032</v>
      </c>
      <c r="D4628" s="26">
        <v>2.0</v>
      </c>
      <c r="E4628" s="26">
        <v>22.74</v>
      </c>
      <c r="F4628" s="26">
        <v>45.48</v>
      </c>
    </row>
    <row r="4629">
      <c r="A4629" s="26" t="s">
        <v>12035</v>
      </c>
      <c r="B4629" s="26" t="s">
        <v>12026</v>
      </c>
      <c r="C4629" s="26" t="s">
        <v>1083</v>
      </c>
      <c r="D4629" s="26">
        <v>1.0</v>
      </c>
      <c r="E4629" s="26">
        <v>18.9</v>
      </c>
      <c r="F4629" s="26">
        <v>18.9</v>
      </c>
    </row>
    <row r="4630">
      <c r="A4630" s="26" t="s">
        <v>12036</v>
      </c>
      <c r="B4630" s="26" t="s">
        <v>12026</v>
      </c>
      <c r="C4630" s="26" t="s">
        <v>1404</v>
      </c>
      <c r="D4630" s="26">
        <v>1.0</v>
      </c>
      <c r="E4630" s="26">
        <v>20.28</v>
      </c>
      <c r="F4630" s="26">
        <v>20.28</v>
      </c>
    </row>
    <row r="4631">
      <c r="A4631" s="26" t="s">
        <v>12040</v>
      </c>
      <c r="B4631" s="26" t="s">
        <v>12026</v>
      </c>
      <c r="C4631" s="26" t="s">
        <v>1384</v>
      </c>
      <c r="D4631" s="26">
        <v>1.0</v>
      </c>
      <c r="E4631" s="26">
        <v>20.28</v>
      </c>
      <c r="F4631" s="26">
        <v>20.28</v>
      </c>
    </row>
    <row r="4632">
      <c r="A4632" s="26" t="s">
        <v>12044</v>
      </c>
      <c r="B4632" s="26" t="s">
        <v>12026</v>
      </c>
      <c r="C4632" s="29" t="s">
        <v>10459</v>
      </c>
      <c r="D4632" s="26">
        <v>1.0</v>
      </c>
      <c r="E4632" s="26">
        <v>20.28</v>
      </c>
      <c r="F4632" s="26">
        <v>20.28</v>
      </c>
    </row>
    <row r="4633">
      <c r="A4633" s="26" t="s">
        <v>12045</v>
      </c>
      <c r="B4633" s="26" t="s">
        <v>12026</v>
      </c>
      <c r="C4633" s="26" t="s">
        <v>1081</v>
      </c>
      <c r="D4633" s="26">
        <v>2.0</v>
      </c>
      <c r="E4633" s="26">
        <v>48.0</v>
      </c>
      <c r="F4633" s="26">
        <v>96.0</v>
      </c>
    </row>
    <row r="4634">
      <c r="A4634" s="26" t="s">
        <v>12049</v>
      </c>
      <c r="B4634" s="26" t="s">
        <v>12050</v>
      </c>
      <c r="C4634" s="26" t="s">
        <v>8458</v>
      </c>
      <c r="D4634" s="26">
        <v>1.0</v>
      </c>
      <c r="E4634" s="26">
        <v>7142.55</v>
      </c>
      <c r="F4634" s="26">
        <v>7142.55</v>
      </c>
    </row>
    <row r="4635">
      <c r="A4635" s="26" t="s">
        <v>12054</v>
      </c>
      <c r="B4635" s="26" t="s">
        <v>12050</v>
      </c>
      <c r="C4635" s="26" t="s">
        <v>10261</v>
      </c>
      <c r="D4635" s="26">
        <v>1.0</v>
      </c>
      <c r="E4635" s="26">
        <v>570.16</v>
      </c>
      <c r="F4635" s="26">
        <v>570.16</v>
      </c>
    </row>
    <row r="4636">
      <c r="A4636" s="26" t="s">
        <v>12055</v>
      </c>
      <c r="B4636" s="26" t="s">
        <v>12050</v>
      </c>
      <c r="C4636" s="26" t="s">
        <v>10350</v>
      </c>
      <c r="D4636" s="26">
        <v>1.0</v>
      </c>
      <c r="E4636" s="26">
        <v>83.55</v>
      </c>
      <c r="F4636" s="26">
        <v>83.55</v>
      </c>
    </row>
    <row r="4637">
      <c r="A4637" s="29" t="s">
        <v>12058</v>
      </c>
      <c r="B4637" s="26" t="s">
        <v>1727</v>
      </c>
      <c r="C4637" s="26" t="s">
        <v>12059</v>
      </c>
      <c r="D4637" s="26">
        <v>1.0</v>
      </c>
      <c r="E4637" s="26">
        <v>295.0</v>
      </c>
      <c r="F4637" s="26">
        <v>295.0</v>
      </c>
    </row>
    <row r="4638">
      <c r="A4638" s="26" t="s">
        <v>12062</v>
      </c>
      <c r="B4638" s="29" t="s">
        <v>1717</v>
      </c>
      <c r="C4638" s="26" t="s">
        <v>10293</v>
      </c>
      <c r="D4638" s="26">
        <v>1.0</v>
      </c>
      <c r="E4638" s="26">
        <v>6.49</v>
      </c>
      <c r="F4638" s="26">
        <v>6.49</v>
      </c>
    </row>
    <row r="4639">
      <c r="A4639" s="26" t="s">
        <v>12064</v>
      </c>
      <c r="B4639" s="29" t="s">
        <v>1717</v>
      </c>
      <c r="C4639" s="26" t="s">
        <v>247</v>
      </c>
      <c r="D4639" s="26">
        <v>1.0</v>
      </c>
      <c r="E4639" s="26">
        <v>1.09</v>
      </c>
      <c r="F4639" s="26">
        <v>1.09</v>
      </c>
    </row>
    <row r="4640">
      <c r="A4640" s="26" t="s">
        <v>12068</v>
      </c>
      <c r="B4640" s="29" t="s">
        <v>1717</v>
      </c>
      <c r="C4640" s="26" t="s">
        <v>10303</v>
      </c>
      <c r="D4640" s="26">
        <v>2.0</v>
      </c>
      <c r="E4640" s="26">
        <v>11.99</v>
      </c>
      <c r="F4640" s="26">
        <v>23.98</v>
      </c>
    </row>
    <row r="4641">
      <c r="A4641" s="26" t="s">
        <v>12071</v>
      </c>
      <c r="B4641" s="29" t="s">
        <v>1717</v>
      </c>
      <c r="C4641" s="26" t="s">
        <v>12072</v>
      </c>
      <c r="D4641" s="26">
        <v>1.0</v>
      </c>
      <c r="E4641" s="26">
        <v>11.98</v>
      </c>
      <c r="F4641" s="26">
        <v>11.98</v>
      </c>
    </row>
    <row r="4642">
      <c r="A4642" s="29" t="s">
        <v>12073</v>
      </c>
      <c r="B4642" s="29" t="s">
        <v>1717</v>
      </c>
      <c r="C4642" s="26" t="s">
        <v>10496</v>
      </c>
      <c r="D4642" s="26">
        <v>1.0</v>
      </c>
      <c r="E4642" s="26">
        <v>19.98</v>
      </c>
      <c r="F4642" s="26">
        <v>19.98</v>
      </c>
    </row>
    <row r="4643">
      <c r="A4643" s="26" t="s">
        <v>12076</v>
      </c>
      <c r="B4643" s="29" t="s">
        <v>1717</v>
      </c>
      <c r="C4643" s="26" t="s">
        <v>12077</v>
      </c>
      <c r="D4643" s="26">
        <v>1.0</v>
      </c>
      <c r="E4643" s="26">
        <v>2.79</v>
      </c>
      <c r="F4643" s="26">
        <v>2.79</v>
      </c>
    </row>
    <row r="4644">
      <c r="A4644" s="26" t="s">
        <v>12078</v>
      </c>
      <c r="B4644" s="29" t="s">
        <v>1717</v>
      </c>
      <c r="C4644" s="29" t="s">
        <v>12079</v>
      </c>
      <c r="D4644" s="26">
        <v>1.0</v>
      </c>
      <c r="E4644" s="26">
        <v>17.79</v>
      </c>
      <c r="F4644" s="26">
        <v>17.79</v>
      </c>
    </row>
    <row r="4645">
      <c r="A4645" s="26" t="s">
        <v>12080</v>
      </c>
      <c r="B4645" s="29" t="s">
        <v>1717</v>
      </c>
      <c r="C4645" s="26" t="s">
        <v>10305</v>
      </c>
      <c r="D4645" s="26">
        <v>1.0</v>
      </c>
      <c r="E4645" s="26">
        <v>7.99</v>
      </c>
      <c r="F4645" s="26">
        <v>7.99</v>
      </c>
    </row>
    <row r="4646">
      <c r="A4646" s="26" t="s">
        <v>12081</v>
      </c>
      <c r="B4646" s="29" t="s">
        <v>1717</v>
      </c>
      <c r="C4646" s="26" t="s">
        <v>10500</v>
      </c>
      <c r="D4646" s="26">
        <v>1.0</v>
      </c>
      <c r="E4646" s="26">
        <v>6.99</v>
      </c>
      <c r="F4646" s="26">
        <v>6.99</v>
      </c>
    </row>
    <row r="4647">
      <c r="A4647" s="26" t="s">
        <v>12082</v>
      </c>
      <c r="B4647" s="29" t="s">
        <v>1717</v>
      </c>
      <c r="C4647" s="26" t="s">
        <v>10491</v>
      </c>
      <c r="D4647" s="26">
        <v>0.64</v>
      </c>
      <c r="E4647" s="26">
        <v>13.99</v>
      </c>
      <c r="F4647" s="26">
        <v>8.95</v>
      </c>
    </row>
    <row r="4648">
      <c r="A4648" s="26" t="s">
        <v>12084</v>
      </c>
      <c r="B4648" s="26" t="s">
        <v>12085</v>
      </c>
      <c r="C4648" s="26" t="s">
        <v>226</v>
      </c>
      <c r="D4648" s="26">
        <v>2.0</v>
      </c>
      <c r="E4648" s="26">
        <v>9.5</v>
      </c>
      <c r="F4648" s="26">
        <v>19.0</v>
      </c>
    </row>
    <row r="4649">
      <c r="A4649" s="26" t="s">
        <v>12086</v>
      </c>
      <c r="B4649" s="26" t="s">
        <v>12085</v>
      </c>
      <c r="C4649" s="26" t="s">
        <v>230</v>
      </c>
      <c r="D4649" s="26">
        <v>5.2</v>
      </c>
      <c r="E4649" s="26">
        <v>25.0</v>
      </c>
      <c r="F4649" s="26">
        <v>130.0</v>
      </c>
    </row>
    <row r="4650">
      <c r="A4650" s="29" t="s">
        <v>12088</v>
      </c>
      <c r="B4650" s="26" t="s">
        <v>12085</v>
      </c>
      <c r="C4650" s="26" t="s">
        <v>155</v>
      </c>
      <c r="D4650" s="26">
        <v>1.0</v>
      </c>
      <c r="E4650" s="26">
        <v>9.5</v>
      </c>
      <c r="F4650" s="26">
        <v>9.5</v>
      </c>
    </row>
    <row r="4651">
      <c r="A4651" s="26" t="s">
        <v>12089</v>
      </c>
      <c r="B4651" s="26" t="s">
        <v>12085</v>
      </c>
      <c r="C4651" s="26" t="s">
        <v>159</v>
      </c>
      <c r="D4651" s="26">
        <v>6.0</v>
      </c>
      <c r="E4651" s="26">
        <v>12.9</v>
      </c>
      <c r="F4651" s="26">
        <v>77.4</v>
      </c>
    </row>
    <row r="4652">
      <c r="A4652" s="26" t="s">
        <v>12090</v>
      </c>
      <c r="B4652" s="26" t="s">
        <v>12091</v>
      </c>
      <c r="C4652" s="26" t="s">
        <v>8651</v>
      </c>
      <c r="D4652" s="30">
        <v>1.0</v>
      </c>
      <c r="E4652" s="30">
        <v>940.42</v>
      </c>
      <c r="F4652" s="30">
        <v>940.42</v>
      </c>
    </row>
    <row r="4653">
      <c r="A4653" s="26" t="s">
        <v>12092</v>
      </c>
      <c r="B4653" s="26" t="s">
        <v>12093</v>
      </c>
      <c r="C4653" s="26" t="s">
        <v>1517</v>
      </c>
      <c r="D4653" s="30">
        <v>1.0</v>
      </c>
      <c r="E4653" s="30">
        <v>388.36</v>
      </c>
      <c r="F4653" s="30">
        <v>388.36</v>
      </c>
    </row>
    <row r="4654">
      <c r="A4654" s="26" t="s">
        <v>12094</v>
      </c>
      <c r="B4654" s="26">
        <v>12291.0</v>
      </c>
      <c r="C4654" s="26" t="s">
        <v>1668</v>
      </c>
      <c r="D4654" s="30">
        <v>1.0</v>
      </c>
      <c r="E4654" s="30">
        <v>134.83</v>
      </c>
      <c r="F4654" s="30">
        <v>134.83</v>
      </c>
    </row>
    <row r="4655">
      <c r="A4655" s="26" t="s">
        <v>12095</v>
      </c>
      <c r="B4655" s="26">
        <v>12292.0</v>
      </c>
      <c r="C4655" s="26" t="s">
        <v>3218</v>
      </c>
      <c r="D4655" s="30">
        <v>1.0</v>
      </c>
      <c r="E4655" s="30">
        <v>9200.0</v>
      </c>
      <c r="F4655" s="30">
        <v>9200.0</v>
      </c>
    </row>
    <row r="4656">
      <c r="A4656" s="26" t="s">
        <v>12096</v>
      </c>
      <c r="B4656" s="26">
        <v>12293.0</v>
      </c>
      <c r="C4656" s="26" t="s">
        <v>8501</v>
      </c>
      <c r="D4656" s="30">
        <v>1.0</v>
      </c>
      <c r="E4656" s="30">
        <v>533.95</v>
      </c>
      <c r="F4656" s="30">
        <v>533.95</v>
      </c>
    </row>
    <row r="4657">
      <c r="A4657" s="26" t="s">
        <v>12097</v>
      </c>
      <c r="B4657" s="26">
        <v>1.17197623E8</v>
      </c>
      <c r="C4657" s="26" t="s">
        <v>1517</v>
      </c>
      <c r="D4657" s="30">
        <v>1.0</v>
      </c>
      <c r="E4657" s="30">
        <v>2037.46</v>
      </c>
      <c r="F4657" s="30">
        <v>2037.46</v>
      </c>
    </row>
    <row r="4658">
      <c r="A4658" s="26" t="s">
        <v>12098</v>
      </c>
      <c r="B4658" s="26" t="s">
        <v>12099</v>
      </c>
      <c r="C4658" s="26" t="s">
        <v>1517</v>
      </c>
      <c r="D4658" s="30">
        <v>1.0</v>
      </c>
      <c r="E4658" s="30">
        <v>441.84</v>
      </c>
      <c r="F4658" s="30">
        <v>441.84</v>
      </c>
    </row>
    <row r="4659">
      <c r="A4659" s="26" t="s">
        <v>12101</v>
      </c>
      <c r="B4659" s="26" t="s">
        <v>12102</v>
      </c>
      <c r="C4659" s="26" t="s">
        <v>1517</v>
      </c>
      <c r="D4659" s="30">
        <v>1.0</v>
      </c>
      <c r="E4659" s="30">
        <v>1765.23</v>
      </c>
      <c r="F4659" s="30">
        <v>1765.23</v>
      </c>
    </row>
    <row r="4660">
      <c r="A4660" s="26" t="s">
        <v>12103</v>
      </c>
      <c r="B4660" s="26" t="s">
        <v>12104</v>
      </c>
      <c r="C4660" s="26" t="s">
        <v>1517</v>
      </c>
      <c r="D4660" s="30">
        <v>1.0</v>
      </c>
      <c r="E4660" s="30">
        <v>55.82</v>
      </c>
      <c r="F4660" s="30">
        <v>55.82</v>
      </c>
    </row>
    <row r="4661">
      <c r="A4661" s="26" t="s">
        <v>12106</v>
      </c>
      <c r="B4661" s="26">
        <v>12303.0</v>
      </c>
      <c r="C4661" s="26" t="s">
        <v>873</v>
      </c>
      <c r="D4661" s="30">
        <v>1.0</v>
      </c>
      <c r="E4661" s="30">
        <v>0.0</v>
      </c>
      <c r="F4661" s="30">
        <v>0.0</v>
      </c>
    </row>
    <row r="4662">
      <c r="A4662" s="26" t="s">
        <v>12108</v>
      </c>
      <c r="B4662" s="26" t="s">
        <v>12109</v>
      </c>
      <c r="C4662" s="26" t="s">
        <v>12009</v>
      </c>
      <c r="D4662" s="30">
        <v>1.0</v>
      </c>
      <c r="E4662" s="30">
        <v>12.11</v>
      </c>
      <c r="F4662" s="30">
        <v>12.11</v>
      </c>
    </row>
    <row r="4663">
      <c r="A4663" s="26" t="s">
        <v>12110</v>
      </c>
      <c r="B4663" s="26" t="s">
        <v>12111</v>
      </c>
      <c r="C4663" s="26" t="s">
        <v>12113</v>
      </c>
      <c r="D4663" s="26">
        <v>4.0</v>
      </c>
      <c r="E4663" s="26">
        <v>16.0</v>
      </c>
      <c r="F4663" s="26">
        <v>64.0</v>
      </c>
    </row>
    <row r="4664">
      <c r="A4664" s="26" t="s">
        <v>12114</v>
      </c>
      <c r="B4664" s="26" t="s">
        <v>12115</v>
      </c>
      <c r="C4664" s="26" t="s">
        <v>247</v>
      </c>
      <c r="D4664" s="26">
        <v>7.0</v>
      </c>
      <c r="E4664" s="26">
        <v>0.99</v>
      </c>
      <c r="F4664" s="26">
        <v>6.93</v>
      </c>
    </row>
    <row r="4665">
      <c r="A4665" s="26" t="s">
        <v>12117</v>
      </c>
      <c r="B4665" s="26" t="s">
        <v>12118</v>
      </c>
      <c r="C4665" s="26" t="s">
        <v>10309</v>
      </c>
      <c r="D4665" s="26">
        <v>1.0</v>
      </c>
      <c r="E4665" s="26">
        <v>7.99</v>
      </c>
      <c r="F4665" s="26">
        <v>7.99</v>
      </c>
    </row>
    <row r="4666">
      <c r="A4666" s="26" t="s">
        <v>12121</v>
      </c>
      <c r="B4666" s="26" t="s">
        <v>12122</v>
      </c>
      <c r="C4666" s="29" t="s">
        <v>10424</v>
      </c>
      <c r="D4666" s="26">
        <v>9.0</v>
      </c>
      <c r="E4666" s="26">
        <v>30.0</v>
      </c>
      <c r="F4666" s="26">
        <v>270.0</v>
      </c>
    </row>
    <row r="4667">
      <c r="A4667" s="26" t="s">
        <v>12123</v>
      </c>
      <c r="B4667" s="26" t="s">
        <v>12124</v>
      </c>
      <c r="C4667" s="26" t="s">
        <v>12126</v>
      </c>
      <c r="D4667" s="26">
        <v>1.78</v>
      </c>
      <c r="E4667" s="26">
        <v>3.69</v>
      </c>
      <c r="F4667" s="26">
        <v>6.57</v>
      </c>
    </row>
    <row r="4668">
      <c r="A4668" s="26" t="s">
        <v>12128</v>
      </c>
      <c r="B4668" s="26" t="s">
        <v>12129</v>
      </c>
      <c r="C4668" s="26" t="s">
        <v>12009</v>
      </c>
      <c r="D4668" s="26">
        <v>1.0</v>
      </c>
      <c r="E4668" s="26">
        <v>1877.84</v>
      </c>
      <c r="F4668" s="26">
        <v>1877.84</v>
      </c>
    </row>
    <row r="4669">
      <c r="A4669" s="26" t="s">
        <v>12132</v>
      </c>
      <c r="B4669" s="26" t="s">
        <v>12129</v>
      </c>
      <c r="C4669" s="26" t="s">
        <v>10261</v>
      </c>
      <c r="D4669" s="26">
        <v>1.0</v>
      </c>
      <c r="E4669" s="26">
        <v>159.62</v>
      </c>
      <c r="F4669" s="26">
        <v>159.62</v>
      </c>
    </row>
    <row r="4670">
      <c r="A4670" s="26" t="s">
        <v>12134</v>
      </c>
      <c r="B4670" s="26" t="s">
        <v>12135</v>
      </c>
      <c r="C4670" s="26" t="s">
        <v>10491</v>
      </c>
      <c r="D4670" s="26">
        <v>0.475</v>
      </c>
      <c r="E4670" s="26">
        <v>14.99</v>
      </c>
      <c r="F4670" s="26">
        <v>7.12</v>
      </c>
    </row>
    <row r="4671">
      <c r="A4671" s="26" t="s">
        <v>12136</v>
      </c>
      <c r="B4671" s="26" t="s">
        <v>12135</v>
      </c>
      <c r="C4671" s="26" t="s">
        <v>10293</v>
      </c>
      <c r="D4671" s="26">
        <v>2.0</v>
      </c>
      <c r="E4671" s="26">
        <v>7.99</v>
      </c>
      <c r="F4671" s="26">
        <v>15.98</v>
      </c>
    </row>
    <row r="4672">
      <c r="A4672" s="26" t="s">
        <v>12137</v>
      </c>
      <c r="B4672" s="26" t="s">
        <v>12135</v>
      </c>
      <c r="C4672" s="26" t="s">
        <v>10305</v>
      </c>
      <c r="D4672" s="26">
        <v>1.0</v>
      </c>
      <c r="E4672" s="26">
        <v>9.98</v>
      </c>
      <c r="F4672" s="26">
        <v>9.98</v>
      </c>
    </row>
    <row r="4673">
      <c r="A4673" s="26" t="s">
        <v>12138</v>
      </c>
      <c r="B4673" s="26" t="s">
        <v>12135</v>
      </c>
      <c r="C4673" s="26" t="s">
        <v>10303</v>
      </c>
      <c r="D4673" s="26">
        <v>1.0</v>
      </c>
      <c r="E4673" s="26">
        <v>16.99</v>
      </c>
      <c r="F4673" s="26">
        <v>16.99</v>
      </c>
    </row>
    <row r="4674">
      <c r="A4674" s="26" t="s">
        <v>12139</v>
      </c>
      <c r="B4674" s="26" t="s">
        <v>12135</v>
      </c>
      <c r="C4674" s="26" t="s">
        <v>10500</v>
      </c>
      <c r="D4674" s="26">
        <v>1.0</v>
      </c>
      <c r="E4674" s="26">
        <v>7.99</v>
      </c>
      <c r="F4674" s="26">
        <v>7.99</v>
      </c>
    </row>
    <row r="4675">
      <c r="A4675" s="26" t="s">
        <v>12143</v>
      </c>
      <c r="B4675" s="26" t="s">
        <v>12144</v>
      </c>
      <c r="C4675" s="29" t="s">
        <v>12145</v>
      </c>
      <c r="D4675" s="26">
        <v>1.0</v>
      </c>
      <c r="E4675" s="26">
        <v>10.0</v>
      </c>
      <c r="F4675" s="26">
        <v>10.0</v>
      </c>
    </row>
    <row r="4676">
      <c r="A4676" s="26" t="s">
        <v>12148</v>
      </c>
      <c r="B4676" s="26" t="s">
        <v>12144</v>
      </c>
      <c r="C4676" s="26" t="s">
        <v>1725</v>
      </c>
      <c r="D4676" s="26">
        <v>1.0</v>
      </c>
      <c r="E4676" s="26">
        <v>30.0</v>
      </c>
      <c r="F4676" s="26">
        <v>30.0</v>
      </c>
    </row>
    <row r="4677">
      <c r="A4677" s="26" t="s">
        <v>12150</v>
      </c>
      <c r="B4677" s="26" t="s">
        <v>12144</v>
      </c>
      <c r="C4677" s="26" t="s">
        <v>1725</v>
      </c>
      <c r="D4677" s="26">
        <v>1.0</v>
      </c>
      <c r="E4677" s="26">
        <v>25.0</v>
      </c>
      <c r="F4677" s="26">
        <v>25.0</v>
      </c>
    </row>
    <row r="4678">
      <c r="A4678" s="26" t="s">
        <v>12153</v>
      </c>
      <c r="B4678" s="26" t="s">
        <v>12154</v>
      </c>
      <c r="C4678" s="29" t="s">
        <v>10424</v>
      </c>
      <c r="D4678" s="26">
        <v>7.0</v>
      </c>
      <c r="E4678" s="26">
        <v>30.0</v>
      </c>
      <c r="F4678" s="26">
        <v>210.0</v>
      </c>
    </row>
    <row r="4679">
      <c r="A4679" s="29" t="s">
        <v>12157</v>
      </c>
      <c r="B4679" s="26" t="s">
        <v>12158</v>
      </c>
      <c r="C4679" s="26" t="s">
        <v>226</v>
      </c>
      <c r="D4679" s="26">
        <v>2.0</v>
      </c>
      <c r="E4679" s="26">
        <v>10.0</v>
      </c>
      <c r="F4679" s="26">
        <v>20.0</v>
      </c>
    </row>
    <row r="4680">
      <c r="A4680" s="26" t="s">
        <v>12159</v>
      </c>
      <c r="B4680" s="26" t="s">
        <v>12158</v>
      </c>
      <c r="C4680" s="26" t="s">
        <v>12126</v>
      </c>
      <c r="D4680" s="26">
        <v>1.71</v>
      </c>
      <c r="E4680" s="26">
        <v>3.49</v>
      </c>
      <c r="F4680" s="26">
        <v>5.97</v>
      </c>
    </row>
    <row r="4681">
      <c r="A4681" s="26" t="s">
        <v>12160</v>
      </c>
      <c r="B4681" s="26" t="s">
        <v>12158</v>
      </c>
      <c r="C4681" s="26" t="s">
        <v>230</v>
      </c>
      <c r="D4681" s="26">
        <v>5.4</v>
      </c>
      <c r="E4681" s="26">
        <v>27.0</v>
      </c>
      <c r="F4681" s="26">
        <v>145.8</v>
      </c>
    </row>
    <row r="4682">
      <c r="A4682" s="26" t="s">
        <v>12163</v>
      </c>
      <c r="B4682" s="26" t="s">
        <v>12158</v>
      </c>
      <c r="C4682" s="26" t="s">
        <v>155</v>
      </c>
      <c r="D4682" s="26">
        <v>2.045</v>
      </c>
      <c r="E4682" s="26">
        <v>9.0</v>
      </c>
      <c r="F4682" s="26">
        <v>18.41</v>
      </c>
    </row>
    <row r="4683">
      <c r="A4683" s="26" t="s">
        <v>12166</v>
      </c>
      <c r="B4683" s="26" t="s">
        <v>12158</v>
      </c>
      <c r="C4683" s="26" t="s">
        <v>159</v>
      </c>
      <c r="D4683" s="26">
        <v>8.0</v>
      </c>
      <c r="E4683" s="26">
        <v>13.5</v>
      </c>
      <c r="F4683" s="26">
        <v>108.0</v>
      </c>
    </row>
    <row r="4684">
      <c r="A4684" s="26" t="s">
        <v>12167</v>
      </c>
      <c r="B4684" s="26">
        <v>12314.0</v>
      </c>
      <c r="C4684" s="26" t="s">
        <v>9257</v>
      </c>
      <c r="D4684" s="30">
        <v>1.0</v>
      </c>
      <c r="E4684" s="30">
        <v>863.65</v>
      </c>
      <c r="F4684" s="30">
        <v>863.65</v>
      </c>
    </row>
    <row r="4685">
      <c r="A4685" s="26" t="s">
        <v>12170</v>
      </c>
      <c r="B4685" s="26">
        <v>12294.0</v>
      </c>
      <c r="C4685" s="26" t="s">
        <v>873</v>
      </c>
      <c r="D4685" s="30">
        <v>1.0</v>
      </c>
      <c r="E4685" s="30">
        <v>0.0</v>
      </c>
      <c r="F4685" s="30">
        <v>0.0</v>
      </c>
    </row>
    <row r="4686">
      <c r="A4686" s="26" t="s">
        <v>12172</v>
      </c>
      <c r="B4686" s="26">
        <v>12295.0</v>
      </c>
      <c r="C4686" s="26" t="s">
        <v>8792</v>
      </c>
      <c r="D4686" s="30">
        <v>1.0</v>
      </c>
      <c r="E4686" s="30">
        <v>4521.0</v>
      </c>
      <c r="F4686" s="30">
        <v>4521.0</v>
      </c>
    </row>
    <row r="4687">
      <c r="A4687" s="26" t="s">
        <v>12175</v>
      </c>
      <c r="B4687" s="26" t="s">
        <v>12176</v>
      </c>
      <c r="C4687" s="26" t="s">
        <v>8458</v>
      </c>
      <c r="D4687" s="30">
        <v>1.0</v>
      </c>
      <c r="E4687" s="30">
        <v>7361.43</v>
      </c>
      <c r="F4687" s="30">
        <v>7361.43</v>
      </c>
    </row>
    <row r="4688">
      <c r="A4688" s="26" t="s">
        <v>12177</v>
      </c>
      <c r="B4688" s="26" t="s">
        <v>12179</v>
      </c>
      <c r="C4688" s="26" t="s">
        <v>8458</v>
      </c>
      <c r="D4688" s="30">
        <v>1.0</v>
      </c>
      <c r="E4688" s="30">
        <v>1680.6</v>
      </c>
      <c r="F4688" s="30">
        <v>1680.6</v>
      </c>
    </row>
    <row r="4689">
      <c r="A4689" s="26" t="s">
        <v>12181</v>
      </c>
      <c r="B4689" s="26">
        <v>12308.0</v>
      </c>
      <c r="C4689" s="26" t="s">
        <v>6956</v>
      </c>
      <c r="D4689" s="30">
        <v>1.0</v>
      </c>
      <c r="E4689" s="30">
        <v>1148.0</v>
      </c>
      <c r="F4689" s="30">
        <v>1148.0</v>
      </c>
    </row>
    <row r="4690">
      <c r="A4690" s="26" t="s">
        <v>12182</v>
      </c>
      <c r="B4690" s="26">
        <v>12309.0</v>
      </c>
      <c r="C4690" s="26" t="s">
        <v>7344</v>
      </c>
      <c r="D4690" s="30">
        <v>1.0</v>
      </c>
      <c r="E4690" s="30">
        <v>1110.0</v>
      </c>
      <c r="F4690" s="30">
        <v>1110.0</v>
      </c>
    </row>
    <row r="4691">
      <c r="A4691" s="26" t="s">
        <v>12186</v>
      </c>
      <c r="B4691" s="26">
        <v>12310.0</v>
      </c>
      <c r="C4691" s="26" t="s">
        <v>8603</v>
      </c>
      <c r="D4691" s="30">
        <v>1.0</v>
      </c>
      <c r="E4691" s="30">
        <v>181.37</v>
      </c>
      <c r="F4691" s="30">
        <v>181.37</v>
      </c>
    </row>
    <row r="4692">
      <c r="A4692" s="26" t="s">
        <v>12187</v>
      </c>
      <c r="B4692" s="26">
        <v>12311.0</v>
      </c>
      <c r="C4692" s="10"/>
      <c r="D4692" s="30">
        <v>1.0</v>
      </c>
      <c r="E4692" s="30">
        <v>916.44</v>
      </c>
      <c r="F4692" s="30">
        <v>916.44</v>
      </c>
    </row>
    <row r="4693">
      <c r="A4693" s="26" t="s">
        <v>12188</v>
      </c>
      <c r="B4693" s="26">
        <v>12312.0</v>
      </c>
      <c r="C4693" s="26" t="s">
        <v>3218</v>
      </c>
      <c r="D4693" s="30">
        <v>1.0</v>
      </c>
      <c r="E4693" s="30">
        <v>185.0</v>
      </c>
      <c r="F4693" s="30">
        <v>185.0</v>
      </c>
    </row>
    <row r="4694">
      <c r="A4694" s="26" t="s">
        <v>12195</v>
      </c>
      <c r="B4694" s="26">
        <v>12313.0</v>
      </c>
      <c r="C4694" s="26" t="s">
        <v>4831</v>
      </c>
      <c r="D4694" s="30">
        <v>1.0</v>
      </c>
      <c r="E4694" s="30">
        <v>396.0</v>
      </c>
      <c r="F4694" s="30">
        <v>396.0</v>
      </c>
    </row>
    <row r="4695">
      <c r="A4695" s="26" t="s">
        <v>12198</v>
      </c>
      <c r="B4695" s="26" t="s">
        <v>1967</v>
      </c>
      <c r="C4695" s="26" t="s">
        <v>11948</v>
      </c>
      <c r="D4695" s="26">
        <v>1.0</v>
      </c>
      <c r="E4695" s="26">
        <v>28.39</v>
      </c>
      <c r="F4695" s="26">
        <v>28.39</v>
      </c>
    </row>
    <row r="4696">
      <c r="A4696" s="26" t="s">
        <v>12199</v>
      </c>
      <c r="B4696" s="26" t="s">
        <v>12201</v>
      </c>
      <c r="C4696" s="26" t="s">
        <v>1552</v>
      </c>
      <c r="D4696" s="26">
        <v>1.0</v>
      </c>
      <c r="E4696" s="26">
        <v>870.0</v>
      </c>
      <c r="F4696" s="26">
        <v>870.0</v>
      </c>
    </row>
    <row r="4697">
      <c r="A4697" s="26" t="s">
        <v>12205</v>
      </c>
      <c r="B4697" s="26" t="s">
        <v>12206</v>
      </c>
      <c r="C4697" s="26" t="s">
        <v>9706</v>
      </c>
      <c r="D4697" s="30">
        <v>1.0</v>
      </c>
      <c r="E4697" s="30">
        <v>51.68</v>
      </c>
      <c r="F4697" s="30">
        <v>51.68</v>
      </c>
    </row>
    <row r="4698">
      <c r="A4698" s="26" t="s">
        <v>12207</v>
      </c>
      <c r="B4698" s="26" t="s">
        <v>12209</v>
      </c>
      <c r="C4698" s="26" t="s">
        <v>1168</v>
      </c>
      <c r="D4698" s="30">
        <v>1.0</v>
      </c>
      <c r="E4698" s="30">
        <v>500.0</v>
      </c>
      <c r="F4698" s="30">
        <v>500.0</v>
      </c>
    </row>
    <row r="4699">
      <c r="A4699" s="26" t="s">
        <v>12210</v>
      </c>
      <c r="B4699" s="26" t="s">
        <v>12211</v>
      </c>
      <c r="C4699" s="26" t="s">
        <v>1168</v>
      </c>
      <c r="D4699" s="30">
        <v>1.0</v>
      </c>
      <c r="E4699" s="30">
        <v>500.0</v>
      </c>
      <c r="F4699" s="30">
        <v>500.0</v>
      </c>
    </row>
    <row r="4700">
      <c r="A4700" s="26" t="s">
        <v>12213</v>
      </c>
      <c r="B4700" s="26" t="s">
        <v>12214</v>
      </c>
      <c r="C4700" s="26" t="s">
        <v>1168</v>
      </c>
      <c r="D4700" s="30">
        <v>1.0</v>
      </c>
      <c r="E4700" s="30">
        <v>500.0</v>
      </c>
      <c r="F4700" s="30">
        <v>500.0</v>
      </c>
    </row>
    <row r="4701">
      <c r="A4701" s="26" t="s">
        <v>12215</v>
      </c>
      <c r="B4701" s="26" t="s">
        <v>12216</v>
      </c>
      <c r="C4701" s="26" t="s">
        <v>1168</v>
      </c>
      <c r="D4701" s="30">
        <v>1.0</v>
      </c>
      <c r="E4701" s="30">
        <v>500.0</v>
      </c>
      <c r="F4701" s="30">
        <v>500.0</v>
      </c>
    </row>
    <row r="4702">
      <c r="A4702" s="26" t="s">
        <v>12217</v>
      </c>
      <c r="B4702" s="26" t="s">
        <v>12218</v>
      </c>
      <c r="C4702" s="29" t="s">
        <v>10424</v>
      </c>
      <c r="D4702" s="26">
        <v>0.0</v>
      </c>
      <c r="E4702" s="26">
        <v>0.0</v>
      </c>
      <c r="F4702" s="26">
        <v>0.0</v>
      </c>
    </row>
    <row r="4703">
      <c r="A4703" s="26" t="s">
        <v>12219</v>
      </c>
      <c r="B4703" s="26" t="s">
        <v>12220</v>
      </c>
      <c r="C4703" s="26" t="s">
        <v>12221</v>
      </c>
      <c r="D4703" s="26">
        <v>1.0</v>
      </c>
      <c r="E4703" s="26">
        <v>64.0</v>
      </c>
      <c r="F4703" s="26">
        <v>64.0</v>
      </c>
    </row>
    <row r="4704">
      <c r="A4704" s="26" t="s">
        <v>12222</v>
      </c>
      <c r="B4704" s="26" t="s">
        <v>12220</v>
      </c>
      <c r="C4704" s="26" t="s">
        <v>12223</v>
      </c>
      <c r="D4704" s="26">
        <v>1.0</v>
      </c>
      <c r="E4704" s="26">
        <v>51.2</v>
      </c>
      <c r="F4704" s="26">
        <v>51.2</v>
      </c>
    </row>
    <row r="4705">
      <c r="A4705" s="26" t="s">
        <v>12224</v>
      </c>
      <c r="B4705" s="26" t="s">
        <v>12218</v>
      </c>
      <c r="C4705" s="29" t="s">
        <v>10424</v>
      </c>
      <c r="D4705" s="26">
        <v>6.0</v>
      </c>
      <c r="E4705" s="26">
        <v>30.0</v>
      </c>
      <c r="F4705" s="26">
        <v>180.0</v>
      </c>
    </row>
    <row r="4706">
      <c r="A4706" s="26" t="s">
        <v>12225</v>
      </c>
      <c r="B4706" s="26" t="s">
        <v>12220</v>
      </c>
      <c r="C4706" s="26" t="s">
        <v>1074</v>
      </c>
      <c r="D4706" s="26">
        <v>3.0</v>
      </c>
      <c r="E4706" s="26">
        <v>42.6</v>
      </c>
      <c r="F4706" s="26">
        <v>127.8</v>
      </c>
    </row>
    <row r="4707">
      <c r="A4707" s="26" t="s">
        <v>12226</v>
      </c>
      <c r="B4707" s="26" t="s">
        <v>12220</v>
      </c>
      <c r="C4707" s="26" t="s">
        <v>12032</v>
      </c>
      <c r="D4707" s="26">
        <v>4.0</v>
      </c>
      <c r="E4707" s="26">
        <v>21.3</v>
      </c>
      <c r="F4707" s="26">
        <v>85.2</v>
      </c>
    </row>
    <row r="4708">
      <c r="A4708" s="26" t="s">
        <v>12227</v>
      </c>
      <c r="B4708" s="26" t="s">
        <v>12220</v>
      </c>
      <c r="C4708" s="29" t="s">
        <v>10459</v>
      </c>
      <c r="D4708" s="26">
        <v>1.0</v>
      </c>
      <c r="E4708" s="26">
        <v>19.8</v>
      </c>
      <c r="F4708" s="26">
        <v>19.8</v>
      </c>
    </row>
    <row r="4709">
      <c r="A4709" s="26" t="s">
        <v>12229</v>
      </c>
      <c r="B4709" s="26" t="s">
        <v>12220</v>
      </c>
      <c r="C4709" s="26" t="s">
        <v>1085</v>
      </c>
      <c r="D4709" s="26">
        <v>2.0</v>
      </c>
      <c r="E4709" s="26">
        <v>40.2</v>
      </c>
      <c r="F4709" s="26">
        <v>80.4</v>
      </c>
    </row>
    <row r="4710">
      <c r="A4710" s="26" t="s">
        <v>12232</v>
      </c>
      <c r="B4710" s="26" t="s">
        <v>12220</v>
      </c>
      <c r="C4710" s="26" t="s">
        <v>1080</v>
      </c>
      <c r="D4710" s="26">
        <v>10.0</v>
      </c>
      <c r="E4710" s="26">
        <v>17.8</v>
      </c>
      <c r="F4710" s="26">
        <v>178.0</v>
      </c>
    </row>
    <row r="4711">
      <c r="A4711" s="26" t="s">
        <v>12237</v>
      </c>
      <c r="B4711" s="26" t="s">
        <v>12220</v>
      </c>
      <c r="C4711" s="26" t="s">
        <v>1079</v>
      </c>
      <c r="D4711" s="26">
        <v>15.0</v>
      </c>
      <c r="E4711" s="26">
        <v>16.9</v>
      </c>
      <c r="F4711" s="26">
        <v>253.5</v>
      </c>
    </row>
    <row r="4712">
      <c r="A4712" s="26" t="s">
        <v>12239</v>
      </c>
      <c r="B4712" s="26" t="s">
        <v>12220</v>
      </c>
      <c r="C4712" s="26" t="s">
        <v>1077</v>
      </c>
      <c r="D4712" s="26">
        <v>3.0</v>
      </c>
      <c r="E4712" s="26">
        <v>25.8</v>
      </c>
      <c r="F4712" s="26">
        <v>77.4</v>
      </c>
    </row>
    <row r="4713">
      <c r="A4713" s="26" t="s">
        <v>12242</v>
      </c>
      <c r="B4713" s="26" t="s">
        <v>12220</v>
      </c>
      <c r="C4713" s="26" t="s">
        <v>1081</v>
      </c>
      <c r="D4713" s="26">
        <v>10.0</v>
      </c>
      <c r="E4713" s="26">
        <v>45.5</v>
      </c>
      <c r="F4713" s="26">
        <v>455.0</v>
      </c>
    </row>
    <row r="4714">
      <c r="A4714" s="26" t="s">
        <v>12246</v>
      </c>
      <c r="B4714" s="26" t="s">
        <v>12248</v>
      </c>
      <c r="C4714" s="26" t="s">
        <v>8458</v>
      </c>
      <c r="D4714" s="26">
        <v>1.0</v>
      </c>
      <c r="E4714" s="26">
        <v>6630.0</v>
      </c>
      <c r="F4714" s="26">
        <v>6630.0</v>
      </c>
    </row>
    <row r="4715">
      <c r="A4715" s="29" t="s">
        <v>12250</v>
      </c>
      <c r="B4715" s="26" t="s">
        <v>12248</v>
      </c>
      <c r="C4715" s="26" t="s">
        <v>10350</v>
      </c>
      <c r="D4715" s="26">
        <v>1.0</v>
      </c>
      <c r="E4715" s="26">
        <v>98.9</v>
      </c>
      <c r="F4715" s="26">
        <v>98.9</v>
      </c>
    </row>
    <row r="4716">
      <c r="A4716" s="26" t="s">
        <v>12253</v>
      </c>
      <c r="B4716" s="26" t="s">
        <v>12254</v>
      </c>
      <c r="C4716" s="26" t="s">
        <v>226</v>
      </c>
      <c r="D4716" s="26">
        <v>2.0</v>
      </c>
      <c r="E4716" s="26">
        <v>9.5</v>
      </c>
      <c r="F4716" s="26">
        <v>19.0</v>
      </c>
    </row>
    <row r="4717">
      <c r="A4717" s="26" t="s">
        <v>12259</v>
      </c>
      <c r="B4717" s="26" t="s">
        <v>12254</v>
      </c>
      <c r="C4717" s="26" t="s">
        <v>12126</v>
      </c>
      <c r="D4717" s="26">
        <v>2.3</v>
      </c>
      <c r="E4717" s="26">
        <v>4.9</v>
      </c>
      <c r="F4717" s="26">
        <v>11.27</v>
      </c>
    </row>
    <row r="4718">
      <c r="A4718" s="26" t="s">
        <v>12262</v>
      </c>
      <c r="B4718" s="26" t="s">
        <v>12254</v>
      </c>
      <c r="C4718" s="26" t="s">
        <v>230</v>
      </c>
      <c r="D4718" s="26">
        <v>7.75</v>
      </c>
      <c r="E4718" s="26">
        <v>26.0</v>
      </c>
      <c r="F4718" s="26">
        <v>201.5</v>
      </c>
    </row>
    <row r="4719">
      <c r="A4719" s="26" t="s">
        <v>12263</v>
      </c>
      <c r="B4719" s="26" t="s">
        <v>12254</v>
      </c>
      <c r="C4719" s="26" t="s">
        <v>155</v>
      </c>
      <c r="D4719" s="26">
        <v>2.25</v>
      </c>
      <c r="E4719" s="26">
        <v>9.0</v>
      </c>
      <c r="F4719" s="26">
        <v>20.25</v>
      </c>
    </row>
    <row r="4720">
      <c r="A4720" s="26" t="s">
        <v>12266</v>
      </c>
      <c r="B4720" s="26" t="s">
        <v>12254</v>
      </c>
      <c r="C4720" s="26" t="s">
        <v>159</v>
      </c>
      <c r="D4720" s="26">
        <v>12.0</v>
      </c>
      <c r="E4720" s="26">
        <v>13.0</v>
      </c>
      <c r="F4720" s="26">
        <v>156.0</v>
      </c>
    </row>
    <row r="4721">
      <c r="A4721" s="26" t="s">
        <v>12269</v>
      </c>
      <c r="B4721" s="26" t="s">
        <v>2048</v>
      </c>
      <c r="C4721" s="26" t="s">
        <v>10293</v>
      </c>
      <c r="D4721" s="26">
        <v>2.0</v>
      </c>
      <c r="E4721" s="26">
        <v>5.49</v>
      </c>
      <c r="F4721" s="26">
        <v>10.98</v>
      </c>
    </row>
    <row r="4722">
      <c r="A4722" s="26" t="s">
        <v>12272</v>
      </c>
      <c r="B4722" s="26" t="s">
        <v>2048</v>
      </c>
      <c r="C4722" s="26" t="s">
        <v>10491</v>
      </c>
      <c r="D4722" s="26">
        <v>0.558</v>
      </c>
      <c r="E4722" s="26">
        <v>7.99</v>
      </c>
      <c r="F4722" s="26">
        <v>4.46</v>
      </c>
    </row>
    <row r="4723">
      <c r="A4723" s="26" t="s">
        <v>12274</v>
      </c>
      <c r="B4723" s="26" t="s">
        <v>2048</v>
      </c>
      <c r="C4723" s="26" t="s">
        <v>11468</v>
      </c>
      <c r="D4723" s="26">
        <v>1.0</v>
      </c>
      <c r="E4723" s="26">
        <v>23.9</v>
      </c>
      <c r="F4723" s="26">
        <v>23.9</v>
      </c>
    </row>
    <row r="4724">
      <c r="A4724" s="26" t="s">
        <v>12279</v>
      </c>
      <c r="B4724" s="26" t="s">
        <v>2048</v>
      </c>
      <c r="C4724" s="26" t="s">
        <v>10303</v>
      </c>
      <c r="D4724" s="26">
        <v>2.0</v>
      </c>
      <c r="E4724" s="26">
        <v>13.99</v>
      </c>
      <c r="F4724" s="26">
        <v>27.98</v>
      </c>
    </row>
    <row r="4725">
      <c r="A4725" s="26" t="s">
        <v>12283</v>
      </c>
      <c r="B4725" s="26" t="s">
        <v>2048</v>
      </c>
      <c r="C4725" s="26" t="s">
        <v>10500</v>
      </c>
      <c r="D4725" s="26">
        <v>1.0</v>
      </c>
      <c r="E4725" s="26">
        <v>6.49</v>
      </c>
      <c r="F4725" s="26">
        <v>6.49</v>
      </c>
    </row>
    <row r="4726">
      <c r="A4726" s="26" t="s">
        <v>12285</v>
      </c>
      <c r="B4726" s="26" t="s">
        <v>2048</v>
      </c>
      <c r="C4726" s="26" t="s">
        <v>10305</v>
      </c>
      <c r="D4726" s="26">
        <v>2.0</v>
      </c>
      <c r="E4726" s="26">
        <v>6.99</v>
      </c>
      <c r="F4726" s="26">
        <v>13.98</v>
      </c>
    </row>
    <row r="4727">
      <c r="A4727" s="26" t="s">
        <v>12289</v>
      </c>
      <c r="B4727" s="26" t="s">
        <v>2048</v>
      </c>
      <c r="C4727" s="26" t="s">
        <v>688</v>
      </c>
      <c r="D4727" s="26">
        <v>1.0</v>
      </c>
      <c r="E4727" s="26">
        <v>3.99</v>
      </c>
      <c r="F4727" s="26">
        <v>3.99</v>
      </c>
    </row>
    <row r="4728">
      <c r="A4728" s="26" t="s">
        <v>12292</v>
      </c>
      <c r="B4728" s="26" t="s">
        <v>2048</v>
      </c>
      <c r="C4728" s="26" t="s">
        <v>12072</v>
      </c>
      <c r="D4728" s="26">
        <v>1.0</v>
      </c>
      <c r="E4728" s="26">
        <v>8.49</v>
      </c>
      <c r="F4728" s="26">
        <v>8.49</v>
      </c>
    </row>
    <row r="4729">
      <c r="A4729" s="26" t="s">
        <v>12296</v>
      </c>
      <c r="B4729" s="26" t="s">
        <v>2044</v>
      </c>
      <c r="C4729" s="26" t="s">
        <v>11989</v>
      </c>
      <c r="D4729" s="26">
        <v>5.0</v>
      </c>
      <c r="E4729" s="26">
        <v>50.0</v>
      </c>
      <c r="F4729" s="26">
        <v>250.0</v>
      </c>
    </row>
    <row r="4730">
      <c r="A4730" s="26" t="s">
        <v>12297</v>
      </c>
      <c r="B4730" s="26" t="s">
        <v>2044</v>
      </c>
      <c r="C4730" s="26" t="s">
        <v>1195</v>
      </c>
      <c r="D4730" s="26">
        <v>1.0</v>
      </c>
      <c r="E4730" s="26">
        <v>26.0</v>
      </c>
      <c r="F4730" s="26">
        <v>26.0</v>
      </c>
    </row>
    <row r="4731">
      <c r="A4731" s="26" t="s">
        <v>12299</v>
      </c>
      <c r="B4731" s="26" t="s">
        <v>2044</v>
      </c>
      <c r="C4731" s="26" t="s">
        <v>1197</v>
      </c>
      <c r="D4731" s="26">
        <v>6.0</v>
      </c>
      <c r="E4731" s="26">
        <v>18.5</v>
      </c>
      <c r="F4731" s="26">
        <v>111.0</v>
      </c>
    </row>
    <row r="4732">
      <c r="A4732" s="26" t="s">
        <v>12300</v>
      </c>
      <c r="B4732" s="26" t="s">
        <v>2044</v>
      </c>
      <c r="C4732" s="26" t="s">
        <v>266</v>
      </c>
      <c r="D4732" s="26">
        <v>1.0</v>
      </c>
      <c r="E4732" s="26">
        <v>16.0</v>
      </c>
      <c r="F4732" s="26">
        <v>16.0</v>
      </c>
    </row>
    <row r="4733">
      <c r="A4733" s="26" t="s">
        <v>12302</v>
      </c>
      <c r="B4733" s="26">
        <v>12315.0</v>
      </c>
      <c r="C4733" s="26" t="s">
        <v>1159</v>
      </c>
      <c r="D4733" s="30">
        <v>1.0</v>
      </c>
      <c r="E4733" s="30">
        <v>1635.78</v>
      </c>
      <c r="F4733" s="30">
        <v>1635.78</v>
      </c>
    </row>
    <row r="4734">
      <c r="A4734" s="26" t="s">
        <v>12303</v>
      </c>
      <c r="B4734" s="26">
        <v>12318.0</v>
      </c>
      <c r="C4734" s="26" t="s">
        <v>2448</v>
      </c>
      <c r="D4734" s="30">
        <v>1.0</v>
      </c>
      <c r="E4734" s="30">
        <v>817.18</v>
      </c>
      <c r="F4734" s="30">
        <v>817.18</v>
      </c>
    </row>
    <row r="4735">
      <c r="A4735" s="26" t="s">
        <v>12304</v>
      </c>
      <c r="B4735" s="26">
        <v>12319.0</v>
      </c>
      <c r="C4735" s="26" t="s">
        <v>2662</v>
      </c>
      <c r="D4735" s="30">
        <v>1.0</v>
      </c>
      <c r="E4735" s="30">
        <v>5626.59</v>
      </c>
      <c r="F4735" s="30">
        <v>5626.59</v>
      </c>
    </row>
    <row r="4736">
      <c r="A4736" s="26" t="s">
        <v>12306</v>
      </c>
      <c r="B4736" s="26" t="s">
        <v>12307</v>
      </c>
      <c r="C4736" s="26" t="s">
        <v>12126</v>
      </c>
      <c r="D4736" s="26">
        <v>2.64</v>
      </c>
      <c r="E4736" s="26">
        <v>2.99</v>
      </c>
      <c r="F4736" s="26">
        <v>7.89</v>
      </c>
    </row>
    <row r="4737">
      <c r="A4737" s="26" t="s">
        <v>12308</v>
      </c>
      <c r="B4737" s="26" t="s">
        <v>12309</v>
      </c>
      <c r="C4737" s="29" t="s">
        <v>10424</v>
      </c>
      <c r="D4737" s="26">
        <v>10.0</v>
      </c>
      <c r="E4737" s="26">
        <v>30.0</v>
      </c>
      <c r="F4737" s="26">
        <v>300.0</v>
      </c>
    </row>
    <row r="4738">
      <c r="A4738" s="26" t="s">
        <v>12310</v>
      </c>
      <c r="B4738" s="26" t="s">
        <v>12311</v>
      </c>
      <c r="C4738" s="26" t="s">
        <v>230</v>
      </c>
      <c r="D4738" s="26">
        <v>5.08</v>
      </c>
      <c r="E4738" s="26">
        <v>25.0</v>
      </c>
      <c r="F4738" s="26">
        <v>127.0</v>
      </c>
    </row>
    <row r="4739">
      <c r="A4739" s="26" t="s">
        <v>12312</v>
      </c>
      <c r="B4739" s="26" t="s">
        <v>12311</v>
      </c>
      <c r="C4739" s="26" t="s">
        <v>155</v>
      </c>
      <c r="D4739" s="26">
        <v>2.1</v>
      </c>
      <c r="E4739" s="26">
        <v>9.5</v>
      </c>
      <c r="F4739" s="26">
        <v>19.95</v>
      </c>
    </row>
    <row r="4740">
      <c r="A4740" s="26" t="s">
        <v>12313</v>
      </c>
      <c r="B4740" s="26" t="s">
        <v>12311</v>
      </c>
      <c r="C4740" s="26" t="s">
        <v>159</v>
      </c>
      <c r="D4740" s="26">
        <v>10.0</v>
      </c>
      <c r="E4740" s="26">
        <v>13.0</v>
      </c>
      <c r="F4740" s="26">
        <v>130.0</v>
      </c>
    </row>
    <row r="4741">
      <c r="A4741" s="26" t="s">
        <v>12314</v>
      </c>
      <c r="B4741" s="26" t="s">
        <v>12315</v>
      </c>
      <c r="C4741" s="26" t="s">
        <v>8792</v>
      </c>
      <c r="D4741" s="30">
        <v>1.0</v>
      </c>
      <c r="E4741" s="30">
        <v>4740.0</v>
      </c>
      <c r="F4741" s="30">
        <v>4740.0</v>
      </c>
    </row>
    <row r="4742">
      <c r="A4742" s="26" t="s">
        <v>12316</v>
      </c>
      <c r="B4742" s="26">
        <v>12330.0</v>
      </c>
      <c r="C4742" s="26" t="s">
        <v>8404</v>
      </c>
      <c r="D4742" s="30">
        <v>1.0</v>
      </c>
      <c r="E4742" s="30">
        <v>249.23</v>
      </c>
      <c r="F4742" s="30">
        <v>249.23</v>
      </c>
    </row>
    <row r="4743">
      <c r="A4743" s="26" t="s">
        <v>12317</v>
      </c>
      <c r="B4743" s="26" t="s">
        <v>12319</v>
      </c>
      <c r="C4743" s="26" t="s">
        <v>10261</v>
      </c>
      <c r="D4743" s="30">
        <v>1.0</v>
      </c>
      <c r="E4743" s="30">
        <v>672.89</v>
      </c>
      <c r="F4743" s="30">
        <v>672.89</v>
      </c>
    </row>
    <row r="4744">
      <c r="A4744" s="26" t="s">
        <v>12320</v>
      </c>
      <c r="B4744" s="26" t="s">
        <v>12321</v>
      </c>
      <c r="C4744" s="26" t="s">
        <v>10261</v>
      </c>
      <c r="D4744" s="26">
        <v>1.0</v>
      </c>
      <c r="E4744" s="26">
        <v>439.7</v>
      </c>
      <c r="F4744" s="26">
        <v>439.7</v>
      </c>
    </row>
    <row r="4745">
      <c r="A4745" s="26" t="s">
        <v>12322</v>
      </c>
      <c r="B4745" s="26" t="s">
        <v>12321</v>
      </c>
      <c r="C4745" s="26" t="s">
        <v>12009</v>
      </c>
      <c r="D4745" s="26">
        <v>1.0</v>
      </c>
      <c r="E4745" s="26">
        <v>5172.97</v>
      </c>
      <c r="F4745" s="26">
        <v>5172.97</v>
      </c>
    </row>
    <row r="4746">
      <c r="A4746" s="26" t="s">
        <v>12323</v>
      </c>
      <c r="B4746" s="26" t="s">
        <v>2162</v>
      </c>
      <c r="C4746" s="26" t="s">
        <v>249</v>
      </c>
      <c r="D4746" s="26">
        <v>1.0</v>
      </c>
      <c r="E4746" s="26">
        <v>11.9</v>
      </c>
      <c r="F4746" s="26">
        <v>11.9</v>
      </c>
    </row>
    <row r="4747">
      <c r="A4747" s="26" t="s">
        <v>12324</v>
      </c>
      <c r="B4747" s="26" t="s">
        <v>2162</v>
      </c>
      <c r="C4747" s="26" t="s">
        <v>10268</v>
      </c>
      <c r="D4747" s="26">
        <v>1.0</v>
      </c>
      <c r="E4747" s="26">
        <v>4.49</v>
      </c>
      <c r="F4747" s="26">
        <v>4.49</v>
      </c>
    </row>
    <row r="4748">
      <c r="A4748" s="26" t="s">
        <v>12326</v>
      </c>
      <c r="B4748" s="26" t="s">
        <v>12327</v>
      </c>
      <c r="C4748" s="29" t="s">
        <v>10424</v>
      </c>
      <c r="D4748" s="26">
        <v>11.0</v>
      </c>
      <c r="E4748" s="26">
        <v>30.0</v>
      </c>
      <c r="F4748" s="26">
        <v>330.0</v>
      </c>
    </row>
    <row r="4749">
      <c r="A4749" s="26" t="s">
        <v>12328</v>
      </c>
      <c r="B4749" s="26" t="s">
        <v>12329</v>
      </c>
      <c r="C4749" s="26" t="s">
        <v>226</v>
      </c>
      <c r="D4749" s="26">
        <v>3.0</v>
      </c>
      <c r="E4749" s="26">
        <v>9.5</v>
      </c>
      <c r="F4749" s="26">
        <v>28.5</v>
      </c>
    </row>
    <row r="4750">
      <c r="A4750" s="26" t="s">
        <v>12330</v>
      </c>
      <c r="B4750" s="26" t="s">
        <v>12329</v>
      </c>
      <c r="C4750" s="26" t="s">
        <v>12126</v>
      </c>
      <c r="D4750" s="26">
        <v>3.16</v>
      </c>
      <c r="E4750" s="26">
        <v>3.49</v>
      </c>
      <c r="F4750" s="26">
        <v>11.03</v>
      </c>
    </row>
    <row r="4751">
      <c r="A4751" s="26" t="s">
        <v>12331</v>
      </c>
      <c r="B4751" s="26" t="s">
        <v>12329</v>
      </c>
      <c r="C4751" s="26" t="s">
        <v>230</v>
      </c>
      <c r="D4751" s="26">
        <v>5.2</v>
      </c>
      <c r="E4751" s="26">
        <v>25.5</v>
      </c>
      <c r="F4751" s="26">
        <v>132.6</v>
      </c>
    </row>
    <row r="4752">
      <c r="A4752" s="26" t="s">
        <v>12333</v>
      </c>
      <c r="B4752" s="26" t="s">
        <v>12329</v>
      </c>
      <c r="C4752" s="26" t="s">
        <v>155</v>
      </c>
      <c r="D4752" s="26">
        <v>4.0</v>
      </c>
      <c r="E4752" s="26">
        <v>9.0</v>
      </c>
      <c r="F4752" s="26">
        <v>36.0</v>
      </c>
    </row>
    <row r="4753">
      <c r="A4753" s="26" t="s">
        <v>12336</v>
      </c>
      <c r="B4753" s="26" t="s">
        <v>12329</v>
      </c>
      <c r="C4753" s="26" t="s">
        <v>159</v>
      </c>
      <c r="D4753" s="26">
        <v>10.0</v>
      </c>
      <c r="E4753" s="26">
        <v>13.0</v>
      </c>
      <c r="F4753" s="26">
        <v>130.0</v>
      </c>
    </row>
    <row r="4754">
      <c r="A4754" s="26" t="s">
        <v>12339</v>
      </c>
      <c r="B4754" s="26" t="s">
        <v>2225</v>
      </c>
      <c r="C4754" s="26" t="s">
        <v>12340</v>
      </c>
      <c r="D4754" s="26">
        <v>1.0</v>
      </c>
      <c r="E4754" s="26">
        <v>38.3</v>
      </c>
      <c r="F4754" s="26">
        <v>38.3</v>
      </c>
    </row>
    <row r="4755">
      <c r="A4755" s="26" t="s">
        <v>12341</v>
      </c>
      <c r="B4755" s="26" t="s">
        <v>2225</v>
      </c>
      <c r="C4755" s="26" t="s">
        <v>10491</v>
      </c>
      <c r="D4755" s="26">
        <v>0.528</v>
      </c>
      <c r="E4755" s="26">
        <v>7.99</v>
      </c>
      <c r="F4755" s="26">
        <v>4.22</v>
      </c>
    </row>
    <row r="4756">
      <c r="A4756" s="26" t="s">
        <v>12343</v>
      </c>
      <c r="B4756" s="26" t="s">
        <v>2225</v>
      </c>
      <c r="C4756" s="26" t="s">
        <v>10293</v>
      </c>
      <c r="D4756" s="26">
        <v>3.0</v>
      </c>
      <c r="E4756" s="26">
        <v>5.49</v>
      </c>
      <c r="F4756" s="26">
        <v>16.47</v>
      </c>
    </row>
    <row r="4757">
      <c r="A4757" s="26" t="s">
        <v>12345</v>
      </c>
      <c r="B4757" s="26" t="s">
        <v>2225</v>
      </c>
      <c r="C4757" s="26" t="s">
        <v>12347</v>
      </c>
      <c r="D4757" s="26">
        <v>2.0</v>
      </c>
      <c r="E4757" s="26">
        <v>7.98</v>
      </c>
      <c r="F4757" s="26">
        <v>15.96</v>
      </c>
    </row>
    <row r="4758">
      <c r="A4758" s="26" t="s">
        <v>12348</v>
      </c>
      <c r="B4758" s="26" t="s">
        <v>2225</v>
      </c>
      <c r="C4758" s="26" t="s">
        <v>10500</v>
      </c>
      <c r="D4758" s="26">
        <v>1.0</v>
      </c>
      <c r="E4758" s="26">
        <v>6.49</v>
      </c>
      <c r="F4758" s="26">
        <v>6.49</v>
      </c>
    </row>
    <row r="4759">
      <c r="A4759" s="26" t="s">
        <v>12349</v>
      </c>
      <c r="B4759" s="26" t="s">
        <v>2225</v>
      </c>
      <c r="C4759" s="26" t="s">
        <v>5563</v>
      </c>
      <c r="D4759" s="26">
        <v>2.0</v>
      </c>
      <c r="E4759" s="26">
        <v>9.99</v>
      </c>
      <c r="F4759" s="26">
        <v>19.98</v>
      </c>
    </row>
    <row r="4760">
      <c r="A4760" s="26" t="s">
        <v>12351</v>
      </c>
      <c r="B4760" s="26" t="s">
        <v>2225</v>
      </c>
      <c r="C4760" s="26" t="s">
        <v>10644</v>
      </c>
      <c r="D4760" s="26">
        <v>1.0</v>
      </c>
      <c r="E4760" s="26">
        <v>26.99</v>
      </c>
      <c r="F4760" s="26">
        <v>26.99</v>
      </c>
    </row>
    <row r="4761">
      <c r="A4761" s="29" t="s">
        <v>12353</v>
      </c>
      <c r="B4761" s="26" t="s">
        <v>2220</v>
      </c>
      <c r="C4761" s="26" t="s">
        <v>8985</v>
      </c>
      <c r="D4761" s="26">
        <v>4.0</v>
      </c>
      <c r="E4761" s="26">
        <v>2.98</v>
      </c>
      <c r="F4761" s="26">
        <v>11.92</v>
      </c>
    </row>
    <row r="4762">
      <c r="A4762" s="26" t="s">
        <v>12354</v>
      </c>
      <c r="B4762" s="26" t="s">
        <v>2220</v>
      </c>
      <c r="C4762" s="26" t="s">
        <v>2990</v>
      </c>
      <c r="D4762" s="26">
        <v>1.0</v>
      </c>
      <c r="E4762" s="26">
        <v>6.99</v>
      </c>
      <c r="F4762" s="26">
        <v>6.99</v>
      </c>
    </row>
    <row r="4763">
      <c r="A4763" s="26" t="s">
        <v>12355</v>
      </c>
      <c r="B4763" s="26" t="s">
        <v>2220</v>
      </c>
      <c r="C4763" s="26" t="s">
        <v>3606</v>
      </c>
      <c r="D4763" s="26">
        <v>1.0</v>
      </c>
      <c r="E4763" s="26">
        <v>18.99</v>
      </c>
      <c r="F4763" s="26">
        <v>18.99</v>
      </c>
    </row>
    <row r="4764">
      <c r="A4764" s="26" t="s">
        <v>12358</v>
      </c>
      <c r="B4764" s="26" t="s">
        <v>12359</v>
      </c>
      <c r="C4764" s="26" t="s">
        <v>12009</v>
      </c>
      <c r="D4764" s="30">
        <v>1.0</v>
      </c>
      <c r="E4764" s="30">
        <v>1217.17</v>
      </c>
      <c r="F4764" s="30">
        <v>1217.17</v>
      </c>
    </row>
    <row r="4765">
      <c r="A4765" s="26" t="s">
        <v>12360</v>
      </c>
      <c r="B4765" s="26" t="s">
        <v>12361</v>
      </c>
      <c r="C4765" s="26" t="s">
        <v>8458</v>
      </c>
      <c r="D4765" s="30">
        <v>1.0</v>
      </c>
      <c r="E4765" s="30">
        <v>1560.0</v>
      </c>
      <c r="F4765" s="30">
        <v>1560.0</v>
      </c>
    </row>
    <row r="4766">
      <c r="A4766" s="26" t="s">
        <v>12364</v>
      </c>
      <c r="B4766" s="26">
        <v>12338.0</v>
      </c>
      <c r="C4766" s="26" t="s">
        <v>2870</v>
      </c>
      <c r="D4766" s="30">
        <v>1.0</v>
      </c>
      <c r="E4766" s="30">
        <v>247.73</v>
      </c>
      <c r="F4766" s="30">
        <v>247.73</v>
      </c>
    </row>
    <row r="4767">
      <c r="A4767" s="26" t="s">
        <v>12365</v>
      </c>
      <c r="B4767" s="26">
        <v>12339.0</v>
      </c>
      <c r="C4767" s="26" t="s">
        <v>2870</v>
      </c>
      <c r="D4767" s="30">
        <v>1.0</v>
      </c>
      <c r="E4767" s="30">
        <v>87.68</v>
      </c>
      <c r="F4767" s="30">
        <v>87.68</v>
      </c>
    </row>
    <row r="4768">
      <c r="A4768" s="26" t="s">
        <v>12368</v>
      </c>
      <c r="B4768" s="26">
        <v>12340.0</v>
      </c>
      <c r="C4768" s="26" t="s">
        <v>1239</v>
      </c>
      <c r="D4768" s="30">
        <v>1.0</v>
      </c>
      <c r="E4768" s="30">
        <v>292.83</v>
      </c>
      <c r="F4768" s="30">
        <v>292.83</v>
      </c>
    </row>
    <row r="4769">
      <c r="A4769" s="26" t="s">
        <v>12369</v>
      </c>
      <c r="B4769" s="26">
        <v>12341.0</v>
      </c>
      <c r="C4769" s="26" t="s">
        <v>1126</v>
      </c>
      <c r="D4769" s="30">
        <v>1.0</v>
      </c>
      <c r="E4769" s="30">
        <v>72.0</v>
      </c>
      <c r="F4769" s="30">
        <v>72.0</v>
      </c>
    </row>
    <row r="4770">
      <c r="A4770" s="26" t="s">
        <v>12372</v>
      </c>
      <c r="B4770" s="26">
        <v>12347.0</v>
      </c>
      <c r="C4770" s="26" t="s">
        <v>9874</v>
      </c>
      <c r="D4770" s="30">
        <v>1.0</v>
      </c>
      <c r="E4770" s="30">
        <v>70.0</v>
      </c>
      <c r="F4770" s="30">
        <v>70.0</v>
      </c>
    </row>
    <row r="4771">
      <c r="A4771" s="26" t="s">
        <v>12373</v>
      </c>
      <c r="B4771" s="26">
        <v>12348.0</v>
      </c>
      <c r="C4771" s="26" t="s">
        <v>11663</v>
      </c>
      <c r="D4771" s="30">
        <v>1.0</v>
      </c>
      <c r="E4771" s="30">
        <v>855.0</v>
      </c>
      <c r="F4771" s="30">
        <v>855.0</v>
      </c>
    </row>
    <row r="4772">
      <c r="A4772" s="26" t="s">
        <v>12375</v>
      </c>
      <c r="B4772" s="26" t="s">
        <v>12377</v>
      </c>
      <c r="C4772" s="26" t="s">
        <v>8651</v>
      </c>
      <c r="D4772" s="30">
        <v>1.0</v>
      </c>
      <c r="E4772" s="30">
        <v>847.24</v>
      </c>
      <c r="F4772" s="30">
        <v>847.24</v>
      </c>
    </row>
    <row r="4773">
      <c r="A4773" s="26" t="s">
        <v>12379</v>
      </c>
      <c r="B4773" s="26" t="s">
        <v>12380</v>
      </c>
      <c r="C4773" s="26" t="s">
        <v>794</v>
      </c>
      <c r="D4773" s="26">
        <v>6.0</v>
      </c>
      <c r="E4773" s="26">
        <v>27.8</v>
      </c>
      <c r="F4773" s="26">
        <v>166.8</v>
      </c>
    </row>
    <row r="4774">
      <c r="A4774" s="26" t="s">
        <v>12382</v>
      </c>
      <c r="B4774" s="26" t="s">
        <v>12380</v>
      </c>
      <c r="C4774" s="26" t="s">
        <v>802</v>
      </c>
      <c r="D4774" s="26">
        <v>24.0</v>
      </c>
      <c r="E4774" s="26">
        <v>10.23</v>
      </c>
      <c r="F4774" s="26">
        <v>245.52</v>
      </c>
    </row>
    <row r="4775">
      <c r="A4775" s="26" t="s">
        <v>12384</v>
      </c>
      <c r="B4775" s="26" t="s">
        <v>12380</v>
      </c>
      <c r="C4775" s="26" t="s">
        <v>802</v>
      </c>
      <c r="D4775" s="26">
        <v>18.0</v>
      </c>
      <c r="E4775" s="26">
        <v>14.71</v>
      </c>
      <c r="F4775" s="26">
        <v>264.78</v>
      </c>
    </row>
    <row r="4776">
      <c r="A4776" s="26" t="s">
        <v>12385</v>
      </c>
      <c r="B4776" s="26" t="s">
        <v>12380</v>
      </c>
      <c r="C4776" s="26" t="s">
        <v>249</v>
      </c>
      <c r="D4776" s="26">
        <v>60.0</v>
      </c>
      <c r="E4776" s="26">
        <v>8.77</v>
      </c>
      <c r="F4776" s="26">
        <v>526.2</v>
      </c>
    </row>
    <row r="4777">
      <c r="A4777" s="26" t="s">
        <v>12388</v>
      </c>
      <c r="B4777" s="26" t="s">
        <v>12380</v>
      </c>
      <c r="C4777" s="26" t="s">
        <v>249</v>
      </c>
      <c r="D4777" s="26">
        <v>12.0</v>
      </c>
      <c r="E4777" s="26">
        <v>12.22</v>
      </c>
      <c r="F4777" s="26">
        <v>146.64</v>
      </c>
    </row>
    <row r="4778">
      <c r="A4778" s="26" t="s">
        <v>12390</v>
      </c>
      <c r="B4778" s="26" t="s">
        <v>12391</v>
      </c>
      <c r="C4778" s="26" t="s">
        <v>1074</v>
      </c>
      <c r="D4778" s="26">
        <v>3.0</v>
      </c>
      <c r="E4778" s="26">
        <v>45.47</v>
      </c>
      <c r="F4778" s="26">
        <v>136.41</v>
      </c>
    </row>
    <row r="4779">
      <c r="A4779" s="26" t="s">
        <v>12393</v>
      </c>
      <c r="B4779" s="26" t="s">
        <v>12391</v>
      </c>
      <c r="C4779" s="26" t="s">
        <v>1075</v>
      </c>
      <c r="D4779" s="26">
        <v>2.0</v>
      </c>
      <c r="E4779" s="26">
        <v>22.74</v>
      </c>
      <c r="F4779" s="26">
        <v>45.48</v>
      </c>
    </row>
    <row r="4780">
      <c r="A4780" s="26" t="s">
        <v>12394</v>
      </c>
      <c r="B4780" s="26" t="s">
        <v>12391</v>
      </c>
      <c r="C4780" s="26" t="s">
        <v>1083</v>
      </c>
      <c r="D4780" s="26">
        <v>1.0</v>
      </c>
      <c r="E4780" s="26">
        <v>18.9</v>
      </c>
      <c r="F4780" s="26">
        <v>18.9</v>
      </c>
    </row>
    <row r="4781">
      <c r="A4781" s="26" t="s">
        <v>12396</v>
      </c>
      <c r="B4781" s="26" t="s">
        <v>12391</v>
      </c>
      <c r="C4781" s="26" t="s">
        <v>1404</v>
      </c>
      <c r="D4781" s="26">
        <v>2.0</v>
      </c>
      <c r="E4781" s="26">
        <v>20.28</v>
      </c>
      <c r="F4781" s="26">
        <v>40.56</v>
      </c>
    </row>
    <row r="4782">
      <c r="A4782" s="26" t="s">
        <v>12397</v>
      </c>
      <c r="B4782" s="26" t="s">
        <v>12391</v>
      </c>
      <c r="C4782" s="26" t="s">
        <v>1384</v>
      </c>
      <c r="D4782" s="26">
        <v>2.0</v>
      </c>
      <c r="E4782" s="26">
        <v>20.28</v>
      </c>
      <c r="F4782" s="26">
        <v>40.56</v>
      </c>
    </row>
    <row r="4783">
      <c r="A4783" s="26" t="s">
        <v>12399</v>
      </c>
      <c r="B4783" s="26" t="s">
        <v>12391</v>
      </c>
      <c r="C4783" s="26" t="s">
        <v>12400</v>
      </c>
      <c r="D4783" s="26">
        <v>1.0</v>
      </c>
      <c r="E4783" s="26">
        <v>41.04</v>
      </c>
      <c r="F4783" s="26">
        <v>41.04</v>
      </c>
    </row>
    <row r="4784">
      <c r="A4784" s="26" t="s">
        <v>12401</v>
      </c>
      <c r="B4784" s="26" t="s">
        <v>12391</v>
      </c>
      <c r="C4784" s="26" t="s">
        <v>1080</v>
      </c>
      <c r="D4784" s="26">
        <v>5.0</v>
      </c>
      <c r="E4784" s="26">
        <v>18.0</v>
      </c>
      <c r="F4784" s="26">
        <v>90.0</v>
      </c>
    </row>
    <row r="4785">
      <c r="A4785" s="26" t="s">
        <v>12403</v>
      </c>
      <c r="B4785" s="26" t="s">
        <v>12391</v>
      </c>
      <c r="C4785" s="26" t="s">
        <v>1079</v>
      </c>
      <c r="D4785" s="26">
        <v>10.0</v>
      </c>
      <c r="E4785" s="26">
        <v>18.0</v>
      </c>
      <c r="F4785" s="26">
        <v>180.0</v>
      </c>
    </row>
    <row r="4786">
      <c r="A4786" s="26" t="s">
        <v>12404</v>
      </c>
      <c r="B4786" s="26" t="s">
        <v>12391</v>
      </c>
      <c r="C4786" s="26" t="s">
        <v>1077</v>
      </c>
      <c r="D4786" s="26">
        <v>3.0</v>
      </c>
      <c r="E4786" s="26">
        <v>25.8</v>
      </c>
      <c r="F4786" s="26">
        <v>77.4</v>
      </c>
    </row>
    <row r="4787">
      <c r="A4787" s="26" t="s">
        <v>12405</v>
      </c>
      <c r="B4787" s="26" t="s">
        <v>12391</v>
      </c>
      <c r="C4787" s="26" t="s">
        <v>12406</v>
      </c>
      <c r="D4787" s="26">
        <v>1.0</v>
      </c>
      <c r="E4787" s="26">
        <v>48.0</v>
      </c>
      <c r="F4787" s="26">
        <v>48.0</v>
      </c>
    </row>
    <row r="4788">
      <c r="A4788" s="26" t="s">
        <v>12407</v>
      </c>
      <c r="B4788" s="26" t="s">
        <v>12409</v>
      </c>
      <c r="C4788" s="26" t="s">
        <v>12126</v>
      </c>
      <c r="D4788" s="26">
        <v>2.04</v>
      </c>
      <c r="E4788" s="26">
        <v>3.9</v>
      </c>
      <c r="F4788" s="26">
        <v>7.96</v>
      </c>
    </row>
    <row r="4789">
      <c r="A4789" s="26" t="s">
        <v>12410</v>
      </c>
      <c r="B4789" s="26" t="s">
        <v>12409</v>
      </c>
      <c r="C4789" s="26" t="s">
        <v>230</v>
      </c>
      <c r="D4789" s="26">
        <v>5.4</v>
      </c>
      <c r="E4789" s="26">
        <v>27.0</v>
      </c>
      <c r="F4789" s="26">
        <v>145.8</v>
      </c>
    </row>
    <row r="4790">
      <c r="A4790" s="26" t="s">
        <v>12412</v>
      </c>
      <c r="B4790" s="26" t="s">
        <v>12409</v>
      </c>
      <c r="C4790" s="26" t="s">
        <v>155</v>
      </c>
      <c r="D4790" s="26">
        <v>2.02</v>
      </c>
      <c r="E4790" s="26">
        <v>8.5</v>
      </c>
      <c r="F4790" s="26">
        <v>17.17</v>
      </c>
    </row>
    <row r="4791">
      <c r="A4791" s="26" t="s">
        <v>12413</v>
      </c>
      <c r="B4791" s="26" t="s">
        <v>12409</v>
      </c>
      <c r="C4791" s="26" t="s">
        <v>159</v>
      </c>
      <c r="D4791" s="26">
        <v>5.0</v>
      </c>
      <c r="E4791" s="26">
        <v>13.5</v>
      </c>
      <c r="F4791" s="26">
        <v>67.5</v>
      </c>
    </row>
    <row r="4792">
      <c r="A4792" s="26" t="s">
        <v>12414</v>
      </c>
      <c r="B4792" s="26" t="s">
        <v>12415</v>
      </c>
      <c r="C4792" s="26" t="s">
        <v>11989</v>
      </c>
      <c r="D4792" s="26">
        <v>7.0</v>
      </c>
      <c r="E4792" s="26">
        <v>50.0</v>
      </c>
      <c r="F4792" s="26">
        <v>350.0</v>
      </c>
    </row>
    <row r="4793">
      <c r="A4793" s="26" t="s">
        <v>12417</v>
      </c>
      <c r="B4793" s="26" t="s">
        <v>12415</v>
      </c>
      <c r="C4793" s="26" t="s">
        <v>2305</v>
      </c>
      <c r="D4793" s="26">
        <v>1.0</v>
      </c>
      <c r="E4793" s="26">
        <v>32.0</v>
      </c>
      <c r="F4793" s="26">
        <v>32.0</v>
      </c>
    </row>
    <row r="4794">
      <c r="A4794" s="26" t="s">
        <v>12418</v>
      </c>
      <c r="B4794" s="26" t="s">
        <v>12415</v>
      </c>
      <c r="C4794" s="26" t="s">
        <v>1195</v>
      </c>
      <c r="D4794" s="26">
        <v>1.0</v>
      </c>
      <c r="E4794" s="26">
        <v>26.0</v>
      </c>
      <c r="F4794" s="26">
        <v>26.0</v>
      </c>
    </row>
    <row r="4795">
      <c r="A4795" s="26" t="s">
        <v>12419</v>
      </c>
      <c r="B4795" s="26" t="s">
        <v>12415</v>
      </c>
      <c r="C4795" s="26" t="s">
        <v>1197</v>
      </c>
      <c r="D4795" s="26">
        <v>8.0</v>
      </c>
      <c r="E4795" s="26">
        <v>18.5</v>
      </c>
      <c r="F4795" s="26">
        <v>148.0</v>
      </c>
    </row>
    <row r="4796">
      <c r="A4796" s="26" t="s">
        <v>12421</v>
      </c>
      <c r="B4796" s="26" t="s">
        <v>12415</v>
      </c>
      <c r="C4796" s="26" t="s">
        <v>266</v>
      </c>
      <c r="D4796" s="26">
        <v>1.0</v>
      </c>
      <c r="E4796" s="26">
        <v>16.0</v>
      </c>
      <c r="F4796" s="26">
        <v>16.0</v>
      </c>
    </row>
    <row r="4797">
      <c r="A4797" s="26" t="s">
        <v>12423</v>
      </c>
      <c r="B4797" s="26" t="s">
        <v>12415</v>
      </c>
      <c r="C4797" s="26" t="s">
        <v>10389</v>
      </c>
      <c r="D4797" s="26">
        <v>1.0</v>
      </c>
      <c r="E4797" s="26">
        <v>31.0</v>
      </c>
      <c r="F4797" s="26">
        <v>31.0</v>
      </c>
    </row>
    <row r="4798">
      <c r="A4798" s="26" t="s">
        <v>12426</v>
      </c>
      <c r="B4798" s="26" t="s">
        <v>12427</v>
      </c>
      <c r="C4798" s="29" t="s">
        <v>10424</v>
      </c>
      <c r="D4798" s="26">
        <v>10.0</v>
      </c>
      <c r="E4798" s="26">
        <v>30.0</v>
      </c>
      <c r="F4798" s="26">
        <v>300.0</v>
      </c>
    </row>
    <row r="4799">
      <c r="A4799" s="26" t="s">
        <v>12428</v>
      </c>
      <c r="B4799" s="26" t="s">
        <v>12429</v>
      </c>
      <c r="C4799" s="26" t="s">
        <v>1074</v>
      </c>
      <c r="D4799" s="26">
        <v>1.0</v>
      </c>
      <c r="E4799" s="26">
        <v>45.47</v>
      </c>
      <c r="F4799" s="26">
        <v>45.47</v>
      </c>
    </row>
    <row r="4800">
      <c r="A4800" s="29" t="s">
        <v>12431</v>
      </c>
      <c r="B4800" s="26" t="s">
        <v>12429</v>
      </c>
      <c r="C4800" s="26" t="s">
        <v>1075</v>
      </c>
      <c r="D4800" s="26">
        <v>4.0</v>
      </c>
      <c r="E4800" s="26">
        <v>22.74</v>
      </c>
      <c r="F4800" s="26">
        <v>90.96</v>
      </c>
    </row>
    <row r="4801">
      <c r="A4801" s="26" t="s">
        <v>12432</v>
      </c>
      <c r="B4801" s="26" t="s">
        <v>12429</v>
      </c>
      <c r="C4801" s="26" t="s">
        <v>1083</v>
      </c>
      <c r="D4801" s="26">
        <v>1.0</v>
      </c>
      <c r="E4801" s="26">
        <v>18.9</v>
      </c>
      <c r="F4801" s="26">
        <v>18.9</v>
      </c>
    </row>
    <row r="4802">
      <c r="A4802" s="26" t="s">
        <v>12434</v>
      </c>
      <c r="B4802" s="26" t="s">
        <v>12429</v>
      </c>
      <c r="C4802" s="26" t="s">
        <v>1384</v>
      </c>
      <c r="D4802" s="26">
        <v>1.0</v>
      </c>
      <c r="E4802" s="26">
        <v>20.28</v>
      </c>
      <c r="F4802" s="26">
        <v>20.28</v>
      </c>
    </row>
    <row r="4803">
      <c r="A4803" s="26" t="s">
        <v>12435</v>
      </c>
      <c r="B4803" s="26" t="s">
        <v>12429</v>
      </c>
      <c r="C4803" s="26" t="s">
        <v>10457</v>
      </c>
      <c r="D4803" s="26">
        <v>2.0</v>
      </c>
      <c r="E4803" s="26">
        <v>22.38</v>
      </c>
      <c r="F4803" s="26">
        <v>44.76</v>
      </c>
    </row>
    <row r="4804">
      <c r="A4804" s="26" t="s">
        <v>12436</v>
      </c>
      <c r="B4804" s="26" t="s">
        <v>12429</v>
      </c>
      <c r="C4804" s="29" t="s">
        <v>10459</v>
      </c>
      <c r="D4804" s="26">
        <v>1.0</v>
      </c>
      <c r="E4804" s="26">
        <v>20.28</v>
      </c>
      <c r="F4804" s="26">
        <v>20.28</v>
      </c>
    </row>
    <row r="4805">
      <c r="A4805" s="26" t="s">
        <v>12437</v>
      </c>
      <c r="B4805" s="26" t="s">
        <v>12429</v>
      </c>
      <c r="C4805" s="26" t="s">
        <v>12400</v>
      </c>
      <c r="D4805" s="26">
        <v>1.0</v>
      </c>
      <c r="E4805" s="26">
        <v>41.04</v>
      </c>
      <c r="F4805" s="26">
        <v>41.04</v>
      </c>
    </row>
    <row r="4806">
      <c r="A4806" s="26" t="s">
        <v>12439</v>
      </c>
      <c r="B4806" s="26" t="s">
        <v>12429</v>
      </c>
      <c r="C4806" s="26" t="s">
        <v>1080</v>
      </c>
      <c r="D4806" s="26">
        <v>10.0</v>
      </c>
      <c r="E4806" s="26">
        <v>19.0</v>
      </c>
      <c r="F4806" s="26">
        <v>190.0</v>
      </c>
    </row>
    <row r="4807">
      <c r="A4807" s="26" t="s">
        <v>12440</v>
      </c>
      <c r="B4807" s="26" t="s">
        <v>12429</v>
      </c>
      <c r="C4807" s="26" t="s">
        <v>1079</v>
      </c>
      <c r="D4807" s="26">
        <v>18.0</v>
      </c>
      <c r="E4807" s="26">
        <v>19.0</v>
      </c>
      <c r="F4807" s="26">
        <v>342.0</v>
      </c>
    </row>
    <row r="4808">
      <c r="A4808" s="26" t="s">
        <v>12441</v>
      </c>
      <c r="B4808" s="26" t="s">
        <v>12429</v>
      </c>
      <c r="C4808" s="26" t="s">
        <v>12406</v>
      </c>
      <c r="D4808" s="26">
        <v>8.0</v>
      </c>
      <c r="E4808" s="26">
        <v>47.0</v>
      </c>
      <c r="F4808" s="26">
        <v>376.0</v>
      </c>
    </row>
    <row r="4809">
      <c r="A4809" s="26" t="s">
        <v>12443</v>
      </c>
      <c r="B4809" s="26" t="s">
        <v>12429</v>
      </c>
      <c r="C4809" s="26" t="s">
        <v>1077</v>
      </c>
      <c r="D4809" s="26">
        <v>2.0</v>
      </c>
      <c r="E4809" s="26">
        <v>25.8</v>
      </c>
      <c r="F4809" s="26">
        <v>51.6</v>
      </c>
    </row>
    <row r="4810">
      <c r="A4810" s="26" t="s">
        <v>12445</v>
      </c>
      <c r="B4810" s="26" t="s">
        <v>12446</v>
      </c>
      <c r="C4810" s="29" t="s">
        <v>10424</v>
      </c>
      <c r="D4810" s="26">
        <v>0.0</v>
      </c>
      <c r="E4810" s="26">
        <v>0.0</v>
      </c>
      <c r="F4810" s="26">
        <v>0.0</v>
      </c>
    </row>
    <row r="4811">
      <c r="A4811" s="26" t="s">
        <v>12447</v>
      </c>
      <c r="B4811" s="26" t="s">
        <v>2440</v>
      </c>
      <c r="C4811" s="26" t="s">
        <v>12450</v>
      </c>
      <c r="D4811" s="26">
        <v>4.0</v>
      </c>
      <c r="E4811" s="26">
        <v>29.9</v>
      </c>
      <c r="F4811" s="26">
        <v>119.6</v>
      </c>
    </row>
    <row r="4812">
      <c r="A4812" s="26" t="s">
        <v>12451</v>
      </c>
      <c r="B4812" s="26" t="s">
        <v>12446</v>
      </c>
      <c r="C4812" s="29" t="s">
        <v>10424</v>
      </c>
      <c r="D4812" s="26">
        <v>2.0</v>
      </c>
      <c r="E4812" s="26">
        <v>40.0</v>
      </c>
      <c r="F4812" s="26">
        <v>80.0</v>
      </c>
    </row>
    <row r="4813">
      <c r="A4813" s="26" t="s">
        <v>12452</v>
      </c>
      <c r="B4813" s="26" t="s">
        <v>2458</v>
      </c>
      <c r="C4813" s="29" t="s">
        <v>10424</v>
      </c>
      <c r="D4813" s="26">
        <v>6.0</v>
      </c>
      <c r="E4813" s="26">
        <v>38.0</v>
      </c>
      <c r="F4813" s="26">
        <v>228.0</v>
      </c>
    </row>
    <row r="4814">
      <c r="A4814" s="26" t="s">
        <v>12455</v>
      </c>
      <c r="B4814" s="26" t="s">
        <v>12456</v>
      </c>
      <c r="C4814" s="26" t="s">
        <v>8458</v>
      </c>
      <c r="D4814" s="26">
        <v>1.0</v>
      </c>
      <c r="E4814" s="26">
        <v>19516.96</v>
      </c>
      <c r="F4814" s="26">
        <v>19516.96</v>
      </c>
    </row>
    <row r="4815">
      <c r="A4815" s="26" t="s">
        <v>12457</v>
      </c>
      <c r="B4815" s="26" t="s">
        <v>12456</v>
      </c>
      <c r="C4815" s="26" t="s">
        <v>10261</v>
      </c>
      <c r="D4815" s="26">
        <v>1.0</v>
      </c>
      <c r="E4815" s="26">
        <v>1756.53</v>
      </c>
      <c r="F4815" s="26">
        <v>1756.53</v>
      </c>
    </row>
    <row r="4816">
      <c r="A4816" s="26" t="s">
        <v>12460</v>
      </c>
      <c r="B4816" s="26" t="s">
        <v>12456</v>
      </c>
      <c r="C4816" s="26" t="s">
        <v>10350</v>
      </c>
      <c r="D4816" s="26">
        <v>1.0</v>
      </c>
      <c r="E4816" s="26">
        <v>304.92</v>
      </c>
      <c r="F4816" s="26">
        <v>304.92</v>
      </c>
    </row>
    <row r="4817">
      <c r="A4817" s="26" t="s">
        <v>12462</v>
      </c>
      <c r="B4817" s="26" t="s">
        <v>12463</v>
      </c>
      <c r="C4817" s="26" t="s">
        <v>12464</v>
      </c>
      <c r="D4817" s="26">
        <v>1.0</v>
      </c>
      <c r="E4817" s="26">
        <v>106.29</v>
      </c>
      <c r="F4817" s="26">
        <v>106.29</v>
      </c>
    </row>
    <row r="4818">
      <c r="A4818" s="26" t="s">
        <v>12466</v>
      </c>
      <c r="B4818" s="26" t="s">
        <v>12468</v>
      </c>
      <c r="C4818" s="26" t="s">
        <v>226</v>
      </c>
      <c r="D4818" s="26">
        <v>3.0</v>
      </c>
      <c r="E4818" s="26">
        <v>10.0</v>
      </c>
      <c r="F4818" s="26">
        <v>30.0</v>
      </c>
    </row>
    <row r="4819">
      <c r="A4819" s="26" t="s">
        <v>12471</v>
      </c>
      <c r="B4819" s="26" t="s">
        <v>12468</v>
      </c>
      <c r="C4819" s="26" t="s">
        <v>12126</v>
      </c>
      <c r="D4819" s="26">
        <v>3.58</v>
      </c>
      <c r="E4819" s="26">
        <v>3.49</v>
      </c>
      <c r="F4819" s="26">
        <v>12.49</v>
      </c>
    </row>
    <row r="4820">
      <c r="A4820" s="26" t="s">
        <v>12472</v>
      </c>
      <c r="B4820" s="26" t="s">
        <v>12468</v>
      </c>
      <c r="C4820" s="26" t="s">
        <v>230</v>
      </c>
      <c r="D4820" s="26">
        <v>10.0</v>
      </c>
      <c r="E4820" s="26">
        <v>27.0</v>
      </c>
      <c r="F4820" s="26">
        <v>270.0</v>
      </c>
    </row>
    <row r="4821">
      <c r="A4821" s="29" t="s">
        <v>12475</v>
      </c>
      <c r="B4821" s="26" t="s">
        <v>12468</v>
      </c>
      <c r="C4821" s="26" t="s">
        <v>155</v>
      </c>
      <c r="D4821" s="26">
        <v>3.27</v>
      </c>
      <c r="E4821" s="26">
        <v>8.5</v>
      </c>
      <c r="F4821" s="26">
        <v>27.8</v>
      </c>
    </row>
    <row r="4822">
      <c r="A4822" s="26" t="s">
        <v>12476</v>
      </c>
      <c r="B4822" s="26" t="s">
        <v>12468</v>
      </c>
      <c r="C4822" s="26" t="s">
        <v>159</v>
      </c>
      <c r="D4822" s="26">
        <v>15.0</v>
      </c>
      <c r="E4822" s="26">
        <v>13.0</v>
      </c>
      <c r="F4822" s="26">
        <v>195.0</v>
      </c>
    </row>
    <row r="4823">
      <c r="A4823" s="26" t="s">
        <v>12479</v>
      </c>
      <c r="B4823" s="26" t="s">
        <v>12480</v>
      </c>
      <c r="C4823" s="29" t="s">
        <v>10424</v>
      </c>
      <c r="D4823" s="26">
        <v>10.0</v>
      </c>
      <c r="E4823" s="26">
        <v>30.0</v>
      </c>
      <c r="F4823" s="26">
        <v>300.0</v>
      </c>
    </row>
    <row r="4824">
      <c r="A4824" s="26" t="s">
        <v>12481</v>
      </c>
      <c r="B4824" s="26" t="s">
        <v>12482</v>
      </c>
      <c r="C4824" s="26" t="s">
        <v>247</v>
      </c>
      <c r="D4824" s="26">
        <v>6.0</v>
      </c>
      <c r="E4824" s="26">
        <v>0.99</v>
      </c>
      <c r="F4824" s="26">
        <v>5.94</v>
      </c>
    </row>
    <row r="4825">
      <c r="A4825" s="26" t="s">
        <v>12485</v>
      </c>
      <c r="B4825" s="26" t="s">
        <v>12482</v>
      </c>
      <c r="C4825" s="26" t="s">
        <v>12486</v>
      </c>
      <c r="D4825" s="26">
        <v>0.482</v>
      </c>
      <c r="E4825" s="26">
        <v>34.99</v>
      </c>
      <c r="F4825" s="26">
        <v>16.87</v>
      </c>
    </row>
    <row r="4826">
      <c r="A4826" s="26" t="s">
        <v>12487</v>
      </c>
      <c r="B4826" s="26" t="s">
        <v>12482</v>
      </c>
      <c r="C4826" s="26" t="s">
        <v>10293</v>
      </c>
      <c r="D4826" s="26">
        <v>1.0</v>
      </c>
      <c r="E4826" s="26">
        <v>7.99</v>
      </c>
      <c r="F4826" s="26">
        <v>7.99</v>
      </c>
    </row>
    <row r="4827">
      <c r="A4827" s="26" t="s">
        <v>12491</v>
      </c>
      <c r="B4827" s="26" t="s">
        <v>12482</v>
      </c>
      <c r="C4827" s="26" t="s">
        <v>10491</v>
      </c>
      <c r="D4827" s="26">
        <v>0.474</v>
      </c>
      <c r="E4827" s="26">
        <v>14.99</v>
      </c>
      <c r="F4827" s="26">
        <v>7.11</v>
      </c>
    </row>
    <row r="4828">
      <c r="A4828" s="26" t="s">
        <v>12492</v>
      </c>
      <c r="B4828" s="26" t="s">
        <v>12482</v>
      </c>
      <c r="C4828" s="26" t="s">
        <v>10293</v>
      </c>
      <c r="D4828" s="26">
        <v>1.0</v>
      </c>
      <c r="E4828" s="26">
        <v>7.99</v>
      </c>
      <c r="F4828" s="26">
        <v>7.99</v>
      </c>
    </row>
    <row r="4829">
      <c r="A4829" s="26" t="s">
        <v>12493</v>
      </c>
      <c r="B4829" s="26" t="s">
        <v>12482</v>
      </c>
      <c r="C4829" s="26" t="s">
        <v>10500</v>
      </c>
      <c r="D4829" s="26">
        <v>1.0</v>
      </c>
      <c r="E4829" s="26">
        <v>7.98</v>
      </c>
      <c r="F4829" s="26">
        <v>7.98</v>
      </c>
    </row>
    <row r="4830">
      <c r="A4830" s="29" t="s">
        <v>12494</v>
      </c>
      <c r="B4830" s="26" t="s">
        <v>12482</v>
      </c>
      <c r="C4830" s="26" t="s">
        <v>12347</v>
      </c>
      <c r="D4830" s="26">
        <v>2.0</v>
      </c>
      <c r="E4830" s="26">
        <v>9.98</v>
      </c>
      <c r="F4830" s="26">
        <v>19.96</v>
      </c>
    </row>
    <row r="4831">
      <c r="A4831" s="26" t="s">
        <v>12495</v>
      </c>
      <c r="B4831" s="26" t="s">
        <v>12482</v>
      </c>
      <c r="C4831" s="26" t="s">
        <v>10303</v>
      </c>
      <c r="D4831" s="26">
        <v>1.0</v>
      </c>
      <c r="E4831" s="26">
        <v>15.99</v>
      </c>
      <c r="F4831" s="26">
        <v>15.99</v>
      </c>
    </row>
    <row r="4832">
      <c r="A4832" s="26" t="s">
        <v>12497</v>
      </c>
      <c r="B4832" s="26" t="s">
        <v>12482</v>
      </c>
      <c r="C4832" s="26" t="s">
        <v>10303</v>
      </c>
      <c r="D4832" s="26">
        <v>1.0</v>
      </c>
      <c r="E4832" s="26">
        <v>13.99</v>
      </c>
      <c r="F4832" s="26">
        <v>13.99</v>
      </c>
    </row>
    <row r="4833">
      <c r="A4833" s="26" t="s">
        <v>12498</v>
      </c>
      <c r="B4833" s="26" t="s">
        <v>12482</v>
      </c>
      <c r="C4833" s="26" t="s">
        <v>9614</v>
      </c>
      <c r="D4833" s="26">
        <v>1.0</v>
      </c>
      <c r="E4833" s="26">
        <v>34.98</v>
      </c>
      <c r="F4833" s="26">
        <v>34.98</v>
      </c>
    </row>
    <row r="4834">
      <c r="A4834" s="26" t="s">
        <v>12499</v>
      </c>
      <c r="B4834" s="26" t="s">
        <v>12500</v>
      </c>
      <c r="C4834" s="26" t="s">
        <v>12126</v>
      </c>
      <c r="D4834" s="26">
        <v>1.73</v>
      </c>
      <c r="E4834" s="26">
        <v>3.8</v>
      </c>
      <c r="F4834" s="26">
        <v>6.57</v>
      </c>
    </row>
    <row r="4835">
      <c r="A4835" s="26" t="s">
        <v>12502</v>
      </c>
      <c r="B4835" s="26" t="s">
        <v>12500</v>
      </c>
      <c r="C4835" s="26" t="s">
        <v>230</v>
      </c>
      <c r="D4835" s="26">
        <v>5.125</v>
      </c>
      <c r="E4835" s="26">
        <v>27.0</v>
      </c>
      <c r="F4835" s="26">
        <v>138.38</v>
      </c>
    </row>
    <row r="4836">
      <c r="A4836" s="26" t="s">
        <v>12504</v>
      </c>
      <c r="B4836" s="26" t="s">
        <v>12500</v>
      </c>
      <c r="C4836" s="26" t="s">
        <v>155</v>
      </c>
      <c r="D4836" s="26">
        <v>2.34</v>
      </c>
      <c r="E4836" s="26">
        <v>7.5</v>
      </c>
      <c r="F4836" s="26">
        <v>17.55</v>
      </c>
    </row>
    <row r="4837">
      <c r="A4837" s="26" t="s">
        <v>12506</v>
      </c>
      <c r="B4837" s="26" t="s">
        <v>12500</v>
      </c>
      <c r="C4837" s="26" t="s">
        <v>159</v>
      </c>
      <c r="D4837" s="26">
        <v>8.0</v>
      </c>
      <c r="E4837" s="26">
        <v>13.0</v>
      </c>
      <c r="F4837" s="26">
        <v>104.0</v>
      </c>
    </row>
    <row r="4838">
      <c r="A4838" s="26" t="s">
        <v>12509</v>
      </c>
      <c r="B4838" s="26">
        <v>12343.0</v>
      </c>
      <c r="C4838" s="26" t="s">
        <v>1239</v>
      </c>
      <c r="D4838" s="30">
        <v>1.0</v>
      </c>
      <c r="E4838" s="30">
        <v>1738.22</v>
      </c>
      <c r="F4838" s="30">
        <v>1738.22</v>
      </c>
    </row>
    <row r="4839">
      <c r="A4839" s="26" t="s">
        <v>12511</v>
      </c>
      <c r="B4839" s="26">
        <v>12344.0</v>
      </c>
      <c r="C4839" s="26" t="s">
        <v>1239</v>
      </c>
      <c r="D4839" s="30">
        <v>1.0</v>
      </c>
      <c r="E4839" s="30">
        <v>1550.22</v>
      </c>
      <c r="F4839" s="30">
        <v>1550.22</v>
      </c>
    </row>
    <row r="4840">
      <c r="A4840" s="26" t="s">
        <v>12515</v>
      </c>
      <c r="B4840" s="26">
        <v>12345.0</v>
      </c>
      <c r="C4840" s="26" t="s">
        <v>1239</v>
      </c>
      <c r="D4840" s="30">
        <v>1.0</v>
      </c>
      <c r="E4840" s="30">
        <v>3768.65</v>
      </c>
      <c r="F4840" s="30">
        <v>3768.65</v>
      </c>
    </row>
    <row r="4841">
      <c r="A4841" s="26" t="s">
        <v>12519</v>
      </c>
      <c r="B4841" s="26">
        <v>12346.0</v>
      </c>
      <c r="C4841" s="26" t="s">
        <v>1239</v>
      </c>
      <c r="D4841" s="30">
        <v>1.0</v>
      </c>
      <c r="E4841" s="30">
        <v>1687.94</v>
      </c>
      <c r="F4841" s="30">
        <v>1687.94</v>
      </c>
    </row>
    <row r="4842">
      <c r="A4842" s="26" t="s">
        <v>12520</v>
      </c>
      <c r="B4842" s="26" t="s">
        <v>12522</v>
      </c>
      <c r="C4842" s="26" t="s">
        <v>3889</v>
      </c>
      <c r="D4842" s="30">
        <v>1.0</v>
      </c>
      <c r="E4842" s="30">
        <v>1295.0</v>
      </c>
      <c r="F4842" s="30">
        <v>1295.0</v>
      </c>
    </row>
    <row r="4843">
      <c r="A4843" s="26" t="s">
        <v>12524</v>
      </c>
      <c r="B4843" s="26" t="s">
        <v>12525</v>
      </c>
      <c r="C4843" s="26" t="s">
        <v>1239</v>
      </c>
      <c r="D4843" s="30">
        <v>1.0</v>
      </c>
      <c r="E4843" s="30">
        <v>4058.17</v>
      </c>
      <c r="F4843" s="30">
        <v>4058.17</v>
      </c>
    </row>
    <row r="4844">
      <c r="A4844" s="26" t="s">
        <v>12526</v>
      </c>
      <c r="B4844" s="26">
        <v>12376.0</v>
      </c>
      <c r="C4844" s="26" t="s">
        <v>1668</v>
      </c>
      <c r="D4844" s="30">
        <v>1.0</v>
      </c>
      <c r="E4844" s="30">
        <v>134.83</v>
      </c>
      <c r="F4844" s="30">
        <v>134.83</v>
      </c>
    </row>
    <row r="4845">
      <c r="A4845" s="26" t="s">
        <v>12528</v>
      </c>
      <c r="B4845" s="26">
        <v>12377.0</v>
      </c>
      <c r="C4845" s="26" t="s">
        <v>3218</v>
      </c>
      <c r="D4845" s="30">
        <v>1.0</v>
      </c>
      <c r="E4845" s="30">
        <v>9200.0</v>
      </c>
      <c r="F4845" s="30">
        <v>9200.0</v>
      </c>
    </row>
    <row r="4846">
      <c r="A4846" s="26" t="s">
        <v>12530</v>
      </c>
      <c r="B4846" s="26">
        <v>12379.0</v>
      </c>
      <c r="C4846" s="26" t="s">
        <v>873</v>
      </c>
      <c r="D4846" s="30">
        <v>1.0</v>
      </c>
      <c r="E4846" s="30">
        <v>0.0</v>
      </c>
      <c r="F4846" s="30">
        <v>0.0</v>
      </c>
    </row>
    <row r="4847">
      <c r="A4847" s="26" t="s">
        <v>12531</v>
      </c>
      <c r="B4847" s="26">
        <v>12380.0</v>
      </c>
      <c r="C4847" s="26" t="s">
        <v>8792</v>
      </c>
      <c r="D4847" s="30">
        <v>1.0</v>
      </c>
      <c r="E4847" s="30">
        <v>4521.0</v>
      </c>
      <c r="F4847" s="30">
        <v>4521.0</v>
      </c>
    </row>
    <row r="4848">
      <c r="A4848" s="26" t="s">
        <v>12534</v>
      </c>
      <c r="B4848" s="26">
        <v>12381.0</v>
      </c>
      <c r="C4848" s="10"/>
      <c r="D4848" s="30">
        <v>1.0</v>
      </c>
      <c r="E4848" s="30">
        <v>1.0</v>
      </c>
      <c r="F4848" s="30">
        <v>1.0</v>
      </c>
    </row>
    <row r="4849">
      <c r="A4849" s="26" t="s">
        <v>12536</v>
      </c>
      <c r="B4849" s="26" t="s">
        <v>12537</v>
      </c>
      <c r="C4849" s="26" t="s">
        <v>12538</v>
      </c>
      <c r="D4849" s="26">
        <v>1.0</v>
      </c>
      <c r="E4849" s="26">
        <v>3968.24</v>
      </c>
      <c r="F4849" s="26">
        <v>3968.24</v>
      </c>
    </row>
    <row r="4850">
      <c r="A4850" s="26" t="s">
        <v>12539</v>
      </c>
      <c r="B4850" s="26" t="s">
        <v>12537</v>
      </c>
      <c r="C4850" s="26" t="s">
        <v>10261</v>
      </c>
      <c r="D4850" s="26">
        <v>1.0</v>
      </c>
      <c r="E4850" s="26">
        <v>357.14</v>
      </c>
      <c r="F4850" s="26">
        <v>357.14</v>
      </c>
    </row>
    <row r="4851">
      <c r="A4851" s="26" t="s">
        <v>12542</v>
      </c>
      <c r="B4851" s="26" t="s">
        <v>12543</v>
      </c>
      <c r="C4851" s="29" t="s">
        <v>10424</v>
      </c>
      <c r="D4851" s="26">
        <v>10.0</v>
      </c>
      <c r="E4851" s="26">
        <v>30.0</v>
      </c>
      <c r="F4851" s="26">
        <v>300.0</v>
      </c>
    </row>
    <row r="4852">
      <c r="A4852" s="10"/>
      <c r="B4852" s="10"/>
      <c r="C4852" s="10"/>
      <c r="D4852" s="10"/>
      <c r="E4852" s="10"/>
      <c r="F4852" s="10"/>
    </row>
    <row r="4853">
      <c r="A4853" s="10"/>
      <c r="B4853" s="10"/>
      <c r="C4853" s="10"/>
      <c r="D4853" s="10"/>
      <c r="E4853" s="10"/>
      <c r="F4853" s="10"/>
    </row>
    <row r="4854">
      <c r="A4854" s="10"/>
      <c r="B4854" s="10"/>
      <c r="C4854" s="10"/>
      <c r="D4854" s="10"/>
      <c r="E4854" s="10"/>
      <c r="F4854" s="10"/>
    </row>
    <row r="4855">
      <c r="A4855" s="10"/>
      <c r="B4855" s="10"/>
      <c r="C4855" s="10"/>
      <c r="D4855" s="10"/>
      <c r="E4855" s="10"/>
      <c r="F4855" s="10"/>
    </row>
    <row r="4856">
      <c r="A4856" s="10"/>
      <c r="B4856" s="10"/>
      <c r="C4856" s="10"/>
      <c r="D4856" s="10"/>
      <c r="E4856" s="10"/>
      <c r="F4856" s="10"/>
    </row>
    <row r="4857">
      <c r="A4857" s="10"/>
      <c r="B4857" s="10"/>
      <c r="C4857" s="10"/>
      <c r="D4857" s="10"/>
      <c r="E4857" s="10"/>
      <c r="F4857" s="10"/>
    </row>
    <row r="4858">
      <c r="A4858" s="10"/>
      <c r="B4858" s="10"/>
      <c r="C4858" s="10"/>
      <c r="D4858" s="10"/>
      <c r="E4858" s="10"/>
      <c r="F4858" s="10"/>
    </row>
    <row r="4859">
      <c r="A4859" s="10"/>
      <c r="B4859" s="10"/>
      <c r="C4859" s="10"/>
      <c r="D4859" s="10"/>
      <c r="E4859" s="10"/>
      <c r="F4859" s="10"/>
    </row>
    <row r="4860">
      <c r="A4860" s="10"/>
      <c r="B4860" s="10"/>
      <c r="C4860" s="10"/>
      <c r="D4860" s="10"/>
      <c r="E4860" s="10"/>
      <c r="F4860" s="10"/>
    </row>
    <row r="4861">
      <c r="A4861" s="10"/>
      <c r="B4861" s="10"/>
      <c r="C4861" s="10"/>
      <c r="D4861" s="10"/>
      <c r="E4861" s="10"/>
      <c r="F4861" s="10"/>
    </row>
    <row r="4862">
      <c r="A4862" s="10"/>
      <c r="B4862" s="10"/>
      <c r="C4862" s="10"/>
      <c r="D4862" s="10"/>
      <c r="E4862" s="10"/>
      <c r="F4862" s="10"/>
    </row>
    <row r="4863">
      <c r="A4863" s="10"/>
      <c r="B4863" s="10"/>
      <c r="C4863" s="10"/>
      <c r="D4863" s="10"/>
      <c r="E4863" s="10"/>
      <c r="F4863" s="10"/>
    </row>
    <row r="4864">
      <c r="A4864" s="10"/>
      <c r="B4864" s="10"/>
      <c r="C4864" s="10"/>
      <c r="D4864" s="10"/>
      <c r="E4864" s="10"/>
      <c r="F4864" s="10"/>
    </row>
    <row r="4865">
      <c r="A4865" s="10"/>
      <c r="B4865" s="10"/>
      <c r="C4865" s="10"/>
      <c r="D4865" s="10"/>
      <c r="E4865" s="10"/>
      <c r="F4865" s="10"/>
    </row>
    <row r="4866">
      <c r="A4866" s="10"/>
      <c r="B4866" s="10"/>
      <c r="C4866" s="10"/>
      <c r="D4866" s="10"/>
      <c r="E4866" s="10"/>
      <c r="F4866" s="10"/>
    </row>
    <row r="4867">
      <c r="A4867" s="10"/>
      <c r="B4867" s="10"/>
      <c r="C4867" s="10"/>
      <c r="D4867" s="10"/>
      <c r="E4867" s="10"/>
      <c r="F4867" s="10"/>
    </row>
    <row r="4868">
      <c r="A4868" s="10"/>
      <c r="B4868" s="10"/>
      <c r="C4868" s="10"/>
      <c r="D4868" s="10"/>
      <c r="E4868" s="10"/>
      <c r="F4868" s="10"/>
    </row>
    <row r="4869">
      <c r="A4869" s="10"/>
      <c r="B4869" s="10"/>
      <c r="C4869" s="10"/>
      <c r="D4869" s="10"/>
      <c r="E4869" s="10"/>
      <c r="F4869" s="10"/>
    </row>
    <row r="4870">
      <c r="A4870" s="10"/>
      <c r="B4870" s="10"/>
      <c r="C4870" s="10"/>
      <c r="D4870" s="10"/>
      <c r="E4870" s="10"/>
      <c r="F4870" s="10"/>
    </row>
    <row r="4871">
      <c r="A4871" s="10"/>
      <c r="B4871" s="10"/>
      <c r="C4871" s="10"/>
      <c r="D4871" s="10"/>
      <c r="E4871" s="10"/>
      <c r="F4871" s="10"/>
    </row>
    <row r="4872">
      <c r="A4872" s="10"/>
      <c r="B4872" s="10"/>
      <c r="C4872" s="10"/>
      <c r="D4872" s="10"/>
      <c r="E4872" s="10"/>
      <c r="F4872" s="10"/>
    </row>
    <row r="4873">
      <c r="A4873" s="10"/>
      <c r="B4873" s="10"/>
      <c r="C4873" s="10"/>
      <c r="D4873" s="10"/>
      <c r="E4873" s="10"/>
      <c r="F4873" s="10"/>
    </row>
    <row r="4874">
      <c r="A4874" s="10"/>
      <c r="B4874" s="10"/>
      <c r="C4874" s="10"/>
      <c r="D4874" s="10"/>
      <c r="E4874" s="10"/>
      <c r="F4874" s="10"/>
    </row>
    <row r="4875">
      <c r="A4875" s="10"/>
      <c r="B4875" s="10"/>
      <c r="C4875" s="10"/>
      <c r="D4875" s="10"/>
      <c r="E4875" s="10"/>
      <c r="F4875" s="10"/>
    </row>
    <row r="4876">
      <c r="A4876" s="10"/>
      <c r="B4876" s="10"/>
      <c r="C4876" s="10"/>
      <c r="D4876" s="10"/>
      <c r="E4876" s="10"/>
      <c r="F4876" s="10"/>
    </row>
    <row r="4877">
      <c r="A4877" s="10"/>
      <c r="B4877" s="10"/>
      <c r="C4877" s="10"/>
      <c r="D4877" s="10"/>
      <c r="E4877" s="10"/>
      <c r="F4877" s="10"/>
    </row>
    <row r="4878">
      <c r="A4878" s="10"/>
      <c r="B4878" s="10"/>
      <c r="C4878" s="10"/>
      <c r="D4878" s="10"/>
      <c r="E4878" s="10"/>
      <c r="F4878" s="10"/>
    </row>
    <row r="4879">
      <c r="A4879" s="10"/>
      <c r="B4879" s="10"/>
      <c r="C4879" s="10"/>
      <c r="D4879" s="10"/>
      <c r="E4879" s="10"/>
      <c r="F4879" s="10"/>
    </row>
    <row r="4880">
      <c r="A4880" s="10"/>
      <c r="B4880" s="10"/>
      <c r="C4880" s="10"/>
      <c r="D4880" s="10"/>
      <c r="E4880" s="10"/>
      <c r="F4880" s="10"/>
    </row>
    <row r="4881">
      <c r="A4881" s="10"/>
      <c r="B4881" s="10"/>
      <c r="C4881" s="10"/>
      <c r="D4881" s="10"/>
      <c r="E4881" s="10"/>
      <c r="F4881" s="10"/>
    </row>
    <row r="4882">
      <c r="A4882" s="10"/>
      <c r="B4882" s="10"/>
      <c r="C4882" s="10"/>
      <c r="D4882" s="10"/>
      <c r="E4882" s="10"/>
      <c r="F4882" s="10"/>
    </row>
    <row r="4883">
      <c r="A4883" s="10"/>
      <c r="B4883" s="10"/>
      <c r="C4883" s="10"/>
      <c r="D4883" s="10"/>
      <c r="E4883" s="10"/>
      <c r="F4883" s="10"/>
    </row>
    <row r="4884">
      <c r="A4884" s="10"/>
      <c r="B4884" s="10"/>
      <c r="C4884" s="10"/>
      <c r="D4884" s="10"/>
      <c r="E4884" s="10"/>
      <c r="F4884" s="10"/>
    </row>
    <row r="4885">
      <c r="A4885" s="10"/>
      <c r="B4885" s="10"/>
      <c r="C4885" s="10"/>
      <c r="D4885" s="10"/>
      <c r="E4885" s="10"/>
      <c r="F4885" s="10"/>
    </row>
    <row r="4886">
      <c r="A4886" s="10"/>
      <c r="B4886" s="10"/>
      <c r="C4886" s="10"/>
      <c r="D4886" s="10"/>
      <c r="E4886" s="10"/>
      <c r="F4886" s="10"/>
    </row>
    <row r="4887">
      <c r="A4887" s="10"/>
      <c r="B4887" s="10"/>
      <c r="C4887" s="10"/>
      <c r="D4887" s="10"/>
      <c r="E4887" s="10"/>
      <c r="F4887" s="10"/>
    </row>
    <row r="4888">
      <c r="A4888" s="10"/>
      <c r="B4888" s="10"/>
      <c r="C4888" s="10"/>
      <c r="D4888" s="10"/>
      <c r="E4888" s="10"/>
      <c r="F4888" s="10"/>
    </row>
    <row r="4889">
      <c r="A4889" s="10"/>
      <c r="B4889" s="10"/>
      <c r="C4889" s="10"/>
      <c r="D4889" s="10"/>
      <c r="E4889" s="10"/>
      <c r="F4889" s="10"/>
    </row>
    <row r="4890">
      <c r="A4890" s="10"/>
      <c r="B4890" s="10"/>
      <c r="C4890" s="10"/>
      <c r="D4890" s="10"/>
      <c r="E4890" s="10"/>
      <c r="F4890" s="10"/>
    </row>
    <row r="4891">
      <c r="A4891" s="10"/>
      <c r="B4891" s="10"/>
      <c r="C4891" s="10"/>
      <c r="D4891" s="10"/>
      <c r="E4891" s="10"/>
      <c r="F4891" s="10"/>
    </row>
    <row r="4892">
      <c r="A4892" s="10"/>
      <c r="B4892" s="10"/>
      <c r="C4892" s="10"/>
      <c r="D4892" s="10"/>
      <c r="E4892" s="10"/>
      <c r="F4892" s="10"/>
    </row>
    <row r="4893">
      <c r="A4893" s="10"/>
      <c r="B4893" s="10"/>
      <c r="C4893" s="10"/>
      <c r="D4893" s="10"/>
      <c r="E4893" s="10"/>
      <c r="F4893" s="10"/>
    </row>
    <row r="4894">
      <c r="A4894" s="10"/>
      <c r="B4894" s="10"/>
      <c r="C4894" s="10"/>
      <c r="D4894" s="10"/>
      <c r="E4894" s="10"/>
      <c r="F4894" s="10"/>
    </row>
    <row r="4895">
      <c r="A4895" s="10"/>
      <c r="B4895" s="10"/>
      <c r="C4895" s="10"/>
      <c r="D4895" s="10"/>
      <c r="E4895" s="10"/>
      <c r="F4895" s="10"/>
    </row>
    <row r="4896">
      <c r="A4896" s="10"/>
      <c r="B4896" s="10"/>
      <c r="C4896" s="10"/>
      <c r="D4896" s="10"/>
      <c r="E4896" s="10"/>
      <c r="F4896" s="10"/>
    </row>
    <row r="4897">
      <c r="A4897" s="10"/>
      <c r="B4897" s="10"/>
      <c r="C4897" s="10"/>
      <c r="D4897" s="10"/>
      <c r="E4897" s="10"/>
      <c r="F4897" s="10"/>
    </row>
    <row r="4898">
      <c r="A4898" s="10"/>
      <c r="B4898" s="10"/>
      <c r="C4898" s="10"/>
      <c r="D4898" s="10"/>
      <c r="E4898" s="10"/>
      <c r="F4898" s="10"/>
    </row>
    <row r="4899">
      <c r="A4899" s="10"/>
      <c r="B4899" s="10"/>
      <c r="C4899" s="10"/>
      <c r="D4899" s="10"/>
      <c r="E4899" s="10"/>
      <c r="F4899" s="10"/>
    </row>
    <row r="4900">
      <c r="A4900" s="10"/>
      <c r="B4900" s="10"/>
      <c r="C4900" s="10"/>
      <c r="D4900" s="10"/>
      <c r="E4900" s="10"/>
      <c r="F4900" s="10"/>
    </row>
    <row r="4901">
      <c r="A4901" s="10"/>
      <c r="B4901" s="10"/>
      <c r="C4901" s="10"/>
      <c r="D4901" s="10"/>
      <c r="E4901" s="10"/>
      <c r="F4901" s="10"/>
    </row>
    <row r="4902">
      <c r="A4902" s="10"/>
      <c r="B4902" s="10"/>
      <c r="C4902" s="10"/>
      <c r="D4902" s="10"/>
      <c r="E4902" s="10"/>
      <c r="F4902" s="10"/>
    </row>
    <row r="4903">
      <c r="A4903" s="10"/>
      <c r="B4903" s="10"/>
      <c r="C4903" s="10"/>
      <c r="D4903" s="10"/>
      <c r="E4903" s="10"/>
      <c r="F4903" s="10"/>
    </row>
    <row r="4904">
      <c r="A4904" s="10"/>
      <c r="B4904" s="10"/>
      <c r="C4904" s="10"/>
      <c r="D4904" s="10"/>
      <c r="E4904" s="10"/>
      <c r="F4904" s="10"/>
    </row>
    <row r="4905">
      <c r="A4905" s="10"/>
      <c r="B4905" s="10"/>
      <c r="C4905" s="10"/>
      <c r="D4905" s="10"/>
      <c r="E4905" s="10"/>
      <c r="F4905" s="10"/>
    </row>
    <row r="4906">
      <c r="A4906" s="10"/>
      <c r="B4906" s="10"/>
      <c r="C4906" s="10"/>
      <c r="D4906" s="10"/>
      <c r="E4906" s="10"/>
      <c r="F4906" s="10"/>
    </row>
    <row r="4907">
      <c r="A4907" s="10"/>
      <c r="B4907" s="10"/>
      <c r="C4907" s="10"/>
      <c r="D4907" s="10"/>
      <c r="E4907" s="10"/>
      <c r="F4907" s="10"/>
    </row>
    <row r="4908">
      <c r="A4908" s="10"/>
      <c r="B4908" s="10"/>
      <c r="C4908" s="10"/>
      <c r="D4908" s="10"/>
      <c r="E4908" s="10"/>
      <c r="F4908" s="10"/>
    </row>
    <row r="4909">
      <c r="A4909" s="10"/>
      <c r="B4909" s="10"/>
      <c r="C4909" s="10"/>
      <c r="D4909" s="10"/>
      <c r="E4909" s="10"/>
      <c r="F4909" s="10"/>
    </row>
    <row r="4910">
      <c r="A4910" s="10"/>
      <c r="B4910" s="10"/>
      <c r="C4910" s="10"/>
      <c r="D4910" s="10"/>
      <c r="E4910" s="10"/>
      <c r="F4910" s="10"/>
    </row>
    <row r="4911">
      <c r="A4911" s="10"/>
      <c r="B4911" s="10"/>
      <c r="C4911" s="10"/>
      <c r="D4911" s="10"/>
      <c r="E4911" s="10"/>
      <c r="F4911" s="10"/>
    </row>
    <row r="4912">
      <c r="A4912" s="10"/>
      <c r="B4912" s="10"/>
      <c r="C4912" s="10"/>
      <c r="D4912" s="10"/>
      <c r="E4912" s="10"/>
      <c r="F4912" s="10"/>
    </row>
    <row r="4913">
      <c r="A4913" s="10"/>
      <c r="B4913" s="10"/>
      <c r="C4913" s="10"/>
      <c r="D4913" s="10"/>
      <c r="E4913" s="10"/>
      <c r="F4913" s="10"/>
    </row>
    <row r="4914">
      <c r="A4914" s="10"/>
      <c r="B4914" s="10"/>
      <c r="C4914" s="10"/>
      <c r="D4914" s="10"/>
      <c r="E4914" s="10"/>
      <c r="F4914" s="10"/>
    </row>
    <row r="4915">
      <c r="A4915" s="10"/>
      <c r="B4915" s="10"/>
      <c r="C4915" s="10"/>
      <c r="D4915" s="10"/>
      <c r="E4915" s="10"/>
      <c r="F4915" s="10"/>
    </row>
    <row r="4916">
      <c r="A4916" s="10"/>
      <c r="B4916" s="10"/>
      <c r="C4916" s="10"/>
      <c r="D4916" s="10"/>
      <c r="E4916" s="10"/>
      <c r="F4916" s="10"/>
    </row>
    <row r="4917">
      <c r="A4917" s="10"/>
      <c r="B4917" s="10"/>
      <c r="C4917" s="10"/>
      <c r="D4917" s="10"/>
      <c r="E4917" s="10"/>
      <c r="F4917" s="10"/>
    </row>
    <row r="4918">
      <c r="A4918" s="10"/>
      <c r="B4918" s="10"/>
      <c r="C4918" s="10"/>
      <c r="D4918" s="10"/>
      <c r="E4918" s="10"/>
      <c r="F4918" s="10"/>
    </row>
    <row r="4919">
      <c r="A4919" s="10"/>
      <c r="B4919" s="10"/>
      <c r="C4919" s="10"/>
      <c r="D4919" s="10"/>
      <c r="E4919" s="10"/>
      <c r="F4919" s="10"/>
    </row>
    <row r="4920">
      <c r="A4920" s="10"/>
      <c r="B4920" s="10"/>
      <c r="C4920" s="10"/>
      <c r="D4920" s="10"/>
      <c r="E4920" s="10"/>
      <c r="F4920" s="10"/>
    </row>
    <row r="4921">
      <c r="A4921" s="10"/>
      <c r="B4921" s="10"/>
      <c r="C4921" s="10"/>
      <c r="D4921" s="10"/>
      <c r="E4921" s="10"/>
      <c r="F4921" s="10"/>
    </row>
    <row r="4922">
      <c r="A4922" s="10"/>
      <c r="B4922" s="10"/>
      <c r="C4922" s="10"/>
      <c r="D4922" s="10"/>
      <c r="E4922" s="10"/>
      <c r="F4922" s="10"/>
    </row>
    <row r="4923">
      <c r="A4923" s="10"/>
      <c r="B4923" s="10"/>
      <c r="C4923" s="10"/>
      <c r="D4923" s="10"/>
      <c r="E4923" s="10"/>
      <c r="F4923" s="10"/>
    </row>
    <row r="4924">
      <c r="A4924" s="10"/>
      <c r="B4924" s="10"/>
      <c r="C4924" s="10"/>
      <c r="D4924" s="10"/>
      <c r="E4924" s="10"/>
      <c r="F4924" s="10"/>
    </row>
    <row r="4925">
      <c r="A4925" s="10"/>
      <c r="B4925" s="10"/>
      <c r="C4925" s="10"/>
      <c r="D4925" s="10"/>
      <c r="E4925" s="10"/>
      <c r="F4925" s="10"/>
    </row>
    <row r="4926">
      <c r="A4926" s="10"/>
      <c r="B4926" s="10"/>
      <c r="C4926" s="10"/>
      <c r="D4926" s="10"/>
      <c r="E4926" s="10"/>
      <c r="F4926" s="10"/>
    </row>
    <row r="4927">
      <c r="A4927" s="10"/>
      <c r="B4927" s="10"/>
      <c r="C4927" s="10"/>
      <c r="D4927" s="10"/>
      <c r="E4927" s="10"/>
      <c r="F4927" s="10"/>
    </row>
    <row r="4928">
      <c r="A4928" s="10"/>
      <c r="B4928" s="10"/>
      <c r="C4928" s="10"/>
      <c r="D4928" s="10"/>
      <c r="E4928" s="10"/>
      <c r="F4928" s="10"/>
    </row>
    <row r="4929">
      <c r="A4929" s="10"/>
      <c r="B4929" s="10"/>
      <c r="C4929" s="10"/>
      <c r="D4929" s="10"/>
      <c r="E4929" s="10"/>
      <c r="F4929" s="10"/>
    </row>
    <row r="4930">
      <c r="A4930" s="10"/>
      <c r="B4930" s="10"/>
      <c r="C4930" s="10"/>
      <c r="D4930" s="10"/>
      <c r="E4930" s="10"/>
      <c r="F4930" s="10"/>
    </row>
    <row r="4931">
      <c r="A4931" s="10"/>
      <c r="B4931" s="10"/>
      <c r="C4931" s="10"/>
      <c r="D4931" s="10"/>
      <c r="E4931" s="10"/>
      <c r="F4931" s="10"/>
    </row>
    <row r="4932">
      <c r="A4932" s="10"/>
      <c r="B4932" s="10"/>
      <c r="C4932" s="10"/>
      <c r="D4932" s="10"/>
      <c r="E4932" s="10"/>
      <c r="F4932" s="10"/>
    </row>
    <row r="4933">
      <c r="A4933" s="10"/>
      <c r="B4933" s="10"/>
      <c r="C4933" s="10"/>
      <c r="D4933" s="10"/>
      <c r="E4933" s="10"/>
      <c r="F4933" s="10"/>
    </row>
    <row r="4934">
      <c r="A4934" s="10"/>
      <c r="B4934" s="10"/>
      <c r="C4934" s="10"/>
      <c r="D4934" s="10"/>
      <c r="E4934" s="10"/>
      <c r="F4934" s="10"/>
    </row>
    <row r="4935">
      <c r="A4935" s="10"/>
      <c r="B4935" s="10"/>
      <c r="C4935" s="10"/>
      <c r="D4935" s="10"/>
      <c r="E4935" s="10"/>
      <c r="F4935" s="10"/>
    </row>
    <row r="4936">
      <c r="A4936" s="10"/>
      <c r="B4936" s="10"/>
      <c r="C4936" s="10"/>
      <c r="D4936" s="10"/>
      <c r="E4936" s="10"/>
      <c r="F4936" s="10"/>
    </row>
    <row r="4937">
      <c r="A4937" s="10"/>
      <c r="B4937" s="10"/>
      <c r="C4937" s="10"/>
      <c r="D4937" s="10"/>
      <c r="E4937" s="10"/>
      <c r="F4937" s="10"/>
    </row>
    <row r="4938">
      <c r="A4938" s="10"/>
      <c r="B4938" s="10"/>
      <c r="C4938" s="10"/>
      <c r="D4938" s="10"/>
      <c r="E4938" s="10"/>
      <c r="F4938" s="10"/>
    </row>
    <row r="4939">
      <c r="A4939" s="10"/>
      <c r="B4939" s="10"/>
      <c r="C4939" s="10"/>
      <c r="D4939" s="10"/>
      <c r="E4939" s="10"/>
      <c r="F4939" s="10"/>
    </row>
    <row r="4940">
      <c r="A4940" s="10"/>
      <c r="B4940" s="10"/>
      <c r="C4940" s="10"/>
      <c r="D4940" s="10"/>
      <c r="E4940" s="10"/>
      <c r="F4940" s="10"/>
    </row>
    <row r="4941">
      <c r="A4941" s="10"/>
      <c r="B4941" s="10"/>
      <c r="C4941" s="10"/>
      <c r="D4941" s="10"/>
      <c r="E4941" s="10"/>
      <c r="F4941" s="10"/>
    </row>
    <row r="4942">
      <c r="A4942" s="10"/>
      <c r="B4942" s="10"/>
      <c r="C4942" s="10"/>
      <c r="D4942" s="10"/>
      <c r="E4942" s="10"/>
      <c r="F4942" s="10"/>
    </row>
    <row r="4943">
      <c r="A4943" s="10"/>
      <c r="B4943" s="10"/>
      <c r="C4943" s="10"/>
      <c r="D4943" s="10"/>
      <c r="E4943" s="10"/>
      <c r="F4943" s="10"/>
    </row>
    <row r="4944">
      <c r="A4944" s="10"/>
      <c r="B4944" s="10"/>
      <c r="C4944" s="10"/>
      <c r="D4944" s="10"/>
      <c r="E4944" s="10"/>
      <c r="F4944" s="10"/>
    </row>
    <row r="4945">
      <c r="A4945" s="10"/>
      <c r="B4945" s="10"/>
      <c r="C4945" s="10"/>
      <c r="D4945" s="10"/>
      <c r="E4945" s="10"/>
      <c r="F4945" s="10"/>
    </row>
    <row r="4946">
      <c r="A4946" s="10"/>
      <c r="B4946" s="10"/>
      <c r="C4946" s="10"/>
      <c r="D4946" s="10"/>
      <c r="E4946" s="10"/>
      <c r="F4946" s="10"/>
    </row>
    <row r="4947">
      <c r="A4947" s="10"/>
      <c r="B4947" s="10"/>
      <c r="C4947" s="10"/>
      <c r="D4947" s="10"/>
      <c r="E4947" s="10"/>
      <c r="F4947" s="10"/>
    </row>
    <row r="4948">
      <c r="A4948" s="10"/>
      <c r="B4948" s="10"/>
      <c r="C4948" s="10"/>
      <c r="D4948" s="10"/>
      <c r="E4948" s="10"/>
      <c r="F4948" s="10"/>
    </row>
    <row r="4949">
      <c r="A4949" s="10"/>
      <c r="B4949" s="10"/>
      <c r="C4949" s="10"/>
      <c r="D4949" s="10"/>
      <c r="E4949" s="10"/>
      <c r="F4949" s="10"/>
    </row>
    <row r="4950">
      <c r="A4950" s="10"/>
      <c r="B4950" s="10"/>
      <c r="C4950" s="10"/>
      <c r="D4950" s="10"/>
      <c r="E4950" s="10"/>
      <c r="F4950" s="10"/>
    </row>
    <row r="4951">
      <c r="A4951" s="10"/>
      <c r="B4951" s="10"/>
      <c r="C4951" s="10"/>
      <c r="D4951" s="10"/>
      <c r="E4951" s="10"/>
      <c r="F4951" s="10"/>
    </row>
    <row r="4952">
      <c r="A4952" s="10"/>
      <c r="B4952" s="10"/>
      <c r="C4952" s="10"/>
      <c r="D4952" s="10"/>
      <c r="E4952" s="10"/>
      <c r="F4952" s="10"/>
    </row>
    <row r="4953">
      <c r="A4953" s="10"/>
      <c r="B4953" s="10"/>
      <c r="C4953" s="10"/>
      <c r="D4953" s="10"/>
      <c r="E4953" s="10"/>
      <c r="F4953" s="10"/>
    </row>
    <row r="4954">
      <c r="A4954" s="10"/>
      <c r="B4954" s="10"/>
      <c r="C4954" s="10"/>
      <c r="D4954" s="10"/>
      <c r="E4954" s="10"/>
      <c r="F4954" s="10"/>
    </row>
    <row r="4955">
      <c r="A4955" s="10"/>
      <c r="B4955" s="10"/>
      <c r="C4955" s="10"/>
      <c r="D4955" s="10"/>
      <c r="E4955" s="10"/>
      <c r="F4955" s="10"/>
    </row>
    <row r="4956">
      <c r="A4956" s="10"/>
      <c r="B4956" s="10"/>
      <c r="C4956" s="10"/>
      <c r="D4956" s="10"/>
      <c r="E4956" s="10"/>
      <c r="F4956" s="10"/>
    </row>
    <row r="4957">
      <c r="A4957" s="10"/>
      <c r="B4957" s="10"/>
      <c r="C4957" s="10"/>
      <c r="D4957" s="10"/>
      <c r="E4957" s="10"/>
      <c r="F4957" s="10"/>
    </row>
    <row r="4958">
      <c r="A4958" s="10"/>
      <c r="B4958" s="10"/>
      <c r="C4958" s="10"/>
      <c r="D4958" s="10"/>
      <c r="E4958" s="10"/>
      <c r="F4958" s="10"/>
    </row>
    <row r="4959">
      <c r="A4959" s="10"/>
      <c r="B4959" s="10"/>
      <c r="C4959" s="10"/>
      <c r="D4959" s="10"/>
      <c r="E4959" s="10"/>
      <c r="F4959" s="10"/>
    </row>
    <row r="4960">
      <c r="A4960" s="10"/>
      <c r="B4960" s="10"/>
      <c r="C4960" s="10"/>
      <c r="D4960" s="10"/>
      <c r="E4960" s="10"/>
      <c r="F4960" s="10"/>
    </row>
    <row r="4961">
      <c r="A4961" s="10"/>
      <c r="B4961" s="10"/>
      <c r="C4961" s="10"/>
      <c r="D4961" s="10"/>
      <c r="E4961" s="10"/>
      <c r="F4961" s="10"/>
    </row>
    <row r="4962">
      <c r="A4962" s="10"/>
      <c r="B4962" s="10"/>
      <c r="C4962" s="10"/>
      <c r="D4962" s="10"/>
      <c r="E4962" s="10"/>
      <c r="F4962" s="10"/>
    </row>
    <row r="4963">
      <c r="A4963" s="10"/>
      <c r="B4963" s="10"/>
      <c r="C4963" s="10"/>
      <c r="D4963" s="10"/>
      <c r="E4963" s="10"/>
      <c r="F4963" s="10"/>
    </row>
    <row r="4964">
      <c r="A4964" s="10"/>
      <c r="B4964" s="10"/>
      <c r="C4964" s="10"/>
      <c r="D4964" s="10"/>
      <c r="E4964" s="10"/>
      <c r="F4964" s="10"/>
    </row>
    <row r="4965">
      <c r="A4965" s="10"/>
      <c r="B4965" s="10"/>
      <c r="C4965" s="10"/>
      <c r="D4965" s="10"/>
      <c r="E4965" s="10"/>
      <c r="F4965" s="10"/>
    </row>
    <row r="4966">
      <c r="A4966" s="10"/>
      <c r="B4966" s="10"/>
      <c r="C4966" s="10"/>
      <c r="D4966" s="10"/>
      <c r="E4966" s="10"/>
      <c r="F4966" s="10"/>
    </row>
    <row r="4967">
      <c r="A4967" s="10"/>
      <c r="B4967" s="10"/>
      <c r="C4967" s="10"/>
      <c r="D4967" s="10"/>
      <c r="E4967" s="10"/>
      <c r="F4967" s="10"/>
    </row>
    <row r="4968">
      <c r="A4968" s="10"/>
      <c r="B4968" s="10"/>
      <c r="C4968" s="10"/>
      <c r="D4968" s="10"/>
      <c r="E4968" s="10"/>
      <c r="F4968" s="10"/>
    </row>
    <row r="4969">
      <c r="A4969" s="10"/>
      <c r="B4969" s="10"/>
      <c r="C4969" s="10"/>
      <c r="D4969" s="10"/>
      <c r="E4969" s="10"/>
      <c r="F4969" s="10"/>
    </row>
    <row r="4970">
      <c r="A4970" s="10"/>
      <c r="B4970" s="10"/>
      <c r="C4970" s="10"/>
      <c r="D4970" s="10"/>
      <c r="E4970" s="10"/>
      <c r="F4970" s="10"/>
    </row>
    <row r="4971">
      <c r="A4971" s="10"/>
      <c r="B4971" s="10"/>
      <c r="C4971" s="10"/>
      <c r="D4971" s="10"/>
      <c r="E4971" s="10"/>
      <c r="F4971" s="10"/>
    </row>
    <row r="4972">
      <c r="A4972" s="10"/>
      <c r="B4972" s="10"/>
      <c r="C4972" s="10"/>
      <c r="D4972" s="10"/>
      <c r="E4972" s="10"/>
      <c r="F4972" s="10"/>
    </row>
    <row r="4973">
      <c r="A4973" s="10"/>
      <c r="B4973" s="10"/>
      <c r="C4973" s="10"/>
      <c r="D4973" s="10"/>
      <c r="E4973" s="10"/>
      <c r="F4973" s="10"/>
    </row>
    <row r="4974">
      <c r="A4974" s="10"/>
      <c r="B4974" s="10"/>
      <c r="C4974" s="10"/>
      <c r="D4974" s="10"/>
      <c r="E4974" s="10"/>
      <c r="F4974" s="10"/>
    </row>
    <row r="4975">
      <c r="A4975" s="10"/>
      <c r="B4975" s="10"/>
      <c r="C4975" s="10"/>
      <c r="D4975" s="10"/>
      <c r="E4975" s="10"/>
      <c r="F4975" s="10"/>
    </row>
    <row r="4976">
      <c r="A4976" s="10"/>
      <c r="B4976" s="10"/>
      <c r="C4976" s="10"/>
      <c r="D4976" s="10"/>
      <c r="E4976" s="10"/>
      <c r="F4976" s="10"/>
    </row>
    <row r="4977">
      <c r="A4977" s="10"/>
      <c r="B4977" s="10"/>
      <c r="C4977" s="10"/>
      <c r="D4977" s="10"/>
      <c r="E4977" s="10"/>
      <c r="F4977" s="10"/>
    </row>
    <row r="4978">
      <c r="A4978" s="10"/>
      <c r="B4978" s="10"/>
      <c r="C4978" s="10"/>
      <c r="D4978" s="10"/>
      <c r="E4978" s="10"/>
      <c r="F4978" s="10"/>
    </row>
    <row r="4979">
      <c r="A4979" s="10"/>
      <c r="B4979" s="10"/>
      <c r="C4979" s="10"/>
      <c r="D4979" s="10"/>
      <c r="E4979" s="10"/>
      <c r="F4979" s="10"/>
    </row>
    <row r="4980">
      <c r="A4980" s="10"/>
      <c r="B4980" s="10"/>
      <c r="C4980" s="10"/>
      <c r="D4980" s="10"/>
      <c r="E4980" s="10"/>
      <c r="F4980" s="10"/>
    </row>
    <row r="4981">
      <c r="A4981" s="10"/>
      <c r="B4981" s="10"/>
      <c r="C4981" s="10"/>
      <c r="D4981" s="10"/>
      <c r="E4981" s="10"/>
      <c r="F4981" s="10"/>
    </row>
    <row r="4982">
      <c r="A4982" s="10"/>
      <c r="B4982" s="10"/>
      <c r="C4982" s="10"/>
      <c r="D4982" s="10"/>
      <c r="E4982" s="10"/>
      <c r="F4982" s="10"/>
    </row>
    <row r="4983">
      <c r="A4983" s="10"/>
      <c r="B4983" s="10"/>
      <c r="C4983" s="10"/>
      <c r="D4983" s="10"/>
      <c r="E4983" s="10"/>
      <c r="F4983" s="10"/>
    </row>
    <row r="4984">
      <c r="A4984" s="10"/>
      <c r="B4984" s="10"/>
      <c r="C4984" s="10"/>
      <c r="D4984" s="10"/>
      <c r="E4984" s="10"/>
      <c r="F4984" s="10"/>
    </row>
    <row r="4985">
      <c r="A4985" s="10"/>
      <c r="B4985" s="10"/>
      <c r="C4985" s="10"/>
      <c r="D4985" s="10"/>
      <c r="E4985" s="10"/>
      <c r="F4985" s="10"/>
    </row>
    <row r="4986">
      <c r="A4986" s="10"/>
      <c r="B4986" s="10"/>
      <c r="C4986" s="10"/>
      <c r="D4986" s="10"/>
      <c r="E4986" s="10"/>
      <c r="F4986" s="10"/>
    </row>
    <row r="4987">
      <c r="A4987" s="10"/>
      <c r="B4987" s="10"/>
      <c r="C4987" s="10"/>
      <c r="D4987" s="10"/>
      <c r="E4987" s="10"/>
      <c r="F4987" s="10"/>
    </row>
    <row r="4988">
      <c r="A4988" s="10"/>
      <c r="B4988" s="10"/>
      <c r="C4988" s="10"/>
      <c r="D4988" s="10"/>
      <c r="E4988" s="10"/>
      <c r="F4988" s="10"/>
    </row>
    <row r="4989">
      <c r="A4989" s="10"/>
      <c r="B4989" s="10"/>
      <c r="C4989" s="10"/>
      <c r="D4989" s="10"/>
      <c r="E4989" s="10"/>
      <c r="F4989" s="10"/>
    </row>
    <row r="4990">
      <c r="A4990" s="10"/>
      <c r="B4990" s="10"/>
      <c r="C4990" s="10"/>
      <c r="D4990" s="10"/>
      <c r="E4990" s="10"/>
      <c r="F4990" s="10"/>
    </row>
    <row r="4991">
      <c r="A4991" s="10"/>
      <c r="B4991" s="10"/>
      <c r="C4991" s="10"/>
      <c r="D4991" s="10"/>
      <c r="E4991" s="10"/>
      <c r="F4991" s="10"/>
    </row>
    <row r="4992">
      <c r="A4992" s="10"/>
      <c r="B4992" s="10"/>
      <c r="C4992" s="10"/>
      <c r="D4992" s="10"/>
      <c r="E4992" s="10"/>
      <c r="F4992" s="10"/>
    </row>
    <row r="4993">
      <c r="A4993" s="10"/>
      <c r="B4993" s="10"/>
      <c r="C4993" s="10"/>
      <c r="D4993" s="10"/>
      <c r="E4993" s="10"/>
      <c r="F4993" s="10"/>
    </row>
    <row r="4994">
      <c r="A4994" s="10"/>
      <c r="B4994" s="10"/>
      <c r="C4994" s="10"/>
      <c r="D4994" s="10"/>
      <c r="E4994" s="10"/>
      <c r="F4994" s="10"/>
    </row>
    <row r="4995">
      <c r="A4995" s="10"/>
      <c r="B4995" s="10"/>
      <c r="C4995" s="10"/>
      <c r="D4995" s="10"/>
      <c r="E4995" s="10"/>
      <c r="F4995" s="10"/>
    </row>
    <row r="4996">
      <c r="A4996" s="10"/>
      <c r="B4996" s="10"/>
      <c r="C4996" s="10"/>
      <c r="D4996" s="10"/>
      <c r="E4996" s="10"/>
      <c r="F4996" s="10"/>
    </row>
    <row r="4997">
      <c r="A4997" s="10"/>
      <c r="B4997" s="10"/>
      <c r="C4997" s="10"/>
      <c r="D4997" s="10"/>
      <c r="E4997" s="10"/>
      <c r="F4997" s="10"/>
    </row>
    <row r="4998">
      <c r="A4998" s="10"/>
      <c r="B4998" s="10"/>
      <c r="C4998" s="10"/>
      <c r="D4998" s="10"/>
      <c r="E4998" s="10"/>
      <c r="F4998" s="10"/>
    </row>
    <row r="4999">
      <c r="A4999" s="10"/>
      <c r="B4999" s="10"/>
      <c r="C4999" s="10"/>
      <c r="D4999" s="10"/>
      <c r="E4999" s="10"/>
      <c r="F4999" s="10"/>
    </row>
    <row r="5000">
      <c r="A5000" s="10"/>
      <c r="B5000" s="10"/>
      <c r="C5000" s="10"/>
      <c r="D5000" s="10"/>
      <c r="E5000" s="10"/>
      <c r="F5000" s="10"/>
    </row>
    <row r="5001">
      <c r="A5001" s="10"/>
      <c r="B5001" s="10"/>
      <c r="C5001" s="10"/>
      <c r="D5001" s="10"/>
      <c r="E5001" s="10"/>
      <c r="F5001" s="10"/>
    </row>
    <row r="5002">
      <c r="A5002" s="10"/>
      <c r="B5002" s="10"/>
      <c r="C5002" s="10"/>
      <c r="D5002" s="10"/>
      <c r="E5002" s="10"/>
      <c r="F5002" s="10"/>
    </row>
    <row r="5003">
      <c r="A5003" s="10"/>
      <c r="B5003" s="10"/>
      <c r="C5003" s="10"/>
      <c r="D5003" s="10"/>
      <c r="E5003" s="10"/>
      <c r="F5003" s="10"/>
    </row>
    <row r="5004">
      <c r="A5004" s="10"/>
      <c r="B5004" s="10"/>
      <c r="C5004" s="10"/>
      <c r="D5004" s="10"/>
      <c r="E5004" s="10"/>
      <c r="F5004" s="10"/>
    </row>
    <row r="5005">
      <c r="A5005" s="10"/>
      <c r="B5005" s="10"/>
      <c r="C5005" s="10"/>
      <c r="D5005" s="10"/>
      <c r="E5005" s="10"/>
      <c r="F5005" s="10"/>
    </row>
    <row r="5006">
      <c r="A5006" s="10"/>
      <c r="B5006" s="10"/>
      <c r="C5006" s="10"/>
      <c r="D5006" s="10"/>
      <c r="E5006" s="10"/>
      <c r="F5006" s="10"/>
    </row>
    <row r="5007">
      <c r="A5007" s="10"/>
      <c r="B5007" s="10"/>
      <c r="C5007" s="10"/>
      <c r="D5007" s="10"/>
      <c r="E5007" s="10"/>
      <c r="F5007" s="10"/>
    </row>
    <row r="5008">
      <c r="A5008" s="10"/>
      <c r="B5008" s="10"/>
      <c r="C5008" s="10"/>
      <c r="D5008" s="10"/>
      <c r="E5008" s="10"/>
      <c r="F5008" s="10"/>
    </row>
    <row r="5009">
      <c r="A5009" s="10"/>
      <c r="B5009" s="10"/>
      <c r="C5009" s="10"/>
      <c r="D5009" s="10"/>
      <c r="E5009" s="10"/>
      <c r="F5009" s="10"/>
    </row>
    <row r="5010">
      <c r="A5010" s="10"/>
      <c r="B5010" s="10"/>
      <c r="C5010" s="10"/>
      <c r="D5010" s="10"/>
      <c r="E5010" s="10"/>
      <c r="F5010" s="10"/>
    </row>
    <row r="5011">
      <c r="A5011" s="10"/>
      <c r="B5011" s="10"/>
      <c r="C5011" s="10"/>
      <c r="D5011" s="10"/>
      <c r="E5011" s="10"/>
      <c r="F5011" s="10"/>
    </row>
    <row r="5012">
      <c r="A5012" s="10"/>
      <c r="B5012" s="10"/>
      <c r="C5012" s="10"/>
      <c r="D5012" s="10"/>
      <c r="E5012" s="10"/>
      <c r="F5012" s="10"/>
    </row>
    <row r="5013">
      <c r="A5013" s="10"/>
      <c r="B5013" s="10"/>
      <c r="C5013" s="10"/>
      <c r="D5013" s="10"/>
      <c r="E5013" s="10"/>
      <c r="F5013" s="10"/>
    </row>
    <row r="5014">
      <c r="A5014" s="10"/>
      <c r="B5014" s="10"/>
      <c r="C5014" s="10"/>
      <c r="D5014" s="10"/>
      <c r="E5014" s="10"/>
      <c r="F5014" s="10"/>
    </row>
    <row r="5015">
      <c r="A5015" s="10"/>
      <c r="B5015" s="10"/>
      <c r="C5015" s="10"/>
      <c r="D5015" s="10"/>
      <c r="E5015" s="10"/>
      <c r="F5015" s="10"/>
    </row>
    <row r="5016">
      <c r="A5016" s="10"/>
      <c r="B5016" s="10"/>
      <c r="C5016" s="10"/>
      <c r="D5016" s="10"/>
      <c r="E5016" s="10"/>
      <c r="F5016" s="10"/>
    </row>
    <row r="5017">
      <c r="A5017" s="10"/>
      <c r="B5017" s="10"/>
      <c r="C5017" s="10"/>
      <c r="D5017" s="10"/>
      <c r="E5017" s="10"/>
      <c r="F5017" s="10"/>
    </row>
    <row r="5018">
      <c r="A5018" s="10"/>
      <c r="B5018" s="10"/>
      <c r="C5018" s="10"/>
      <c r="D5018" s="10"/>
      <c r="E5018" s="10"/>
      <c r="F5018" s="10"/>
    </row>
    <row r="5019">
      <c r="A5019" s="10"/>
      <c r="B5019" s="10"/>
      <c r="C5019" s="10"/>
      <c r="D5019" s="10"/>
      <c r="E5019" s="10"/>
      <c r="F5019" s="10"/>
    </row>
    <row r="5020">
      <c r="A5020" s="10"/>
      <c r="B5020" s="10"/>
      <c r="C5020" s="10"/>
      <c r="D5020" s="10"/>
      <c r="E5020" s="10"/>
      <c r="F5020" s="10"/>
    </row>
    <row r="5021">
      <c r="A5021" s="10"/>
      <c r="B5021" s="10"/>
      <c r="C5021" s="10"/>
      <c r="D5021" s="10"/>
      <c r="E5021" s="10"/>
      <c r="F5021" s="10"/>
    </row>
    <row r="5022">
      <c r="A5022" s="10"/>
      <c r="B5022" s="10"/>
      <c r="C5022" s="10"/>
      <c r="D5022" s="10"/>
      <c r="E5022" s="10"/>
      <c r="F5022" s="10"/>
    </row>
    <row r="5023">
      <c r="A5023" s="10"/>
      <c r="B5023" s="10"/>
      <c r="C5023" s="10"/>
      <c r="D5023" s="10"/>
      <c r="E5023" s="10"/>
      <c r="F5023" s="10"/>
    </row>
    <row r="5024">
      <c r="A5024" s="10"/>
      <c r="B5024" s="10"/>
      <c r="C5024" s="10"/>
      <c r="D5024" s="10"/>
      <c r="E5024" s="10"/>
      <c r="F5024" s="10"/>
    </row>
    <row r="5025">
      <c r="A5025" s="10"/>
      <c r="B5025" s="10"/>
      <c r="C5025" s="10"/>
      <c r="D5025" s="10"/>
      <c r="E5025" s="10"/>
      <c r="F5025" s="10"/>
    </row>
    <row r="5026">
      <c r="A5026" s="10"/>
      <c r="B5026" s="10"/>
      <c r="C5026" s="10"/>
      <c r="D5026" s="10"/>
      <c r="E5026" s="10"/>
      <c r="F5026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1.63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>Patrícia</v>
      </c>
      <c r="D3" s="40"/>
      <c r="E3" s="41" t="str">
        <f>B5</f>
        <v>Eduarda</v>
      </c>
      <c r="F3" s="40"/>
      <c r="G3" s="41" t="str">
        <f>B6</f>
        <v>Bruna</v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>Patrícia</v>
      </c>
      <c r="P3" s="35"/>
      <c r="Q3" s="35"/>
      <c r="R3" s="36"/>
      <c r="S3" s="45"/>
      <c r="T3" s="44" t="str">
        <f>B5</f>
        <v>Eduarda</v>
      </c>
      <c r="U3" s="35"/>
      <c r="V3" s="35"/>
      <c r="W3" s="36"/>
    </row>
    <row r="4" ht="15.75" customHeight="1">
      <c r="A4" s="46" t="s">
        <v>624</v>
      </c>
      <c r="B4" s="47" t="s">
        <v>199</v>
      </c>
      <c r="C4" s="48" t="s">
        <v>1329</v>
      </c>
      <c r="D4" s="49">
        <f>SUMIFS(N22:N500,J22:J500,C4,K22:K500,C3)+SUMIF(Q59:Q95,A4,R59:R122)+D9</f>
        <v>700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500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'Adiantamento'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'Adiantamento'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3795</v>
      </c>
      <c r="B5" s="56" t="s">
        <v>11074</v>
      </c>
      <c r="C5" s="48" t="s">
        <v>12658</v>
      </c>
      <c r="D5" s="49">
        <f>SUMIFS(N22:N500,J22:J500,C5,K22:K500,C3)</f>
        <v>97</v>
      </c>
      <c r="E5" s="50" t="s">
        <v>12658</v>
      </c>
      <c r="F5" s="49">
        <f>SUMIFS(N22:N500,J22:J500,C5,K22:K500,E3)</f>
        <v>248.67</v>
      </c>
      <c r="G5" s="50" t="s">
        <v>12658</v>
      </c>
      <c r="H5" s="49">
        <f>SUMIFS(N22:N500,J22:J500,C5,K22:K500,G3)</f>
        <v>390.45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37</v>
      </c>
      <c r="M5" s="33"/>
      <c r="N5" s="33"/>
      <c r="O5" s="57"/>
      <c r="P5" s="58"/>
      <c r="Q5" s="58"/>
      <c r="R5" s="59"/>
      <c r="S5" s="33"/>
      <c r="T5" s="57"/>
      <c r="U5" s="58"/>
      <c r="V5" s="58"/>
      <c r="W5" s="59"/>
    </row>
    <row r="6" ht="16.5" customHeight="1">
      <c r="A6" s="55" t="s">
        <v>6062</v>
      </c>
      <c r="B6" s="56" t="s">
        <v>12666</v>
      </c>
      <c r="C6" s="48" t="s">
        <v>12669</v>
      </c>
      <c r="D6" s="49">
        <f>D5*0.8</f>
        <v>77.6</v>
      </c>
      <c r="E6" s="50" t="s">
        <v>12669</v>
      </c>
      <c r="F6" s="49">
        <f>F5*0.8</f>
        <v>198.936</v>
      </c>
      <c r="G6" s="50" t="s">
        <v>12669</v>
      </c>
      <c r="H6" s="49">
        <f>H5*0.8</f>
        <v>312.36</v>
      </c>
      <c r="I6" s="50" t="s">
        <v>12669</v>
      </c>
      <c r="J6" s="49">
        <f>J5*0.8</f>
        <v>0</v>
      </c>
      <c r="K6" s="60" t="s">
        <v>12669</v>
      </c>
      <c r="L6" s="51">
        <f>L5*0.8</f>
        <v>29.6</v>
      </c>
      <c r="M6" s="33"/>
      <c r="N6" s="33"/>
      <c r="O6" s="57"/>
      <c r="P6" s="58"/>
      <c r="Q6" s="58"/>
      <c r="R6" s="59"/>
      <c r="S6" s="33"/>
      <c r="T6" s="57"/>
      <c r="U6" s="58"/>
      <c r="V6" s="58"/>
      <c r="W6" s="59"/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66"/>
      <c r="U7" s="67"/>
      <c r="V7" s="67"/>
      <c r="W7" s="68"/>
    </row>
    <row r="8" ht="14.25" customHeight="1">
      <c r="A8" s="55" t="s">
        <v>227</v>
      </c>
      <c r="B8" s="56" t="s">
        <v>12693</v>
      </c>
      <c r="C8" s="69" t="s">
        <v>12695</v>
      </c>
      <c r="D8" s="70" t="s">
        <v>12697</v>
      </c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66"/>
      <c r="U8" s="67"/>
      <c r="V8" s="67"/>
      <c r="W8" s="68"/>
    </row>
    <row r="9" ht="15.75" customHeight="1">
      <c r="A9" s="55"/>
      <c r="B9" s="56"/>
      <c r="C9" s="75" t="s">
        <v>17</v>
      </c>
      <c r="D9" s="76">
        <v>200.0</v>
      </c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66"/>
      <c r="U9" s="67"/>
      <c r="V9" s="67"/>
      <c r="W9" s="68"/>
    </row>
    <row r="10">
      <c r="A10" s="55"/>
      <c r="B10" s="56"/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81"/>
      <c r="U10" s="82"/>
      <c r="V10" s="82"/>
      <c r="W10" s="83"/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81"/>
      <c r="U11" s="82"/>
      <c r="V11" s="82"/>
      <c r="W11" s="83"/>
    </row>
    <row r="12">
      <c r="A12" s="31"/>
      <c r="B12" s="31"/>
      <c r="C12" s="88" t="str">
        <f>B9</f>
        <v/>
      </c>
      <c r="D12" s="89"/>
      <c r="E12" s="88" t="str">
        <f>B10</f>
        <v/>
      </c>
      <c r="F12" s="90"/>
      <c r="G12" s="91" t="s">
        <v>12714</v>
      </c>
      <c r="H12" s="92">
        <f>SUMIF(L22:L495,G12,N22:N495)</f>
        <v>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81"/>
      <c r="U12" s="82"/>
      <c r="V12" s="82"/>
      <c r="W12" s="83"/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0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81"/>
      <c r="U13" s="82"/>
      <c r="V13" s="82"/>
      <c r="W13" s="83"/>
    </row>
    <row r="14" ht="14.25" customHeight="1">
      <c r="A14" s="105"/>
      <c r="B14" s="105"/>
      <c r="C14" s="97" t="s">
        <v>12658</v>
      </c>
      <c r="D14" s="51">
        <f>SUMIFS(N22:N500,J22:J500,C5,K22:K500,C12)</f>
        <v>0</v>
      </c>
      <c r="E14" s="97" t="s">
        <v>12658</v>
      </c>
      <c r="F14" s="106">
        <f>SUMIFS(N22:N500,J22:J500,C5,K22:K500,E12)</f>
        <v>0</v>
      </c>
      <c r="G14" s="50" t="s">
        <v>12744</v>
      </c>
      <c r="H14" s="51">
        <f>SUMIFS(N22:N500,D22:D500,"Saída",J22:J500,"Sangria")</f>
        <v>18840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81"/>
      <c r="U14" s="82"/>
      <c r="V14" s="82"/>
      <c r="W14" s="83"/>
    </row>
    <row r="15">
      <c r="A15" s="105"/>
      <c r="B15" s="105"/>
      <c r="C15" s="109" t="s">
        <v>12669</v>
      </c>
      <c r="D15" s="51">
        <f>D14*0.8</f>
        <v>0</v>
      </c>
      <c r="E15" s="109" t="s">
        <v>12669</v>
      </c>
      <c r="F15" s="110">
        <f>F14*0.8</f>
        <v>0</v>
      </c>
      <c r="G15" s="111" t="s">
        <v>12749</v>
      </c>
      <c r="H15" s="112">
        <f>SUMIFS(N22:N500,D22:D500,"Entrada",J22:J500,"Sangria")</f>
        <v>2140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81"/>
      <c r="U15" s="82"/>
      <c r="V15" s="82"/>
      <c r="W15" s="83"/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81"/>
      <c r="U16" s="82"/>
      <c r="V16" s="82"/>
      <c r="W16" s="83"/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2090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81"/>
      <c r="U17" s="82"/>
      <c r="V17" s="82"/>
      <c r="W17" s="83"/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144" t="s">
        <v>12768</v>
      </c>
      <c r="M21" s="147" t="s">
        <v>5</v>
      </c>
      <c r="N21" s="138"/>
      <c r="O21" s="148" t="str">
        <f>B6</f>
        <v>Bruna</v>
      </c>
      <c r="S21" s="138"/>
      <c r="T21" s="148" t="str">
        <f>B7</f>
        <v>Josi Ribas</v>
      </c>
    </row>
    <row r="22">
      <c r="A22" s="149"/>
      <c r="B22" s="151">
        <v>1703063.0</v>
      </c>
      <c r="C22" s="152">
        <v>45926.62774305556</v>
      </c>
      <c r="D22" s="153" t="s">
        <v>139</v>
      </c>
      <c r="E22" s="154" t="s">
        <v>12773</v>
      </c>
      <c r="F22" s="155"/>
      <c r="G22" s="153" t="s">
        <v>12774</v>
      </c>
      <c r="H22" s="155"/>
      <c r="I22" s="155"/>
      <c r="J22" s="156" t="s">
        <v>12778</v>
      </c>
      <c r="K22" s="156" t="s">
        <v>12666</v>
      </c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158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>
        <f>IFERROR(__xludf.DUMMYFUNCTION("ifna(VALUE(REGEXEXTRACT(E22,""[0-9.]+[,]+[0-9]+"")))"),700.0)</f>
        <v>700</v>
      </c>
      <c r="O22" s="160" t="str">
        <f>IFERROR(__xludf.DUMMYFUNCTION("query(C21:L500,""select Col1,Col3,Col8,Col9 where Col8 = 'Adiantamento'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'Adiantamento'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51">
        <v>1703064.0</v>
      </c>
      <c r="C23" s="152">
        <v>45926.62799768519</v>
      </c>
      <c r="D23" s="153" t="s">
        <v>101</v>
      </c>
      <c r="E23" s="154" t="s">
        <v>12813</v>
      </c>
      <c r="F23" s="155"/>
      <c r="G23" s="153" t="s">
        <v>3109</v>
      </c>
      <c r="H23" s="161"/>
      <c r="I23" s="161"/>
      <c r="J23" s="156" t="s">
        <v>12818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"""")"),"Encontrada")</f>
        <v>Encontrada</v>
      </c>
      <c r="N23" s="159">
        <f>IFERROR(__xludf.DUMMYFUNCTION("ifna(VALUE(REGEXEXTRACT(E23,""[0-9.]+[,]+[0-9]+"")))"),233.1)</f>
        <v>233.1</v>
      </c>
      <c r="O23" s="58"/>
      <c r="P23" s="58"/>
      <c r="Q23" s="58"/>
      <c r="R23" s="58"/>
      <c r="S23" s="159"/>
      <c r="T23" s="58"/>
      <c r="U23" s="58"/>
      <c r="V23" s="58"/>
      <c r="W23" s="58"/>
    </row>
    <row r="24" ht="14.25" customHeight="1">
      <c r="A24" s="149"/>
      <c r="B24" s="151">
        <v>1703083.0</v>
      </c>
      <c r="C24" s="152">
        <v>45926.631053240744</v>
      </c>
      <c r="D24" s="153" t="s">
        <v>101</v>
      </c>
      <c r="E24" s="154" t="s">
        <v>12832</v>
      </c>
      <c r="F24" s="155"/>
      <c r="G24" s="153" t="s">
        <v>2617</v>
      </c>
      <c r="H24" s="161"/>
      <c r="I24" s="161"/>
      <c r="J24" s="156" t="s">
        <v>12818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163" t="str">
        <f>IFERROR(__xludf.DUMMYFUNCTION("IF(J24=""Compra de Mercadorias"",
   IF(
      COUNTIF(ARRAYFORMULA(TRIM(CLEAN(TO_TEXT(Notas!BS:BS)))), TRIM(CLEAN(TO_TEXT(B24)))) &gt; 0,
      ""Encontrada"",
      ""Não Encontrada""
   ),
"""")"),"Encontrada")</f>
        <v>Encontrada</v>
      </c>
      <c r="N24" s="159">
        <f>IFERROR(__xludf.DUMMYFUNCTION("ifna(VALUE(REGEXEXTRACT(E24,""[0-9.]+[,]+[0-9]+"")))"),19.8)</f>
        <v>19.8</v>
      </c>
      <c r="O24" s="58"/>
      <c r="P24" s="58"/>
      <c r="Q24" s="58"/>
      <c r="R24" s="58"/>
      <c r="S24" s="159"/>
      <c r="T24" s="58"/>
      <c r="U24" s="58"/>
      <c r="V24" s="58"/>
      <c r="W24" s="58"/>
    </row>
    <row r="25" ht="14.25" customHeight="1">
      <c r="A25" s="149"/>
      <c r="B25" s="151">
        <v>1703220.0</v>
      </c>
      <c r="C25" s="152">
        <v>45926.67623842593</v>
      </c>
      <c r="D25" s="153" t="s">
        <v>101</v>
      </c>
      <c r="E25" s="154" t="s">
        <v>526</v>
      </c>
      <c r="F25" s="155"/>
      <c r="G25" s="153" t="s">
        <v>12849</v>
      </c>
      <c r="H25" s="161"/>
      <c r="I25" s="161"/>
      <c r="J25" s="156" t="s">
        <v>12658</v>
      </c>
      <c r="K25" s="156" t="s">
        <v>12666</v>
      </c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158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IFERROR(__xludf.DUMMYFUNCTION("ifna(VALUE(REGEXEXTRACT(E25,""[0-9.]+[,]+[0-9]+"")))"),21.0)</f>
        <v>21</v>
      </c>
      <c r="O25" s="67"/>
      <c r="P25" s="67"/>
      <c r="Q25" s="67"/>
      <c r="R25" s="67"/>
      <c r="S25" s="159"/>
      <c r="T25" s="67"/>
      <c r="U25" s="67"/>
      <c r="V25" s="67"/>
      <c r="W25" s="67"/>
    </row>
    <row r="26" ht="14.25" customHeight="1">
      <c r="A26" s="149"/>
      <c r="B26" s="151">
        <v>1703290.0</v>
      </c>
      <c r="C26" s="152">
        <v>45926.69496527778</v>
      </c>
      <c r="D26" s="153" t="s">
        <v>101</v>
      </c>
      <c r="E26" s="154" t="s">
        <v>12859</v>
      </c>
      <c r="F26" s="155"/>
      <c r="G26" s="153" t="s">
        <v>12860</v>
      </c>
      <c r="H26" s="161"/>
      <c r="I26" s="161"/>
      <c r="J26" s="156" t="s">
        <v>12818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163" t="str">
        <f>IFERROR(__xludf.DUMMYFUNCTION("IF(J26=""Compra de Mercadorias"",
   IF(
      COUNTIF(ARRAYFORMULA(TRIM(CLEAN(TO_TEXT(Notas!BS:BS)))), TRIM(CLEAN(TO_TEXT(B26)))) &gt; 0,
      ""Encontrada"",
      ""Não Encontrada""
   ),
"""")"),"Encontrada")</f>
        <v>Encontrada</v>
      </c>
      <c r="N26" s="159">
        <f>IFERROR(__xludf.DUMMYFUNCTION("ifna(VALUE(REGEXEXTRACT(E26,""[0-9.]+[,]+[0-9]+"")))"),278.0)</f>
        <v>278</v>
      </c>
      <c r="O26" s="67"/>
      <c r="P26" s="67"/>
      <c r="Q26" s="67"/>
      <c r="R26" s="67"/>
      <c r="S26" s="159"/>
      <c r="T26" s="67"/>
      <c r="U26" s="67"/>
      <c r="V26" s="67"/>
      <c r="W26" s="67"/>
    </row>
    <row r="27" ht="14.25" customHeight="1">
      <c r="A27" s="149"/>
      <c r="B27" s="151">
        <v>1703386.0</v>
      </c>
      <c r="C27" s="152">
        <v>45926.7166087963</v>
      </c>
      <c r="D27" s="153" t="s">
        <v>101</v>
      </c>
      <c r="E27" s="154" t="s">
        <v>501</v>
      </c>
      <c r="F27" s="155"/>
      <c r="G27" s="153" t="s">
        <v>12849</v>
      </c>
      <c r="H27" s="161"/>
      <c r="I27" s="161"/>
      <c r="J27" s="156" t="s">
        <v>12658</v>
      </c>
      <c r="K27" s="156" t="s">
        <v>12666</v>
      </c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164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IFERROR(__xludf.DUMMYFUNCTION("ifna(VALUE(REGEXEXTRACT(E27,""[0-9.]+[,]+[0-9]+"")))"),25.0)</f>
        <v>25</v>
      </c>
      <c r="O27" s="67"/>
      <c r="P27" s="67"/>
      <c r="Q27" s="67"/>
      <c r="R27" s="67"/>
      <c r="S27" s="159"/>
      <c r="T27" s="67"/>
      <c r="U27" s="67"/>
      <c r="V27" s="67"/>
      <c r="W27" s="67"/>
    </row>
    <row r="28" ht="14.25" customHeight="1">
      <c r="A28" s="149"/>
      <c r="B28" s="151">
        <v>1703869.0</v>
      </c>
      <c r="C28" s="152">
        <v>45926.864386574074</v>
      </c>
      <c r="D28" s="153" t="s">
        <v>101</v>
      </c>
      <c r="E28" s="154" t="s">
        <v>985</v>
      </c>
      <c r="F28" s="155"/>
      <c r="G28" s="153" t="s">
        <v>12883</v>
      </c>
      <c r="H28" s="161"/>
      <c r="I28" s="161"/>
      <c r="J28" s="156" t="s">
        <v>6914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163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IFERROR(__xludf.DUMMYFUNCTION("ifna(VALUE(REGEXEXTRACT(E28,""[0-9.]+[,]+[0-9]+"")))"),47.0)</f>
        <v>47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51">
        <v>1703871.0</v>
      </c>
      <c r="C29" s="152">
        <v>45926.86530092593</v>
      </c>
      <c r="D29" s="153" t="s">
        <v>101</v>
      </c>
      <c r="E29" s="154" t="s">
        <v>149</v>
      </c>
      <c r="F29" s="155"/>
      <c r="G29" s="153" t="s">
        <v>12891</v>
      </c>
      <c r="H29" s="161"/>
      <c r="I29" s="161"/>
      <c r="J29" s="156" t="s">
        <v>6914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IFERROR(__xludf.DUMMYFUNCTION("ifna(VALUE(REGEXEXTRACT(E29,""[0-9.]+[,]+[0-9]+"")))"),69.0)</f>
        <v>69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51">
        <v>1703879.0</v>
      </c>
      <c r="C30" s="152">
        <v>45926.86649305555</v>
      </c>
      <c r="D30" s="153" t="s">
        <v>101</v>
      </c>
      <c r="E30" s="154" t="s">
        <v>401</v>
      </c>
      <c r="F30" s="155"/>
      <c r="G30" s="153" t="s">
        <v>12901</v>
      </c>
      <c r="H30" s="161"/>
      <c r="I30" s="161"/>
      <c r="J30" s="156" t="s">
        <v>10036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163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IFERROR(__xludf.DUMMYFUNCTION("ifna(VALUE(REGEXEXTRACT(E30,""[0-9.]+[,]+[0-9]+"")))"),65.0)</f>
        <v>65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51">
        <v>1704222.0</v>
      </c>
      <c r="C31" s="152">
        <v>45926.938043981485</v>
      </c>
      <c r="D31" s="153" t="s">
        <v>101</v>
      </c>
      <c r="E31" s="154" t="s">
        <v>804</v>
      </c>
      <c r="F31" s="165"/>
      <c r="G31" s="153" t="s">
        <v>12908</v>
      </c>
      <c r="H31" s="161"/>
      <c r="I31" s="161"/>
      <c r="J31" s="156" t="s">
        <v>12778</v>
      </c>
      <c r="K31" s="156" t="s">
        <v>12666</v>
      </c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"),"Confirmada")</f>
        <v>Confirmada</v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IFERROR(__xludf.DUMMYFUNCTION("ifna(VALUE(REGEXEXTRACT(E31,""[0-9.]+[,]+[0-9]+"")))"),500.0)</f>
        <v>500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51">
        <v>1704838.0</v>
      </c>
      <c r="C32" s="152">
        <v>45927.63061342593</v>
      </c>
      <c r="D32" s="153" t="s">
        <v>139</v>
      </c>
      <c r="E32" s="154" t="s">
        <v>746</v>
      </c>
      <c r="F32" s="155"/>
      <c r="G32" s="153" t="s">
        <v>12918</v>
      </c>
      <c r="H32" s="161"/>
      <c r="I32" s="161"/>
      <c r="J32" s="156" t="s">
        <v>12778</v>
      </c>
      <c r="K32" s="156" t="s">
        <v>12666</v>
      </c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IFERROR(__xludf.DUMMYFUNCTION("ifna(VALUE(REGEXEXTRACT(E32,""[0-9.]+[,]+[0-9]+"")))"),350.0)</f>
        <v>350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51">
        <v>1704853.0</v>
      </c>
      <c r="C33" s="152">
        <v>45927.634571759256</v>
      </c>
      <c r="D33" s="153" t="s">
        <v>101</v>
      </c>
      <c r="E33" s="154" t="s">
        <v>12922</v>
      </c>
      <c r="F33" s="155"/>
      <c r="G33" s="153" t="s">
        <v>12924</v>
      </c>
      <c r="H33" s="161"/>
      <c r="I33" s="161"/>
      <c r="J33" s="156" t="s">
        <v>12658</v>
      </c>
      <c r="K33" s="156" t="s">
        <v>11074</v>
      </c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164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IFERROR(__xludf.DUMMYFUNCTION("ifna(VALUE(REGEXEXTRACT(E33,""[0-9.]+[,]+[0-9]+"")))"),100.44)</f>
        <v>100.44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51">
        <v>1705263.0</v>
      </c>
      <c r="C34" s="152">
        <v>45927.7234375</v>
      </c>
      <c r="D34" s="153" t="s">
        <v>139</v>
      </c>
      <c r="E34" s="154" t="s">
        <v>201</v>
      </c>
      <c r="F34" s="155"/>
      <c r="G34" s="153" t="s">
        <v>12927</v>
      </c>
      <c r="H34" s="161"/>
      <c r="I34" s="161"/>
      <c r="J34" s="168" t="s">
        <v>12928</v>
      </c>
      <c r="K34" s="156"/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163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IFERROR(__xludf.DUMMYFUNCTION("ifna(VALUE(REGEXEXTRACT(E34,""[0-9.]+[,]+[0-9]+"")))"),150.0)</f>
        <v>150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51">
        <v>1705354.0</v>
      </c>
      <c r="C35" s="152">
        <v>45927.737337962964</v>
      </c>
      <c r="D35" s="153" t="s">
        <v>101</v>
      </c>
      <c r="E35" s="154" t="s">
        <v>12931</v>
      </c>
      <c r="F35" s="155"/>
      <c r="G35" s="153" t="s">
        <v>12932</v>
      </c>
      <c r="H35" s="161"/>
      <c r="I35" s="161"/>
      <c r="J35" s="156" t="s">
        <v>6914</v>
      </c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164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IFERROR(__xludf.DUMMYFUNCTION("ifna(VALUE(REGEXEXTRACT(E35,""[0-9.]+[,]+[0-9]+"")))"),77.0)</f>
        <v>77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51">
        <v>1705674.0</v>
      </c>
      <c r="C36" s="152">
        <v>45927.820543981485</v>
      </c>
      <c r="D36" s="153" t="s">
        <v>101</v>
      </c>
      <c r="E36" s="154" t="s">
        <v>12934</v>
      </c>
      <c r="F36" s="155"/>
      <c r="G36" s="153" t="s">
        <v>12935</v>
      </c>
      <c r="H36" s="169"/>
      <c r="I36" s="169"/>
      <c r="J36" s="156" t="s">
        <v>12658</v>
      </c>
      <c r="K36" s="156" t="s">
        <v>12666</v>
      </c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158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IFERROR(__xludf.DUMMYFUNCTION("ifna(VALUE(REGEXEXTRACT(E36,""[0-9.]+[,]+[0-9]+"")))"),13.05)</f>
        <v>13.05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51">
        <v>1705788.0</v>
      </c>
      <c r="C37" s="152">
        <v>45927.84966435185</v>
      </c>
      <c r="D37" s="153" t="s">
        <v>101</v>
      </c>
      <c r="E37" s="154" t="s">
        <v>12937</v>
      </c>
      <c r="F37" s="155"/>
      <c r="G37" s="153" t="s">
        <v>12935</v>
      </c>
      <c r="H37" s="169"/>
      <c r="I37" s="169"/>
      <c r="J37" s="156" t="s">
        <v>12658</v>
      </c>
      <c r="K37" s="156" t="s">
        <v>12666</v>
      </c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164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IFERROR(__xludf.DUMMYFUNCTION("ifna(VALUE(REGEXEXTRACT(E37,""[0-9.]+[,]+[0-9]+"")))"),26.9)</f>
        <v>26.9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51">
        <v>1705791.0</v>
      </c>
      <c r="C38" s="152">
        <v>45927.85015046296</v>
      </c>
      <c r="D38" s="153" t="s">
        <v>101</v>
      </c>
      <c r="E38" s="154" t="s">
        <v>12939</v>
      </c>
      <c r="F38" s="155"/>
      <c r="G38" s="153" t="s">
        <v>12935</v>
      </c>
      <c r="H38" s="170"/>
      <c r="I38" s="170"/>
      <c r="J38" s="156" t="s">
        <v>12658</v>
      </c>
      <c r="K38" s="156" t="s">
        <v>12666</v>
      </c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163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IFERROR(__xludf.DUMMYFUNCTION("ifna(VALUE(REGEXEXTRACT(E38,""[0-9.]+[,]+[0-9]+"")))"),8.5)</f>
        <v>8.5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51">
        <v>1705844.0</v>
      </c>
      <c r="C39" s="152">
        <v>45927.86372685185</v>
      </c>
      <c r="D39" s="153" t="s">
        <v>101</v>
      </c>
      <c r="E39" s="154" t="s">
        <v>12941</v>
      </c>
      <c r="F39" s="155"/>
      <c r="G39" s="153" t="s">
        <v>12942</v>
      </c>
      <c r="H39" s="170"/>
      <c r="I39" s="170"/>
      <c r="J39" s="156" t="s">
        <v>6914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164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IFERROR(__xludf.DUMMYFUNCTION("ifna(VALUE(REGEXEXTRACT(E39,""[0-9.]+[,]+[0-9]+"")))"),46.0)</f>
        <v>46</v>
      </c>
      <c r="O39" s="171" t="str">
        <f>B8</f>
        <v>Rose</v>
      </c>
      <c r="S39" s="159"/>
      <c r="T39" s="148" t="str">
        <f>B9</f>
        <v/>
      </c>
    </row>
    <row r="40" ht="14.25" customHeight="1">
      <c r="A40" s="149"/>
      <c r="B40" s="151">
        <v>1705889.0</v>
      </c>
      <c r="C40" s="152">
        <v>45927.87538194445</v>
      </c>
      <c r="D40" s="153" t="s">
        <v>101</v>
      </c>
      <c r="E40" s="154" t="s">
        <v>12945</v>
      </c>
      <c r="F40" s="155"/>
      <c r="G40" s="153" t="s">
        <v>12946</v>
      </c>
      <c r="H40" s="170"/>
      <c r="I40" s="170"/>
      <c r="J40" s="156" t="s">
        <v>10036</v>
      </c>
      <c r="K40" s="156"/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163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IFERROR(__xludf.DUMMYFUNCTION("ifna(VALUE(REGEXEXTRACT(E40,""[0-9.]+[,]+[0-9]+"")))"),67.44)</f>
        <v>67.44</v>
      </c>
      <c r="O40" s="160" t="str">
        <f>IFERROR(__xludf.DUMMYFUNCTION("query(C21:L500,""select Col1,Col3,Col8,Col9 where Col8 = 'Adiantamento'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51">
        <v>1705895.0</v>
      </c>
      <c r="C41" s="152">
        <v>45927.87603009259</v>
      </c>
      <c r="D41" s="153" t="s">
        <v>101</v>
      </c>
      <c r="E41" s="154" t="s">
        <v>12949</v>
      </c>
      <c r="F41" s="165"/>
      <c r="G41" s="153" t="s">
        <v>12950</v>
      </c>
      <c r="H41" s="170"/>
      <c r="I41" s="170"/>
      <c r="J41" s="156" t="s">
        <v>10036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IFERROR(__xludf.DUMMYFUNCTION("ifna(VALUE(REGEXEXTRACT(E41,""[0-9.]+[,]+[0-9]+"")))"),118.5)</f>
        <v>118.5</v>
      </c>
      <c r="O41" s="58"/>
      <c r="P41" s="58"/>
      <c r="Q41" s="58"/>
      <c r="R41" s="58"/>
      <c r="S41" s="159"/>
      <c r="T41" s="58"/>
      <c r="U41" s="58"/>
      <c r="V41" s="58"/>
      <c r="W41" s="58"/>
    </row>
    <row r="42" ht="14.25" customHeight="1">
      <c r="A42" s="149"/>
      <c r="B42" s="151">
        <v>1705913.0</v>
      </c>
      <c r="C42" s="152">
        <v>45927.87841435185</v>
      </c>
      <c r="D42" s="153" t="s">
        <v>139</v>
      </c>
      <c r="E42" s="154" t="s">
        <v>12951</v>
      </c>
      <c r="F42" s="155"/>
      <c r="G42" s="153" t="s">
        <v>12927</v>
      </c>
      <c r="H42" s="170"/>
      <c r="I42" s="170"/>
      <c r="J42" s="156" t="s">
        <v>12952</v>
      </c>
      <c r="K42" s="156"/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163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IFERROR(__xludf.DUMMYFUNCTION("ifna(VALUE(REGEXEXTRACT(E42,""[0-9.]+[,]+[0-9]+"")))"),170.0)</f>
        <v>170</v>
      </c>
      <c r="O42" s="58"/>
      <c r="P42" s="58"/>
      <c r="Q42" s="58"/>
      <c r="R42" s="58"/>
      <c r="S42" s="159"/>
      <c r="T42" s="58"/>
      <c r="U42" s="58"/>
      <c r="V42" s="58"/>
      <c r="W42" s="58"/>
    </row>
    <row r="43" ht="14.25" customHeight="1">
      <c r="A43" s="149"/>
      <c r="B43" s="151">
        <v>1705927.0</v>
      </c>
      <c r="C43" s="152">
        <v>45927.88033564815</v>
      </c>
      <c r="D43" s="153" t="s">
        <v>101</v>
      </c>
      <c r="E43" s="154" t="s">
        <v>149</v>
      </c>
      <c r="F43" s="155"/>
      <c r="G43" s="153" t="s">
        <v>12901</v>
      </c>
      <c r="H43" s="170"/>
      <c r="I43" s="170"/>
      <c r="J43" s="156" t="s">
        <v>10036</v>
      </c>
      <c r="K43" s="156"/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164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IFERROR(__xludf.DUMMYFUNCTION("ifna(VALUE(REGEXEXTRACT(E43,""[0-9.]+[,]+[0-9]+"")))"),69.0)</f>
        <v>69</v>
      </c>
      <c r="O43" s="67"/>
      <c r="P43" s="67"/>
      <c r="Q43" s="67"/>
      <c r="R43" s="67"/>
      <c r="S43" s="159"/>
      <c r="T43" s="67"/>
      <c r="U43" s="67"/>
      <c r="V43" s="67"/>
      <c r="W43" s="67"/>
    </row>
    <row r="44" ht="14.25" customHeight="1">
      <c r="A44" s="149"/>
      <c r="B44" s="151">
        <v>1705929.0</v>
      </c>
      <c r="C44" s="152">
        <v>45927.88056712963</v>
      </c>
      <c r="D44" s="153" t="s">
        <v>101</v>
      </c>
      <c r="E44" s="154" t="s">
        <v>786</v>
      </c>
      <c r="F44" s="155"/>
      <c r="G44" s="153" t="s">
        <v>12966</v>
      </c>
      <c r="H44" s="170"/>
      <c r="I44" s="170"/>
      <c r="J44" s="156" t="s">
        <v>10036</v>
      </c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163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IFERROR(__xludf.DUMMYFUNCTION("ifna(VALUE(REGEXEXTRACT(E44,""[0-9.]+[,]+[0-9]+"")))"),130.0)</f>
        <v>130</v>
      </c>
      <c r="O44" s="67"/>
      <c r="P44" s="67"/>
      <c r="Q44" s="67"/>
      <c r="R44" s="67"/>
      <c r="S44" s="159"/>
      <c r="T44" s="67"/>
      <c r="U44" s="67"/>
      <c r="V44" s="67"/>
      <c r="W44" s="67"/>
    </row>
    <row r="45" ht="14.25" customHeight="1">
      <c r="A45" s="149"/>
      <c r="B45" s="151">
        <v>1706236.0</v>
      </c>
      <c r="C45" s="152">
        <v>45927.922326388885</v>
      </c>
      <c r="D45" s="153" t="s">
        <v>101</v>
      </c>
      <c r="E45" s="154" t="s">
        <v>12974</v>
      </c>
      <c r="F45" s="155"/>
      <c r="G45" s="153" t="s">
        <v>12975</v>
      </c>
      <c r="H45" s="170"/>
      <c r="I45" s="170"/>
      <c r="J45" s="156" t="s">
        <v>12778</v>
      </c>
      <c r="K45" s="156" t="s">
        <v>199</v>
      </c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164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IFERROR(__xludf.DUMMYFUNCTION("ifna(VALUE(REGEXEXTRACT(E45,""[0-9.]+[,]+[0-9]+"")))"),1800.0)</f>
        <v>1800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151">
        <v>1708456.0</v>
      </c>
      <c r="C46" s="152">
        <v>45928.8819212963</v>
      </c>
      <c r="D46" s="153" t="s">
        <v>101</v>
      </c>
      <c r="E46" s="154" t="s">
        <v>12976</v>
      </c>
      <c r="F46" s="155"/>
      <c r="G46" s="153" t="s">
        <v>12977</v>
      </c>
      <c r="H46" s="170"/>
      <c r="I46" s="170"/>
      <c r="J46" s="156" t="s">
        <v>6914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IFERROR(__xludf.DUMMYFUNCTION("ifna(VALUE(REGEXEXTRACT(E46,""[0-9.]+[,]+[0-9]+"")))"),161.0)</f>
        <v>161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51">
        <v>1708530.0</v>
      </c>
      <c r="C47" s="152">
        <v>45928.89262731482</v>
      </c>
      <c r="D47" s="153" t="s">
        <v>101</v>
      </c>
      <c r="E47" s="154" t="s">
        <v>12982</v>
      </c>
      <c r="F47" s="155"/>
      <c r="G47" s="153" t="s">
        <v>12950</v>
      </c>
      <c r="H47" s="170"/>
      <c r="I47" s="170"/>
      <c r="J47" s="156" t="s">
        <v>10036</v>
      </c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164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IFERROR(__xludf.DUMMYFUNCTION("ifna(VALUE(REGEXEXTRACT(E47,""[0-9.]+[,]+[0-9]+"")))"),118.0)</f>
        <v>118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51">
        <v>1708533.0</v>
      </c>
      <c r="C48" s="152">
        <v>45928.89278935185</v>
      </c>
      <c r="D48" s="153" t="s">
        <v>101</v>
      </c>
      <c r="E48" s="154" t="s">
        <v>1045</v>
      </c>
      <c r="F48" s="155"/>
      <c r="G48" s="153" t="s">
        <v>12991</v>
      </c>
      <c r="H48" s="170"/>
      <c r="I48" s="170"/>
      <c r="J48" s="156" t="s">
        <v>10036</v>
      </c>
      <c r="K48" s="156"/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163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IFERROR(__xludf.DUMMYFUNCTION("ifna(VALUE(REGEXEXTRACT(E48,""[0-9.]+[,]+[0-9]+"")))"),91.0)</f>
        <v>91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51">
        <v>1708535.0</v>
      </c>
      <c r="C49" s="152">
        <v>45928.89297453704</v>
      </c>
      <c r="D49" s="153" t="s">
        <v>101</v>
      </c>
      <c r="E49" s="154" t="s">
        <v>786</v>
      </c>
      <c r="F49" s="155"/>
      <c r="G49" s="153" t="s">
        <v>12998</v>
      </c>
      <c r="H49" s="170"/>
      <c r="I49" s="170"/>
      <c r="J49" s="156" t="s">
        <v>10036</v>
      </c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164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IFERROR(__xludf.DUMMYFUNCTION("ifna(VALUE(REGEXEXTRACT(E49,""[0-9.]+[,]+[0-9]+"")))"),130.0)</f>
        <v>130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51">
        <v>1708769.0</v>
      </c>
      <c r="C50" s="152">
        <v>45928.91914351852</v>
      </c>
      <c r="D50" s="153" t="s">
        <v>101</v>
      </c>
      <c r="E50" s="154" t="s">
        <v>13003</v>
      </c>
      <c r="F50" s="165"/>
      <c r="G50" s="153" t="s">
        <v>13004</v>
      </c>
      <c r="H50" s="170"/>
      <c r="I50" s="170"/>
      <c r="J50" s="156" t="s">
        <v>12778</v>
      </c>
      <c r="K50" s="156" t="s">
        <v>12666</v>
      </c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163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IFERROR(__xludf.DUMMYFUNCTION("ifna(VALUE(REGEXEXTRACT(E50,""[0-9.]+[,]+[0-9]+"")))"),1070.0)</f>
        <v>1070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51">
        <v>1711065.0</v>
      </c>
      <c r="C51" s="152">
        <v>45929.938622685186</v>
      </c>
      <c r="D51" s="153" t="s">
        <v>101</v>
      </c>
      <c r="E51" s="154" t="s">
        <v>13007</v>
      </c>
      <c r="F51" s="155"/>
      <c r="G51" s="153" t="s">
        <v>13008</v>
      </c>
      <c r="H51" s="170"/>
      <c r="I51" s="170"/>
      <c r="J51" s="156" t="s">
        <v>6914</v>
      </c>
      <c r="K51" s="156"/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164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IFERROR(__xludf.DUMMYFUNCTION("ifna(VALUE(REGEXEXTRACT(E51,""[0-9.]+[,]+[0-9]+"")))"),70.0)</f>
        <v>70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51">
        <v>1711067.0</v>
      </c>
      <c r="C52" s="152">
        <v>45929.93881944445</v>
      </c>
      <c r="D52" s="153" t="s">
        <v>101</v>
      </c>
      <c r="E52" s="154" t="s">
        <v>231</v>
      </c>
      <c r="F52" s="155"/>
      <c r="G52" s="153" t="s">
        <v>13016</v>
      </c>
      <c r="H52" s="170"/>
      <c r="I52" s="170"/>
      <c r="J52" s="156" t="s">
        <v>6914</v>
      </c>
      <c r="K52" s="156"/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163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IFERROR(__xludf.DUMMYFUNCTION("ifna(VALUE(REGEXEXTRACT(E52,""[0-9.]+[,]+[0-9]+"")))"),10.0)</f>
        <v>10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51">
        <v>1711092.0</v>
      </c>
      <c r="C53" s="152">
        <v>45929.94267361111</v>
      </c>
      <c r="D53" s="153" t="s">
        <v>101</v>
      </c>
      <c r="E53" s="154" t="s">
        <v>13026</v>
      </c>
      <c r="F53" s="165"/>
      <c r="G53" s="153" t="s">
        <v>13027</v>
      </c>
      <c r="H53" s="170"/>
      <c r="I53" s="170"/>
      <c r="J53" s="156" t="s">
        <v>12778</v>
      </c>
      <c r="K53" s="156" t="s">
        <v>12666</v>
      </c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"),"Confirmada")</f>
        <v>Confirmada</v>
      </c>
      <c r="M53" s="164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IFERROR(__xludf.DUMMYFUNCTION("ifna(VALUE(REGEXEXTRACT(E53,""[0-9.]+[,]+[0-9]+"")))"),770.0)</f>
        <v>770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51">
        <v>1712294.0</v>
      </c>
      <c r="C54" s="152">
        <v>45930.875706018516</v>
      </c>
      <c r="D54" s="153" t="s">
        <v>101</v>
      </c>
      <c r="E54" s="154" t="s">
        <v>246</v>
      </c>
      <c r="F54" s="155"/>
      <c r="G54" s="153" t="s">
        <v>13032</v>
      </c>
      <c r="H54" s="170"/>
      <c r="I54" s="170"/>
      <c r="J54" s="156" t="s">
        <v>6914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163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IFERROR(__xludf.DUMMYFUNCTION("ifna(VALUE(REGEXEXTRACT(E54,""[0-9.]+[,]+[0-9]+"")))"),30.0)</f>
        <v>30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51">
        <v>1712425.0</v>
      </c>
      <c r="C55" s="152">
        <v>45930.90611111111</v>
      </c>
      <c r="D55" s="153" t="s">
        <v>101</v>
      </c>
      <c r="E55" s="154" t="s">
        <v>231</v>
      </c>
      <c r="F55" s="155"/>
      <c r="G55" s="153" t="s">
        <v>13034</v>
      </c>
      <c r="H55" s="170"/>
      <c r="I55" s="170"/>
      <c r="J55" s="156" t="s">
        <v>6914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164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IFERROR(__xludf.DUMMYFUNCTION("ifna(VALUE(REGEXEXTRACT(E55,""[0-9.]+[,]+[0-9]+"")))"),10.0)</f>
        <v>10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51">
        <v>1712443.0</v>
      </c>
      <c r="C56" s="152">
        <v>45930.90871527778</v>
      </c>
      <c r="D56" s="153" t="s">
        <v>101</v>
      </c>
      <c r="E56" s="154" t="s">
        <v>1389</v>
      </c>
      <c r="F56" s="155"/>
      <c r="G56" s="153" t="s">
        <v>13040</v>
      </c>
      <c r="H56" s="170"/>
      <c r="I56" s="170"/>
      <c r="J56" s="156" t="s">
        <v>6914</v>
      </c>
      <c r="K56" s="156"/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163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IFERROR(__xludf.DUMMYFUNCTION("ifna(VALUE(REGEXEXTRACT(E56,""[0-9.]+[,]+[0-9]+"")))"),34.0)</f>
        <v>34</v>
      </c>
      <c r="O56" s="172" t="s">
        <v>13044</v>
      </c>
      <c r="U56" s="159"/>
      <c r="V56" s="159"/>
      <c r="W56" s="159"/>
    </row>
    <row r="57" ht="14.25" customHeight="1">
      <c r="A57" s="149"/>
      <c r="B57" s="151">
        <v>1712623.0</v>
      </c>
      <c r="C57" s="152">
        <v>45930.934432870374</v>
      </c>
      <c r="D57" s="153" t="s">
        <v>101</v>
      </c>
      <c r="E57" s="154" t="s">
        <v>201</v>
      </c>
      <c r="F57" s="165"/>
      <c r="G57" s="153" t="s">
        <v>13045</v>
      </c>
      <c r="H57" s="170"/>
      <c r="I57" s="170"/>
      <c r="J57" s="156" t="s">
        <v>12778</v>
      </c>
      <c r="K57" s="156" t="s">
        <v>12666</v>
      </c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"),"Confirmada")</f>
        <v>Confirmada</v>
      </c>
      <c r="M57" s="164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IFERROR(__xludf.DUMMYFUNCTION("ifna(VALUE(REGEXEXTRACT(E57,""[0-9.]+[,]+[0-9]+"")))"),150.0)</f>
        <v>150</v>
      </c>
      <c r="U57" s="159"/>
      <c r="V57" s="159"/>
      <c r="W57" s="159"/>
    </row>
    <row r="58" ht="14.25" customHeight="1">
      <c r="A58" s="149"/>
      <c r="B58" s="151">
        <v>1713000.0</v>
      </c>
      <c r="C58" s="152">
        <v>45931.58284722222</v>
      </c>
      <c r="D58" s="153" t="s">
        <v>101</v>
      </c>
      <c r="E58" s="154" t="s">
        <v>13051</v>
      </c>
      <c r="F58" s="155"/>
      <c r="G58" s="153" t="s">
        <v>13052</v>
      </c>
      <c r="H58" s="170"/>
      <c r="I58" s="170"/>
      <c r="J58" s="156" t="s">
        <v>12658</v>
      </c>
      <c r="K58" s="156" t="s">
        <v>12666</v>
      </c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163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IFERROR(__xludf.DUMMYFUNCTION("ifna(VALUE(REGEXEXTRACT(E58,""[0-9.]+[,]+[0-9]+"")))"),71.0)</f>
        <v>71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51">
        <v>1713001.0</v>
      </c>
      <c r="C59" s="152">
        <v>45931.583391203705</v>
      </c>
      <c r="D59" s="153" t="s">
        <v>101</v>
      </c>
      <c r="E59" s="154" t="s">
        <v>324</v>
      </c>
      <c r="F59" s="155"/>
      <c r="G59" s="153" t="s">
        <v>13057</v>
      </c>
      <c r="H59" s="170"/>
      <c r="I59" s="170"/>
      <c r="J59" s="156" t="s">
        <v>12818</v>
      </c>
      <c r="K59" s="156"/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164" t="str">
        <f>IFERROR(__xludf.DUMMYFUNCTION("IF(J59=""Compra de Mercadorias"",
   IF(
      COUNTIF(ARRAYFORMULA(TRIM(CLEAN(TO_TEXT(Notas!BS:BS)))), TRIM(CLEAN(TO_TEXT(B59)))) &gt; 0,
      ""Encontrada"",
      ""Não Encontrada""
   ),
"""")"),"Não Encontrada")</f>
        <v>Não Encontrada</v>
      </c>
      <c r="N59" s="159">
        <f>IFERROR(__xludf.DUMMYFUNCTION("ifna(VALUE(REGEXEXTRACT(E59,""[0-9.]+[,]+[0-9]+"")))"),45.0)</f>
        <v>45</v>
      </c>
      <c r="O59" s="174" t="s">
        <v>8116</v>
      </c>
      <c r="P59" s="175">
        <v>45926.0</v>
      </c>
      <c r="Q59" s="174" t="s">
        <v>6062</v>
      </c>
      <c r="R59" s="176">
        <v>500.0</v>
      </c>
      <c r="S59" s="177" t="str">
        <f t="shared" ref="S59:S95" si="1">IFERROR(VLOOKUP(Q59, $A$4:$B$11, 2, FALSE), "")</f>
        <v>Bruna</v>
      </c>
      <c r="U59" s="159"/>
      <c r="V59" s="159"/>
      <c r="W59" s="159"/>
    </row>
    <row r="60" ht="14.25" customHeight="1">
      <c r="A60" s="149"/>
      <c r="B60" s="151">
        <v>1713390.0</v>
      </c>
      <c r="C60" s="152">
        <v>45931.71024305555</v>
      </c>
      <c r="D60" s="153" t="s">
        <v>101</v>
      </c>
      <c r="E60" s="154" t="s">
        <v>252</v>
      </c>
      <c r="F60" s="155"/>
      <c r="G60" s="153" t="s">
        <v>12935</v>
      </c>
      <c r="H60" s="170"/>
      <c r="I60" s="170"/>
      <c r="J60" s="156" t="s">
        <v>12658</v>
      </c>
      <c r="K60" s="156" t="s">
        <v>12666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163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IFERROR(__xludf.DUMMYFUNCTION("ifna(VALUE(REGEXEXTRACT(E60,""[0-9.]+[,]+[0-9]+"")))"),5.0)</f>
        <v>5</v>
      </c>
      <c r="O60" s="174" t="s">
        <v>8383</v>
      </c>
      <c r="P60" s="175">
        <v>45941.0</v>
      </c>
      <c r="Q60" s="176" t="s">
        <v>227</v>
      </c>
      <c r="R60" s="178">
        <v>500.0</v>
      </c>
      <c r="S60" s="177" t="str">
        <f t="shared" si="1"/>
        <v>Rose</v>
      </c>
      <c r="U60" s="159"/>
      <c r="V60" s="159"/>
      <c r="W60" s="159"/>
    </row>
    <row r="61" ht="14.25" customHeight="1">
      <c r="A61" s="149"/>
      <c r="B61" s="151">
        <v>1713914.0</v>
      </c>
      <c r="C61" s="152">
        <v>45931.880277777775</v>
      </c>
      <c r="D61" s="153" t="s">
        <v>101</v>
      </c>
      <c r="E61" s="154" t="s">
        <v>306</v>
      </c>
      <c r="F61" s="155"/>
      <c r="G61" s="153" t="s">
        <v>13075</v>
      </c>
      <c r="H61" s="170"/>
      <c r="I61" s="170"/>
      <c r="J61" s="156" t="s">
        <v>6914</v>
      </c>
      <c r="K61" s="156"/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164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IFERROR(__xludf.DUMMYFUNCTION("ifna(VALUE(REGEXEXTRACT(E61,""[0-9.]+[,]+[0-9]+"")))"),22.0)</f>
        <v>22</v>
      </c>
      <c r="O61" s="174" t="s">
        <v>8488</v>
      </c>
      <c r="P61" s="175">
        <v>45926.0</v>
      </c>
      <c r="Q61" s="176" t="s">
        <v>624</v>
      </c>
      <c r="R61" s="178">
        <v>500.0</v>
      </c>
      <c r="S61" s="177" t="str">
        <f t="shared" si="1"/>
        <v>Patrícia</v>
      </c>
      <c r="U61" s="159"/>
      <c r="V61" s="159"/>
      <c r="W61" s="159"/>
    </row>
    <row r="62" ht="14.25" customHeight="1">
      <c r="A62" s="149"/>
      <c r="B62" s="151">
        <v>1713917.0</v>
      </c>
      <c r="C62" s="152">
        <v>45931.880694444444</v>
      </c>
      <c r="D62" s="153" t="s">
        <v>101</v>
      </c>
      <c r="E62" s="154" t="s">
        <v>473</v>
      </c>
      <c r="F62" s="155"/>
      <c r="G62" s="153" t="s">
        <v>13082</v>
      </c>
      <c r="H62" s="170"/>
      <c r="I62" s="170"/>
      <c r="J62" s="156" t="s">
        <v>6914</v>
      </c>
      <c r="K62" s="156"/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163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IFERROR(__xludf.DUMMYFUNCTION("ifna(VALUE(REGEXEXTRACT(E62,""[0-9.]+[,]+[0-9]+"")))"),15.0)</f>
        <v>15</v>
      </c>
      <c r="O62" s="174" t="s">
        <v>8490</v>
      </c>
      <c r="P62" s="175">
        <v>45926.0</v>
      </c>
      <c r="Q62" s="176" t="s">
        <v>2052</v>
      </c>
      <c r="R62" s="178">
        <v>500.0</v>
      </c>
      <c r="S62" s="177" t="str">
        <f t="shared" si="1"/>
        <v>Josi Ribas</v>
      </c>
      <c r="U62" s="159"/>
      <c r="V62" s="159"/>
      <c r="W62" s="159"/>
    </row>
    <row r="63" ht="14.25" customHeight="1">
      <c r="A63" s="149"/>
      <c r="B63" s="151">
        <v>1714206.0</v>
      </c>
      <c r="C63" s="152">
        <v>45931.93232638889</v>
      </c>
      <c r="D63" s="153" t="s">
        <v>101</v>
      </c>
      <c r="E63" s="154" t="s">
        <v>256</v>
      </c>
      <c r="F63" s="165"/>
      <c r="G63" s="153" t="s">
        <v>13084</v>
      </c>
      <c r="H63" s="170"/>
      <c r="I63" s="170"/>
      <c r="J63" s="156" t="s">
        <v>12778</v>
      </c>
      <c r="K63" s="156" t="s">
        <v>12666</v>
      </c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"),"Confirmada")</f>
        <v>Confirmada</v>
      </c>
      <c r="M63" s="164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IFERROR(__xludf.DUMMYFUNCTION("ifna(VALUE(REGEXEXTRACT(E63,""[0-9.]+[,]+[0-9]+"")))"),300.0)</f>
        <v>300</v>
      </c>
      <c r="O63" s="174" t="s">
        <v>8494</v>
      </c>
      <c r="P63" s="175">
        <v>45929.0</v>
      </c>
      <c r="Q63" s="176" t="s">
        <v>3795</v>
      </c>
      <c r="R63" s="178">
        <v>500.0</v>
      </c>
      <c r="S63" s="177" t="str">
        <f t="shared" si="1"/>
        <v>Eduarda</v>
      </c>
      <c r="U63" s="159"/>
      <c r="V63" s="159"/>
      <c r="W63" s="159"/>
    </row>
    <row r="64" ht="14.25" customHeight="1">
      <c r="A64" s="149"/>
      <c r="B64" s="151">
        <v>1714900.0</v>
      </c>
      <c r="C64" s="152">
        <v>45932.68782407408</v>
      </c>
      <c r="D64" s="153" t="s">
        <v>101</v>
      </c>
      <c r="E64" s="154" t="s">
        <v>260</v>
      </c>
      <c r="F64" s="155"/>
      <c r="G64" s="153" t="s">
        <v>13086</v>
      </c>
      <c r="H64" s="170"/>
      <c r="I64" s="170"/>
      <c r="J64" s="156" t="s">
        <v>12658</v>
      </c>
      <c r="K64" s="156" t="s">
        <v>199</v>
      </c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163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IFERROR(__xludf.DUMMYFUNCTION("ifna(VALUE(REGEXEXTRACT(E64,""[0-9.]+[,]+[0-9]+"")))"),13.0)</f>
        <v>13</v>
      </c>
      <c r="O64" s="174"/>
      <c r="P64" s="175"/>
      <c r="Q64" s="176"/>
      <c r="R64" s="178"/>
      <c r="S64" s="177" t="str">
        <f t="shared" si="1"/>
        <v/>
      </c>
      <c r="U64" s="159"/>
      <c r="V64" s="159"/>
      <c r="W64" s="159"/>
    </row>
    <row r="65" ht="14.25" customHeight="1">
      <c r="A65" s="149"/>
      <c r="B65" s="151">
        <v>1715415.0</v>
      </c>
      <c r="C65" s="152">
        <v>45932.8758912037</v>
      </c>
      <c r="D65" s="153" t="s">
        <v>101</v>
      </c>
      <c r="E65" s="154" t="s">
        <v>306</v>
      </c>
      <c r="F65" s="155"/>
      <c r="G65" s="153" t="s">
        <v>13092</v>
      </c>
      <c r="H65" s="170"/>
      <c r="I65" s="170"/>
      <c r="J65" s="156" t="s">
        <v>6914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164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IFERROR(__xludf.DUMMYFUNCTION("ifna(VALUE(REGEXEXTRACT(E65,""[0-9.]+[,]+[0-9]+"")))"),22.0)</f>
        <v>22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51">
        <v>1715417.0</v>
      </c>
      <c r="C66" s="152">
        <v>45932.876550925925</v>
      </c>
      <c r="D66" s="153" t="s">
        <v>101</v>
      </c>
      <c r="E66" s="154" t="s">
        <v>179</v>
      </c>
      <c r="F66" s="155"/>
      <c r="G66" s="153" t="s">
        <v>13075</v>
      </c>
      <c r="H66" s="170"/>
      <c r="I66" s="170"/>
      <c r="J66" s="156" t="s">
        <v>6914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163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IFERROR(__xludf.DUMMYFUNCTION("ifna(VALUE(REGEXEXTRACT(E66,""[0-9.]+[,]+[0-9]+"")))"),20.0)</f>
        <v>20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51">
        <v>1715459.0</v>
      </c>
      <c r="C67" s="152">
        <v>45932.884722222225</v>
      </c>
      <c r="D67" s="153" t="s">
        <v>101</v>
      </c>
      <c r="E67" s="154" t="s">
        <v>392</v>
      </c>
      <c r="F67" s="155"/>
      <c r="G67" s="153" t="s">
        <v>13116</v>
      </c>
      <c r="H67" s="170"/>
      <c r="I67" s="170"/>
      <c r="J67" s="156" t="s">
        <v>12658</v>
      </c>
      <c r="K67" s="156" t="s">
        <v>12666</v>
      </c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164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IFERROR(__xludf.DUMMYFUNCTION("ifna(VALUE(REGEXEXTRACT(E67,""[0-9.]+[,]+[0-9]+"")))"),27.0)</f>
        <v>27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51">
        <v>1715518.0</v>
      </c>
      <c r="C68" s="152">
        <v>45932.89873842592</v>
      </c>
      <c r="D68" s="153" t="s">
        <v>101</v>
      </c>
      <c r="E68" s="154" t="s">
        <v>1013</v>
      </c>
      <c r="F68" s="155"/>
      <c r="G68" s="153" t="s">
        <v>13116</v>
      </c>
      <c r="H68" s="170"/>
      <c r="I68" s="170"/>
      <c r="J68" s="156" t="s">
        <v>12658</v>
      </c>
      <c r="K68" s="156" t="s">
        <v>12666</v>
      </c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163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IFERROR(__xludf.DUMMYFUNCTION("ifna(VALUE(REGEXEXTRACT(E68,""[0-9.]+[,]+[0-9]+"")))"),17.0)</f>
        <v>17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51">
        <v>1715753.0</v>
      </c>
      <c r="C69" s="152">
        <v>45932.93372685185</v>
      </c>
      <c r="D69" s="153" t="s">
        <v>101</v>
      </c>
      <c r="E69" s="154" t="s">
        <v>213</v>
      </c>
      <c r="F69" s="155"/>
      <c r="G69" s="153" t="s">
        <v>13132</v>
      </c>
      <c r="H69" s="170"/>
      <c r="I69" s="170"/>
      <c r="J69" s="156" t="s">
        <v>12778</v>
      </c>
      <c r="K69" s="156" t="s">
        <v>12666</v>
      </c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"),"Caixa Atendimento")</f>
        <v>Caixa Atendimento</v>
      </c>
      <c r="M69" s="164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IFERROR(__xludf.DUMMYFUNCTION("ifna(VALUE(REGEXEXTRACT(E69,""[0-9.]+[,]+[0-9]+"")))"),200.0)</f>
        <v>200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51">
        <v>1716193.0</v>
      </c>
      <c r="C70" s="152">
        <v>45933.587430555555</v>
      </c>
      <c r="D70" s="153" t="s">
        <v>101</v>
      </c>
      <c r="E70" s="154" t="s">
        <v>13138</v>
      </c>
      <c r="F70" s="155"/>
      <c r="G70" s="153" t="s">
        <v>13139</v>
      </c>
      <c r="H70" s="170"/>
      <c r="I70" s="170"/>
      <c r="J70" s="156"/>
      <c r="K70" s="156"/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163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IFERROR(__xludf.DUMMYFUNCTION("ifna(VALUE(REGEXEXTRACT(E70,""[0-9.]+[,]+[0-9]+"")))"),0.01)</f>
        <v>0.01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51">
        <v>1716271.0</v>
      </c>
      <c r="C71" s="152">
        <v>45933.61701388889</v>
      </c>
      <c r="D71" s="153" t="s">
        <v>101</v>
      </c>
      <c r="E71" s="154" t="s">
        <v>13140</v>
      </c>
      <c r="F71" s="155"/>
      <c r="G71" s="153" t="s">
        <v>528</v>
      </c>
      <c r="H71" s="170"/>
      <c r="I71" s="170"/>
      <c r="J71" s="156" t="s">
        <v>12818</v>
      </c>
      <c r="K71" s="156"/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164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159">
        <f>IFERROR(__xludf.DUMMYFUNCTION("ifna(VALUE(REGEXEXTRACT(E71,""[0-9.]+[,]+[0-9]+"")))"),73.99)</f>
        <v>73.99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51">
        <v>1716332.0</v>
      </c>
      <c r="C72" s="152">
        <v>45933.63719907407</v>
      </c>
      <c r="D72" s="153" t="s">
        <v>101</v>
      </c>
      <c r="E72" s="154" t="s">
        <v>231</v>
      </c>
      <c r="F72" s="155"/>
      <c r="G72" s="153" t="s">
        <v>12927</v>
      </c>
      <c r="H72" s="170"/>
      <c r="I72" s="170"/>
      <c r="J72" s="156" t="s">
        <v>12952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163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IFERROR(__xludf.DUMMYFUNCTION("ifna(VALUE(REGEXEXTRACT(E72,""[0-9.]+[,]+[0-9]+"")))"),10.0)</f>
        <v>10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51">
        <v>1716576.0</v>
      </c>
      <c r="C73" s="152">
        <v>45933.70967592593</v>
      </c>
      <c r="D73" s="153" t="s">
        <v>101</v>
      </c>
      <c r="E73" s="154" t="s">
        <v>141</v>
      </c>
      <c r="F73" s="165"/>
      <c r="G73" s="153" t="s">
        <v>13147</v>
      </c>
      <c r="H73" s="170"/>
      <c r="I73" s="170"/>
      <c r="J73" s="156" t="s">
        <v>12818</v>
      </c>
      <c r="K73" s="156"/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164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59">
        <f>IFERROR(__xludf.DUMMYFUNCTION("ifna(VALUE(REGEXEXTRACT(E73,""[0-9.]+[,]+[0-9]+"")))"),50.0)</f>
        <v>50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51">
        <v>1717052.0</v>
      </c>
      <c r="C74" s="152">
        <v>45933.862592592595</v>
      </c>
      <c r="D74" s="153" t="s">
        <v>139</v>
      </c>
      <c r="E74" s="154" t="s">
        <v>213</v>
      </c>
      <c r="F74" s="155"/>
      <c r="G74" s="153" t="s">
        <v>13132</v>
      </c>
      <c r="H74" s="170"/>
      <c r="I74" s="170"/>
      <c r="J74" s="156" t="s">
        <v>12778</v>
      </c>
      <c r="K74" s="156" t="s">
        <v>12666</v>
      </c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163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IFERROR(__xludf.DUMMYFUNCTION("ifna(VALUE(REGEXEXTRACT(E74,""[0-9.]+[,]+[0-9]+"")))"),200.0)</f>
        <v>200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51">
        <v>1717054.0</v>
      </c>
      <c r="C75" s="152">
        <v>45933.86288194444</v>
      </c>
      <c r="D75" s="153" t="s">
        <v>101</v>
      </c>
      <c r="E75" s="154" t="s">
        <v>13166</v>
      </c>
      <c r="F75" s="155"/>
      <c r="G75" s="153" t="s">
        <v>13167</v>
      </c>
      <c r="H75" s="170"/>
      <c r="I75" s="170"/>
      <c r="J75" s="156" t="s">
        <v>12658</v>
      </c>
      <c r="K75" s="156" t="s">
        <v>11074</v>
      </c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164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IFERROR(__xludf.DUMMYFUNCTION("ifna(VALUE(REGEXEXTRACT(E75,""[0-9.]+[,]+[0-9]+"")))"),41.8)</f>
        <v>41.8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51">
        <v>1717058.0</v>
      </c>
      <c r="C76" s="152">
        <v>45933.865219907406</v>
      </c>
      <c r="D76" s="153" t="s">
        <v>101</v>
      </c>
      <c r="E76" s="154" t="s">
        <v>2014</v>
      </c>
      <c r="F76" s="155"/>
      <c r="G76" s="153" t="s">
        <v>13174</v>
      </c>
      <c r="H76" s="170"/>
      <c r="I76" s="170"/>
      <c r="J76" s="156" t="s">
        <v>6914</v>
      </c>
      <c r="K76" s="156"/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163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IFERROR(__xludf.DUMMYFUNCTION("ifna(VALUE(REGEXEXTRACT(E76,""[0-9.]+[,]+[0-9]+"")))"),80.0)</f>
        <v>80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51">
        <v>1717060.0</v>
      </c>
      <c r="C77" s="152">
        <v>45933.86556712963</v>
      </c>
      <c r="D77" s="153" t="s">
        <v>101</v>
      </c>
      <c r="E77" s="154" t="s">
        <v>179</v>
      </c>
      <c r="F77" s="155"/>
      <c r="G77" s="153" t="s">
        <v>13186</v>
      </c>
      <c r="H77" s="170"/>
      <c r="I77" s="170"/>
      <c r="J77" s="168" t="s">
        <v>6914</v>
      </c>
      <c r="K77" s="156"/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164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IFERROR(__xludf.DUMMYFUNCTION("ifna(VALUE(REGEXEXTRACT(E77,""[0-9.]+[,]+[0-9]+"")))"),20.0)</f>
        <v>20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51">
        <v>1717432.0</v>
      </c>
      <c r="C78" s="152">
        <v>45933.93350694444</v>
      </c>
      <c r="D78" s="153" t="s">
        <v>101</v>
      </c>
      <c r="E78" s="154" t="s">
        <v>213</v>
      </c>
      <c r="F78" s="155"/>
      <c r="G78" s="153" t="s">
        <v>13195</v>
      </c>
      <c r="H78" s="170"/>
      <c r="I78" s="170"/>
      <c r="J78" s="156" t="s">
        <v>12778</v>
      </c>
      <c r="K78" s="156" t="s">
        <v>12666</v>
      </c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163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IFERROR(__xludf.DUMMYFUNCTION("ifna(VALUE(REGEXEXTRACT(E78,""[0-9.]+[,]+[0-9]+"")))"),200.0)</f>
        <v>200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51">
        <v>1719405.0</v>
      </c>
      <c r="C79" s="152">
        <v>45934.889699074076</v>
      </c>
      <c r="D79" s="153" t="s">
        <v>101</v>
      </c>
      <c r="E79" s="154" t="s">
        <v>13201</v>
      </c>
      <c r="F79" s="155"/>
      <c r="G79" s="153" t="s">
        <v>13202</v>
      </c>
      <c r="H79" s="170"/>
      <c r="I79" s="170"/>
      <c r="J79" s="156" t="s">
        <v>6914</v>
      </c>
      <c r="K79" s="156"/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164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59">
        <f>IFERROR(__xludf.DUMMYFUNCTION("ifna(VALUE(REGEXEXTRACT(E79,""[0-9.]+[,]+[0-9]+"")))"),140.0)</f>
        <v>140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51">
        <v>1719416.0</v>
      </c>
      <c r="C80" s="152">
        <v>45934.89195601852</v>
      </c>
      <c r="D80" s="153" t="s">
        <v>101</v>
      </c>
      <c r="E80" s="154" t="s">
        <v>13205</v>
      </c>
      <c r="F80" s="155"/>
      <c r="G80" s="153" t="s">
        <v>13206</v>
      </c>
      <c r="H80" s="170"/>
      <c r="I80" s="170"/>
      <c r="J80" s="156" t="s">
        <v>6914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163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IFERROR(__xludf.DUMMYFUNCTION("ifna(VALUE(REGEXEXTRACT(E80,""[0-9.]+[,]+[0-9]+"")))"),107.0)</f>
        <v>107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51">
        <v>1719418.0</v>
      </c>
      <c r="C81" s="152">
        <v>45934.89212962963</v>
      </c>
      <c r="D81" s="153" t="s">
        <v>101</v>
      </c>
      <c r="E81" s="154" t="s">
        <v>786</v>
      </c>
      <c r="F81" s="155"/>
      <c r="G81" s="153" t="s">
        <v>13208</v>
      </c>
      <c r="H81" s="170"/>
      <c r="I81" s="170"/>
      <c r="J81" s="156" t="s">
        <v>10036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164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IFERROR(__xludf.DUMMYFUNCTION("ifna(VALUE(REGEXEXTRACT(E81,""[0-9.]+[,]+[0-9]+"")))"),130.0)</f>
        <v>130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51">
        <v>1719420.0</v>
      </c>
      <c r="C82" s="152">
        <v>45934.8924537037</v>
      </c>
      <c r="D82" s="153" t="s">
        <v>101</v>
      </c>
      <c r="E82" s="154" t="s">
        <v>13209</v>
      </c>
      <c r="F82" s="155"/>
      <c r="G82" s="153" t="s">
        <v>13210</v>
      </c>
      <c r="H82" s="170"/>
      <c r="I82" s="170"/>
      <c r="J82" s="156" t="s">
        <v>10036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163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IFERROR(__xludf.DUMMYFUNCTION("ifna(VALUE(REGEXEXTRACT(E82,""[0-9.]+[,]+[0-9]+"")))"),117.0)</f>
        <v>117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51">
        <v>1719424.0</v>
      </c>
      <c r="C83" s="152">
        <v>45934.892905092594</v>
      </c>
      <c r="D83" s="153" t="s">
        <v>101</v>
      </c>
      <c r="E83" s="154" t="s">
        <v>1687</v>
      </c>
      <c r="F83" s="165"/>
      <c r="G83" s="153" t="s">
        <v>13219</v>
      </c>
      <c r="H83" s="170"/>
      <c r="I83" s="170"/>
      <c r="J83" s="156" t="s">
        <v>12658</v>
      </c>
      <c r="K83" s="156" t="s">
        <v>199</v>
      </c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164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IFERROR(__xludf.DUMMYFUNCTION("ifna(VALUE(REGEXEXTRACT(E83,""[0-9.]+[,]+[0-9]+"")))"),19.0)</f>
        <v>19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51">
        <v>1719433.0</v>
      </c>
      <c r="C84" s="152">
        <v>45934.89340277778</v>
      </c>
      <c r="D84" s="153" t="s">
        <v>101</v>
      </c>
      <c r="E84" s="154" t="s">
        <v>13229</v>
      </c>
      <c r="F84" s="155"/>
      <c r="G84" s="153" t="s">
        <v>13231</v>
      </c>
      <c r="H84" s="170"/>
      <c r="I84" s="170"/>
      <c r="J84" s="156" t="s">
        <v>12658</v>
      </c>
      <c r="K84" s="156" t="s">
        <v>12666</v>
      </c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163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IFERROR(__xludf.DUMMYFUNCTION("ifna(VALUE(REGEXEXTRACT(E84,""[0-9.]+[,]+[0-9]+"")))"),155.0)</f>
        <v>155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51">
        <v>1719808.0</v>
      </c>
      <c r="C85" s="152">
        <v>45934.933900462966</v>
      </c>
      <c r="D85" s="153" t="s">
        <v>101</v>
      </c>
      <c r="E85" s="154" t="s">
        <v>13239</v>
      </c>
      <c r="F85" s="155"/>
      <c r="G85" s="153" t="s">
        <v>13240</v>
      </c>
      <c r="H85" s="170"/>
      <c r="I85" s="170"/>
      <c r="J85" s="156" t="s">
        <v>12778</v>
      </c>
      <c r="K85" s="156" t="s">
        <v>12666</v>
      </c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"),"Confirmada")</f>
        <v>Confirmada</v>
      </c>
      <c r="M85" s="164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IFERROR(__xludf.DUMMYFUNCTION("ifna(VALUE(REGEXEXTRACT(E85,""[0-9.]+[,]+[0-9]+"")))"),1550.0)</f>
        <v>1550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51">
        <v>1720426.0</v>
      </c>
      <c r="C86" s="152">
        <v>45935.56581018519</v>
      </c>
      <c r="D86" s="153" t="s">
        <v>101</v>
      </c>
      <c r="E86" s="154" t="s">
        <v>398</v>
      </c>
      <c r="F86" s="155"/>
      <c r="G86" s="153" t="s">
        <v>13248</v>
      </c>
      <c r="H86" s="170"/>
      <c r="I86" s="170"/>
      <c r="J86" s="156" t="s">
        <v>12658</v>
      </c>
      <c r="K86" s="156" t="s">
        <v>11074</v>
      </c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163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>
        <f>IFERROR(__xludf.DUMMYFUNCTION("ifna(VALUE(REGEXEXTRACT(E86,""[0-9.]+[,]+[0-9]+"")))"),12.0)</f>
        <v>12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51">
        <v>1721323.0</v>
      </c>
      <c r="C87" s="152">
        <v>45935.74730324074</v>
      </c>
      <c r="D87" s="153" t="s">
        <v>101</v>
      </c>
      <c r="E87" s="154" t="s">
        <v>260</v>
      </c>
      <c r="F87" s="155"/>
      <c r="G87" s="153" t="s">
        <v>13259</v>
      </c>
      <c r="H87" s="170"/>
      <c r="I87" s="170"/>
      <c r="J87" s="156"/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164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IFERROR(__xludf.DUMMYFUNCTION("ifna(VALUE(REGEXEXTRACT(E87,""[0-9.]+[,]+[0-9]+"")))"),13.0)</f>
        <v>13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51">
        <v>1722164.0</v>
      </c>
      <c r="C88" s="152">
        <v>45935.85303240741</v>
      </c>
      <c r="D88" s="153" t="s">
        <v>101</v>
      </c>
      <c r="E88" s="154" t="s">
        <v>13267</v>
      </c>
      <c r="F88" s="155"/>
      <c r="G88" s="153" t="s">
        <v>3109</v>
      </c>
      <c r="H88" s="170"/>
      <c r="I88" s="170"/>
      <c r="J88" s="156" t="s">
        <v>12818</v>
      </c>
      <c r="K88" s="156"/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163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59">
        <f>IFERROR(__xludf.DUMMYFUNCTION("ifna(VALUE(REGEXEXTRACT(E88,""[0-9.]+[,]+[0-9]+"")))"),26.97)</f>
        <v>26.97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51">
        <v>1722168.0</v>
      </c>
      <c r="C89" s="152">
        <v>45935.85346064815</v>
      </c>
      <c r="D89" s="153" t="s">
        <v>101</v>
      </c>
      <c r="E89" s="154" t="s">
        <v>13268</v>
      </c>
      <c r="F89" s="155"/>
      <c r="G89" s="153" t="s">
        <v>3072</v>
      </c>
      <c r="H89" s="170"/>
      <c r="I89" s="170"/>
      <c r="J89" s="156" t="s">
        <v>12818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164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59">
        <f>IFERROR(__xludf.DUMMYFUNCTION("ifna(VALUE(REGEXEXTRACT(E89,""[0-9.]+[,]+[0-9]+"")))"),197.88)</f>
        <v>197.88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51">
        <v>1722738.0</v>
      </c>
      <c r="C90" s="152">
        <v>45935.91778935185</v>
      </c>
      <c r="D90" s="153" t="s">
        <v>101</v>
      </c>
      <c r="E90" s="154" t="s">
        <v>260</v>
      </c>
      <c r="F90" s="155"/>
      <c r="G90" s="153" t="s">
        <v>13272</v>
      </c>
      <c r="H90" s="170"/>
      <c r="I90" s="170"/>
      <c r="J90" s="156" t="s">
        <v>12658</v>
      </c>
      <c r="K90" s="156" t="s">
        <v>199</v>
      </c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163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IFERROR(__xludf.DUMMYFUNCTION("ifna(VALUE(REGEXEXTRACT(E90,""[0-9.]+[,]+[0-9]+"")))"),13.0)</f>
        <v>13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51">
        <v>1722814.0</v>
      </c>
      <c r="C91" s="152">
        <v>45935.920277777775</v>
      </c>
      <c r="D91" s="153" t="s">
        <v>101</v>
      </c>
      <c r="E91" s="154" t="s">
        <v>786</v>
      </c>
      <c r="F91" s="155"/>
      <c r="G91" s="153" t="s">
        <v>13275</v>
      </c>
      <c r="H91" s="170"/>
      <c r="I91" s="170"/>
      <c r="J91" s="156" t="s">
        <v>10036</v>
      </c>
      <c r="K91" s="156"/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164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IFERROR(__xludf.DUMMYFUNCTION("ifna(VALUE(REGEXEXTRACT(E91,""[0-9.]+[,]+[0-9]+"")))"),130.0)</f>
        <v>130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51">
        <v>1722821.0</v>
      </c>
      <c r="C92" s="152">
        <v>45935.920578703706</v>
      </c>
      <c r="D92" s="153" t="s">
        <v>101</v>
      </c>
      <c r="E92" s="154" t="s">
        <v>786</v>
      </c>
      <c r="F92" s="155"/>
      <c r="G92" s="153" t="s">
        <v>13276</v>
      </c>
      <c r="H92" s="170"/>
      <c r="I92" s="170"/>
      <c r="J92" s="156" t="s">
        <v>10036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163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IFERROR(__xludf.DUMMYFUNCTION("ifna(VALUE(REGEXEXTRACT(E92,""[0-9.]+[,]+[0-9]+"")))"),130.0)</f>
        <v>130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51">
        <v>1722826.0</v>
      </c>
      <c r="C93" s="152">
        <v>45935.92076388889</v>
      </c>
      <c r="D93" s="153" t="s">
        <v>101</v>
      </c>
      <c r="E93" s="154" t="s">
        <v>786</v>
      </c>
      <c r="F93" s="165"/>
      <c r="G93" s="153" t="s">
        <v>13277</v>
      </c>
      <c r="H93" s="170"/>
      <c r="I93" s="170"/>
      <c r="J93" s="156" t="s">
        <v>10036</v>
      </c>
      <c r="K93" s="156"/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164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IFERROR(__xludf.DUMMYFUNCTION("ifna(VALUE(REGEXEXTRACT(E93,""[0-9.]+[,]+[0-9]+"")))"),130.0)</f>
        <v>130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51">
        <v>1723022.0</v>
      </c>
      <c r="C94" s="152">
        <v>45935.93035879629</v>
      </c>
      <c r="D94" s="153" t="s">
        <v>101</v>
      </c>
      <c r="E94" s="154" t="s">
        <v>13278</v>
      </c>
      <c r="F94" s="155"/>
      <c r="G94" s="153" t="s">
        <v>13279</v>
      </c>
      <c r="H94" s="170"/>
      <c r="I94" s="170"/>
      <c r="J94" s="156" t="s">
        <v>12778</v>
      </c>
      <c r="K94" s="156" t="s">
        <v>199</v>
      </c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"),"Confirmada")</f>
        <v>Confirmada</v>
      </c>
      <c r="M94" s="163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IFERROR(__xludf.DUMMYFUNCTION("ifna(VALUE(REGEXEXTRACT(E94,""[0-9.]+[,]+[0-9]+"")))"),1750.0)</f>
        <v>1750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51">
        <v>1723110.0</v>
      </c>
      <c r="C95" s="152">
        <v>45935.93517361111</v>
      </c>
      <c r="D95" s="153" t="s">
        <v>101</v>
      </c>
      <c r="E95" s="154" t="s">
        <v>13280</v>
      </c>
      <c r="F95" s="155"/>
      <c r="G95" s="153" t="s">
        <v>13281</v>
      </c>
      <c r="H95" s="170"/>
      <c r="I95" s="170"/>
      <c r="J95" s="156" t="s">
        <v>6914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164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IFERROR(__xludf.DUMMYFUNCTION("ifna(VALUE(REGEXEXTRACT(E95,""[0-9.]+[,]+[0-9]+"")))"),505.0)</f>
        <v>505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51">
        <v>1724939.0</v>
      </c>
      <c r="C96" s="152">
        <v>45936.816203703704</v>
      </c>
      <c r="D96" s="153" t="s">
        <v>101</v>
      </c>
      <c r="E96" s="154" t="s">
        <v>13138</v>
      </c>
      <c r="F96" s="155"/>
      <c r="G96" s="153" t="s">
        <v>13282</v>
      </c>
      <c r="H96" s="170"/>
      <c r="I96" s="170"/>
      <c r="J96" s="156"/>
      <c r="K96" s="156"/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163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IFERROR(__xludf.DUMMYFUNCTION("ifna(VALUE(REGEXEXTRACT(E96,""[0-9.]+[,]+[0-9]+"")))"),0.01)</f>
        <v>0.01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51">
        <v>1725262.0</v>
      </c>
      <c r="C97" s="152">
        <v>45936.911990740744</v>
      </c>
      <c r="D97" s="153" t="s">
        <v>101</v>
      </c>
      <c r="E97" s="154" t="s">
        <v>231</v>
      </c>
      <c r="F97" s="155"/>
      <c r="G97" s="153" t="s">
        <v>13283</v>
      </c>
      <c r="H97" s="170"/>
      <c r="I97" s="170"/>
      <c r="J97" s="156" t="s">
        <v>6914</v>
      </c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164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IFERROR(__xludf.DUMMYFUNCTION("ifna(VALUE(REGEXEXTRACT(E97,""[0-9.]+[,]+[0-9]+"")))"),10.0)</f>
        <v>10</v>
      </c>
      <c r="O97" s="181" t="s">
        <v>13284</v>
      </c>
      <c r="W97" s="159"/>
    </row>
    <row r="98" ht="14.25" customHeight="1">
      <c r="A98" s="149"/>
      <c r="B98" s="151">
        <v>1725361.0</v>
      </c>
      <c r="C98" s="152">
        <v>45936.9224537037</v>
      </c>
      <c r="D98" s="153" t="s">
        <v>101</v>
      </c>
      <c r="E98" s="154" t="s">
        <v>213</v>
      </c>
      <c r="F98" s="165"/>
      <c r="G98" s="153" t="s">
        <v>13285</v>
      </c>
      <c r="H98" s="170"/>
      <c r="I98" s="170"/>
      <c r="J98" s="156" t="s">
        <v>12778</v>
      </c>
      <c r="K98" s="156" t="s">
        <v>12666</v>
      </c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"),"Caixa Atendimento")</f>
        <v>Caixa Atendimento</v>
      </c>
      <c r="M98" s="163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IFERROR(__xludf.DUMMYFUNCTION("ifna(VALUE(REGEXEXTRACT(E98,""[0-9.]+[,]+[0-9]+"")))"),200.0)</f>
        <v>200</v>
      </c>
      <c r="O98" s="182" t="str">
        <f>IFERROR(__xludf.DUMMYFUNCTION("QUERY(B20:M500,""Select B,C,D,E,G,H,I,M where M = 'Não Encontrada'"",1)"),"Movimentações de Caixa")</f>
        <v>Movimentações de Caixa</v>
      </c>
      <c r="P98" s="182" t="str">
        <f>IFERROR(__xludf.DUMMYFUNCTION("""COMPUTED_VALUE"""),"")</f>
        <v/>
      </c>
      <c r="Q98" s="182" t="str">
        <f>IFERROR(__xludf.DUMMYFUNCTION("""COMPUTED_VALUE"""),"")</f>
        <v/>
      </c>
      <c r="R98" s="183" t="str">
        <f>IFERROR(__xludf.DUMMYFUNCTION("""COMPUTED_VALUE"""),"")</f>
        <v/>
      </c>
      <c r="S98" s="182" t="str">
        <f>IFERROR(__xludf.DUMMYFUNCTION("""COMPUTED_VALUE"""),"")</f>
        <v/>
      </c>
      <c r="V98" s="184" t="str">
        <f>IFERROR(__xludf.DUMMYFUNCTION("""COMPUTED_VALUE"""),"")</f>
        <v/>
      </c>
      <c r="W98" s="159"/>
    </row>
    <row r="99" ht="14.25" customHeight="1">
      <c r="A99" s="149"/>
      <c r="B99" s="151">
        <v>1726269.0</v>
      </c>
      <c r="C99" s="152">
        <v>45937.705879629626</v>
      </c>
      <c r="D99" s="153" t="s">
        <v>101</v>
      </c>
      <c r="E99" s="154" t="s">
        <v>2126</v>
      </c>
      <c r="F99" s="155"/>
      <c r="G99" s="153" t="s">
        <v>13286</v>
      </c>
      <c r="H99" s="170"/>
      <c r="I99" s="170"/>
      <c r="J99" s="156" t="s">
        <v>12818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164" t="str">
        <f>IFERROR(__xludf.DUMMYFUNCTION("IF(J99=""Compra de Mercadorias"",
   IF(
      COUNTIF(ARRAYFORMULA(TRIM(CLEAN(TO_TEXT(Notas!BS:BS)))), TRIM(CLEAN(TO_TEXT(B99)))) &gt; 0,
      ""Encontrada"",
      ""Não Encontrada""
   ),
"""")"),"Encontrada")</f>
        <v>Encontrada</v>
      </c>
      <c r="N99" s="159">
        <f>IFERROR(__xludf.DUMMYFUNCTION("ifna(VALUE(REGEXEXTRACT(E99,""[0-9.]+[,]+[0-9]+"")))"),129.0)</f>
        <v>129</v>
      </c>
      <c r="O99" s="185">
        <f>IFERROR(__xludf.DUMMYFUNCTION("""COMPUTED_VALUE"""),1713001.0)</f>
        <v>1713001</v>
      </c>
      <c r="P99" s="186">
        <f>IFERROR(__xludf.DUMMYFUNCTION("""COMPUTED_VALUE"""),45931.583391203705)</f>
        <v>45931.58339</v>
      </c>
      <c r="Q99" s="185" t="str">
        <f>IFERROR(__xludf.DUMMYFUNCTION("""COMPUTED_VALUE"""),"Saída")</f>
        <v>Saída</v>
      </c>
      <c r="R99" s="187" t="str">
        <f>IFERROR(__xludf.DUMMYFUNCTION("""COMPUTED_VALUE"""),"R$ 45,00")</f>
        <v>R$ 45,00</v>
      </c>
      <c r="S99" s="185" t="str">
        <f>IFERROR(__xludf.DUMMYFUNCTION("""COMPUTED_VALUE"""),"pagamento uber ")</f>
        <v>pagamento uber </v>
      </c>
      <c r="V99" s="185" t="str">
        <f>IFERROR(__xludf.DUMMYFUNCTION("""COMPUTED_VALUE"""),"Não Encontrada")</f>
        <v>Não Encontrada</v>
      </c>
      <c r="W99" s="159"/>
    </row>
    <row r="100" ht="14.25" customHeight="1">
      <c r="A100" s="149"/>
      <c r="B100" s="151">
        <v>1726728.0</v>
      </c>
      <c r="C100" s="152">
        <v>45937.88171296296</v>
      </c>
      <c r="D100" s="153" t="s">
        <v>101</v>
      </c>
      <c r="E100" s="154" t="s">
        <v>13287</v>
      </c>
      <c r="F100" s="155"/>
      <c r="G100" s="153" t="s">
        <v>13288</v>
      </c>
      <c r="H100" s="170"/>
      <c r="I100" s="170"/>
      <c r="J100" s="156" t="s">
        <v>6914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163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IFERROR(__xludf.DUMMYFUNCTION("ifna(VALUE(REGEXEXTRACT(E100,""[0-9.]+[,]+[0-9]+"")))"),52.0)</f>
        <v>52</v>
      </c>
      <c r="O100" s="188">
        <f>IFERROR(__xludf.DUMMYFUNCTION("""COMPUTED_VALUE"""),1740537.0)</f>
        <v>1740537</v>
      </c>
      <c r="P100" s="189">
        <f>IFERROR(__xludf.DUMMYFUNCTION("""COMPUTED_VALUE"""),45945.64912037037)</f>
        <v>45945.64912</v>
      </c>
      <c r="Q100" s="188" t="str">
        <f>IFERROR(__xludf.DUMMYFUNCTION("""COMPUTED_VALUE"""),"Saída")</f>
        <v>Saída</v>
      </c>
      <c r="R100" s="190" t="str">
        <f>IFERROR(__xludf.DUMMYFUNCTION("""COMPUTED_VALUE"""),"R$ 60,00")</f>
        <v>R$ 60,00</v>
      </c>
      <c r="S100" s="188" t="str">
        <f>IFERROR(__xludf.DUMMYFUNCTION("""COMPUTED_VALUE"""),"compra morango")</f>
        <v>compra morango</v>
      </c>
      <c r="V100" s="188" t="str">
        <f>IFERROR(__xludf.DUMMYFUNCTION("""COMPUTED_VALUE"""),"Não Encontrada")</f>
        <v>Não Encontrada</v>
      </c>
      <c r="W100" s="159"/>
    </row>
    <row r="101" ht="14.25" customHeight="1">
      <c r="A101" s="149"/>
      <c r="B101" s="151">
        <v>1726977.0</v>
      </c>
      <c r="C101" s="152">
        <v>45937.926712962966</v>
      </c>
      <c r="D101" s="153" t="s">
        <v>101</v>
      </c>
      <c r="E101" s="154" t="s">
        <v>1219</v>
      </c>
      <c r="F101" s="155"/>
      <c r="G101" s="153" t="s">
        <v>13289</v>
      </c>
      <c r="H101" s="170"/>
      <c r="I101" s="170"/>
      <c r="J101" s="156" t="s">
        <v>12778</v>
      </c>
      <c r="K101" s="156" t="s">
        <v>12666</v>
      </c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"),"Caixa Atendimento")</f>
        <v>Caixa Atendimento</v>
      </c>
      <c r="M101" s="164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IFERROR(__xludf.DUMMYFUNCTION("ifna(VALUE(REGEXEXTRACT(E101,""[0-9.]+[,]+[0-9]+"")))"),400.0)</f>
        <v>400</v>
      </c>
      <c r="O101" s="185"/>
      <c r="P101" s="186"/>
      <c r="Q101" s="185"/>
      <c r="R101" s="187"/>
      <c r="S101" s="185"/>
      <c r="V101" s="185"/>
      <c r="W101" s="159"/>
    </row>
    <row r="102" ht="14.25" customHeight="1">
      <c r="A102" s="149"/>
      <c r="B102" s="151">
        <v>1727503.0</v>
      </c>
      <c r="C102" s="152">
        <v>45938.62824074074</v>
      </c>
      <c r="D102" s="191" t="s">
        <v>139</v>
      </c>
      <c r="E102" s="154" t="s">
        <v>1219</v>
      </c>
      <c r="F102" s="155"/>
      <c r="G102" s="153" t="s">
        <v>13290</v>
      </c>
      <c r="H102" s="170"/>
      <c r="I102" s="170"/>
      <c r="J102" s="168" t="s">
        <v>12778</v>
      </c>
      <c r="K102" s="156" t="s">
        <v>12666</v>
      </c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163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IFERROR(__xludf.DUMMYFUNCTION("ifna(VALUE(REGEXEXTRACT(E102,""[0-9.]+[,]+[0-9]+"")))"),400.0)</f>
        <v>400</v>
      </c>
      <c r="O102" s="188"/>
      <c r="P102" s="189"/>
      <c r="Q102" s="188"/>
      <c r="R102" s="190"/>
      <c r="S102" s="188"/>
      <c r="V102" s="188"/>
      <c r="W102" s="159"/>
    </row>
    <row r="103" ht="14.25" customHeight="1">
      <c r="A103" s="149"/>
      <c r="B103" s="151">
        <v>1727507.0</v>
      </c>
      <c r="C103" s="152">
        <v>45938.628587962965</v>
      </c>
      <c r="D103" s="191" t="s">
        <v>139</v>
      </c>
      <c r="E103" s="154" t="s">
        <v>213</v>
      </c>
      <c r="F103" s="155"/>
      <c r="G103" s="153" t="s">
        <v>13291</v>
      </c>
      <c r="H103" s="170"/>
      <c r="I103" s="170"/>
      <c r="J103" s="156" t="s">
        <v>12778</v>
      </c>
      <c r="K103" s="156" t="s">
        <v>12666</v>
      </c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164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IFERROR(__xludf.DUMMYFUNCTION("ifna(VALUE(REGEXEXTRACT(E103,""[0-9.]+[,]+[0-9]+"")))"),200.0)</f>
        <v>200</v>
      </c>
      <c r="O103" s="185"/>
      <c r="P103" s="186"/>
      <c r="Q103" s="185"/>
      <c r="R103" s="187"/>
      <c r="S103" s="185"/>
      <c r="V103" s="185"/>
      <c r="W103" s="159"/>
    </row>
    <row r="104" ht="14.25" customHeight="1">
      <c r="A104" s="149"/>
      <c r="B104" s="151">
        <v>1727516.0</v>
      </c>
      <c r="C104" s="152">
        <v>45938.63248842592</v>
      </c>
      <c r="D104" s="153" t="s">
        <v>101</v>
      </c>
      <c r="E104" s="154" t="s">
        <v>13292</v>
      </c>
      <c r="F104" s="155"/>
      <c r="G104" s="153" t="s">
        <v>13293</v>
      </c>
      <c r="H104" s="170"/>
      <c r="I104" s="170"/>
      <c r="J104" s="156" t="s">
        <v>12658</v>
      </c>
      <c r="K104" s="156" t="s">
        <v>11074</v>
      </c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163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IFERROR(__xludf.DUMMYFUNCTION("ifna(VALUE(REGEXEXTRACT(E104,""[0-9.]+[,]+[0-9]+"")))"),66.93)</f>
        <v>66.93</v>
      </c>
      <c r="O104" s="188"/>
      <c r="P104" s="189"/>
      <c r="Q104" s="188"/>
      <c r="R104" s="190"/>
      <c r="S104" s="188"/>
      <c r="V104" s="188"/>
      <c r="W104" s="159"/>
    </row>
    <row r="105" ht="14.25" customHeight="1">
      <c r="A105" s="149"/>
      <c r="B105" s="151">
        <v>1727720.0</v>
      </c>
      <c r="C105" s="152">
        <v>45938.69766203704</v>
      </c>
      <c r="D105" s="153" t="s">
        <v>139</v>
      </c>
      <c r="E105" s="154" t="s">
        <v>13294</v>
      </c>
      <c r="F105" s="155"/>
      <c r="G105" s="153" t="s">
        <v>12927</v>
      </c>
      <c r="H105" s="170"/>
      <c r="I105" s="170"/>
      <c r="J105" s="156" t="s">
        <v>12952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164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IFERROR(__xludf.DUMMYFUNCTION("ifna(VALUE(REGEXEXTRACT(E105,""[0-9.]+[,]+[0-9]+"")))"),1220.0)</f>
        <v>1220</v>
      </c>
      <c r="O105" s="185"/>
      <c r="P105" s="186"/>
      <c r="Q105" s="185"/>
      <c r="R105" s="187"/>
      <c r="S105" s="185"/>
      <c r="V105" s="185"/>
      <c r="W105" s="159"/>
    </row>
    <row r="106" ht="14.25" customHeight="1">
      <c r="A106" s="149"/>
      <c r="B106" s="151">
        <v>1727727.0</v>
      </c>
      <c r="C106" s="152">
        <v>45938.69957175926</v>
      </c>
      <c r="D106" s="153" t="s">
        <v>101</v>
      </c>
      <c r="E106" s="154" t="s">
        <v>13295</v>
      </c>
      <c r="F106" s="155"/>
      <c r="G106" s="153" t="s">
        <v>13296</v>
      </c>
      <c r="H106" s="170"/>
      <c r="I106" s="170"/>
      <c r="J106" s="156" t="s">
        <v>12952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163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IFERROR(__xludf.DUMMYFUNCTION("ifna(VALUE(REGEXEXTRACT(E106,""[0-9.]+[,]+[0-9]+"")))"),2250.0)</f>
        <v>2250</v>
      </c>
      <c r="O106" s="188"/>
      <c r="P106" s="189"/>
      <c r="Q106" s="188"/>
      <c r="R106" s="190"/>
      <c r="S106" s="188"/>
      <c r="V106" s="188"/>
      <c r="W106" s="159"/>
    </row>
    <row r="107" ht="14.25" customHeight="1">
      <c r="A107" s="149"/>
      <c r="B107" s="151">
        <v>1728140.0</v>
      </c>
      <c r="C107" s="152">
        <v>45938.87212962963</v>
      </c>
      <c r="D107" s="153" t="s">
        <v>101</v>
      </c>
      <c r="E107" s="154" t="s">
        <v>428</v>
      </c>
      <c r="F107" s="155"/>
      <c r="G107" s="153" t="s">
        <v>13297</v>
      </c>
      <c r="H107" s="170"/>
      <c r="I107" s="170"/>
      <c r="J107" s="156" t="s">
        <v>6914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164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IFERROR(__xludf.DUMMYFUNCTION("ifna(VALUE(REGEXEXTRACT(E107,""[0-9.]+[,]+[0-9]+"")))"),35.0)</f>
        <v>35</v>
      </c>
      <c r="O107" s="185"/>
      <c r="P107" s="186"/>
      <c r="Q107" s="185"/>
      <c r="R107" s="187"/>
      <c r="S107" s="185"/>
      <c r="V107" s="185"/>
      <c r="W107" s="159"/>
    </row>
    <row r="108" ht="14.25" customHeight="1">
      <c r="A108" s="149"/>
      <c r="B108" s="151">
        <v>1728145.0</v>
      </c>
      <c r="C108" s="152">
        <v>45938.87395833333</v>
      </c>
      <c r="D108" s="153" t="s">
        <v>101</v>
      </c>
      <c r="E108" s="154" t="s">
        <v>428</v>
      </c>
      <c r="F108" s="165"/>
      <c r="G108" s="153" t="s">
        <v>13298</v>
      </c>
      <c r="H108" s="170"/>
      <c r="I108" s="170"/>
      <c r="J108" s="156" t="s">
        <v>6914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163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IFERROR(__xludf.DUMMYFUNCTION("ifna(VALUE(REGEXEXTRACT(E108,""[0-9.]+[,]+[0-9]+"")))"),35.0)</f>
        <v>35</v>
      </c>
      <c r="O108" s="188"/>
      <c r="P108" s="189"/>
      <c r="Q108" s="188"/>
      <c r="R108" s="190"/>
      <c r="S108" s="188"/>
      <c r="V108" s="188"/>
      <c r="W108" s="159"/>
    </row>
    <row r="109" ht="14.25" customHeight="1">
      <c r="A109" s="149"/>
      <c r="B109" s="151">
        <v>1728949.0</v>
      </c>
      <c r="C109" s="152">
        <v>45939.663773148146</v>
      </c>
      <c r="D109" s="153" t="s">
        <v>139</v>
      </c>
      <c r="E109" s="154" t="s">
        <v>291</v>
      </c>
      <c r="F109" s="155"/>
      <c r="G109" s="153" t="s">
        <v>12927</v>
      </c>
      <c r="H109" s="170"/>
      <c r="I109" s="170"/>
      <c r="J109" s="168" t="s">
        <v>12952</v>
      </c>
      <c r="K109" s="156"/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164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IFERROR(__xludf.DUMMYFUNCTION("ifna(VALUE(REGEXEXTRACT(E109,""[0-9.]+[,]+[0-9]+"")))"),250.0)</f>
        <v>250</v>
      </c>
      <c r="O109" s="185"/>
      <c r="P109" s="186"/>
      <c r="Q109" s="185"/>
      <c r="R109" s="187"/>
      <c r="S109" s="185"/>
      <c r="V109" s="185"/>
      <c r="W109" s="159"/>
    </row>
    <row r="110" ht="14.25" customHeight="1">
      <c r="A110" s="149"/>
      <c r="B110" s="151">
        <v>1728951.0</v>
      </c>
      <c r="C110" s="152">
        <v>45939.6641087963</v>
      </c>
      <c r="D110" s="153" t="s">
        <v>101</v>
      </c>
      <c r="E110" s="154" t="s">
        <v>13299</v>
      </c>
      <c r="F110" s="155"/>
      <c r="G110" s="153" t="s">
        <v>13300</v>
      </c>
      <c r="H110" s="170"/>
      <c r="I110" s="170"/>
      <c r="J110" s="156" t="s">
        <v>12818</v>
      </c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163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159">
        <f>IFERROR(__xludf.DUMMYFUNCTION("ifna(VALUE(REGEXEXTRACT(E110,""[0-9.]+[,]+[0-9]+"")))"),242.5)</f>
        <v>242.5</v>
      </c>
      <c r="O110" s="188"/>
      <c r="P110" s="189"/>
      <c r="Q110" s="188"/>
      <c r="R110" s="190"/>
      <c r="S110" s="188"/>
      <c r="V110" s="188"/>
      <c r="W110" s="159"/>
    </row>
    <row r="111" ht="14.25" customHeight="1">
      <c r="A111" s="149"/>
      <c r="B111" s="151">
        <v>1729397.0</v>
      </c>
      <c r="C111" s="152">
        <v>45939.835173611114</v>
      </c>
      <c r="D111" s="153" t="s">
        <v>101</v>
      </c>
      <c r="E111" s="154" t="s">
        <v>526</v>
      </c>
      <c r="F111" s="155"/>
      <c r="G111" s="153" t="s">
        <v>13301</v>
      </c>
      <c r="H111" s="170"/>
      <c r="I111" s="170"/>
      <c r="J111" s="156" t="s">
        <v>12658</v>
      </c>
      <c r="K111" s="156" t="s">
        <v>12666</v>
      </c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164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IFERROR(__xludf.DUMMYFUNCTION("ifna(VALUE(REGEXEXTRACT(E111,""[0-9.]+[,]+[0-9]+"")))"),21.0)</f>
        <v>21</v>
      </c>
      <c r="O111" s="185"/>
      <c r="P111" s="186"/>
      <c r="Q111" s="185"/>
      <c r="R111" s="187"/>
      <c r="S111" s="185"/>
      <c r="V111" s="185"/>
      <c r="W111" s="159"/>
    </row>
    <row r="112" ht="14.25" customHeight="1">
      <c r="A112" s="149"/>
      <c r="B112" s="151">
        <v>1729399.0</v>
      </c>
      <c r="C112" s="152">
        <v>45939.83547453704</v>
      </c>
      <c r="D112" s="153" t="s">
        <v>101</v>
      </c>
      <c r="E112" s="154" t="s">
        <v>1633</v>
      </c>
      <c r="F112" s="155"/>
      <c r="G112" s="153" t="s">
        <v>13302</v>
      </c>
      <c r="H112" s="170"/>
      <c r="I112" s="170"/>
      <c r="J112" s="156" t="s">
        <v>12658</v>
      </c>
      <c r="K112" s="156" t="s">
        <v>199</v>
      </c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163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IFERROR(__xludf.DUMMYFUNCTION("ifna(VALUE(REGEXEXTRACT(E112,""[0-9.]+[,]+[0-9]+"")))"),8.0)</f>
        <v>8</v>
      </c>
      <c r="O112" s="188"/>
      <c r="P112" s="189"/>
      <c r="Q112" s="188"/>
      <c r="R112" s="190"/>
      <c r="S112" s="188"/>
      <c r="V112" s="188"/>
      <c r="W112" s="159"/>
    </row>
    <row r="113" ht="14.25" customHeight="1">
      <c r="A113" s="149"/>
      <c r="B113" s="151">
        <v>1729526.0</v>
      </c>
      <c r="C113" s="152">
        <v>45939.889699074076</v>
      </c>
      <c r="D113" s="153" t="s">
        <v>101</v>
      </c>
      <c r="E113" s="154" t="s">
        <v>845</v>
      </c>
      <c r="F113" s="155"/>
      <c r="G113" s="153" t="s">
        <v>13303</v>
      </c>
      <c r="H113" s="170"/>
      <c r="I113" s="170"/>
      <c r="J113" s="156" t="s">
        <v>6914</v>
      </c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164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IFERROR(__xludf.DUMMYFUNCTION("ifna(VALUE(REGEXEXTRACT(E113,""[0-9.]+[,]+[0-9]+"")))"),26.0)</f>
        <v>26</v>
      </c>
      <c r="O113" s="185"/>
      <c r="P113" s="186"/>
      <c r="Q113" s="185"/>
      <c r="R113" s="187"/>
      <c r="S113" s="185"/>
      <c r="V113" s="185"/>
      <c r="W113" s="159"/>
    </row>
    <row r="114" ht="14.25" customHeight="1">
      <c r="A114" s="149"/>
      <c r="B114" s="151">
        <v>1729527.0</v>
      </c>
      <c r="C114" s="152">
        <v>45939.89011574074</v>
      </c>
      <c r="D114" s="153" t="s">
        <v>101</v>
      </c>
      <c r="E114" s="154" t="s">
        <v>339</v>
      </c>
      <c r="F114" s="165"/>
      <c r="G114" s="153" t="s">
        <v>13304</v>
      </c>
      <c r="H114" s="170"/>
      <c r="I114" s="170"/>
      <c r="J114" s="156" t="s">
        <v>6914</v>
      </c>
      <c r="K114" s="192"/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163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IFERROR(__xludf.DUMMYFUNCTION("ifna(VALUE(REGEXEXTRACT(E114,""[0-9.]+[,]+[0-9]+"")))"),31.0)</f>
        <v>31</v>
      </c>
      <c r="O114" s="188"/>
      <c r="P114" s="189"/>
      <c r="Q114" s="188"/>
      <c r="R114" s="190"/>
      <c r="S114" s="188"/>
      <c r="V114" s="188"/>
      <c r="W114" s="159"/>
    </row>
    <row r="115" ht="14.25" customHeight="1">
      <c r="A115" s="149"/>
      <c r="B115" s="151">
        <v>1730303.0</v>
      </c>
      <c r="C115" s="152">
        <v>45940.64991898148</v>
      </c>
      <c r="D115" s="153" t="s">
        <v>101</v>
      </c>
      <c r="E115" s="154" t="s">
        <v>13305</v>
      </c>
      <c r="F115" s="155"/>
      <c r="G115" s="153" t="s">
        <v>13306</v>
      </c>
      <c r="H115" s="170"/>
      <c r="I115" s="170"/>
      <c r="J115" s="168" t="s">
        <v>12818</v>
      </c>
      <c r="K115" s="156"/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164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59">
        <f>IFERROR(__xludf.DUMMYFUNCTION("ifna(VALUE(REGEXEXTRACT(E115,""[0-9.]+[,]+[0-9]+"")))"),117.09)</f>
        <v>117.09</v>
      </c>
      <c r="O115" s="185"/>
      <c r="P115" s="186"/>
      <c r="Q115" s="185"/>
      <c r="R115" s="187"/>
      <c r="S115" s="185"/>
      <c r="V115" s="185"/>
      <c r="W115" s="159"/>
    </row>
    <row r="116" ht="14.25" customHeight="1">
      <c r="A116" s="149"/>
      <c r="B116" s="151">
        <v>1730944.0</v>
      </c>
      <c r="C116" s="152">
        <v>45940.82524305556</v>
      </c>
      <c r="D116" s="153" t="s">
        <v>101</v>
      </c>
      <c r="E116" s="154" t="s">
        <v>526</v>
      </c>
      <c r="F116" s="155"/>
      <c r="G116" s="153" t="s">
        <v>13307</v>
      </c>
      <c r="H116" s="170"/>
      <c r="I116" s="170"/>
      <c r="J116" s="156" t="s">
        <v>12658</v>
      </c>
      <c r="K116" s="156" t="s">
        <v>12693</v>
      </c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163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IFERROR(__xludf.DUMMYFUNCTION("ifna(VALUE(REGEXEXTRACT(E116,""[0-9.]+[,]+[0-9]+"")))"),21.0)</f>
        <v>21</v>
      </c>
      <c r="O116" s="188"/>
      <c r="P116" s="189"/>
      <c r="Q116" s="188"/>
      <c r="R116" s="190"/>
      <c r="S116" s="188"/>
      <c r="V116" s="188"/>
      <c r="W116" s="159"/>
    </row>
    <row r="117" ht="14.25" customHeight="1">
      <c r="A117" s="149"/>
      <c r="B117" s="151">
        <v>1731035.0</v>
      </c>
      <c r="C117" s="152">
        <v>45940.863125</v>
      </c>
      <c r="D117" s="153" t="s">
        <v>101</v>
      </c>
      <c r="E117" s="154" t="s">
        <v>885</v>
      </c>
      <c r="F117" s="155"/>
      <c r="G117" s="153" t="s">
        <v>13008</v>
      </c>
      <c r="H117" s="170"/>
      <c r="I117" s="170"/>
      <c r="J117" s="156" t="s">
        <v>6914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164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IFERROR(__xludf.DUMMYFUNCTION("ifna(VALUE(REGEXEXTRACT(E117,""[0-9.]+[,]+[0-9]+"")))"),81.0)</f>
        <v>81</v>
      </c>
      <c r="O117" s="185"/>
      <c r="P117" s="186"/>
      <c r="Q117" s="185"/>
      <c r="R117" s="187"/>
      <c r="S117" s="185"/>
      <c r="V117" s="185"/>
      <c r="W117" s="159"/>
    </row>
    <row r="118" ht="14.25" customHeight="1">
      <c r="A118" s="149"/>
      <c r="B118" s="151">
        <v>1731037.0</v>
      </c>
      <c r="C118" s="152">
        <v>45940.86413194444</v>
      </c>
      <c r="D118" s="153" t="s">
        <v>101</v>
      </c>
      <c r="E118" s="154" t="s">
        <v>281</v>
      </c>
      <c r="F118" s="155"/>
      <c r="G118" s="153" t="s">
        <v>13308</v>
      </c>
      <c r="H118" s="170"/>
      <c r="I118" s="170"/>
      <c r="J118" s="168" t="s">
        <v>13309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163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IFERROR(__xludf.DUMMYFUNCTION("ifna(VALUE(REGEXEXTRACT(E118,""[0-9.]+[,]+[0-9]+"")))"),42.0)</f>
        <v>42</v>
      </c>
      <c r="O118" s="188"/>
      <c r="P118" s="193"/>
      <c r="Q118" s="188"/>
      <c r="R118" s="190"/>
      <c r="S118" s="188"/>
      <c r="V118" s="188"/>
      <c r="W118" s="159"/>
    </row>
    <row r="119" ht="14.25" customHeight="1">
      <c r="A119" s="149"/>
      <c r="B119" s="151">
        <v>1731938.0</v>
      </c>
      <c r="C119" s="152">
        <v>45941.59721064815</v>
      </c>
      <c r="D119" s="153" t="s">
        <v>139</v>
      </c>
      <c r="E119" s="154" t="s">
        <v>799</v>
      </c>
      <c r="F119" s="155"/>
      <c r="G119" s="153" t="s">
        <v>13310</v>
      </c>
      <c r="H119" s="170"/>
      <c r="I119" s="170"/>
      <c r="J119" s="156"/>
      <c r="K119" s="156"/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164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IFERROR(__xludf.DUMMYFUNCTION("ifna(VALUE(REGEXEXTRACT(E119,""[0-9.]+[,]+[0-9]+"")))"),75.0)</f>
        <v>75</v>
      </c>
      <c r="O119" s="185"/>
      <c r="P119" s="194"/>
      <c r="Q119" s="185"/>
      <c r="R119" s="187"/>
      <c r="S119" s="185"/>
      <c r="V119" s="185"/>
      <c r="W119" s="159"/>
    </row>
    <row r="120" ht="14.25" customHeight="1">
      <c r="A120" s="149"/>
      <c r="B120" s="151">
        <v>1732201.0</v>
      </c>
      <c r="C120" s="152">
        <v>45941.6678125</v>
      </c>
      <c r="D120" s="153" t="s">
        <v>101</v>
      </c>
      <c r="E120" s="154" t="s">
        <v>13311</v>
      </c>
      <c r="F120" s="155"/>
      <c r="G120" s="153" t="s">
        <v>528</v>
      </c>
      <c r="H120" s="153"/>
      <c r="I120" s="170"/>
      <c r="J120" s="168" t="s">
        <v>13312</v>
      </c>
      <c r="K120" s="156"/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163" t="str">
        <f>IFERROR(__xludf.DUMMYFUNCTION("IF(J120=""Compra de Mercadorias"",
   IF(
      COUNTIF(ARRAYFORMULA(TRIM(CLEAN(TO_TEXT(Notas!BS:BS)))), TRIM(CLEAN(TO_TEXT(B120)))) &gt; 0,
      ""Encontrada"",
      ""Não Encontrada""
   ),
"""")"),"Encontrada")</f>
        <v>Encontrada</v>
      </c>
      <c r="N120" s="159">
        <f>IFERROR(__xludf.DUMMYFUNCTION("ifna(VALUE(REGEXEXTRACT(E120,""[0-9.]+[,]+[0-9]+"")))"),125.74)</f>
        <v>125.74</v>
      </c>
      <c r="O120" s="188"/>
      <c r="P120" s="193"/>
      <c r="Q120" s="188"/>
      <c r="R120" s="190"/>
      <c r="S120" s="188"/>
      <c r="V120" s="188"/>
      <c r="W120" s="159"/>
    </row>
    <row r="121" ht="14.25" customHeight="1">
      <c r="A121" s="149"/>
      <c r="B121" s="151">
        <v>1732642.0</v>
      </c>
      <c r="C121" s="152">
        <v>45941.75462962963</v>
      </c>
      <c r="D121" s="153" t="s">
        <v>101</v>
      </c>
      <c r="E121" s="154" t="s">
        <v>1488</v>
      </c>
      <c r="F121" s="155"/>
      <c r="G121" s="153" t="s">
        <v>13313</v>
      </c>
      <c r="H121" s="153"/>
      <c r="I121" s="170"/>
      <c r="J121" s="168" t="s">
        <v>13309</v>
      </c>
      <c r="K121" s="156"/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164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IFERROR(__xludf.DUMMYFUNCTION("ifna(VALUE(REGEXEXTRACT(E121,""[0-9.]+[,]+[0-9]+"")))"),90.0)</f>
        <v>90</v>
      </c>
      <c r="O121" s="185"/>
      <c r="P121" s="194"/>
      <c r="Q121" s="185"/>
      <c r="R121" s="187"/>
      <c r="S121" s="185"/>
      <c r="V121" s="185"/>
      <c r="W121" s="159"/>
    </row>
    <row r="122" ht="14.25" customHeight="1">
      <c r="A122" s="149"/>
      <c r="B122" s="151">
        <v>1733261.0</v>
      </c>
      <c r="C122" s="152">
        <v>45941.88853009259</v>
      </c>
      <c r="D122" s="153" t="s">
        <v>101</v>
      </c>
      <c r="E122" s="154" t="s">
        <v>13314</v>
      </c>
      <c r="F122" s="155"/>
      <c r="G122" s="153" t="s">
        <v>13315</v>
      </c>
      <c r="H122" s="153"/>
      <c r="I122" s="170"/>
      <c r="J122" s="156" t="s">
        <v>6914</v>
      </c>
      <c r="K122" s="156"/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163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IFERROR(__xludf.DUMMYFUNCTION("ifna(VALUE(REGEXEXTRACT(E122,""[0-9.]+[,]+[0-9]+"")))"),102.0)</f>
        <v>102</v>
      </c>
      <c r="O122" s="195"/>
      <c r="P122" s="193"/>
      <c r="Q122" s="188"/>
      <c r="R122" s="190"/>
      <c r="S122" s="188"/>
      <c r="V122" s="188"/>
      <c r="W122" s="159"/>
    </row>
    <row r="123" ht="14.25" customHeight="1">
      <c r="A123" s="149"/>
      <c r="B123" s="151">
        <v>1733280.0</v>
      </c>
      <c r="C123" s="152">
        <v>45941.89178240741</v>
      </c>
      <c r="D123" s="153" t="s">
        <v>139</v>
      </c>
      <c r="E123" s="154" t="s">
        <v>201</v>
      </c>
      <c r="F123" s="155"/>
      <c r="G123" s="153" t="s">
        <v>12927</v>
      </c>
      <c r="H123" s="153"/>
      <c r="I123" s="170"/>
      <c r="J123" s="156" t="s">
        <v>12952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164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IFERROR(__xludf.DUMMYFUNCTION("ifna(VALUE(REGEXEXTRACT(E123,""[0-9.]+[,]+[0-9]+"")))"),150.0)</f>
        <v>150</v>
      </c>
      <c r="O123" s="185"/>
      <c r="P123" s="194"/>
      <c r="Q123" s="185"/>
      <c r="R123" s="187"/>
      <c r="S123" s="185"/>
      <c r="V123" s="185"/>
      <c r="W123" s="159"/>
    </row>
    <row r="124" ht="14.25" customHeight="1">
      <c r="A124" s="149"/>
      <c r="B124" s="151">
        <v>1733303.0</v>
      </c>
      <c r="C124" s="152">
        <v>45941.89686342593</v>
      </c>
      <c r="D124" s="153" t="s">
        <v>101</v>
      </c>
      <c r="E124" s="154" t="s">
        <v>13316</v>
      </c>
      <c r="F124" s="165"/>
      <c r="G124" s="153" t="s">
        <v>13317</v>
      </c>
      <c r="H124" s="153"/>
      <c r="I124" s="170"/>
      <c r="J124" s="156" t="s">
        <v>10036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163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IFERROR(__xludf.DUMMYFUNCTION("ifna(VALUE(REGEXEXTRACT(E124,""[0-9.]+[,]+[0-9]+"")))"),104.0)</f>
        <v>104</v>
      </c>
      <c r="O124" s="188"/>
      <c r="P124" s="193"/>
      <c r="Q124" s="188"/>
      <c r="R124" s="190"/>
      <c r="S124" s="188"/>
      <c r="V124" s="188"/>
      <c r="W124" s="159"/>
    </row>
    <row r="125" ht="14.25" customHeight="1">
      <c r="A125" s="149"/>
      <c r="B125" s="151">
        <v>1733305.0</v>
      </c>
      <c r="C125" s="152">
        <v>45941.89703703704</v>
      </c>
      <c r="D125" s="153" t="s">
        <v>101</v>
      </c>
      <c r="E125" s="154" t="s">
        <v>786</v>
      </c>
      <c r="F125" s="155"/>
      <c r="G125" s="153" t="s">
        <v>13318</v>
      </c>
      <c r="H125" s="153"/>
      <c r="I125" s="170"/>
      <c r="J125" s="156" t="s">
        <v>10036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164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IFERROR(__xludf.DUMMYFUNCTION("ifna(VALUE(REGEXEXTRACT(E125,""[0-9.]+[,]+[0-9]+"")))"),130.0)</f>
        <v>130</v>
      </c>
      <c r="O125" s="185"/>
      <c r="P125" s="194"/>
      <c r="Q125" s="185"/>
      <c r="R125" s="187"/>
      <c r="S125" s="185"/>
      <c r="V125" s="185"/>
      <c r="W125" s="159"/>
    </row>
    <row r="126" ht="14.25" customHeight="1">
      <c r="A126" s="149"/>
      <c r="B126" s="151">
        <v>1733565.0</v>
      </c>
      <c r="C126" s="152">
        <v>45941.92469907407</v>
      </c>
      <c r="D126" s="153" t="s">
        <v>101</v>
      </c>
      <c r="E126" s="154" t="s">
        <v>1496</v>
      </c>
      <c r="F126" s="155"/>
      <c r="G126" s="153" t="s">
        <v>13319</v>
      </c>
      <c r="H126" s="153"/>
      <c r="I126" s="170"/>
      <c r="J126" s="168" t="s">
        <v>13320</v>
      </c>
      <c r="K126" s="156" t="s">
        <v>199</v>
      </c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"),"Confirmada")</f>
        <v>Confirmada</v>
      </c>
      <c r="M126" s="163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IFERROR(__xludf.DUMMYFUNCTION("ifna(VALUE(REGEXEXTRACT(E126,""[0-9.]+[,]+[0-9]+"")))"),950.0)</f>
        <v>950</v>
      </c>
      <c r="O126" s="188"/>
      <c r="P126" s="193"/>
      <c r="Q126" s="188"/>
      <c r="R126" s="188"/>
      <c r="S126" s="188"/>
      <c r="V126" s="188"/>
      <c r="W126" s="159"/>
    </row>
    <row r="127" ht="14.25" customHeight="1">
      <c r="A127" s="149"/>
      <c r="B127" s="151">
        <v>1735670.0</v>
      </c>
      <c r="C127" s="152">
        <v>45942.85915509259</v>
      </c>
      <c r="D127" s="153" t="s">
        <v>101</v>
      </c>
      <c r="E127" s="154" t="s">
        <v>13321</v>
      </c>
      <c r="F127" s="155"/>
      <c r="G127" s="153" t="s">
        <v>13322</v>
      </c>
      <c r="H127" s="153"/>
      <c r="I127" s="170"/>
      <c r="J127" s="168" t="s">
        <v>13309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164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IFERROR(__xludf.DUMMYFUNCTION("ifna(VALUE(REGEXEXTRACT(E127,""[0-9.]+[,]+[0-9]+"")))"),271.0)</f>
        <v>271</v>
      </c>
      <c r="O127" s="185"/>
      <c r="P127" s="194"/>
      <c r="Q127" s="185"/>
      <c r="R127" s="185"/>
      <c r="S127" s="185"/>
      <c r="V127" s="185"/>
      <c r="W127" s="159"/>
    </row>
    <row r="128" ht="14.25" customHeight="1">
      <c r="A128" s="149"/>
      <c r="B128" s="151">
        <v>1736038.0</v>
      </c>
      <c r="C128" s="152">
        <v>45942.91082175926</v>
      </c>
      <c r="D128" s="153" t="s">
        <v>101</v>
      </c>
      <c r="E128" s="154" t="s">
        <v>2367</v>
      </c>
      <c r="F128" s="155"/>
      <c r="G128" s="153" t="s">
        <v>12901</v>
      </c>
      <c r="H128" s="153"/>
      <c r="I128" s="170"/>
      <c r="J128" s="156" t="s">
        <v>10036</v>
      </c>
      <c r="K128" s="192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163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59">
        <f>IFERROR(__xludf.DUMMYFUNCTION("ifna(VALUE(REGEXEXTRACT(E128,""[0-9.]+[,]+[0-9]+"")))"),106.0)</f>
        <v>106</v>
      </c>
      <c r="O128" s="188"/>
      <c r="P128" s="193"/>
      <c r="Q128" s="188"/>
      <c r="R128" s="188"/>
      <c r="S128" s="188"/>
      <c r="V128" s="188"/>
      <c r="W128" s="159"/>
    </row>
    <row r="129" ht="14.25" customHeight="1">
      <c r="A129" s="149"/>
      <c r="B129" s="151">
        <v>1736058.0</v>
      </c>
      <c r="C129" s="152">
        <v>45942.913506944446</v>
      </c>
      <c r="D129" s="153" t="s">
        <v>101</v>
      </c>
      <c r="E129" s="154" t="s">
        <v>13323</v>
      </c>
      <c r="F129" s="155"/>
      <c r="G129" s="153" t="s">
        <v>12950</v>
      </c>
      <c r="H129" s="153"/>
      <c r="I129" s="170"/>
      <c r="J129" s="156" t="s">
        <v>10036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164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IFERROR(__xludf.DUMMYFUNCTION("ifna(VALUE(REGEXEXTRACT(E129,""[0-9.]+[,]+[0-9]+"")))"),116.0)</f>
        <v>116</v>
      </c>
      <c r="O129" s="185"/>
      <c r="P129" s="194"/>
      <c r="Q129" s="185"/>
      <c r="R129" s="185"/>
      <c r="S129" s="185"/>
      <c r="V129" s="185"/>
      <c r="W129" s="159"/>
    </row>
    <row r="130" ht="14.25" customHeight="1">
      <c r="A130" s="149"/>
      <c r="B130" s="151">
        <v>1736280.0</v>
      </c>
      <c r="C130" s="152">
        <v>45942.92869212963</v>
      </c>
      <c r="D130" s="153" t="s">
        <v>101</v>
      </c>
      <c r="E130" s="154" t="s">
        <v>201</v>
      </c>
      <c r="F130" s="165"/>
      <c r="G130" s="153" t="s">
        <v>13324</v>
      </c>
      <c r="H130" s="170"/>
      <c r="I130" s="170"/>
      <c r="J130" s="156" t="s">
        <v>12778</v>
      </c>
      <c r="K130" s="156" t="s">
        <v>12666</v>
      </c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"),"Confirmada")</f>
        <v>Confirmada</v>
      </c>
      <c r="M130" s="163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IFERROR(__xludf.DUMMYFUNCTION("ifna(VALUE(REGEXEXTRACT(E130,""[0-9.]+[,]+[0-9]+"")))"),150.0)</f>
        <v>150</v>
      </c>
      <c r="O130" s="188"/>
      <c r="P130" s="196"/>
      <c r="Q130" s="188"/>
      <c r="R130" s="188"/>
      <c r="S130" s="188"/>
      <c r="V130" s="188"/>
      <c r="W130" s="159"/>
    </row>
    <row r="131" ht="14.25" customHeight="1">
      <c r="A131" s="149"/>
      <c r="B131" s="151">
        <v>1737435.0</v>
      </c>
      <c r="C131" s="152">
        <v>45943.72518518518</v>
      </c>
      <c r="D131" s="153" t="s">
        <v>101</v>
      </c>
      <c r="E131" s="154" t="s">
        <v>13138</v>
      </c>
      <c r="F131" s="155"/>
      <c r="G131" s="153" t="s">
        <v>13325</v>
      </c>
      <c r="H131" s="170"/>
      <c r="I131" s="170"/>
      <c r="J131" s="156"/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164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IFERROR(__xludf.DUMMYFUNCTION("ifna(VALUE(REGEXEXTRACT(E131,""[0-9.]+[,]+[0-9]+"")))"),0.01)</f>
        <v>0.01</v>
      </c>
      <c r="O131" s="185"/>
      <c r="P131" s="194"/>
      <c r="Q131" s="185"/>
      <c r="R131" s="185"/>
      <c r="S131" s="185"/>
      <c r="V131" s="185"/>
      <c r="W131" s="159"/>
    </row>
    <row r="132" ht="14.25" customHeight="1">
      <c r="A132" s="149"/>
      <c r="B132" s="151">
        <v>1737931.0</v>
      </c>
      <c r="C132" s="152">
        <v>45943.88888888889</v>
      </c>
      <c r="D132" s="153" t="s">
        <v>101</v>
      </c>
      <c r="E132" s="154" t="s">
        <v>885</v>
      </c>
      <c r="F132" s="155"/>
      <c r="G132" s="153" t="s">
        <v>13326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163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IFERROR(__xludf.DUMMYFUNCTION("ifna(VALUE(REGEXEXTRACT(E132,""[0-9.]+[,]+[0-9]+"")))"),81.0)</f>
        <v>81</v>
      </c>
      <c r="O132" s="188"/>
      <c r="P132" s="193"/>
      <c r="Q132" s="188"/>
      <c r="R132" s="188"/>
      <c r="S132" s="188"/>
      <c r="V132" s="188"/>
      <c r="W132" s="159"/>
    </row>
    <row r="133" ht="14.25" customHeight="1">
      <c r="A133" s="149"/>
      <c r="B133" s="151">
        <v>1737934.0</v>
      </c>
      <c r="C133" s="152">
        <v>45943.88988425926</v>
      </c>
      <c r="D133" s="153" t="s">
        <v>101</v>
      </c>
      <c r="E133" s="154" t="s">
        <v>398</v>
      </c>
      <c r="F133" s="155"/>
      <c r="G133" s="153" t="s">
        <v>13327</v>
      </c>
      <c r="H133" s="170"/>
      <c r="I133" s="170"/>
      <c r="J133" s="156" t="s">
        <v>6914</v>
      </c>
      <c r="K133" s="156"/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164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IFERROR(__xludf.DUMMYFUNCTION("ifna(VALUE(REGEXEXTRACT(E133,""[0-9.]+[,]+[0-9]+"")))"),12.0)</f>
        <v>12</v>
      </c>
      <c r="O133" s="185"/>
      <c r="P133" s="194"/>
      <c r="Q133" s="185"/>
      <c r="R133" s="185"/>
      <c r="S133" s="185"/>
      <c r="V133" s="185"/>
      <c r="W133" s="159"/>
    </row>
    <row r="134" ht="14.25" customHeight="1">
      <c r="A134" s="149"/>
      <c r="B134" s="151">
        <v>1738203.0</v>
      </c>
      <c r="C134" s="152">
        <v>45943.93087962963</v>
      </c>
      <c r="D134" s="153" t="s">
        <v>101</v>
      </c>
      <c r="E134" s="154" t="s">
        <v>13328</v>
      </c>
      <c r="F134" s="155"/>
      <c r="G134" s="153" t="s">
        <v>13329</v>
      </c>
      <c r="H134" s="170"/>
      <c r="I134" s="170"/>
      <c r="J134" s="156" t="s">
        <v>12778</v>
      </c>
      <c r="K134" s="156" t="s">
        <v>12666</v>
      </c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"),"Confirmada")</f>
        <v>Confirmada</v>
      </c>
      <c r="M134" s="163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IFERROR(__xludf.DUMMYFUNCTION("ifna(VALUE(REGEXEXTRACT(E134,""[0-9.]+[,]+[0-9]+"")))"),1350.0)</f>
        <v>1350</v>
      </c>
      <c r="O134" s="188"/>
      <c r="P134" s="193"/>
      <c r="Q134" s="188"/>
      <c r="R134" s="188"/>
      <c r="S134" s="188"/>
      <c r="V134" s="188"/>
      <c r="W134" s="159"/>
    </row>
    <row r="135" ht="14.25" customHeight="1">
      <c r="A135" s="149"/>
      <c r="B135" s="151">
        <v>1738517.0</v>
      </c>
      <c r="C135" s="152">
        <v>45944.54076388889</v>
      </c>
      <c r="D135" s="153" t="s">
        <v>139</v>
      </c>
      <c r="E135" s="154" t="s">
        <v>213</v>
      </c>
      <c r="F135" s="155"/>
      <c r="G135" s="153" t="s">
        <v>12927</v>
      </c>
      <c r="H135" s="170"/>
      <c r="I135" s="170"/>
      <c r="J135" s="156" t="s">
        <v>12952</v>
      </c>
      <c r="K135" s="156"/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164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IFERROR(__xludf.DUMMYFUNCTION("ifna(VALUE(REGEXEXTRACT(E135,""[0-9.]+[,]+[0-9]+"")))"),200.0)</f>
        <v>200</v>
      </c>
      <c r="O135" s="185"/>
      <c r="P135" s="194"/>
      <c r="Q135" s="185"/>
      <c r="R135" s="185"/>
      <c r="S135" s="185"/>
      <c r="V135" s="185"/>
      <c r="W135" s="159"/>
    </row>
    <row r="136" ht="14.25" customHeight="1">
      <c r="A136" s="149"/>
      <c r="B136" s="151">
        <v>1738968.0</v>
      </c>
      <c r="C136" s="152">
        <v>45944.70974537037</v>
      </c>
      <c r="D136" s="153" t="s">
        <v>101</v>
      </c>
      <c r="E136" s="154" t="s">
        <v>13330</v>
      </c>
      <c r="F136" s="155"/>
      <c r="G136" s="153" t="s">
        <v>13331</v>
      </c>
      <c r="H136" s="170"/>
      <c r="I136" s="170"/>
      <c r="J136" s="156" t="s">
        <v>12658</v>
      </c>
      <c r="K136" s="156" t="s">
        <v>11074</v>
      </c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163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IFERROR(__xludf.DUMMYFUNCTION("ifna(VALUE(REGEXEXTRACT(E136,""[0-9.]+[,]+[0-9]+"")))"),9.0)</f>
        <v>9</v>
      </c>
      <c r="O136" s="188"/>
      <c r="P136" s="193"/>
      <c r="Q136" s="188"/>
      <c r="R136" s="188"/>
      <c r="S136" s="188"/>
      <c r="V136" s="188"/>
      <c r="W136" s="159"/>
    </row>
    <row r="137" ht="14.25" customHeight="1">
      <c r="A137" s="149"/>
      <c r="B137" s="151">
        <v>1738969.0</v>
      </c>
      <c r="C137" s="152">
        <v>45944.70974537037</v>
      </c>
      <c r="D137" s="153" t="s">
        <v>101</v>
      </c>
      <c r="E137" s="154" t="s">
        <v>260</v>
      </c>
      <c r="F137" s="155"/>
      <c r="G137" s="153" t="s">
        <v>13332</v>
      </c>
      <c r="H137" s="170"/>
      <c r="I137" s="170"/>
      <c r="J137" s="156" t="s">
        <v>12658</v>
      </c>
      <c r="K137" s="156" t="s">
        <v>199</v>
      </c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164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IFERROR(__xludf.DUMMYFUNCTION("ifna(VALUE(REGEXEXTRACT(E137,""[0-9.]+[,]+[0-9]+"")))"),13.0)</f>
        <v>13</v>
      </c>
      <c r="O137" s="185"/>
      <c r="P137" s="194"/>
      <c r="Q137" s="185"/>
      <c r="R137" s="185"/>
      <c r="S137" s="185"/>
      <c r="V137" s="185"/>
      <c r="W137" s="159"/>
    </row>
    <row r="138" ht="14.25" customHeight="1">
      <c r="A138" s="149"/>
      <c r="B138" s="151">
        <v>1739635.0</v>
      </c>
      <c r="C138" s="152">
        <v>45944.904756944445</v>
      </c>
      <c r="D138" s="153" t="s">
        <v>101</v>
      </c>
      <c r="E138" s="154" t="s">
        <v>13333</v>
      </c>
      <c r="F138" s="155"/>
      <c r="G138" s="153" t="s">
        <v>13334</v>
      </c>
      <c r="H138" s="170"/>
      <c r="I138" s="170"/>
      <c r="J138" s="156" t="s">
        <v>6914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163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IFERROR(__xludf.DUMMYFUNCTION("ifna(VALUE(REGEXEXTRACT(E138,""[0-9.]+[,]+[0-9]+"")))"),110.0)</f>
        <v>110</v>
      </c>
      <c r="O138" s="188"/>
      <c r="P138" s="193"/>
      <c r="Q138" s="188"/>
      <c r="R138" s="188"/>
      <c r="S138" s="188"/>
      <c r="V138" s="188"/>
      <c r="W138" s="159"/>
    </row>
    <row r="139" ht="14.25" customHeight="1">
      <c r="A139" s="149"/>
      <c r="B139" s="151">
        <v>1739846.0</v>
      </c>
      <c r="C139" s="152">
        <v>45944.927777777775</v>
      </c>
      <c r="D139" s="153" t="s">
        <v>101</v>
      </c>
      <c r="E139" s="154" t="s">
        <v>599</v>
      </c>
      <c r="F139" s="155"/>
      <c r="G139" s="153" t="s">
        <v>13335</v>
      </c>
      <c r="H139" s="170"/>
      <c r="I139" s="170"/>
      <c r="J139" s="156" t="s">
        <v>6914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164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IFERROR(__xludf.DUMMYFUNCTION("ifna(VALUE(REGEXEXTRACT(E139,""[0-9.]+[,]+[0-9]+"")))"),11.0)</f>
        <v>11</v>
      </c>
      <c r="O139" s="185"/>
      <c r="P139" s="194"/>
      <c r="Q139" s="185"/>
      <c r="R139" s="185"/>
      <c r="S139" s="185"/>
      <c r="V139" s="185"/>
      <c r="W139" s="159"/>
    </row>
    <row r="140" ht="14.25" customHeight="1">
      <c r="A140" s="149"/>
      <c r="B140" s="151">
        <v>1739871.0</v>
      </c>
      <c r="C140" s="152">
        <v>45944.93087962963</v>
      </c>
      <c r="D140" s="153" t="s">
        <v>101</v>
      </c>
      <c r="E140" s="154" t="s">
        <v>13336</v>
      </c>
      <c r="F140" s="165"/>
      <c r="G140" s="153" t="s">
        <v>13337</v>
      </c>
      <c r="H140" s="170"/>
      <c r="I140" s="170"/>
      <c r="J140" s="168" t="s">
        <v>12778</v>
      </c>
      <c r="K140" s="156" t="s">
        <v>12666</v>
      </c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"),"Confirmada")</f>
        <v>Confirmada</v>
      </c>
      <c r="M140" s="163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IFERROR(__xludf.DUMMYFUNCTION("ifna(VALUE(REGEXEXTRACT(E140,""[0-9.]+[,]+[0-9]+"")))"),870.0)</f>
        <v>870</v>
      </c>
      <c r="O140" s="188"/>
      <c r="P140" s="193"/>
      <c r="Q140" s="188"/>
      <c r="R140" s="188"/>
      <c r="S140" s="188"/>
      <c r="V140" s="188"/>
      <c r="W140" s="159"/>
    </row>
    <row r="141" ht="14.25" customHeight="1">
      <c r="A141" s="149"/>
      <c r="B141" s="151">
        <v>1740537.0</v>
      </c>
      <c r="C141" s="152">
        <v>45945.64912037037</v>
      </c>
      <c r="D141" s="153" t="s">
        <v>101</v>
      </c>
      <c r="E141" s="154" t="s">
        <v>161</v>
      </c>
      <c r="F141" s="155"/>
      <c r="G141" s="153" t="s">
        <v>3007</v>
      </c>
      <c r="H141" s="170"/>
      <c r="I141" s="170"/>
      <c r="J141" s="156" t="s">
        <v>12818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164" t="str">
        <f>IFERROR(__xludf.DUMMYFUNCTION("IF(J141=""Compra de Mercadorias"",
   IF(
      COUNTIF(ARRAYFORMULA(TRIM(CLEAN(TO_TEXT(Notas!BS:BS)))), TRIM(CLEAN(TO_TEXT(B141)))) &gt; 0,
      ""Encontrada"",
      ""Não Encontrada""
   ),
"""")"),"Não Encontrada")</f>
        <v>Não Encontrada</v>
      </c>
      <c r="N141" s="159">
        <f>IFERROR(__xludf.DUMMYFUNCTION("ifna(VALUE(REGEXEXTRACT(E141,""[0-9.]+[,]+[0-9]+"")))"),60.0)</f>
        <v>60</v>
      </c>
      <c r="O141" s="185"/>
      <c r="P141" s="194"/>
      <c r="Q141" s="185"/>
      <c r="R141" s="185"/>
      <c r="S141" s="185"/>
      <c r="V141" s="185"/>
      <c r="W141" s="159"/>
    </row>
    <row r="142" ht="14.25" customHeight="1">
      <c r="A142" s="149"/>
      <c r="B142" s="151">
        <v>1741014.0</v>
      </c>
      <c r="C142" s="152">
        <v>45945.741747685184</v>
      </c>
      <c r="D142" s="153" t="s">
        <v>101</v>
      </c>
      <c r="E142" s="154" t="s">
        <v>13138</v>
      </c>
      <c r="F142" s="155"/>
      <c r="G142" s="153" t="s">
        <v>13338</v>
      </c>
      <c r="H142" s="170"/>
      <c r="I142" s="170"/>
      <c r="J142" s="156"/>
      <c r="K142" s="156"/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163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IFERROR(__xludf.DUMMYFUNCTION("ifna(VALUE(REGEXEXTRACT(E142,""[0-9.]+[,]+[0-9]+"")))"),0.01)</f>
        <v>0.01</v>
      </c>
      <c r="O142" s="188"/>
      <c r="P142" s="193"/>
      <c r="Q142" s="188"/>
      <c r="R142" s="188"/>
      <c r="S142" s="188"/>
      <c r="V142" s="188"/>
      <c r="W142" s="159"/>
    </row>
    <row r="143" ht="14.25" customHeight="1">
      <c r="A143" s="149"/>
      <c r="B143" s="151">
        <v>1741382.0</v>
      </c>
      <c r="C143" s="152">
        <v>45945.85097222222</v>
      </c>
      <c r="D143" s="153" t="s">
        <v>101</v>
      </c>
      <c r="E143" s="154" t="s">
        <v>13339</v>
      </c>
      <c r="F143" s="155"/>
      <c r="G143" s="153" t="s">
        <v>13340</v>
      </c>
      <c r="H143" s="170"/>
      <c r="I143" s="170"/>
      <c r="J143" s="156" t="s">
        <v>6914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164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IFERROR(__xludf.DUMMYFUNCTION("ifna(VALUE(REGEXEXTRACT(E143,""[0-9.]+[,]+[0-9]+"")))"),189.0)</f>
        <v>189</v>
      </c>
      <c r="O143" s="185"/>
      <c r="P143" s="194"/>
      <c r="Q143" s="185"/>
      <c r="R143" s="185"/>
      <c r="S143" s="185"/>
      <c r="V143" s="185"/>
      <c r="W143" s="159"/>
    </row>
    <row r="144" ht="14.25" customHeight="1">
      <c r="A144" s="149"/>
      <c r="B144" s="151">
        <v>1741888.0</v>
      </c>
      <c r="C144" s="152">
        <v>45945.93703703704</v>
      </c>
      <c r="D144" s="153" t="s">
        <v>101</v>
      </c>
      <c r="E144" s="154" t="s">
        <v>312</v>
      </c>
      <c r="F144" s="155"/>
      <c r="G144" s="153" t="s">
        <v>13341</v>
      </c>
      <c r="H144" s="170"/>
      <c r="I144" s="170"/>
      <c r="J144" s="156" t="s">
        <v>12778</v>
      </c>
      <c r="K144" s="156" t="s">
        <v>12666</v>
      </c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"),"Confirmada")</f>
        <v>Confirmada</v>
      </c>
      <c r="M144" s="163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IFERROR(__xludf.DUMMYFUNCTION("ifna(VALUE(REGEXEXTRACT(E144,""[0-9.]+[,]+[0-9]+"")))"),1000.0)</f>
        <v>1000</v>
      </c>
      <c r="O144" s="188"/>
      <c r="P144" s="193"/>
      <c r="Q144" s="188"/>
      <c r="R144" s="188"/>
      <c r="S144" s="188"/>
      <c r="V144" s="188"/>
      <c r="W144" s="159"/>
    </row>
    <row r="145" ht="14.25" customHeight="1">
      <c r="A145" s="149"/>
      <c r="B145" s="151">
        <v>1743133.0</v>
      </c>
      <c r="C145" s="152">
        <v>45946.84290509259</v>
      </c>
      <c r="D145" s="153" t="s">
        <v>101</v>
      </c>
      <c r="E145" s="154" t="s">
        <v>306</v>
      </c>
      <c r="F145" s="155"/>
      <c r="G145" s="153" t="s">
        <v>13342</v>
      </c>
      <c r="H145" s="170"/>
      <c r="I145" s="170"/>
      <c r="J145" s="156"/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164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IFERROR(__xludf.DUMMYFUNCTION("ifna(VALUE(REGEXEXTRACT(E145,""[0-9.]+[,]+[0-9]+"")))"),22.0)</f>
        <v>22</v>
      </c>
      <c r="O145" s="185"/>
      <c r="P145" s="194"/>
      <c r="Q145" s="185"/>
      <c r="R145" s="185"/>
      <c r="S145" s="185"/>
      <c r="V145" s="185"/>
      <c r="W145" s="159"/>
    </row>
    <row r="146" ht="14.25" customHeight="1">
      <c r="A146" s="149"/>
      <c r="B146" s="151">
        <v>1743138.0</v>
      </c>
      <c r="C146" s="152">
        <v>45946.84474537037</v>
      </c>
      <c r="D146" s="153" t="s">
        <v>101</v>
      </c>
      <c r="E146" s="154" t="s">
        <v>13138</v>
      </c>
      <c r="F146" s="155"/>
      <c r="G146" s="153" t="s">
        <v>13343</v>
      </c>
      <c r="H146" s="170"/>
      <c r="I146" s="170"/>
      <c r="J146" s="156"/>
      <c r="K146" s="156"/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163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IFERROR(__xludf.DUMMYFUNCTION("ifna(VALUE(REGEXEXTRACT(E146,""[0-9.]+[,]+[0-9]+"")))"),0.01)</f>
        <v>0.01</v>
      </c>
      <c r="O146" s="188"/>
      <c r="P146" s="193"/>
      <c r="Q146" s="188"/>
      <c r="R146" s="188"/>
      <c r="S146" s="188"/>
      <c r="V146" s="188"/>
      <c r="W146" s="159"/>
    </row>
    <row r="147" ht="14.25" customHeight="1">
      <c r="A147" s="149"/>
      <c r="B147" s="151">
        <v>1743241.0</v>
      </c>
      <c r="C147" s="152">
        <v>45946.88284722222</v>
      </c>
      <c r="D147" s="153" t="s">
        <v>101</v>
      </c>
      <c r="E147" s="154" t="s">
        <v>1389</v>
      </c>
      <c r="F147" s="155"/>
      <c r="G147" s="153" t="s">
        <v>13344</v>
      </c>
      <c r="H147" s="170"/>
      <c r="I147" s="170"/>
      <c r="J147" s="156" t="s">
        <v>6914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164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IFERROR(__xludf.DUMMYFUNCTION("ifna(VALUE(REGEXEXTRACT(E147,""[0-9.]+[,]+[0-9]+"")))"),34.0)</f>
        <v>34</v>
      </c>
      <c r="O147" s="185"/>
      <c r="P147" s="194"/>
      <c r="Q147" s="185"/>
      <c r="R147" s="185"/>
      <c r="S147" s="185"/>
      <c r="V147" s="185"/>
      <c r="W147" s="159"/>
    </row>
    <row r="148" ht="14.25" customHeight="1">
      <c r="A148" s="149"/>
      <c r="B148" s="151">
        <v>1743247.0</v>
      </c>
      <c r="C148" s="152">
        <v>45946.88377314815</v>
      </c>
      <c r="D148" s="153" t="s">
        <v>101</v>
      </c>
      <c r="E148" s="154" t="s">
        <v>823</v>
      </c>
      <c r="F148" s="155"/>
      <c r="G148" s="153" t="s">
        <v>13345</v>
      </c>
      <c r="H148" s="170"/>
      <c r="I148" s="170"/>
      <c r="J148" s="156" t="s">
        <v>6914</v>
      </c>
      <c r="K148" s="156"/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163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IFERROR(__xludf.DUMMYFUNCTION("ifna(VALUE(REGEXEXTRACT(E148,""[0-9.]+[,]+[0-9]+"")))"),37.0)</f>
        <v>37</v>
      </c>
      <c r="O148" s="188"/>
      <c r="P148" s="193"/>
      <c r="Q148" s="188"/>
      <c r="R148" s="188"/>
      <c r="S148" s="188"/>
      <c r="V148" s="188"/>
      <c r="W148" s="159"/>
    </row>
    <row r="149" ht="14.25" customHeight="1">
      <c r="A149" s="149"/>
      <c r="B149" s="151">
        <v>1743463.0</v>
      </c>
      <c r="C149" s="152">
        <v>45946.9221875</v>
      </c>
      <c r="D149" s="153" t="s">
        <v>101</v>
      </c>
      <c r="E149" s="154" t="s">
        <v>213</v>
      </c>
      <c r="F149" s="155"/>
      <c r="G149" s="153" t="s">
        <v>13346</v>
      </c>
      <c r="H149" s="170"/>
      <c r="I149" s="170"/>
      <c r="J149" s="156" t="s">
        <v>12778</v>
      </c>
      <c r="K149" s="156" t="s">
        <v>12666</v>
      </c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"),"Confirmada")</f>
        <v>Confirmada</v>
      </c>
      <c r="M149" s="164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IFERROR(__xludf.DUMMYFUNCTION("ifna(VALUE(REGEXEXTRACT(E149,""[0-9.]+[,]+[0-9]+"")))"),200.0)</f>
        <v>200</v>
      </c>
      <c r="O149" s="185"/>
      <c r="P149" s="194"/>
      <c r="Q149" s="185"/>
      <c r="R149" s="185"/>
      <c r="S149" s="185"/>
      <c r="V149" s="185"/>
      <c r="W149" s="159"/>
    </row>
    <row r="150" ht="14.25" customHeight="1">
      <c r="A150" s="149"/>
      <c r="B150" s="151">
        <v>1745035.0</v>
      </c>
      <c r="C150" s="152">
        <v>45947.88363425926</v>
      </c>
      <c r="D150" s="153" t="s">
        <v>101</v>
      </c>
      <c r="E150" s="154" t="s">
        <v>12931</v>
      </c>
      <c r="F150" s="165"/>
      <c r="G150" s="153" t="s">
        <v>13347</v>
      </c>
      <c r="H150" s="170"/>
      <c r="I150" s="170"/>
      <c r="J150" s="156" t="s">
        <v>6914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163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IFERROR(__xludf.DUMMYFUNCTION("ifna(VALUE(REGEXEXTRACT(E150,""[0-9.]+[,]+[0-9]+"")))"),77.0)</f>
        <v>77</v>
      </c>
      <c r="O150" s="159"/>
      <c r="P150" s="159"/>
      <c r="Q150" s="159"/>
      <c r="R150" s="159"/>
      <c r="S150" s="159"/>
      <c r="T150" s="159"/>
      <c r="U150" s="159"/>
      <c r="V150" s="159"/>
      <c r="W150" s="159"/>
    </row>
    <row r="151" ht="14.25" customHeight="1">
      <c r="A151" s="149"/>
      <c r="B151" s="151">
        <v>1745284.0</v>
      </c>
      <c r="C151" s="152">
        <v>45947.922997685186</v>
      </c>
      <c r="D151" s="153" t="s">
        <v>101</v>
      </c>
      <c r="E151" s="154" t="s">
        <v>201</v>
      </c>
      <c r="F151" s="155"/>
      <c r="G151" s="153" t="s">
        <v>13348</v>
      </c>
      <c r="H151" s="170"/>
      <c r="I151" s="170"/>
      <c r="J151" s="156" t="s">
        <v>12778</v>
      </c>
      <c r="K151" s="156" t="s">
        <v>12666</v>
      </c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"),"Confirmada")</f>
        <v>Confirmada</v>
      </c>
      <c r="M151" s="164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IFERROR(__xludf.DUMMYFUNCTION("ifna(VALUE(REGEXEXTRACT(E151,""[0-9.]+[,]+[0-9]+"")))"),150.0)</f>
        <v>150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51">
        <v>1746684.0</v>
      </c>
      <c r="C152" s="152">
        <v>45948.85430555556</v>
      </c>
      <c r="D152" s="153" t="s">
        <v>101</v>
      </c>
      <c r="E152" s="154" t="s">
        <v>141</v>
      </c>
      <c r="F152" s="155"/>
      <c r="G152" s="153" t="s">
        <v>13349</v>
      </c>
      <c r="H152" s="170"/>
      <c r="I152" s="170"/>
      <c r="J152" s="156" t="s">
        <v>6914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163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IFERROR(__xludf.DUMMYFUNCTION("ifna(VALUE(REGEXEXTRACT(E152,""[0-9.]+[,]+[0-9]+"")))"),50.0)</f>
        <v>50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51">
        <v>1747069.0</v>
      </c>
      <c r="C153" s="152">
        <v>45948.92417824074</v>
      </c>
      <c r="D153" s="153" t="s">
        <v>101</v>
      </c>
      <c r="E153" s="154" t="s">
        <v>237</v>
      </c>
      <c r="F153" s="155"/>
      <c r="G153" s="153" t="s">
        <v>13350</v>
      </c>
      <c r="H153" s="170"/>
      <c r="I153" s="170"/>
      <c r="J153" s="156" t="s">
        <v>10036</v>
      </c>
      <c r="K153" s="156"/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164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IFERROR(__xludf.DUMMYFUNCTION("ifna(VALUE(REGEXEXTRACT(E153,""[0-9.]+[,]+[0-9]+"")))"),100.0)</f>
        <v>100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51">
        <v>1747072.0</v>
      </c>
      <c r="C154" s="152">
        <v>45948.92450231482</v>
      </c>
      <c r="D154" s="153" t="s">
        <v>101</v>
      </c>
      <c r="E154" s="154" t="s">
        <v>141</v>
      </c>
      <c r="F154" s="155"/>
      <c r="G154" s="153" t="s">
        <v>13351</v>
      </c>
      <c r="H154" s="170"/>
      <c r="I154" s="170"/>
      <c r="J154" s="156" t="s">
        <v>6914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163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IFERROR(__xludf.DUMMYFUNCTION("ifna(VALUE(REGEXEXTRACT(E154,""[0-9.]+[,]+[0-9]+"")))"),50.0)</f>
        <v>50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51">
        <v>1747098.0</v>
      </c>
      <c r="C155" s="152">
        <v>45948.927395833336</v>
      </c>
      <c r="D155" s="153" t="s">
        <v>101</v>
      </c>
      <c r="E155" s="154" t="s">
        <v>364</v>
      </c>
      <c r="F155" s="165"/>
      <c r="G155" s="153" t="s">
        <v>13352</v>
      </c>
      <c r="H155" s="170"/>
      <c r="I155" s="170"/>
      <c r="J155" s="156" t="s">
        <v>12778</v>
      </c>
      <c r="K155" s="156" t="s">
        <v>12666</v>
      </c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"),"Caixa Atendimento")</f>
        <v>Caixa Atendimento</v>
      </c>
      <c r="M155" s="164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IFERROR(__xludf.DUMMYFUNCTION("ifna(VALUE(REGEXEXTRACT(E155,""[0-9.]+[,]+[0-9]+"")))"),600.0)</f>
        <v>600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51">
        <v>1747632.0</v>
      </c>
      <c r="C156" s="152">
        <v>45949.55774305556</v>
      </c>
      <c r="D156" s="153" t="s">
        <v>139</v>
      </c>
      <c r="E156" s="154" t="s">
        <v>13201</v>
      </c>
      <c r="F156" s="155"/>
      <c r="G156" s="153" t="s">
        <v>13353</v>
      </c>
      <c r="H156" s="170"/>
      <c r="I156" s="170"/>
      <c r="J156" s="156" t="s">
        <v>12952</v>
      </c>
      <c r="K156" s="156"/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163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IFERROR(__xludf.DUMMYFUNCTION("ifna(VALUE(REGEXEXTRACT(E156,""[0-9.]+[,]+[0-9]+"")))"),140.0)</f>
        <v>140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51">
        <v>1749041.0</v>
      </c>
      <c r="C157" s="152">
        <v>45949.88512731482</v>
      </c>
      <c r="D157" s="153" t="s">
        <v>101</v>
      </c>
      <c r="E157" s="154" t="s">
        <v>13354</v>
      </c>
      <c r="F157" s="155"/>
      <c r="G157" s="153" t="s">
        <v>13355</v>
      </c>
      <c r="H157" s="170"/>
      <c r="I157" s="170"/>
      <c r="J157" s="156" t="s">
        <v>6914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164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IFERROR(__xludf.DUMMYFUNCTION("ifna(VALUE(REGEXEXTRACT(E157,""[0-9.]+[,]+[0-9]+"")))"),335.0)</f>
        <v>335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51">
        <v>1749296.0</v>
      </c>
      <c r="C158" s="152">
        <v>45949.91322916667</v>
      </c>
      <c r="D158" s="153" t="s">
        <v>101</v>
      </c>
      <c r="E158" s="154" t="s">
        <v>786</v>
      </c>
      <c r="F158" s="155"/>
      <c r="G158" s="153" t="s">
        <v>13356</v>
      </c>
      <c r="H158" s="170"/>
      <c r="I158" s="170"/>
      <c r="J158" s="156" t="s">
        <v>10036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163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IFERROR(__xludf.DUMMYFUNCTION("ifna(VALUE(REGEXEXTRACT(E158,""[0-9.]+[,]+[0-9]+"")))"),130.0)</f>
        <v>130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51">
        <v>1749305.0</v>
      </c>
      <c r="C159" s="152">
        <v>45949.91384259259</v>
      </c>
      <c r="D159" s="153" t="s">
        <v>101</v>
      </c>
      <c r="E159" s="154" t="s">
        <v>786</v>
      </c>
      <c r="F159" s="155"/>
      <c r="G159" s="153" t="s">
        <v>13277</v>
      </c>
      <c r="H159" s="170"/>
      <c r="I159" s="170"/>
      <c r="J159" s="156" t="s">
        <v>10036</v>
      </c>
      <c r="K159" s="156"/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164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IFERROR(__xludf.DUMMYFUNCTION("ifna(VALUE(REGEXEXTRACT(E159,""[0-9.]+[,]+[0-9]+"")))"),130.0)</f>
        <v>130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51">
        <v>1749414.0</v>
      </c>
      <c r="C160" s="152">
        <v>45949.921793981484</v>
      </c>
      <c r="D160" s="153" t="s">
        <v>101</v>
      </c>
      <c r="E160" s="154" t="s">
        <v>339</v>
      </c>
      <c r="F160" s="155"/>
      <c r="G160" s="153" t="s">
        <v>13357</v>
      </c>
      <c r="H160" s="170"/>
      <c r="I160" s="170"/>
      <c r="J160" s="156" t="s">
        <v>12658</v>
      </c>
      <c r="K160" s="156" t="s">
        <v>199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163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IFERROR(__xludf.DUMMYFUNCTION("ifna(VALUE(REGEXEXTRACT(E160,""[0-9.]+[,]+[0-9]+"")))"),31.0)</f>
        <v>31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51">
        <v>1749435.0</v>
      </c>
      <c r="C161" s="152">
        <v>45949.922800925924</v>
      </c>
      <c r="D161" s="153" t="s">
        <v>101</v>
      </c>
      <c r="E161" s="154" t="s">
        <v>13138</v>
      </c>
      <c r="F161" s="155"/>
      <c r="G161" s="153" t="s">
        <v>13358</v>
      </c>
      <c r="H161" s="170"/>
      <c r="I161" s="170"/>
      <c r="J161" s="156"/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164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IFERROR(__xludf.DUMMYFUNCTION("ifna(VALUE(REGEXEXTRACT(E161,""[0-9.]+[,]+[0-9]+"")))"),0.01)</f>
        <v>0.01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51">
        <v>1749493.0</v>
      </c>
      <c r="C162" s="152">
        <v>45949.926875</v>
      </c>
      <c r="D162" s="153" t="s">
        <v>101</v>
      </c>
      <c r="E162" s="154" t="s">
        <v>13278</v>
      </c>
      <c r="F162" s="155"/>
      <c r="G162" s="153" t="s">
        <v>13359</v>
      </c>
      <c r="H162" s="170"/>
      <c r="I162" s="170"/>
      <c r="J162" s="156" t="s">
        <v>12778</v>
      </c>
      <c r="K162" s="156" t="s">
        <v>199</v>
      </c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"),"Confirmada")</f>
        <v>Confirmada</v>
      </c>
      <c r="M162" s="163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IFERROR(__xludf.DUMMYFUNCTION("ifna(VALUE(REGEXEXTRACT(E162,""[0-9.]+[,]+[0-9]+"")))"),1750.0)</f>
        <v>1750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51">
        <v>1750910.0</v>
      </c>
      <c r="C163" s="152">
        <v>45950.879375</v>
      </c>
      <c r="D163" s="153" t="s">
        <v>101</v>
      </c>
      <c r="E163" s="154" t="s">
        <v>161</v>
      </c>
      <c r="F163" s="155"/>
      <c r="G163" s="153" t="s">
        <v>13360</v>
      </c>
      <c r="H163" s="170"/>
      <c r="I163" s="170"/>
      <c r="J163" s="156" t="s">
        <v>6914</v>
      </c>
      <c r="K163" s="156"/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164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IFERROR(__xludf.DUMMYFUNCTION("ifna(VALUE(REGEXEXTRACT(E163,""[0-9.]+[,]+[0-9]+"")))"),60.0)</f>
        <v>60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51">
        <v>1750913.0</v>
      </c>
      <c r="C164" s="152">
        <v>45950.87967592593</v>
      </c>
      <c r="D164" s="153" t="s">
        <v>101</v>
      </c>
      <c r="E164" s="154" t="s">
        <v>392</v>
      </c>
      <c r="F164" s="155"/>
      <c r="G164" s="153" t="s">
        <v>13304</v>
      </c>
      <c r="H164" s="170"/>
      <c r="I164" s="170"/>
      <c r="J164" s="156" t="s">
        <v>6914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163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IFERROR(__xludf.DUMMYFUNCTION("ifna(VALUE(REGEXEXTRACT(E164,""[0-9.]+[,]+[0-9]+"")))"),27.0)</f>
        <v>27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51">
        <v>1751133.0</v>
      </c>
      <c r="C165" s="152">
        <v>45950.925671296296</v>
      </c>
      <c r="D165" s="153" t="s">
        <v>101</v>
      </c>
      <c r="E165" s="154" t="s">
        <v>1219</v>
      </c>
      <c r="F165" s="165"/>
      <c r="G165" s="153" t="s">
        <v>13361</v>
      </c>
      <c r="H165" s="170"/>
      <c r="I165" s="170"/>
      <c r="J165" s="156" t="s">
        <v>12778</v>
      </c>
      <c r="K165" s="156" t="s">
        <v>12666</v>
      </c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"),"Caixa Atendimento")</f>
        <v>Caixa Atendimento</v>
      </c>
      <c r="M165" s="164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IFERROR(__xludf.DUMMYFUNCTION("ifna(VALUE(REGEXEXTRACT(E165,""[0-9.]+[,]+[0-9]+"")))"),400.0)</f>
        <v>400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51">
        <v>1752014.0</v>
      </c>
      <c r="C166" s="152">
        <v>45951.76086805556</v>
      </c>
      <c r="D166" s="153" t="s">
        <v>101</v>
      </c>
      <c r="E166" s="154" t="s">
        <v>13138</v>
      </c>
      <c r="F166" s="155"/>
      <c r="G166" s="153" t="s">
        <v>13362</v>
      </c>
      <c r="H166" s="170"/>
      <c r="I166" s="170"/>
      <c r="J166" s="156"/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163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IFERROR(__xludf.DUMMYFUNCTION("ifna(VALUE(REGEXEXTRACT(E166,""[0-9.]+[,]+[0-9]+"")))"),0.01)</f>
        <v>0.01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51">
        <v>1752017.0</v>
      </c>
      <c r="C167" s="152">
        <v>45951.76127314815</v>
      </c>
      <c r="D167" s="153" t="s">
        <v>101</v>
      </c>
      <c r="E167" s="154" t="s">
        <v>13363</v>
      </c>
      <c r="F167" s="155"/>
      <c r="G167" s="153" t="s">
        <v>13364</v>
      </c>
      <c r="H167" s="170"/>
      <c r="I167" s="170"/>
      <c r="J167" s="156" t="s">
        <v>12658</v>
      </c>
      <c r="K167" s="156" t="s">
        <v>11074</v>
      </c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164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IFERROR(__xludf.DUMMYFUNCTION("ifna(VALUE(REGEXEXTRACT(E167,""[0-9.]+[,]+[0-9]+"")))"),9.5)</f>
        <v>9.5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51">
        <v>1752281.0</v>
      </c>
      <c r="C168" s="152">
        <v>45951.87688657407</v>
      </c>
      <c r="D168" s="153" t="s">
        <v>101</v>
      </c>
      <c r="E168" s="154" t="s">
        <v>237</v>
      </c>
      <c r="F168" s="155"/>
      <c r="G168" s="153" t="s">
        <v>13174</v>
      </c>
      <c r="H168" s="170"/>
      <c r="I168" s="170"/>
      <c r="J168" s="156" t="s">
        <v>6914</v>
      </c>
      <c r="K168" s="156"/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163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IFERROR(__xludf.DUMMYFUNCTION("ifna(VALUE(REGEXEXTRACT(E168,""[0-9.]+[,]+[0-9]+"")))"),100.0)</f>
        <v>100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51">
        <v>1752560.0</v>
      </c>
      <c r="C169" s="152">
        <v>45951.92685185185</v>
      </c>
      <c r="D169" s="153" t="s">
        <v>101</v>
      </c>
      <c r="E169" s="154" t="s">
        <v>256</v>
      </c>
      <c r="F169" s="165"/>
      <c r="G169" s="153" t="s">
        <v>13365</v>
      </c>
      <c r="H169" s="170"/>
      <c r="I169" s="170"/>
      <c r="J169" s="156" t="s">
        <v>12778</v>
      </c>
      <c r="K169" s="156" t="s">
        <v>12666</v>
      </c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"),"Confirmada")</f>
        <v>Confirmada</v>
      </c>
      <c r="M169" s="164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IFERROR(__xludf.DUMMYFUNCTION("ifna(VALUE(REGEXEXTRACT(E169,""[0-9.]+[,]+[0-9]+"")))"),300.0)</f>
        <v>300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51">
        <v>1753625.0</v>
      </c>
      <c r="C170" s="152">
        <v>45952.80443287037</v>
      </c>
      <c r="D170" s="153" t="s">
        <v>101</v>
      </c>
      <c r="E170" s="154" t="s">
        <v>13138</v>
      </c>
      <c r="F170" s="155"/>
      <c r="G170" s="153" t="s">
        <v>13366</v>
      </c>
      <c r="H170" s="170"/>
      <c r="I170" s="170"/>
      <c r="J170" s="156"/>
      <c r="K170" s="156"/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163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IFERROR(__xludf.DUMMYFUNCTION("ifna(VALUE(REGEXEXTRACT(E170,""[0-9.]+[,]+[0-9]+"")))"),0.01)</f>
        <v>0.01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51">
        <v>1753811.0</v>
      </c>
      <c r="C171" s="152">
        <v>45952.88625</v>
      </c>
      <c r="D171" s="153" t="s">
        <v>101</v>
      </c>
      <c r="E171" s="154" t="s">
        <v>12931</v>
      </c>
      <c r="F171" s="155"/>
      <c r="G171" s="153" t="s">
        <v>12891</v>
      </c>
      <c r="H171" s="170"/>
      <c r="I171" s="170"/>
      <c r="J171" s="156" t="s">
        <v>6914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164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IFERROR(__xludf.DUMMYFUNCTION("ifna(VALUE(REGEXEXTRACT(E171,""[0-9.]+[,]+[0-9]+"")))"),77.0)</f>
        <v>77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51">
        <v>1753812.0</v>
      </c>
      <c r="C172" s="152">
        <v>45952.88650462963</v>
      </c>
      <c r="D172" s="153" t="s">
        <v>101</v>
      </c>
      <c r="E172" s="154" t="s">
        <v>398</v>
      </c>
      <c r="F172" s="155"/>
      <c r="G172" s="153" t="s">
        <v>13186</v>
      </c>
      <c r="H172" s="170"/>
      <c r="I172" s="170"/>
      <c r="J172" s="156" t="s">
        <v>6914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163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IFERROR(__xludf.DUMMYFUNCTION("ifna(VALUE(REGEXEXTRACT(E172,""[0-9.]+[,]+[0-9]+"")))"),12.0)</f>
        <v>12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51">
        <v>1753876.0</v>
      </c>
      <c r="C173" s="152">
        <v>45952.90311342593</v>
      </c>
      <c r="D173" s="153" t="s">
        <v>101</v>
      </c>
      <c r="E173" s="154" t="s">
        <v>1555</v>
      </c>
      <c r="F173" s="155"/>
      <c r="G173" s="153" t="s">
        <v>13367</v>
      </c>
      <c r="H173" s="170"/>
      <c r="I173" s="170"/>
      <c r="J173" s="156" t="s">
        <v>12658</v>
      </c>
      <c r="K173" s="156" t="s">
        <v>12693</v>
      </c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164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IFERROR(__xludf.DUMMYFUNCTION("ifna(VALUE(REGEXEXTRACT(E173,""[0-9.]+[,]+[0-9]+"")))"),16.0)</f>
        <v>16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51">
        <v>1754038.0</v>
      </c>
      <c r="C174" s="152">
        <v>45952.92643518518</v>
      </c>
      <c r="D174" s="153" t="s">
        <v>101</v>
      </c>
      <c r="E174" s="154" t="s">
        <v>312</v>
      </c>
      <c r="F174" s="155"/>
      <c r="G174" s="153" t="s">
        <v>13368</v>
      </c>
      <c r="H174" s="170"/>
      <c r="I174" s="170"/>
      <c r="J174" s="156" t="s">
        <v>12778</v>
      </c>
      <c r="K174" s="156" t="s">
        <v>12666</v>
      </c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"),"Confirmada")</f>
        <v>Confirmada</v>
      </c>
      <c r="M174" s="163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IFERROR(__xludf.DUMMYFUNCTION("ifna(VALUE(REGEXEXTRACT(E174,""[0-9.]+[,]+[0-9]+"")))"),1000.0)</f>
        <v>1000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51">
        <v>1754066.0</v>
      </c>
      <c r="C175" s="152">
        <v>45952.92952546296</v>
      </c>
      <c r="D175" s="153" t="s">
        <v>101</v>
      </c>
      <c r="E175" s="154" t="s">
        <v>13138</v>
      </c>
      <c r="F175" s="165"/>
      <c r="G175" s="153" t="s">
        <v>13369</v>
      </c>
      <c r="H175" s="170"/>
      <c r="I175" s="170"/>
      <c r="J175" s="156"/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164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IFERROR(__xludf.DUMMYFUNCTION("ifna(VALUE(REGEXEXTRACT(E175,""[0-9.]+[,]+[0-9]+"")))"),0.01)</f>
        <v>0.01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51">
        <v>1754895.0</v>
      </c>
      <c r="C176" s="152">
        <v>45953.726319444446</v>
      </c>
      <c r="D176" s="153" t="s">
        <v>101</v>
      </c>
      <c r="E176" s="154" t="s">
        <v>13138</v>
      </c>
      <c r="F176" s="155"/>
      <c r="G176" s="153" t="s">
        <v>13370</v>
      </c>
      <c r="H176" s="170"/>
      <c r="I176" s="170"/>
      <c r="J176" s="156"/>
      <c r="K176" s="156"/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163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IFERROR(__xludf.DUMMYFUNCTION("ifna(VALUE(REGEXEXTRACT(E176,""[0-9.]+[,]+[0-9]+"")))"),0.01)</f>
        <v>0.01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51">
        <v>1755608.0</v>
      </c>
      <c r="C177" s="152">
        <v>45953.92883101852</v>
      </c>
      <c r="D177" s="153" t="s">
        <v>101</v>
      </c>
      <c r="E177" s="154" t="s">
        <v>13371</v>
      </c>
      <c r="F177" s="155"/>
      <c r="G177" s="153" t="s">
        <v>13372</v>
      </c>
      <c r="H177" s="170"/>
      <c r="I177" s="170"/>
      <c r="J177" s="156" t="s">
        <v>12778</v>
      </c>
      <c r="K177" s="156" t="s">
        <v>12666</v>
      </c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"),"Caixa Atendimento")</f>
        <v>Caixa Atendimento</v>
      </c>
      <c r="M177" s="164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IFERROR(__xludf.DUMMYFUNCTION("ifna(VALUE(REGEXEXTRACT(E177,""[0-9.]+[,]+[0-9]+"")))"),290.0)</f>
        <v>290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51">
        <v>1755615.0</v>
      </c>
      <c r="C178" s="152">
        <v>45953.93015046296</v>
      </c>
      <c r="D178" s="153" t="s">
        <v>101</v>
      </c>
      <c r="E178" s="154" t="s">
        <v>1440</v>
      </c>
      <c r="F178" s="155"/>
      <c r="G178" s="153" t="s">
        <v>13345</v>
      </c>
      <c r="H178" s="170"/>
      <c r="I178" s="170"/>
      <c r="J178" s="156" t="s">
        <v>6914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163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IFERROR(__xludf.DUMMYFUNCTION("ifna(VALUE(REGEXEXTRACT(E178,""[0-9.]+[,]+[0-9]+"")))"),44.0)</f>
        <v>44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51">
        <v>1755620.0</v>
      </c>
      <c r="C179" s="152">
        <v>45953.930451388886</v>
      </c>
      <c r="D179" s="153" t="s">
        <v>101</v>
      </c>
      <c r="E179" s="154" t="s">
        <v>510</v>
      </c>
      <c r="F179" s="155"/>
      <c r="G179" s="153" t="s">
        <v>13092</v>
      </c>
      <c r="H179" s="170"/>
      <c r="I179" s="170"/>
      <c r="J179" s="156" t="s">
        <v>6914</v>
      </c>
      <c r="K179" s="156"/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164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IFERROR(__xludf.DUMMYFUNCTION("ifna(VALUE(REGEXEXTRACT(E179,""[0-9.]+[,]+[0-9]+"")))"),24.0)</f>
        <v>24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51">
        <v>1756224.0</v>
      </c>
      <c r="C180" s="152">
        <v>45954.630266203705</v>
      </c>
      <c r="D180" s="153" t="s">
        <v>101</v>
      </c>
      <c r="E180" s="154" t="s">
        <v>13373</v>
      </c>
      <c r="F180" s="155"/>
      <c r="G180" s="153" t="s">
        <v>528</v>
      </c>
      <c r="H180" s="170"/>
      <c r="I180" s="170"/>
      <c r="J180" s="156" t="s">
        <v>12818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163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59">
        <f>IFERROR(__xludf.DUMMYFUNCTION("ifna(VALUE(REGEXEXTRACT(E180,""[0-9.]+[,]+[0-9]+"")))"),92.87)</f>
        <v>92.87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51">
        <v>1756225.0</v>
      </c>
      <c r="C181" s="152">
        <v>45954.63055555556</v>
      </c>
      <c r="D181" s="153" t="s">
        <v>139</v>
      </c>
      <c r="E181" s="154" t="s">
        <v>13371</v>
      </c>
      <c r="F181" s="155"/>
      <c r="G181" s="153" t="s">
        <v>13372</v>
      </c>
      <c r="H181" s="170"/>
      <c r="I181" s="170"/>
      <c r="J181" s="156" t="s">
        <v>12778</v>
      </c>
      <c r="K181" s="156" t="s">
        <v>12666</v>
      </c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164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IFERROR(__xludf.DUMMYFUNCTION("ifna(VALUE(REGEXEXTRACT(E181,""[0-9.]+[,]+[0-9]+"")))"),290.0)</f>
        <v>290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51">
        <v>1757037.0</v>
      </c>
      <c r="C182" s="152">
        <v>45954.830613425926</v>
      </c>
      <c r="D182" s="153" t="s">
        <v>101</v>
      </c>
      <c r="E182" s="154" t="s">
        <v>13330</v>
      </c>
      <c r="F182" s="155"/>
      <c r="G182" s="153" t="s">
        <v>13374</v>
      </c>
      <c r="H182" s="170"/>
      <c r="I182" s="170"/>
      <c r="J182" s="156" t="s">
        <v>12658</v>
      </c>
      <c r="K182" s="156" t="s">
        <v>11074</v>
      </c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163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IFERROR(__xludf.DUMMYFUNCTION("ifna(VALUE(REGEXEXTRACT(E182,""[0-9.]+[,]+[0-9]+"")))"),9.0)</f>
        <v>9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51">
        <v>1757115.0</v>
      </c>
      <c r="C183" s="152">
        <v>45954.85123842592</v>
      </c>
      <c r="D183" s="153" t="s">
        <v>101</v>
      </c>
      <c r="E183" s="154" t="s">
        <v>13375</v>
      </c>
      <c r="F183" s="155"/>
      <c r="G183" s="153" t="s">
        <v>13376</v>
      </c>
      <c r="H183" s="170"/>
      <c r="I183" s="170"/>
      <c r="J183" s="156" t="s">
        <v>6914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164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IFERROR(__xludf.DUMMYFUNCTION("ifna(VALUE(REGEXEXTRACT(E183,""[0-9.]+[,]+[0-9]+"")))"),132.0)</f>
        <v>132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51">
        <v>1757296.0</v>
      </c>
      <c r="C184" s="152">
        <v>45954.90293981481</v>
      </c>
      <c r="D184" s="153" t="s">
        <v>101</v>
      </c>
      <c r="E184" s="154" t="s">
        <v>281</v>
      </c>
      <c r="F184" s="155"/>
      <c r="G184" s="153" t="s">
        <v>12883</v>
      </c>
      <c r="H184" s="170"/>
      <c r="I184" s="170"/>
      <c r="J184" s="156" t="s">
        <v>6914</v>
      </c>
      <c r="K184" s="156"/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163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IFERROR(__xludf.DUMMYFUNCTION("ifna(VALUE(REGEXEXTRACT(E184,""[0-9.]+[,]+[0-9]+"")))"),42.0)</f>
        <v>42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51">
        <v>1757539.0</v>
      </c>
      <c r="C185" s="152">
        <v>45954.93347222222</v>
      </c>
      <c r="D185" s="153" t="s">
        <v>101</v>
      </c>
      <c r="E185" s="154" t="s">
        <v>13377</v>
      </c>
      <c r="F185" s="165"/>
      <c r="G185" s="153" t="s">
        <v>13378</v>
      </c>
      <c r="H185" s="170"/>
      <c r="I185" s="170"/>
      <c r="J185" s="156" t="s">
        <v>12778</v>
      </c>
      <c r="K185" s="156" t="s">
        <v>12666</v>
      </c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"),"Confirmada")</f>
        <v>Confirmada</v>
      </c>
      <c r="M185" s="164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IFERROR(__xludf.DUMMYFUNCTION("ifna(VALUE(REGEXEXTRACT(E185,""[0-9.]+[,]+[0-9]+"")))"),940.0)</f>
        <v>940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51">
        <v>1757554.0</v>
      </c>
      <c r="C186" s="152">
        <v>45954.935277777775</v>
      </c>
      <c r="D186" s="153" t="s">
        <v>101</v>
      </c>
      <c r="E186" s="154" t="s">
        <v>13007</v>
      </c>
      <c r="F186" s="165"/>
      <c r="G186" s="153" t="s">
        <v>13379</v>
      </c>
      <c r="H186" s="170"/>
      <c r="I186" s="170"/>
      <c r="J186" s="156" t="s">
        <v>6914</v>
      </c>
      <c r="K186" s="156"/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163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IFERROR(__xludf.DUMMYFUNCTION("ifna(VALUE(REGEXEXTRACT(E186,""[0-9.]+[,]+[0-9]+"")))"),70.0)</f>
        <v>70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97"/>
      <c r="C187" s="198"/>
      <c r="D187" s="199"/>
      <c r="E187" s="200"/>
      <c r="F187" s="155"/>
      <c r="G187" s="153"/>
      <c r="H187" s="170"/>
      <c r="I187" s="170"/>
      <c r="J187" s="156"/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164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 t="str">
        <f>IFERROR(__xludf.DUMMYFUNCTION("ifna(VALUE(REGEXEXTRACT(E187,""[0-9.]+[,]+[0-9]+"")))"),"")</f>
        <v/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97"/>
      <c r="C188" s="198"/>
      <c r="D188" s="199"/>
      <c r="E188" s="200"/>
      <c r="F188" s="155"/>
      <c r="G188" s="153"/>
      <c r="H188" s="170"/>
      <c r="I188" s="170"/>
      <c r="J188" s="156"/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163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 t="str">
        <f>IFERROR(__xludf.DUMMYFUNCTION("ifna(VALUE(REGEXEXTRACT(E188,""[0-9.]+[,]+[0-9]+"")))"),"")</f>
        <v/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97"/>
      <c r="C189" s="198"/>
      <c r="D189" s="199"/>
      <c r="E189" s="200"/>
      <c r="F189" s="155"/>
      <c r="G189" s="153"/>
      <c r="H189" s="170"/>
      <c r="I189" s="170"/>
      <c r="J189" s="156"/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164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 t="str">
        <f>IFERROR(__xludf.DUMMYFUNCTION("ifna(VALUE(REGEXEXTRACT(E189,""[0-9.]+[,]+[0-9]+"")))"),"")</f>
        <v/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97"/>
      <c r="C190" s="198"/>
      <c r="D190" s="199"/>
      <c r="E190" s="200"/>
      <c r="F190" s="155"/>
      <c r="G190" s="153"/>
      <c r="H190" s="170"/>
      <c r="I190" s="170"/>
      <c r="J190" s="156"/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163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 t="str">
        <f>IFERROR(__xludf.DUMMYFUNCTION("ifna(VALUE(REGEXEXTRACT(E190,""[0-9.]+[,]+[0-9]+"")))"),"")</f>
        <v/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97"/>
      <c r="C191" s="198"/>
      <c r="D191" s="199"/>
      <c r="E191" s="200"/>
      <c r="F191" s="155"/>
      <c r="G191" s="153"/>
      <c r="H191" s="170"/>
      <c r="I191" s="170"/>
      <c r="J191" s="156"/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164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 t="str">
        <f>IFERROR(__xludf.DUMMYFUNCTION("ifna(VALUE(REGEXEXTRACT(E191,""[0-9.]+[,]+[0-9]+"")))"),"")</f>
        <v/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97"/>
      <c r="C192" s="198"/>
      <c r="D192" s="199"/>
      <c r="E192" s="200"/>
      <c r="F192" s="155"/>
      <c r="G192" s="153"/>
      <c r="H192" s="170"/>
      <c r="I192" s="170"/>
      <c r="J192" s="156"/>
      <c r="K192" s="156"/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163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 t="str">
        <f>IFERROR(__xludf.DUMMYFUNCTION("ifna(VALUE(REGEXEXTRACT(E192,""[0-9.]+[,]+[0-9]+"")))"),"")</f>
        <v/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97"/>
      <c r="C193" s="198"/>
      <c r="D193" s="199"/>
      <c r="E193" s="200"/>
      <c r="F193" s="155"/>
      <c r="G193" s="153"/>
      <c r="H193" s="170"/>
      <c r="I193" s="170"/>
      <c r="J193" s="156"/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164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 t="str">
        <f>IFERROR(__xludf.DUMMYFUNCTION("ifna(VALUE(REGEXEXTRACT(E193,""[0-9.]+[,]+[0-9]+"")))"),"")</f>
        <v/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97"/>
      <c r="C194" s="198"/>
      <c r="D194" s="199"/>
      <c r="E194" s="200"/>
      <c r="F194" s="155"/>
      <c r="G194" s="153"/>
      <c r="H194" s="170"/>
      <c r="I194" s="170"/>
      <c r="J194" s="156"/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163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 t="str">
        <f>IFERROR(__xludf.DUMMYFUNCTION("ifna(VALUE(REGEXEXTRACT(E194,""[0-9.]+[,]+[0-9]+"")))"),"")</f>
        <v/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97"/>
      <c r="C195" s="198"/>
      <c r="D195" s="199"/>
      <c r="E195" s="200"/>
      <c r="F195" s="155"/>
      <c r="G195" s="153"/>
      <c r="H195" s="170"/>
      <c r="I195" s="170"/>
      <c r="J195" s="156"/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164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 t="str">
        <f>IFERROR(__xludf.DUMMYFUNCTION("ifna(VALUE(REGEXEXTRACT(E195,""[0-9.]+[,]+[0-9]+"")))"),"")</f>
        <v/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97"/>
      <c r="C196" s="198"/>
      <c r="D196" s="199"/>
      <c r="E196" s="200"/>
      <c r="F196" s="165"/>
      <c r="G196" s="153"/>
      <c r="H196" s="170"/>
      <c r="I196" s="170"/>
      <c r="J196" s="156"/>
      <c r="K196" s="156"/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163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 t="str">
        <f>IFERROR(__xludf.DUMMYFUNCTION("ifna(VALUE(REGEXEXTRACT(E196,""[0-9.]+[,]+[0-9]+"")))"),"")</f>
        <v/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97"/>
      <c r="C197" s="198"/>
      <c r="D197" s="199"/>
      <c r="E197" s="154"/>
      <c r="F197" s="155"/>
      <c r="G197" s="153"/>
      <c r="H197" s="170"/>
      <c r="I197" s="170"/>
      <c r="J197" s="156"/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164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 t="str">
        <f>IFERROR(__xludf.DUMMYFUNCTION("ifna(VALUE(REGEXEXTRACT(E197,""[0-9.]+[,]+[0-9]+"")))"),"")</f>
        <v/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51"/>
      <c r="C198" s="152"/>
      <c r="D198" s="153"/>
      <c r="E198" s="154"/>
      <c r="F198" s="155"/>
      <c r="G198" s="153"/>
      <c r="H198" s="170"/>
      <c r="I198" s="170"/>
      <c r="J198" s="156"/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163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 t="str">
        <f>IFERROR(__xludf.DUMMYFUNCTION("ifna(VALUE(REGEXEXTRACT(E198,""[0-9.]+[,]+[0-9]+"")))"),"")</f>
        <v/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51"/>
      <c r="C199" s="152"/>
      <c r="D199" s="153"/>
      <c r="E199" s="154"/>
      <c r="F199" s="165"/>
      <c r="G199" s="153"/>
      <c r="H199" s="170"/>
      <c r="I199" s="170"/>
      <c r="J199" s="156"/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164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 t="str">
        <f>IFERROR(__xludf.DUMMYFUNCTION("ifna(VALUE(REGEXEXTRACT(E199,""[0-9.]+[,]+[0-9]+"")))"),"")</f>
        <v/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51"/>
      <c r="C200" s="152"/>
      <c r="D200" s="153"/>
      <c r="E200" s="154"/>
      <c r="F200" s="155"/>
      <c r="G200" s="153"/>
      <c r="H200" s="170"/>
      <c r="I200" s="170"/>
      <c r="J200" s="156"/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163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 t="str">
        <f>IFERROR(__xludf.DUMMYFUNCTION("ifna(VALUE(REGEXEXTRACT(E200,""[0-9.]+[,]+[0-9]+"")))"),"")</f>
        <v/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51"/>
      <c r="C201" s="152"/>
      <c r="D201" s="153"/>
      <c r="E201" s="154"/>
      <c r="F201" s="155"/>
      <c r="G201" s="153"/>
      <c r="H201" s="170"/>
      <c r="I201" s="170"/>
      <c r="J201" s="156"/>
      <c r="K201" s="156"/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164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 t="str">
        <f>IFERROR(__xludf.DUMMYFUNCTION("ifna(VALUE(REGEXEXTRACT(E201,""[0-9.]+[,]+[0-9]+"")))"),"")</f>
        <v/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51"/>
      <c r="C202" s="152"/>
      <c r="D202" s="153"/>
      <c r="E202" s="154"/>
      <c r="F202" s="165"/>
      <c r="G202" s="153"/>
      <c r="H202" s="170"/>
      <c r="I202" s="170"/>
      <c r="J202" s="156"/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163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 t="str">
        <f>IFERROR(__xludf.DUMMYFUNCTION("ifna(VALUE(REGEXEXTRACT(E202,""[0-9.]+[,]+[0-9]+"")))"),"")</f>
        <v/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51"/>
      <c r="C203" s="152"/>
      <c r="D203" s="153"/>
      <c r="E203" s="154"/>
      <c r="F203" s="155"/>
      <c r="G203" s="153"/>
      <c r="H203" s="170"/>
      <c r="I203" s="170"/>
      <c r="J203" s="156"/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164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 t="str">
        <f>IFERROR(__xludf.DUMMYFUNCTION("ifna(VALUE(REGEXEXTRACT(E203,""[0-9.]+[,]+[0-9]+"")))"),"")</f>
        <v/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51"/>
      <c r="C204" s="152"/>
      <c r="D204" s="153"/>
      <c r="E204" s="154"/>
      <c r="F204" s="155"/>
      <c r="G204" s="153"/>
      <c r="H204" s="170"/>
      <c r="I204" s="170"/>
      <c r="J204" s="156"/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163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 t="str">
        <f>IFERROR(__xludf.DUMMYFUNCTION("ifna(VALUE(REGEXEXTRACT(E204,""[0-9.]+[,]+[0-9]+"")))"),"")</f>
        <v/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51"/>
      <c r="C205" s="152"/>
      <c r="D205" s="153"/>
      <c r="E205" s="154"/>
      <c r="F205" s="155"/>
      <c r="G205" s="153"/>
      <c r="H205" s="170"/>
      <c r="I205" s="170"/>
      <c r="J205" s="156"/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164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 t="str">
        <f>IFERROR(__xludf.DUMMYFUNCTION("ifna(VALUE(REGEXEXTRACT(E205,""[0-9.]+[,]+[0-9]+"")))"),"")</f>
        <v/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51"/>
      <c r="C206" s="152"/>
      <c r="D206" s="153"/>
      <c r="E206" s="154"/>
      <c r="F206" s="165"/>
      <c r="G206" s="153"/>
      <c r="H206" s="170"/>
      <c r="I206" s="170"/>
      <c r="J206" s="156"/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163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 t="str">
        <f>IFERROR(__xludf.DUMMYFUNCTION("ifna(VALUE(REGEXEXTRACT(E206,""[0-9.]+[,]+[0-9]+"")))"),"")</f>
        <v/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51"/>
      <c r="C207" s="152"/>
      <c r="D207" s="153"/>
      <c r="E207" s="154"/>
      <c r="F207" s="155"/>
      <c r="G207" s="153"/>
      <c r="H207" s="170"/>
      <c r="I207" s="170"/>
      <c r="J207" s="156"/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164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 t="str">
        <f>IFERROR(__xludf.DUMMYFUNCTION("ifna(VALUE(REGEXEXTRACT(E207,""[0-9.]+[,]+[0-9]+"")))"),"")</f>
        <v/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51"/>
      <c r="C208" s="152"/>
      <c r="D208" s="153"/>
      <c r="E208" s="154"/>
      <c r="F208" s="155"/>
      <c r="G208" s="153"/>
      <c r="H208" s="170"/>
      <c r="I208" s="170"/>
      <c r="J208" s="156"/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163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 t="str">
        <f>IFERROR(__xludf.DUMMYFUNCTION("ifna(VALUE(REGEXEXTRACT(E208,""[0-9.]+[,]+[0-9]+"")))"),"")</f>
        <v/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51"/>
      <c r="C209" s="152"/>
      <c r="D209" s="153"/>
      <c r="E209" s="154"/>
      <c r="F209" s="155"/>
      <c r="G209" s="153"/>
      <c r="H209" s="170"/>
      <c r="I209" s="170"/>
      <c r="J209" s="156"/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164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 t="str">
        <f>IFERROR(__xludf.DUMMYFUNCTION("ifna(VALUE(REGEXEXTRACT(E209,""[0-9.]+[,]+[0-9]+"")))"),"")</f>
        <v/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51"/>
      <c r="C210" s="152"/>
      <c r="D210" s="153"/>
      <c r="E210" s="154"/>
      <c r="F210" s="155"/>
      <c r="G210" s="153"/>
      <c r="H210" s="170"/>
      <c r="I210" s="170"/>
      <c r="J210" s="156"/>
      <c r="K210" s="156"/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163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 t="str">
        <f>IFERROR(__xludf.DUMMYFUNCTION("ifna(VALUE(REGEXEXTRACT(E210,""[0-9.]+[,]+[0-9]+"")))"),"")</f>
        <v/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51"/>
      <c r="C211" s="152"/>
      <c r="D211" s="153"/>
      <c r="E211" s="154"/>
      <c r="F211" s="155"/>
      <c r="G211" s="153"/>
      <c r="H211" s="170"/>
      <c r="I211" s="170"/>
      <c r="J211" s="156"/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164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 t="str">
        <f>IFERROR(__xludf.DUMMYFUNCTION("ifna(VALUE(REGEXEXTRACT(E211,""[0-9.]+[,]+[0-9]+"")))"),"")</f>
        <v/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51"/>
      <c r="C212" s="152"/>
      <c r="D212" s="153"/>
      <c r="E212" s="154"/>
      <c r="F212" s="155"/>
      <c r="G212" s="153"/>
      <c r="H212" s="170"/>
      <c r="I212" s="170"/>
      <c r="J212" s="156"/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163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 t="str">
        <f>IFERROR(__xludf.DUMMYFUNCTION("ifna(VALUE(REGEXEXTRACT(E212,""[0-9.]+[,]+[0-9]+"")))"),"")</f>
        <v/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51"/>
      <c r="C213" s="152"/>
      <c r="D213" s="153"/>
      <c r="E213" s="154"/>
      <c r="F213" s="155"/>
      <c r="G213" s="153"/>
      <c r="H213" s="170"/>
      <c r="I213" s="170"/>
      <c r="J213" s="156"/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164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 t="str">
        <f>IFERROR(__xludf.DUMMYFUNCTION("ifna(VALUE(REGEXEXTRACT(E213,""[0-9.]+[,]+[0-9]+"")))"),"")</f>
        <v/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51"/>
      <c r="C214" s="152"/>
      <c r="D214" s="153"/>
      <c r="E214" s="154"/>
      <c r="F214" s="155"/>
      <c r="G214" s="153"/>
      <c r="H214" s="170"/>
      <c r="I214" s="170"/>
      <c r="J214" s="156"/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163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 t="str">
        <f>IFERROR(__xludf.DUMMYFUNCTION("ifna(VALUE(REGEXEXTRACT(E214,""[0-9.]+[,]+[0-9]+"")))"),"")</f>
        <v/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51"/>
      <c r="C215" s="152"/>
      <c r="D215" s="153"/>
      <c r="E215" s="154"/>
      <c r="F215" s="155"/>
      <c r="G215" s="153"/>
      <c r="H215" s="170"/>
      <c r="I215" s="170"/>
      <c r="J215" s="156"/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164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 t="str">
        <f>IFERROR(__xludf.DUMMYFUNCTION("ifna(VALUE(REGEXEXTRACT(E215,""[0-9.]+[,]+[0-9]+"")))"),"")</f>
        <v/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51"/>
      <c r="C216" s="152"/>
      <c r="D216" s="153"/>
      <c r="E216" s="154"/>
      <c r="F216" s="165"/>
      <c r="G216" s="153"/>
      <c r="H216" s="170"/>
      <c r="I216" s="170"/>
      <c r="J216" s="156"/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163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 t="str">
        <f>IFERROR(__xludf.DUMMYFUNCTION("ifna(VALUE(REGEXEXTRACT(E216,""[0-9.]+[,]+[0-9]+"")))"),"")</f>
        <v/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51"/>
      <c r="C217" s="152"/>
      <c r="D217" s="153"/>
      <c r="E217" s="154"/>
      <c r="F217" s="165"/>
      <c r="G217" s="153"/>
      <c r="H217" s="170"/>
      <c r="I217" s="170"/>
      <c r="J217" s="156"/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164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 t="str">
        <f>IFERROR(__xludf.DUMMYFUNCTION("ifna(VALUE(REGEXEXTRACT(E217,""[0-9.]+[,]+[0-9]+"")))"),"")</f>
        <v/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51"/>
      <c r="C218" s="152"/>
      <c r="D218" s="153"/>
      <c r="E218" s="154"/>
      <c r="F218" s="155"/>
      <c r="G218" s="153"/>
      <c r="H218" s="170"/>
      <c r="I218" s="170"/>
      <c r="J218" s="156"/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163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 t="str">
        <f>IFERROR(__xludf.DUMMYFUNCTION("ifna(VALUE(REGEXEXTRACT(E218,""[0-9.]+[,]+[0-9]+"")))"),"")</f>
        <v/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51"/>
      <c r="C219" s="152"/>
      <c r="D219" s="153"/>
      <c r="E219" s="154"/>
      <c r="F219" s="155"/>
      <c r="G219" s="153"/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164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 t="str">
        <f>IFERROR(__xludf.DUMMYFUNCTION("ifna(VALUE(REGEXEXTRACT(E219,""[0-9.]+[,]+[0-9]+"")))"),"")</f>
        <v/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51"/>
      <c r="C220" s="152"/>
      <c r="D220" s="153"/>
      <c r="E220" s="154"/>
      <c r="F220" s="155"/>
      <c r="G220" s="153"/>
      <c r="H220" s="170"/>
      <c r="I220" s="170"/>
      <c r="J220" s="156"/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163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 t="str">
        <f>IFERROR(__xludf.DUMMYFUNCTION("ifna(VALUE(REGEXEXTRACT(E220,""[0-9.]+[,]+[0-9]+"")))"),"")</f>
        <v/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51"/>
      <c r="C221" s="152"/>
      <c r="D221" s="153"/>
      <c r="E221" s="154"/>
      <c r="F221" s="155"/>
      <c r="G221" s="153"/>
      <c r="H221" s="170"/>
      <c r="I221" s="170"/>
      <c r="J221" s="156"/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164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 t="str">
        <f>IFERROR(__xludf.DUMMYFUNCTION("ifna(VALUE(REGEXEXTRACT(E221,""[0-9.]+[,]+[0-9]+"")))"),"")</f>
        <v/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51"/>
      <c r="C222" s="152"/>
      <c r="D222" s="153"/>
      <c r="E222" s="154"/>
      <c r="F222" s="155"/>
      <c r="G222" s="153"/>
      <c r="H222" s="170"/>
      <c r="I222" s="170"/>
      <c r="J222" s="192"/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163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 t="str">
        <f>IFERROR(__xludf.DUMMYFUNCTION("ifna(VALUE(REGEXEXTRACT(E222,""[0-9.]+[,]+[0-9]+"")))"),"")</f>
        <v/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51"/>
      <c r="C223" s="152"/>
      <c r="D223" s="153"/>
      <c r="E223" s="154"/>
      <c r="F223" s="165"/>
      <c r="G223" s="153"/>
      <c r="H223" s="170"/>
      <c r="I223" s="170"/>
      <c r="J223" s="156"/>
      <c r="K223" s="156"/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164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 t="str">
        <f>IFERROR(__xludf.DUMMYFUNCTION("ifna(VALUE(REGEXEXTRACT(E223,""[0-9.]+[,]+[0-9]+"")))"),"")</f>
        <v/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51"/>
      <c r="C224" s="152"/>
      <c r="D224" s="153"/>
      <c r="E224" s="154"/>
      <c r="F224" s="155"/>
      <c r="G224" s="153"/>
      <c r="H224" s="170"/>
      <c r="I224" s="170"/>
      <c r="J224" s="156"/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163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 t="str">
        <f>IFERROR(__xludf.DUMMYFUNCTION("ifna(VALUE(REGEXEXTRACT(E224,""[0-9.]+[,]+[0-9]+"")))"),"")</f>
        <v/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51"/>
      <c r="C225" s="152"/>
      <c r="D225" s="153"/>
      <c r="E225" s="154"/>
      <c r="F225" s="165"/>
      <c r="G225" s="153"/>
      <c r="H225" s="170"/>
      <c r="I225" s="170"/>
      <c r="J225" s="156"/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164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 t="str">
        <f>IFERROR(__xludf.DUMMYFUNCTION("ifna(VALUE(REGEXEXTRACT(E225,""[0-9.]+[,]+[0-9]+"")))"),"")</f>
        <v/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51"/>
      <c r="C226" s="152"/>
      <c r="D226" s="153"/>
      <c r="E226" s="154"/>
      <c r="F226" s="155"/>
      <c r="G226" s="153"/>
      <c r="H226" s="170"/>
      <c r="I226" s="170"/>
      <c r="J226" s="156"/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163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 t="str">
        <f>IFERROR(__xludf.DUMMYFUNCTION("ifna(VALUE(REGEXEXTRACT(E226,""[0-9.]+[,]+[0-9]+"")))"),"")</f>
        <v/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51"/>
      <c r="C227" s="152"/>
      <c r="D227" s="153"/>
      <c r="E227" s="154"/>
      <c r="F227" s="165"/>
      <c r="G227" s="153"/>
      <c r="H227" s="170"/>
      <c r="I227" s="170"/>
      <c r="J227" s="156"/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164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 t="str">
        <f>IFERROR(__xludf.DUMMYFUNCTION("ifna(VALUE(REGEXEXTRACT(E227,""[0-9.]+[,]+[0-9]+"")))"),"")</f>
        <v/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51"/>
      <c r="C228" s="152"/>
      <c r="D228" s="153"/>
      <c r="E228" s="154"/>
      <c r="F228" s="155"/>
      <c r="G228" s="153"/>
      <c r="H228" s="170"/>
      <c r="I228" s="170"/>
      <c r="J228" s="156"/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163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 t="str">
        <f>IFERROR(__xludf.DUMMYFUNCTION("ifna(VALUE(REGEXEXTRACT(E228,""[0-9.]+[,]+[0-9]+"")))"),"")</f>
        <v/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51"/>
      <c r="C229" s="152"/>
      <c r="D229" s="153"/>
      <c r="E229" s="154"/>
      <c r="F229" s="155"/>
      <c r="G229" s="153"/>
      <c r="H229" s="170"/>
      <c r="I229" s="170"/>
      <c r="J229" s="156"/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164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 t="str">
        <f>IFERROR(__xludf.DUMMYFUNCTION("ifna(VALUE(REGEXEXTRACT(E229,""[0-9.]+[,]+[0-9]+"")))"),"")</f>
        <v/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51"/>
      <c r="C230" s="152"/>
      <c r="D230" s="153"/>
      <c r="E230" s="154"/>
      <c r="F230" s="155"/>
      <c r="G230" s="153"/>
      <c r="H230" s="170"/>
      <c r="I230" s="170"/>
      <c r="J230" s="156"/>
      <c r="K230" s="156"/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163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 t="str">
        <f>IFERROR(__xludf.DUMMYFUNCTION("ifna(VALUE(REGEXEXTRACT(E230,""[0-9.]+[,]+[0-9]+"")))"),"")</f>
        <v/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51"/>
      <c r="C231" s="152"/>
      <c r="D231" s="153"/>
      <c r="E231" s="154"/>
      <c r="F231" s="165"/>
      <c r="G231" s="153"/>
      <c r="H231" s="170"/>
      <c r="I231" s="170"/>
      <c r="J231" s="156"/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164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 t="str">
        <f>IFERROR(__xludf.DUMMYFUNCTION("ifna(VALUE(REGEXEXTRACT(E231,""[0-9.]+[,]+[0-9]+"")))"),"")</f>
        <v/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51"/>
      <c r="C232" s="152"/>
      <c r="D232" s="153"/>
      <c r="E232" s="154"/>
      <c r="F232" s="155"/>
      <c r="G232" s="153"/>
      <c r="H232" s="170"/>
      <c r="I232" s="170"/>
      <c r="J232" s="156"/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163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 t="str">
        <f>IFERROR(__xludf.DUMMYFUNCTION("ifna(VALUE(REGEXEXTRACT(E232,""[0-9.]+[,]+[0-9]+"")))"),"")</f>
        <v/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51"/>
      <c r="C233" s="152"/>
      <c r="D233" s="153"/>
      <c r="E233" s="154"/>
      <c r="F233" s="155"/>
      <c r="G233" s="153"/>
      <c r="H233" s="170"/>
      <c r="I233" s="170"/>
      <c r="J233" s="156"/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164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 t="str">
        <f>IFERROR(__xludf.DUMMYFUNCTION("ifna(VALUE(REGEXEXTRACT(E233,""[0-9.]+[,]+[0-9]+"")))"),"")</f>
        <v/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51"/>
      <c r="C234" s="152"/>
      <c r="D234" s="153"/>
      <c r="E234" s="154"/>
      <c r="F234" s="155"/>
      <c r="G234" s="153"/>
      <c r="H234" s="170"/>
      <c r="I234" s="170"/>
      <c r="J234" s="156"/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163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 t="str">
        <f>IFERROR(__xludf.DUMMYFUNCTION("ifna(VALUE(REGEXEXTRACT(E234,""[0-9.]+[,]+[0-9]+"")))"),"")</f>
        <v/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51"/>
      <c r="C235" s="152"/>
      <c r="D235" s="153"/>
      <c r="E235" s="154"/>
      <c r="F235" s="155"/>
      <c r="G235" s="153"/>
      <c r="H235" s="170"/>
      <c r="I235" s="170"/>
      <c r="J235" s="156"/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164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 t="str">
        <f>IFERROR(__xludf.DUMMYFUNCTION("ifna(VALUE(REGEXEXTRACT(E235,""[0-9.]+[,]+[0-9]+"")))"),"")</f>
        <v/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51"/>
      <c r="C236" s="152"/>
      <c r="D236" s="153"/>
      <c r="E236" s="154"/>
      <c r="F236" s="155"/>
      <c r="G236" s="153"/>
      <c r="H236" s="170"/>
      <c r="I236" s="170"/>
      <c r="J236" s="156"/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163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 t="str">
        <f>IFERROR(__xludf.DUMMYFUNCTION("ifna(VALUE(REGEXEXTRACT(E236,""[0-9.]+[,]+[0-9]+"")))"),"")</f>
        <v/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51"/>
      <c r="C237" s="152"/>
      <c r="D237" s="153"/>
      <c r="E237" s="154"/>
      <c r="F237" s="165"/>
      <c r="G237" s="153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164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51"/>
      <c r="C238" s="152"/>
      <c r="D238" s="153"/>
      <c r="E238" s="154"/>
      <c r="F238" s="155"/>
      <c r="G238" s="153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163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51"/>
      <c r="C239" s="152"/>
      <c r="D239" s="153"/>
      <c r="E239" s="154"/>
      <c r="F239" s="155"/>
      <c r="G239" s="153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164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51"/>
      <c r="C240" s="152"/>
      <c r="D240" s="153"/>
      <c r="E240" s="154"/>
      <c r="F240" s="155"/>
      <c r="G240" s="153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163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51"/>
      <c r="C241" s="152"/>
      <c r="D241" s="153"/>
      <c r="E241" s="154"/>
      <c r="F241" s="155"/>
      <c r="G241" s="153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164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51"/>
      <c r="C242" s="152"/>
      <c r="D242" s="153"/>
      <c r="E242" s="154"/>
      <c r="F242" s="155"/>
      <c r="G242" s="153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163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51"/>
      <c r="C243" s="152"/>
      <c r="D243" s="153"/>
      <c r="E243" s="154"/>
      <c r="F243" s="165"/>
      <c r="G243" s="153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164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51"/>
      <c r="C244" s="152"/>
      <c r="D244" s="153"/>
      <c r="E244" s="154"/>
      <c r="F244" s="155"/>
      <c r="G244" s="153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163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51"/>
      <c r="C245" s="152"/>
      <c r="D245" s="153"/>
      <c r="E245" s="154"/>
      <c r="F245" s="155"/>
      <c r="G245" s="153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164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51"/>
      <c r="C246" s="152"/>
      <c r="D246" s="153"/>
      <c r="E246" s="154"/>
      <c r="F246" s="155"/>
      <c r="G246" s="153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163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51"/>
      <c r="C247" s="152"/>
      <c r="D247" s="153"/>
      <c r="E247" s="154"/>
      <c r="F247" s="155"/>
      <c r="G247" s="153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164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51"/>
      <c r="C248" s="152"/>
      <c r="D248" s="153"/>
      <c r="E248" s="154"/>
      <c r="F248" s="155"/>
      <c r="G248" s="153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163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51"/>
      <c r="C249" s="152"/>
      <c r="D249" s="153"/>
      <c r="E249" s="154"/>
      <c r="F249" s="155"/>
      <c r="G249" s="153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164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51"/>
      <c r="C250" s="152"/>
      <c r="D250" s="153"/>
      <c r="E250" s="154"/>
      <c r="F250" s="155"/>
      <c r="G250" s="153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163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51"/>
      <c r="C251" s="152"/>
      <c r="D251" s="153"/>
      <c r="E251" s="154"/>
      <c r="F251" s="155"/>
      <c r="G251" s="153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164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51"/>
      <c r="C252" s="152"/>
      <c r="D252" s="153"/>
      <c r="E252" s="154"/>
      <c r="F252" s="155"/>
      <c r="G252" s="153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163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51"/>
      <c r="C253" s="152"/>
      <c r="D253" s="153"/>
      <c r="E253" s="154"/>
      <c r="F253" s="165"/>
      <c r="G253" s="153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164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51"/>
      <c r="C254" s="152"/>
      <c r="D254" s="153"/>
      <c r="E254" s="154"/>
      <c r="F254" s="155"/>
      <c r="G254" s="153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163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51"/>
      <c r="C255" s="152"/>
      <c r="D255" s="153"/>
      <c r="E255" s="154"/>
      <c r="F255" s="155"/>
      <c r="G255" s="153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164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51"/>
      <c r="C256" s="152"/>
      <c r="D256" s="153"/>
      <c r="E256" s="154"/>
      <c r="F256" s="155"/>
      <c r="G256" s="153"/>
      <c r="H256" s="170"/>
      <c r="I256" s="170"/>
      <c r="J256" s="156"/>
      <c r="K256" s="169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163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51"/>
      <c r="C257" s="152"/>
      <c r="D257" s="153"/>
      <c r="E257" s="154"/>
      <c r="F257" s="155"/>
      <c r="G257" s="153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164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51"/>
      <c r="C258" s="152"/>
      <c r="D258" s="153"/>
      <c r="E258" s="154"/>
      <c r="F258" s="165"/>
      <c r="G258" s="153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163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51"/>
      <c r="C259" s="152"/>
      <c r="D259" s="153"/>
      <c r="E259" s="154"/>
      <c r="F259" s="155"/>
      <c r="G259" s="153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164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51"/>
      <c r="C260" s="152"/>
      <c r="D260" s="153"/>
      <c r="E260" s="154"/>
      <c r="F260" s="155"/>
      <c r="G260" s="153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163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51"/>
      <c r="C261" s="152"/>
      <c r="D261" s="153"/>
      <c r="E261" s="154"/>
      <c r="F261" s="155"/>
      <c r="G261" s="153"/>
      <c r="H261" s="170"/>
      <c r="I261" s="170"/>
      <c r="J261" s="156"/>
      <c r="K261" s="169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164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51"/>
      <c r="C262" s="152"/>
      <c r="D262" s="153"/>
      <c r="E262" s="154"/>
      <c r="F262" s="155"/>
      <c r="G262" s="153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163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51"/>
      <c r="C263" s="152"/>
      <c r="D263" s="153"/>
      <c r="E263" s="154"/>
      <c r="F263" s="155"/>
      <c r="G263" s="153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164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51"/>
      <c r="C264" s="152"/>
      <c r="D264" s="153"/>
      <c r="E264" s="154"/>
      <c r="F264" s="155"/>
      <c r="G264" s="153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163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51"/>
      <c r="C265" s="152"/>
      <c r="D265" s="153"/>
      <c r="E265" s="154"/>
      <c r="F265" s="155"/>
      <c r="G265" s="153"/>
      <c r="H265" s="170"/>
      <c r="I265" s="170"/>
      <c r="J265" s="192"/>
      <c r="K265" s="169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164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51"/>
      <c r="C266" s="152"/>
      <c r="D266" s="153"/>
      <c r="E266" s="154"/>
      <c r="F266" s="155"/>
      <c r="G266" s="153"/>
      <c r="H266" s="170"/>
      <c r="I266" s="170"/>
      <c r="J266" s="156"/>
      <c r="K266" s="169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163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51"/>
      <c r="C267" s="152"/>
      <c r="D267" s="153"/>
      <c r="E267" s="154"/>
      <c r="F267" s="155"/>
      <c r="G267" s="153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164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51"/>
      <c r="C268" s="152"/>
      <c r="D268" s="153"/>
      <c r="E268" s="154"/>
      <c r="F268" s="165"/>
      <c r="G268" s="153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163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51"/>
      <c r="C269" s="152"/>
      <c r="D269" s="153"/>
      <c r="E269" s="154"/>
      <c r="F269" s="155"/>
      <c r="G269" s="153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164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51"/>
      <c r="C270" s="152"/>
      <c r="D270" s="153"/>
      <c r="E270" s="154"/>
      <c r="F270" s="155"/>
      <c r="G270" s="153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163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51"/>
      <c r="C271" s="152"/>
      <c r="D271" s="153"/>
      <c r="E271" s="154"/>
      <c r="F271" s="155"/>
      <c r="G271" s="153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164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51"/>
      <c r="C272" s="152"/>
      <c r="D272" s="153"/>
      <c r="E272" s="154"/>
      <c r="F272" s="155"/>
      <c r="G272" s="153"/>
      <c r="H272" s="170"/>
      <c r="I272" s="170"/>
      <c r="J272" s="156"/>
      <c r="K272" s="169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163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51"/>
      <c r="C273" s="152"/>
      <c r="D273" s="153"/>
      <c r="E273" s="154"/>
      <c r="F273" s="155"/>
      <c r="G273" s="153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164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51"/>
      <c r="C274" s="152"/>
      <c r="D274" s="153"/>
      <c r="E274" s="154"/>
      <c r="F274" s="155"/>
      <c r="G274" s="153"/>
      <c r="H274" s="170"/>
      <c r="I274" s="170"/>
      <c r="J274" s="156"/>
      <c r="K274" s="169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163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51"/>
      <c r="C275" s="152"/>
      <c r="D275" s="153"/>
      <c r="E275" s="154"/>
      <c r="F275" s="155"/>
      <c r="G275" s="153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164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51"/>
      <c r="C276" s="152"/>
      <c r="D276" s="153"/>
      <c r="E276" s="154"/>
      <c r="F276" s="155"/>
      <c r="G276" s="153"/>
      <c r="H276" s="170"/>
      <c r="I276" s="170"/>
      <c r="J276" s="156"/>
      <c r="K276" s="169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163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51"/>
      <c r="C277" s="152"/>
      <c r="D277" s="153"/>
      <c r="E277" s="154"/>
      <c r="F277" s="165"/>
      <c r="G277" s="153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164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51"/>
      <c r="C278" s="152"/>
      <c r="D278" s="153"/>
      <c r="E278" s="154"/>
      <c r="F278" s="155"/>
      <c r="G278" s="153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163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51"/>
      <c r="C279" s="152"/>
      <c r="D279" s="153"/>
      <c r="E279" s="154"/>
      <c r="F279" s="155"/>
      <c r="G279" s="153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164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51"/>
      <c r="C280" s="152"/>
      <c r="D280" s="153"/>
      <c r="E280" s="154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163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51"/>
      <c r="C281" s="152"/>
      <c r="D281" s="153"/>
      <c r="E281" s="154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164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51"/>
      <c r="C282" s="152"/>
      <c r="D282" s="153"/>
      <c r="E282" s="154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163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51"/>
      <c r="C283" s="152"/>
      <c r="D283" s="153"/>
      <c r="E283" s="154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164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51"/>
      <c r="C284" s="152"/>
      <c r="D284" s="153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163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51"/>
      <c r="C285" s="152"/>
      <c r="D285" s="153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164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51"/>
      <c r="C286" s="152"/>
      <c r="D286" s="153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163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51"/>
      <c r="C287" s="152"/>
      <c r="D287" s="153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164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51"/>
      <c r="C288" s="152"/>
      <c r="D288" s="153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163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51"/>
      <c r="C289" s="152"/>
      <c r="D289" s="153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164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51"/>
      <c r="C290" s="152"/>
      <c r="D290" s="153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163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51"/>
      <c r="C291" s="152"/>
      <c r="D291" s="153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164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51"/>
      <c r="C292" s="152"/>
      <c r="D292" s="153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163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51"/>
      <c r="C293" s="152"/>
      <c r="D293" s="153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164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51"/>
      <c r="C294" s="152"/>
      <c r="D294" s="153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163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51"/>
      <c r="C295" s="152"/>
      <c r="D295" s="153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164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153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163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164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163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164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163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164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163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164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163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164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163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164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163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164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163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164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163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164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163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164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IFERROR(__xludf.DUMMYFUNCTION("ifna(IF(and(D316=""Saída"",J316=""Sangria""),if(sum(QUERY(IMPORTRANGE(""https://docs.google.com/spreadsheets/d/15vCx43UQd-lUcbnvwm-R2Xfhex1Wogrs1wY4DlXukMA/edit#gid=458192036"",""BD M Sangrias!a:i""),""select Col6 where Col7 = 'Depositada' and Col9 = '""&amp;"&amp;"K316&amp;""' and Col6 = ""&amp;N316&amp;"" and Col4 = date '""&amp;YEAR(C316)&amp;""-""&amp;MONTH(C316)&amp;""-""&amp;DAY(C316)&amp;""'""))&gt;0,""Depositada"",if(sum(QUERY(IMPORTRANGE(""https://docs.google.com/spreadsheets/d/15vCx43UQd-lUcbnvwm-R2Xfhex1Wogrs1wY4DlXukMA/edit#gid=458192036"","""&amp;"BD M Sangrias!a:i""),""select Col6 where Col7 = 'Caixa Atendimento' and Col9 = '""&amp;K316&amp;""' and Col6 = ""&amp;N316&amp;"" and Col4 = date '""&amp;YEAR(C316)&amp;""-""&amp;MONTH(C316)&amp;""-""&amp;DAY(C316)&amp;""'""))&gt;0,""Caixa Atendimento"",""Caixa Sangria"")),""""),""Caixa Sangria"")"),"")</f>
        <v/>
      </c>
      <c r="M316" s="163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IFERROR(__xludf.DUMMYFUNCTION("ifna(IF(and(D317=""Saída"",J317=""Sangria""),if(sum(QUERY(IMPORTRANGE(""https://docs.google.com/spreadsheets/d/15vCx43UQd-lUcbnvwm-R2Xfhex1Wogrs1wY4DlXukMA/edit#gid=458192036"",""BD M Sangrias!a:i""),""select Col6 where Col7 = 'Depositada' and Col9 = '""&amp;"&amp;"K317&amp;""' and Col6 = ""&amp;N317&amp;"" and Col4 = date '""&amp;YEAR(C317)&amp;""-""&amp;MONTH(C317)&amp;""-""&amp;DAY(C317)&amp;""'""))&gt;0,""Depositada"",if(sum(QUERY(IMPORTRANGE(""https://docs.google.com/spreadsheets/d/15vCx43UQd-lUcbnvwm-R2Xfhex1Wogrs1wY4DlXukMA/edit#gid=458192036"","""&amp;"BD M Sangrias!a:i""),""select Col6 where Col7 = 'Caixa Atendimento' and Col9 = '""&amp;K317&amp;""' and Col6 = ""&amp;N317&amp;"" and Col4 = date '""&amp;YEAR(C317)&amp;""-""&amp;MONTH(C317)&amp;""-""&amp;DAY(C317)&amp;""'""))&gt;0,""Caixa Atendimento"",""Caixa Sangria"")),""""),""Caixa Sangria"")"),"")</f>
        <v/>
      </c>
      <c r="M317" s="164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IFERROR(__xludf.DUMMYFUNCTION("ifna(IF(and(D318=""Saída"",J318=""Sangria""),if(sum(QUERY(IMPORTRANGE(""https://docs.google.com/spreadsheets/d/15vCx43UQd-lUcbnvwm-R2Xfhex1Wogrs1wY4DlXukMA/edit#gid=458192036"",""BD M Sangrias!a:i""),""select Col6 where Col7 = 'Depositada' and Col9 = '""&amp;"&amp;"K318&amp;""' and Col6 = ""&amp;N318&amp;"" and Col4 = date '""&amp;YEAR(C318)&amp;""-""&amp;MONTH(C318)&amp;""-""&amp;DAY(C318)&amp;""'""))&gt;0,""Depositada"",if(sum(QUERY(IMPORTRANGE(""https://docs.google.com/spreadsheets/d/15vCx43UQd-lUcbnvwm-R2Xfhex1Wogrs1wY4DlXukMA/edit#gid=458192036"","""&amp;"BD M Sangrias!a:i""),""select Col6 where Col7 = 'Caixa Atendimento' and Col9 = '""&amp;K318&amp;""' and Col6 = ""&amp;N318&amp;"" and Col4 = date '""&amp;YEAR(C318)&amp;""-""&amp;MONTH(C318)&amp;""-""&amp;DAY(C318)&amp;""'""))&gt;0,""Caixa Atendimento"",""Caixa Sangria"")),""""),""Caixa Sangria"")"),"")</f>
        <v/>
      </c>
      <c r="M318" s="163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IFERROR(__xludf.DUMMYFUNCTION("ifna(IF(and(D319=""Saída"",J319=""Sangria""),if(sum(QUERY(IMPORTRANGE(""https://docs.google.com/spreadsheets/d/15vCx43UQd-lUcbnvwm-R2Xfhex1Wogrs1wY4DlXukMA/edit#gid=458192036"",""BD M Sangrias!a:i""),""select Col6 where Col7 = 'Depositada' and Col9 = '""&amp;"&amp;"K319&amp;""' and Col6 = ""&amp;N319&amp;"" and Col4 = date '""&amp;YEAR(C319)&amp;""-""&amp;MONTH(C319)&amp;""-""&amp;DAY(C319)&amp;""'""))&gt;0,""Depositada"",if(sum(QUERY(IMPORTRANGE(""https://docs.google.com/spreadsheets/d/15vCx43UQd-lUcbnvwm-R2Xfhex1Wogrs1wY4DlXukMA/edit#gid=458192036"","""&amp;"BD M Sangrias!a:i""),""select Col6 where Col7 = 'Caixa Atendimento' and Col9 = '""&amp;K319&amp;""' and Col6 = ""&amp;N319&amp;"" and Col4 = date '""&amp;YEAR(C319)&amp;""-""&amp;MONTH(C319)&amp;""-""&amp;DAY(C319)&amp;""'""))&gt;0,""Caixa Atendimento"",""Caixa Sangria"")),""""),""Caixa Sangria"")"),"")</f>
        <v/>
      </c>
      <c r="M319" s="164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IFERROR(__xludf.DUMMYFUNCTION("ifna(IF(and(D320=""Saída"",J320=""Sangria""),if(sum(QUERY(IMPORTRANGE(""https://docs.google.com/spreadsheets/d/15vCx43UQd-lUcbnvwm-R2Xfhex1Wogrs1wY4DlXukMA/edit#gid=458192036"",""BD M Sangrias!a:i""),""select Col6 where Col7 = 'Depositada' and Col9 = '""&amp;"&amp;"K320&amp;""' and Col6 = ""&amp;N320&amp;"" and Col4 = date '""&amp;YEAR(C320)&amp;""-""&amp;MONTH(C320)&amp;""-""&amp;DAY(C320)&amp;""'""))&gt;0,""Depositada"",if(sum(QUERY(IMPORTRANGE(""https://docs.google.com/spreadsheets/d/15vCx43UQd-lUcbnvwm-R2Xfhex1Wogrs1wY4DlXukMA/edit#gid=458192036"","""&amp;"BD M Sangrias!a:i""),""select Col6 where Col7 = 'Caixa Atendimento' and Col9 = '""&amp;K320&amp;""' and Col6 = ""&amp;N320&amp;"" and Col4 = date '""&amp;YEAR(C320)&amp;""-""&amp;MONTH(C320)&amp;""-""&amp;DAY(C320)&amp;""'""))&gt;0,""Caixa Atendimento"",""Caixa Sangria"")),""""),""Caixa Sangria"")"),"")</f>
        <v/>
      </c>
      <c r="M320" s="163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IFERROR(__xludf.DUMMYFUNCTION("ifna(IF(and(D321=""Saída"",J321=""Sangria""),if(sum(QUERY(IMPORTRANGE(""https://docs.google.com/spreadsheets/d/15vCx43UQd-lUcbnvwm-R2Xfhex1Wogrs1wY4DlXukMA/edit#gid=458192036"",""BD M Sangrias!a:i""),""select Col6 where Col7 = 'Depositada' and Col9 = '""&amp;"&amp;"K321&amp;""' and Col6 = ""&amp;N321&amp;"" and Col4 = date '""&amp;YEAR(C321)&amp;""-""&amp;MONTH(C321)&amp;""-""&amp;DAY(C321)&amp;""'""))&gt;0,""Depositada"",if(sum(QUERY(IMPORTRANGE(""https://docs.google.com/spreadsheets/d/15vCx43UQd-lUcbnvwm-R2Xfhex1Wogrs1wY4DlXukMA/edit#gid=458192036"","""&amp;"BD M Sangrias!a:i""),""select Col6 where Col7 = 'Caixa Atendimento' and Col9 = '""&amp;K321&amp;""' and Col6 = ""&amp;N321&amp;"" and Col4 = date '""&amp;YEAR(C321)&amp;""-""&amp;MONTH(C321)&amp;""-""&amp;DAY(C321)&amp;""'""))&gt;0,""Caixa Atendimento"",""Caixa Sangria"")),""""),""Caixa Sangria"")"),"")</f>
        <v/>
      </c>
      <c r="M321" s="164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IFERROR(__xludf.DUMMYFUNCTION("ifna(IF(and(D322=""Saída"",J322=""Sangria""),if(sum(QUERY(IMPORTRANGE(""https://docs.google.com/spreadsheets/d/15vCx43UQd-lUcbnvwm-R2Xfhex1Wogrs1wY4DlXukMA/edit#gid=458192036"",""BD M Sangrias!a:i""),""select Col6 where Col7 = 'Depositada' and Col9 = '""&amp;"&amp;"K322&amp;""' and Col6 = ""&amp;N322&amp;"" and Col4 = date '""&amp;YEAR(C322)&amp;""-""&amp;MONTH(C322)&amp;""-""&amp;DAY(C322)&amp;""'""))&gt;0,""Depositada"",if(sum(QUERY(IMPORTRANGE(""https://docs.google.com/spreadsheets/d/15vCx43UQd-lUcbnvwm-R2Xfhex1Wogrs1wY4DlXukMA/edit#gid=458192036"","""&amp;"BD M Sangrias!a:i""),""select Col6 where Col7 = 'Caixa Atendimento' and Col9 = '""&amp;K322&amp;""' and Col6 = ""&amp;N322&amp;"" and Col4 = date '""&amp;YEAR(C322)&amp;""-""&amp;MONTH(C322)&amp;""-""&amp;DAY(C322)&amp;""'""))&gt;0,""Caixa Atendimento"",""Caixa Sangria"")),""""),""Caixa Sangria"")"),"")</f>
        <v/>
      </c>
      <c r="M322" s="163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IFERROR(__xludf.DUMMYFUNCTION("ifna(IF(and(D323=""Saída"",J323=""Sangria""),if(sum(QUERY(IMPORTRANGE(""https://docs.google.com/spreadsheets/d/15vCx43UQd-lUcbnvwm-R2Xfhex1Wogrs1wY4DlXukMA/edit#gid=458192036"",""BD M Sangrias!a:i""),""select Col6 where Col7 = 'Depositada' and Col9 = '""&amp;"&amp;"K323&amp;""' and Col6 = ""&amp;N323&amp;"" and Col4 = date '""&amp;YEAR(C323)&amp;""-""&amp;MONTH(C323)&amp;""-""&amp;DAY(C323)&amp;""'""))&gt;0,""Depositada"",if(sum(QUERY(IMPORTRANGE(""https://docs.google.com/spreadsheets/d/15vCx43UQd-lUcbnvwm-R2Xfhex1Wogrs1wY4DlXukMA/edit#gid=458192036"","""&amp;"BD M Sangrias!a:i""),""select Col6 where Col7 = 'Caixa Atendimento' and Col9 = '""&amp;K323&amp;""' and Col6 = ""&amp;N323&amp;"" and Col4 = date '""&amp;YEAR(C323)&amp;""-""&amp;MONTH(C323)&amp;""-""&amp;DAY(C323)&amp;""'""))&gt;0,""Caixa Atendimento"",""Caixa Sangria"")),""""),""Caixa Sangria"")"),"")</f>
        <v/>
      </c>
      <c r="M323" s="164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IFERROR(__xludf.DUMMYFUNCTION("ifna(IF(and(D324=""Saída"",J324=""Sangria""),if(sum(QUERY(IMPORTRANGE(""https://docs.google.com/spreadsheets/d/15vCx43UQd-lUcbnvwm-R2Xfhex1Wogrs1wY4DlXukMA/edit#gid=458192036"",""BD M Sangrias!a:i""),""select Col6 where Col7 = 'Depositada' and Col9 = '""&amp;"&amp;"K324&amp;""' and Col6 = ""&amp;N324&amp;"" and Col4 = date '""&amp;YEAR(C324)&amp;""-""&amp;MONTH(C324)&amp;""-""&amp;DAY(C324)&amp;""'""))&gt;0,""Depositada"",if(sum(QUERY(IMPORTRANGE(""https://docs.google.com/spreadsheets/d/15vCx43UQd-lUcbnvwm-R2Xfhex1Wogrs1wY4DlXukMA/edit#gid=458192036"","""&amp;"BD M Sangrias!a:i""),""select Col6 where Col7 = 'Caixa Atendimento' and Col9 = '""&amp;K324&amp;""' and Col6 = ""&amp;N324&amp;"" and Col4 = date '""&amp;YEAR(C324)&amp;""-""&amp;MONTH(C324)&amp;""-""&amp;DAY(C324)&amp;""'""))&gt;0,""Caixa Atendimento"",""Caixa Sangria"")),""""),""Caixa Sangria"")"),"")</f>
        <v/>
      </c>
      <c r="M324" s="163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IFERROR(__xludf.DUMMYFUNCTION("ifna(IF(and(D325=""Saída"",J325=""Sangria""),if(sum(QUERY(IMPORTRANGE(""https://docs.google.com/spreadsheets/d/15vCx43UQd-lUcbnvwm-R2Xfhex1Wogrs1wY4DlXukMA/edit#gid=458192036"",""BD M Sangrias!a:i""),""select Col6 where Col7 = 'Depositada' and Col9 = '""&amp;"&amp;"K325&amp;""' and Col6 = ""&amp;N325&amp;"" and Col4 = date '""&amp;YEAR(C325)&amp;""-""&amp;MONTH(C325)&amp;""-""&amp;DAY(C325)&amp;""'""))&gt;0,""Depositada"",if(sum(QUERY(IMPORTRANGE(""https://docs.google.com/spreadsheets/d/15vCx43UQd-lUcbnvwm-R2Xfhex1Wogrs1wY4DlXukMA/edit#gid=458192036"","""&amp;"BD M Sangrias!a:i""),""select Col6 where Col7 = 'Caixa Atendimento' and Col9 = '""&amp;K325&amp;""' and Col6 = ""&amp;N325&amp;"" and Col4 = date '""&amp;YEAR(C325)&amp;""-""&amp;MONTH(C325)&amp;""-""&amp;DAY(C325)&amp;""'""))&gt;0,""Caixa Atendimento"",""Caixa Sangria"")),""""),""Caixa Sangria"")"),"")</f>
        <v/>
      </c>
      <c r="M325" s="164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IFERROR(__xludf.DUMMYFUNCTION("ifna(IF(and(D326=""Saída"",J326=""Sangria""),if(sum(QUERY(IMPORTRANGE(""https://docs.google.com/spreadsheets/d/15vCx43UQd-lUcbnvwm-R2Xfhex1Wogrs1wY4DlXukMA/edit#gid=458192036"",""BD M Sangrias!a:i""),""select Col6 where Col7 = 'Depositada' and Col9 = '""&amp;"&amp;"K326&amp;""' and Col6 = ""&amp;N326&amp;"" and Col4 = date '""&amp;YEAR(C326)&amp;""-""&amp;MONTH(C326)&amp;""-""&amp;DAY(C326)&amp;""'""))&gt;0,""Depositada"",if(sum(QUERY(IMPORTRANGE(""https://docs.google.com/spreadsheets/d/15vCx43UQd-lUcbnvwm-R2Xfhex1Wogrs1wY4DlXukMA/edit#gid=458192036"","""&amp;"BD M Sangrias!a:i""),""select Col6 where Col7 = 'Caixa Atendimento' and Col9 = '""&amp;K326&amp;""' and Col6 = ""&amp;N326&amp;"" and Col4 = date '""&amp;YEAR(C326)&amp;""-""&amp;MONTH(C326)&amp;""-""&amp;DAY(C326)&amp;""'""))&gt;0,""Caixa Atendimento"",""Caixa Sangria"")),""""),""Caixa Sangria"")"),"")</f>
        <v/>
      </c>
      <c r="M326" s="163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IFERROR(__xludf.DUMMYFUNCTION("ifna(IF(and(D327=""Saída"",J327=""Sangria""),if(sum(QUERY(IMPORTRANGE(""https://docs.google.com/spreadsheets/d/15vCx43UQd-lUcbnvwm-R2Xfhex1Wogrs1wY4DlXukMA/edit#gid=458192036"",""BD M Sangrias!a:i""),""select Col6 where Col7 = 'Depositada' and Col9 = '""&amp;"&amp;"K327&amp;""' and Col6 = ""&amp;N327&amp;"" and Col4 = date '""&amp;YEAR(C327)&amp;""-""&amp;MONTH(C327)&amp;""-""&amp;DAY(C327)&amp;""'""))&gt;0,""Depositada"",if(sum(QUERY(IMPORTRANGE(""https://docs.google.com/spreadsheets/d/15vCx43UQd-lUcbnvwm-R2Xfhex1Wogrs1wY4DlXukMA/edit#gid=458192036"","""&amp;"BD M Sangrias!a:i""),""select Col6 where Col7 = 'Caixa Atendimento' and Col9 = '""&amp;K327&amp;""' and Col6 = ""&amp;N327&amp;"" and Col4 = date '""&amp;YEAR(C327)&amp;""-""&amp;MONTH(C327)&amp;""-""&amp;DAY(C327)&amp;""'""))&gt;0,""Caixa Atendimento"",""Caixa Sangria"")),""""),""Caixa Sangria"")"),"")</f>
        <v/>
      </c>
      <c r="M327" s="164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IFERROR(__xludf.DUMMYFUNCTION("ifna(IF(and(D328=""Saída"",J328=""Sangria""),if(sum(QUERY(IMPORTRANGE(""https://docs.google.com/spreadsheets/d/15vCx43UQd-lUcbnvwm-R2Xfhex1Wogrs1wY4DlXukMA/edit#gid=458192036"",""BD M Sangrias!a:i""),""select Col6 where Col7 = 'Depositada' and Col9 = '""&amp;"&amp;"K328&amp;""' and Col6 = ""&amp;N328&amp;"" and Col4 = date '""&amp;YEAR(C328)&amp;""-""&amp;MONTH(C328)&amp;""-""&amp;DAY(C328)&amp;""'""))&gt;0,""Depositada"",if(sum(QUERY(IMPORTRANGE(""https://docs.google.com/spreadsheets/d/15vCx43UQd-lUcbnvwm-R2Xfhex1Wogrs1wY4DlXukMA/edit#gid=458192036"","""&amp;"BD M Sangrias!a:i""),""select Col6 where Col7 = 'Caixa Atendimento' and Col9 = '""&amp;K328&amp;""' and Col6 = ""&amp;N328&amp;"" and Col4 = date '""&amp;YEAR(C328)&amp;""-""&amp;MONTH(C328)&amp;""-""&amp;DAY(C328)&amp;""'""))&gt;0,""Caixa Atendimento"",""Caixa Sangria"")),""""),""Caixa Sangria"")"),"")</f>
        <v/>
      </c>
      <c r="M328" s="163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IFERROR(__xludf.DUMMYFUNCTION("ifna(IF(and(D329=""Saída"",J329=""Sangria""),if(sum(QUERY(IMPORTRANGE(""https://docs.google.com/spreadsheets/d/15vCx43UQd-lUcbnvwm-R2Xfhex1Wogrs1wY4DlXukMA/edit#gid=458192036"",""BD M Sangrias!a:i""),""select Col6 where Col7 = 'Depositada' and Col9 = '""&amp;"&amp;"K329&amp;""' and Col6 = ""&amp;N329&amp;"" and Col4 = date '""&amp;YEAR(C329)&amp;""-""&amp;MONTH(C329)&amp;""-""&amp;DAY(C329)&amp;""'""))&gt;0,""Depositada"",if(sum(QUERY(IMPORTRANGE(""https://docs.google.com/spreadsheets/d/15vCx43UQd-lUcbnvwm-R2Xfhex1Wogrs1wY4DlXukMA/edit#gid=458192036"","""&amp;"BD M Sangrias!a:i""),""select Col6 where Col7 = 'Caixa Atendimento' and Col9 = '""&amp;K329&amp;""' and Col6 = ""&amp;N329&amp;"" and Col4 = date '""&amp;YEAR(C329)&amp;""-""&amp;MONTH(C329)&amp;""-""&amp;DAY(C329)&amp;""'""))&gt;0,""Caixa Atendimento"",""Caixa Sangria"")),""""),""Caixa Sangria"")"),"")</f>
        <v/>
      </c>
      <c r="M329" s="164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IFERROR(__xludf.DUMMYFUNCTION("ifna(IF(and(D330=""Saída"",J330=""Sangria""),if(sum(QUERY(IMPORTRANGE(""https://docs.google.com/spreadsheets/d/15vCx43UQd-lUcbnvwm-R2Xfhex1Wogrs1wY4DlXukMA/edit#gid=458192036"",""BD M Sangrias!a:i""),""select Col6 where Col7 = 'Depositada' and Col9 = '""&amp;"&amp;"K330&amp;""' and Col6 = ""&amp;N330&amp;"" and Col4 = date '""&amp;YEAR(C330)&amp;""-""&amp;MONTH(C330)&amp;""-""&amp;DAY(C330)&amp;""'""))&gt;0,""Depositada"",if(sum(QUERY(IMPORTRANGE(""https://docs.google.com/spreadsheets/d/15vCx43UQd-lUcbnvwm-R2Xfhex1Wogrs1wY4DlXukMA/edit#gid=458192036"","""&amp;"BD M Sangrias!a:i""),""select Col6 where Col7 = 'Caixa Atendimento' and Col9 = '""&amp;K330&amp;""' and Col6 = ""&amp;N330&amp;"" and Col4 = date '""&amp;YEAR(C330)&amp;""-""&amp;MONTH(C330)&amp;""-""&amp;DAY(C330)&amp;""'""))&gt;0,""Caixa Atendimento"",""Caixa Sangria"")),""""),""Caixa Sangria"")"),"")</f>
        <v/>
      </c>
      <c r="M330" s="163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IFERROR(__xludf.DUMMYFUNCTION("ifna(IF(and(D331=""Saída"",J331=""Sangria""),if(sum(QUERY(IMPORTRANGE(""https://docs.google.com/spreadsheets/d/15vCx43UQd-lUcbnvwm-R2Xfhex1Wogrs1wY4DlXukMA/edit#gid=458192036"",""BD M Sangrias!a:i""),""select Col6 where Col7 = 'Depositada' and Col9 = '""&amp;"&amp;"K331&amp;""' and Col6 = ""&amp;N331&amp;"" and Col4 = date '""&amp;YEAR(C331)&amp;""-""&amp;MONTH(C331)&amp;""-""&amp;DAY(C331)&amp;""'""))&gt;0,""Depositada"",if(sum(QUERY(IMPORTRANGE(""https://docs.google.com/spreadsheets/d/15vCx43UQd-lUcbnvwm-R2Xfhex1Wogrs1wY4DlXukMA/edit#gid=458192036"","""&amp;"BD M Sangrias!a:i""),""select Col6 where Col7 = 'Caixa Atendimento' and Col9 = '""&amp;K331&amp;""' and Col6 = ""&amp;N331&amp;"" and Col4 = date '""&amp;YEAR(C331)&amp;""-""&amp;MONTH(C331)&amp;""-""&amp;DAY(C331)&amp;""'""))&gt;0,""Caixa Atendimento"",""Caixa Sangria"")),""""),""Caixa Sangria"")"),"")</f>
        <v/>
      </c>
      <c r="M331" s="164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IFERROR(__xludf.DUMMYFUNCTION("ifna(IF(and(D332=""Saída"",J332=""Sangria""),if(sum(QUERY(IMPORTRANGE(""https://docs.google.com/spreadsheets/d/15vCx43UQd-lUcbnvwm-R2Xfhex1Wogrs1wY4DlXukMA/edit#gid=458192036"",""BD M Sangrias!a:i""),""select Col6 where Col7 = 'Depositada' and Col9 = '""&amp;"&amp;"K332&amp;""' and Col6 = ""&amp;N332&amp;"" and Col4 = date '""&amp;YEAR(C332)&amp;""-""&amp;MONTH(C332)&amp;""-""&amp;DAY(C332)&amp;""'""))&gt;0,""Depositada"",if(sum(QUERY(IMPORTRANGE(""https://docs.google.com/spreadsheets/d/15vCx43UQd-lUcbnvwm-R2Xfhex1Wogrs1wY4DlXukMA/edit#gid=458192036"","""&amp;"BD M Sangrias!a:i""),""select Col6 where Col7 = 'Caixa Atendimento' and Col9 = '""&amp;K332&amp;""' and Col6 = ""&amp;N332&amp;"" and Col4 = date '""&amp;YEAR(C332)&amp;""-""&amp;MONTH(C332)&amp;""-""&amp;DAY(C332)&amp;""'""))&gt;0,""Caixa Atendimento"",""Caixa Sangria"")),""""),""Caixa Sangria"")"),"")</f>
        <v/>
      </c>
      <c r="M332" s="163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IFERROR(__xludf.DUMMYFUNCTION("ifna(IF(and(D333=""Saída"",J333=""Sangria""),if(sum(QUERY(IMPORTRANGE(""https://docs.google.com/spreadsheets/d/15vCx43UQd-lUcbnvwm-R2Xfhex1Wogrs1wY4DlXukMA/edit#gid=458192036"",""BD M Sangrias!a:i""),""select Col6 where Col7 = 'Depositada' and Col9 = '""&amp;"&amp;"K333&amp;""' and Col6 = ""&amp;N333&amp;"" and Col4 = date '""&amp;YEAR(C333)&amp;""-""&amp;MONTH(C333)&amp;""-""&amp;DAY(C333)&amp;""'""))&gt;0,""Depositada"",if(sum(QUERY(IMPORTRANGE(""https://docs.google.com/spreadsheets/d/15vCx43UQd-lUcbnvwm-R2Xfhex1Wogrs1wY4DlXukMA/edit#gid=458192036"","""&amp;"BD M Sangrias!a:i""),""select Col6 where Col7 = 'Caixa Atendimento' and Col9 = '""&amp;K333&amp;""' and Col6 = ""&amp;N333&amp;"" and Col4 = date '""&amp;YEAR(C333)&amp;""-""&amp;MONTH(C333)&amp;""-""&amp;DAY(C333)&amp;""'""))&gt;0,""Caixa Atendimento"",""Caixa Sangria"")),""""),""Caixa Sangria"")"),"")</f>
        <v/>
      </c>
      <c r="M333" s="164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IFERROR(__xludf.DUMMYFUNCTION("ifna(IF(and(D334=""Saída"",J334=""Sangria""),if(sum(QUERY(IMPORTRANGE(""https://docs.google.com/spreadsheets/d/15vCx43UQd-lUcbnvwm-R2Xfhex1Wogrs1wY4DlXukMA/edit#gid=458192036"",""BD M Sangrias!a:i""),""select Col6 where Col7 = 'Depositada' and Col9 = '""&amp;"&amp;"K334&amp;""' and Col6 = ""&amp;N334&amp;"" and Col4 = date '""&amp;YEAR(C334)&amp;""-""&amp;MONTH(C334)&amp;""-""&amp;DAY(C334)&amp;""'""))&gt;0,""Depositada"",if(sum(QUERY(IMPORTRANGE(""https://docs.google.com/spreadsheets/d/15vCx43UQd-lUcbnvwm-R2Xfhex1Wogrs1wY4DlXukMA/edit#gid=458192036"","""&amp;"BD M Sangrias!a:i""),""select Col6 where Col7 = 'Caixa Atendimento' and Col9 = '""&amp;K334&amp;""' and Col6 = ""&amp;N334&amp;"" and Col4 = date '""&amp;YEAR(C334)&amp;""-""&amp;MONTH(C334)&amp;""-""&amp;DAY(C334)&amp;""'""))&gt;0,""Caixa Atendimento"",""Caixa Sangria"")),""""),""Caixa Sangria"")"),"")</f>
        <v/>
      </c>
      <c r="M334" s="163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IFERROR(__xludf.DUMMYFUNCTION("ifna(IF(and(D335=""Saída"",J335=""Sangria""),if(sum(QUERY(IMPORTRANGE(""https://docs.google.com/spreadsheets/d/15vCx43UQd-lUcbnvwm-R2Xfhex1Wogrs1wY4DlXukMA/edit#gid=458192036"",""BD M Sangrias!a:i""),""select Col6 where Col7 = 'Depositada' and Col9 = '""&amp;"&amp;"K335&amp;""' and Col6 = ""&amp;N335&amp;"" and Col4 = date '""&amp;YEAR(C335)&amp;""-""&amp;MONTH(C335)&amp;""-""&amp;DAY(C335)&amp;""'""))&gt;0,""Depositada"",if(sum(QUERY(IMPORTRANGE(""https://docs.google.com/spreadsheets/d/15vCx43UQd-lUcbnvwm-R2Xfhex1Wogrs1wY4DlXukMA/edit#gid=458192036"","""&amp;"BD M Sangrias!a:i""),""select Col6 where Col7 = 'Caixa Atendimento' and Col9 = '""&amp;K335&amp;""' and Col6 = ""&amp;N335&amp;"" and Col4 = date '""&amp;YEAR(C335)&amp;""-""&amp;MONTH(C335)&amp;""-""&amp;DAY(C335)&amp;""'""))&gt;0,""Caixa Atendimento"",""Caixa Sangria"")),""""),""Caixa Sangria"")"),"")</f>
        <v/>
      </c>
      <c r="M335" s="164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IFERROR(__xludf.DUMMYFUNCTION("ifna(IF(and(D336=""Saída"",J336=""Sangria""),if(sum(QUERY(IMPORTRANGE(""https://docs.google.com/spreadsheets/d/15vCx43UQd-lUcbnvwm-R2Xfhex1Wogrs1wY4DlXukMA/edit#gid=458192036"",""BD M Sangrias!a:i""),""select Col6 where Col7 = 'Depositada' and Col9 = '""&amp;"&amp;"K336&amp;""' and Col6 = ""&amp;N336&amp;"" and Col4 = date '""&amp;YEAR(C336)&amp;""-""&amp;MONTH(C336)&amp;""-""&amp;DAY(C336)&amp;""'""))&gt;0,""Depositada"",if(sum(QUERY(IMPORTRANGE(""https://docs.google.com/spreadsheets/d/15vCx43UQd-lUcbnvwm-R2Xfhex1Wogrs1wY4DlXukMA/edit#gid=458192036"","""&amp;"BD M Sangrias!a:i""),""select Col6 where Col7 = 'Caixa Atendimento' and Col9 = '""&amp;K336&amp;""' and Col6 = ""&amp;N336&amp;"" and Col4 = date '""&amp;YEAR(C336)&amp;""-""&amp;MONTH(C336)&amp;""-""&amp;DAY(C336)&amp;""'""))&gt;0,""Caixa Atendimento"",""Caixa Sangria"")),""""),""Caixa Sangria"")"),"")</f>
        <v/>
      </c>
      <c r="M336" s="163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IFERROR(__xludf.DUMMYFUNCTION("ifna(IF(and(D337=""Saída"",J337=""Sangria""),if(sum(QUERY(IMPORTRANGE(""https://docs.google.com/spreadsheets/d/15vCx43UQd-lUcbnvwm-R2Xfhex1Wogrs1wY4DlXukMA/edit#gid=458192036"",""BD M Sangrias!a:i""),""select Col6 where Col7 = 'Depositada' and Col9 = '""&amp;"&amp;"K337&amp;""' and Col6 = ""&amp;N337&amp;"" and Col4 = date '""&amp;YEAR(C337)&amp;""-""&amp;MONTH(C337)&amp;""-""&amp;DAY(C337)&amp;""'""))&gt;0,""Depositada"",if(sum(QUERY(IMPORTRANGE(""https://docs.google.com/spreadsheets/d/15vCx43UQd-lUcbnvwm-R2Xfhex1Wogrs1wY4DlXukMA/edit#gid=458192036"","""&amp;"BD M Sangrias!a:i""),""select Col6 where Col7 = 'Caixa Atendimento' and Col9 = '""&amp;K337&amp;""' and Col6 = ""&amp;N337&amp;"" and Col4 = date '""&amp;YEAR(C337)&amp;""-""&amp;MONTH(C337)&amp;""-""&amp;DAY(C337)&amp;""'""))&gt;0,""Caixa Atendimento"",""Caixa Sangria"")),""""),""Caixa Sangria"")"),"")</f>
        <v/>
      </c>
      <c r="M337" s="164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IFERROR(__xludf.DUMMYFUNCTION("ifna(IF(and(D338=""Saída"",J338=""Sangria""),if(sum(QUERY(IMPORTRANGE(""https://docs.google.com/spreadsheets/d/15vCx43UQd-lUcbnvwm-R2Xfhex1Wogrs1wY4DlXukMA/edit#gid=458192036"",""BD M Sangrias!a:i""),""select Col6 where Col7 = 'Depositada' and Col9 = '""&amp;"&amp;"K338&amp;""' and Col6 = ""&amp;N338&amp;"" and Col4 = date '""&amp;YEAR(C338)&amp;""-""&amp;MONTH(C338)&amp;""-""&amp;DAY(C338)&amp;""'""))&gt;0,""Depositada"",if(sum(QUERY(IMPORTRANGE(""https://docs.google.com/spreadsheets/d/15vCx43UQd-lUcbnvwm-R2Xfhex1Wogrs1wY4DlXukMA/edit#gid=458192036"","""&amp;"BD M Sangrias!a:i""),""select Col6 where Col7 = 'Caixa Atendimento' and Col9 = '""&amp;K338&amp;""' and Col6 = ""&amp;N338&amp;"" and Col4 = date '""&amp;YEAR(C338)&amp;""-""&amp;MONTH(C338)&amp;""-""&amp;DAY(C338)&amp;""'""))&gt;0,""Caixa Atendimento"",""Caixa Sangria"")),""""),""Caixa Sangria"")"),"")</f>
        <v/>
      </c>
      <c r="M338" s="163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IFERROR(__xludf.DUMMYFUNCTION("ifna(IF(and(D339=""Saída"",J339=""Sangria""),if(sum(QUERY(IMPORTRANGE(""https://docs.google.com/spreadsheets/d/15vCx43UQd-lUcbnvwm-R2Xfhex1Wogrs1wY4DlXukMA/edit#gid=458192036"",""BD M Sangrias!a:i""),""select Col6 where Col7 = 'Depositada' and Col9 = '""&amp;"&amp;"K339&amp;""' and Col6 = ""&amp;N339&amp;"" and Col4 = date '""&amp;YEAR(C339)&amp;""-""&amp;MONTH(C339)&amp;""-""&amp;DAY(C339)&amp;""'""))&gt;0,""Depositada"",if(sum(QUERY(IMPORTRANGE(""https://docs.google.com/spreadsheets/d/15vCx43UQd-lUcbnvwm-R2Xfhex1Wogrs1wY4DlXukMA/edit#gid=458192036"","""&amp;"BD M Sangrias!a:i""),""select Col6 where Col7 = 'Caixa Atendimento' and Col9 = '""&amp;K339&amp;""' and Col6 = ""&amp;N339&amp;"" and Col4 = date '""&amp;YEAR(C339)&amp;""-""&amp;MONTH(C339)&amp;""-""&amp;DAY(C339)&amp;""'""))&gt;0,""Caixa Atendimento"",""Caixa Sangria"")),""""),""Caixa Sangria"")"),"")</f>
        <v/>
      </c>
      <c r="M339" s="164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IFERROR(__xludf.DUMMYFUNCTION("ifna(IF(and(D340=""Saída"",J340=""Sangria""),if(sum(QUERY(IMPORTRANGE(""https://docs.google.com/spreadsheets/d/15vCx43UQd-lUcbnvwm-R2Xfhex1Wogrs1wY4DlXukMA/edit#gid=458192036"",""BD M Sangrias!a:i""),""select Col6 where Col7 = 'Depositada' and Col9 = '""&amp;"&amp;"K340&amp;""' and Col6 = ""&amp;N340&amp;"" and Col4 = date '""&amp;YEAR(C340)&amp;""-""&amp;MONTH(C340)&amp;""-""&amp;DAY(C340)&amp;""'""))&gt;0,""Depositada"",if(sum(QUERY(IMPORTRANGE(""https://docs.google.com/spreadsheets/d/15vCx43UQd-lUcbnvwm-R2Xfhex1Wogrs1wY4DlXukMA/edit#gid=458192036"","""&amp;"BD M Sangrias!a:i""),""select Col6 where Col7 = 'Caixa Atendimento' and Col9 = '""&amp;K340&amp;""' and Col6 = ""&amp;N340&amp;"" and Col4 = date '""&amp;YEAR(C340)&amp;""-""&amp;MONTH(C340)&amp;""-""&amp;DAY(C340)&amp;""'""))&gt;0,""Caixa Atendimento"",""Caixa Sangria"")),""""),""Caixa Sangria"")"),"")</f>
        <v/>
      </c>
      <c r="M340" s="163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IFERROR(__xludf.DUMMYFUNCTION("ifna(IF(and(D341=""Saída"",J341=""Sangria""),if(sum(QUERY(IMPORTRANGE(""https://docs.google.com/spreadsheets/d/15vCx43UQd-lUcbnvwm-R2Xfhex1Wogrs1wY4DlXukMA/edit#gid=458192036"",""BD M Sangrias!a:i""),""select Col6 where Col7 = 'Depositada' and Col9 = '""&amp;"&amp;"K341&amp;""' and Col6 = ""&amp;N341&amp;"" and Col4 = date '""&amp;YEAR(C341)&amp;""-""&amp;MONTH(C341)&amp;""-""&amp;DAY(C341)&amp;""'""))&gt;0,""Depositada"",if(sum(QUERY(IMPORTRANGE(""https://docs.google.com/spreadsheets/d/15vCx43UQd-lUcbnvwm-R2Xfhex1Wogrs1wY4DlXukMA/edit#gid=458192036"","""&amp;"BD M Sangrias!a:i""),""select Col6 where Col7 = 'Caixa Atendimento' and Col9 = '""&amp;K341&amp;""' and Col6 = ""&amp;N341&amp;"" and Col4 = date '""&amp;YEAR(C341)&amp;""-""&amp;MONTH(C341)&amp;""-""&amp;DAY(C341)&amp;""'""))&gt;0,""Caixa Atendimento"",""Caixa Sangria"")),""""),""Caixa Sangria"")"),"")</f>
        <v/>
      </c>
      <c r="M341" s="164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IFERROR(__xludf.DUMMYFUNCTION("ifna(IF(and(D342=""Saída"",J342=""Sangria""),if(sum(QUERY(IMPORTRANGE(""https://docs.google.com/spreadsheets/d/15vCx43UQd-lUcbnvwm-R2Xfhex1Wogrs1wY4DlXukMA/edit#gid=458192036"",""BD M Sangrias!a:i""),""select Col6 where Col7 = 'Depositada' and Col9 = '""&amp;"&amp;"K342&amp;""' and Col6 = ""&amp;N342&amp;"" and Col4 = date '""&amp;YEAR(C342)&amp;""-""&amp;MONTH(C342)&amp;""-""&amp;DAY(C342)&amp;""'""))&gt;0,""Depositada"",if(sum(QUERY(IMPORTRANGE(""https://docs.google.com/spreadsheets/d/15vCx43UQd-lUcbnvwm-R2Xfhex1Wogrs1wY4DlXukMA/edit#gid=458192036"","""&amp;"BD M Sangrias!a:i""),""select Col6 where Col7 = 'Caixa Atendimento' and Col9 = '""&amp;K342&amp;""' and Col6 = ""&amp;N342&amp;"" and Col4 = date '""&amp;YEAR(C342)&amp;""-""&amp;MONTH(C342)&amp;""-""&amp;DAY(C342)&amp;""'""))&gt;0,""Caixa Atendimento"",""Caixa Sangria"")),""""),""Caixa Sangria"")"),"")</f>
        <v/>
      </c>
      <c r="M342" s="163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IFERROR(__xludf.DUMMYFUNCTION("ifna(IF(and(D343=""Saída"",J343=""Sangria""),if(sum(QUERY(IMPORTRANGE(""https://docs.google.com/spreadsheets/d/15vCx43UQd-lUcbnvwm-R2Xfhex1Wogrs1wY4DlXukMA/edit#gid=458192036"",""BD M Sangrias!a:i""),""select Col6 where Col7 = 'Depositada' and Col9 = '""&amp;"&amp;"K343&amp;""' and Col6 = ""&amp;N343&amp;"" and Col4 = date '""&amp;YEAR(C343)&amp;""-""&amp;MONTH(C343)&amp;""-""&amp;DAY(C343)&amp;""'""))&gt;0,""Depositada"",if(sum(QUERY(IMPORTRANGE(""https://docs.google.com/spreadsheets/d/15vCx43UQd-lUcbnvwm-R2Xfhex1Wogrs1wY4DlXukMA/edit#gid=458192036"","""&amp;"BD M Sangrias!a:i""),""select Col6 where Col7 = 'Caixa Atendimento' and Col9 = '""&amp;K343&amp;""' and Col6 = ""&amp;N343&amp;"" and Col4 = date '""&amp;YEAR(C343)&amp;""-""&amp;MONTH(C343)&amp;""-""&amp;DAY(C343)&amp;""'""))&gt;0,""Caixa Atendimento"",""Caixa Sangria"")),""""),""Caixa Sangria"")"),"")</f>
        <v/>
      </c>
      <c r="M343" s="164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IFERROR(__xludf.DUMMYFUNCTION("ifna(IF(and(D344=""Saída"",J344=""Sangria""),if(sum(QUERY(IMPORTRANGE(""https://docs.google.com/spreadsheets/d/15vCx43UQd-lUcbnvwm-R2Xfhex1Wogrs1wY4DlXukMA/edit#gid=458192036"",""BD M Sangrias!a:i""),""select Col6 where Col7 = 'Depositada' and Col9 = '""&amp;"&amp;"K344&amp;""' and Col6 = ""&amp;N344&amp;"" and Col4 = date '""&amp;YEAR(C344)&amp;""-""&amp;MONTH(C344)&amp;""-""&amp;DAY(C344)&amp;""'""))&gt;0,""Depositada"",if(sum(QUERY(IMPORTRANGE(""https://docs.google.com/spreadsheets/d/15vCx43UQd-lUcbnvwm-R2Xfhex1Wogrs1wY4DlXukMA/edit#gid=458192036"","""&amp;"BD M Sangrias!a:i""),""select Col6 where Col7 = 'Caixa Atendimento' and Col9 = '""&amp;K344&amp;""' and Col6 = ""&amp;N344&amp;"" and Col4 = date '""&amp;YEAR(C344)&amp;""-""&amp;MONTH(C344)&amp;""-""&amp;DAY(C344)&amp;""'""))&gt;0,""Caixa Atendimento"",""Caixa Sangria"")),""""),""Caixa Sangria"")"),"")</f>
        <v/>
      </c>
      <c r="M344" s="163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IFERROR(__xludf.DUMMYFUNCTION("ifna(IF(and(D345=""Saída"",J345=""Sangria""),if(sum(QUERY(IMPORTRANGE(""https://docs.google.com/spreadsheets/d/15vCx43UQd-lUcbnvwm-R2Xfhex1Wogrs1wY4DlXukMA/edit#gid=458192036"",""BD M Sangrias!a:i""),""select Col6 where Col7 = 'Depositada' and Col9 = '""&amp;"&amp;"K345&amp;""' and Col6 = ""&amp;N345&amp;"" and Col4 = date '""&amp;YEAR(C345)&amp;""-""&amp;MONTH(C345)&amp;""-""&amp;DAY(C345)&amp;""'""))&gt;0,""Depositada"",if(sum(QUERY(IMPORTRANGE(""https://docs.google.com/spreadsheets/d/15vCx43UQd-lUcbnvwm-R2Xfhex1Wogrs1wY4DlXukMA/edit#gid=458192036"","""&amp;"BD M Sangrias!a:i""),""select Col6 where Col7 = 'Caixa Atendimento' and Col9 = '""&amp;K345&amp;""' and Col6 = ""&amp;N345&amp;"" and Col4 = date '""&amp;YEAR(C345)&amp;""-""&amp;MONTH(C345)&amp;""-""&amp;DAY(C345)&amp;""'""))&gt;0,""Caixa Atendimento"",""Caixa Sangria"")),""""),""Caixa Sangria"")"),"")</f>
        <v/>
      </c>
      <c r="M345" s="164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IFERROR(__xludf.DUMMYFUNCTION("ifna(IF(and(D346=""Saída"",J346=""Sangria""),if(sum(QUERY(IMPORTRANGE(""https://docs.google.com/spreadsheets/d/15vCx43UQd-lUcbnvwm-R2Xfhex1Wogrs1wY4DlXukMA/edit#gid=458192036"",""BD M Sangrias!a:i""),""select Col6 where Col7 = 'Depositada' and Col9 = '""&amp;"&amp;"K346&amp;""' and Col6 = ""&amp;N346&amp;"" and Col4 = date '""&amp;YEAR(C346)&amp;""-""&amp;MONTH(C346)&amp;""-""&amp;DAY(C346)&amp;""'""))&gt;0,""Depositada"",if(sum(QUERY(IMPORTRANGE(""https://docs.google.com/spreadsheets/d/15vCx43UQd-lUcbnvwm-R2Xfhex1Wogrs1wY4DlXukMA/edit#gid=458192036"","""&amp;"BD M Sangrias!a:i""),""select Col6 where Col7 = 'Caixa Atendimento' and Col9 = '""&amp;K346&amp;""' and Col6 = ""&amp;N346&amp;"" and Col4 = date '""&amp;YEAR(C346)&amp;""-""&amp;MONTH(C346)&amp;""-""&amp;DAY(C346)&amp;""'""))&gt;0,""Caixa Atendimento"",""Caixa Sangria"")),""""),""Caixa Sangria"")"),"")</f>
        <v/>
      </c>
      <c r="M346" s="163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IFERROR(__xludf.DUMMYFUNCTION("ifna(IF(and(D347=""Saída"",J347=""Sangria""),if(sum(QUERY(IMPORTRANGE(""https://docs.google.com/spreadsheets/d/15vCx43UQd-lUcbnvwm-R2Xfhex1Wogrs1wY4DlXukMA/edit#gid=458192036"",""BD M Sangrias!a:i""),""select Col6 where Col7 = 'Depositada' and Col9 = '""&amp;"&amp;"K347&amp;""' and Col6 = ""&amp;N347&amp;"" and Col4 = date '""&amp;YEAR(C347)&amp;""-""&amp;MONTH(C347)&amp;""-""&amp;DAY(C347)&amp;""'""))&gt;0,""Depositada"",if(sum(QUERY(IMPORTRANGE(""https://docs.google.com/spreadsheets/d/15vCx43UQd-lUcbnvwm-R2Xfhex1Wogrs1wY4DlXukMA/edit#gid=458192036"","""&amp;"BD M Sangrias!a:i""),""select Col6 where Col7 = 'Caixa Atendimento' and Col9 = '""&amp;K347&amp;""' and Col6 = ""&amp;N347&amp;"" and Col4 = date '""&amp;YEAR(C347)&amp;""-""&amp;MONTH(C347)&amp;""-""&amp;DAY(C347)&amp;""'""))&gt;0,""Caixa Atendimento"",""Caixa Sangria"")),""""),""Caixa Sangria"")"),"")</f>
        <v/>
      </c>
      <c r="M347" s="164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IFERROR(__xludf.DUMMYFUNCTION("ifna(IF(and(D348=""Saída"",J348=""Sangria""),if(sum(QUERY(IMPORTRANGE(""https://docs.google.com/spreadsheets/d/15vCx43UQd-lUcbnvwm-R2Xfhex1Wogrs1wY4DlXukMA/edit#gid=458192036"",""BD M Sangrias!a:i""),""select Col6 where Col7 = 'Depositada' and Col9 = '""&amp;"&amp;"K348&amp;""' and Col6 = ""&amp;N348&amp;"" and Col4 = date '""&amp;YEAR(C348)&amp;""-""&amp;MONTH(C348)&amp;""-""&amp;DAY(C348)&amp;""'""))&gt;0,""Depositada"",if(sum(QUERY(IMPORTRANGE(""https://docs.google.com/spreadsheets/d/15vCx43UQd-lUcbnvwm-R2Xfhex1Wogrs1wY4DlXukMA/edit#gid=458192036"","""&amp;"BD M Sangrias!a:i""),""select Col6 where Col7 = 'Caixa Atendimento' and Col9 = '""&amp;K348&amp;""' and Col6 = ""&amp;N348&amp;"" and Col4 = date '""&amp;YEAR(C348)&amp;""-""&amp;MONTH(C348)&amp;""-""&amp;DAY(C348)&amp;""'""))&gt;0,""Caixa Atendimento"",""Caixa Sangria"")),""""),""Caixa Sangria"")"),"")</f>
        <v/>
      </c>
      <c r="M348" s="163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IFERROR(__xludf.DUMMYFUNCTION("ifna(IF(and(D349=""Saída"",J349=""Sangria""),if(sum(QUERY(IMPORTRANGE(""https://docs.google.com/spreadsheets/d/15vCx43UQd-lUcbnvwm-R2Xfhex1Wogrs1wY4DlXukMA/edit#gid=458192036"",""BD M Sangrias!a:i""),""select Col6 where Col7 = 'Depositada' and Col9 = '""&amp;"&amp;"K349&amp;""' and Col6 = ""&amp;N349&amp;"" and Col4 = date '""&amp;YEAR(C349)&amp;""-""&amp;MONTH(C349)&amp;""-""&amp;DAY(C349)&amp;""'""))&gt;0,""Depositada"",if(sum(QUERY(IMPORTRANGE(""https://docs.google.com/spreadsheets/d/15vCx43UQd-lUcbnvwm-R2Xfhex1Wogrs1wY4DlXukMA/edit#gid=458192036"","""&amp;"BD M Sangrias!a:i""),""select Col6 where Col7 = 'Caixa Atendimento' and Col9 = '""&amp;K349&amp;""' and Col6 = ""&amp;N349&amp;"" and Col4 = date '""&amp;YEAR(C349)&amp;""-""&amp;MONTH(C349)&amp;""-""&amp;DAY(C349)&amp;""'""))&gt;0,""Caixa Atendimento"",""Caixa Sangria"")),""""),""Caixa Sangria"")"),"")</f>
        <v/>
      </c>
      <c r="M349" s="164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IFERROR(__xludf.DUMMYFUNCTION("ifna(IF(and(D350=""Saída"",J350=""Sangria""),if(sum(QUERY(IMPORTRANGE(""https://docs.google.com/spreadsheets/d/15vCx43UQd-lUcbnvwm-R2Xfhex1Wogrs1wY4DlXukMA/edit#gid=458192036"",""BD M Sangrias!a:i""),""select Col6 where Col7 = 'Depositada' and Col9 = '""&amp;"&amp;"K350&amp;""' and Col6 = ""&amp;N350&amp;"" and Col4 = date '""&amp;YEAR(C350)&amp;""-""&amp;MONTH(C350)&amp;""-""&amp;DAY(C350)&amp;""'""))&gt;0,""Depositada"",if(sum(QUERY(IMPORTRANGE(""https://docs.google.com/spreadsheets/d/15vCx43UQd-lUcbnvwm-R2Xfhex1Wogrs1wY4DlXukMA/edit#gid=458192036"","""&amp;"BD M Sangrias!a:i""),""select Col6 where Col7 = 'Caixa Atendimento' and Col9 = '""&amp;K350&amp;""' and Col6 = ""&amp;N350&amp;"" and Col4 = date '""&amp;YEAR(C350)&amp;""-""&amp;MONTH(C350)&amp;""-""&amp;DAY(C350)&amp;""'""))&gt;0,""Caixa Atendimento"",""Caixa Sangria"")),""""),""Caixa Sangria"")"),"")</f>
        <v/>
      </c>
      <c r="M350" s="163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IFERROR(__xludf.DUMMYFUNCTION("ifna(IF(and(D351=""Saída"",J351=""Sangria""),if(sum(QUERY(IMPORTRANGE(""https://docs.google.com/spreadsheets/d/15vCx43UQd-lUcbnvwm-R2Xfhex1Wogrs1wY4DlXukMA/edit#gid=458192036"",""BD M Sangrias!a:i""),""select Col6 where Col7 = 'Depositada' and Col9 = '""&amp;"&amp;"K351&amp;""' and Col6 = ""&amp;N351&amp;"" and Col4 = date '""&amp;YEAR(C351)&amp;""-""&amp;MONTH(C351)&amp;""-""&amp;DAY(C351)&amp;""'""))&gt;0,""Depositada"",if(sum(QUERY(IMPORTRANGE(""https://docs.google.com/spreadsheets/d/15vCx43UQd-lUcbnvwm-R2Xfhex1Wogrs1wY4DlXukMA/edit#gid=458192036"","""&amp;"BD M Sangrias!a:i""),""select Col6 where Col7 = 'Caixa Atendimento' and Col9 = '""&amp;K351&amp;""' and Col6 = ""&amp;N351&amp;"" and Col4 = date '""&amp;YEAR(C351)&amp;""-""&amp;MONTH(C351)&amp;""-""&amp;DAY(C351)&amp;""'""))&gt;0,""Caixa Atendimento"",""Caixa Sangria"")),""""),""Caixa Sangria"")"),"")</f>
        <v/>
      </c>
      <c r="M351" s="164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IFERROR(__xludf.DUMMYFUNCTION("ifna(IF(and(D352=""Saída"",J352=""Sangria""),if(sum(QUERY(IMPORTRANGE(""https://docs.google.com/spreadsheets/d/15vCx43UQd-lUcbnvwm-R2Xfhex1Wogrs1wY4DlXukMA/edit#gid=458192036"",""BD M Sangrias!a:i""),""select Col6 where Col7 = 'Depositada' and Col9 = '""&amp;"&amp;"K352&amp;""' and Col6 = ""&amp;N352&amp;"" and Col4 = date '""&amp;YEAR(C352)&amp;""-""&amp;MONTH(C352)&amp;""-""&amp;DAY(C352)&amp;""'""))&gt;0,""Depositada"",if(sum(QUERY(IMPORTRANGE(""https://docs.google.com/spreadsheets/d/15vCx43UQd-lUcbnvwm-R2Xfhex1Wogrs1wY4DlXukMA/edit#gid=458192036"","""&amp;"BD M Sangrias!a:i""),""select Col6 where Col7 = 'Caixa Atendimento' and Col9 = '""&amp;K352&amp;""' and Col6 = ""&amp;N352&amp;"" and Col4 = date '""&amp;YEAR(C352)&amp;""-""&amp;MONTH(C352)&amp;""-""&amp;DAY(C352)&amp;""'""))&gt;0,""Caixa Atendimento"",""Caixa Sangria"")),""""),""Caixa Sangria"")"),"")</f>
        <v/>
      </c>
      <c r="M352" s="163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IFERROR(__xludf.DUMMYFUNCTION("ifna(IF(and(D353=""Saída"",J353=""Sangria""),if(sum(QUERY(IMPORTRANGE(""https://docs.google.com/spreadsheets/d/15vCx43UQd-lUcbnvwm-R2Xfhex1Wogrs1wY4DlXukMA/edit#gid=458192036"",""BD M Sangrias!a:i""),""select Col6 where Col7 = 'Depositada' and Col9 = '""&amp;"&amp;"K353&amp;""' and Col6 = ""&amp;N353&amp;"" and Col4 = date '""&amp;YEAR(C353)&amp;""-""&amp;MONTH(C353)&amp;""-""&amp;DAY(C353)&amp;""'""))&gt;0,""Depositada"",if(sum(QUERY(IMPORTRANGE(""https://docs.google.com/spreadsheets/d/15vCx43UQd-lUcbnvwm-R2Xfhex1Wogrs1wY4DlXukMA/edit#gid=458192036"","""&amp;"BD M Sangrias!a:i""),""select Col6 where Col7 = 'Caixa Atendimento' and Col9 = '""&amp;K353&amp;""' and Col6 = ""&amp;N353&amp;"" and Col4 = date '""&amp;YEAR(C353)&amp;""-""&amp;MONTH(C353)&amp;""-""&amp;DAY(C353)&amp;""'""))&gt;0,""Caixa Atendimento"",""Caixa Sangria"")),""""),""Caixa Sangria"")"),"")</f>
        <v/>
      </c>
      <c r="M353" s="164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IFERROR(__xludf.DUMMYFUNCTION("ifna(IF(and(D354=""Saída"",J354=""Sangria""),if(sum(QUERY(IMPORTRANGE(""https://docs.google.com/spreadsheets/d/15vCx43UQd-lUcbnvwm-R2Xfhex1Wogrs1wY4DlXukMA/edit#gid=458192036"",""BD M Sangrias!a:i""),""select Col6 where Col7 = 'Depositada' and Col9 = '""&amp;"&amp;"K354&amp;""' and Col6 = ""&amp;N354&amp;"" and Col4 = date '""&amp;YEAR(C354)&amp;""-""&amp;MONTH(C354)&amp;""-""&amp;DAY(C354)&amp;""'""))&gt;0,""Depositada"",if(sum(QUERY(IMPORTRANGE(""https://docs.google.com/spreadsheets/d/15vCx43UQd-lUcbnvwm-R2Xfhex1Wogrs1wY4DlXukMA/edit#gid=458192036"","""&amp;"BD M Sangrias!a:i""),""select Col6 where Col7 = 'Caixa Atendimento' and Col9 = '""&amp;K354&amp;""' and Col6 = ""&amp;N354&amp;"" and Col4 = date '""&amp;YEAR(C354)&amp;""-""&amp;MONTH(C354)&amp;""-""&amp;DAY(C354)&amp;""'""))&gt;0,""Caixa Atendimento"",""Caixa Sangria"")),""""),""Caixa Sangria"")"),"")</f>
        <v/>
      </c>
      <c r="M354" s="163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IFERROR(__xludf.DUMMYFUNCTION("ifna(IF(and(D355=""Saída"",J355=""Sangria""),if(sum(QUERY(IMPORTRANGE(""https://docs.google.com/spreadsheets/d/15vCx43UQd-lUcbnvwm-R2Xfhex1Wogrs1wY4DlXukMA/edit#gid=458192036"",""BD M Sangrias!a:i""),""select Col6 where Col7 = 'Depositada' and Col9 = '""&amp;"&amp;"K355&amp;""' and Col6 = ""&amp;N355&amp;"" and Col4 = date '""&amp;YEAR(C355)&amp;""-""&amp;MONTH(C355)&amp;""-""&amp;DAY(C355)&amp;""'""))&gt;0,""Depositada"",if(sum(QUERY(IMPORTRANGE(""https://docs.google.com/spreadsheets/d/15vCx43UQd-lUcbnvwm-R2Xfhex1Wogrs1wY4DlXukMA/edit#gid=458192036"","""&amp;"BD M Sangrias!a:i""),""select Col6 where Col7 = 'Caixa Atendimento' and Col9 = '""&amp;K355&amp;""' and Col6 = ""&amp;N355&amp;"" and Col4 = date '""&amp;YEAR(C355)&amp;""-""&amp;MONTH(C355)&amp;""-""&amp;DAY(C355)&amp;""'""))&gt;0,""Caixa Atendimento"",""Caixa Sangria"")),""""),""Caixa Sangria"")"),"")</f>
        <v/>
      </c>
      <c r="M355" s="164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IFERROR(__xludf.DUMMYFUNCTION("ifna(IF(and(D356=""Saída"",J356=""Sangria""),if(sum(QUERY(IMPORTRANGE(""https://docs.google.com/spreadsheets/d/15vCx43UQd-lUcbnvwm-R2Xfhex1Wogrs1wY4DlXukMA/edit#gid=458192036"",""BD M Sangrias!a:i""),""select Col6 where Col7 = 'Depositada' and Col9 = '""&amp;"&amp;"K356&amp;""' and Col6 = ""&amp;N356&amp;"" and Col4 = date '""&amp;YEAR(C356)&amp;""-""&amp;MONTH(C356)&amp;""-""&amp;DAY(C356)&amp;""'""))&gt;0,""Depositada"",if(sum(QUERY(IMPORTRANGE(""https://docs.google.com/spreadsheets/d/15vCx43UQd-lUcbnvwm-R2Xfhex1Wogrs1wY4DlXukMA/edit#gid=458192036"","""&amp;"BD M Sangrias!a:i""),""select Col6 where Col7 = 'Caixa Atendimento' and Col9 = '""&amp;K356&amp;""' and Col6 = ""&amp;N356&amp;"" and Col4 = date '""&amp;YEAR(C356)&amp;""-""&amp;MONTH(C356)&amp;""-""&amp;DAY(C356)&amp;""'""))&gt;0,""Caixa Atendimento"",""Caixa Sangria"")),""""),""Caixa Sangria"")"),"")</f>
        <v/>
      </c>
      <c r="M356" s="163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IFERROR(__xludf.DUMMYFUNCTION("ifna(IF(and(D357=""Saída"",J357=""Sangria""),if(sum(QUERY(IMPORTRANGE(""https://docs.google.com/spreadsheets/d/15vCx43UQd-lUcbnvwm-R2Xfhex1Wogrs1wY4DlXukMA/edit#gid=458192036"",""BD M Sangrias!a:i""),""select Col6 where Col7 = 'Depositada' and Col9 = '""&amp;"&amp;"K357&amp;""' and Col6 = ""&amp;N357&amp;"" and Col4 = date '""&amp;YEAR(C357)&amp;""-""&amp;MONTH(C357)&amp;""-""&amp;DAY(C357)&amp;""'""))&gt;0,""Depositada"",if(sum(QUERY(IMPORTRANGE(""https://docs.google.com/spreadsheets/d/15vCx43UQd-lUcbnvwm-R2Xfhex1Wogrs1wY4DlXukMA/edit#gid=458192036"","""&amp;"BD M Sangrias!a:i""),""select Col6 where Col7 = 'Caixa Atendimento' and Col9 = '""&amp;K357&amp;""' and Col6 = ""&amp;N357&amp;"" and Col4 = date '""&amp;YEAR(C357)&amp;""-""&amp;MONTH(C357)&amp;""-""&amp;DAY(C357)&amp;""'""))&gt;0,""Caixa Atendimento"",""Caixa Sangria"")),""""),""Caixa Sangria"")"),"")</f>
        <v/>
      </c>
      <c r="M357" s="164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IFERROR(__xludf.DUMMYFUNCTION("ifna(IF(and(D358=""Saída"",J358=""Sangria""),if(sum(QUERY(IMPORTRANGE(""https://docs.google.com/spreadsheets/d/15vCx43UQd-lUcbnvwm-R2Xfhex1Wogrs1wY4DlXukMA/edit#gid=458192036"",""BD M Sangrias!a:i""),""select Col6 where Col7 = 'Depositada' and Col9 = '""&amp;"&amp;"K358&amp;""' and Col6 = ""&amp;N358&amp;"" and Col4 = date '""&amp;YEAR(C358)&amp;""-""&amp;MONTH(C358)&amp;""-""&amp;DAY(C358)&amp;""'""))&gt;0,""Depositada"",if(sum(QUERY(IMPORTRANGE(""https://docs.google.com/spreadsheets/d/15vCx43UQd-lUcbnvwm-R2Xfhex1Wogrs1wY4DlXukMA/edit#gid=458192036"","""&amp;"BD M Sangrias!a:i""),""select Col6 where Col7 = 'Caixa Atendimento' and Col9 = '""&amp;K358&amp;""' and Col6 = ""&amp;N358&amp;"" and Col4 = date '""&amp;YEAR(C358)&amp;""-""&amp;MONTH(C358)&amp;""-""&amp;DAY(C358)&amp;""'""))&gt;0,""Caixa Atendimento"",""Caixa Sangria"")),""""),""Caixa Sangria"")"),"")</f>
        <v/>
      </c>
      <c r="M358" s="163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IFERROR(__xludf.DUMMYFUNCTION("ifna(IF(and(D359=""Saída"",J359=""Sangria""),if(sum(QUERY(IMPORTRANGE(""https://docs.google.com/spreadsheets/d/15vCx43UQd-lUcbnvwm-R2Xfhex1Wogrs1wY4DlXukMA/edit#gid=458192036"",""BD M Sangrias!a:i""),""select Col6 where Col7 = 'Depositada' and Col9 = '""&amp;"&amp;"K359&amp;""' and Col6 = ""&amp;N359&amp;"" and Col4 = date '""&amp;YEAR(C359)&amp;""-""&amp;MONTH(C359)&amp;""-""&amp;DAY(C359)&amp;""'""))&gt;0,""Depositada"",if(sum(QUERY(IMPORTRANGE(""https://docs.google.com/spreadsheets/d/15vCx43UQd-lUcbnvwm-R2Xfhex1Wogrs1wY4DlXukMA/edit#gid=458192036"","""&amp;"BD M Sangrias!a:i""),""select Col6 where Col7 = 'Caixa Atendimento' and Col9 = '""&amp;K359&amp;""' and Col6 = ""&amp;N359&amp;"" and Col4 = date '""&amp;YEAR(C359)&amp;""-""&amp;MONTH(C359)&amp;""-""&amp;DAY(C359)&amp;""'""))&gt;0,""Caixa Atendimento"",""Caixa Sangria"")),""""),""Caixa Sangria"")"),"")</f>
        <v/>
      </c>
      <c r="M359" s="164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IFERROR(__xludf.DUMMYFUNCTION("ifna(IF(and(D360=""Saída"",J360=""Sangria""),if(sum(QUERY(IMPORTRANGE(""https://docs.google.com/spreadsheets/d/15vCx43UQd-lUcbnvwm-R2Xfhex1Wogrs1wY4DlXukMA/edit#gid=458192036"",""BD M Sangrias!a:i""),""select Col6 where Col7 = 'Depositada' and Col9 = '""&amp;"&amp;"K360&amp;""' and Col6 = ""&amp;N360&amp;"" and Col4 = date '""&amp;YEAR(C360)&amp;""-""&amp;MONTH(C360)&amp;""-""&amp;DAY(C360)&amp;""'""))&gt;0,""Depositada"",if(sum(QUERY(IMPORTRANGE(""https://docs.google.com/spreadsheets/d/15vCx43UQd-lUcbnvwm-R2Xfhex1Wogrs1wY4DlXukMA/edit#gid=458192036"","""&amp;"BD M Sangrias!a:i""),""select Col6 where Col7 = 'Caixa Atendimento' and Col9 = '""&amp;K360&amp;""' and Col6 = ""&amp;N360&amp;"" and Col4 = date '""&amp;YEAR(C360)&amp;""-""&amp;MONTH(C360)&amp;""-""&amp;DAY(C360)&amp;""'""))&gt;0,""Caixa Atendimento"",""Caixa Sangria"")),""""),""Caixa Sangria"")"),"")</f>
        <v/>
      </c>
      <c r="M360" s="163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IFERROR(__xludf.DUMMYFUNCTION("ifna(IF(and(D361=""Saída"",J361=""Sangria""),if(sum(QUERY(IMPORTRANGE(""https://docs.google.com/spreadsheets/d/15vCx43UQd-lUcbnvwm-R2Xfhex1Wogrs1wY4DlXukMA/edit#gid=458192036"",""BD M Sangrias!a:i""),""select Col6 where Col7 = 'Depositada' and Col9 = '""&amp;"&amp;"K361&amp;""' and Col6 = ""&amp;N361&amp;"" and Col4 = date '""&amp;YEAR(C361)&amp;""-""&amp;MONTH(C361)&amp;""-""&amp;DAY(C361)&amp;""'""))&gt;0,""Depositada"",if(sum(QUERY(IMPORTRANGE(""https://docs.google.com/spreadsheets/d/15vCx43UQd-lUcbnvwm-R2Xfhex1Wogrs1wY4DlXukMA/edit#gid=458192036"","""&amp;"BD M Sangrias!a:i""),""select Col6 where Col7 = 'Caixa Atendimento' and Col9 = '""&amp;K361&amp;""' and Col6 = ""&amp;N361&amp;"" and Col4 = date '""&amp;YEAR(C361)&amp;""-""&amp;MONTH(C361)&amp;""-""&amp;DAY(C361)&amp;""'""))&gt;0,""Caixa Atendimento"",""Caixa Sangria"")),""""),""Caixa Sangria"")"),"")</f>
        <v/>
      </c>
      <c r="M361" s="164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IFERROR(__xludf.DUMMYFUNCTION("ifna(IF(and(D362=""Saída"",J362=""Sangria""),if(sum(QUERY(IMPORTRANGE(""https://docs.google.com/spreadsheets/d/15vCx43UQd-lUcbnvwm-R2Xfhex1Wogrs1wY4DlXukMA/edit#gid=458192036"",""BD M Sangrias!a:i""),""select Col6 where Col7 = 'Depositada' and Col9 = '""&amp;"&amp;"K362&amp;""' and Col6 = ""&amp;N362&amp;"" and Col4 = date '""&amp;YEAR(C362)&amp;""-""&amp;MONTH(C362)&amp;""-""&amp;DAY(C362)&amp;""'""))&gt;0,""Depositada"",if(sum(QUERY(IMPORTRANGE(""https://docs.google.com/spreadsheets/d/15vCx43UQd-lUcbnvwm-R2Xfhex1Wogrs1wY4DlXukMA/edit#gid=458192036"","""&amp;"BD M Sangrias!a:i""),""select Col6 where Col7 = 'Caixa Atendimento' and Col9 = '""&amp;K362&amp;""' and Col6 = ""&amp;N362&amp;"" and Col4 = date '""&amp;YEAR(C362)&amp;""-""&amp;MONTH(C362)&amp;""-""&amp;DAY(C362)&amp;""'""))&gt;0,""Caixa Atendimento"",""Caixa Sangria"")),""""),""Caixa Sangria"")"),"")</f>
        <v/>
      </c>
      <c r="M362" s="163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IFERROR(__xludf.DUMMYFUNCTION("ifna(IF(and(D363=""Saída"",J363=""Sangria""),if(sum(QUERY(IMPORTRANGE(""https://docs.google.com/spreadsheets/d/15vCx43UQd-lUcbnvwm-R2Xfhex1Wogrs1wY4DlXukMA/edit#gid=458192036"",""BD M Sangrias!a:i""),""select Col6 where Col7 = 'Depositada' and Col9 = '""&amp;"&amp;"K363&amp;""' and Col6 = ""&amp;N363&amp;"" and Col4 = date '""&amp;YEAR(C363)&amp;""-""&amp;MONTH(C363)&amp;""-""&amp;DAY(C363)&amp;""'""))&gt;0,""Depositada"",if(sum(QUERY(IMPORTRANGE(""https://docs.google.com/spreadsheets/d/15vCx43UQd-lUcbnvwm-R2Xfhex1Wogrs1wY4DlXukMA/edit#gid=458192036"","""&amp;"BD M Sangrias!a:i""),""select Col6 where Col7 = 'Caixa Atendimento' and Col9 = '""&amp;K363&amp;""' and Col6 = ""&amp;N363&amp;"" and Col4 = date '""&amp;YEAR(C363)&amp;""-""&amp;MONTH(C363)&amp;""-""&amp;DAY(C363)&amp;""'""))&gt;0,""Caixa Atendimento"",""Caixa Sangria"")),""""),""Caixa Sangria"")"),"")</f>
        <v/>
      </c>
      <c r="M363" s="164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IFERROR(__xludf.DUMMYFUNCTION("ifna(IF(and(D364=""Saída"",J364=""Sangria""),if(sum(QUERY(IMPORTRANGE(""https://docs.google.com/spreadsheets/d/15vCx43UQd-lUcbnvwm-R2Xfhex1Wogrs1wY4DlXukMA/edit#gid=458192036"",""BD M Sangrias!a:i""),""select Col6 where Col7 = 'Depositada' and Col9 = '""&amp;"&amp;"K364&amp;""' and Col6 = ""&amp;N364&amp;"" and Col4 = date '""&amp;YEAR(C364)&amp;""-""&amp;MONTH(C364)&amp;""-""&amp;DAY(C364)&amp;""'""))&gt;0,""Depositada"",if(sum(QUERY(IMPORTRANGE(""https://docs.google.com/spreadsheets/d/15vCx43UQd-lUcbnvwm-R2Xfhex1Wogrs1wY4DlXukMA/edit#gid=458192036"","""&amp;"BD M Sangrias!a:i""),""select Col6 where Col7 = 'Caixa Atendimento' and Col9 = '""&amp;K364&amp;""' and Col6 = ""&amp;N364&amp;"" and Col4 = date '""&amp;YEAR(C364)&amp;""-""&amp;MONTH(C364)&amp;""-""&amp;DAY(C364)&amp;""'""))&gt;0,""Caixa Atendimento"",""Caixa Sangria"")),""""),""Caixa Sangria"")"),"")</f>
        <v/>
      </c>
      <c r="M364" s="163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IFERROR(__xludf.DUMMYFUNCTION("ifna(IF(and(D365=""Saída"",J365=""Sangria""),if(sum(QUERY(IMPORTRANGE(""https://docs.google.com/spreadsheets/d/15vCx43UQd-lUcbnvwm-R2Xfhex1Wogrs1wY4DlXukMA/edit#gid=458192036"",""BD M Sangrias!a:i""),""select Col6 where Col7 = 'Depositada' and Col9 = '""&amp;"&amp;"K365&amp;""' and Col6 = ""&amp;N365&amp;"" and Col4 = date '""&amp;YEAR(C365)&amp;""-""&amp;MONTH(C365)&amp;""-""&amp;DAY(C365)&amp;""'""))&gt;0,""Depositada"",if(sum(QUERY(IMPORTRANGE(""https://docs.google.com/spreadsheets/d/15vCx43UQd-lUcbnvwm-R2Xfhex1Wogrs1wY4DlXukMA/edit#gid=458192036"","""&amp;"BD M Sangrias!a:i""),""select Col6 where Col7 = 'Caixa Atendimento' and Col9 = '""&amp;K365&amp;""' and Col6 = ""&amp;N365&amp;"" and Col4 = date '""&amp;YEAR(C365)&amp;""-""&amp;MONTH(C365)&amp;""-""&amp;DAY(C365)&amp;""'""))&gt;0,""Caixa Atendimento"",""Caixa Sangria"")),""""),""Caixa Sangria"")"),"")</f>
        <v/>
      </c>
      <c r="M365" s="164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IFERROR(__xludf.DUMMYFUNCTION("ifna(IF(and(D366=""Saída"",J366=""Sangria""),if(sum(QUERY(IMPORTRANGE(""https://docs.google.com/spreadsheets/d/15vCx43UQd-lUcbnvwm-R2Xfhex1Wogrs1wY4DlXukMA/edit#gid=458192036"",""BD M Sangrias!a:i""),""select Col6 where Col7 = 'Depositada' and Col9 = '""&amp;"&amp;"K366&amp;""' and Col6 = ""&amp;N366&amp;"" and Col4 = date '""&amp;YEAR(C366)&amp;""-""&amp;MONTH(C366)&amp;""-""&amp;DAY(C366)&amp;""'""))&gt;0,""Depositada"",if(sum(QUERY(IMPORTRANGE(""https://docs.google.com/spreadsheets/d/15vCx43UQd-lUcbnvwm-R2Xfhex1Wogrs1wY4DlXukMA/edit#gid=458192036"","""&amp;"BD M Sangrias!a:i""),""select Col6 where Col7 = 'Caixa Atendimento' and Col9 = '""&amp;K366&amp;""' and Col6 = ""&amp;N366&amp;"" and Col4 = date '""&amp;YEAR(C366)&amp;""-""&amp;MONTH(C366)&amp;""-""&amp;DAY(C366)&amp;""'""))&gt;0,""Caixa Atendimento"",""Caixa Sangria"")),""""),""Caixa Sangria"")"),"")</f>
        <v/>
      </c>
      <c r="M366" s="163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IFERROR(__xludf.DUMMYFUNCTION("ifna(IF(and(D367=""Saída"",J367=""Sangria""),if(sum(QUERY(IMPORTRANGE(""https://docs.google.com/spreadsheets/d/15vCx43UQd-lUcbnvwm-R2Xfhex1Wogrs1wY4DlXukMA/edit#gid=458192036"",""BD M Sangrias!a:i""),""select Col6 where Col7 = 'Depositada' and Col9 = '""&amp;"&amp;"K367&amp;""' and Col6 = ""&amp;N367&amp;"" and Col4 = date '""&amp;YEAR(C367)&amp;""-""&amp;MONTH(C367)&amp;""-""&amp;DAY(C367)&amp;""'""))&gt;0,""Depositada"",if(sum(QUERY(IMPORTRANGE(""https://docs.google.com/spreadsheets/d/15vCx43UQd-lUcbnvwm-R2Xfhex1Wogrs1wY4DlXukMA/edit#gid=458192036"","""&amp;"BD M Sangrias!a:i""),""select Col6 where Col7 = 'Caixa Atendimento' and Col9 = '""&amp;K367&amp;""' and Col6 = ""&amp;N367&amp;"" and Col4 = date '""&amp;YEAR(C367)&amp;""-""&amp;MONTH(C367)&amp;""-""&amp;DAY(C367)&amp;""'""))&gt;0,""Caixa Atendimento"",""Caixa Sangria"")),""""),""Caixa Sangria"")"),"")</f>
        <v/>
      </c>
      <c r="M367" s="164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IFERROR(__xludf.DUMMYFUNCTION("ifna(IF(and(D368=""Saída"",J368=""Sangria""),if(sum(QUERY(IMPORTRANGE(""https://docs.google.com/spreadsheets/d/15vCx43UQd-lUcbnvwm-R2Xfhex1Wogrs1wY4DlXukMA/edit#gid=458192036"",""BD M Sangrias!a:i""),""select Col6 where Col7 = 'Depositada' and Col9 = '""&amp;"&amp;"K368&amp;""' and Col6 = ""&amp;N368&amp;"" and Col4 = date '""&amp;YEAR(C368)&amp;""-""&amp;MONTH(C368)&amp;""-""&amp;DAY(C368)&amp;""'""))&gt;0,""Depositada"",if(sum(QUERY(IMPORTRANGE(""https://docs.google.com/spreadsheets/d/15vCx43UQd-lUcbnvwm-R2Xfhex1Wogrs1wY4DlXukMA/edit#gid=458192036"","""&amp;"BD M Sangrias!a:i""),""select Col6 where Col7 = 'Caixa Atendimento' and Col9 = '""&amp;K368&amp;""' and Col6 = ""&amp;N368&amp;"" and Col4 = date '""&amp;YEAR(C368)&amp;""-""&amp;MONTH(C368)&amp;""-""&amp;DAY(C368)&amp;""'""))&gt;0,""Caixa Atendimento"",""Caixa Sangria"")),""""),""Caixa Sangria"")"),"")</f>
        <v/>
      </c>
      <c r="M368" s="163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IFERROR(__xludf.DUMMYFUNCTION("ifna(IF(and(D369=""Saída"",J369=""Sangria""),if(sum(QUERY(IMPORTRANGE(""https://docs.google.com/spreadsheets/d/15vCx43UQd-lUcbnvwm-R2Xfhex1Wogrs1wY4DlXukMA/edit#gid=458192036"",""BD M Sangrias!a:i""),""select Col6 where Col7 = 'Depositada' and Col9 = '""&amp;"&amp;"K369&amp;""' and Col6 = ""&amp;N369&amp;"" and Col4 = date '""&amp;YEAR(C369)&amp;""-""&amp;MONTH(C369)&amp;""-""&amp;DAY(C369)&amp;""'""))&gt;0,""Depositada"",if(sum(QUERY(IMPORTRANGE(""https://docs.google.com/spreadsheets/d/15vCx43UQd-lUcbnvwm-R2Xfhex1Wogrs1wY4DlXukMA/edit#gid=458192036"","""&amp;"BD M Sangrias!a:i""),""select Col6 where Col7 = 'Caixa Atendimento' and Col9 = '""&amp;K369&amp;""' and Col6 = ""&amp;N369&amp;"" and Col4 = date '""&amp;YEAR(C369)&amp;""-""&amp;MONTH(C369)&amp;""-""&amp;DAY(C369)&amp;""'""))&gt;0,""Caixa Atendimento"",""Caixa Sangria"")),""""),""Caixa Sangria"")"),"")</f>
        <v/>
      </c>
      <c r="M369" s="164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IFERROR(__xludf.DUMMYFUNCTION("ifna(IF(and(D370=""Saída"",J370=""Sangria""),if(sum(QUERY(IMPORTRANGE(""https://docs.google.com/spreadsheets/d/15vCx43UQd-lUcbnvwm-R2Xfhex1Wogrs1wY4DlXukMA/edit#gid=458192036"",""BD M Sangrias!a:i""),""select Col6 where Col7 = 'Depositada' and Col9 = '""&amp;"&amp;"K370&amp;""' and Col6 = ""&amp;N370&amp;"" and Col4 = date '""&amp;YEAR(C370)&amp;""-""&amp;MONTH(C370)&amp;""-""&amp;DAY(C370)&amp;""'""))&gt;0,""Depositada"",if(sum(QUERY(IMPORTRANGE(""https://docs.google.com/spreadsheets/d/15vCx43UQd-lUcbnvwm-R2Xfhex1Wogrs1wY4DlXukMA/edit#gid=458192036"","""&amp;"BD M Sangrias!a:i""),""select Col6 where Col7 = 'Caixa Atendimento' and Col9 = '""&amp;K370&amp;""' and Col6 = ""&amp;N370&amp;"" and Col4 = date '""&amp;YEAR(C370)&amp;""-""&amp;MONTH(C370)&amp;""-""&amp;DAY(C370)&amp;""'""))&gt;0,""Caixa Atendimento"",""Caixa Sangria"")),""""),""Caixa Sangria"")"),"")</f>
        <v/>
      </c>
      <c r="M370" s="163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IFERROR(__xludf.DUMMYFUNCTION("ifna(IF(and(D371=""Saída"",J371=""Sangria""),if(sum(QUERY(IMPORTRANGE(""https://docs.google.com/spreadsheets/d/15vCx43UQd-lUcbnvwm-R2Xfhex1Wogrs1wY4DlXukMA/edit#gid=458192036"",""BD M Sangrias!a:i""),""select Col6 where Col7 = 'Depositada' and Col9 = '""&amp;"&amp;"K371&amp;""' and Col6 = ""&amp;N371&amp;"" and Col4 = date '""&amp;YEAR(C371)&amp;""-""&amp;MONTH(C371)&amp;""-""&amp;DAY(C371)&amp;""'""))&gt;0,""Depositada"",if(sum(QUERY(IMPORTRANGE(""https://docs.google.com/spreadsheets/d/15vCx43UQd-lUcbnvwm-R2Xfhex1Wogrs1wY4DlXukMA/edit#gid=458192036"","""&amp;"BD M Sangrias!a:i""),""select Col6 where Col7 = 'Caixa Atendimento' and Col9 = '""&amp;K371&amp;""' and Col6 = ""&amp;N371&amp;"" and Col4 = date '""&amp;YEAR(C371)&amp;""-""&amp;MONTH(C371)&amp;""-""&amp;DAY(C371)&amp;""'""))&gt;0,""Caixa Atendimento"",""Caixa Sangria"")),""""),""Caixa Sangria"")"),"")</f>
        <v/>
      </c>
      <c r="M371" s="164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IFERROR(__xludf.DUMMYFUNCTION("ifna(IF(and(D372=""Saída"",J372=""Sangria""),if(sum(QUERY(IMPORTRANGE(""https://docs.google.com/spreadsheets/d/15vCx43UQd-lUcbnvwm-R2Xfhex1Wogrs1wY4DlXukMA/edit#gid=458192036"",""BD M Sangrias!a:i""),""select Col6 where Col7 = 'Depositada' and Col9 = '""&amp;"&amp;"K372&amp;""' and Col6 = ""&amp;N372&amp;"" and Col4 = date '""&amp;YEAR(C372)&amp;""-""&amp;MONTH(C372)&amp;""-""&amp;DAY(C372)&amp;""'""))&gt;0,""Depositada"",if(sum(QUERY(IMPORTRANGE(""https://docs.google.com/spreadsheets/d/15vCx43UQd-lUcbnvwm-R2Xfhex1Wogrs1wY4DlXukMA/edit#gid=458192036"","""&amp;"BD M Sangrias!a:i""),""select Col6 where Col7 = 'Caixa Atendimento' and Col9 = '""&amp;K372&amp;""' and Col6 = ""&amp;N372&amp;"" and Col4 = date '""&amp;YEAR(C372)&amp;""-""&amp;MONTH(C372)&amp;""-""&amp;DAY(C372)&amp;""'""))&gt;0,""Caixa Atendimento"",""Caixa Sangria"")),""""),""Caixa Sangria"")"),"")</f>
        <v/>
      </c>
      <c r="M372" s="163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IFERROR(__xludf.DUMMYFUNCTION("ifna(IF(and(D373=""Saída"",J373=""Sangria""),if(sum(QUERY(IMPORTRANGE(""https://docs.google.com/spreadsheets/d/15vCx43UQd-lUcbnvwm-R2Xfhex1Wogrs1wY4DlXukMA/edit#gid=458192036"",""BD M Sangrias!a:i""),""select Col6 where Col7 = 'Depositada' and Col9 = '""&amp;"&amp;"K373&amp;""' and Col6 = ""&amp;N373&amp;"" and Col4 = date '""&amp;YEAR(C373)&amp;""-""&amp;MONTH(C373)&amp;""-""&amp;DAY(C373)&amp;""'""))&gt;0,""Depositada"",if(sum(QUERY(IMPORTRANGE(""https://docs.google.com/spreadsheets/d/15vCx43UQd-lUcbnvwm-R2Xfhex1Wogrs1wY4DlXukMA/edit#gid=458192036"","""&amp;"BD M Sangrias!a:i""),""select Col6 where Col7 = 'Caixa Atendimento' and Col9 = '""&amp;K373&amp;""' and Col6 = ""&amp;N373&amp;"" and Col4 = date '""&amp;YEAR(C373)&amp;""-""&amp;MONTH(C373)&amp;""-""&amp;DAY(C373)&amp;""'""))&gt;0,""Caixa Atendimento"",""Caixa Sangria"")),""""),""Caixa Sangria"")"),"")</f>
        <v/>
      </c>
      <c r="M373" s="164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IFERROR(__xludf.DUMMYFUNCTION("ifna(IF(and(D374=""Saída"",J374=""Sangria""),if(sum(QUERY(IMPORTRANGE(""https://docs.google.com/spreadsheets/d/15vCx43UQd-lUcbnvwm-R2Xfhex1Wogrs1wY4DlXukMA/edit#gid=458192036"",""BD M Sangrias!a:i""),""select Col6 where Col7 = 'Depositada' and Col9 = '""&amp;"&amp;"K374&amp;""' and Col6 = ""&amp;N374&amp;"" and Col4 = date '""&amp;YEAR(C374)&amp;""-""&amp;MONTH(C374)&amp;""-""&amp;DAY(C374)&amp;""'""))&gt;0,""Depositada"",if(sum(QUERY(IMPORTRANGE(""https://docs.google.com/spreadsheets/d/15vCx43UQd-lUcbnvwm-R2Xfhex1Wogrs1wY4DlXukMA/edit#gid=458192036"","""&amp;"BD M Sangrias!a:i""),""select Col6 where Col7 = 'Caixa Atendimento' and Col9 = '""&amp;K374&amp;""' and Col6 = ""&amp;N374&amp;"" and Col4 = date '""&amp;YEAR(C374)&amp;""-""&amp;MONTH(C374)&amp;""-""&amp;DAY(C374)&amp;""'""))&gt;0,""Caixa Atendimento"",""Caixa Sangria"")),""""),""Caixa Sangria"")"),"")</f>
        <v/>
      </c>
      <c r="M374" s="163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IFERROR(__xludf.DUMMYFUNCTION("ifna(IF(and(D375=""Saída"",J375=""Sangria""),if(sum(QUERY(IMPORTRANGE(""https://docs.google.com/spreadsheets/d/15vCx43UQd-lUcbnvwm-R2Xfhex1Wogrs1wY4DlXukMA/edit#gid=458192036"",""BD M Sangrias!a:i""),""select Col6 where Col7 = 'Depositada' and Col9 = '""&amp;"&amp;"K375&amp;""' and Col6 = ""&amp;N375&amp;"" and Col4 = date '""&amp;YEAR(C375)&amp;""-""&amp;MONTH(C375)&amp;""-""&amp;DAY(C375)&amp;""'""))&gt;0,""Depositada"",if(sum(QUERY(IMPORTRANGE(""https://docs.google.com/spreadsheets/d/15vCx43UQd-lUcbnvwm-R2Xfhex1Wogrs1wY4DlXukMA/edit#gid=458192036"","""&amp;"BD M Sangrias!a:i""),""select Col6 where Col7 = 'Caixa Atendimento' and Col9 = '""&amp;K375&amp;""' and Col6 = ""&amp;N375&amp;"" and Col4 = date '""&amp;YEAR(C375)&amp;""-""&amp;MONTH(C375)&amp;""-""&amp;DAY(C375)&amp;""'""))&gt;0,""Caixa Atendimento"",""Caixa Sangria"")),""""),""Caixa Sangria"")"),"")</f>
        <v/>
      </c>
      <c r="M375" s="164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IFERROR(__xludf.DUMMYFUNCTION("ifna(IF(and(D376=""Saída"",J376=""Sangria""),if(sum(QUERY(IMPORTRANGE(""https://docs.google.com/spreadsheets/d/15vCx43UQd-lUcbnvwm-R2Xfhex1Wogrs1wY4DlXukMA/edit#gid=458192036"",""BD M Sangrias!a:i""),""select Col6 where Col7 = 'Depositada' and Col9 = '""&amp;"&amp;"K376&amp;""' and Col6 = ""&amp;N376&amp;"" and Col4 = date '""&amp;YEAR(C376)&amp;""-""&amp;MONTH(C376)&amp;""-""&amp;DAY(C376)&amp;""'""))&gt;0,""Depositada"",if(sum(QUERY(IMPORTRANGE(""https://docs.google.com/spreadsheets/d/15vCx43UQd-lUcbnvwm-R2Xfhex1Wogrs1wY4DlXukMA/edit#gid=458192036"","""&amp;"BD M Sangrias!a:i""),""select Col6 where Col7 = 'Caixa Atendimento' and Col9 = '""&amp;K376&amp;""' and Col6 = ""&amp;N376&amp;"" and Col4 = date '""&amp;YEAR(C376)&amp;""-""&amp;MONTH(C376)&amp;""-""&amp;DAY(C376)&amp;""'""))&gt;0,""Caixa Atendimento"",""Caixa Sangria"")),""""),""Caixa Sangria"")"),"")</f>
        <v/>
      </c>
      <c r="M376" s="163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IFERROR(__xludf.DUMMYFUNCTION("ifna(IF(and(D377=""Saída"",J377=""Sangria""),if(sum(QUERY(IMPORTRANGE(""https://docs.google.com/spreadsheets/d/15vCx43UQd-lUcbnvwm-R2Xfhex1Wogrs1wY4DlXukMA/edit#gid=458192036"",""BD M Sangrias!a:i""),""select Col6 where Col7 = 'Depositada' and Col9 = '""&amp;"&amp;"K377&amp;""' and Col6 = ""&amp;N377&amp;"" and Col4 = date '""&amp;YEAR(C377)&amp;""-""&amp;MONTH(C377)&amp;""-""&amp;DAY(C377)&amp;""'""))&gt;0,""Depositada"",if(sum(QUERY(IMPORTRANGE(""https://docs.google.com/spreadsheets/d/15vCx43UQd-lUcbnvwm-R2Xfhex1Wogrs1wY4DlXukMA/edit#gid=458192036"","""&amp;"BD M Sangrias!a:i""),""select Col6 where Col7 = 'Caixa Atendimento' and Col9 = '""&amp;K377&amp;""' and Col6 = ""&amp;N377&amp;"" and Col4 = date '""&amp;YEAR(C377)&amp;""-""&amp;MONTH(C377)&amp;""-""&amp;DAY(C377)&amp;""'""))&gt;0,""Caixa Atendimento"",""Caixa Sangria"")),""""),""Caixa Sangria"")"),"")</f>
        <v/>
      </c>
      <c r="M377" s="164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IFERROR(__xludf.DUMMYFUNCTION("ifna(IF(and(D378=""Saída"",J378=""Sangria""),if(sum(QUERY(IMPORTRANGE(""https://docs.google.com/spreadsheets/d/15vCx43UQd-lUcbnvwm-R2Xfhex1Wogrs1wY4DlXukMA/edit#gid=458192036"",""BD M Sangrias!a:i""),""select Col6 where Col7 = 'Depositada' and Col9 = '""&amp;"&amp;"K378&amp;""' and Col6 = ""&amp;N378&amp;"" and Col4 = date '""&amp;YEAR(C378)&amp;""-""&amp;MONTH(C378)&amp;""-""&amp;DAY(C378)&amp;""'""))&gt;0,""Depositada"",if(sum(QUERY(IMPORTRANGE(""https://docs.google.com/spreadsheets/d/15vCx43UQd-lUcbnvwm-R2Xfhex1Wogrs1wY4DlXukMA/edit#gid=458192036"","""&amp;"BD M Sangrias!a:i""),""select Col6 where Col7 = 'Caixa Atendimento' and Col9 = '""&amp;K378&amp;""' and Col6 = ""&amp;N378&amp;"" and Col4 = date '""&amp;YEAR(C378)&amp;""-""&amp;MONTH(C378)&amp;""-""&amp;DAY(C378)&amp;""'""))&gt;0,""Caixa Atendimento"",""Caixa Sangria"")),""""),""Caixa Sangria"")"),"")</f>
        <v/>
      </c>
      <c r="M378" s="163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IFERROR(__xludf.DUMMYFUNCTION("ifna(IF(and(D379=""Saída"",J379=""Sangria""),if(sum(QUERY(IMPORTRANGE(""https://docs.google.com/spreadsheets/d/15vCx43UQd-lUcbnvwm-R2Xfhex1Wogrs1wY4DlXukMA/edit#gid=458192036"",""BD M Sangrias!a:i""),""select Col6 where Col7 = 'Depositada' and Col9 = '""&amp;"&amp;"K379&amp;""' and Col6 = ""&amp;N379&amp;"" and Col4 = date '""&amp;YEAR(C379)&amp;""-""&amp;MONTH(C379)&amp;""-""&amp;DAY(C379)&amp;""'""))&gt;0,""Depositada"",if(sum(QUERY(IMPORTRANGE(""https://docs.google.com/spreadsheets/d/15vCx43UQd-lUcbnvwm-R2Xfhex1Wogrs1wY4DlXukMA/edit#gid=458192036"","""&amp;"BD M Sangrias!a:i""),""select Col6 where Col7 = 'Caixa Atendimento' and Col9 = '""&amp;K379&amp;""' and Col6 = ""&amp;N379&amp;"" and Col4 = date '""&amp;YEAR(C379)&amp;""-""&amp;MONTH(C379)&amp;""-""&amp;DAY(C379)&amp;""'""))&gt;0,""Caixa Atendimento"",""Caixa Sangria"")),""""),""Caixa Sangria"")"),"")</f>
        <v/>
      </c>
      <c r="M379" s="164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IFERROR(__xludf.DUMMYFUNCTION("ifna(IF(and(D380=""Saída"",J380=""Sangria""),if(sum(QUERY(IMPORTRANGE(""https://docs.google.com/spreadsheets/d/15vCx43UQd-lUcbnvwm-R2Xfhex1Wogrs1wY4DlXukMA/edit#gid=458192036"",""BD M Sangrias!a:i""),""select Col6 where Col7 = 'Depositada' and Col9 = '""&amp;"&amp;"K380&amp;""' and Col6 = ""&amp;N380&amp;"" and Col4 = date '""&amp;YEAR(C380)&amp;""-""&amp;MONTH(C380)&amp;""-""&amp;DAY(C380)&amp;""'""))&gt;0,""Depositada"",if(sum(QUERY(IMPORTRANGE(""https://docs.google.com/spreadsheets/d/15vCx43UQd-lUcbnvwm-R2Xfhex1Wogrs1wY4DlXukMA/edit#gid=458192036"","""&amp;"BD M Sangrias!a:i""),""select Col6 where Col7 = 'Caixa Atendimento' and Col9 = '""&amp;K380&amp;""' and Col6 = ""&amp;N380&amp;"" and Col4 = date '""&amp;YEAR(C380)&amp;""-""&amp;MONTH(C380)&amp;""-""&amp;DAY(C380)&amp;""'""))&gt;0,""Caixa Atendimento"",""Caixa Sangria"")),""""),""Caixa Sangria"")"),"")</f>
        <v/>
      </c>
      <c r="M380" s="163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IFERROR(__xludf.DUMMYFUNCTION("ifna(IF(and(D381=""Saída"",J381=""Sangria""),if(sum(QUERY(IMPORTRANGE(""https://docs.google.com/spreadsheets/d/15vCx43UQd-lUcbnvwm-R2Xfhex1Wogrs1wY4DlXukMA/edit#gid=458192036"",""BD M Sangrias!a:i""),""select Col6 where Col7 = 'Depositada' and Col9 = '""&amp;"&amp;"K381&amp;""' and Col6 = ""&amp;N381&amp;"" and Col4 = date '""&amp;YEAR(C381)&amp;""-""&amp;MONTH(C381)&amp;""-""&amp;DAY(C381)&amp;""'""))&gt;0,""Depositada"",if(sum(QUERY(IMPORTRANGE(""https://docs.google.com/spreadsheets/d/15vCx43UQd-lUcbnvwm-R2Xfhex1Wogrs1wY4DlXukMA/edit#gid=458192036"","""&amp;"BD M Sangrias!a:i""),""select Col6 where Col7 = 'Caixa Atendimento' and Col9 = '""&amp;K381&amp;""' and Col6 = ""&amp;N381&amp;"" and Col4 = date '""&amp;YEAR(C381)&amp;""-""&amp;MONTH(C381)&amp;""-""&amp;DAY(C381)&amp;""'""))&gt;0,""Caixa Atendimento"",""Caixa Sangria"")),""""),""Caixa Sangria"")"),"")</f>
        <v/>
      </c>
      <c r="M381" s="164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IFERROR(__xludf.DUMMYFUNCTION("ifna(IF(and(D382=""Saída"",J382=""Sangria""),if(sum(QUERY(IMPORTRANGE(""https://docs.google.com/spreadsheets/d/15vCx43UQd-lUcbnvwm-R2Xfhex1Wogrs1wY4DlXukMA/edit#gid=458192036"",""BD M Sangrias!a:i""),""select Col6 where Col7 = 'Depositada' and Col9 = '""&amp;"&amp;"K382&amp;""' and Col6 = ""&amp;N382&amp;"" and Col4 = date '""&amp;YEAR(C382)&amp;""-""&amp;MONTH(C382)&amp;""-""&amp;DAY(C382)&amp;""'""))&gt;0,""Depositada"",if(sum(QUERY(IMPORTRANGE(""https://docs.google.com/spreadsheets/d/15vCx43UQd-lUcbnvwm-R2Xfhex1Wogrs1wY4DlXukMA/edit#gid=458192036"","""&amp;"BD M Sangrias!a:i""),""select Col6 where Col7 = 'Caixa Atendimento' and Col9 = '""&amp;K382&amp;""' and Col6 = ""&amp;N382&amp;"" and Col4 = date '""&amp;YEAR(C382)&amp;""-""&amp;MONTH(C382)&amp;""-""&amp;DAY(C382)&amp;""'""))&gt;0,""Caixa Atendimento"",""Caixa Sangria"")),""""),""Caixa Sangria"")"),"")</f>
        <v/>
      </c>
      <c r="M382" s="163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IFERROR(__xludf.DUMMYFUNCTION("ifna(IF(and(D383=""Saída"",J383=""Sangria""),if(sum(QUERY(IMPORTRANGE(""https://docs.google.com/spreadsheets/d/15vCx43UQd-lUcbnvwm-R2Xfhex1Wogrs1wY4DlXukMA/edit#gid=458192036"",""BD M Sangrias!a:i""),""select Col6 where Col7 = 'Depositada' and Col9 = '""&amp;"&amp;"K383&amp;""' and Col6 = ""&amp;N383&amp;"" and Col4 = date '""&amp;YEAR(C383)&amp;""-""&amp;MONTH(C383)&amp;""-""&amp;DAY(C383)&amp;""'""))&gt;0,""Depositada"",if(sum(QUERY(IMPORTRANGE(""https://docs.google.com/spreadsheets/d/15vCx43UQd-lUcbnvwm-R2Xfhex1Wogrs1wY4DlXukMA/edit#gid=458192036"","""&amp;"BD M Sangrias!a:i""),""select Col6 where Col7 = 'Caixa Atendimento' and Col9 = '""&amp;K383&amp;""' and Col6 = ""&amp;N383&amp;"" and Col4 = date '""&amp;YEAR(C383)&amp;""-""&amp;MONTH(C383)&amp;""-""&amp;DAY(C383)&amp;""'""))&gt;0,""Caixa Atendimento"",""Caixa Sangria"")),""""),""Caixa Sangria"")"),"")</f>
        <v/>
      </c>
      <c r="M383" s="164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IFERROR(__xludf.DUMMYFUNCTION("ifna(IF(and(D384=""Saída"",J384=""Sangria""),if(sum(QUERY(IMPORTRANGE(""https://docs.google.com/spreadsheets/d/15vCx43UQd-lUcbnvwm-R2Xfhex1Wogrs1wY4DlXukMA/edit#gid=458192036"",""BD M Sangrias!a:i""),""select Col6 where Col7 = 'Depositada' and Col9 = '""&amp;"&amp;"K384&amp;""' and Col6 = ""&amp;N384&amp;"" and Col4 = date '""&amp;YEAR(C384)&amp;""-""&amp;MONTH(C384)&amp;""-""&amp;DAY(C384)&amp;""'""))&gt;0,""Depositada"",if(sum(QUERY(IMPORTRANGE(""https://docs.google.com/spreadsheets/d/15vCx43UQd-lUcbnvwm-R2Xfhex1Wogrs1wY4DlXukMA/edit#gid=458192036"","""&amp;"BD M Sangrias!a:i""),""select Col6 where Col7 = 'Caixa Atendimento' and Col9 = '""&amp;K384&amp;""' and Col6 = ""&amp;N384&amp;"" and Col4 = date '""&amp;YEAR(C384)&amp;""-""&amp;MONTH(C384)&amp;""-""&amp;DAY(C384)&amp;""'""))&gt;0,""Caixa Atendimento"",""Caixa Sangria"")),""""),""Caixa Sangria"")"),"")</f>
        <v/>
      </c>
      <c r="M384" s="163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IFERROR(__xludf.DUMMYFUNCTION("ifna(IF(and(D385=""Saída"",J385=""Sangria""),if(sum(QUERY(IMPORTRANGE(""https://docs.google.com/spreadsheets/d/15vCx43UQd-lUcbnvwm-R2Xfhex1Wogrs1wY4DlXukMA/edit#gid=458192036"",""BD M Sangrias!a:i""),""select Col6 where Col7 = 'Depositada' and Col9 = '""&amp;"&amp;"K385&amp;""' and Col6 = ""&amp;N385&amp;"" and Col4 = date '""&amp;YEAR(C385)&amp;""-""&amp;MONTH(C385)&amp;""-""&amp;DAY(C385)&amp;""'""))&gt;0,""Depositada"",if(sum(QUERY(IMPORTRANGE(""https://docs.google.com/spreadsheets/d/15vCx43UQd-lUcbnvwm-R2Xfhex1Wogrs1wY4DlXukMA/edit#gid=458192036"","""&amp;"BD M Sangrias!a:i""),""select Col6 where Col7 = 'Caixa Atendimento' and Col9 = '""&amp;K385&amp;""' and Col6 = ""&amp;N385&amp;"" and Col4 = date '""&amp;YEAR(C385)&amp;""-""&amp;MONTH(C385)&amp;""-""&amp;DAY(C385)&amp;""'""))&gt;0,""Caixa Atendimento"",""Caixa Sangria"")),""""),""Caixa Sangria"")"),"")</f>
        <v/>
      </c>
      <c r="M385" s="164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IFERROR(__xludf.DUMMYFUNCTION("ifna(IF(and(D386=""Saída"",J386=""Sangria""),if(sum(QUERY(IMPORTRANGE(""https://docs.google.com/spreadsheets/d/15vCx43UQd-lUcbnvwm-R2Xfhex1Wogrs1wY4DlXukMA/edit#gid=458192036"",""BD M Sangrias!a:i""),""select Col6 where Col7 = 'Depositada' and Col9 = '""&amp;"&amp;"K386&amp;""' and Col6 = ""&amp;N386&amp;"" and Col4 = date '""&amp;YEAR(C386)&amp;""-""&amp;MONTH(C386)&amp;""-""&amp;DAY(C386)&amp;""'""))&gt;0,""Depositada"",if(sum(QUERY(IMPORTRANGE(""https://docs.google.com/spreadsheets/d/15vCx43UQd-lUcbnvwm-R2Xfhex1Wogrs1wY4DlXukMA/edit#gid=458192036"","""&amp;"BD M Sangrias!a:i""),""select Col6 where Col7 = 'Caixa Atendimento' and Col9 = '""&amp;K386&amp;""' and Col6 = ""&amp;N386&amp;"" and Col4 = date '""&amp;YEAR(C386)&amp;""-""&amp;MONTH(C386)&amp;""-""&amp;DAY(C386)&amp;""'""))&gt;0,""Caixa Atendimento"",""Caixa Sangria"")),""""),""Caixa Sangria"")"),"")</f>
        <v/>
      </c>
      <c r="M386" s="163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IFERROR(__xludf.DUMMYFUNCTION("ifna(IF(and(D387=""Saída"",J387=""Sangria""),if(sum(QUERY(IMPORTRANGE(""https://docs.google.com/spreadsheets/d/15vCx43UQd-lUcbnvwm-R2Xfhex1Wogrs1wY4DlXukMA/edit#gid=458192036"",""BD M Sangrias!a:i""),""select Col6 where Col7 = 'Depositada' and Col9 = '""&amp;"&amp;"K387&amp;""' and Col6 = ""&amp;N387&amp;"" and Col4 = date '""&amp;YEAR(C387)&amp;""-""&amp;MONTH(C387)&amp;""-""&amp;DAY(C387)&amp;""'""))&gt;0,""Depositada"",if(sum(QUERY(IMPORTRANGE(""https://docs.google.com/spreadsheets/d/15vCx43UQd-lUcbnvwm-R2Xfhex1Wogrs1wY4DlXukMA/edit#gid=458192036"","""&amp;"BD M Sangrias!a:i""),""select Col6 where Col7 = 'Caixa Atendimento' and Col9 = '""&amp;K387&amp;""' and Col6 = ""&amp;N387&amp;"" and Col4 = date '""&amp;YEAR(C387)&amp;""-""&amp;MONTH(C387)&amp;""-""&amp;DAY(C387)&amp;""'""))&gt;0,""Caixa Atendimento"",""Caixa Sangria"")),""""),""Caixa Sangria"")"),"")</f>
        <v/>
      </c>
      <c r="M387" s="164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IFERROR(__xludf.DUMMYFUNCTION("ifna(IF(and(D388=""Saída"",J388=""Sangria""),if(sum(QUERY(IMPORTRANGE(""https://docs.google.com/spreadsheets/d/15vCx43UQd-lUcbnvwm-R2Xfhex1Wogrs1wY4DlXukMA/edit#gid=458192036"",""BD M Sangrias!a:i""),""select Col6 where Col7 = 'Depositada' and Col9 = '""&amp;"&amp;"K388&amp;""' and Col6 = ""&amp;N388&amp;"" and Col4 = date '""&amp;YEAR(C388)&amp;""-""&amp;MONTH(C388)&amp;""-""&amp;DAY(C388)&amp;""'""))&gt;0,""Depositada"",if(sum(QUERY(IMPORTRANGE(""https://docs.google.com/spreadsheets/d/15vCx43UQd-lUcbnvwm-R2Xfhex1Wogrs1wY4DlXukMA/edit#gid=458192036"","""&amp;"BD M Sangrias!a:i""),""select Col6 where Col7 = 'Caixa Atendimento' and Col9 = '""&amp;K388&amp;""' and Col6 = ""&amp;N388&amp;"" and Col4 = date '""&amp;YEAR(C388)&amp;""-""&amp;MONTH(C388)&amp;""-""&amp;DAY(C388)&amp;""'""))&gt;0,""Caixa Atendimento"",""Caixa Sangria"")),""""),""Caixa Sangria"")"),"")</f>
        <v/>
      </c>
      <c r="M388" s="163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IFERROR(__xludf.DUMMYFUNCTION("ifna(IF(and(D389=""Saída"",J389=""Sangria""),if(sum(QUERY(IMPORTRANGE(""https://docs.google.com/spreadsheets/d/15vCx43UQd-lUcbnvwm-R2Xfhex1Wogrs1wY4DlXukMA/edit#gid=458192036"",""BD M Sangrias!a:i""),""select Col6 where Col7 = 'Depositada' and Col9 = '""&amp;"&amp;"K389&amp;""' and Col6 = ""&amp;N389&amp;"" and Col4 = date '""&amp;YEAR(C389)&amp;""-""&amp;MONTH(C389)&amp;""-""&amp;DAY(C389)&amp;""'""))&gt;0,""Depositada"",if(sum(QUERY(IMPORTRANGE(""https://docs.google.com/spreadsheets/d/15vCx43UQd-lUcbnvwm-R2Xfhex1Wogrs1wY4DlXukMA/edit#gid=458192036"","""&amp;"BD M Sangrias!a:i""),""select Col6 where Col7 = 'Caixa Atendimento' and Col9 = '""&amp;K389&amp;""' and Col6 = ""&amp;N389&amp;"" and Col4 = date '""&amp;YEAR(C389)&amp;""-""&amp;MONTH(C389)&amp;""-""&amp;DAY(C389)&amp;""'""))&gt;0,""Caixa Atendimento"",""Caixa Sangria"")),""""),""Caixa Sangria"")"),"")</f>
        <v/>
      </c>
      <c r="M389" s="164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IFERROR(__xludf.DUMMYFUNCTION("ifna(IF(and(D390=""Saída"",J390=""Sangria""),if(sum(QUERY(IMPORTRANGE(""https://docs.google.com/spreadsheets/d/15vCx43UQd-lUcbnvwm-R2Xfhex1Wogrs1wY4DlXukMA/edit#gid=458192036"",""BD M Sangrias!a:i""),""select Col6 where Col7 = 'Depositada' and Col9 = '""&amp;"&amp;"K390&amp;""' and Col6 = ""&amp;N390&amp;"" and Col4 = date '""&amp;YEAR(C390)&amp;""-""&amp;MONTH(C390)&amp;""-""&amp;DAY(C390)&amp;""'""))&gt;0,""Depositada"",if(sum(QUERY(IMPORTRANGE(""https://docs.google.com/spreadsheets/d/15vCx43UQd-lUcbnvwm-R2Xfhex1Wogrs1wY4DlXukMA/edit#gid=458192036"","""&amp;"BD M Sangrias!a:i""),""select Col6 where Col7 = 'Caixa Atendimento' and Col9 = '""&amp;K390&amp;""' and Col6 = ""&amp;N390&amp;"" and Col4 = date '""&amp;YEAR(C390)&amp;""-""&amp;MONTH(C390)&amp;""-""&amp;DAY(C390)&amp;""'""))&gt;0,""Caixa Atendimento"",""Caixa Sangria"")),""""),""Caixa Sangria"")"),"")</f>
        <v/>
      </c>
      <c r="M390" s="163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IFERROR(__xludf.DUMMYFUNCTION("ifna(IF(and(D391=""Saída"",J391=""Sangria""),if(sum(QUERY(IMPORTRANGE(""https://docs.google.com/spreadsheets/d/15vCx43UQd-lUcbnvwm-R2Xfhex1Wogrs1wY4DlXukMA/edit#gid=458192036"",""BD M Sangrias!a:i""),""select Col6 where Col7 = 'Depositada' and Col9 = '""&amp;"&amp;"K391&amp;""' and Col6 = ""&amp;N391&amp;"" and Col4 = date '""&amp;YEAR(C391)&amp;""-""&amp;MONTH(C391)&amp;""-""&amp;DAY(C391)&amp;""'""))&gt;0,""Depositada"",if(sum(QUERY(IMPORTRANGE(""https://docs.google.com/spreadsheets/d/15vCx43UQd-lUcbnvwm-R2Xfhex1Wogrs1wY4DlXukMA/edit#gid=458192036"","""&amp;"BD M Sangrias!a:i""),""select Col6 where Col7 = 'Caixa Atendimento' and Col9 = '""&amp;K391&amp;""' and Col6 = ""&amp;N391&amp;"" and Col4 = date '""&amp;YEAR(C391)&amp;""-""&amp;MONTH(C391)&amp;""-""&amp;DAY(C391)&amp;""'""))&gt;0,""Caixa Atendimento"",""Caixa Sangria"")),""""),""Caixa Sangria"")"),"")</f>
        <v/>
      </c>
      <c r="M391" s="164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IFERROR(__xludf.DUMMYFUNCTION("ifna(IF(and(D392=""Saída"",J392=""Sangria""),if(sum(QUERY(IMPORTRANGE(""https://docs.google.com/spreadsheets/d/15vCx43UQd-lUcbnvwm-R2Xfhex1Wogrs1wY4DlXukMA/edit#gid=458192036"",""BD M Sangrias!a:i""),""select Col6 where Col7 = 'Depositada' and Col9 = '""&amp;"&amp;"K392&amp;""' and Col6 = ""&amp;N392&amp;"" and Col4 = date '""&amp;YEAR(C392)&amp;""-""&amp;MONTH(C392)&amp;""-""&amp;DAY(C392)&amp;""'""))&gt;0,""Depositada"",if(sum(QUERY(IMPORTRANGE(""https://docs.google.com/spreadsheets/d/15vCx43UQd-lUcbnvwm-R2Xfhex1Wogrs1wY4DlXukMA/edit#gid=458192036"","""&amp;"BD M Sangrias!a:i""),""select Col6 where Col7 = 'Caixa Atendimento' and Col9 = '""&amp;K392&amp;""' and Col6 = ""&amp;N392&amp;"" and Col4 = date '""&amp;YEAR(C392)&amp;""-""&amp;MONTH(C392)&amp;""-""&amp;DAY(C392)&amp;""'""))&gt;0,""Caixa Atendimento"",""Caixa Sangria"")),""""),""Caixa Sangria"")"),"")</f>
        <v/>
      </c>
      <c r="M392" s="163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IFERROR(__xludf.DUMMYFUNCTION("ifna(IF(and(D393=""Saída"",J393=""Sangria""),if(sum(QUERY(IMPORTRANGE(""https://docs.google.com/spreadsheets/d/15vCx43UQd-lUcbnvwm-R2Xfhex1Wogrs1wY4DlXukMA/edit#gid=458192036"",""BD M Sangrias!a:i""),""select Col6 where Col7 = 'Depositada' and Col9 = '""&amp;"&amp;"K393&amp;""' and Col6 = ""&amp;N393&amp;"" and Col4 = date '""&amp;YEAR(C393)&amp;""-""&amp;MONTH(C393)&amp;""-""&amp;DAY(C393)&amp;""'""))&gt;0,""Depositada"",if(sum(QUERY(IMPORTRANGE(""https://docs.google.com/spreadsheets/d/15vCx43UQd-lUcbnvwm-R2Xfhex1Wogrs1wY4DlXukMA/edit#gid=458192036"","""&amp;"BD M Sangrias!a:i""),""select Col6 where Col7 = 'Caixa Atendimento' and Col9 = '""&amp;K393&amp;""' and Col6 = ""&amp;N393&amp;"" and Col4 = date '""&amp;YEAR(C393)&amp;""-""&amp;MONTH(C393)&amp;""-""&amp;DAY(C393)&amp;""'""))&gt;0,""Caixa Atendimento"",""Caixa Sangria"")),""""),""Caixa Sangria"")"),"")</f>
        <v/>
      </c>
      <c r="M393" s="164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IFERROR(__xludf.DUMMYFUNCTION("ifna(IF(and(D394=""Saída"",J394=""Sangria""),if(sum(QUERY(IMPORTRANGE(""https://docs.google.com/spreadsheets/d/15vCx43UQd-lUcbnvwm-R2Xfhex1Wogrs1wY4DlXukMA/edit#gid=458192036"",""BD M Sangrias!a:i""),""select Col6 where Col7 = 'Depositada' and Col9 = '""&amp;"&amp;"K394&amp;""' and Col6 = ""&amp;N394&amp;"" and Col4 = date '""&amp;YEAR(C394)&amp;""-""&amp;MONTH(C394)&amp;""-""&amp;DAY(C394)&amp;""'""))&gt;0,""Depositada"",if(sum(QUERY(IMPORTRANGE(""https://docs.google.com/spreadsheets/d/15vCx43UQd-lUcbnvwm-R2Xfhex1Wogrs1wY4DlXukMA/edit#gid=458192036"","""&amp;"BD M Sangrias!a:i""),""select Col6 where Col7 = 'Caixa Atendimento' and Col9 = '""&amp;K394&amp;""' and Col6 = ""&amp;N394&amp;"" and Col4 = date '""&amp;YEAR(C394)&amp;""-""&amp;MONTH(C394)&amp;""-""&amp;DAY(C394)&amp;""'""))&gt;0,""Caixa Atendimento"",""Caixa Sangria"")),""""),""Caixa Sangria"")"),"")</f>
        <v/>
      </c>
      <c r="M394" s="163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IFERROR(__xludf.DUMMYFUNCTION("ifna(IF(and(D395=""Saída"",J395=""Sangria""),if(sum(QUERY(IMPORTRANGE(""https://docs.google.com/spreadsheets/d/15vCx43UQd-lUcbnvwm-R2Xfhex1Wogrs1wY4DlXukMA/edit#gid=458192036"",""BD M Sangrias!a:i""),""select Col6 where Col7 = 'Depositada' and Col9 = '""&amp;"&amp;"K395&amp;""' and Col6 = ""&amp;N395&amp;"" and Col4 = date '""&amp;YEAR(C395)&amp;""-""&amp;MONTH(C395)&amp;""-""&amp;DAY(C395)&amp;""'""))&gt;0,""Depositada"",if(sum(QUERY(IMPORTRANGE(""https://docs.google.com/spreadsheets/d/15vCx43UQd-lUcbnvwm-R2Xfhex1Wogrs1wY4DlXukMA/edit#gid=458192036"","""&amp;"BD M Sangrias!a:i""),""select Col6 where Col7 = 'Caixa Atendimento' and Col9 = '""&amp;K395&amp;""' and Col6 = ""&amp;N395&amp;"" and Col4 = date '""&amp;YEAR(C395)&amp;""-""&amp;MONTH(C395)&amp;""-""&amp;DAY(C395)&amp;""'""))&gt;0,""Caixa Atendimento"",""Caixa Sangria"")),""""),""Caixa Sangria"")"),"")</f>
        <v/>
      </c>
      <c r="M395" s="164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IFERROR(__xludf.DUMMYFUNCTION("ifna(IF(and(D396=""Saída"",J396=""Sangria""),if(sum(QUERY(IMPORTRANGE(""https://docs.google.com/spreadsheets/d/15vCx43UQd-lUcbnvwm-R2Xfhex1Wogrs1wY4DlXukMA/edit#gid=458192036"",""BD M Sangrias!a:i""),""select Col6 where Col7 = 'Depositada' and Col9 = '""&amp;"&amp;"K396&amp;""' and Col6 = ""&amp;N396&amp;"" and Col4 = date '""&amp;YEAR(C396)&amp;""-""&amp;MONTH(C396)&amp;""-""&amp;DAY(C396)&amp;""'""))&gt;0,""Depositada"",if(sum(QUERY(IMPORTRANGE(""https://docs.google.com/spreadsheets/d/15vCx43UQd-lUcbnvwm-R2Xfhex1Wogrs1wY4DlXukMA/edit#gid=458192036"","""&amp;"BD M Sangrias!a:i""),""select Col6 where Col7 = 'Caixa Atendimento' and Col9 = '""&amp;K396&amp;""' and Col6 = ""&amp;N396&amp;"" and Col4 = date '""&amp;YEAR(C396)&amp;""-""&amp;MONTH(C396)&amp;""-""&amp;DAY(C396)&amp;""'""))&gt;0,""Caixa Atendimento"",""Caixa Sangria"")),""""),""Caixa Sangria"")"),"")</f>
        <v/>
      </c>
      <c r="M396" s="163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IFERROR(__xludf.DUMMYFUNCTION("ifna(IF(and(D397=""Saída"",J397=""Sangria""),if(sum(QUERY(IMPORTRANGE(""https://docs.google.com/spreadsheets/d/15vCx43UQd-lUcbnvwm-R2Xfhex1Wogrs1wY4DlXukMA/edit#gid=458192036"",""BD M Sangrias!a:i""),""select Col6 where Col7 = 'Depositada' and Col9 = '""&amp;"&amp;"K397&amp;""' and Col6 = ""&amp;N397&amp;"" and Col4 = date '""&amp;YEAR(C397)&amp;""-""&amp;MONTH(C397)&amp;""-""&amp;DAY(C397)&amp;""'""))&gt;0,""Depositada"",if(sum(QUERY(IMPORTRANGE(""https://docs.google.com/spreadsheets/d/15vCx43UQd-lUcbnvwm-R2Xfhex1Wogrs1wY4DlXukMA/edit#gid=458192036"","""&amp;"BD M Sangrias!a:i""),""select Col6 where Col7 = 'Caixa Atendimento' and Col9 = '""&amp;K397&amp;""' and Col6 = ""&amp;N397&amp;"" and Col4 = date '""&amp;YEAR(C397)&amp;""-""&amp;MONTH(C397)&amp;""-""&amp;DAY(C397)&amp;""'""))&gt;0,""Caixa Atendimento"",""Caixa Sangria"")),""""),""Caixa Sangria"")"),"")</f>
        <v/>
      </c>
      <c r="M397" s="164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IFERROR(__xludf.DUMMYFUNCTION("ifna(IF(and(D398=""Saída"",J398=""Sangria""),if(sum(QUERY(IMPORTRANGE(""https://docs.google.com/spreadsheets/d/15vCx43UQd-lUcbnvwm-R2Xfhex1Wogrs1wY4DlXukMA/edit#gid=458192036"",""BD M Sangrias!a:i""),""select Col6 where Col7 = 'Depositada' and Col9 = '""&amp;"&amp;"K398&amp;""' and Col6 = ""&amp;N398&amp;"" and Col4 = date '""&amp;YEAR(C398)&amp;""-""&amp;MONTH(C398)&amp;""-""&amp;DAY(C398)&amp;""'""))&gt;0,""Depositada"",if(sum(QUERY(IMPORTRANGE(""https://docs.google.com/spreadsheets/d/15vCx43UQd-lUcbnvwm-R2Xfhex1Wogrs1wY4DlXukMA/edit#gid=458192036"","""&amp;"BD M Sangrias!a:i""),""select Col6 where Col7 = 'Caixa Atendimento' and Col9 = '""&amp;K398&amp;""' and Col6 = ""&amp;N398&amp;"" and Col4 = date '""&amp;YEAR(C398)&amp;""-""&amp;MONTH(C398)&amp;""-""&amp;DAY(C398)&amp;""'""))&gt;0,""Caixa Atendimento"",""Caixa Sangria"")),""""),""Caixa Sangria"")"),"")</f>
        <v/>
      </c>
      <c r="M398" s="163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IFERROR(__xludf.DUMMYFUNCTION("ifna(IF(and(D399=""Saída"",J399=""Sangria""),if(sum(QUERY(IMPORTRANGE(""https://docs.google.com/spreadsheets/d/15vCx43UQd-lUcbnvwm-R2Xfhex1Wogrs1wY4DlXukMA/edit#gid=458192036"",""BD M Sangrias!a:i""),""select Col6 where Col7 = 'Depositada' and Col9 = '""&amp;"&amp;"K399&amp;""' and Col6 = ""&amp;N399&amp;"" and Col4 = date '""&amp;YEAR(C399)&amp;""-""&amp;MONTH(C399)&amp;""-""&amp;DAY(C399)&amp;""'""))&gt;0,""Depositada"",if(sum(QUERY(IMPORTRANGE(""https://docs.google.com/spreadsheets/d/15vCx43UQd-lUcbnvwm-R2Xfhex1Wogrs1wY4DlXukMA/edit#gid=458192036"","""&amp;"BD M Sangrias!a:i""),""select Col6 where Col7 = 'Caixa Atendimento' and Col9 = '""&amp;K399&amp;""' and Col6 = ""&amp;N399&amp;"" and Col4 = date '""&amp;YEAR(C399)&amp;""-""&amp;MONTH(C399)&amp;""-""&amp;DAY(C399)&amp;""'""))&gt;0,""Caixa Atendimento"",""Caixa Sangria"")),""""),""Caixa Sangria"")"),"")</f>
        <v/>
      </c>
      <c r="M399" s="164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IFERROR(__xludf.DUMMYFUNCTION("ifna(IF(and(D400=""Saída"",J400=""Sangria""),if(sum(QUERY(IMPORTRANGE(""https://docs.google.com/spreadsheets/d/15vCx43UQd-lUcbnvwm-R2Xfhex1Wogrs1wY4DlXukMA/edit#gid=458192036"",""BD M Sangrias!a:i""),""select Col6 where Col7 = 'Depositada' and Col9 = '""&amp;"&amp;"K400&amp;""' and Col6 = ""&amp;N400&amp;"" and Col4 = date '""&amp;YEAR(C400)&amp;""-""&amp;MONTH(C400)&amp;""-""&amp;DAY(C400)&amp;""'""))&gt;0,""Depositada"",if(sum(QUERY(IMPORTRANGE(""https://docs.google.com/spreadsheets/d/15vCx43UQd-lUcbnvwm-R2Xfhex1Wogrs1wY4DlXukMA/edit#gid=458192036"","""&amp;"BD M Sangrias!a:i""),""select Col6 where Col7 = 'Caixa Atendimento' and Col9 = '""&amp;K400&amp;""' and Col6 = ""&amp;N400&amp;"" and Col4 = date '""&amp;YEAR(C400)&amp;""-""&amp;MONTH(C400)&amp;""-""&amp;DAY(C400)&amp;""'""))&gt;0,""Caixa Atendimento"",""Caixa Sangria"")),""""),""Caixa Sangria"")"),"")</f>
        <v/>
      </c>
      <c r="M400" s="163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IFERROR(__xludf.DUMMYFUNCTION("ifna(IF(and(D401=""Saída"",J401=""Sangria""),if(sum(QUERY(IMPORTRANGE(""https://docs.google.com/spreadsheets/d/15vCx43UQd-lUcbnvwm-R2Xfhex1Wogrs1wY4DlXukMA/edit#gid=458192036"",""BD M Sangrias!a:i""),""select Col6 where Col7 = 'Depositada' and Col9 = '""&amp;"&amp;"K401&amp;""' and Col6 = ""&amp;N401&amp;"" and Col4 = date '""&amp;YEAR(C401)&amp;""-""&amp;MONTH(C401)&amp;""-""&amp;DAY(C401)&amp;""'""))&gt;0,""Depositada"",if(sum(QUERY(IMPORTRANGE(""https://docs.google.com/spreadsheets/d/15vCx43UQd-lUcbnvwm-R2Xfhex1Wogrs1wY4DlXukMA/edit#gid=458192036"","""&amp;"BD M Sangrias!a:i""),""select Col6 where Col7 = 'Caixa Atendimento' and Col9 = '""&amp;K401&amp;""' and Col6 = ""&amp;N401&amp;"" and Col4 = date '""&amp;YEAR(C401)&amp;""-""&amp;MONTH(C401)&amp;""-""&amp;DAY(C401)&amp;""'""))&gt;0,""Caixa Atendimento"",""Caixa Sangria"")),""""),""Caixa Sangria"")"),"")</f>
        <v/>
      </c>
      <c r="M401" s="164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IFERROR(__xludf.DUMMYFUNCTION("ifna(IF(and(D402=""Saída"",J402=""Sangria""),if(sum(QUERY(IMPORTRANGE(""https://docs.google.com/spreadsheets/d/15vCx43UQd-lUcbnvwm-R2Xfhex1Wogrs1wY4DlXukMA/edit#gid=458192036"",""BD M Sangrias!a:i""),""select Col6 where Col7 = 'Depositada' and Col9 = '""&amp;"&amp;"K402&amp;""' and Col6 = ""&amp;N402&amp;"" and Col4 = date '""&amp;YEAR(C402)&amp;""-""&amp;MONTH(C402)&amp;""-""&amp;DAY(C402)&amp;""'""))&gt;0,""Depositada"",if(sum(QUERY(IMPORTRANGE(""https://docs.google.com/spreadsheets/d/15vCx43UQd-lUcbnvwm-R2Xfhex1Wogrs1wY4DlXukMA/edit#gid=458192036"","""&amp;"BD M Sangrias!a:i""),""select Col6 where Col7 = 'Caixa Atendimento' and Col9 = '""&amp;K402&amp;""' and Col6 = ""&amp;N402&amp;"" and Col4 = date '""&amp;YEAR(C402)&amp;""-""&amp;MONTH(C402)&amp;""-""&amp;DAY(C402)&amp;""'""))&gt;0,""Caixa Atendimento"",""Caixa Sangria"")),""""),""Caixa Sangria"")"),"")</f>
        <v/>
      </c>
      <c r="M402" s="163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IFERROR(__xludf.DUMMYFUNCTION("ifna(IF(and(D403=""Saída"",J403=""Sangria""),if(sum(QUERY(IMPORTRANGE(""https://docs.google.com/spreadsheets/d/15vCx43UQd-lUcbnvwm-R2Xfhex1Wogrs1wY4DlXukMA/edit#gid=458192036"",""BD M Sangrias!a:i""),""select Col6 where Col7 = 'Depositada' and Col9 = '""&amp;"&amp;"K403&amp;""' and Col6 = ""&amp;N403&amp;"" and Col4 = date '""&amp;YEAR(C403)&amp;""-""&amp;MONTH(C403)&amp;""-""&amp;DAY(C403)&amp;""'""))&gt;0,""Depositada"",if(sum(QUERY(IMPORTRANGE(""https://docs.google.com/spreadsheets/d/15vCx43UQd-lUcbnvwm-R2Xfhex1Wogrs1wY4DlXukMA/edit#gid=458192036"","""&amp;"BD M Sangrias!a:i""),""select Col6 where Col7 = 'Caixa Atendimento' and Col9 = '""&amp;K403&amp;""' and Col6 = ""&amp;N403&amp;"" and Col4 = date '""&amp;YEAR(C403)&amp;""-""&amp;MONTH(C403)&amp;""-""&amp;DAY(C403)&amp;""'""))&gt;0,""Caixa Atendimento"",""Caixa Sangria"")),""""),""Caixa Sangria"")"),"")</f>
        <v/>
      </c>
      <c r="M403" s="164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IFERROR(__xludf.DUMMYFUNCTION("ifna(IF(and(D404=""Saída"",J404=""Sangria""),if(sum(QUERY(IMPORTRANGE(""https://docs.google.com/spreadsheets/d/15vCx43UQd-lUcbnvwm-R2Xfhex1Wogrs1wY4DlXukMA/edit#gid=458192036"",""BD M Sangrias!a:i""),""select Col6 where Col7 = 'Depositada' and Col9 = '""&amp;"&amp;"K404&amp;""' and Col6 = ""&amp;N404&amp;"" and Col4 = date '""&amp;YEAR(C404)&amp;""-""&amp;MONTH(C404)&amp;""-""&amp;DAY(C404)&amp;""'""))&gt;0,""Depositada"",if(sum(QUERY(IMPORTRANGE(""https://docs.google.com/spreadsheets/d/15vCx43UQd-lUcbnvwm-R2Xfhex1Wogrs1wY4DlXukMA/edit#gid=458192036"","""&amp;"BD M Sangrias!a:i""),""select Col6 where Col7 = 'Caixa Atendimento' and Col9 = '""&amp;K404&amp;""' and Col6 = ""&amp;N404&amp;"" and Col4 = date '""&amp;YEAR(C404)&amp;""-""&amp;MONTH(C404)&amp;""-""&amp;DAY(C404)&amp;""'""))&gt;0,""Caixa Atendimento"",""Caixa Sangria"")),""""),""Caixa Sangria"")"),"")</f>
        <v/>
      </c>
      <c r="M404" s="163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IFERROR(__xludf.DUMMYFUNCTION("ifna(IF(and(D405=""Saída"",J405=""Sangria""),if(sum(QUERY(IMPORTRANGE(""https://docs.google.com/spreadsheets/d/15vCx43UQd-lUcbnvwm-R2Xfhex1Wogrs1wY4DlXukMA/edit#gid=458192036"",""BD M Sangrias!a:i""),""select Col6 where Col7 = 'Depositada' and Col9 = '""&amp;"&amp;"K405&amp;""' and Col6 = ""&amp;N405&amp;"" and Col4 = date '""&amp;YEAR(C405)&amp;""-""&amp;MONTH(C405)&amp;""-""&amp;DAY(C405)&amp;""'""))&gt;0,""Depositada"",if(sum(QUERY(IMPORTRANGE(""https://docs.google.com/spreadsheets/d/15vCx43UQd-lUcbnvwm-R2Xfhex1Wogrs1wY4DlXukMA/edit#gid=458192036"","""&amp;"BD M Sangrias!a:i""),""select Col6 where Col7 = 'Caixa Atendimento' and Col9 = '""&amp;K405&amp;""' and Col6 = ""&amp;N405&amp;"" and Col4 = date '""&amp;YEAR(C405)&amp;""-""&amp;MONTH(C405)&amp;""-""&amp;DAY(C405)&amp;""'""))&gt;0,""Caixa Atendimento"",""Caixa Sangria"")),""""),""Caixa Sangria"")"),"")</f>
        <v/>
      </c>
      <c r="M405" s="164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IFERROR(__xludf.DUMMYFUNCTION("ifna(IF(and(D406=""Saída"",J406=""Sangria""),if(sum(QUERY(IMPORTRANGE(""https://docs.google.com/spreadsheets/d/15vCx43UQd-lUcbnvwm-R2Xfhex1Wogrs1wY4DlXukMA/edit#gid=458192036"",""BD M Sangrias!a:i""),""select Col6 where Col7 = 'Depositada' and Col9 = '""&amp;"&amp;"K406&amp;""' and Col6 = ""&amp;N406&amp;"" and Col4 = date '""&amp;YEAR(C406)&amp;""-""&amp;MONTH(C406)&amp;""-""&amp;DAY(C406)&amp;""'""))&gt;0,""Depositada"",if(sum(QUERY(IMPORTRANGE(""https://docs.google.com/spreadsheets/d/15vCx43UQd-lUcbnvwm-R2Xfhex1Wogrs1wY4DlXukMA/edit#gid=458192036"","""&amp;"BD M Sangrias!a:i""),""select Col6 where Col7 = 'Caixa Atendimento' and Col9 = '""&amp;K406&amp;""' and Col6 = ""&amp;N406&amp;"" and Col4 = date '""&amp;YEAR(C406)&amp;""-""&amp;MONTH(C406)&amp;""-""&amp;DAY(C406)&amp;""'""))&gt;0,""Caixa Atendimento"",""Caixa Sangria"")),""""),""Caixa Sangria"")"),"")</f>
        <v/>
      </c>
      <c r="M406" s="163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IFERROR(__xludf.DUMMYFUNCTION("ifna(IF(and(D407=""Saída"",J407=""Sangria""),if(sum(QUERY(IMPORTRANGE(""https://docs.google.com/spreadsheets/d/15vCx43UQd-lUcbnvwm-R2Xfhex1Wogrs1wY4DlXukMA/edit#gid=458192036"",""BD M Sangrias!a:i""),""select Col6 where Col7 = 'Depositada' and Col9 = '""&amp;"&amp;"K407&amp;""' and Col6 = ""&amp;N407&amp;"" and Col4 = date '""&amp;YEAR(C407)&amp;""-""&amp;MONTH(C407)&amp;""-""&amp;DAY(C407)&amp;""'""))&gt;0,""Depositada"",if(sum(QUERY(IMPORTRANGE(""https://docs.google.com/spreadsheets/d/15vCx43UQd-lUcbnvwm-R2Xfhex1Wogrs1wY4DlXukMA/edit#gid=458192036"","""&amp;"BD M Sangrias!a:i""),""select Col6 where Col7 = 'Caixa Atendimento' and Col9 = '""&amp;K407&amp;""' and Col6 = ""&amp;N407&amp;"" and Col4 = date '""&amp;YEAR(C407)&amp;""-""&amp;MONTH(C407)&amp;""-""&amp;DAY(C407)&amp;""'""))&gt;0,""Caixa Atendimento"",""Caixa Sangria"")),""""),""Caixa Sangria"")"),"")</f>
        <v/>
      </c>
      <c r="M407" s="164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IFERROR(__xludf.DUMMYFUNCTION("ifna(IF(and(D408=""Saída"",J408=""Sangria""),if(sum(QUERY(IMPORTRANGE(""https://docs.google.com/spreadsheets/d/15vCx43UQd-lUcbnvwm-R2Xfhex1Wogrs1wY4DlXukMA/edit#gid=458192036"",""BD M Sangrias!a:i""),""select Col6 where Col7 = 'Depositada' and Col9 = '""&amp;"&amp;"K408&amp;""' and Col6 = ""&amp;N408&amp;"" and Col4 = date '""&amp;YEAR(C408)&amp;""-""&amp;MONTH(C408)&amp;""-""&amp;DAY(C408)&amp;""'""))&gt;0,""Depositada"",if(sum(QUERY(IMPORTRANGE(""https://docs.google.com/spreadsheets/d/15vCx43UQd-lUcbnvwm-R2Xfhex1Wogrs1wY4DlXukMA/edit#gid=458192036"","""&amp;"BD M Sangrias!a:i""),""select Col6 where Col7 = 'Caixa Atendimento' and Col9 = '""&amp;K408&amp;""' and Col6 = ""&amp;N408&amp;"" and Col4 = date '""&amp;YEAR(C408)&amp;""-""&amp;MONTH(C408)&amp;""-""&amp;DAY(C408)&amp;""'""))&gt;0,""Caixa Atendimento"",""Caixa Sangria"")),""""),""Caixa Sangria"")"),"")</f>
        <v/>
      </c>
      <c r="M408" s="163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IFERROR(__xludf.DUMMYFUNCTION("ifna(IF(and(D409=""Saída"",J409=""Sangria""),if(sum(QUERY(IMPORTRANGE(""https://docs.google.com/spreadsheets/d/15vCx43UQd-lUcbnvwm-R2Xfhex1Wogrs1wY4DlXukMA/edit#gid=458192036"",""BD M Sangrias!a:i""),""select Col6 where Col7 = 'Depositada' and Col9 = '""&amp;"&amp;"K409&amp;""' and Col6 = ""&amp;N409&amp;"" and Col4 = date '""&amp;YEAR(C409)&amp;""-""&amp;MONTH(C409)&amp;""-""&amp;DAY(C409)&amp;""'""))&gt;0,""Depositada"",if(sum(QUERY(IMPORTRANGE(""https://docs.google.com/spreadsheets/d/15vCx43UQd-lUcbnvwm-R2Xfhex1Wogrs1wY4DlXukMA/edit#gid=458192036"","""&amp;"BD M Sangrias!a:i""),""select Col6 where Col7 = 'Caixa Atendimento' and Col9 = '""&amp;K409&amp;""' and Col6 = ""&amp;N409&amp;"" and Col4 = date '""&amp;YEAR(C409)&amp;""-""&amp;MONTH(C409)&amp;""-""&amp;DAY(C409)&amp;""'""))&gt;0,""Caixa Atendimento"",""Caixa Sangria"")),""""),""Caixa Sangria"")"),"")</f>
        <v/>
      </c>
      <c r="M409" s="164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IFERROR(__xludf.DUMMYFUNCTION("ifna(IF(and(D410=""Saída"",J410=""Sangria""),if(sum(QUERY(IMPORTRANGE(""https://docs.google.com/spreadsheets/d/15vCx43UQd-lUcbnvwm-R2Xfhex1Wogrs1wY4DlXukMA/edit#gid=458192036"",""BD M Sangrias!a:i""),""select Col6 where Col7 = 'Depositada' and Col9 = '""&amp;"&amp;"K410&amp;""' and Col6 = ""&amp;N410&amp;"" and Col4 = date '""&amp;YEAR(C410)&amp;""-""&amp;MONTH(C410)&amp;""-""&amp;DAY(C410)&amp;""'""))&gt;0,""Depositada"",if(sum(QUERY(IMPORTRANGE(""https://docs.google.com/spreadsheets/d/15vCx43UQd-lUcbnvwm-R2Xfhex1Wogrs1wY4DlXukMA/edit#gid=458192036"","""&amp;"BD M Sangrias!a:i""),""select Col6 where Col7 = 'Caixa Atendimento' and Col9 = '""&amp;K410&amp;""' and Col6 = ""&amp;N410&amp;"" and Col4 = date '""&amp;YEAR(C410)&amp;""-""&amp;MONTH(C410)&amp;""-""&amp;DAY(C410)&amp;""'""))&gt;0,""Caixa Atendimento"",""Caixa Sangria"")),""""),""Caixa Sangria"")"),"")</f>
        <v/>
      </c>
      <c r="M410" s="163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IFERROR(__xludf.DUMMYFUNCTION("ifna(IF(and(D411=""Saída"",J411=""Sangria""),if(sum(QUERY(IMPORTRANGE(""https://docs.google.com/spreadsheets/d/15vCx43UQd-lUcbnvwm-R2Xfhex1Wogrs1wY4DlXukMA/edit#gid=458192036"",""BD M Sangrias!a:i""),""select Col6 where Col7 = 'Depositada' and Col9 = '""&amp;"&amp;"K411&amp;""' and Col6 = ""&amp;N411&amp;"" and Col4 = date '""&amp;YEAR(C411)&amp;""-""&amp;MONTH(C411)&amp;""-""&amp;DAY(C411)&amp;""'""))&gt;0,""Depositada"",if(sum(QUERY(IMPORTRANGE(""https://docs.google.com/spreadsheets/d/15vCx43UQd-lUcbnvwm-R2Xfhex1Wogrs1wY4DlXukMA/edit#gid=458192036"","""&amp;"BD M Sangrias!a:i""),""select Col6 where Col7 = 'Caixa Atendimento' and Col9 = '""&amp;K411&amp;""' and Col6 = ""&amp;N411&amp;"" and Col4 = date '""&amp;YEAR(C411)&amp;""-""&amp;MONTH(C411)&amp;""-""&amp;DAY(C411)&amp;""'""))&gt;0,""Caixa Atendimento"",""Caixa Sangria"")),""""),""Caixa Sangria"")"),"")</f>
        <v/>
      </c>
      <c r="M411" s="164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IFERROR(__xludf.DUMMYFUNCTION("ifna(IF(and(D412=""Saída"",J412=""Sangria""),if(sum(QUERY(IMPORTRANGE(""https://docs.google.com/spreadsheets/d/15vCx43UQd-lUcbnvwm-R2Xfhex1Wogrs1wY4DlXukMA/edit#gid=458192036"",""BD M Sangrias!a:i""),""select Col6 where Col7 = 'Depositada' and Col9 = '""&amp;"&amp;"K412&amp;""' and Col6 = ""&amp;N412&amp;"" and Col4 = date '""&amp;YEAR(C412)&amp;""-""&amp;MONTH(C412)&amp;""-""&amp;DAY(C412)&amp;""'""))&gt;0,""Depositada"",if(sum(QUERY(IMPORTRANGE(""https://docs.google.com/spreadsheets/d/15vCx43UQd-lUcbnvwm-R2Xfhex1Wogrs1wY4DlXukMA/edit#gid=458192036"","""&amp;"BD M Sangrias!a:i""),""select Col6 where Col7 = 'Caixa Atendimento' and Col9 = '""&amp;K412&amp;""' and Col6 = ""&amp;N412&amp;"" and Col4 = date '""&amp;YEAR(C412)&amp;""-""&amp;MONTH(C412)&amp;""-""&amp;DAY(C412)&amp;""'""))&gt;0,""Caixa Atendimento"",""Caixa Sangria"")),""""),""Caixa Sangria"")"),"")</f>
        <v/>
      </c>
      <c r="M412" s="163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IFERROR(__xludf.DUMMYFUNCTION("ifna(IF(and(D413=""Saída"",J413=""Sangria""),if(sum(QUERY(IMPORTRANGE(""https://docs.google.com/spreadsheets/d/15vCx43UQd-lUcbnvwm-R2Xfhex1Wogrs1wY4DlXukMA/edit#gid=458192036"",""BD M Sangrias!a:i""),""select Col6 where Col7 = 'Depositada' and Col9 = '""&amp;"&amp;"K413&amp;""' and Col6 = ""&amp;N413&amp;"" and Col4 = date '""&amp;YEAR(C413)&amp;""-""&amp;MONTH(C413)&amp;""-""&amp;DAY(C413)&amp;""'""))&gt;0,""Depositada"",if(sum(QUERY(IMPORTRANGE(""https://docs.google.com/spreadsheets/d/15vCx43UQd-lUcbnvwm-R2Xfhex1Wogrs1wY4DlXukMA/edit#gid=458192036"","""&amp;"BD M Sangrias!a:i""),""select Col6 where Col7 = 'Caixa Atendimento' and Col9 = '""&amp;K413&amp;""' and Col6 = ""&amp;N413&amp;"" and Col4 = date '""&amp;YEAR(C413)&amp;""-""&amp;MONTH(C413)&amp;""-""&amp;DAY(C413)&amp;""'""))&gt;0,""Caixa Atendimento"",""Caixa Sangria"")),""""),""Caixa Sangria"")"),"")</f>
        <v/>
      </c>
      <c r="M413" s="164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IFERROR(__xludf.DUMMYFUNCTION("ifna(IF(and(D414=""Saída"",J414=""Sangria""),if(sum(QUERY(IMPORTRANGE(""https://docs.google.com/spreadsheets/d/15vCx43UQd-lUcbnvwm-R2Xfhex1Wogrs1wY4DlXukMA/edit#gid=458192036"",""BD M Sangrias!a:i""),""select Col6 where Col7 = 'Depositada' and Col9 = '""&amp;"&amp;"K414&amp;""' and Col6 = ""&amp;N414&amp;"" and Col4 = date '""&amp;YEAR(C414)&amp;""-""&amp;MONTH(C414)&amp;""-""&amp;DAY(C414)&amp;""'""))&gt;0,""Depositada"",if(sum(QUERY(IMPORTRANGE(""https://docs.google.com/spreadsheets/d/15vCx43UQd-lUcbnvwm-R2Xfhex1Wogrs1wY4DlXukMA/edit#gid=458192036"","""&amp;"BD M Sangrias!a:i""),""select Col6 where Col7 = 'Caixa Atendimento' and Col9 = '""&amp;K414&amp;""' and Col6 = ""&amp;N414&amp;"" and Col4 = date '""&amp;YEAR(C414)&amp;""-""&amp;MONTH(C414)&amp;""-""&amp;DAY(C414)&amp;""'""))&gt;0,""Caixa Atendimento"",""Caixa Sangria"")),""""),""Caixa Sangria"")"),"")</f>
        <v/>
      </c>
      <c r="M414" s="163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IFERROR(__xludf.DUMMYFUNCTION("ifna(IF(and(D415=""Saída"",J415=""Sangria""),if(sum(QUERY(IMPORTRANGE(""https://docs.google.com/spreadsheets/d/15vCx43UQd-lUcbnvwm-R2Xfhex1Wogrs1wY4DlXukMA/edit#gid=458192036"",""BD M Sangrias!a:i""),""select Col6 where Col7 = 'Depositada' and Col9 = '""&amp;"&amp;"K415&amp;""' and Col6 = ""&amp;N415&amp;"" and Col4 = date '""&amp;YEAR(C415)&amp;""-""&amp;MONTH(C415)&amp;""-""&amp;DAY(C415)&amp;""'""))&gt;0,""Depositada"",if(sum(QUERY(IMPORTRANGE(""https://docs.google.com/spreadsheets/d/15vCx43UQd-lUcbnvwm-R2Xfhex1Wogrs1wY4DlXukMA/edit#gid=458192036"","""&amp;"BD M Sangrias!a:i""),""select Col6 where Col7 = 'Caixa Atendimento' and Col9 = '""&amp;K415&amp;""' and Col6 = ""&amp;N415&amp;"" and Col4 = date '""&amp;YEAR(C415)&amp;""-""&amp;MONTH(C415)&amp;""-""&amp;DAY(C415)&amp;""'""))&gt;0,""Caixa Atendimento"",""Caixa Sangria"")),""""),""Caixa Sangria"")"),"")</f>
        <v/>
      </c>
      <c r="M415" s="164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IFERROR(__xludf.DUMMYFUNCTION("ifna(IF(and(D416=""Saída"",J416=""Sangria""),if(sum(QUERY(IMPORTRANGE(""https://docs.google.com/spreadsheets/d/15vCx43UQd-lUcbnvwm-R2Xfhex1Wogrs1wY4DlXukMA/edit#gid=458192036"",""BD M Sangrias!a:i""),""select Col6 where Col7 = 'Depositada' and Col9 = '""&amp;"&amp;"K416&amp;""' and Col6 = ""&amp;N416&amp;"" and Col4 = date '""&amp;YEAR(C416)&amp;""-""&amp;MONTH(C416)&amp;""-""&amp;DAY(C416)&amp;""'""))&gt;0,""Depositada"",if(sum(QUERY(IMPORTRANGE(""https://docs.google.com/spreadsheets/d/15vCx43UQd-lUcbnvwm-R2Xfhex1Wogrs1wY4DlXukMA/edit#gid=458192036"","""&amp;"BD M Sangrias!a:i""),""select Col6 where Col7 = 'Caixa Atendimento' and Col9 = '""&amp;K416&amp;""' and Col6 = ""&amp;N416&amp;"" and Col4 = date '""&amp;YEAR(C416)&amp;""-""&amp;MONTH(C416)&amp;""-""&amp;DAY(C416)&amp;""'""))&gt;0,""Caixa Atendimento"",""Caixa Sangria"")),""""),""Caixa Sangria"")"),"")</f>
        <v/>
      </c>
      <c r="M416" s="163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IFERROR(__xludf.DUMMYFUNCTION("ifna(IF(and(D417=""Saída"",J417=""Sangria""),if(sum(QUERY(IMPORTRANGE(""https://docs.google.com/spreadsheets/d/15vCx43UQd-lUcbnvwm-R2Xfhex1Wogrs1wY4DlXukMA/edit#gid=458192036"",""BD M Sangrias!a:i""),""select Col6 where Col7 = 'Depositada' and Col9 = '""&amp;"&amp;"K417&amp;""' and Col6 = ""&amp;N417&amp;"" and Col4 = date '""&amp;YEAR(C417)&amp;""-""&amp;MONTH(C417)&amp;""-""&amp;DAY(C417)&amp;""'""))&gt;0,""Depositada"",if(sum(QUERY(IMPORTRANGE(""https://docs.google.com/spreadsheets/d/15vCx43UQd-lUcbnvwm-R2Xfhex1Wogrs1wY4DlXukMA/edit#gid=458192036"","""&amp;"BD M Sangrias!a:i""),""select Col6 where Col7 = 'Caixa Atendimento' and Col9 = '""&amp;K417&amp;""' and Col6 = ""&amp;N417&amp;"" and Col4 = date '""&amp;YEAR(C417)&amp;""-""&amp;MONTH(C417)&amp;""-""&amp;DAY(C417)&amp;""'""))&gt;0,""Caixa Atendimento"",""Caixa Sangria"")),""""),""Caixa Sangria"")"),"")</f>
        <v/>
      </c>
      <c r="M417" s="164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IFERROR(__xludf.DUMMYFUNCTION("ifna(IF(and(D418=""Saída"",J418=""Sangria""),if(sum(QUERY(IMPORTRANGE(""https://docs.google.com/spreadsheets/d/15vCx43UQd-lUcbnvwm-R2Xfhex1Wogrs1wY4DlXukMA/edit#gid=458192036"",""BD M Sangrias!a:i""),""select Col6 where Col7 = 'Depositada' and Col9 = '""&amp;"&amp;"K418&amp;""' and Col6 = ""&amp;N418&amp;"" and Col4 = date '""&amp;YEAR(C418)&amp;""-""&amp;MONTH(C418)&amp;""-""&amp;DAY(C418)&amp;""'""))&gt;0,""Depositada"",if(sum(QUERY(IMPORTRANGE(""https://docs.google.com/spreadsheets/d/15vCx43UQd-lUcbnvwm-R2Xfhex1Wogrs1wY4DlXukMA/edit#gid=458192036"","""&amp;"BD M Sangrias!a:i""),""select Col6 where Col7 = 'Caixa Atendimento' and Col9 = '""&amp;K418&amp;""' and Col6 = ""&amp;N418&amp;"" and Col4 = date '""&amp;YEAR(C418)&amp;""-""&amp;MONTH(C418)&amp;""-""&amp;DAY(C418)&amp;""'""))&gt;0,""Caixa Atendimento"",""Caixa Sangria"")),""""),""Caixa Sangria"")"),"")</f>
        <v/>
      </c>
      <c r="M418" s="163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IFERROR(__xludf.DUMMYFUNCTION("ifna(IF(and(D419=""Saída"",J419=""Sangria""),if(sum(QUERY(IMPORTRANGE(""https://docs.google.com/spreadsheets/d/15vCx43UQd-lUcbnvwm-R2Xfhex1Wogrs1wY4DlXukMA/edit#gid=458192036"",""BD M Sangrias!a:i""),""select Col6 where Col7 = 'Depositada' and Col9 = '""&amp;"&amp;"K419&amp;""' and Col6 = ""&amp;N419&amp;"" and Col4 = date '""&amp;YEAR(C419)&amp;""-""&amp;MONTH(C419)&amp;""-""&amp;DAY(C419)&amp;""'""))&gt;0,""Depositada"",if(sum(QUERY(IMPORTRANGE(""https://docs.google.com/spreadsheets/d/15vCx43UQd-lUcbnvwm-R2Xfhex1Wogrs1wY4DlXukMA/edit#gid=458192036"","""&amp;"BD M Sangrias!a:i""),""select Col6 where Col7 = 'Caixa Atendimento' and Col9 = '""&amp;K419&amp;""' and Col6 = ""&amp;N419&amp;"" and Col4 = date '""&amp;YEAR(C419)&amp;""-""&amp;MONTH(C419)&amp;""-""&amp;DAY(C419)&amp;""'""))&gt;0,""Caixa Atendimento"",""Caixa Sangria"")),""""),""Caixa Sangria"")"),"")</f>
        <v/>
      </c>
      <c r="M419" s="164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IFERROR(__xludf.DUMMYFUNCTION("ifna(IF(and(D420=""Saída"",J420=""Sangria""),if(sum(QUERY(IMPORTRANGE(""https://docs.google.com/spreadsheets/d/15vCx43UQd-lUcbnvwm-R2Xfhex1Wogrs1wY4DlXukMA/edit#gid=458192036"",""BD M Sangrias!a:i""),""select Col6 where Col7 = 'Depositada' and Col9 = '""&amp;"&amp;"K420&amp;""' and Col6 = ""&amp;N420&amp;"" and Col4 = date '""&amp;YEAR(C420)&amp;""-""&amp;MONTH(C420)&amp;""-""&amp;DAY(C420)&amp;""'""))&gt;0,""Depositada"",if(sum(QUERY(IMPORTRANGE(""https://docs.google.com/spreadsheets/d/15vCx43UQd-lUcbnvwm-R2Xfhex1Wogrs1wY4DlXukMA/edit#gid=458192036"","""&amp;"BD M Sangrias!a:i""),""select Col6 where Col7 = 'Caixa Atendimento' and Col9 = '""&amp;K420&amp;""' and Col6 = ""&amp;N420&amp;"" and Col4 = date '""&amp;YEAR(C420)&amp;""-""&amp;MONTH(C420)&amp;""-""&amp;DAY(C420)&amp;""'""))&gt;0,""Caixa Atendimento"",""Caixa Sangria"")),""""),""Caixa Sangria"")"),"")</f>
        <v/>
      </c>
      <c r="M420" s="163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IFERROR(__xludf.DUMMYFUNCTION("ifna(IF(and(D421=""Saída"",J421=""Sangria""),if(sum(QUERY(IMPORTRANGE(""https://docs.google.com/spreadsheets/d/15vCx43UQd-lUcbnvwm-R2Xfhex1Wogrs1wY4DlXukMA/edit#gid=458192036"",""BD M Sangrias!a:i""),""select Col6 where Col7 = 'Depositada' and Col9 = '""&amp;"&amp;"K421&amp;""' and Col6 = ""&amp;N421&amp;"" and Col4 = date '""&amp;YEAR(C421)&amp;""-""&amp;MONTH(C421)&amp;""-""&amp;DAY(C421)&amp;""'""))&gt;0,""Depositada"",if(sum(QUERY(IMPORTRANGE(""https://docs.google.com/spreadsheets/d/15vCx43UQd-lUcbnvwm-R2Xfhex1Wogrs1wY4DlXukMA/edit#gid=458192036"","""&amp;"BD M Sangrias!a:i""),""select Col6 where Col7 = 'Caixa Atendimento' and Col9 = '""&amp;K421&amp;""' and Col6 = ""&amp;N421&amp;"" and Col4 = date '""&amp;YEAR(C421)&amp;""-""&amp;MONTH(C421)&amp;""-""&amp;DAY(C421)&amp;""'""))&gt;0,""Caixa Atendimento"",""Caixa Sangria"")),""""),""Caixa Sangria"")"),"")</f>
        <v/>
      </c>
      <c r="M421" s="164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IFERROR(__xludf.DUMMYFUNCTION("ifna(IF(and(D422=""Saída"",J422=""Sangria""),if(sum(QUERY(IMPORTRANGE(""https://docs.google.com/spreadsheets/d/15vCx43UQd-lUcbnvwm-R2Xfhex1Wogrs1wY4DlXukMA/edit#gid=458192036"",""BD M Sangrias!a:i""),""select Col6 where Col7 = 'Depositada' and Col9 = '""&amp;"&amp;"K422&amp;""' and Col6 = ""&amp;N422&amp;"" and Col4 = date '""&amp;YEAR(C422)&amp;""-""&amp;MONTH(C422)&amp;""-""&amp;DAY(C422)&amp;""'""))&gt;0,""Depositada"",if(sum(QUERY(IMPORTRANGE(""https://docs.google.com/spreadsheets/d/15vCx43UQd-lUcbnvwm-R2Xfhex1Wogrs1wY4DlXukMA/edit#gid=458192036"","""&amp;"BD M Sangrias!a:i""),""select Col6 where Col7 = 'Caixa Atendimento' and Col9 = '""&amp;K422&amp;""' and Col6 = ""&amp;N422&amp;"" and Col4 = date '""&amp;YEAR(C422)&amp;""-""&amp;MONTH(C422)&amp;""-""&amp;DAY(C422)&amp;""'""))&gt;0,""Caixa Atendimento"",""Caixa Sangria"")),""""),""Caixa Sangria"")"),"")</f>
        <v/>
      </c>
      <c r="M422" s="163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IFERROR(__xludf.DUMMYFUNCTION("ifna(IF(and(D423=""Saída"",J423=""Sangria""),if(sum(QUERY(IMPORTRANGE(""https://docs.google.com/spreadsheets/d/15vCx43UQd-lUcbnvwm-R2Xfhex1Wogrs1wY4DlXukMA/edit#gid=458192036"",""BD M Sangrias!a:i""),""select Col6 where Col7 = 'Depositada' and Col9 = '""&amp;"&amp;"K423&amp;""' and Col6 = ""&amp;N423&amp;"" and Col4 = date '""&amp;YEAR(C423)&amp;""-""&amp;MONTH(C423)&amp;""-""&amp;DAY(C423)&amp;""'""))&gt;0,""Depositada"",if(sum(QUERY(IMPORTRANGE(""https://docs.google.com/spreadsheets/d/15vCx43UQd-lUcbnvwm-R2Xfhex1Wogrs1wY4DlXukMA/edit#gid=458192036"","""&amp;"BD M Sangrias!a:i""),""select Col6 where Col7 = 'Caixa Atendimento' and Col9 = '""&amp;K423&amp;""' and Col6 = ""&amp;N423&amp;"" and Col4 = date '""&amp;YEAR(C423)&amp;""-""&amp;MONTH(C423)&amp;""-""&amp;DAY(C423)&amp;""'""))&gt;0,""Caixa Atendimento"",""Caixa Sangria"")),""""),""Caixa Sangria"")"),"")</f>
        <v/>
      </c>
      <c r="M423" s="164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IFERROR(__xludf.DUMMYFUNCTION("ifna(IF(and(D424=""Saída"",J424=""Sangria""),if(sum(QUERY(IMPORTRANGE(""https://docs.google.com/spreadsheets/d/15vCx43UQd-lUcbnvwm-R2Xfhex1Wogrs1wY4DlXukMA/edit#gid=458192036"",""BD M Sangrias!a:i""),""select Col6 where Col7 = 'Depositada' and Col9 = '""&amp;"&amp;"K424&amp;""' and Col6 = ""&amp;N424&amp;"" and Col4 = date '""&amp;YEAR(C424)&amp;""-""&amp;MONTH(C424)&amp;""-""&amp;DAY(C424)&amp;""'""))&gt;0,""Depositada"",if(sum(QUERY(IMPORTRANGE(""https://docs.google.com/spreadsheets/d/15vCx43UQd-lUcbnvwm-R2Xfhex1Wogrs1wY4DlXukMA/edit#gid=458192036"","""&amp;"BD M Sangrias!a:i""),""select Col6 where Col7 = 'Caixa Atendimento' and Col9 = '""&amp;K424&amp;""' and Col6 = ""&amp;N424&amp;"" and Col4 = date '""&amp;YEAR(C424)&amp;""-""&amp;MONTH(C424)&amp;""-""&amp;DAY(C424)&amp;""'""))&gt;0,""Caixa Atendimento"",""Caixa Sangria"")),""""),""Caixa Sangria"")"),"")</f>
        <v/>
      </c>
      <c r="M424" s="163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IFERROR(__xludf.DUMMYFUNCTION("ifna(IF(and(D425=""Saída"",J425=""Sangria""),if(sum(QUERY(IMPORTRANGE(""https://docs.google.com/spreadsheets/d/15vCx43UQd-lUcbnvwm-R2Xfhex1Wogrs1wY4DlXukMA/edit#gid=458192036"",""BD M Sangrias!a:i""),""select Col6 where Col7 = 'Depositada' and Col9 = '""&amp;"&amp;"K425&amp;""' and Col6 = ""&amp;N425&amp;"" and Col4 = date '""&amp;YEAR(C425)&amp;""-""&amp;MONTH(C425)&amp;""-""&amp;DAY(C425)&amp;""'""))&gt;0,""Depositada"",if(sum(QUERY(IMPORTRANGE(""https://docs.google.com/spreadsheets/d/15vCx43UQd-lUcbnvwm-R2Xfhex1Wogrs1wY4DlXukMA/edit#gid=458192036"","""&amp;"BD M Sangrias!a:i""),""select Col6 where Col7 = 'Caixa Atendimento' and Col9 = '""&amp;K425&amp;""' and Col6 = ""&amp;N425&amp;"" and Col4 = date '""&amp;YEAR(C425)&amp;""-""&amp;MONTH(C425)&amp;""-""&amp;DAY(C425)&amp;""'""))&gt;0,""Caixa Atendimento"",""Caixa Sangria"")),""""),""Caixa Sangria"")"),"")</f>
        <v/>
      </c>
      <c r="M425" s="164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IFERROR(__xludf.DUMMYFUNCTION("ifna(IF(and(D426=""Saída"",J426=""Sangria""),if(sum(QUERY(IMPORTRANGE(""https://docs.google.com/spreadsheets/d/15vCx43UQd-lUcbnvwm-R2Xfhex1Wogrs1wY4DlXukMA/edit#gid=458192036"",""BD M Sangrias!a:i""),""select Col6 where Col7 = 'Depositada' and Col9 = '""&amp;"&amp;"K426&amp;""' and Col6 = ""&amp;N426&amp;"" and Col4 = date '""&amp;YEAR(C426)&amp;""-""&amp;MONTH(C426)&amp;""-""&amp;DAY(C426)&amp;""'""))&gt;0,""Depositada"",if(sum(QUERY(IMPORTRANGE(""https://docs.google.com/spreadsheets/d/15vCx43UQd-lUcbnvwm-R2Xfhex1Wogrs1wY4DlXukMA/edit#gid=458192036"","""&amp;"BD M Sangrias!a:i""),""select Col6 where Col7 = 'Caixa Atendimento' and Col9 = '""&amp;K426&amp;""' and Col6 = ""&amp;N426&amp;"" and Col4 = date '""&amp;YEAR(C426)&amp;""-""&amp;MONTH(C426)&amp;""-""&amp;DAY(C426)&amp;""'""))&gt;0,""Caixa Atendimento"",""Caixa Sangria"")),""""),""Caixa Sangria"")"),"")</f>
        <v/>
      </c>
      <c r="M426" s="163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IFERROR(__xludf.DUMMYFUNCTION("ifna(IF(and(D427=""Saída"",J427=""Sangria""),if(sum(QUERY(IMPORTRANGE(""https://docs.google.com/spreadsheets/d/15vCx43UQd-lUcbnvwm-R2Xfhex1Wogrs1wY4DlXukMA/edit#gid=458192036"",""BD M Sangrias!a:i""),""select Col6 where Col7 = 'Depositada' and Col9 = '""&amp;"&amp;"K427&amp;""' and Col6 = ""&amp;N427&amp;"" and Col4 = date '""&amp;YEAR(C427)&amp;""-""&amp;MONTH(C427)&amp;""-""&amp;DAY(C427)&amp;""'""))&gt;0,""Depositada"",if(sum(QUERY(IMPORTRANGE(""https://docs.google.com/spreadsheets/d/15vCx43UQd-lUcbnvwm-R2Xfhex1Wogrs1wY4DlXukMA/edit#gid=458192036"","""&amp;"BD M Sangrias!a:i""),""select Col6 where Col7 = 'Caixa Atendimento' and Col9 = '""&amp;K427&amp;""' and Col6 = ""&amp;N427&amp;"" and Col4 = date '""&amp;YEAR(C427)&amp;""-""&amp;MONTH(C427)&amp;""-""&amp;DAY(C427)&amp;""'""))&gt;0,""Caixa Atendimento"",""Caixa Sangria"")),""""),""Caixa Sangria"")"),"")</f>
        <v/>
      </c>
      <c r="M427" s="164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IFERROR(__xludf.DUMMYFUNCTION("ifna(IF(and(D428=""Saída"",J428=""Sangria""),if(sum(QUERY(IMPORTRANGE(""https://docs.google.com/spreadsheets/d/15vCx43UQd-lUcbnvwm-R2Xfhex1Wogrs1wY4DlXukMA/edit#gid=458192036"",""BD M Sangrias!a:i""),""select Col6 where Col7 = 'Depositada' and Col9 = '""&amp;"&amp;"K428&amp;""' and Col6 = ""&amp;N428&amp;"" and Col4 = date '""&amp;YEAR(C428)&amp;""-""&amp;MONTH(C428)&amp;""-""&amp;DAY(C428)&amp;""'""))&gt;0,""Depositada"",if(sum(QUERY(IMPORTRANGE(""https://docs.google.com/spreadsheets/d/15vCx43UQd-lUcbnvwm-R2Xfhex1Wogrs1wY4DlXukMA/edit#gid=458192036"","""&amp;"BD M Sangrias!a:i""),""select Col6 where Col7 = 'Caixa Atendimento' and Col9 = '""&amp;K428&amp;""' and Col6 = ""&amp;N428&amp;"" and Col4 = date '""&amp;YEAR(C428)&amp;""-""&amp;MONTH(C428)&amp;""-""&amp;DAY(C428)&amp;""'""))&gt;0,""Caixa Atendimento"",""Caixa Sangria"")),""""),""Caixa Sangria"")"),"")</f>
        <v/>
      </c>
      <c r="M428" s="163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IFERROR(__xludf.DUMMYFUNCTION("ifna(IF(and(D429=""Saída"",J429=""Sangria""),if(sum(QUERY(IMPORTRANGE(""https://docs.google.com/spreadsheets/d/15vCx43UQd-lUcbnvwm-R2Xfhex1Wogrs1wY4DlXukMA/edit#gid=458192036"",""BD M Sangrias!a:i""),""select Col6 where Col7 = 'Depositada' and Col9 = '""&amp;"&amp;"K429&amp;""' and Col6 = ""&amp;N429&amp;"" and Col4 = date '""&amp;YEAR(C429)&amp;""-""&amp;MONTH(C429)&amp;""-""&amp;DAY(C429)&amp;""'""))&gt;0,""Depositada"",if(sum(QUERY(IMPORTRANGE(""https://docs.google.com/spreadsheets/d/15vCx43UQd-lUcbnvwm-R2Xfhex1Wogrs1wY4DlXukMA/edit#gid=458192036"","""&amp;"BD M Sangrias!a:i""),""select Col6 where Col7 = 'Caixa Atendimento' and Col9 = '""&amp;K429&amp;""' and Col6 = ""&amp;N429&amp;"" and Col4 = date '""&amp;YEAR(C429)&amp;""-""&amp;MONTH(C429)&amp;""-""&amp;DAY(C429)&amp;""'""))&gt;0,""Caixa Atendimento"",""Caixa Sangria"")),""""),""Caixa Sangria"")"),"")</f>
        <v/>
      </c>
      <c r="M429" s="164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IFERROR(__xludf.DUMMYFUNCTION("ifna(IF(and(D430=""Saída"",J430=""Sangria""),if(sum(QUERY(IMPORTRANGE(""https://docs.google.com/spreadsheets/d/15vCx43UQd-lUcbnvwm-R2Xfhex1Wogrs1wY4DlXukMA/edit#gid=458192036"",""BD M Sangrias!a:i""),""select Col6 where Col7 = 'Depositada' and Col9 = '""&amp;"&amp;"K430&amp;""' and Col6 = ""&amp;N430&amp;"" and Col4 = date '""&amp;YEAR(C430)&amp;""-""&amp;MONTH(C430)&amp;""-""&amp;DAY(C430)&amp;""'""))&gt;0,""Depositada"",if(sum(QUERY(IMPORTRANGE(""https://docs.google.com/spreadsheets/d/15vCx43UQd-lUcbnvwm-R2Xfhex1Wogrs1wY4DlXukMA/edit#gid=458192036"","""&amp;"BD M Sangrias!a:i""),""select Col6 where Col7 = 'Caixa Atendimento' and Col9 = '""&amp;K430&amp;""' and Col6 = ""&amp;N430&amp;"" and Col4 = date '""&amp;YEAR(C430)&amp;""-""&amp;MONTH(C430)&amp;""-""&amp;DAY(C430)&amp;""'""))&gt;0,""Caixa Atendimento"",""Caixa Sangria"")),""""),""Caixa Sangria"")"),"")</f>
        <v/>
      </c>
      <c r="M430" s="163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IFERROR(__xludf.DUMMYFUNCTION("ifna(IF(and(D431=""Saída"",J431=""Sangria""),if(sum(QUERY(IMPORTRANGE(""https://docs.google.com/spreadsheets/d/15vCx43UQd-lUcbnvwm-R2Xfhex1Wogrs1wY4DlXukMA/edit#gid=458192036"",""BD M Sangrias!a:i""),""select Col6 where Col7 = 'Depositada' and Col9 = '""&amp;"&amp;"K431&amp;""' and Col6 = ""&amp;N431&amp;"" and Col4 = date '""&amp;YEAR(C431)&amp;""-""&amp;MONTH(C431)&amp;""-""&amp;DAY(C431)&amp;""'""))&gt;0,""Depositada"",if(sum(QUERY(IMPORTRANGE(""https://docs.google.com/spreadsheets/d/15vCx43UQd-lUcbnvwm-R2Xfhex1Wogrs1wY4DlXukMA/edit#gid=458192036"","""&amp;"BD M Sangrias!a:i""),""select Col6 where Col7 = 'Caixa Atendimento' and Col9 = '""&amp;K431&amp;""' and Col6 = ""&amp;N431&amp;"" and Col4 = date '""&amp;YEAR(C431)&amp;""-""&amp;MONTH(C431)&amp;""-""&amp;DAY(C431)&amp;""'""))&gt;0,""Caixa Atendimento"",""Caixa Sangria"")),""""),""Caixa Sangria"")"),"")</f>
        <v/>
      </c>
      <c r="M431" s="164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IFERROR(__xludf.DUMMYFUNCTION("ifna(IF(and(D432=""Saída"",J432=""Sangria""),if(sum(QUERY(IMPORTRANGE(""https://docs.google.com/spreadsheets/d/15vCx43UQd-lUcbnvwm-R2Xfhex1Wogrs1wY4DlXukMA/edit#gid=458192036"",""BD M Sangrias!a:i""),""select Col6 where Col7 = 'Depositada' and Col9 = '""&amp;"&amp;"K432&amp;""' and Col6 = ""&amp;N432&amp;"" and Col4 = date '""&amp;YEAR(C432)&amp;""-""&amp;MONTH(C432)&amp;""-""&amp;DAY(C432)&amp;""'""))&gt;0,""Depositada"",if(sum(QUERY(IMPORTRANGE(""https://docs.google.com/spreadsheets/d/15vCx43UQd-lUcbnvwm-R2Xfhex1Wogrs1wY4DlXukMA/edit#gid=458192036"","""&amp;"BD M Sangrias!a:i""),""select Col6 where Col7 = 'Caixa Atendimento' and Col9 = '""&amp;K432&amp;""' and Col6 = ""&amp;N432&amp;"" and Col4 = date '""&amp;YEAR(C432)&amp;""-""&amp;MONTH(C432)&amp;""-""&amp;DAY(C432)&amp;""'""))&gt;0,""Caixa Atendimento"",""Caixa Sangria"")),""""),""Caixa Sangria"")"),"")</f>
        <v/>
      </c>
      <c r="M432" s="163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IFERROR(__xludf.DUMMYFUNCTION("ifna(IF(and(D433=""Saída"",J433=""Sangria""),if(sum(QUERY(IMPORTRANGE(""https://docs.google.com/spreadsheets/d/15vCx43UQd-lUcbnvwm-R2Xfhex1Wogrs1wY4DlXukMA/edit#gid=458192036"",""BD M Sangrias!a:i""),""select Col6 where Col7 = 'Depositada' and Col9 = '""&amp;"&amp;"K433&amp;""' and Col6 = ""&amp;N433&amp;"" and Col4 = date '""&amp;YEAR(C433)&amp;""-""&amp;MONTH(C433)&amp;""-""&amp;DAY(C433)&amp;""'""))&gt;0,""Depositada"",if(sum(QUERY(IMPORTRANGE(""https://docs.google.com/spreadsheets/d/15vCx43UQd-lUcbnvwm-R2Xfhex1Wogrs1wY4DlXukMA/edit#gid=458192036"","""&amp;"BD M Sangrias!a:i""),""select Col6 where Col7 = 'Caixa Atendimento' and Col9 = '""&amp;K433&amp;""' and Col6 = ""&amp;N433&amp;"" and Col4 = date '""&amp;YEAR(C433)&amp;""-""&amp;MONTH(C433)&amp;""-""&amp;DAY(C433)&amp;""'""))&gt;0,""Caixa Atendimento"",""Caixa Sangria"")),""""),""Caixa Sangria"")"),"")</f>
        <v/>
      </c>
      <c r="M433" s="164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IFERROR(__xludf.DUMMYFUNCTION("ifna(IF(and(D434=""Saída"",J434=""Sangria""),if(sum(QUERY(IMPORTRANGE(""https://docs.google.com/spreadsheets/d/15vCx43UQd-lUcbnvwm-R2Xfhex1Wogrs1wY4DlXukMA/edit#gid=458192036"",""BD M Sangrias!a:i""),""select Col6 where Col7 = 'Depositada' and Col9 = '""&amp;"&amp;"K434&amp;""' and Col6 = ""&amp;N434&amp;"" and Col4 = date '""&amp;YEAR(C434)&amp;""-""&amp;MONTH(C434)&amp;""-""&amp;DAY(C434)&amp;""'""))&gt;0,""Depositada"",if(sum(QUERY(IMPORTRANGE(""https://docs.google.com/spreadsheets/d/15vCx43UQd-lUcbnvwm-R2Xfhex1Wogrs1wY4DlXukMA/edit#gid=458192036"","""&amp;"BD M Sangrias!a:i""),""select Col6 where Col7 = 'Caixa Atendimento' and Col9 = '""&amp;K434&amp;""' and Col6 = ""&amp;N434&amp;"" and Col4 = date '""&amp;YEAR(C434)&amp;""-""&amp;MONTH(C434)&amp;""-""&amp;DAY(C434)&amp;""'""))&gt;0,""Caixa Atendimento"",""Caixa Sangria"")),""""),""Caixa Sangria"")"),"")</f>
        <v/>
      </c>
      <c r="M434" s="163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IFERROR(__xludf.DUMMYFUNCTION("ifna(IF(and(D435=""Saída"",J435=""Sangria""),if(sum(QUERY(IMPORTRANGE(""https://docs.google.com/spreadsheets/d/15vCx43UQd-lUcbnvwm-R2Xfhex1Wogrs1wY4DlXukMA/edit#gid=458192036"",""BD M Sangrias!a:i""),""select Col6 where Col7 = 'Depositada' and Col9 = '""&amp;"&amp;"K435&amp;""' and Col6 = ""&amp;N435&amp;"" and Col4 = date '""&amp;YEAR(C435)&amp;""-""&amp;MONTH(C435)&amp;""-""&amp;DAY(C435)&amp;""'""))&gt;0,""Depositada"",if(sum(QUERY(IMPORTRANGE(""https://docs.google.com/spreadsheets/d/15vCx43UQd-lUcbnvwm-R2Xfhex1Wogrs1wY4DlXukMA/edit#gid=458192036"","""&amp;"BD M Sangrias!a:i""),""select Col6 where Col7 = 'Caixa Atendimento' and Col9 = '""&amp;K435&amp;""' and Col6 = ""&amp;N435&amp;"" and Col4 = date '""&amp;YEAR(C435)&amp;""-""&amp;MONTH(C435)&amp;""-""&amp;DAY(C435)&amp;""'""))&gt;0,""Caixa Atendimento"",""Caixa Sangria"")),""""),""Caixa Sangria"")"),"")</f>
        <v/>
      </c>
      <c r="M435" s="164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IFERROR(__xludf.DUMMYFUNCTION("ifna(IF(and(D436=""Saída"",J436=""Sangria""),if(sum(QUERY(IMPORTRANGE(""https://docs.google.com/spreadsheets/d/15vCx43UQd-lUcbnvwm-R2Xfhex1Wogrs1wY4DlXukMA/edit#gid=458192036"",""BD M Sangrias!a:i""),""select Col6 where Col7 = 'Depositada' and Col9 = '""&amp;"&amp;"K436&amp;""' and Col6 = ""&amp;N436&amp;"" and Col4 = date '""&amp;YEAR(C436)&amp;""-""&amp;MONTH(C436)&amp;""-""&amp;DAY(C436)&amp;""'""))&gt;0,""Depositada"",if(sum(QUERY(IMPORTRANGE(""https://docs.google.com/spreadsheets/d/15vCx43UQd-lUcbnvwm-R2Xfhex1Wogrs1wY4DlXukMA/edit#gid=458192036"","""&amp;"BD M Sangrias!a:i""),""select Col6 where Col7 = 'Caixa Atendimento' and Col9 = '""&amp;K436&amp;""' and Col6 = ""&amp;N436&amp;"" and Col4 = date '""&amp;YEAR(C436)&amp;""-""&amp;MONTH(C436)&amp;""-""&amp;DAY(C436)&amp;""'""))&gt;0,""Caixa Atendimento"",""Caixa Sangria"")),""""),""Caixa Sangria"")"),"")</f>
        <v/>
      </c>
      <c r="M436" s="163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IFERROR(__xludf.DUMMYFUNCTION("ifna(IF(and(D437=""Saída"",J437=""Sangria""),if(sum(QUERY(IMPORTRANGE(""https://docs.google.com/spreadsheets/d/15vCx43UQd-lUcbnvwm-R2Xfhex1Wogrs1wY4DlXukMA/edit#gid=458192036"",""BD M Sangrias!a:i""),""select Col6 where Col7 = 'Depositada' and Col9 = '""&amp;"&amp;"K437&amp;""' and Col6 = ""&amp;N437&amp;"" and Col4 = date '""&amp;YEAR(C437)&amp;""-""&amp;MONTH(C437)&amp;""-""&amp;DAY(C437)&amp;""'""))&gt;0,""Depositada"",if(sum(QUERY(IMPORTRANGE(""https://docs.google.com/spreadsheets/d/15vCx43UQd-lUcbnvwm-R2Xfhex1Wogrs1wY4DlXukMA/edit#gid=458192036"","""&amp;"BD M Sangrias!a:i""),""select Col6 where Col7 = 'Caixa Atendimento' and Col9 = '""&amp;K437&amp;""' and Col6 = ""&amp;N437&amp;"" and Col4 = date '""&amp;YEAR(C437)&amp;""-""&amp;MONTH(C437)&amp;""-""&amp;DAY(C437)&amp;""'""))&gt;0,""Caixa Atendimento"",""Caixa Sangria"")),""""),""Caixa Sangria"")"),"")</f>
        <v/>
      </c>
      <c r="M437" s="164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IFERROR(__xludf.DUMMYFUNCTION("ifna(IF(and(D438=""Saída"",J438=""Sangria""),if(sum(QUERY(IMPORTRANGE(""https://docs.google.com/spreadsheets/d/15vCx43UQd-lUcbnvwm-R2Xfhex1Wogrs1wY4DlXukMA/edit#gid=458192036"",""BD M Sangrias!a:i""),""select Col6 where Col7 = 'Depositada' and Col9 = '""&amp;"&amp;"K438&amp;""' and Col6 = ""&amp;N438&amp;"" and Col4 = date '""&amp;YEAR(C438)&amp;""-""&amp;MONTH(C438)&amp;""-""&amp;DAY(C438)&amp;""'""))&gt;0,""Depositada"",if(sum(QUERY(IMPORTRANGE(""https://docs.google.com/spreadsheets/d/15vCx43UQd-lUcbnvwm-R2Xfhex1Wogrs1wY4DlXukMA/edit#gid=458192036"","""&amp;"BD M Sangrias!a:i""),""select Col6 where Col7 = 'Caixa Atendimento' and Col9 = '""&amp;K438&amp;""' and Col6 = ""&amp;N438&amp;"" and Col4 = date '""&amp;YEAR(C438)&amp;""-""&amp;MONTH(C438)&amp;""-""&amp;DAY(C438)&amp;""'""))&gt;0,""Caixa Atendimento"",""Caixa Sangria"")),""""),""Caixa Sangria"")"),"")</f>
        <v/>
      </c>
      <c r="M438" s="163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IFERROR(__xludf.DUMMYFUNCTION("ifna(IF(and(D439=""Saída"",J439=""Sangria""),if(sum(QUERY(IMPORTRANGE(""https://docs.google.com/spreadsheets/d/15vCx43UQd-lUcbnvwm-R2Xfhex1Wogrs1wY4DlXukMA/edit#gid=458192036"",""BD M Sangrias!a:i""),""select Col6 where Col7 = 'Depositada' and Col9 = '""&amp;"&amp;"K439&amp;""' and Col6 = ""&amp;N439&amp;"" and Col4 = date '""&amp;YEAR(C439)&amp;""-""&amp;MONTH(C439)&amp;""-""&amp;DAY(C439)&amp;""'""))&gt;0,""Depositada"",if(sum(QUERY(IMPORTRANGE(""https://docs.google.com/spreadsheets/d/15vCx43UQd-lUcbnvwm-R2Xfhex1Wogrs1wY4DlXukMA/edit#gid=458192036"","""&amp;"BD M Sangrias!a:i""),""select Col6 where Col7 = 'Caixa Atendimento' and Col9 = '""&amp;K439&amp;""' and Col6 = ""&amp;N439&amp;"" and Col4 = date '""&amp;YEAR(C439)&amp;""-""&amp;MONTH(C439)&amp;""-""&amp;DAY(C439)&amp;""'""))&gt;0,""Caixa Atendimento"",""Caixa Sangria"")),""""),""Caixa Sangria"")"),"")</f>
        <v/>
      </c>
      <c r="M439" s="164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IFERROR(__xludf.DUMMYFUNCTION("ifna(IF(and(D440=""Saída"",J440=""Sangria""),if(sum(QUERY(IMPORTRANGE(""https://docs.google.com/spreadsheets/d/15vCx43UQd-lUcbnvwm-R2Xfhex1Wogrs1wY4DlXukMA/edit#gid=458192036"",""BD M Sangrias!a:i""),""select Col6 where Col7 = 'Depositada' and Col9 = '""&amp;"&amp;"K440&amp;""' and Col6 = ""&amp;N440&amp;"" and Col4 = date '""&amp;YEAR(C440)&amp;""-""&amp;MONTH(C440)&amp;""-""&amp;DAY(C440)&amp;""'""))&gt;0,""Depositada"",if(sum(QUERY(IMPORTRANGE(""https://docs.google.com/spreadsheets/d/15vCx43UQd-lUcbnvwm-R2Xfhex1Wogrs1wY4DlXukMA/edit#gid=458192036"","""&amp;"BD M Sangrias!a:i""),""select Col6 where Col7 = 'Caixa Atendimento' and Col9 = '""&amp;K440&amp;""' and Col6 = ""&amp;N440&amp;"" and Col4 = date '""&amp;YEAR(C440)&amp;""-""&amp;MONTH(C440)&amp;""-""&amp;DAY(C440)&amp;""'""))&gt;0,""Caixa Atendimento"",""Caixa Sangria"")),""""),""Caixa Sangria"")"),"")</f>
        <v/>
      </c>
      <c r="M440" s="163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IFERROR(__xludf.DUMMYFUNCTION("ifna(IF(and(D441=""Saída"",J441=""Sangria""),if(sum(QUERY(IMPORTRANGE(""https://docs.google.com/spreadsheets/d/15vCx43UQd-lUcbnvwm-R2Xfhex1Wogrs1wY4DlXukMA/edit#gid=458192036"",""BD M Sangrias!a:i""),""select Col6 where Col7 = 'Depositada' and Col9 = '""&amp;"&amp;"K441&amp;""' and Col6 = ""&amp;N441&amp;"" and Col4 = date '""&amp;YEAR(C441)&amp;""-""&amp;MONTH(C441)&amp;""-""&amp;DAY(C441)&amp;""'""))&gt;0,""Depositada"",if(sum(QUERY(IMPORTRANGE(""https://docs.google.com/spreadsheets/d/15vCx43UQd-lUcbnvwm-R2Xfhex1Wogrs1wY4DlXukMA/edit#gid=458192036"","""&amp;"BD M Sangrias!a:i""),""select Col6 where Col7 = 'Caixa Atendimento' and Col9 = '""&amp;K441&amp;""' and Col6 = ""&amp;N441&amp;"" and Col4 = date '""&amp;YEAR(C441)&amp;""-""&amp;MONTH(C441)&amp;""-""&amp;DAY(C441)&amp;""'""))&gt;0,""Caixa Atendimento"",""Caixa Sangria"")),""""),""Caixa Sangria"")"),"")</f>
        <v/>
      </c>
      <c r="M441" s="164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IFERROR(__xludf.DUMMYFUNCTION("ifna(IF(and(D442=""Saída"",J442=""Sangria""),if(sum(QUERY(IMPORTRANGE(""https://docs.google.com/spreadsheets/d/15vCx43UQd-lUcbnvwm-R2Xfhex1Wogrs1wY4DlXukMA/edit#gid=458192036"",""BD M Sangrias!a:i""),""select Col6 where Col7 = 'Depositada' and Col9 = '""&amp;"&amp;"K442&amp;""' and Col6 = ""&amp;N442&amp;"" and Col4 = date '""&amp;YEAR(C442)&amp;""-""&amp;MONTH(C442)&amp;""-""&amp;DAY(C442)&amp;""'""))&gt;0,""Depositada"",if(sum(QUERY(IMPORTRANGE(""https://docs.google.com/spreadsheets/d/15vCx43UQd-lUcbnvwm-R2Xfhex1Wogrs1wY4DlXukMA/edit#gid=458192036"","""&amp;"BD M Sangrias!a:i""),""select Col6 where Col7 = 'Caixa Atendimento' and Col9 = '""&amp;K442&amp;""' and Col6 = ""&amp;N442&amp;"" and Col4 = date '""&amp;YEAR(C442)&amp;""-""&amp;MONTH(C442)&amp;""-""&amp;DAY(C442)&amp;""'""))&gt;0,""Caixa Atendimento"",""Caixa Sangria"")),""""),""Caixa Sangria"")"),"")</f>
        <v/>
      </c>
      <c r="M442" s="163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IFERROR(__xludf.DUMMYFUNCTION("ifna(IF(and(D443=""Saída"",J443=""Sangria""),if(sum(QUERY(IMPORTRANGE(""https://docs.google.com/spreadsheets/d/15vCx43UQd-lUcbnvwm-R2Xfhex1Wogrs1wY4DlXukMA/edit#gid=458192036"",""BD M Sangrias!a:i""),""select Col6 where Col7 = 'Depositada' and Col9 = '""&amp;"&amp;"K443&amp;""' and Col6 = ""&amp;N443&amp;"" and Col4 = date '""&amp;YEAR(C443)&amp;""-""&amp;MONTH(C443)&amp;""-""&amp;DAY(C443)&amp;""'""))&gt;0,""Depositada"",if(sum(QUERY(IMPORTRANGE(""https://docs.google.com/spreadsheets/d/15vCx43UQd-lUcbnvwm-R2Xfhex1Wogrs1wY4DlXukMA/edit#gid=458192036"","""&amp;"BD M Sangrias!a:i""),""select Col6 where Col7 = 'Caixa Atendimento' and Col9 = '""&amp;K443&amp;""' and Col6 = ""&amp;N443&amp;"" and Col4 = date '""&amp;YEAR(C443)&amp;""-""&amp;MONTH(C443)&amp;""-""&amp;DAY(C443)&amp;""'""))&gt;0,""Caixa Atendimento"",""Caixa Sangria"")),""""),""Caixa Sangria"")"),"")</f>
        <v/>
      </c>
      <c r="M443" s="164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IFERROR(__xludf.DUMMYFUNCTION("ifna(IF(and(D444=""Saída"",J444=""Sangria""),if(sum(QUERY(IMPORTRANGE(""https://docs.google.com/spreadsheets/d/15vCx43UQd-lUcbnvwm-R2Xfhex1Wogrs1wY4DlXukMA/edit#gid=458192036"",""BD M Sangrias!a:i""),""select Col6 where Col7 = 'Depositada' and Col9 = '""&amp;"&amp;"K444&amp;""' and Col6 = ""&amp;N444&amp;"" and Col4 = date '""&amp;YEAR(C444)&amp;""-""&amp;MONTH(C444)&amp;""-""&amp;DAY(C444)&amp;""'""))&gt;0,""Depositada"",if(sum(QUERY(IMPORTRANGE(""https://docs.google.com/spreadsheets/d/15vCx43UQd-lUcbnvwm-R2Xfhex1Wogrs1wY4DlXukMA/edit#gid=458192036"","""&amp;"BD M Sangrias!a:i""),""select Col6 where Col7 = 'Caixa Atendimento' and Col9 = '""&amp;K444&amp;""' and Col6 = ""&amp;N444&amp;"" and Col4 = date '""&amp;YEAR(C444)&amp;""-""&amp;MONTH(C444)&amp;""-""&amp;DAY(C444)&amp;""'""))&gt;0,""Caixa Atendimento"",""Caixa Sangria"")),""""),""Caixa Sangria"")"),"")</f>
        <v/>
      </c>
      <c r="M444" s="163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IFERROR(__xludf.DUMMYFUNCTION("ifna(IF(and(D445=""Saída"",J445=""Sangria""),if(sum(QUERY(IMPORTRANGE(""https://docs.google.com/spreadsheets/d/15vCx43UQd-lUcbnvwm-R2Xfhex1Wogrs1wY4DlXukMA/edit#gid=458192036"",""BD M Sangrias!a:i""),""select Col6 where Col7 = 'Depositada' and Col9 = '""&amp;"&amp;"K445&amp;""' and Col6 = ""&amp;N445&amp;"" and Col4 = date '""&amp;YEAR(C445)&amp;""-""&amp;MONTH(C445)&amp;""-""&amp;DAY(C445)&amp;""'""))&gt;0,""Depositada"",if(sum(QUERY(IMPORTRANGE(""https://docs.google.com/spreadsheets/d/15vCx43UQd-lUcbnvwm-R2Xfhex1Wogrs1wY4DlXukMA/edit#gid=458192036"","""&amp;"BD M Sangrias!a:i""),""select Col6 where Col7 = 'Caixa Atendimento' and Col9 = '""&amp;K445&amp;""' and Col6 = ""&amp;N445&amp;"" and Col4 = date '""&amp;YEAR(C445)&amp;""-""&amp;MONTH(C445)&amp;""-""&amp;DAY(C445)&amp;""'""))&gt;0,""Caixa Atendimento"",""Caixa Sangria"")),""""),""Caixa Sangria"")"),"")</f>
        <v/>
      </c>
      <c r="M445" s="164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IFERROR(__xludf.DUMMYFUNCTION("ifna(IF(and(D446=""Saída"",J446=""Sangria""),if(sum(QUERY(IMPORTRANGE(""https://docs.google.com/spreadsheets/d/15vCx43UQd-lUcbnvwm-R2Xfhex1Wogrs1wY4DlXukMA/edit#gid=458192036"",""BD M Sangrias!a:i""),""select Col6 where Col7 = 'Depositada' and Col9 = '""&amp;"&amp;"K446&amp;""' and Col6 = ""&amp;N446&amp;"" and Col4 = date '""&amp;YEAR(C446)&amp;""-""&amp;MONTH(C446)&amp;""-""&amp;DAY(C446)&amp;""'""))&gt;0,""Depositada"",if(sum(QUERY(IMPORTRANGE(""https://docs.google.com/spreadsheets/d/15vCx43UQd-lUcbnvwm-R2Xfhex1Wogrs1wY4DlXukMA/edit#gid=458192036"","""&amp;"BD M Sangrias!a:i""),""select Col6 where Col7 = 'Caixa Atendimento' and Col9 = '""&amp;K446&amp;""' and Col6 = ""&amp;N446&amp;"" and Col4 = date '""&amp;YEAR(C446)&amp;""-""&amp;MONTH(C446)&amp;""-""&amp;DAY(C446)&amp;""'""))&gt;0,""Caixa Atendimento"",""Caixa Sangria"")),""""),""Caixa Sangria"")"),"")</f>
        <v/>
      </c>
      <c r="M446" s="163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IFERROR(__xludf.DUMMYFUNCTION("ifna(IF(and(D447=""Saída"",J447=""Sangria""),if(sum(QUERY(IMPORTRANGE(""https://docs.google.com/spreadsheets/d/15vCx43UQd-lUcbnvwm-R2Xfhex1Wogrs1wY4DlXukMA/edit#gid=458192036"",""BD M Sangrias!a:i""),""select Col6 where Col7 = 'Depositada' and Col9 = '""&amp;"&amp;"K447&amp;""' and Col6 = ""&amp;N447&amp;"" and Col4 = date '""&amp;YEAR(C447)&amp;""-""&amp;MONTH(C447)&amp;""-""&amp;DAY(C447)&amp;""'""))&gt;0,""Depositada"",if(sum(QUERY(IMPORTRANGE(""https://docs.google.com/spreadsheets/d/15vCx43UQd-lUcbnvwm-R2Xfhex1Wogrs1wY4DlXukMA/edit#gid=458192036"","""&amp;"BD M Sangrias!a:i""),""select Col6 where Col7 = 'Caixa Atendimento' and Col9 = '""&amp;K447&amp;""' and Col6 = ""&amp;N447&amp;"" and Col4 = date '""&amp;YEAR(C447)&amp;""-""&amp;MONTH(C447)&amp;""-""&amp;DAY(C447)&amp;""'""))&gt;0,""Caixa Atendimento"",""Caixa Sangria"")),""""),""Caixa Sangria"")"),"")</f>
        <v/>
      </c>
      <c r="M447" s="164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IFERROR(__xludf.DUMMYFUNCTION("ifna(IF(and(D448=""Saída"",J448=""Sangria""),if(sum(QUERY(IMPORTRANGE(""https://docs.google.com/spreadsheets/d/15vCx43UQd-lUcbnvwm-R2Xfhex1Wogrs1wY4DlXukMA/edit#gid=458192036"",""BD M Sangrias!a:i""),""select Col6 where Col7 = 'Depositada' and Col9 = '""&amp;"&amp;"K448&amp;""' and Col6 = ""&amp;N448&amp;"" and Col4 = date '""&amp;YEAR(C448)&amp;""-""&amp;MONTH(C448)&amp;""-""&amp;DAY(C448)&amp;""'""))&gt;0,""Depositada"",if(sum(QUERY(IMPORTRANGE(""https://docs.google.com/spreadsheets/d/15vCx43UQd-lUcbnvwm-R2Xfhex1Wogrs1wY4DlXukMA/edit#gid=458192036"","""&amp;"BD M Sangrias!a:i""),""select Col6 where Col7 = 'Caixa Atendimento' and Col9 = '""&amp;K448&amp;""' and Col6 = ""&amp;N448&amp;"" and Col4 = date '""&amp;YEAR(C448)&amp;""-""&amp;MONTH(C448)&amp;""-""&amp;DAY(C448)&amp;""'""))&gt;0,""Caixa Atendimento"",""Caixa Sangria"")),""""),""Caixa Sangria"")"),"")</f>
        <v/>
      </c>
      <c r="M448" s="163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IFERROR(__xludf.DUMMYFUNCTION("ifna(IF(and(D449=""Saída"",J449=""Sangria""),if(sum(QUERY(IMPORTRANGE(""https://docs.google.com/spreadsheets/d/15vCx43UQd-lUcbnvwm-R2Xfhex1Wogrs1wY4DlXukMA/edit#gid=458192036"",""BD M Sangrias!a:i""),""select Col6 where Col7 = 'Depositada' and Col9 = '""&amp;"&amp;"K449&amp;""' and Col6 = ""&amp;N449&amp;"" and Col4 = date '""&amp;YEAR(C449)&amp;""-""&amp;MONTH(C449)&amp;""-""&amp;DAY(C449)&amp;""'""))&gt;0,""Depositada"",if(sum(QUERY(IMPORTRANGE(""https://docs.google.com/spreadsheets/d/15vCx43UQd-lUcbnvwm-R2Xfhex1Wogrs1wY4DlXukMA/edit#gid=458192036"","""&amp;"BD M Sangrias!a:i""),""select Col6 where Col7 = 'Caixa Atendimento' and Col9 = '""&amp;K449&amp;""' and Col6 = ""&amp;N449&amp;"" and Col4 = date '""&amp;YEAR(C449)&amp;""-""&amp;MONTH(C449)&amp;""-""&amp;DAY(C449)&amp;""'""))&gt;0,""Caixa Atendimento"",""Caixa Sangria"")),""""),""Caixa Sangria"")"),"")</f>
        <v/>
      </c>
      <c r="M449" s="164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IFERROR(__xludf.DUMMYFUNCTION("ifna(IF(and(D450=""Saída"",J450=""Sangria""),if(sum(QUERY(IMPORTRANGE(""https://docs.google.com/spreadsheets/d/15vCx43UQd-lUcbnvwm-R2Xfhex1Wogrs1wY4DlXukMA/edit#gid=458192036"",""BD M Sangrias!a:i""),""select Col6 where Col7 = 'Depositada' and Col9 = '""&amp;"&amp;"K450&amp;""' and Col6 = ""&amp;N450&amp;"" and Col4 = date '""&amp;YEAR(C450)&amp;""-""&amp;MONTH(C450)&amp;""-""&amp;DAY(C450)&amp;""'""))&gt;0,""Depositada"",if(sum(QUERY(IMPORTRANGE(""https://docs.google.com/spreadsheets/d/15vCx43UQd-lUcbnvwm-R2Xfhex1Wogrs1wY4DlXukMA/edit#gid=458192036"","""&amp;"BD M Sangrias!a:i""),""select Col6 where Col7 = 'Caixa Atendimento' and Col9 = '""&amp;K450&amp;""' and Col6 = ""&amp;N450&amp;"" and Col4 = date '""&amp;YEAR(C450)&amp;""-""&amp;MONTH(C450)&amp;""-""&amp;DAY(C450)&amp;""'""))&gt;0,""Caixa Atendimento"",""Caixa Sangria"")),""""),""Caixa Sangria"")"),"")</f>
        <v/>
      </c>
      <c r="M450" s="163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IFERROR(__xludf.DUMMYFUNCTION("ifna(IF(and(D451=""Saída"",J451=""Sangria""),if(sum(QUERY(IMPORTRANGE(""https://docs.google.com/spreadsheets/d/15vCx43UQd-lUcbnvwm-R2Xfhex1Wogrs1wY4DlXukMA/edit#gid=458192036"",""BD M Sangrias!a:i""),""select Col6 where Col7 = 'Depositada' and Col9 = '""&amp;"&amp;"K451&amp;""' and Col6 = ""&amp;N451&amp;"" and Col4 = date '""&amp;YEAR(C451)&amp;""-""&amp;MONTH(C451)&amp;""-""&amp;DAY(C451)&amp;""'""))&gt;0,""Depositada"",if(sum(QUERY(IMPORTRANGE(""https://docs.google.com/spreadsheets/d/15vCx43UQd-lUcbnvwm-R2Xfhex1Wogrs1wY4DlXukMA/edit#gid=458192036"","""&amp;"BD M Sangrias!a:i""),""select Col6 where Col7 = 'Caixa Atendimento' and Col9 = '""&amp;K451&amp;""' and Col6 = ""&amp;N451&amp;"" and Col4 = date '""&amp;YEAR(C451)&amp;""-""&amp;MONTH(C451)&amp;""-""&amp;DAY(C451)&amp;""'""))&gt;0,""Caixa Atendimento"",""Caixa Sangria"")),""""),""Caixa Sangria"")"),"")</f>
        <v/>
      </c>
      <c r="M451" s="164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IFERROR(__xludf.DUMMYFUNCTION("ifna(IF(and(D452=""Saída"",J452=""Sangria""),if(sum(QUERY(IMPORTRANGE(""https://docs.google.com/spreadsheets/d/15vCx43UQd-lUcbnvwm-R2Xfhex1Wogrs1wY4DlXukMA/edit#gid=458192036"",""BD M Sangrias!a:i""),""select Col6 where Col7 = 'Depositada' and Col9 = '""&amp;"&amp;"K452&amp;""' and Col6 = ""&amp;N452&amp;"" and Col4 = date '""&amp;YEAR(C452)&amp;""-""&amp;MONTH(C452)&amp;""-""&amp;DAY(C452)&amp;""'""))&gt;0,""Depositada"",if(sum(QUERY(IMPORTRANGE(""https://docs.google.com/spreadsheets/d/15vCx43UQd-lUcbnvwm-R2Xfhex1Wogrs1wY4DlXukMA/edit#gid=458192036"","""&amp;"BD M Sangrias!a:i""),""select Col6 where Col7 = 'Caixa Atendimento' and Col9 = '""&amp;K452&amp;""' and Col6 = ""&amp;N452&amp;"" and Col4 = date '""&amp;YEAR(C452)&amp;""-""&amp;MONTH(C452)&amp;""-""&amp;DAY(C452)&amp;""'""))&gt;0,""Caixa Atendimento"",""Caixa Sangria"")),""""),""Caixa Sangria"")"),"")</f>
        <v/>
      </c>
      <c r="M452" s="163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IFERROR(__xludf.DUMMYFUNCTION("ifna(IF(and(D453=""Saída"",J453=""Sangria""),if(sum(QUERY(IMPORTRANGE(""https://docs.google.com/spreadsheets/d/15vCx43UQd-lUcbnvwm-R2Xfhex1Wogrs1wY4DlXukMA/edit#gid=458192036"",""BD M Sangrias!a:i""),""select Col6 where Col7 = 'Depositada' and Col9 = '""&amp;"&amp;"K453&amp;""' and Col6 = ""&amp;N453&amp;"" and Col4 = date '""&amp;YEAR(C453)&amp;""-""&amp;MONTH(C453)&amp;""-""&amp;DAY(C453)&amp;""'""))&gt;0,""Depositada"",if(sum(QUERY(IMPORTRANGE(""https://docs.google.com/spreadsheets/d/15vCx43UQd-lUcbnvwm-R2Xfhex1Wogrs1wY4DlXukMA/edit#gid=458192036"","""&amp;"BD M Sangrias!a:i""),""select Col6 where Col7 = 'Caixa Atendimento' and Col9 = '""&amp;K453&amp;""' and Col6 = ""&amp;N453&amp;"" and Col4 = date '""&amp;YEAR(C453)&amp;""-""&amp;MONTH(C453)&amp;""-""&amp;DAY(C453)&amp;""'""))&gt;0,""Caixa Atendimento"",""Caixa Sangria"")),""""),""Caixa Sangria"")"),"")</f>
        <v/>
      </c>
      <c r="M453" s="164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IFERROR(__xludf.DUMMYFUNCTION("ifna(IF(and(D454=""Saída"",J454=""Sangria""),if(sum(QUERY(IMPORTRANGE(""https://docs.google.com/spreadsheets/d/15vCx43UQd-lUcbnvwm-R2Xfhex1Wogrs1wY4DlXukMA/edit#gid=458192036"",""BD M Sangrias!a:i""),""select Col6 where Col7 = 'Depositada' and Col9 = '""&amp;"&amp;"K454&amp;""' and Col6 = ""&amp;N454&amp;"" and Col4 = date '""&amp;YEAR(C454)&amp;""-""&amp;MONTH(C454)&amp;""-""&amp;DAY(C454)&amp;""'""))&gt;0,""Depositada"",if(sum(QUERY(IMPORTRANGE(""https://docs.google.com/spreadsheets/d/15vCx43UQd-lUcbnvwm-R2Xfhex1Wogrs1wY4DlXukMA/edit#gid=458192036"","""&amp;"BD M Sangrias!a:i""),""select Col6 where Col7 = 'Caixa Atendimento' and Col9 = '""&amp;K454&amp;""' and Col6 = ""&amp;N454&amp;"" and Col4 = date '""&amp;YEAR(C454)&amp;""-""&amp;MONTH(C454)&amp;""-""&amp;DAY(C454)&amp;""'""))&gt;0,""Caixa Atendimento"",""Caixa Sangria"")),""""),""Caixa Sangria"")"),"")</f>
        <v/>
      </c>
      <c r="M454" s="163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IFERROR(__xludf.DUMMYFUNCTION("ifna(IF(and(D455=""Saída"",J455=""Sangria""),if(sum(QUERY(IMPORTRANGE(""https://docs.google.com/spreadsheets/d/15vCx43UQd-lUcbnvwm-R2Xfhex1Wogrs1wY4DlXukMA/edit#gid=458192036"",""BD M Sangrias!a:i""),""select Col6 where Col7 = 'Depositada' and Col9 = '""&amp;"&amp;"K455&amp;""' and Col6 = ""&amp;N455&amp;"" and Col4 = date '""&amp;YEAR(C455)&amp;""-""&amp;MONTH(C455)&amp;""-""&amp;DAY(C455)&amp;""'""))&gt;0,""Depositada"",if(sum(QUERY(IMPORTRANGE(""https://docs.google.com/spreadsheets/d/15vCx43UQd-lUcbnvwm-R2Xfhex1Wogrs1wY4DlXukMA/edit#gid=458192036"","""&amp;"BD M Sangrias!a:i""),""select Col6 where Col7 = 'Caixa Atendimento' and Col9 = '""&amp;K455&amp;""' and Col6 = ""&amp;N455&amp;"" and Col4 = date '""&amp;YEAR(C455)&amp;""-""&amp;MONTH(C455)&amp;""-""&amp;DAY(C455)&amp;""'""))&gt;0,""Caixa Atendimento"",""Caixa Sangria"")),""""),""Caixa Sangria"")"),"")</f>
        <v/>
      </c>
      <c r="M455" s="164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IFERROR(__xludf.DUMMYFUNCTION("ifna(IF(and(D456=""Saída"",J456=""Sangria""),if(sum(QUERY(IMPORTRANGE(""https://docs.google.com/spreadsheets/d/15vCx43UQd-lUcbnvwm-R2Xfhex1Wogrs1wY4DlXukMA/edit#gid=458192036"",""BD M Sangrias!a:i""),""select Col6 where Col7 = 'Depositada' and Col9 = '""&amp;"&amp;"K456&amp;""' and Col6 = ""&amp;N456&amp;"" and Col4 = date '""&amp;YEAR(C456)&amp;""-""&amp;MONTH(C456)&amp;""-""&amp;DAY(C456)&amp;""'""))&gt;0,""Depositada"",if(sum(QUERY(IMPORTRANGE(""https://docs.google.com/spreadsheets/d/15vCx43UQd-lUcbnvwm-R2Xfhex1Wogrs1wY4DlXukMA/edit#gid=458192036"","""&amp;"BD M Sangrias!a:i""),""select Col6 where Col7 = 'Caixa Atendimento' and Col9 = '""&amp;K456&amp;""' and Col6 = ""&amp;N456&amp;"" and Col4 = date '""&amp;YEAR(C456)&amp;""-""&amp;MONTH(C456)&amp;""-""&amp;DAY(C456)&amp;""'""))&gt;0,""Caixa Atendimento"",""Caixa Sangria"")),""""),""Caixa Sangria"")"),"")</f>
        <v/>
      </c>
      <c r="M456" s="163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IFERROR(__xludf.DUMMYFUNCTION("ifna(IF(and(D457=""Saída"",J457=""Sangria""),if(sum(QUERY(IMPORTRANGE(""https://docs.google.com/spreadsheets/d/15vCx43UQd-lUcbnvwm-R2Xfhex1Wogrs1wY4DlXukMA/edit#gid=458192036"",""BD M Sangrias!a:i""),""select Col6 where Col7 = 'Depositada' and Col9 = '""&amp;"&amp;"K457&amp;""' and Col6 = ""&amp;N457&amp;"" and Col4 = date '""&amp;YEAR(C457)&amp;""-""&amp;MONTH(C457)&amp;""-""&amp;DAY(C457)&amp;""'""))&gt;0,""Depositada"",if(sum(QUERY(IMPORTRANGE(""https://docs.google.com/spreadsheets/d/15vCx43UQd-lUcbnvwm-R2Xfhex1Wogrs1wY4DlXukMA/edit#gid=458192036"","""&amp;"BD M Sangrias!a:i""),""select Col6 where Col7 = 'Caixa Atendimento' and Col9 = '""&amp;K457&amp;""' and Col6 = ""&amp;N457&amp;"" and Col4 = date '""&amp;YEAR(C457)&amp;""-""&amp;MONTH(C457)&amp;""-""&amp;DAY(C457)&amp;""'""))&gt;0,""Caixa Atendimento"",""Caixa Sangria"")),""""),""Caixa Sangria"")"),"")</f>
        <v/>
      </c>
      <c r="M457" s="164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IFERROR(__xludf.DUMMYFUNCTION("ifna(IF(and(D458=""Saída"",J458=""Sangria""),if(sum(QUERY(IMPORTRANGE(""https://docs.google.com/spreadsheets/d/15vCx43UQd-lUcbnvwm-R2Xfhex1Wogrs1wY4DlXukMA/edit#gid=458192036"",""BD M Sangrias!a:i""),""select Col6 where Col7 = 'Depositada' and Col9 = '""&amp;"&amp;"K458&amp;""' and Col6 = ""&amp;N458&amp;"" and Col4 = date '""&amp;YEAR(C458)&amp;""-""&amp;MONTH(C458)&amp;""-""&amp;DAY(C458)&amp;""'""))&gt;0,""Depositada"",if(sum(QUERY(IMPORTRANGE(""https://docs.google.com/spreadsheets/d/15vCx43UQd-lUcbnvwm-R2Xfhex1Wogrs1wY4DlXukMA/edit#gid=458192036"","""&amp;"BD M Sangrias!a:i""),""select Col6 where Col7 = 'Caixa Atendimento' and Col9 = '""&amp;K458&amp;""' and Col6 = ""&amp;N458&amp;"" and Col4 = date '""&amp;YEAR(C458)&amp;""-""&amp;MONTH(C458)&amp;""-""&amp;DAY(C458)&amp;""'""))&gt;0,""Caixa Atendimento"",""Caixa Sangria"")),""""),""Caixa Sangria"")"),"")</f>
        <v/>
      </c>
      <c r="M458" s="163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IFERROR(__xludf.DUMMYFUNCTION("ifna(IF(and(D459=""Saída"",J459=""Sangria""),if(sum(QUERY(IMPORTRANGE(""https://docs.google.com/spreadsheets/d/15vCx43UQd-lUcbnvwm-R2Xfhex1Wogrs1wY4DlXukMA/edit#gid=458192036"",""BD M Sangrias!a:i""),""select Col6 where Col7 = 'Depositada' and Col9 = '""&amp;"&amp;"K459&amp;""' and Col6 = ""&amp;N459&amp;"" and Col4 = date '""&amp;YEAR(C459)&amp;""-""&amp;MONTH(C459)&amp;""-""&amp;DAY(C459)&amp;""'""))&gt;0,""Depositada"",if(sum(QUERY(IMPORTRANGE(""https://docs.google.com/spreadsheets/d/15vCx43UQd-lUcbnvwm-R2Xfhex1Wogrs1wY4DlXukMA/edit#gid=458192036"","""&amp;"BD M Sangrias!a:i""),""select Col6 where Col7 = 'Caixa Atendimento' and Col9 = '""&amp;K459&amp;""' and Col6 = ""&amp;N459&amp;"" and Col4 = date '""&amp;YEAR(C459)&amp;""-""&amp;MONTH(C459)&amp;""-""&amp;DAY(C459)&amp;""'""))&gt;0,""Caixa Atendimento"",""Caixa Sangria"")),""""),""Caixa Sangria"")"),"")</f>
        <v/>
      </c>
      <c r="M459" s="164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IFERROR(__xludf.DUMMYFUNCTION("ifna(IF(and(D460=""Saída"",J460=""Sangria""),if(sum(QUERY(IMPORTRANGE(""https://docs.google.com/spreadsheets/d/15vCx43UQd-lUcbnvwm-R2Xfhex1Wogrs1wY4DlXukMA/edit#gid=458192036"",""BD M Sangrias!a:i""),""select Col6 where Col7 = 'Depositada' and Col9 = '""&amp;"&amp;"K460&amp;""' and Col6 = ""&amp;N460&amp;"" and Col4 = date '""&amp;YEAR(C460)&amp;""-""&amp;MONTH(C460)&amp;""-""&amp;DAY(C460)&amp;""'""))&gt;0,""Depositada"",if(sum(QUERY(IMPORTRANGE(""https://docs.google.com/spreadsheets/d/15vCx43UQd-lUcbnvwm-R2Xfhex1Wogrs1wY4DlXukMA/edit#gid=458192036"","""&amp;"BD M Sangrias!a:i""),""select Col6 where Col7 = 'Caixa Atendimento' and Col9 = '""&amp;K460&amp;""' and Col6 = ""&amp;N460&amp;"" and Col4 = date '""&amp;YEAR(C460)&amp;""-""&amp;MONTH(C460)&amp;""-""&amp;DAY(C460)&amp;""'""))&gt;0,""Caixa Atendimento"",""Caixa Sangria"")),""""),""Caixa Sangria"")"),"")</f>
        <v/>
      </c>
      <c r="M460" s="163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IFERROR(__xludf.DUMMYFUNCTION("ifna(IF(and(D461=""Saída"",J461=""Sangria""),if(sum(QUERY(IMPORTRANGE(""https://docs.google.com/spreadsheets/d/15vCx43UQd-lUcbnvwm-R2Xfhex1Wogrs1wY4DlXukMA/edit#gid=458192036"",""BD M Sangrias!a:i""),""select Col6 where Col7 = 'Depositada' and Col9 = '""&amp;"&amp;"K461&amp;""' and Col6 = ""&amp;N461&amp;"" and Col4 = date '""&amp;YEAR(C461)&amp;""-""&amp;MONTH(C461)&amp;""-""&amp;DAY(C461)&amp;""'""))&gt;0,""Depositada"",if(sum(QUERY(IMPORTRANGE(""https://docs.google.com/spreadsheets/d/15vCx43UQd-lUcbnvwm-R2Xfhex1Wogrs1wY4DlXukMA/edit#gid=458192036"","""&amp;"BD M Sangrias!a:i""),""select Col6 where Col7 = 'Caixa Atendimento' and Col9 = '""&amp;K461&amp;""' and Col6 = ""&amp;N461&amp;"" and Col4 = date '""&amp;YEAR(C461)&amp;""-""&amp;MONTH(C461)&amp;""-""&amp;DAY(C461)&amp;""'""))&gt;0,""Caixa Atendimento"",""Caixa Sangria"")),""""),""Caixa Sangria"")"),"")</f>
        <v/>
      </c>
      <c r="M461" s="164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IFERROR(__xludf.DUMMYFUNCTION("ifna(IF(and(D462=""Saída"",J462=""Sangria""),if(sum(QUERY(IMPORTRANGE(""https://docs.google.com/spreadsheets/d/15vCx43UQd-lUcbnvwm-R2Xfhex1Wogrs1wY4DlXukMA/edit#gid=458192036"",""BD M Sangrias!a:i""),""select Col6 where Col7 = 'Depositada' and Col9 = '""&amp;"&amp;"K462&amp;""' and Col6 = ""&amp;N462&amp;"" and Col4 = date '""&amp;YEAR(C462)&amp;""-""&amp;MONTH(C462)&amp;""-""&amp;DAY(C462)&amp;""'""))&gt;0,""Depositada"",if(sum(QUERY(IMPORTRANGE(""https://docs.google.com/spreadsheets/d/15vCx43UQd-lUcbnvwm-R2Xfhex1Wogrs1wY4DlXukMA/edit#gid=458192036"","""&amp;"BD M Sangrias!a:i""),""select Col6 where Col7 = 'Caixa Atendimento' and Col9 = '""&amp;K462&amp;""' and Col6 = ""&amp;N462&amp;"" and Col4 = date '""&amp;YEAR(C462)&amp;""-""&amp;MONTH(C462)&amp;""-""&amp;DAY(C462)&amp;""'""))&gt;0,""Caixa Atendimento"",""Caixa Sangria"")),""""),""Caixa Sangria"")"),"")</f>
        <v/>
      </c>
      <c r="M462" s="163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IFERROR(__xludf.DUMMYFUNCTION("ifna(IF(and(D463=""Saída"",J463=""Sangria""),if(sum(QUERY(IMPORTRANGE(""https://docs.google.com/spreadsheets/d/15vCx43UQd-lUcbnvwm-R2Xfhex1Wogrs1wY4DlXukMA/edit#gid=458192036"",""BD M Sangrias!a:i""),""select Col6 where Col7 = 'Depositada' and Col9 = '""&amp;"&amp;"K463&amp;""' and Col6 = ""&amp;N463&amp;"" and Col4 = date '""&amp;YEAR(C463)&amp;""-""&amp;MONTH(C463)&amp;""-""&amp;DAY(C463)&amp;""'""))&gt;0,""Depositada"",if(sum(QUERY(IMPORTRANGE(""https://docs.google.com/spreadsheets/d/15vCx43UQd-lUcbnvwm-R2Xfhex1Wogrs1wY4DlXukMA/edit#gid=458192036"","""&amp;"BD M Sangrias!a:i""),""select Col6 where Col7 = 'Caixa Atendimento' and Col9 = '""&amp;K463&amp;""' and Col6 = ""&amp;N463&amp;"" and Col4 = date '""&amp;YEAR(C463)&amp;""-""&amp;MONTH(C463)&amp;""-""&amp;DAY(C463)&amp;""'""))&gt;0,""Caixa Atendimento"",""Caixa Sangria"")),""""),""Caixa Sangria"")"),"")</f>
        <v/>
      </c>
      <c r="M463" s="164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IFERROR(__xludf.DUMMYFUNCTION("ifna(IF(and(D464=""Saída"",J464=""Sangria""),if(sum(QUERY(IMPORTRANGE(""https://docs.google.com/spreadsheets/d/15vCx43UQd-lUcbnvwm-R2Xfhex1Wogrs1wY4DlXukMA/edit#gid=458192036"",""BD M Sangrias!a:i""),""select Col6 where Col7 = 'Depositada' and Col9 = '""&amp;"&amp;"K464&amp;""' and Col6 = ""&amp;N464&amp;"" and Col4 = date '""&amp;YEAR(C464)&amp;""-""&amp;MONTH(C464)&amp;""-""&amp;DAY(C464)&amp;""'""))&gt;0,""Depositada"",if(sum(QUERY(IMPORTRANGE(""https://docs.google.com/spreadsheets/d/15vCx43UQd-lUcbnvwm-R2Xfhex1Wogrs1wY4DlXukMA/edit#gid=458192036"","""&amp;"BD M Sangrias!a:i""),""select Col6 where Col7 = 'Caixa Atendimento' and Col9 = '""&amp;K464&amp;""' and Col6 = ""&amp;N464&amp;"" and Col4 = date '""&amp;YEAR(C464)&amp;""-""&amp;MONTH(C464)&amp;""-""&amp;DAY(C464)&amp;""'""))&gt;0,""Caixa Atendimento"",""Caixa Sangria"")),""""),""Caixa Sangria"")"),"")</f>
        <v/>
      </c>
      <c r="M464" s="163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IFERROR(__xludf.DUMMYFUNCTION("ifna(IF(and(D465=""Saída"",J465=""Sangria""),if(sum(QUERY(IMPORTRANGE(""https://docs.google.com/spreadsheets/d/15vCx43UQd-lUcbnvwm-R2Xfhex1Wogrs1wY4DlXukMA/edit#gid=458192036"",""BD M Sangrias!a:i""),""select Col6 where Col7 = 'Depositada' and Col9 = '""&amp;"&amp;"K465&amp;""' and Col6 = ""&amp;N465&amp;"" and Col4 = date '""&amp;YEAR(C465)&amp;""-""&amp;MONTH(C465)&amp;""-""&amp;DAY(C465)&amp;""'""))&gt;0,""Depositada"",if(sum(QUERY(IMPORTRANGE(""https://docs.google.com/spreadsheets/d/15vCx43UQd-lUcbnvwm-R2Xfhex1Wogrs1wY4DlXukMA/edit#gid=458192036"","""&amp;"BD M Sangrias!a:i""),""select Col6 where Col7 = 'Caixa Atendimento' and Col9 = '""&amp;K465&amp;""' and Col6 = ""&amp;N465&amp;"" and Col4 = date '""&amp;YEAR(C465)&amp;""-""&amp;MONTH(C465)&amp;""-""&amp;DAY(C465)&amp;""'""))&gt;0,""Caixa Atendimento"",""Caixa Sangria"")),""""),""Caixa Sangria"")"),"")</f>
        <v/>
      </c>
      <c r="M465" s="164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IFERROR(__xludf.DUMMYFUNCTION("ifna(IF(and(D466=""Saída"",J466=""Sangria""),if(sum(QUERY(IMPORTRANGE(""https://docs.google.com/spreadsheets/d/15vCx43UQd-lUcbnvwm-R2Xfhex1Wogrs1wY4DlXukMA/edit#gid=458192036"",""BD M Sangrias!a:i""),""select Col6 where Col7 = 'Depositada' and Col9 = '""&amp;"&amp;"K466&amp;""' and Col6 = ""&amp;N466&amp;"" and Col4 = date '""&amp;YEAR(C466)&amp;""-""&amp;MONTH(C466)&amp;""-""&amp;DAY(C466)&amp;""'""))&gt;0,""Depositada"",if(sum(QUERY(IMPORTRANGE(""https://docs.google.com/spreadsheets/d/15vCx43UQd-lUcbnvwm-R2Xfhex1Wogrs1wY4DlXukMA/edit#gid=458192036"","""&amp;"BD M Sangrias!a:i""),""select Col6 where Col7 = 'Caixa Atendimento' and Col9 = '""&amp;K466&amp;""' and Col6 = ""&amp;N466&amp;"" and Col4 = date '""&amp;YEAR(C466)&amp;""-""&amp;MONTH(C466)&amp;""-""&amp;DAY(C466)&amp;""'""))&gt;0,""Caixa Atendimento"",""Caixa Sangria"")),""""),""Caixa Sangria"")"),"")</f>
        <v/>
      </c>
      <c r="M466" s="163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IFERROR(__xludf.DUMMYFUNCTION("ifna(IF(and(D467=""Saída"",J467=""Sangria""),if(sum(QUERY(IMPORTRANGE(""https://docs.google.com/spreadsheets/d/15vCx43UQd-lUcbnvwm-R2Xfhex1Wogrs1wY4DlXukMA/edit#gid=458192036"",""BD M Sangrias!a:i""),""select Col6 where Col7 = 'Depositada' and Col9 = '""&amp;"&amp;"K467&amp;""' and Col6 = ""&amp;N467&amp;"" and Col4 = date '""&amp;YEAR(C467)&amp;""-""&amp;MONTH(C467)&amp;""-""&amp;DAY(C467)&amp;""'""))&gt;0,""Depositada"",if(sum(QUERY(IMPORTRANGE(""https://docs.google.com/spreadsheets/d/15vCx43UQd-lUcbnvwm-R2Xfhex1Wogrs1wY4DlXukMA/edit#gid=458192036"","""&amp;"BD M Sangrias!a:i""),""select Col6 where Col7 = 'Caixa Atendimento' and Col9 = '""&amp;K467&amp;""' and Col6 = ""&amp;N467&amp;"" and Col4 = date '""&amp;YEAR(C467)&amp;""-""&amp;MONTH(C467)&amp;""-""&amp;DAY(C467)&amp;""'""))&gt;0,""Caixa Atendimento"",""Caixa Sangria"")),""""),""Caixa Sangria"")"),"")</f>
        <v/>
      </c>
      <c r="M467" s="164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IFERROR(__xludf.DUMMYFUNCTION("ifna(IF(and(D468=""Saída"",J468=""Sangria""),if(sum(QUERY(IMPORTRANGE(""https://docs.google.com/spreadsheets/d/15vCx43UQd-lUcbnvwm-R2Xfhex1Wogrs1wY4DlXukMA/edit#gid=458192036"",""BD M Sangrias!a:i""),""select Col6 where Col7 = 'Depositada' and Col9 = '""&amp;"&amp;"K468&amp;""' and Col6 = ""&amp;N468&amp;"" and Col4 = date '""&amp;YEAR(C468)&amp;""-""&amp;MONTH(C468)&amp;""-""&amp;DAY(C468)&amp;""'""))&gt;0,""Depositada"",if(sum(QUERY(IMPORTRANGE(""https://docs.google.com/spreadsheets/d/15vCx43UQd-lUcbnvwm-R2Xfhex1Wogrs1wY4DlXukMA/edit#gid=458192036"","""&amp;"BD M Sangrias!a:i""),""select Col6 where Col7 = 'Caixa Atendimento' and Col9 = '""&amp;K468&amp;""' and Col6 = ""&amp;N468&amp;"" and Col4 = date '""&amp;YEAR(C468)&amp;""-""&amp;MONTH(C468)&amp;""-""&amp;DAY(C468)&amp;""'""))&gt;0,""Caixa Atendimento"",""Caixa Sangria"")),""""),""Caixa Sangria"")"),"")</f>
        <v/>
      </c>
      <c r="M468" s="163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IFERROR(__xludf.DUMMYFUNCTION("ifna(IF(and(D469=""Saída"",J469=""Sangria""),if(sum(QUERY(IMPORTRANGE(""https://docs.google.com/spreadsheets/d/15vCx43UQd-lUcbnvwm-R2Xfhex1Wogrs1wY4DlXukMA/edit#gid=458192036"",""BD M Sangrias!a:i""),""select Col6 where Col7 = 'Depositada' and Col9 = '""&amp;"&amp;"K469&amp;""' and Col6 = ""&amp;N469&amp;"" and Col4 = date '""&amp;YEAR(C469)&amp;""-""&amp;MONTH(C469)&amp;""-""&amp;DAY(C469)&amp;""'""))&gt;0,""Depositada"",if(sum(QUERY(IMPORTRANGE(""https://docs.google.com/spreadsheets/d/15vCx43UQd-lUcbnvwm-R2Xfhex1Wogrs1wY4DlXukMA/edit#gid=458192036"","""&amp;"BD M Sangrias!a:i""),""select Col6 where Col7 = 'Caixa Atendimento' and Col9 = '""&amp;K469&amp;""' and Col6 = ""&amp;N469&amp;"" and Col4 = date '""&amp;YEAR(C469)&amp;""-""&amp;MONTH(C469)&amp;""-""&amp;DAY(C469)&amp;""'""))&gt;0,""Caixa Atendimento"",""Caixa Sangria"")),""""),""Caixa Sangria"")"),"")</f>
        <v/>
      </c>
      <c r="M469" s="164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IFERROR(__xludf.DUMMYFUNCTION("ifna(IF(and(D470=""Saída"",J470=""Sangria""),if(sum(QUERY(IMPORTRANGE(""https://docs.google.com/spreadsheets/d/15vCx43UQd-lUcbnvwm-R2Xfhex1Wogrs1wY4DlXukMA/edit#gid=458192036"",""BD M Sangrias!a:i""),""select Col6 where Col7 = 'Depositada' and Col9 = '""&amp;"&amp;"K470&amp;""' and Col6 = ""&amp;N470&amp;"" and Col4 = date '""&amp;YEAR(C470)&amp;""-""&amp;MONTH(C470)&amp;""-""&amp;DAY(C470)&amp;""'""))&gt;0,""Depositada"",if(sum(QUERY(IMPORTRANGE(""https://docs.google.com/spreadsheets/d/15vCx43UQd-lUcbnvwm-R2Xfhex1Wogrs1wY4DlXukMA/edit#gid=458192036"","""&amp;"BD M Sangrias!a:i""),""select Col6 where Col7 = 'Caixa Atendimento' and Col9 = '""&amp;K470&amp;""' and Col6 = ""&amp;N470&amp;"" and Col4 = date '""&amp;YEAR(C470)&amp;""-""&amp;MONTH(C470)&amp;""-""&amp;DAY(C470)&amp;""'""))&gt;0,""Caixa Atendimento"",""Caixa Sangria"")),""""),""Caixa Sangria"")"),"")</f>
        <v/>
      </c>
      <c r="M470" s="163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IFERROR(__xludf.DUMMYFUNCTION("ifna(IF(and(D471=""Saída"",J471=""Sangria""),if(sum(QUERY(IMPORTRANGE(""https://docs.google.com/spreadsheets/d/15vCx43UQd-lUcbnvwm-R2Xfhex1Wogrs1wY4DlXukMA/edit#gid=458192036"",""BD M Sangrias!a:i""),""select Col6 where Col7 = 'Depositada' and Col9 = '""&amp;"&amp;"K471&amp;""' and Col6 = ""&amp;N471&amp;"" and Col4 = date '""&amp;YEAR(C471)&amp;""-""&amp;MONTH(C471)&amp;""-""&amp;DAY(C471)&amp;""'""))&gt;0,""Depositada"",if(sum(QUERY(IMPORTRANGE(""https://docs.google.com/spreadsheets/d/15vCx43UQd-lUcbnvwm-R2Xfhex1Wogrs1wY4DlXukMA/edit#gid=458192036"","""&amp;"BD M Sangrias!a:i""),""select Col6 where Col7 = 'Caixa Atendimento' and Col9 = '""&amp;K471&amp;""' and Col6 = ""&amp;N471&amp;"" and Col4 = date '""&amp;YEAR(C471)&amp;""-""&amp;MONTH(C471)&amp;""-""&amp;DAY(C471)&amp;""'""))&gt;0,""Caixa Atendimento"",""Caixa Sangria"")),""""),""Caixa Sangria"")"),"")</f>
        <v/>
      </c>
      <c r="M471" s="164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IFERROR(__xludf.DUMMYFUNCTION("ifna(IF(and(D472=""Saída"",J472=""Sangria""),if(sum(QUERY(IMPORTRANGE(""https://docs.google.com/spreadsheets/d/15vCx43UQd-lUcbnvwm-R2Xfhex1Wogrs1wY4DlXukMA/edit#gid=458192036"",""BD M Sangrias!a:i""),""select Col6 where Col7 = 'Depositada' and Col9 = '""&amp;"&amp;"K472&amp;""' and Col6 = ""&amp;N472&amp;"" and Col4 = date '""&amp;YEAR(C472)&amp;""-""&amp;MONTH(C472)&amp;""-""&amp;DAY(C472)&amp;""'""))&gt;0,""Depositada"",if(sum(QUERY(IMPORTRANGE(""https://docs.google.com/spreadsheets/d/15vCx43UQd-lUcbnvwm-R2Xfhex1Wogrs1wY4DlXukMA/edit#gid=458192036"","""&amp;"BD M Sangrias!a:i""),""select Col6 where Col7 = 'Caixa Atendimento' and Col9 = '""&amp;K472&amp;""' and Col6 = ""&amp;N472&amp;"" and Col4 = date '""&amp;YEAR(C472)&amp;""-""&amp;MONTH(C472)&amp;""-""&amp;DAY(C472)&amp;""'""))&gt;0,""Caixa Atendimento"",""Caixa Sangria"")),""""),""Caixa Sangria"")"),"")</f>
        <v/>
      </c>
      <c r="M472" s="163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IFERROR(__xludf.DUMMYFUNCTION("ifna(IF(and(D473=""Saída"",J473=""Sangria""),if(sum(QUERY(IMPORTRANGE(""https://docs.google.com/spreadsheets/d/15vCx43UQd-lUcbnvwm-R2Xfhex1Wogrs1wY4DlXukMA/edit#gid=458192036"",""BD M Sangrias!a:i""),""select Col6 where Col7 = 'Depositada' and Col9 = '""&amp;"&amp;"K473&amp;""' and Col6 = ""&amp;N473&amp;"" and Col4 = date '""&amp;YEAR(C473)&amp;""-""&amp;MONTH(C473)&amp;""-""&amp;DAY(C473)&amp;""'""))&gt;0,""Depositada"",if(sum(QUERY(IMPORTRANGE(""https://docs.google.com/spreadsheets/d/15vCx43UQd-lUcbnvwm-R2Xfhex1Wogrs1wY4DlXukMA/edit#gid=458192036"","""&amp;"BD M Sangrias!a:i""),""select Col6 where Col7 = 'Caixa Atendimento' and Col9 = '""&amp;K473&amp;""' and Col6 = ""&amp;N473&amp;"" and Col4 = date '""&amp;YEAR(C473)&amp;""-""&amp;MONTH(C473)&amp;""-""&amp;DAY(C473)&amp;""'""))&gt;0,""Caixa Atendimento"",""Caixa Sangria"")),""""),""Caixa Sangria"")"),"")</f>
        <v/>
      </c>
      <c r="M473" s="164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IFERROR(__xludf.DUMMYFUNCTION("ifna(IF(and(D474=""Saída"",J474=""Sangria""),if(sum(QUERY(IMPORTRANGE(""https://docs.google.com/spreadsheets/d/15vCx43UQd-lUcbnvwm-R2Xfhex1Wogrs1wY4DlXukMA/edit#gid=458192036"",""BD M Sangrias!a:i""),""select Col6 where Col7 = 'Depositada' and Col9 = '""&amp;"&amp;"K474&amp;""' and Col6 = ""&amp;N474&amp;"" and Col4 = date '""&amp;YEAR(C474)&amp;""-""&amp;MONTH(C474)&amp;""-""&amp;DAY(C474)&amp;""'""))&gt;0,""Depositada"",if(sum(QUERY(IMPORTRANGE(""https://docs.google.com/spreadsheets/d/15vCx43UQd-lUcbnvwm-R2Xfhex1Wogrs1wY4DlXukMA/edit#gid=458192036"","""&amp;"BD M Sangrias!a:i""),""select Col6 where Col7 = 'Caixa Atendimento' and Col9 = '""&amp;K474&amp;""' and Col6 = ""&amp;N474&amp;"" and Col4 = date '""&amp;YEAR(C474)&amp;""-""&amp;MONTH(C474)&amp;""-""&amp;DAY(C474)&amp;""'""))&gt;0,""Caixa Atendimento"",""Caixa Sangria"")),""""),""Caixa Sangria"")"),"")</f>
        <v/>
      </c>
      <c r="M474" s="163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IFERROR(__xludf.DUMMYFUNCTION("ifna(IF(and(D475=""Saída"",J475=""Sangria""),if(sum(QUERY(IMPORTRANGE(""https://docs.google.com/spreadsheets/d/15vCx43UQd-lUcbnvwm-R2Xfhex1Wogrs1wY4DlXukMA/edit#gid=458192036"",""BD M Sangrias!a:i""),""select Col6 where Col7 = 'Depositada' and Col9 = '""&amp;"&amp;"K475&amp;""' and Col6 = ""&amp;N475&amp;"" and Col4 = date '""&amp;YEAR(C475)&amp;""-""&amp;MONTH(C475)&amp;""-""&amp;DAY(C475)&amp;""'""))&gt;0,""Depositada"",if(sum(QUERY(IMPORTRANGE(""https://docs.google.com/spreadsheets/d/15vCx43UQd-lUcbnvwm-R2Xfhex1Wogrs1wY4DlXukMA/edit#gid=458192036"","""&amp;"BD M Sangrias!a:i""),""select Col6 where Col7 = 'Caixa Atendimento' and Col9 = '""&amp;K475&amp;""' and Col6 = ""&amp;N475&amp;"" and Col4 = date '""&amp;YEAR(C475)&amp;""-""&amp;MONTH(C475)&amp;""-""&amp;DAY(C475)&amp;""'""))&gt;0,""Caixa Atendimento"",""Caixa Sangria"")),""""),""Caixa Sangria"")"),"")</f>
        <v/>
      </c>
      <c r="M475" s="164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IFERROR(__xludf.DUMMYFUNCTION("ifna(IF(and(D476=""Saída"",J476=""Sangria""),if(sum(QUERY(IMPORTRANGE(""https://docs.google.com/spreadsheets/d/15vCx43UQd-lUcbnvwm-R2Xfhex1Wogrs1wY4DlXukMA/edit#gid=458192036"",""BD M Sangrias!a:i""),""select Col6 where Col7 = 'Depositada' and Col9 = '""&amp;"&amp;"K476&amp;""' and Col6 = ""&amp;N476&amp;"" and Col4 = date '""&amp;YEAR(C476)&amp;""-""&amp;MONTH(C476)&amp;""-""&amp;DAY(C476)&amp;""'""))&gt;0,""Depositada"",if(sum(QUERY(IMPORTRANGE(""https://docs.google.com/spreadsheets/d/15vCx43UQd-lUcbnvwm-R2Xfhex1Wogrs1wY4DlXukMA/edit#gid=458192036"","""&amp;"BD M Sangrias!a:i""),""select Col6 where Col7 = 'Caixa Atendimento' and Col9 = '""&amp;K476&amp;""' and Col6 = ""&amp;N476&amp;"" and Col4 = date '""&amp;YEAR(C476)&amp;""-""&amp;MONTH(C476)&amp;""-""&amp;DAY(C476)&amp;""'""))&gt;0,""Caixa Atendimento"",""Caixa Sangria"")),""""),""Caixa Sangria"")"),"")</f>
        <v/>
      </c>
      <c r="M476" s="163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IFERROR(__xludf.DUMMYFUNCTION("ifna(IF(and(D477=""Saída"",J477=""Sangria""),if(sum(QUERY(IMPORTRANGE(""https://docs.google.com/spreadsheets/d/15vCx43UQd-lUcbnvwm-R2Xfhex1Wogrs1wY4DlXukMA/edit#gid=458192036"",""BD M Sangrias!a:i""),""select Col6 where Col7 = 'Depositada' and Col9 = '""&amp;"&amp;"K477&amp;""' and Col6 = ""&amp;N477&amp;"" and Col4 = date '""&amp;YEAR(C477)&amp;""-""&amp;MONTH(C477)&amp;""-""&amp;DAY(C477)&amp;""'""))&gt;0,""Depositada"",if(sum(QUERY(IMPORTRANGE(""https://docs.google.com/spreadsheets/d/15vCx43UQd-lUcbnvwm-R2Xfhex1Wogrs1wY4DlXukMA/edit#gid=458192036"","""&amp;"BD M Sangrias!a:i""),""select Col6 where Col7 = 'Caixa Atendimento' and Col9 = '""&amp;K477&amp;""' and Col6 = ""&amp;N477&amp;"" and Col4 = date '""&amp;YEAR(C477)&amp;""-""&amp;MONTH(C477)&amp;""-""&amp;DAY(C477)&amp;""'""))&gt;0,""Caixa Atendimento"",""Caixa Sangria"")),""""),""Caixa Sangria"")"),"")</f>
        <v/>
      </c>
      <c r="M477" s="164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IFERROR(__xludf.DUMMYFUNCTION("ifna(IF(and(D478=""Saída"",J478=""Sangria""),if(sum(QUERY(IMPORTRANGE(""https://docs.google.com/spreadsheets/d/15vCx43UQd-lUcbnvwm-R2Xfhex1Wogrs1wY4DlXukMA/edit#gid=458192036"",""BD M Sangrias!a:i""),""select Col6 where Col7 = 'Depositada' and Col9 = '""&amp;"&amp;"K478&amp;""' and Col6 = ""&amp;N478&amp;"" and Col4 = date '""&amp;YEAR(C478)&amp;""-""&amp;MONTH(C478)&amp;""-""&amp;DAY(C478)&amp;""'""))&gt;0,""Depositada"",if(sum(QUERY(IMPORTRANGE(""https://docs.google.com/spreadsheets/d/15vCx43UQd-lUcbnvwm-R2Xfhex1Wogrs1wY4DlXukMA/edit#gid=458192036"","""&amp;"BD M Sangrias!a:i""),""select Col6 where Col7 = 'Caixa Atendimento' and Col9 = '""&amp;K478&amp;""' and Col6 = ""&amp;N478&amp;"" and Col4 = date '""&amp;YEAR(C478)&amp;""-""&amp;MONTH(C478)&amp;""-""&amp;DAY(C478)&amp;""'""))&gt;0,""Caixa Atendimento"",""Caixa Sangria"")),""""),""Caixa Sangria"")"),"")</f>
        <v/>
      </c>
      <c r="M478" s="163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IFERROR(__xludf.DUMMYFUNCTION("ifna(IF(and(D479=""Saída"",J479=""Sangria""),if(sum(QUERY(IMPORTRANGE(""https://docs.google.com/spreadsheets/d/15vCx43UQd-lUcbnvwm-R2Xfhex1Wogrs1wY4DlXukMA/edit#gid=458192036"",""BD M Sangrias!a:i""),""select Col6 where Col7 = 'Depositada' and Col9 = '""&amp;"&amp;"K479&amp;""' and Col6 = ""&amp;N479&amp;"" and Col4 = date '""&amp;YEAR(C479)&amp;""-""&amp;MONTH(C479)&amp;""-""&amp;DAY(C479)&amp;""'""))&gt;0,""Depositada"",if(sum(QUERY(IMPORTRANGE(""https://docs.google.com/spreadsheets/d/15vCx43UQd-lUcbnvwm-R2Xfhex1Wogrs1wY4DlXukMA/edit#gid=458192036"","""&amp;"BD M Sangrias!a:i""),""select Col6 where Col7 = 'Caixa Atendimento' and Col9 = '""&amp;K479&amp;""' and Col6 = ""&amp;N479&amp;"" and Col4 = date '""&amp;YEAR(C479)&amp;""-""&amp;MONTH(C479)&amp;""-""&amp;DAY(C479)&amp;""'""))&gt;0,""Caixa Atendimento"",""Caixa Sangria"")),""""),""Caixa Sangria"")"),"")</f>
        <v/>
      </c>
      <c r="M479" s="164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IFERROR(__xludf.DUMMYFUNCTION("ifna(IF(and(D480=""Saída"",J480=""Sangria""),if(sum(QUERY(IMPORTRANGE(""https://docs.google.com/spreadsheets/d/15vCx43UQd-lUcbnvwm-R2Xfhex1Wogrs1wY4DlXukMA/edit#gid=458192036"",""BD M Sangrias!a:i""),""select Col6 where Col7 = 'Depositada' and Col9 = '""&amp;"&amp;"K480&amp;""' and Col6 = ""&amp;N480&amp;"" and Col4 = date '""&amp;YEAR(C480)&amp;""-""&amp;MONTH(C480)&amp;""-""&amp;DAY(C480)&amp;""'""))&gt;0,""Depositada"",if(sum(QUERY(IMPORTRANGE(""https://docs.google.com/spreadsheets/d/15vCx43UQd-lUcbnvwm-R2Xfhex1Wogrs1wY4DlXukMA/edit#gid=458192036"","""&amp;"BD M Sangrias!a:i""),""select Col6 where Col7 = 'Caixa Atendimento' and Col9 = '""&amp;K480&amp;""' and Col6 = ""&amp;N480&amp;"" and Col4 = date '""&amp;YEAR(C480)&amp;""-""&amp;MONTH(C480)&amp;""-""&amp;DAY(C480)&amp;""'""))&gt;0,""Caixa Atendimento"",""Caixa Sangria"")),""""),""Caixa Sangria"")"),"")</f>
        <v/>
      </c>
      <c r="M480" s="163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IFERROR(__xludf.DUMMYFUNCTION("ifna(IF(and(D481=""Saída"",J481=""Sangria""),if(sum(QUERY(IMPORTRANGE(""https://docs.google.com/spreadsheets/d/15vCx43UQd-lUcbnvwm-R2Xfhex1Wogrs1wY4DlXukMA/edit#gid=458192036"",""BD M Sangrias!a:i""),""select Col6 where Col7 = 'Depositada' and Col9 = '""&amp;"&amp;"K481&amp;""' and Col6 = ""&amp;N481&amp;"" and Col4 = date '""&amp;YEAR(C481)&amp;""-""&amp;MONTH(C481)&amp;""-""&amp;DAY(C481)&amp;""'""))&gt;0,""Depositada"",if(sum(QUERY(IMPORTRANGE(""https://docs.google.com/spreadsheets/d/15vCx43UQd-lUcbnvwm-R2Xfhex1Wogrs1wY4DlXukMA/edit#gid=458192036"","""&amp;"BD M Sangrias!a:i""),""select Col6 where Col7 = 'Caixa Atendimento' and Col9 = '""&amp;K481&amp;""' and Col6 = ""&amp;N481&amp;"" and Col4 = date '""&amp;YEAR(C481)&amp;""-""&amp;MONTH(C481)&amp;""-""&amp;DAY(C481)&amp;""'""))&gt;0,""Caixa Atendimento"",""Caixa Sangria"")),""""),""Caixa Sangria"")"),"")</f>
        <v/>
      </c>
      <c r="M481" s="164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IFERROR(__xludf.DUMMYFUNCTION("ifna(IF(and(D482=""Saída"",J482=""Sangria""),if(sum(QUERY(IMPORTRANGE(""https://docs.google.com/spreadsheets/d/15vCx43UQd-lUcbnvwm-R2Xfhex1Wogrs1wY4DlXukMA/edit#gid=458192036"",""BD M Sangrias!a:i""),""select Col6 where Col7 = 'Depositada' and Col9 = '""&amp;"&amp;"K482&amp;""' and Col6 = ""&amp;N482&amp;"" and Col4 = date '""&amp;YEAR(C482)&amp;""-""&amp;MONTH(C482)&amp;""-""&amp;DAY(C482)&amp;""'""))&gt;0,""Depositada"",if(sum(QUERY(IMPORTRANGE(""https://docs.google.com/spreadsheets/d/15vCx43UQd-lUcbnvwm-R2Xfhex1Wogrs1wY4DlXukMA/edit#gid=458192036"","""&amp;"BD M Sangrias!a:i""),""select Col6 where Col7 = 'Caixa Atendimento' and Col9 = '""&amp;K482&amp;""' and Col6 = ""&amp;N482&amp;"" and Col4 = date '""&amp;YEAR(C482)&amp;""-""&amp;MONTH(C482)&amp;""-""&amp;DAY(C482)&amp;""'""))&gt;0,""Caixa Atendimento"",""Caixa Sangria"")),""""),""Caixa Sangria"")"),"")</f>
        <v/>
      </c>
      <c r="M482" s="163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IFERROR(__xludf.DUMMYFUNCTION("ifna(IF(and(D483=""Saída"",J483=""Sangria""),if(sum(QUERY(IMPORTRANGE(""https://docs.google.com/spreadsheets/d/15vCx43UQd-lUcbnvwm-R2Xfhex1Wogrs1wY4DlXukMA/edit#gid=458192036"",""BD M Sangrias!a:i""),""select Col6 where Col7 = 'Depositada' and Col9 = '""&amp;"&amp;"K483&amp;""' and Col6 = ""&amp;N483&amp;"" and Col4 = date '""&amp;YEAR(C483)&amp;""-""&amp;MONTH(C483)&amp;""-""&amp;DAY(C483)&amp;""'""))&gt;0,""Depositada"",if(sum(QUERY(IMPORTRANGE(""https://docs.google.com/spreadsheets/d/15vCx43UQd-lUcbnvwm-R2Xfhex1Wogrs1wY4DlXukMA/edit#gid=458192036"","""&amp;"BD M Sangrias!a:i""),""select Col6 where Col7 = 'Caixa Atendimento' and Col9 = '""&amp;K483&amp;""' and Col6 = ""&amp;N483&amp;"" and Col4 = date '""&amp;YEAR(C483)&amp;""-""&amp;MONTH(C483)&amp;""-""&amp;DAY(C483)&amp;""'""))&gt;0,""Caixa Atendimento"",""Caixa Sangria"")),""""),""Caixa Sangria"")"),"")</f>
        <v/>
      </c>
      <c r="M483" s="164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IFERROR(__xludf.DUMMYFUNCTION("ifna(IF(and(D484=""Saída"",J484=""Sangria""),if(sum(QUERY(IMPORTRANGE(""https://docs.google.com/spreadsheets/d/15vCx43UQd-lUcbnvwm-R2Xfhex1Wogrs1wY4DlXukMA/edit#gid=458192036"",""BD M Sangrias!a:i""),""select Col6 where Col7 = 'Depositada' and Col9 = '""&amp;"&amp;"K484&amp;""' and Col6 = ""&amp;N484&amp;"" and Col4 = date '""&amp;YEAR(C484)&amp;""-""&amp;MONTH(C484)&amp;""-""&amp;DAY(C484)&amp;""'""))&gt;0,""Depositada"",if(sum(QUERY(IMPORTRANGE(""https://docs.google.com/spreadsheets/d/15vCx43UQd-lUcbnvwm-R2Xfhex1Wogrs1wY4DlXukMA/edit#gid=458192036"","""&amp;"BD M Sangrias!a:i""),""select Col6 where Col7 = 'Caixa Atendimento' and Col9 = '""&amp;K484&amp;""' and Col6 = ""&amp;N484&amp;"" and Col4 = date '""&amp;YEAR(C484)&amp;""-""&amp;MONTH(C484)&amp;""-""&amp;DAY(C484)&amp;""'""))&gt;0,""Caixa Atendimento"",""Caixa Sangria"")),""""),""Caixa Sangria"")"),"")</f>
        <v/>
      </c>
      <c r="M484" s="163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IFERROR(__xludf.DUMMYFUNCTION("ifna(IF(and(D485=""Saída"",J485=""Sangria""),if(sum(QUERY(IMPORTRANGE(""https://docs.google.com/spreadsheets/d/15vCx43UQd-lUcbnvwm-R2Xfhex1Wogrs1wY4DlXukMA/edit#gid=458192036"",""BD M Sangrias!a:i""),""select Col6 where Col7 = 'Depositada' and Col9 = '""&amp;"&amp;"K485&amp;""' and Col6 = ""&amp;N485&amp;"" and Col4 = date '""&amp;YEAR(C485)&amp;""-""&amp;MONTH(C485)&amp;""-""&amp;DAY(C485)&amp;""'""))&gt;0,""Depositada"",if(sum(QUERY(IMPORTRANGE(""https://docs.google.com/spreadsheets/d/15vCx43UQd-lUcbnvwm-R2Xfhex1Wogrs1wY4DlXukMA/edit#gid=458192036"","""&amp;"BD M Sangrias!a:i""),""select Col6 where Col7 = 'Caixa Atendimento' and Col9 = '""&amp;K485&amp;""' and Col6 = ""&amp;N485&amp;"" and Col4 = date '""&amp;YEAR(C485)&amp;""-""&amp;MONTH(C485)&amp;""-""&amp;DAY(C485)&amp;""'""))&gt;0,""Caixa Atendimento"",""Caixa Sangria"")),""""),""Caixa Sangria"")"),"")</f>
        <v/>
      </c>
      <c r="M485" s="164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IFERROR(__xludf.DUMMYFUNCTION("ifna(IF(and(D486=""Saída"",J486=""Sangria""),if(sum(QUERY(IMPORTRANGE(""https://docs.google.com/spreadsheets/d/15vCx43UQd-lUcbnvwm-R2Xfhex1Wogrs1wY4DlXukMA/edit#gid=458192036"",""BD M Sangrias!a:i""),""select Col6 where Col7 = 'Depositada' and Col9 = '""&amp;"&amp;"K486&amp;""' and Col6 = ""&amp;N486&amp;"" and Col4 = date '""&amp;YEAR(C486)&amp;""-""&amp;MONTH(C486)&amp;""-""&amp;DAY(C486)&amp;""'""))&gt;0,""Depositada"",if(sum(QUERY(IMPORTRANGE(""https://docs.google.com/spreadsheets/d/15vCx43UQd-lUcbnvwm-R2Xfhex1Wogrs1wY4DlXukMA/edit#gid=458192036"","""&amp;"BD M Sangrias!a:i""),""select Col6 where Col7 = 'Caixa Atendimento' and Col9 = '""&amp;K486&amp;""' and Col6 = ""&amp;N486&amp;"" and Col4 = date '""&amp;YEAR(C486)&amp;""-""&amp;MONTH(C486)&amp;""-""&amp;DAY(C486)&amp;""'""))&gt;0,""Caixa Atendimento"",""Caixa Sangria"")),""""),""Caixa Sangria"")"),"")</f>
        <v/>
      </c>
      <c r="M486" s="163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IFERROR(__xludf.DUMMYFUNCTION("ifna(IF(and(D487=""Saída"",J487=""Sangria""),if(sum(QUERY(IMPORTRANGE(""https://docs.google.com/spreadsheets/d/15vCx43UQd-lUcbnvwm-R2Xfhex1Wogrs1wY4DlXukMA/edit#gid=458192036"",""BD M Sangrias!a:i""),""select Col6 where Col7 = 'Depositada' and Col9 = '""&amp;"&amp;"K487&amp;""' and Col6 = ""&amp;N487&amp;"" and Col4 = date '""&amp;YEAR(C487)&amp;""-""&amp;MONTH(C487)&amp;""-""&amp;DAY(C487)&amp;""'""))&gt;0,""Depositada"",if(sum(QUERY(IMPORTRANGE(""https://docs.google.com/spreadsheets/d/15vCx43UQd-lUcbnvwm-R2Xfhex1Wogrs1wY4DlXukMA/edit#gid=458192036"","""&amp;"BD M Sangrias!a:i""),""select Col6 where Col7 = 'Caixa Atendimento' and Col9 = '""&amp;K487&amp;""' and Col6 = ""&amp;N487&amp;"" and Col4 = date '""&amp;YEAR(C487)&amp;""-""&amp;MONTH(C487)&amp;""-""&amp;DAY(C487)&amp;""'""))&gt;0,""Caixa Atendimento"",""Caixa Sangria"")),""""),""Caixa Sangria"")"),"")</f>
        <v/>
      </c>
      <c r="M487" s="164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IFERROR(__xludf.DUMMYFUNCTION("ifna(IF(and(D488=""Saída"",J488=""Sangria""),if(sum(QUERY(IMPORTRANGE(""https://docs.google.com/spreadsheets/d/15vCx43UQd-lUcbnvwm-R2Xfhex1Wogrs1wY4DlXukMA/edit#gid=458192036"",""BD M Sangrias!a:i""),""select Col6 where Col7 = 'Depositada' and Col9 = '""&amp;"&amp;"K488&amp;""' and Col6 = ""&amp;N488&amp;"" and Col4 = date '""&amp;YEAR(C488)&amp;""-""&amp;MONTH(C488)&amp;""-""&amp;DAY(C488)&amp;""'""))&gt;0,""Depositada"",if(sum(QUERY(IMPORTRANGE(""https://docs.google.com/spreadsheets/d/15vCx43UQd-lUcbnvwm-R2Xfhex1Wogrs1wY4DlXukMA/edit#gid=458192036"","""&amp;"BD M Sangrias!a:i""),""select Col6 where Col7 = 'Caixa Atendimento' and Col9 = '""&amp;K488&amp;""' and Col6 = ""&amp;N488&amp;"" and Col4 = date '""&amp;YEAR(C488)&amp;""-""&amp;MONTH(C488)&amp;""-""&amp;DAY(C488)&amp;""'""))&gt;0,""Caixa Atendimento"",""Caixa Sangria"")),""""),""Caixa Sangria"")"),"")</f>
        <v/>
      </c>
      <c r="M488" s="163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IFERROR(__xludf.DUMMYFUNCTION("ifna(IF(and(D489=""Saída"",J489=""Sangria""),if(sum(QUERY(IMPORTRANGE(""https://docs.google.com/spreadsheets/d/15vCx43UQd-lUcbnvwm-R2Xfhex1Wogrs1wY4DlXukMA/edit#gid=458192036"",""BD M Sangrias!a:i""),""select Col6 where Col7 = 'Depositada' and Col9 = '""&amp;"&amp;"K489&amp;""' and Col6 = ""&amp;N489&amp;"" and Col4 = date '""&amp;YEAR(C489)&amp;""-""&amp;MONTH(C489)&amp;""-""&amp;DAY(C489)&amp;""'""))&gt;0,""Depositada"",if(sum(QUERY(IMPORTRANGE(""https://docs.google.com/spreadsheets/d/15vCx43UQd-lUcbnvwm-R2Xfhex1Wogrs1wY4DlXukMA/edit#gid=458192036"","""&amp;"BD M Sangrias!a:i""),""select Col6 where Col7 = 'Caixa Atendimento' and Col9 = '""&amp;K489&amp;""' and Col6 = ""&amp;N489&amp;"" and Col4 = date '""&amp;YEAR(C489)&amp;""-""&amp;MONTH(C489)&amp;""-""&amp;DAY(C489)&amp;""'""))&gt;0,""Caixa Atendimento"",""Caixa Sangria"")),""""),""Caixa Sangria"")"),"")</f>
        <v/>
      </c>
      <c r="M489" s="164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IFERROR(__xludf.DUMMYFUNCTION("ifna(IF(and(D490=""Saída"",J490=""Sangria""),if(sum(QUERY(IMPORTRANGE(""https://docs.google.com/spreadsheets/d/15vCx43UQd-lUcbnvwm-R2Xfhex1Wogrs1wY4DlXukMA/edit#gid=458192036"",""BD M Sangrias!a:i""),""select Col6 where Col7 = 'Depositada' and Col9 = '""&amp;"&amp;"K490&amp;""' and Col6 = ""&amp;N490&amp;"" and Col4 = date '""&amp;YEAR(C490)&amp;""-""&amp;MONTH(C490)&amp;""-""&amp;DAY(C490)&amp;""'""))&gt;0,""Depositada"",if(sum(QUERY(IMPORTRANGE(""https://docs.google.com/spreadsheets/d/15vCx43UQd-lUcbnvwm-R2Xfhex1Wogrs1wY4DlXukMA/edit#gid=458192036"","""&amp;"BD M Sangrias!a:i""),""select Col6 where Col7 = 'Caixa Atendimento' and Col9 = '""&amp;K490&amp;""' and Col6 = ""&amp;N490&amp;"" and Col4 = date '""&amp;YEAR(C490)&amp;""-""&amp;MONTH(C490)&amp;""-""&amp;DAY(C490)&amp;""'""))&gt;0,""Caixa Atendimento"",""Caixa Sangria"")),""""),""Caixa Sangria"")"),"")</f>
        <v/>
      </c>
      <c r="M490" s="163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IFERROR(__xludf.DUMMYFUNCTION("ifna(IF(and(D491=""Saída"",J491=""Sangria""),if(sum(QUERY(IMPORTRANGE(""https://docs.google.com/spreadsheets/d/15vCx43UQd-lUcbnvwm-R2Xfhex1Wogrs1wY4DlXukMA/edit#gid=458192036"",""BD M Sangrias!a:i""),""select Col6 where Col7 = 'Depositada' and Col9 = '""&amp;"&amp;"K491&amp;""' and Col6 = ""&amp;N491&amp;"" and Col4 = date '""&amp;YEAR(C491)&amp;""-""&amp;MONTH(C491)&amp;""-""&amp;DAY(C491)&amp;""'""))&gt;0,""Depositada"",if(sum(QUERY(IMPORTRANGE(""https://docs.google.com/spreadsheets/d/15vCx43UQd-lUcbnvwm-R2Xfhex1Wogrs1wY4DlXukMA/edit#gid=458192036"","""&amp;"BD M Sangrias!a:i""),""select Col6 where Col7 = 'Caixa Atendimento' and Col9 = '""&amp;K491&amp;""' and Col6 = ""&amp;N491&amp;"" and Col4 = date '""&amp;YEAR(C491)&amp;""-""&amp;MONTH(C491)&amp;""-""&amp;DAY(C491)&amp;""'""))&gt;0,""Caixa Atendimento"",""Caixa Sangria"")),""""),""Caixa Sangria"")"),"")</f>
        <v/>
      </c>
      <c r="M491" s="164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IFERROR(__xludf.DUMMYFUNCTION("ifna(IF(and(D492=""Saída"",J492=""Sangria""),if(sum(QUERY(IMPORTRANGE(""https://docs.google.com/spreadsheets/d/15vCx43UQd-lUcbnvwm-R2Xfhex1Wogrs1wY4DlXukMA/edit#gid=458192036"",""BD M Sangrias!a:i""),""select Col6 where Col7 = 'Depositada' and Col9 = '""&amp;"&amp;"K492&amp;""' and Col6 = ""&amp;N492&amp;"" and Col4 = date '""&amp;YEAR(C492)&amp;""-""&amp;MONTH(C492)&amp;""-""&amp;DAY(C492)&amp;""'""))&gt;0,""Depositada"",if(sum(QUERY(IMPORTRANGE(""https://docs.google.com/spreadsheets/d/15vCx43UQd-lUcbnvwm-R2Xfhex1Wogrs1wY4DlXukMA/edit#gid=458192036"","""&amp;"BD M Sangrias!a:i""),""select Col6 where Col7 = 'Caixa Atendimento' and Col9 = '""&amp;K492&amp;""' and Col6 = ""&amp;N492&amp;"" and Col4 = date '""&amp;YEAR(C492)&amp;""-""&amp;MONTH(C492)&amp;""-""&amp;DAY(C492)&amp;""'""))&gt;0,""Caixa Atendimento"",""Caixa Sangria"")),""""),""Caixa Sangria"")"),"")</f>
        <v/>
      </c>
      <c r="M492" s="163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IFERROR(__xludf.DUMMYFUNCTION("ifna(IF(and(D493=""Saída"",J493=""Sangria""),if(sum(QUERY(IMPORTRANGE(""https://docs.google.com/spreadsheets/d/15vCx43UQd-lUcbnvwm-R2Xfhex1Wogrs1wY4DlXukMA/edit#gid=458192036"",""BD M Sangrias!a:i""),""select Col6 where Col7 = 'Depositada' and Col9 = '""&amp;"&amp;"K493&amp;""' and Col6 = ""&amp;N493&amp;"" and Col4 = date '""&amp;YEAR(C493)&amp;""-""&amp;MONTH(C493)&amp;""-""&amp;DAY(C493)&amp;""'""))&gt;0,""Depositada"",if(sum(QUERY(IMPORTRANGE(""https://docs.google.com/spreadsheets/d/15vCx43UQd-lUcbnvwm-R2Xfhex1Wogrs1wY4DlXukMA/edit#gid=458192036"","""&amp;"BD M Sangrias!a:i""),""select Col6 where Col7 = 'Caixa Atendimento' and Col9 = '""&amp;K493&amp;""' and Col6 = ""&amp;N493&amp;"" and Col4 = date '""&amp;YEAR(C493)&amp;""-""&amp;MONTH(C493)&amp;""-""&amp;DAY(C493)&amp;""'""))&gt;0,""Caixa Atendimento"",""Caixa Sangria"")),""""),""Caixa Sangria"")"),"")</f>
        <v/>
      </c>
      <c r="M493" s="164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IFERROR(__xludf.DUMMYFUNCTION("ifna(IF(and(D494=""Saída"",J494=""Sangria""),if(sum(QUERY(IMPORTRANGE(""https://docs.google.com/spreadsheets/d/15vCx43UQd-lUcbnvwm-R2Xfhex1Wogrs1wY4DlXukMA/edit#gid=458192036"",""BD M Sangrias!a:i""),""select Col6 where Col7 = 'Depositada' and Col9 = '""&amp;"&amp;"K494&amp;""' and Col6 = ""&amp;N494&amp;"" and Col4 = date '""&amp;YEAR(C494)&amp;""-""&amp;MONTH(C494)&amp;""-""&amp;DAY(C494)&amp;""'""))&gt;0,""Depositada"",if(sum(QUERY(IMPORTRANGE(""https://docs.google.com/spreadsheets/d/15vCx43UQd-lUcbnvwm-R2Xfhex1Wogrs1wY4DlXukMA/edit#gid=458192036"","""&amp;"BD M Sangrias!a:i""),""select Col6 where Col7 = 'Caixa Atendimento' and Col9 = '""&amp;K494&amp;""' and Col6 = ""&amp;N494&amp;"" and Col4 = date '""&amp;YEAR(C494)&amp;""-""&amp;MONTH(C494)&amp;""-""&amp;DAY(C494)&amp;""'""))&gt;0,""Caixa Atendimento"",""Caixa Sangria"")),""""),""Caixa Sangria"")"),"")</f>
        <v/>
      </c>
      <c r="M494" s="163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IFERROR(__xludf.DUMMYFUNCTION("ifna(IF(and(D495=""Saída"",J495=""Sangria""),if(sum(QUERY(IMPORTRANGE(""https://docs.google.com/spreadsheets/d/15vCx43UQd-lUcbnvwm-R2Xfhex1Wogrs1wY4DlXukMA/edit#gid=458192036"",""BD M Sangrias!a:i""),""select Col6 where Col7 = 'Depositada' and Col9 = '""&amp;"&amp;"K495&amp;""' and Col6 = ""&amp;N495&amp;"" and Col4 = date '""&amp;YEAR(C495)&amp;""-""&amp;MONTH(C495)&amp;""-""&amp;DAY(C495)&amp;""'""))&gt;0,""Depositada"",if(sum(QUERY(IMPORTRANGE(""https://docs.google.com/spreadsheets/d/15vCx43UQd-lUcbnvwm-R2Xfhex1Wogrs1wY4DlXukMA/edit#gid=458192036"","""&amp;"BD M Sangrias!a:i""),""select Col6 where Col7 = 'Caixa Atendimento' and Col9 = '""&amp;K495&amp;""' and Col6 = ""&amp;N495&amp;"" and Col4 = date '""&amp;YEAR(C495)&amp;""-""&amp;MONTH(C495)&amp;""-""&amp;DAY(C495)&amp;""'""))&gt;0,""Caixa Atendimento"",""Caixa Sangria"")),""""),""Caixa Sangria"")"),"")</f>
        <v/>
      </c>
      <c r="M495" s="164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IFERROR(__xludf.DUMMYFUNCTION("ifna(IF(and(D496=""Saída"",J496=""Sangria""),if(sum(QUERY(IMPORTRANGE(""https://docs.google.com/spreadsheets/d/15vCx43UQd-lUcbnvwm-R2Xfhex1Wogrs1wY4DlXukMA/edit#gid=458192036"",""BD M Sangrias!a:i""),""select Col6 where Col7 = 'Depositada' and Col9 = '""&amp;"&amp;"K496&amp;""' and Col6 = ""&amp;N496&amp;"" and Col4 = date '""&amp;YEAR(C496)&amp;""-""&amp;MONTH(C496)&amp;""-""&amp;DAY(C496)&amp;""'""))&gt;0,""Depositada"",if(sum(QUERY(IMPORTRANGE(""https://docs.google.com/spreadsheets/d/15vCx43UQd-lUcbnvwm-R2Xfhex1Wogrs1wY4DlXukMA/edit#gid=458192036"","""&amp;"BD M Sangrias!a:i""),""select Col6 where Col7 = 'Caixa Atendimento' and Col9 = '""&amp;K496&amp;""' and Col6 = ""&amp;N496&amp;"" and Col4 = date '""&amp;YEAR(C496)&amp;""-""&amp;MONTH(C496)&amp;""-""&amp;DAY(C496)&amp;""'""))&gt;0,""Caixa Atendimento"",""Caixa Sangria"")),""""),""Caixa Sangria"")"),"")</f>
        <v/>
      </c>
      <c r="M496" s="163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IFERROR(__xludf.DUMMYFUNCTION("ifna(IF(and(D497=""Saída"",J497=""Sangria""),if(sum(QUERY(IMPORTRANGE(""https://docs.google.com/spreadsheets/d/15vCx43UQd-lUcbnvwm-R2Xfhex1Wogrs1wY4DlXukMA/edit#gid=458192036"",""BD M Sangrias!a:i""),""select Col6 where Col7 = 'Depositada' and Col9 = '""&amp;"&amp;"K497&amp;""' and Col6 = ""&amp;N497&amp;"" and Col4 = date '""&amp;YEAR(C497)&amp;""-""&amp;MONTH(C497)&amp;""-""&amp;DAY(C497)&amp;""'""))&gt;0,""Depositada"",if(sum(QUERY(IMPORTRANGE(""https://docs.google.com/spreadsheets/d/15vCx43UQd-lUcbnvwm-R2Xfhex1Wogrs1wY4DlXukMA/edit#gid=458192036"","""&amp;"BD M Sangrias!a:i""),""select Col6 where Col7 = 'Caixa Atendimento' and Col9 = '""&amp;K497&amp;""' and Col6 = ""&amp;N497&amp;"" and Col4 = date '""&amp;YEAR(C497)&amp;""-""&amp;MONTH(C497)&amp;""-""&amp;DAY(C497)&amp;""'""))&gt;0,""Caixa Atendimento"",""Caixa Sangria"")),""""),""Caixa Sangria"")"),"")</f>
        <v/>
      </c>
      <c r="M497" s="164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IFERROR(__xludf.DUMMYFUNCTION("ifna(IF(and(D498=""Saída"",J498=""Sangria""),if(sum(QUERY(IMPORTRANGE(""https://docs.google.com/spreadsheets/d/15vCx43UQd-lUcbnvwm-R2Xfhex1Wogrs1wY4DlXukMA/edit#gid=458192036"",""BD M Sangrias!a:i""),""select Col6 where Col7 = 'Depositada' and Col9 = '""&amp;"&amp;"K498&amp;""' and Col6 = ""&amp;N498&amp;"" and Col4 = date '""&amp;YEAR(C498)&amp;""-""&amp;MONTH(C498)&amp;""-""&amp;DAY(C498)&amp;""'""))&gt;0,""Depositada"",if(sum(QUERY(IMPORTRANGE(""https://docs.google.com/spreadsheets/d/15vCx43UQd-lUcbnvwm-R2Xfhex1Wogrs1wY4DlXukMA/edit#gid=458192036"","""&amp;"BD M Sangrias!a:i""),""select Col6 where Col7 = 'Caixa Atendimento' and Col9 = '""&amp;K498&amp;""' and Col6 = ""&amp;N498&amp;"" and Col4 = date '""&amp;YEAR(C498)&amp;""-""&amp;MONTH(C498)&amp;""-""&amp;DAY(C498)&amp;""'""))&gt;0,""Caixa Atendimento"",""Caixa Sangria"")),""""),""Caixa Sangria"")"),"")</f>
        <v/>
      </c>
      <c r="M498" s="163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IFERROR(__xludf.DUMMYFUNCTION("ifna(IF(and(D499=""Saída"",J499=""Sangria""),if(sum(QUERY(IMPORTRANGE(""https://docs.google.com/spreadsheets/d/15vCx43UQd-lUcbnvwm-R2Xfhex1Wogrs1wY4DlXukMA/edit#gid=458192036"",""BD M Sangrias!a:i""),""select Col6 where Col7 = 'Depositada' and Col9 = '""&amp;"&amp;"K499&amp;""' and Col6 = ""&amp;N499&amp;"" and Col4 = date '""&amp;YEAR(C499)&amp;""-""&amp;MONTH(C499)&amp;""-""&amp;DAY(C499)&amp;""'""))&gt;0,""Depositada"",if(sum(QUERY(IMPORTRANGE(""https://docs.google.com/spreadsheets/d/15vCx43UQd-lUcbnvwm-R2Xfhex1Wogrs1wY4DlXukMA/edit#gid=458192036"","""&amp;"BD M Sangrias!a:i""),""select Col6 where Col7 = 'Caixa Atendimento' and Col9 = '""&amp;K499&amp;""' and Col6 = ""&amp;N499&amp;"" and Col4 = date '""&amp;YEAR(C499)&amp;""-""&amp;MONTH(C499)&amp;""-""&amp;DAY(C499)&amp;""'""))&gt;0,""Caixa Atendimento"",""Caixa Sangria"")),""""),""Caixa Sangria"")"),"")</f>
        <v/>
      </c>
      <c r="M499" s="223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IFERROR(__xludf.DUMMYFUNCTION("ifna(IF(and(D500=""Saída"",J500=""Sangria""),if(sum(QUERY(IMPORTRANGE(""https://docs.google.com/spreadsheets/d/15vCx43UQd-lUcbnvwm-R2Xfhex1Wogrs1wY4DlXukMA/edit#gid=458192036"",""BD M Sangrias!a:i""),""select Col6 where Col7 = 'Depositada' and Col9 = '""&amp;"&amp;"K500&amp;""' and Col6 = ""&amp;N500&amp;"" and Col4 = date '""&amp;YEAR(C500)&amp;""-""&amp;MONTH(C500)&amp;""-""&amp;DAY(C500)&amp;""'""))&gt;0,""Depositada"",if(sum(QUERY(IMPORTRANGE(""https://docs.google.com/spreadsheets/d/15vCx43UQd-lUcbnvwm-R2Xfhex1Wogrs1wY4DlXukMA/edit#gid=458192036"","""&amp;"BD M Sangrias!a:i""),""select Col6 where Col7 = 'Caixa Atendimento' and Col9 = '""&amp;K500&amp;""' and Col6 = ""&amp;N500&amp;"" and Col4 = date '""&amp;YEAR(C500)&amp;""-""&amp;MONTH(C500)&amp;""-""&amp;DAY(C500)&amp;""'""))&gt;0,""Caixa Atendimento"",""Caixa Sangria"")),""""),""Caixa Sangria"")"),"")</f>
        <v/>
      </c>
      <c r="M500" s="223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L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19:U119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7:U147"/>
    <mergeCell ref="S148:U148"/>
    <mergeCell ref="S149:U149"/>
    <mergeCell ref="S140:U140"/>
    <mergeCell ref="S141:U141"/>
    <mergeCell ref="S142:U142"/>
    <mergeCell ref="S143:U143"/>
    <mergeCell ref="S144:U144"/>
    <mergeCell ref="S145:U145"/>
    <mergeCell ref="S146:U146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7:V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B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273">
    <cfRule type="cellIs" dxfId="5" priority="23" operator="equal">
      <formula>"Caixa Sangria"</formula>
    </cfRule>
  </conditionalFormatting>
  <dataValidations>
    <dataValidation type="list" allowBlank="1" showErrorMessage="1" sqref="J22:J33 J35:J76 J78:J101 J103:J108 J110:J114 J116:J117 J119 J122:J125 J128:J139 J141:J221 J223:J264 J266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113 K115:K127 K129:K500">
      <formula1>'OUTUBRO 2025'!$B$4:$B$10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5.1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>Patrícia</v>
      </c>
      <c r="D3" s="40"/>
      <c r="E3" s="41" t="str">
        <f>B5</f>
        <v>Eduarda</v>
      </c>
      <c r="F3" s="40"/>
      <c r="G3" s="41" t="str">
        <f>B6</f>
        <v>Bruna</v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>Patrícia</v>
      </c>
      <c r="P3" s="35"/>
      <c r="Q3" s="35"/>
      <c r="R3" s="36"/>
      <c r="S3" s="45"/>
      <c r="T3" s="44" t="str">
        <f>B5</f>
        <v>Eduarda</v>
      </c>
      <c r="U3" s="35"/>
      <c r="V3" s="35"/>
      <c r="W3" s="36"/>
    </row>
    <row r="4" ht="15.75" customHeight="1">
      <c r="A4" s="46" t="s">
        <v>624</v>
      </c>
      <c r="B4" s="47" t="s">
        <v>199</v>
      </c>
      <c r="C4" s="48" t="s">
        <v>1329</v>
      </c>
      <c r="D4" s="49">
        <f>SUMIFS(N22:N500,J22:J500,C4,K22:K500,C3)+SUMIF(Q59:Q95,A4,R59:R122)+D9</f>
        <v>700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500</v>
      </c>
      <c r="I4" s="50" t="s">
        <v>1329</v>
      </c>
      <c r="J4" s="49">
        <f>SUMIFS(N22:N500,J22:J500,C4,K22:K500,I3)+SUMIF(Q59:Q95,A7,R59:R195)+J9</f>
        <v>600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3795</v>
      </c>
      <c r="B5" s="56" t="s">
        <v>11074</v>
      </c>
      <c r="C5" s="48" t="s">
        <v>12658</v>
      </c>
      <c r="D5" s="49">
        <f>SUMIFS(N22:N500,J22:J500,C5,K22:K500,C3)</f>
        <v>244.1</v>
      </c>
      <c r="E5" s="50" t="s">
        <v>12658</v>
      </c>
      <c r="F5" s="49">
        <f>SUMIFS(N22:N500,J22:J500,C5,K22:K500,E3)</f>
        <v>307.9</v>
      </c>
      <c r="G5" s="50" t="s">
        <v>12658</v>
      </c>
      <c r="H5" s="49">
        <f>SUMIFS(N22:N500,J22:J500,C5,K22:K500,G3)</f>
        <v>325.79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145.9</v>
      </c>
      <c r="M5" s="33"/>
      <c r="N5" s="33"/>
      <c r="O5" s="202">
        <f>IFERROR(__xludf.DUMMYFUNCTION("""COMPUTED_VALUE"""),45957.93063657408)</f>
        <v>45957.93064</v>
      </c>
      <c r="P5" s="58" t="str">
        <f>IFERROR(__xludf.DUMMYFUNCTION("""COMPUTED_VALUE"""),"R$ 52,00")</f>
        <v>R$ 52,00</v>
      </c>
      <c r="Q5" s="58" t="str">
        <f>IFERROR(__xludf.DUMMYFUNCTION("""COMPUTED_VALUE"""),"Consumo")</f>
        <v>Consumo</v>
      </c>
      <c r="R5" s="59" t="str">
        <f>IFERROR(__xludf.DUMMYFUNCTION("""COMPUTED_VALUE"""),"Patrícia")</f>
        <v>Patrícia</v>
      </c>
      <c r="S5" s="33"/>
      <c r="T5" s="202">
        <f>IFERROR(__xludf.DUMMYFUNCTION("""COMPUTED_VALUE"""),45955.787939814814)</f>
        <v>45955.78794</v>
      </c>
      <c r="U5" s="58" t="str">
        <f>IFERROR(__xludf.DUMMYFUNCTION("""COMPUTED_VALUE"""),"R$ 8,16")</f>
        <v>R$ 8,16</v>
      </c>
      <c r="V5" s="58" t="str">
        <f>IFERROR(__xludf.DUMMYFUNCTION("""COMPUTED_VALUE"""),"Consumo")</f>
        <v>Consumo</v>
      </c>
      <c r="W5" s="59" t="str">
        <f>IFERROR(__xludf.DUMMYFUNCTION("""COMPUTED_VALUE"""),"Eduarda")</f>
        <v>Eduarda</v>
      </c>
    </row>
    <row r="6" ht="16.5" customHeight="1">
      <c r="A6" s="55" t="s">
        <v>6062</v>
      </c>
      <c r="B6" s="56" t="s">
        <v>12666</v>
      </c>
      <c r="C6" s="48" t="s">
        <v>12669</v>
      </c>
      <c r="D6" s="49">
        <f>D5*0.8</f>
        <v>195.28</v>
      </c>
      <c r="E6" s="50" t="s">
        <v>12669</v>
      </c>
      <c r="F6" s="49">
        <f>F5*0.8</f>
        <v>246.32</v>
      </c>
      <c r="G6" s="50" t="s">
        <v>12669</v>
      </c>
      <c r="H6" s="49">
        <f>H5*0.8</f>
        <v>260.632</v>
      </c>
      <c r="I6" s="50" t="s">
        <v>12669</v>
      </c>
      <c r="J6" s="49">
        <f>J5*0.8</f>
        <v>0</v>
      </c>
      <c r="K6" s="60" t="s">
        <v>12669</v>
      </c>
      <c r="L6" s="51">
        <f>L5*0.8</f>
        <v>116.72</v>
      </c>
      <c r="M6" s="33"/>
      <c r="N6" s="33"/>
      <c r="O6" s="202">
        <f>IFERROR(__xludf.DUMMYFUNCTION("""COMPUTED_VALUE"""),45960.65614583333)</f>
        <v>45960.65615</v>
      </c>
      <c r="P6" s="58" t="str">
        <f>IFERROR(__xludf.DUMMYFUNCTION("""COMPUTED_VALUE"""),"R$ 59,80")</f>
        <v>R$ 59,80</v>
      </c>
      <c r="Q6" s="58" t="str">
        <f>IFERROR(__xludf.DUMMYFUNCTION("""COMPUTED_VALUE"""),"Consumo")</f>
        <v>Consumo</v>
      </c>
      <c r="R6" s="59" t="str">
        <f>IFERROR(__xludf.DUMMYFUNCTION("""COMPUTED_VALUE"""),"Patrícia")</f>
        <v>Patrícia</v>
      </c>
      <c r="S6" s="33"/>
      <c r="T6" s="202">
        <f>IFERROR(__xludf.DUMMYFUNCTION("""COMPUTED_VALUE"""),45957.9303125)</f>
        <v>45957.93031</v>
      </c>
      <c r="U6" s="58" t="str">
        <f>IFERROR(__xludf.DUMMYFUNCTION("""COMPUTED_VALUE"""),"R$ 27,00")</f>
        <v>R$ 27,00</v>
      </c>
      <c r="V6" s="58" t="str">
        <f>IFERROR(__xludf.DUMMYFUNCTION("""COMPUTED_VALUE"""),"Consumo")</f>
        <v>Consumo</v>
      </c>
      <c r="W6" s="59" t="str">
        <f>IFERROR(__xludf.DUMMYFUNCTION("""COMPUTED_VALUE"""),"Eduarda")</f>
        <v>Eduarda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203">
        <f>IFERROR(__xludf.DUMMYFUNCTION("""COMPUTED_VALUE"""),45960.71025462963)</f>
        <v>45960.71025</v>
      </c>
      <c r="P7" s="67" t="str">
        <f>IFERROR(__xludf.DUMMYFUNCTION("""COMPUTED_VALUE"""),"R$ 18,00")</f>
        <v>R$ 18,00</v>
      </c>
      <c r="Q7" s="67" t="str">
        <f>IFERROR(__xludf.DUMMYFUNCTION("""COMPUTED_VALUE"""),"Consumo")</f>
        <v>Consumo</v>
      </c>
      <c r="R7" s="68" t="str">
        <f>IFERROR(__xludf.DUMMYFUNCTION("""COMPUTED_VALUE"""),"Patrícia")</f>
        <v>Patrícia</v>
      </c>
      <c r="S7" s="65"/>
      <c r="T7" s="203">
        <f>IFERROR(__xludf.DUMMYFUNCTION("""COMPUTED_VALUE"""),45958.864166666666)</f>
        <v>45958.86417</v>
      </c>
      <c r="U7" s="67" t="str">
        <f>IFERROR(__xludf.DUMMYFUNCTION("""COMPUTED_VALUE"""),"R$ 13,00")</f>
        <v>R$ 13,00</v>
      </c>
      <c r="V7" s="67" t="str">
        <f>IFERROR(__xludf.DUMMYFUNCTION("""COMPUTED_VALUE"""),"Consumo")</f>
        <v>Consumo</v>
      </c>
      <c r="W7" s="68" t="str">
        <f>IFERROR(__xludf.DUMMYFUNCTION("""COMPUTED_VALUE"""),"Eduarda")</f>
        <v>Eduarda</v>
      </c>
    </row>
    <row r="8" ht="14.25" customHeight="1">
      <c r="A8" s="55" t="s">
        <v>227</v>
      </c>
      <c r="B8" s="56" t="s">
        <v>12693</v>
      </c>
      <c r="C8" s="69" t="s">
        <v>12695</v>
      </c>
      <c r="D8" s="70" t="s">
        <v>13382</v>
      </c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203">
        <f>IFERROR(__xludf.DUMMYFUNCTION("""COMPUTED_VALUE"""),45963.88743055555)</f>
        <v>45963.88743</v>
      </c>
      <c r="P8" s="67" t="str">
        <f>IFERROR(__xludf.DUMMYFUNCTION("""COMPUTED_VALUE"""),"R$ 18,00")</f>
        <v>R$ 18,00</v>
      </c>
      <c r="Q8" s="67" t="str">
        <f>IFERROR(__xludf.DUMMYFUNCTION("""COMPUTED_VALUE"""),"Consumo")</f>
        <v>Consumo</v>
      </c>
      <c r="R8" s="68" t="str">
        <f>IFERROR(__xludf.DUMMYFUNCTION("""COMPUTED_VALUE"""),"Patrícia")</f>
        <v>Patrícia</v>
      </c>
      <c r="S8" s="74"/>
      <c r="T8" s="203">
        <f>IFERROR(__xludf.DUMMYFUNCTION("""COMPUTED_VALUE"""),45959.66515046296)</f>
        <v>45959.66515</v>
      </c>
      <c r="U8" s="67" t="str">
        <f>IFERROR(__xludf.DUMMYFUNCTION("""COMPUTED_VALUE"""),"R$ 12,00")</f>
        <v>R$ 12,00</v>
      </c>
      <c r="V8" s="67" t="str">
        <f>IFERROR(__xludf.DUMMYFUNCTION("""COMPUTED_VALUE"""),"Consumo")</f>
        <v>Consumo</v>
      </c>
      <c r="W8" s="68" t="str">
        <f>IFERROR(__xludf.DUMMYFUNCTION("""COMPUTED_VALUE"""),"Eduarda")</f>
        <v>Eduarda</v>
      </c>
    </row>
    <row r="9" ht="15.75" customHeight="1">
      <c r="A9" s="55"/>
      <c r="B9" s="56"/>
      <c r="C9" s="75" t="s">
        <v>17</v>
      </c>
      <c r="D9" s="76">
        <v>200.0</v>
      </c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203">
        <f>IFERROR(__xludf.DUMMYFUNCTION("""COMPUTED_VALUE"""),45965.86864583333)</f>
        <v>45965.86865</v>
      </c>
      <c r="P9" s="67" t="str">
        <f>IFERROR(__xludf.DUMMYFUNCTION("""COMPUTED_VALUE"""),"R$ 10,00")</f>
        <v>R$ 10,00</v>
      </c>
      <c r="Q9" s="67" t="str">
        <f>IFERROR(__xludf.DUMMYFUNCTION("""COMPUTED_VALUE"""),"Consumo")</f>
        <v>Consumo</v>
      </c>
      <c r="R9" s="68" t="str">
        <f>IFERROR(__xludf.DUMMYFUNCTION("""COMPUTED_VALUE"""),"Patrícia")</f>
        <v>Patrícia</v>
      </c>
      <c r="S9" s="74"/>
      <c r="T9" s="203">
        <f>IFERROR(__xludf.DUMMYFUNCTION("""COMPUTED_VALUE"""),45959.75630787037)</f>
        <v>45959.75631</v>
      </c>
      <c r="U9" s="67" t="str">
        <f>IFERROR(__xludf.DUMMYFUNCTION("""COMPUTED_VALUE"""),"R$ 79,00")</f>
        <v>R$ 79,00</v>
      </c>
      <c r="V9" s="67" t="str">
        <f>IFERROR(__xludf.DUMMYFUNCTION("""COMPUTED_VALUE"""),"Consumo")</f>
        <v>Consumo</v>
      </c>
      <c r="W9" s="68" t="str">
        <f>IFERROR(__xludf.DUMMYFUNCTION("""COMPUTED_VALUE"""),"Eduarda")</f>
        <v>Eduarda</v>
      </c>
    </row>
    <row r="10">
      <c r="A10" s="55"/>
      <c r="B10" s="56"/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202">
        <f>IFERROR(__xludf.DUMMYFUNCTION("""COMPUTED_VALUE"""),45967.71960648148)</f>
        <v>45967.71961</v>
      </c>
      <c r="P10" s="82" t="str">
        <f>IFERROR(__xludf.DUMMYFUNCTION("""COMPUTED_VALUE"""),"R$ 5,00")</f>
        <v>R$ 5,00</v>
      </c>
      <c r="Q10" s="82" t="str">
        <f>IFERROR(__xludf.DUMMYFUNCTION("""COMPUTED_VALUE"""),"Consumo")</f>
        <v>Consumo</v>
      </c>
      <c r="R10" s="83" t="str">
        <f>IFERROR(__xludf.DUMMYFUNCTION("""COMPUTED_VALUE"""),"Patrícia")</f>
        <v>Patrícia</v>
      </c>
      <c r="S10" s="32"/>
      <c r="T10" s="202">
        <f>IFERROR(__xludf.DUMMYFUNCTION("""COMPUTED_VALUE"""),45959.77019675926)</f>
        <v>45959.7702</v>
      </c>
      <c r="U10" s="82" t="str">
        <f>IFERROR(__xludf.DUMMYFUNCTION("""COMPUTED_VALUE"""),"R$ 19,90")</f>
        <v>R$ 19,90</v>
      </c>
      <c r="V10" s="82" t="str">
        <f>IFERROR(__xludf.DUMMYFUNCTION("""COMPUTED_VALUE"""),"Consumo")</f>
        <v>Consumo</v>
      </c>
      <c r="W10" s="83" t="str">
        <f>IFERROR(__xludf.DUMMYFUNCTION("""COMPUTED_VALUE"""),"Eduarda")</f>
        <v>Eduarda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202">
        <f>IFERROR(__xludf.DUMMYFUNCTION("""COMPUTED_VALUE"""),45968.71805555555)</f>
        <v>45968.71806</v>
      </c>
      <c r="P11" s="82" t="str">
        <f>IFERROR(__xludf.DUMMYFUNCTION("""COMPUTED_VALUE"""),"R$ 17,00")</f>
        <v>R$ 17,00</v>
      </c>
      <c r="Q11" s="82" t="str">
        <f>IFERROR(__xludf.DUMMYFUNCTION("""COMPUTED_VALUE"""),"Consumo")</f>
        <v>Consumo</v>
      </c>
      <c r="R11" s="83" t="str">
        <f>IFERROR(__xludf.DUMMYFUNCTION("""COMPUTED_VALUE"""),"Patrícia")</f>
        <v>Patrícia</v>
      </c>
      <c r="S11" s="32"/>
      <c r="T11" s="202">
        <f>IFERROR(__xludf.DUMMYFUNCTION("""COMPUTED_VALUE"""),45960.710763888885)</f>
        <v>45960.71076</v>
      </c>
      <c r="U11" s="82" t="str">
        <f>IFERROR(__xludf.DUMMYFUNCTION("""COMPUTED_VALUE"""),"R$ 10,00")</f>
        <v>R$ 10,00</v>
      </c>
      <c r="V11" s="82" t="str">
        <f>IFERROR(__xludf.DUMMYFUNCTION("""COMPUTED_VALUE"""),"Consumo")</f>
        <v>Consumo</v>
      </c>
      <c r="W11" s="83" t="str">
        <f>IFERROR(__xludf.DUMMYFUNCTION("""COMPUTED_VALUE"""),"Eduarda")</f>
        <v>Eduarda</v>
      </c>
    </row>
    <row r="12">
      <c r="A12" s="31"/>
      <c r="B12" s="31"/>
      <c r="C12" s="88" t="str">
        <f>B9</f>
        <v/>
      </c>
      <c r="D12" s="89"/>
      <c r="E12" s="88" t="str">
        <f>B10</f>
        <v/>
      </c>
      <c r="F12" s="90"/>
      <c r="G12" s="91" t="s">
        <v>12714</v>
      </c>
      <c r="H12" s="92">
        <f>SUMIF(L22:L495,G12,N22:N495)</f>
        <v>2000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202">
        <f>IFERROR(__xludf.DUMMYFUNCTION("""COMPUTED_VALUE"""),45971.71033564815)</f>
        <v>45971.71034</v>
      </c>
      <c r="P12" s="82" t="str">
        <f>IFERROR(__xludf.DUMMYFUNCTION("""COMPUTED_VALUE"""),"R$ 10,00")</f>
        <v>R$ 10,00</v>
      </c>
      <c r="Q12" s="82" t="str">
        <f>IFERROR(__xludf.DUMMYFUNCTION("""COMPUTED_VALUE"""),"Consumo")</f>
        <v>Consumo</v>
      </c>
      <c r="R12" s="83" t="str">
        <f>IFERROR(__xludf.DUMMYFUNCTION("""COMPUTED_VALUE"""),"Patrícia")</f>
        <v>Patrícia</v>
      </c>
      <c r="S12" s="32"/>
      <c r="T12" s="202">
        <f>IFERROR(__xludf.DUMMYFUNCTION("""COMPUTED_VALUE"""),45960.76503472222)</f>
        <v>45960.76503</v>
      </c>
      <c r="U12" s="82" t="str">
        <f>IFERROR(__xludf.DUMMYFUNCTION("""COMPUTED_VALUE"""),"R$ 22,00")</f>
        <v>R$ 22,00</v>
      </c>
      <c r="V12" s="82" t="str">
        <f>IFERROR(__xludf.DUMMYFUNCTION("""COMPUTED_VALUE"""),"Consumo")</f>
        <v>Consumo</v>
      </c>
      <c r="W12" s="83" t="str">
        <f>IFERROR(__xludf.DUMMYFUNCTION("""COMPUTED_VALUE"""),"Eduarda")</f>
        <v>Eduarda</v>
      </c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236.34</v>
      </c>
      <c r="K13" s="103" t="s">
        <v>12734</v>
      </c>
      <c r="L13" s="104"/>
      <c r="M13" s="32"/>
      <c r="N13" s="32"/>
      <c r="O13" s="202">
        <f>IFERROR(__xludf.DUMMYFUNCTION("""COMPUTED_VALUE"""),45974.712233796294)</f>
        <v>45974.71223</v>
      </c>
      <c r="P13" s="82" t="str">
        <f>IFERROR(__xludf.DUMMYFUNCTION("""COMPUTED_VALUE"""),"R$ 23,00")</f>
        <v>R$ 23,00</v>
      </c>
      <c r="Q13" s="82" t="str">
        <f>IFERROR(__xludf.DUMMYFUNCTION("""COMPUTED_VALUE"""),"Consumo")</f>
        <v>Consumo</v>
      </c>
      <c r="R13" s="83" t="str">
        <f>IFERROR(__xludf.DUMMYFUNCTION("""COMPUTED_VALUE"""),"Patrícia")</f>
        <v>Patrícia</v>
      </c>
      <c r="S13" s="32"/>
      <c r="T13" s="202">
        <f>IFERROR(__xludf.DUMMYFUNCTION("""COMPUTED_VALUE"""),45961.68476851852)</f>
        <v>45961.68477</v>
      </c>
      <c r="U13" s="82" t="str">
        <f>IFERROR(__xludf.DUMMYFUNCTION("""COMPUTED_VALUE"""),"R$ 9,94")</f>
        <v>R$ 9,94</v>
      </c>
      <c r="V13" s="82" t="str">
        <f>IFERROR(__xludf.DUMMYFUNCTION("""COMPUTED_VALUE"""),"Consumo")</f>
        <v>Consumo</v>
      </c>
      <c r="W13" s="83" t="str">
        <f>IFERROR(__xludf.DUMMYFUNCTION("""COMPUTED_VALUE"""),"Eduarda")</f>
        <v>Eduarda</v>
      </c>
    </row>
    <row r="14" ht="14.25" customHeight="1">
      <c r="A14" s="105"/>
      <c r="B14" s="105"/>
      <c r="C14" s="97" t="s">
        <v>12658</v>
      </c>
      <c r="D14" s="51">
        <f>SUMIFS(N22:N500,J22:J500,C5,K22:K500,C12)</f>
        <v>0</v>
      </c>
      <c r="E14" s="97" t="s">
        <v>12658</v>
      </c>
      <c r="F14" s="106">
        <f>SUMIFS(N22:N500,J22:J500,C5,K22:K500,E12)</f>
        <v>0</v>
      </c>
      <c r="G14" s="50" t="s">
        <v>12744</v>
      </c>
      <c r="H14" s="51">
        <f>SUMIFS(N22:N500,D22:D500,"Saída",J22:J500,"Sangria")</f>
        <v>23490</v>
      </c>
      <c r="I14" s="107"/>
      <c r="J14" s="108"/>
      <c r="K14" s="103" t="s">
        <v>12746</v>
      </c>
      <c r="L14" s="104"/>
      <c r="M14" s="32"/>
      <c r="N14" s="32"/>
      <c r="O14" s="202">
        <f>IFERROR(__xludf.DUMMYFUNCTION("""COMPUTED_VALUE"""),45975.65280092593)</f>
        <v>45975.6528</v>
      </c>
      <c r="P14" s="82" t="str">
        <f>IFERROR(__xludf.DUMMYFUNCTION("""COMPUTED_VALUE"""),"R$ 10,00")</f>
        <v>R$ 10,00</v>
      </c>
      <c r="Q14" s="82" t="str">
        <f>IFERROR(__xludf.DUMMYFUNCTION("""COMPUTED_VALUE"""),"Consumo")</f>
        <v>Consumo</v>
      </c>
      <c r="R14" s="83" t="str">
        <f>IFERROR(__xludf.DUMMYFUNCTION("""COMPUTED_VALUE"""),"Patrícia")</f>
        <v>Patrícia</v>
      </c>
      <c r="S14" s="32"/>
      <c r="T14" s="202">
        <f>IFERROR(__xludf.DUMMYFUNCTION("""COMPUTED_VALUE"""),45961.688622685186)</f>
        <v>45961.68862</v>
      </c>
      <c r="U14" s="82" t="str">
        <f>IFERROR(__xludf.DUMMYFUNCTION("""COMPUTED_VALUE"""),"R$ 7,00")</f>
        <v>R$ 7,00</v>
      </c>
      <c r="V14" s="82" t="str">
        <f>IFERROR(__xludf.DUMMYFUNCTION("""COMPUTED_VALUE"""),"Consumo")</f>
        <v>Consumo</v>
      </c>
      <c r="W14" s="83" t="str">
        <f>IFERROR(__xludf.DUMMYFUNCTION("""COMPUTED_VALUE"""),"Eduarda")</f>
        <v>Eduarda</v>
      </c>
    </row>
    <row r="15">
      <c r="A15" s="105"/>
      <c r="B15" s="105"/>
      <c r="C15" s="109" t="s">
        <v>12669</v>
      </c>
      <c r="D15" s="51">
        <f>D14*0.8</f>
        <v>0</v>
      </c>
      <c r="E15" s="109" t="s">
        <v>12669</v>
      </c>
      <c r="F15" s="110">
        <f>F14*0.8</f>
        <v>0</v>
      </c>
      <c r="G15" s="111" t="s">
        <v>12749</v>
      </c>
      <c r="H15" s="112">
        <f>SUMIFS(N22:N500,D22:D500,"Entrada",J22:J500,"Sangria")</f>
        <v>3236.35</v>
      </c>
      <c r="I15" s="113" t="s">
        <v>12752</v>
      </c>
      <c r="J15" s="114"/>
      <c r="K15" s="103" t="s">
        <v>12753</v>
      </c>
      <c r="L15" s="104"/>
      <c r="M15" s="32"/>
      <c r="N15" s="32"/>
      <c r="O15" s="202">
        <f>IFERROR(__xludf.DUMMYFUNCTION("""COMPUTED_VALUE"""),45981.87878472223)</f>
        <v>45981.87878</v>
      </c>
      <c r="P15" s="82" t="str">
        <f>IFERROR(__xludf.DUMMYFUNCTION("""COMPUTED_VALUE"""),"R$ 21,30")</f>
        <v>R$ 21,30</v>
      </c>
      <c r="Q15" s="82" t="str">
        <f>IFERROR(__xludf.DUMMYFUNCTION("""COMPUTED_VALUE"""),"Consumo")</f>
        <v>Consumo</v>
      </c>
      <c r="R15" s="83" t="str">
        <f>IFERROR(__xludf.DUMMYFUNCTION("""COMPUTED_VALUE"""),"Patrícia")</f>
        <v>Patrícia</v>
      </c>
      <c r="S15" s="32"/>
      <c r="T15" s="202">
        <f>IFERROR(__xludf.DUMMYFUNCTION("""COMPUTED_VALUE"""),45962.91462962963)</f>
        <v>45962.91463</v>
      </c>
      <c r="U15" s="82" t="str">
        <f>IFERROR(__xludf.DUMMYFUNCTION("""COMPUTED_VALUE"""),"R$ 70,90")</f>
        <v>R$ 70,90</v>
      </c>
      <c r="V15" s="82" t="str">
        <f>IFERROR(__xludf.DUMMYFUNCTION("""COMPUTED_VALUE"""),"Consumo")</f>
        <v>Consumo</v>
      </c>
      <c r="W15" s="83" t="str">
        <f>IFERROR(__xludf.DUMMYFUNCTION("""COMPUTED_VALUE"""),"Eduarda")</f>
        <v>Eduarda</v>
      </c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202">
        <f>IFERROR(__xludf.DUMMYFUNCTION("""COMPUTED_VALUE"""),45963.851643518516)</f>
        <v>45963.85164</v>
      </c>
      <c r="U16" s="82" t="str">
        <f>IFERROR(__xludf.DUMMYFUNCTION("""COMPUTED_VALUE"""),"R$ 19,00")</f>
        <v>R$ 19,00</v>
      </c>
      <c r="V16" s="82" t="str">
        <f>IFERROR(__xludf.DUMMYFUNCTION("""COMPUTED_VALUE"""),"Consumo")</f>
        <v>Consumo</v>
      </c>
      <c r="W16" s="83" t="str">
        <f>IFERROR(__xludf.DUMMYFUNCTION("""COMPUTED_VALUE"""),"Eduarda")</f>
        <v>Eduarda</v>
      </c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2970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202">
        <f>IFERROR(__xludf.DUMMYFUNCTION("""COMPUTED_VALUE"""),45964.561064814814)</f>
        <v>45964.56106</v>
      </c>
      <c r="U17" s="82" t="str">
        <f>IFERROR(__xludf.DUMMYFUNCTION("""COMPUTED_VALUE"""),"R$ 10,00")</f>
        <v>R$ 10,00</v>
      </c>
      <c r="V17" s="82" t="str">
        <f>IFERROR(__xludf.DUMMYFUNCTION("""COMPUTED_VALUE"""),"Consumo")</f>
        <v>Consumo</v>
      </c>
      <c r="W17" s="83" t="str">
        <f>IFERROR(__xludf.DUMMYFUNCTION("""COMPUTED_VALUE"""),"Eduarda")</f>
        <v>Eduarda</v>
      </c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>Bruna</v>
      </c>
      <c r="S21" s="138"/>
      <c r="T21" s="148" t="str">
        <f>B7</f>
        <v>Josi Ribas</v>
      </c>
    </row>
    <row r="22">
      <c r="A22" s="149"/>
      <c r="B22" s="151">
        <v>1758046.0</v>
      </c>
      <c r="C22" s="152">
        <v>45955.57509259259</v>
      </c>
      <c r="D22" s="153" t="s">
        <v>139</v>
      </c>
      <c r="E22" s="154" t="s">
        <v>201</v>
      </c>
      <c r="F22" s="155"/>
      <c r="G22" s="153" t="s">
        <v>12927</v>
      </c>
      <c r="H22" s="155"/>
      <c r="I22" s="155"/>
      <c r="J22" s="156" t="s">
        <v>12952</v>
      </c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>
        <f>IFERROR(__xludf.DUMMYFUNCTION("ifna(VALUE(REGEXEXTRACT(E22,""[0-9.]+[,]+[0-9]+"")))"),150.0)</f>
        <v>150</v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51">
        <v>1758912.0</v>
      </c>
      <c r="C23" s="152">
        <v>45955.76719907407</v>
      </c>
      <c r="D23" s="153" t="s">
        <v>101</v>
      </c>
      <c r="E23" s="154" t="s">
        <v>13384</v>
      </c>
      <c r="F23" s="155"/>
      <c r="G23" s="153" t="s">
        <v>13385</v>
      </c>
      <c r="H23" s="161"/>
      <c r="I23" s="161"/>
      <c r="J23" s="156" t="s">
        <v>6914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59">
        <f>IFERROR(__xludf.DUMMYFUNCTION("ifna(VALUE(REGEXEXTRACT(E23,""[0-9.]+[,]+[0-9]+"")))"),177.0)</f>
        <v>177</v>
      </c>
      <c r="O23" s="206">
        <f>IFERROR(__xludf.DUMMYFUNCTION("""COMPUTED_VALUE"""),45957.70637731481)</f>
        <v>45957.70638</v>
      </c>
      <c r="P23" s="58" t="str">
        <f>IFERROR(__xludf.DUMMYFUNCTION("""COMPUTED_VALUE"""),"R$ 16,60")</f>
        <v>R$ 16,60</v>
      </c>
      <c r="Q23" s="58" t="str">
        <f>IFERROR(__xludf.DUMMYFUNCTION("""COMPUTED_VALUE"""),"Consumo")</f>
        <v>Consumo</v>
      </c>
      <c r="R23" s="58" t="str">
        <f>IFERROR(__xludf.DUMMYFUNCTION("""COMPUTED_VALUE"""),"Bruna")</f>
        <v>Bruna</v>
      </c>
      <c r="S23" s="159"/>
      <c r="T23" s="58"/>
      <c r="U23" s="58"/>
      <c r="V23" s="58"/>
      <c r="W23" s="58"/>
    </row>
    <row r="24" ht="14.25" customHeight="1">
      <c r="A24" s="149"/>
      <c r="B24" s="151">
        <v>1759026.0</v>
      </c>
      <c r="C24" s="152">
        <v>45955.787939814814</v>
      </c>
      <c r="D24" s="153" t="s">
        <v>101</v>
      </c>
      <c r="E24" s="154" t="s">
        <v>13386</v>
      </c>
      <c r="F24" s="155"/>
      <c r="G24" s="153" t="s">
        <v>13387</v>
      </c>
      <c r="H24" s="161"/>
      <c r="I24" s="161"/>
      <c r="J24" s="156" t="s">
        <v>12658</v>
      </c>
      <c r="K24" s="156" t="s">
        <v>11074</v>
      </c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IFERROR(__xludf.DUMMYFUNCTION("ifna(VALUE(REGEXEXTRACT(E24,""[0-9.]+[,]+[0-9]+"")))"),8.16)</f>
        <v>8.16</v>
      </c>
      <c r="O24" s="206">
        <f>IFERROR(__xludf.DUMMYFUNCTION("""COMPUTED_VALUE"""),45958.88894675926)</f>
        <v>45958.88895</v>
      </c>
      <c r="P24" s="58" t="str">
        <f>IFERROR(__xludf.DUMMYFUNCTION("""COMPUTED_VALUE"""),"R$ 59,10")</f>
        <v>R$ 59,10</v>
      </c>
      <c r="Q24" s="58" t="str">
        <f>IFERROR(__xludf.DUMMYFUNCTION("""COMPUTED_VALUE"""),"Consumo")</f>
        <v>Consumo</v>
      </c>
      <c r="R24" s="58" t="str">
        <f>IFERROR(__xludf.DUMMYFUNCTION("""COMPUTED_VALUE"""),"Bruna")</f>
        <v>Bruna</v>
      </c>
      <c r="S24" s="159"/>
      <c r="T24" s="58"/>
      <c r="U24" s="58"/>
      <c r="V24" s="58"/>
      <c r="W24" s="58"/>
    </row>
    <row r="25" ht="14.25" customHeight="1">
      <c r="A25" s="149"/>
      <c r="B25" s="151">
        <v>1759029.0</v>
      </c>
      <c r="C25" s="152">
        <v>45955.78827546296</v>
      </c>
      <c r="D25" s="153" t="s">
        <v>101</v>
      </c>
      <c r="E25" s="154" t="s">
        <v>13388</v>
      </c>
      <c r="F25" s="155"/>
      <c r="G25" s="153" t="s">
        <v>528</v>
      </c>
      <c r="H25" s="161"/>
      <c r="I25" s="161"/>
      <c r="J25" s="156" t="s">
        <v>12818</v>
      </c>
      <c r="K25" s="156"/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"""")"),"Encontrada")</f>
        <v>Encontrada</v>
      </c>
      <c r="N25" s="159">
        <f>IFERROR(__xludf.DUMMYFUNCTION("ifna(VALUE(REGEXEXTRACT(E25,""[0-9.]+[,]+[0-9]+"")))"),96.9)</f>
        <v>96.9</v>
      </c>
      <c r="O25" s="208">
        <f>IFERROR(__xludf.DUMMYFUNCTION("""COMPUTED_VALUE"""),45960.76459490741)</f>
        <v>45960.76459</v>
      </c>
      <c r="P25" s="67" t="str">
        <f>IFERROR(__xludf.DUMMYFUNCTION("""COMPUTED_VALUE"""),"R$ 37,00")</f>
        <v>R$ 37,00</v>
      </c>
      <c r="Q25" s="67" t="str">
        <f>IFERROR(__xludf.DUMMYFUNCTION("""COMPUTED_VALUE"""),"Consumo")</f>
        <v>Consumo</v>
      </c>
      <c r="R25" s="67" t="str">
        <f>IFERROR(__xludf.DUMMYFUNCTION("""COMPUTED_VALUE"""),"Bruna")</f>
        <v>Bruna</v>
      </c>
      <c r="S25" s="159"/>
      <c r="T25" s="67"/>
      <c r="U25" s="67"/>
      <c r="V25" s="67"/>
      <c r="W25" s="67"/>
    </row>
    <row r="26" ht="14.25" customHeight="1">
      <c r="A26" s="149"/>
      <c r="B26" s="151">
        <v>1759406.0</v>
      </c>
      <c r="C26" s="152">
        <v>45955.865277777775</v>
      </c>
      <c r="D26" s="153" t="s">
        <v>101</v>
      </c>
      <c r="E26" s="154" t="s">
        <v>786</v>
      </c>
      <c r="F26" s="155"/>
      <c r="G26" s="153" t="s">
        <v>13389</v>
      </c>
      <c r="H26" s="161"/>
      <c r="I26" s="161"/>
      <c r="J26" s="156" t="s">
        <v>10036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IFERROR(__xludf.DUMMYFUNCTION("ifna(VALUE(REGEXEXTRACT(E26,""[0-9.]+[,]+[0-9]+"")))"),130.0)</f>
        <v>130</v>
      </c>
      <c r="O26" s="208">
        <f>IFERROR(__xludf.DUMMYFUNCTION("""COMPUTED_VALUE"""),45961.89840277778)</f>
        <v>45961.8984</v>
      </c>
      <c r="P26" s="67" t="str">
        <f>IFERROR(__xludf.DUMMYFUNCTION("""COMPUTED_VALUE"""),"R$ 79,09")</f>
        <v>R$ 79,09</v>
      </c>
      <c r="Q26" s="67" t="str">
        <f>IFERROR(__xludf.DUMMYFUNCTION("""COMPUTED_VALUE"""),"Consumo")</f>
        <v>Consumo</v>
      </c>
      <c r="R26" s="67" t="str">
        <f>IFERROR(__xludf.DUMMYFUNCTION("""COMPUTED_VALUE"""),"Bruna")</f>
        <v>Bruna</v>
      </c>
      <c r="S26" s="159"/>
      <c r="T26" s="67"/>
      <c r="U26" s="67"/>
      <c r="V26" s="67"/>
      <c r="W26" s="67"/>
    </row>
    <row r="27" ht="14.25" customHeight="1">
      <c r="A27" s="149"/>
      <c r="B27" s="151">
        <v>1759416.0</v>
      </c>
      <c r="C27" s="152">
        <v>45955.86697916667</v>
      </c>
      <c r="D27" s="153" t="s">
        <v>101</v>
      </c>
      <c r="E27" s="154" t="s">
        <v>786</v>
      </c>
      <c r="F27" s="155"/>
      <c r="G27" s="153" t="s">
        <v>13390</v>
      </c>
      <c r="H27" s="161"/>
      <c r="I27" s="161"/>
      <c r="J27" s="156" t="s">
        <v>10036</v>
      </c>
      <c r="K27" s="156"/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IFERROR(__xludf.DUMMYFUNCTION("ifna(VALUE(REGEXEXTRACT(E27,""[0-9.]+[,]+[0-9]+"")))"),130.0)</f>
        <v>130</v>
      </c>
      <c r="O27" s="208">
        <f>IFERROR(__xludf.DUMMYFUNCTION("""COMPUTED_VALUE"""),45964.56150462963)</f>
        <v>45964.5615</v>
      </c>
      <c r="P27" s="67" t="str">
        <f>IFERROR(__xludf.DUMMYFUNCTION("""COMPUTED_VALUE"""),"R$ 6,00")</f>
        <v>R$ 6,00</v>
      </c>
      <c r="Q27" s="67" t="str">
        <f>IFERROR(__xludf.DUMMYFUNCTION("""COMPUTED_VALUE"""),"Consumo")</f>
        <v>Consumo</v>
      </c>
      <c r="R27" s="67" t="str">
        <f>IFERROR(__xludf.DUMMYFUNCTION("""COMPUTED_VALUE"""),"Bruna")</f>
        <v>Bruna</v>
      </c>
      <c r="S27" s="159"/>
      <c r="T27" s="67"/>
      <c r="U27" s="67"/>
      <c r="V27" s="67"/>
      <c r="W27" s="67"/>
    </row>
    <row r="28" ht="14.25" customHeight="1">
      <c r="A28" s="149"/>
      <c r="B28" s="151">
        <v>1759419.0</v>
      </c>
      <c r="C28" s="152">
        <v>45955.86744212963</v>
      </c>
      <c r="D28" s="153" t="s">
        <v>101</v>
      </c>
      <c r="E28" s="154" t="s">
        <v>2126</v>
      </c>
      <c r="F28" s="155"/>
      <c r="G28" s="153" t="s">
        <v>13391</v>
      </c>
      <c r="H28" s="161"/>
      <c r="I28" s="161"/>
      <c r="J28" s="156" t="s">
        <v>10036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IFERROR(__xludf.DUMMYFUNCTION("ifna(VALUE(REGEXEXTRACT(E28,""[0-9.]+[,]+[0-9]+"")))"),129.0)</f>
        <v>129</v>
      </c>
      <c r="O28" s="206">
        <f>IFERROR(__xludf.DUMMYFUNCTION("""COMPUTED_VALUE"""),45964.92818287037)</f>
        <v>45964.92818</v>
      </c>
      <c r="P28" s="82" t="str">
        <f>IFERROR(__xludf.DUMMYFUNCTION("""COMPUTED_VALUE"""),"R$ 5,00")</f>
        <v>R$ 5,00</v>
      </c>
      <c r="Q28" s="82" t="str">
        <f>IFERROR(__xludf.DUMMYFUNCTION("""COMPUTED_VALUE"""),"Consumo")</f>
        <v>Consumo</v>
      </c>
      <c r="R28" s="82" t="str">
        <f>IFERROR(__xludf.DUMMYFUNCTION("""COMPUTED_VALUE"""),"Bruna")</f>
        <v>Bruna</v>
      </c>
      <c r="S28" s="159"/>
      <c r="T28" s="82"/>
      <c r="U28" s="82"/>
      <c r="V28" s="82"/>
      <c r="W28" s="82"/>
    </row>
    <row r="29" ht="14.25" customHeight="1">
      <c r="A29" s="149"/>
      <c r="B29" s="151">
        <v>1759689.0</v>
      </c>
      <c r="C29" s="152">
        <v>45955.910405092596</v>
      </c>
      <c r="D29" s="153" t="s">
        <v>101</v>
      </c>
      <c r="E29" s="154" t="s">
        <v>845</v>
      </c>
      <c r="F29" s="155"/>
      <c r="G29" s="153" t="s">
        <v>13392</v>
      </c>
      <c r="H29" s="161"/>
      <c r="I29" s="161"/>
      <c r="J29" s="156" t="s">
        <v>6914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IFERROR(__xludf.DUMMYFUNCTION("ifna(VALUE(REGEXEXTRACT(E29,""[0-9.]+[,]+[0-9]+"")))"),26.0)</f>
        <v>26</v>
      </c>
      <c r="O29" s="206">
        <f>IFERROR(__xludf.DUMMYFUNCTION("""COMPUTED_VALUE"""),45966.90813657407)</f>
        <v>45966.90814</v>
      </c>
      <c r="P29" s="82" t="str">
        <f>IFERROR(__xludf.DUMMYFUNCTION("""COMPUTED_VALUE"""),"R$ 5,00")</f>
        <v>R$ 5,00</v>
      </c>
      <c r="Q29" s="82" t="str">
        <f>IFERROR(__xludf.DUMMYFUNCTION("""COMPUTED_VALUE"""),"Consumo")</f>
        <v>Consumo</v>
      </c>
      <c r="R29" s="82" t="str">
        <f>IFERROR(__xludf.DUMMYFUNCTION("""COMPUTED_VALUE"""),"Bruna")</f>
        <v>Bruna</v>
      </c>
      <c r="S29" s="159"/>
      <c r="T29" s="82"/>
      <c r="U29" s="82"/>
      <c r="V29" s="82"/>
      <c r="W29" s="82"/>
    </row>
    <row r="30" ht="14.25" customHeight="1">
      <c r="A30" s="149"/>
      <c r="B30" s="151">
        <v>1759798.0</v>
      </c>
      <c r="C30" s="152">
        <v>45955.92060185185</v>
      </c>
      <c r="D30" s="153" t="s">
        <v>101</v>
      </c>
      <c r="E30" s="154" t="s">
        <v>13393</v>
      </c>
      <c r="F30" s="155"/>
      <c r="G30" s="153" t="s">
        <v>13394</v>
      </c>
      <c r="H30" s="161"/>
      <c r="I30" s="161"/>
      <c r="J30" s="156" t="s">
        <v>12778</v>
      </c>
      <c r="K30" s="156" t="s">
        <v>199</v>
      </c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"),"Confirmada")</f>
        <v>Confirmada</v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IFERROR(__xludf.DUMMYFUNCTION("ifna(VALUE(REGEXEXTRACT(E30,""[0-9.]+[,]+[0-9]+"")))"),1100.0)</f>
        <v>1100</v>
      </c>
      <c r="O30" s="206">
        <f>IFERROR(__xludf.DUMMYFUNCTION("""COMPUTED_VALUE"""),45967.691307870366)</f>
        <v>45967.69131</v>
      </c>
      <c r="P30" s="82" t="str">
        <f>IFERROR(__xludf.DUMMYFUNCTION("""COMPUTED_VALUE"""),"R$ 5,00")</f>
        <v>R$ 5,00</v>
      </c>
      <c r="Q30" s="82" t="str">
        <f>IFERROR(__xludf.DUMMYFUNCTION("""COMPUTED_VALUE"""),"Consumo")</f>
        <v>Consumo</v>
      </c>
      <c r="R30" s="82" t="str">
        <f>IFERROR(__xludf.DUMMYFUNCTION("""COMPUTED_VALUE"""),"Bruna")</f>
        <v>Bruna</v>
      </c>
      <c r="S30" s="159"/>
      <c r="T30" s="82"/>
      <c r="U30" s="82"/>
      <c r="V30" s="82"/>
      <c r="W30" s="82"/>
    </row>
    <row r="31" ht="14.25" customHeight="1">
      <c r="A31" s="149"/>
      <c r="B31" s="151">
        <v>1762109.0</v>
      </c>
      <c r="C31" s="152">
        <v>45956.89778935185</v>
      </c>
      <c r="D31" s="153" t="s">
        <v>101</v>
      </c>
      <c r="E31" s="154" t="s">
        <v>1376</v>
      </c>
      <c r="F31" s="165"/>
      <c r="G31" s="153" t="s">
        <v>13395</v>
      </c>
      <c r="H31" s="161"/>
      <c r="I31" s="161"/>
      <c r="J31" s="156" t="s">
        <v>6914</v>
      </c>
      <c r="K31" s="156"/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IFERROR(__xludf.DUMMYFUNCTION("ifna(VALUE(REGEXEXTRACT(E31,""[0-9.]+[,]+[0-9]+"")))"),240.0)</f>
        <v>240</v>
      </c>
      <c r="O31" s="206">
        <f>IFERROR(__xludf.DUMMYFUNCTION("""COMPUTED_VALUE"""),45967.891643518524)</f>
        <v>45967.89164</v>
      </c>
      <c r="P31" s="82" t="str">
        <f>IFERROR(__xludf.DUMMYFUNCTION("""COMPUTED_VALUE"""),"R$ 3,00")</f>
        <v>R$ 3,00</v>
      </c>
      <c r="Q31" s="82" t="str">
        <f>IFERROR(__xludf.DUMMYFUNCTION("""COMPUTED_VALUE"""),"Consumo")</f>
        <v>Consumo</v>
      </c>
      <c r="R31" s="82" t="str">
        <f>IFERROR(__xludf.DUMMYFUNCTION("""COMPUTED_VALUE"""),"Bruna")</f>
        <v>Bruna</v>
      </c>
      <c r="S31" s="159"/>
      <c r="T31" s="82"/>
      <c r="U31" s="82"/>
      <c r="V31" s="82"/>
      <c r="W31" s="82"/>
    </row>
    <row r="32" ht="14.25" customHeight="1">
      <c r="A32" s="149"/>
      <c r="B32" s="151">
        <v>1762130.0</v>
      </c>
      <c r="C32" s="152">
        <v>45956.89996527778</v>
      </c>
      <c r="D32" s="153" t="s">
        <v>101</v>
      </c>
      <c r="E32" s="154" t="s">
        <v>13396</v>
      </c>
      <c r="F32" s="155"/>
      <c r="G32" s="153" t="s">
        <v>13397</v>
      </c>
      <c r="H32" s="161"/>
      <c r="I32" s="161"/>
      <c r="J32" s="156" t="s">
        <v>10036</v>
      </c>
      <c r="K32" s="156"/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IFERROR(__xludf.DUMMYFUNCTION("ifna(VALUE(REGEXEXTRACT(E32,""[0-9.]+[,]+[0-9]+"")))"),111.0)</f>
        <v>111</v>
      </c>
      <c r="O32" s="206">
        <f>IFERROR(__xludf.DUMMYFUNCTION("""COMPUTED_VALUE"""),45970.91935185185)</f>
        <v>45970.91935</v>
      </c>
      <c r="P32" s="82" t="str">
        <f>IFERROR(__xludf.DUMMYFUNCTION("""COMPUTED_VALUE"""),"R$ 5,00")</f>
        <v>R$ 5,00</v>
      </c>
      <c r="Q32" s="82" t="str">
        <f>IFERROR(__xludf.DUMMYFUNCTION("""COMPUTED_VALUE"""),"Consumo")</f>
        <v>Consumo</v>
      </c>
      <c r="R32" s="82" t="str">
        <f>IFERROR(__xludf.DUMMYFUNCTION("""COMPUTED_VALUE"""),"Bruna")</f>
        <v>Bruna</v>
      </c>
      <c r="S32" s="159"/>
      <c r="T32" s="82"/>
      <c r="U32" s="82"/>
      <c r="V32" s="82"/>
      <c r="W32" s="82"/>
    </row>
    <row r="33" ht="14.25" customHeight="1">
      <c r="A33" s="149"/>
      <c r="B33" s="151">
        <v>1762135.0</v>
      </c>
      <c r="C33" s="152">
        <v>45956.900289351855</v>
      </c>
      <c r="D33" s="153" t="s">
        <v>101</v>
      </c>
      <c r="E33" s="154" t="s">
        <v>13316</v>
      </c>
      <c r="F33" s="155"/>
      <c r="G33" s="153" t="s">
        <v>13398</v>
      </c>
      <c r="H33" s="161"/>
      <c r="I33" s="161"/>
      <c r="J33" s="156" t="s">
        <v>10036</v>
      </c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IFERROR(__xludf.DUMMYFUNCTION("ifna(VALUE(REGEXEXTRACT(E33,""[0-9.]+[,]+[0-9]+"")))"),104.0)</f>
        <v>104</v>
      </c>
      <c r="O33" s="206">
        <f>IFERROR(__xludf.DUMMYFUNCTION("""COMPUTED_VALUE"""),45972.583032407405)</f>
        <v>45972.58303</v>
      </c>
      <c r="P33" s="82" t="str">
        <f>IFERROR(__xludf.DUMMYFUNCTION("""COMPUTED_VALUE"""),"R$ 105,00")</f>
        <v>R$ 105,00</v>
      </c>
      <c r="Q33" s="82" t="str">
        <f>IFERROR(__xludf.DUMMYFUNCTION("""COMPUTED_VALUE"""),"Consumo")</f>
        <v>Consumo</v>
      </c>
      <c r="R33" s="82" t="str">
        <f>IFERROR(__xludf.DUMMYFUNCTION("""COMPUTED_VALUE"""),"Bruna")</f>
        <v>Bruna</v>
      </c>
      <c r="S33" s="159"/>
      <c r="T33" s="82"/>
      <c r="U33" s="82"/>
      <c r="V33" s="82"/>
      <c r="W33" s="82"/>
    </row>
    <row r="34" ht="14.25" customHeight="1">
      <c r="A34" s="149"/>
      <c r="B34" s="151">
        <v>1762501.0</v>
      </c>
      <c r="C34" s="152">
        <v>45956.93001157408</v>
      </c>
      <c r="D34" s="153" t="s">
        <v>101</v>
      </c>
      <c r="E34" s="154" t="s">
        <v>13399</v>
      </c>
      <c r="F34" s="165"/>
      <c r="G34" s="153" t="s">
        <v>13400</v>
      </c>
      <c r="H34" s="161"/>
      <c r="I34" s="161"/>
      <c r="J34" s="156" t="s">
        <v>12778</v>
      </c>
      <c r="K34" s="156" t="s">
        <v>12666</v>
      </c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"),"Confirmada")</f>
        <v>Confirmada</v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IFERROR(__xludf.DUMMYFUNCTION("ifna(VALUE(REGEXEXTRACT(E34,""[0-9.]+[,]+[0-9]+"")))"),180.0)</f>
        <v>180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51">
        <v>1763203.0</v>
      </c>
      <c r="C35" s="152">
        <v>45957.59619212963</v>
      </c>
      <c r="D35" s="153" t="s">
        <v>101</v>
      </c>
      <c r="E35" s="154" t="s">
        <v>13138</v>
      </c>
      <c r="F35" s="155"/>
      <c r="G35" s="153" t="s">
        <v>13401</v>
      </c>
      <c r="H35" s="161"/>
      <c r="I35" s="161"/>
      <c r="J35" s="156"/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IFERROR(__xludf.DUMMYFUNCTION("ifna(VALUE(REGEXEXTRACT(E35,""[0-9.]+[,]+[0-9]+"")))"),0.01)</f>
        <v>0.01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51">
        <v>1763275.0</v>
      </c>
      <c r="C36" s="152">
        <v>45957.62355324074</v>
      </c>
      <c r="D36" s="153" t="s">
        <v>101</v>
      </c>
      <c r="E36" s="154" t="s">
        <v>210</v>
      </c>
      <c r="F36" s="155"/>
      <c r="G36" s="153" t="s">
        <v>13402</v>
      </c>
      <c r="H36" s="169"/>
      <c r="I36" s="169"/>
      <c r="J36" s="156" t="s">
        <v>12818</v>
      </c>
      <c r="K36" s="156"/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159">
        <f>IFERROR(__xludf.DUMMYFUNCTION("ifna(VALUE(REGEXEXTRACT(E36,""[0-9.]+[,]+[0-9]+"")))"),40.0)</f>
        <v>40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51">
        <v>1763566.0</v>
      </c>
      <c r="C37" s="152">
        <v>45957.70637731482</v>
      </c>
      <c r="D37" s="153" t="s">
        <v>101</v>
      </c>
      <c r="E37" s="154" t="s">
        <v>13403</v>
      </c>
      <c r="F37" s="155"/>
      <c r="G37" s="153" t="s">
        <v>12935</v>
      </c>
      <c r="H37" s="169"/>
      <c r="I37" s="169"/>
      <c r="J37" s="156" t="s">
        <v>12658</v>
      </c>
      <c r="K37" s="156" t="s">
        <v>12666</v>
      </c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IFERROR(__xludf.DUMMYFUNCTION("ifna(VALUE(REGEXEXTRACT(E37,""[0-9.]+[,]+[0-9]+"")))"),16.6)</f>
        <v>16.6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51">
        <v>1763911.0</v>
      </c>
      <c r="C38" s="152">
        <v>45957.81439814815</v>
      </c>
      <c r="D38" s="153" t="s">
        <v>101</v>
      </c>
      <c r="E38" s="154" t="s">
        <v>13138</v>
      </c>
      <c r="F38" s="155"/>
      <c r="G38" s="153" t="s">
        <v>13404</v>
      </c>
      <c r="H38" s="170"/>
      <c r="I38" s="170"/>
      <c r="J38" s="156"/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IFERROR(__xludf.DUMMYFUNCTION("ifna(VALUE(REGEXEXTRACT(E38,""[0-9.]+[,]+[0-9]+"")))"),0.01)</f>
        <v>0.01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51">
        <v>1764054.0</v>
      </c>
      <c r="C39" s="152">
        <v>45957.87372685185</v>
      </c>
      <c r="D39" s="153" t="s">
        <v>101</v>
      </c>
      <c r="E39" s="154" t="s">
        <v>13405</v>
      </c>
      <c r="F39" s="155"/>
      <c r="G39" s="153" t="s">
        <v>13406</v>
      </c>
      <c r="H39" s="170"/>
      <c r="I39" s="170"/>
      <c r="J39" s="156" t="s">
        <v>6914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IFERROR(__xludf.DUMMYFUNCTION("ifna(VALUE(REGEXEXTRACT(E39,""[0-9.]+[,]+[0-9]+"")))"),85.0)</f>
        <v>85</v>
      </c>
      <c r="O39" s="171" t="str">
        <f>B8</f>
        <v>Rose</v>
      </c>
      <c r="S39" s="159"/>
      <c r="T39" s="148" t="str">
        <f>B9</f>
        <v/>
      </c>
    </row>
    <row r="40" ht="14.25" customHeight="1">
      <c r="A40" s="149"/>
      <c r="B40" s="151">
        <v>1764056.0</v>
      </c>
      <c r="C40" s="152">
        <v>45957.87467592592</v>
      </c>
      <c r="D40" s="153" t="s">
        <v>101</v>
      </c>
      <c r="E40" s="154" t="s">
        <v>377</v>
      </c>
      <c r="F40" s="155"/>
      <c r="G40" s="153" t="s">
        <v>13308</v>
      </c>
      <c r="H40" s="170"/>
      <c r="I40" s="170"/>
      <c r="J40" s="156" t="s">
        <v>6914</v>
      </c>
      <c r="K40" s="156"/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IFERROR(__xludf.DUMMYFUNCTION("ifna(VALUE(REGEXEXTRACT(E40,""[0-9.]+[,]+[0-9]+"")))"),33.0)</f>
        <v>33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51">
        <v>1764387.0</v>
      </c>
      <c r="C41" s="152">
        <v>45957.9303125</v>
      </c>
      <c r="D41" s="153" t="s">
        <v>101</v>
      </c>
      <c r="E41" s="154" t="s">
        <v>392</v>
      </c>
      <c r="F41" s="155"/>
      <c r="G41" s="153" t="s">
        <v>13374</v>
      </c>
      <c r="H41" s="170"/>
      <c r="I41" s="170"/>
      <c r="J41" s="156" t="s">
        <v>12658</v>
      </c>
      <c r="K41" s="156" t="s">
        <v>11074</v>
      </c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IFERROR(__xludf.DUMMYFUNCTION("ifna(VALUE(REGEXEXTRACT(E41,""[0-9.]+[,]+[0-9]+"")))"),27.0)</f>
        <v>27</v>
      </c>
      <c r="O41" s="206">
        <f>IFERROR(__xludf.DUMMYFUNCTION("""COMPUTED_VALUE"""),45961.90252314815)</f>
        <v>45961.90252</v>
      </c>
      <c r="P41" s="58" t="str">
        <f>IFERROR(__xludf.DUMMYFUNCTION("""COMPUTED_VALUE"""),"R$ 44,90")</f>
        <v>R$ 44,90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51">
        <v>1764388.0</v>
      </c>
      <c r="C42" s="152">
        <v>45957.93063657408</v>
      </c>
      <c r="D42" s="153" t="s">
        <v>101</v>
      </c>
      <c r="E42" s="154" t="s">
        <v>13287</v>
      </c>
      <c r="F42" s="155"/>
      <c r="G42" s="153" t="s">
        <v>13407</v>
      </c>
      <c r="H42" s="170"/>
      <c r="I42" s="170"/>
      <c r="J42" s="156" t="s">
        <v>12658</v>
      </c>
      <c r="K42" s="156" t="s">
        <v>199</v>
      </c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IFERROR(__xludf.DUMMYFUNCTION("ifna(VALUE(REGEXEXTRACT(E42,""[0-9.]+[,]+[0-9]+"")))"),52.0)</f>
        <v>52</v>
      </c>
      <c r="O42" s="206">
        <f>IFERROR(__xludf.DUMMYFUNCTION("""COMPUTED_VALUE"""),45974.935312500005)</f>
        <v>45974.93531</v>
      </c>
      <c r="P42" s="58" t="str">
        <f>IFERROR(__xludf.DUMMYFUNCTION("""COMPUTED_VALUE"""),"R$ 8,00")</f>
        <v>R$ 8,00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51">
        <v>1764405.0</v>
      </c>
      <c r="C43" s="152">
        <v>45957.93342592593</v>
      </c>
      <c r="D43" s="153" t="s">
        <v>101</v>
      </c>
      <c r="E43" s="154" t="s">
        <v>213</v>
      </c>
      <c r="F43" s="155"/>
      <c r="G43" s="153" t="s">
        <v>13408</v>
      </c>
      <c r="H43" s="170"/>
      <c r="I43" s="170"/>
      <c r="J43" s="156" t="s">
        <v>12778</v>
      </c>
      <c r="K43" s="156" t="s">
        <v>12666</v>
      </c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IFERROR(__xludf.DUMMYFUNCTION("ifna(VALUE(REGEXEXTRACT(E43,""[0-9.]+[,]+[0-9]+"")))"),200.0)</f>
        <v>200</v>
      </c>
      <c r="O43" s="208">
        <f>IFERROR(__xludf.DUMMYFUNCTION("""COMPUTED_VALUE"""),45982.913125)</f>
        <v>45982.91313</v>
      </c>
      <c r="P43" s="67" t="str">
        <f>IFERROR(__xludf.DUMMYFUNCTION("""COMPUTED_VALUE"""),"R$ 49,00")</f>
        <v>R$ 49,00</v>
      </c>
      <c r="Q43" s="67" t="str">
        <f>IFERROR(__xludf.DUMMYFUNCTION("""COMPUTED_VALUE"""),"Consumo")</f>
        <v>Consumo</v>
      </c>
      <c r="R43" s="67" t="str">
        <f>IFERROR(__xludf.DUMMYFUNCTION("""COMPUTED_VALUE"""),"Rose")</f>
        <v>Rose</v>
      </c>
      <c r="S43" s="159"/>
      <c r="T43" s="67"/>
      <c r="U43" s="67"/>
      <c r="V43" s="67"/>
      <c r="W43" s="67"/>
    </row>
    <row r="44" ht="14.25" customHeight="1">
      <c r="A44" s="149"/>
      <c r="B44" s="151">
        <v>1765416.0</v>
      </c>
      <c r="C44" s="152">
        <v>45958.863599537035</v>
      </c>
      <c r="D44" s="153" t="s">
        <v>101</v>
      </c>
      <c r="E44" s="154" t="s">
        <v>13409</v>
      </c>
      <c r="F44" s="165"/>
      <c r="G44" s="153" t="s">
        <v>13410</v>
      </c>
      <c r="H44" s="170"/>
      <c r="I44" s="170"/>
      <c r="J44" s="156" t="s">
        <v>6914</v>
      </c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IFERROR(__xludf.DUMMYFUNCTION("ifna(VALUE(REGEXEXTRACT(E44,""[0-9.]+[,]+[0-9]+"")))"),79.0)</f>
        <v>79</v>
      </c>
      <c r="O44" s="208">
        <f>IFERROR(__xludf.DUMMYFUNCTION("""COMPUTED_VALUE"""),45983.9112962963)</f>
        <v>45983.9113</v>
      </c>
      <c r="P44" s="67" t="str">
        <f>IFERROR(__xludf.DUMMYFUNCTION("""COMPUTED_VALUE"""),"R$ 25,00")</f>
        <v>R$ 25,00</v>
      </c>
      <c r="Q44" s="67" t="str">
        <f>IFERROR(__xludf.DUMMYFUNCTION("""COMPUTED_VALUE"""),"Consumo")</f>
        <v>Consumo</v>
      </c>
      <c r="R44" s="67" t="str">
        <f>IFERROR(__xludf.DUMMYFUNCTION("""COMPUTED_VALUE"""),"Rose")</f>
        <v>Rose</v>
      </c>
      <c r="S44" s="159"/>
      <c r="T44" s="67"/>
      <c r="U44" s="67"/>
      <c r="V44" s="67"/>
      <c r="W44" s="67"/>
    </row>
    <row r="45" ht="14.25" customHeight="1">
      <c r="A45" s="149"/>
      <c r="B45" s="151">
        <v>1765418.0</v>
      </c>
      <c r="C45" s="152">
        <v>45958.864166666666</v>
      </c>
      <c r="D45" s="153" t="s">
        <v>101</v>
      </c>
      <c r="E45" s="154" t="s">
        <v>260</v>
      </c>
      <c r="F45" s="155"/>
      <c r="G45" s="153" t="s">
        <v>13411</v>
      </c>
      <c r="H45" s="170"/>
      <c r="I45" s="170"/>
      <c r="J45" s="156" t="s">
        <v>12658</v>
      </c>
      <c r="K45" s="156" t="s">
        <v>11074</v>
      </c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IFERROR(__xludf.DUMMYFUNCTION("ifna(VALUE(REGEXEXTRACT(E45,""[0-9.]+[,]+[0-9]+"")))"),13.0)</f>
        <v>13</v>
      </c>
      <c r="O45" s="208">
        <f>IFERROR(__xludf.DUMMYFUNCTION("""COMPUTED_VALUE"""),45986.90594907408)</f>
        <v>45986.90595</v>
      </c>
      <c r="P45" s="67" t="str">
        <f>IFERROR(__xludf.DUMMYFUNCTION("""COMPUTED_VALUE"""),"R$ 19,00")</f>
        <v>R$ 19,00</v>
      </c>
      <c r="Q45" s="67" t="str">
        <f>IFERROR(__xludf.DUMMYFUNCTION("""COMPUTED_VALUE"""),"Consumo")</f>
        <v>Consumo</v>
      </c>
      <c r="R45" s="67" t="str">
        <f>IFERROR(__xludf.DUMMYFUNCTION("""COMPUTED_VALUE"""),"Rose")</f>
        <v>Rose</v>
      </c>
      <c r="S45" s="159"/>
      <c r="T45" s="67"/>
      <c r="U45" s="67"/>
      <c r="V45" s="67"/>
      <c r="W45" s="67"/>
    </row>
    <row r="46" ht="14.25" customHeight="1">
      <c r="A46" s="149"/>
      <c r="B46" s="151">
        <v>1765419.0</v>
      </c>
      <c r="C46" s="152">
        <v>45958.86486111111</v>
      </c>
      <c r="D46" s="153" t="s">
        <v>101</v>
      </c>
      <c r="E46" s="154" t="s">
        <v>179</v>
      </c>
      <c r="F46" s="155"/>
      <c r="G46" s="153" t="s">
        <v>13283</v>
      </c>
      <c r="H46" s="170"/>
      <c r="I46" s="170"/>
      <c r="J46" s="156" t="s">
        <v>6914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IFERROR(__xludf.DUMMYFUNCTION("ifna(VALUE(REGEXEXTRACT(E46,""[0-9.]+[,]+[0-9]+"")))"),20.0)</f>
        <v>20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51">
        <v>1765486.0</v>
      </c>
      <c r="C47" s="152">
        <v>45958.88894675926</v>
      </c>
      <c r="D47" s="153" t="s">
        <v>101</v>
      </c>
      <c r="E47" s="154" t="s">
        <v>13413</v>
      </c>
      <c r="F47" s="155"/>
      <c r="G47" s="153" t="s">
        <v>13414</v>
      </c>
      <c r="H47" s="170"/>
      <c r="I47" s="170"/>
      <c r="J47" s="156" t="s">
        <v>12658</v>
      </c>
      <c r="K47" s="156" t="s">
        <v>12666</v>
      </c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IFERROR(__xludf.DUMMYFUNCTION("ifna(VALUE(REGEXEXTRACT(E47,""[0-9.]+[,]+[0-9]+"")))"),59.1)</f>
        <v>59.1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51">
        <v>1765747.0</v>
      </c>
      <c r="C48" s="152">
        <v>45958.93342592593</v>
      </c>
      <c r="D48" s="153" t="s">
        <v>101</v>
      </c>
      <c r="E48" s="154" t="s">
        <v>210</v>
      </c>
      <c r="F48" s="165"/>
      <c r="G48" s="153" t="s">
        <v>13415</v>
      </c>
      <c r="H48" s="170"/>
      <c r="I48" s="170"/>
      <c r="J48" s="156" t="s">
        <v>12778</v>
      </c>
      <c r="K48" s="156" t="s">
        <v>12666</v>
      </c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IFERROR(__xludf.DUMMYFUNCTION("ifna(VALUE(REGEXEXTRACT(E48,""[0-9.]+[,]+[0-9]+"")))"),40.0)</f>
        <v>40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1766216.0</v>
      </c>
      <c r="C49" s="14">
        <v>45959.66515046296</v>
      </c>
      <c r="D49" s="210" t="s">
        <v>101</v>
      </c>
      <c r="E49" s="211" t="s">
        <v>398</v>
      </c>
      <c r="F49" s="212"/>
      <c r="G49" s="210" t="s">
        <v>13416</v>
      </c>
      <c r="H49" s="170"/>
      <c r="I49" s="170"/>
      <c r="J49" s="156" t="s">
        <v>12658</v>
      </c>
      <c r="K49" s="156" t="s">
        <v>11074</v>
      </c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IFERROR(__xludf.DUMMYFUNCTION("ifna(VALUE(REGEXEXTRACT(E49,""[0-9.]+[,]+[0-9]+"")))"),12.0)</f>
        <v>12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1766502.0</v>
      </c>
      <c r="C50" s="14">
        <v>45959.75599537037</v>
      </c>
      <c r="D50" s="210" t="s">
        <v>101</v>
      </c>
      <c r="E50" s="211" t="s">
        <v>13138</v>
      </c>
      <c r="F50" s="212"/>
      <c r="G50" s="210" t="s">
        <v>13418</v>
      </c>
      <c r="H50" s="170"/>
      <c r="I50" s="170"/>
      <c r="J50" s="156"/>
      <c r="K50" s="156"/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IFERROR(__xludf.DUMMYFUNCTION("ifna(VALUE(REGEXEXTRACT(E50,""[0-9.]+[,]+[0-9]+"")))"),0.01)</f>
        <v>0.01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1766505.0</v>
      </c>
      <c r="C51" s="14">
        <v>45959.75630787037</v>
      </c>
      <c r="D51" s="210" t="s">
        <v>101</v>
      </c>
      <c r="E51" s="211" t="s">
        <v>13409</v>
      </c>
      <c r="F51" s="212"/>
      <c r="G51" s="210" t="s">
        <v>13420</v>
      </c>
      <c r="H51" s="170"/>
      <c r="I51" s="170"/>
      <c r="J51" s="156" t="s">
        <v>12658</v>
      </c>
      <c r="K51" s="156" t="s">
        <v>11074</v>
      </c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IFERROR(__xludf.DUMMYFUNCTION("ifna(VALUE(REGEXEXTRACT(E51,""[0-9.]+[,]+[0-9]+"")))"),79.0)</f>
        <v>79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1766543.0</v>
      </c>
      <c r="C52" s="14">
        <v>45959.77019675926</v>
      </c>
      <c r="D52" s="210" t="s">
        <v>101</v>
      </c>
      <c r="E52" s="211" t="s">
        <v>2231</v>
      </c>
      <c r="F52" s="212"/>
      <c r="G52" s="210" t="s">
        <v>13420</v>
      </c>
      <c r="H52" s="170"/>
      <c r="I52" s="170"/>
      <c r="J52" s="156" t="s">
        <v>12658</v>
      </c>
      <c r="K52" s="156" t="s">
        <v>11074</v>
      </c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IFERROR(__xludf.DUMMYFUNCTION("ifna(VALUE(REGEXEXTRACT(E52,""[0-9.]+[,]+[0-9]+"")))"),19.9)</f>
        <v>19.9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1766832.0</v>
      </c>
      <c r="C53" s="14">
        <v>45959.89506944444</v>
      </c>
      <c r="D53" s="210" t="s">
        <v>101</v>
      </c>
      <c r="E53" s="211" t="s">
        <v>392</v>
      </c>
      <c r="F53" s="212"/>
      <c r="G53" s="210" t="s">
        <v>13421</v>
      </c>
      <c r="H53" s="170"/>
      <c r="I53" s="170"/>
      <c r="J53" s="156" t="s">
        <v>6914</v>
      </c>
      <c r="K53" s="156"/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IFERROR(__xludf.DUMMYFUNCTION("ifna(VALUE(REGEXEXTRACT(E53,""[0-9.]+[,]+[0-9]+"")))"),27.0)</f>
        <v>27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1766836.0</v>
      </c>
      <c r="C54" s="14">
        <v>45959.89582175926</v>
      </c>
      <c r="D54" s="210" t="s">
        <v>101</v>
      </c>
      <c r="E54" s="211" t="s">
        <v>12931</v>
      </c>
      <c r="F54" s="212"/>
      <c r="G54" s="210" t="s">
        <v>13423</v>
      </c>
      <c r="H54" s="170"/>
      <c r="I54" s="170"/>
      <c r="J54" s="156" t="s">
        <v>6914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IFERROR(__xludf.DUMMYFUNCTION("ifna(VALUE(REGEXEXTRACT(E54,""[0-9.]+[,]+[0-9]+"")))"),77.0)</f>
        <v>77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1767097.0</v>
      </c>
      <c r="C55" s="14">
        <v>45959.93618055555</v>
      </c>
      <c r="D55" s="210" t="s">
        <v>101</v>
      </c>
      <c r="E55" s="211" t="s">
        <v>1097</v>
      </c>
      <c r="F55" s="212"/>
      <c r="G55" s="210" t="s">
        <v>13424</v>
      </c>
      <c r="H55" s="170"/>
      <c r="I55" s="170"/>
      <c r="J55" s="156" t="s">
        <v>12778</v>
      </c>
      <c r="K55" s="156" t="s">
        <v>12666</v>
      </c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"),"Confirmada")</f>
        <v>Confirmada</v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IFERROR(__xludf.DUMMYFUNCTION("ifna(VALUE(REGEXEXTRACT(E55,""[0-9.]+[,]+[0-9]+"")))"),450.0)</f>
        <v>450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1767099.0</v>
      </c>
      <c r="C56" s="14">
        <v>45959.93640046296</v>
      </c>
      <c r="D56" s="210" t="s">
        <v>101</v>
      </c>
      <c r="E56" s="211" t="s">
        <v>231</v>
      </c>
      <c r="F56" s="214"/>
      <c r="G56" s="210" t="s">
        <v>13040</v>
      </c>
      <c r="H56" s="170"/>
      <c r="I56" s="170"/>
      <c r="J56" s="156" t="s">
        <v>6914</v>
      </c>
      <c r="K56" s="156"/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IFERROR(__xludf.DUMMYFUNCTION("ifna(VALUE(REGEXEXTRACT(E56,""[0-9.]+[,]+[0-9]+"")))"),10.0)</f>
        <v>10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1767540.0</v>
      </c>
      <c r="C57" s="14">
        <v>45960.655023148145</v>
      </c>
      <c r="D57" s="210" t="s">
        <v>101</v>
      </c>
      <c r="E57" s="211" t="s">
        <v>13425</v>
      </c>
      <c r="F57" s="212"/>
      <c r="G57" s="210" t="s">
        <v>12860</v>
      </c>
      <c r="H57" s="170"/>
      <c r="I57" s="170"/>
      <c r="J57" s="156" t="s">
        <v>12818</v>
      </c>
      <c r="K57" s="156"/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59">
        <f>IFERROR(__xludf.DUMMYFUNCTION("ifna(VALUE(REGEXEXTRACT(E57,""[0-9.]+[,]+[0-9]+"")))"),241.4)</f>
        <v>241.4</v>
      </c>
      <c r="U57" s="159"/>
      <c r="V57" s="159"/>
      <c r="W57" s="159"/>
    </row>
    <row r="58" ht="14.25" customHeight="1">
      <c r="A58" s="149"/>
      <c r="B58" s="13">
        <v>1767542.0</v>
      </c>
      <c r="C58" s="14">
        <v>45960.65546296296</v>
      </c>
      <c r="D58" s="210" t="s">
        <v>101</v>
      </c>
      <c r="E58" s="211" t="s">
        <v>13428</v>
      </c>
      <c r="F58" s="212"/>
      <c r="G58" s="210" t="s">
        <v>12860</v>
      </c>
      <c r="H58" s="170"/>
      <c r="I58" s="170"/>
      <c r="J58" s="156" t="s">
        <v>12818</v>
      </c>
      <c r="K58" s="156"/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"""")"),"Encontrada")</f>
        <v>Encontrada</v>
      </c>
      <c r="N58" s="159">
        <f>IFERROR(__xludf.DUMMYFUNCTION("ifna(VALUE(REGEXEXTRACT(E58,""[0-9.]+[,]+[0-9]+"")))"),59.8)</f>
        <v>59.8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1767544.0</v>
      </c>
      <c r="C59" s="14">
        <v>45960.65614583333</v>
      </c>
      <c r="D59" s="210" t="s">
        <v>101</v>
      </c>
      <c r="E59" s="211" t="s">
        <v>13428</v>
      </c>
      <c r="F59" s="212"/>
      <c r="G59" s="210" t="s">
        <v>13429</v>
      </c>
      <c r="H59" s="170"/>
      <c r="I59" s="170"/>
      <c r="J59" s="156" t="s">
        <v>12658</v>
      </c>
      <c r="K59" s="156" t="s">
        <v>199</v>
      </c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IFERROR(__xludf.DUMMYFUNCTION("ifna(VALUE(REGEXEXTRACT(E59,""[0-9.]+[,]+[0-9]+"")))"),59.8)</f>
        <v>59.8</v>
      </c>
      <c r="O59" s="174" t="s">
        <v>8416</v>
      </c>
      <c r="P59" s="175">
        <v>45956.0</v>
      </c>
      <c r="Q59" s="176" t="s">
        <v>624</v>
      </c>
      <c r="R59" s="176">
        <v>500.0</v>
      </c>
      <c r="S59" s="177" t="str">
        <f t="shared" ref="S59:S95" si="1">IFERROR(VLOOKUP(Q59, $A$4:$B$11, 2, FALSE), "")</f>
        <v>Patrícia</v>
      </c>
      <c r="U59" s="159"/>
      <c r="V59" s="159"/>
      <c r="W59" s="159"/>
    </row>
    <row r="60" ht="14.25" customHeight="1">
      <c r="A60" s="149"/>
      <c r="B60" s="13">
        <v>1767701.0</v>
      </c>
      <c r="C60" s="14">
        <v>45960.71025462963</v>
      </c>
      <c r="D60" s="210" t="s">
        <v>101</v>
      </c>
      <c r="E60" s="211" t="s">
        <v>615</v>
      </c>
      <c r="F60" s="212"/>
      <c r="G60" s="210" t="s">
        <v>13429</v>
      </c>
      <c r="H60" s="170"/>
      <c r="I60" s="170"/>
      <c r="J60" s="156" t="s">
        <v>12658</v>
      </c>
      <c r="K60" s="156" t="s">
        <v>199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IFERROR(__xludf.DUMMYFUNCTION("ifna(VALUE(REGEXEXTRACT(E60,""[0-9.]+[,]+[0-9]+"")))"),18.0)</f>
        <v>18</v>
      </c>
      <c r="O60" s="174" t="s">
        <v>8420</v>
      </c>
      <c r="P60" s="175">
        <v>45956.0</v>
      </c>
      <c r="Q60" s="176" t="s">
        <v>2052</v>
      </c>
      <c r="R60" s="176">
        <v>600.0</v>
      </c>
      <c r="S60" s="177" t="str">
        <f t="shared" si="1"/>
        <v>Josi Ribas</v>
      </c>
      <c r="U60" s="159"/>
      <c r="V60" s="159"/>
      <c r="W60" s="159"/>
    </row>
    <row r="61" ht="14.25" customHeight="1">
      <c r="A61" s="149"/>
      <c r="B61" s="13">
        <v>1767702.0</v>
      </c>
      <c r="C61" s="14">
        <v>45960.71076388889</v>
      </c>
      <c r="D61" s="210" t="s">
        <v>101</v>
      </c>
      <c r="E61" s="211" t="s">
        <v>231</v>
      </c>
      <c r="F61" s="212"/>
      <c r="G61" s="210" t="s">
        <v>13431</v>
      </c>
      <c r="H61" s="170"/>
      <c r="I61" s="170"/>
      <c r="J61" s="156" t="s">
        <v>12658</v>
      </c>
      <c r="K61" s="156" t="s">
        <v>11074</v>
      </c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IFERROR(__xludf.DUMMYFUNCTION("ifna(VALUE(REGEXEXTRACT(E61,""[0-9.]+[,]+[0-9]+"")))"),10.0)</f>
        <v>10</v>
      </c>
      <c r="O61" s="174" t="s">
        <v>8422</v>
      </c>
      <c r="P61" s="175">
        <v>45956.0</v>
      </c>
      <c r="Q61" s="176" t="s">
        <v>3795</v>
      </c>
      <c r="R61" s="176">
        <v>500.0</v>
      </c>
      <c r="S61" s="177" t="str">
        <f t="shared" si="1"/>
        <v>Eduarda</v>
      </c>
      <c r="U61" s="159"/>
      <c r="V61" s="159"/>
      <c r="W61" s="159"/>
    </row>
    <row r="62" ht="14.25" customHeight="1">
      <c r="A62" s="149"/>
      <c r="B62" s="13">
        <v>1767869.0</v>
      </c>
      <c r="C62" s="14">
        <v>45960.76459490741</v>
      </c>
      <c r="D62" s="210" t="s">
        <v>101</v>
      </c>
      <c r="E62" s="211" t="s">
        <v>823</v>
      </c>
      <c r="F62" s="212"/>
      <c r="G62" s="210" t="s">
        <v>13432</v>
      </c>
      <c r="H62" s="170"/>
      <c r="I62" s="170"/>
      <c r="J62" s="156" t="s">
        <v>12658</v>
      </c>
      <c r="K62" s="156" t="s">
        <v>12666</v>
      </c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IFERROR(__xludf.DUMMYFUNCTION("ifna(VALUE(REGEXEXTRACT(E62,""[0-9.]+[,]+[0-9]+"")))"),37.0)</f>
        <v>37</v>
      </c>
      <c r="O62" s="174" t="s">
        <v>8426</v>
      </c>
      <c r="P62" s="175">
        <v>45956.0</v>
      </c>
      <c r="Q62" s="176" t="s">
        <v>6062</v>
      </c>
      <c r="R62" s="176">
        <v>500.0</v>
      </c>
      <c r="S62" s="177" t="str">
        <f t="shared" si="1"/>
        <v>Bruna</v>
      </c>
      <c r="U62" s="159"/>
      <c r="V62" s="159"/>
      <c r="W62" s="159"/>
    </row>
    <row r="63" ht="14.25" customHeight="1">
      <c r="A63" s="149"/>
      <c r="B63" s="13">
        <v>1767874.0</v>
      </c>
      <c r="C63" s="14">
        <v>45960.76503472222</v>
      </c>
      <c r="D63" s="210" t="s">
        <v>101</v>
      </c>
      <c r="E63" s="211" t="s">
        <v>306</v>
      </c>
      <c r="F63" s="212"/>
      <c r="G63" s="210" t="s">
        <v>13431</v>
      </c>
      <c r="H63" s="170"/>
      <c r="I63" s="170"/>
      <c r="J63" s="156" t="s">
        <v>12658</v>
      </c>
      <c r="K63" s="156" t="s">
        <v>11074</v>
      </c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IFERROR(__xludf.DUMMYFUNCTION("ifna(VALUE(REGEXEXTRACT(E63,""[0-9.]+[,]+[0-9]+"")))"),22.0)</f>
        <v>22</v>
      </c>
      <c r="O63" s="174" t="s">
        <v>8454</v>
      </c>
      <c r="P63" s="175">
        <v>45959.0</v>
      </c>
      <c r="Q63" s="176" t="s">
        <v>227</v>
      </c>
      <c r="R63" s="178">
        <v>500.0</v>
      </c>
      <c r="S63" s="177" t="str">
        <f t="shared" si="1"/>
        <v>Rose</v>
      </c>
      <c r="U63" s="159"/>
      <c r="V63" s="159"/>
      <c r="W63" s="159"/>
    </row>
    <row r="64" ht="14.25" customHeight="1">
      <c r="A64" s="149"/>
      <c r="B64" s="13">
        <v>1768066.0</v>
      </c>
      <c r="C64" s="14">
        <v>45960.86618055555</v>
      </c>
      <c r="D64" s="210" t="s">
        <v>101</v>
      </c>
      <c r="E64" s="211" t="s">
        <v>179</v>
      </c>
      <c r="F64" s="212"/>
      <c r="G64" s="210" t="s">
        <v>13092</v>
      </c>
      <c r="H64" s="170"/>
      <c r="I64" s="170"/>
      <c r="J64" s="156" t="s">
        <v>6914</v>
      </c>
      <c r="K64" s="156"/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IFERROR(__xludf.DUMMYFUNCTION("ifna(VALUE(REGEXEXTRACT(E64,""[0-9.]+[,]+[0-9]+"")))"),20.0)</f>
        <v>20</v>
      </c>
      <c r="O64" s="174"/>
      <c r="P64" s="175"/>
      <c r="Q64" s="174"/>
      <c r="R64" s="176"/>
      <c r="S64" s="177" t="str">
        <f t="shared" si="1"/>
        <v/>
      </c>
      <c r="U64" s="159"/>
      <c r="V64" s="159"/>
      <c r="W64" s="159"/>
    </row>
    <row r="65" ht="14.25" customHeight="1">
      <c r="A65" s="149"/>
      <c r="B65" s="13">
        <v>1768073.0</v>
      </c>
      <c r="C65" s="14">
        <v>45960.86869212963</v>
      </c>
      <c r="D65" s="210" t="s">
        <v>101</v>
      </c>
      <c r="E65" s="211" t="s">
        <v>246</v>
      </c>
      <c r="F65" s="214"/>
      <c r="G65" s="210" t="s">
        <v>13345</v>
      </c>
      <c r="H65" s="170"/>
      <c r="I65" s="170"/>
      <c r="J65" s="156" t="s">
        <v>6914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IFERROR(__xludf.DUMMYFUNCTION("ifna(VALUE(REGEXEXTRACT(E65,""[0-9.]+[,]+[0-9]+"")))"),30.0)</f>
        <v>30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1768855.0</v>
      </c>
      <c r="C66" s="14">
        <v>45961.63068287037</v>
      </c>
      <c r="D66" s="210" t="s">
        <v>101</v>
      </c>
      <c r="E66" s="211" t="s">
        <v>1633</v>
      </c>
      <c r="F66" s="212"/>
      <c r="G66" s="210" t="s">
        <v>13434</v>
      </c>
      <c r="H66" s="170"/>
      <c r="I66" s="170"/>
      <c r="J66" s="156" t="s">
        <v>12818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59">
        <f>IFERROR(__xludf.DUMMYFUNCTION("ifna(VALUE(REGEXEXTRACT(E66,""[0-9.]+[,]+[0-9]+"")))"),8.0)</f>
        <v>8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1768857.0</v>
      </c>
      <c r="C67" s="14">
        <v>45961.631527777776</v>
      </c>
      <c r="D67" s="210" t="s">
        <v>101</v>
      </c>
      <c r="E67" s="211" t="s">
        <v>13436</v>
      </c>
      <c r="F67" s="212"/>
      <c r="G67" s="210" t="s">
        <v>13437</v>
      </c>
      <c r="H67" s="170"/>
      <c r="I67" s="170"/>
      <c r="J67" s="156" t="s">
        <v>12818</v>
      </c>
      <c r="K67" s="156"/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"""")"),"Encontrada")</f>
        <v>Encontrada</v>
      </c>
      <c r="N67" s="159">
        <f>IFERROR(__xludf.DUMMYFUNCTION("ifna(VALUE(REGEXEXTRACT(E67,""[0-9.]+[,]+[0-9]+"")))"),153.0)</f>
        <v>153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1768866.0</v>
      </c>
      <c r="C68" s="14">
        <v>45961.632743055554</v>
      </c>
      <c r="D68" s="210" t="s">
        <v>139</v>
      </c>
      <c r="E68" s="211" t="s">
        <v>1219</v>
      </c>
      <c r="F68" s="212"/>
      <c r="G68" s="210" t="s">
        <v>13361</v>
      </c>
      <c r="H68" s="170"/>
      <c r="I68" s="170"/>
      <c r="J68" s="156" t="s">
        <v>12778</v>
      </c>
      <c r="K68" s="156" t="s">
        <v>12666</v>
      </c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IFERROR(__xludf.DUMMYFUNCTION("ifna(VALUE(REGEXEXTRACT(E68,""[0-9.]+[,]+[0-9]+"")))"),400.0)</f>
        <v>400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1768903.0</v>
      </c>
      <c r="C69" s="14">
        <v>45961.64554398148</v>
      </c>
      <c r="D69" s="210" t="s">
        <v>101</v>
      </c>
      <c r="E69" s="211" t="s">
        <v>13201</v>
      </c>
      <c r="F69" s="212"/>
      <c r="G69" s="210" t="s">
        <v>13440</v>
      </c>
      <c r="H69" s="170"/>
      <c r="I69" s="170"/>
      <c r="J69" s="156" t="s">
        <v>12818</v>
      </c>
      <c r="K69" s="156"/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59">
        <f>IFERROR(__xludf.DUMMYFUNCTION("ifna(VALUE(REGEXEXTRACT(E69,""[0-9.]+[,]+[0-9]+"")))"),140.0)</f>
        <v>140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1769069.0</v>
      </c>
      <c r="C70" s="14">
        <v>45961.68476851852</v>
      </c>
      <c r="D70" s="210" t="s">
        <v>101</v>
      </c>
      <c r="E70" s="211" t="s">
        <v>13443</v>
      </c>
      <c r="F70" s="212"/>
      <c r="G70" s="210" t="s">
        <v>13248</v>
      </c>
      <c r="H70" s="170"/>
      <c r="I70" s="170"/>
      <c r="J70" s="156" t="s">
        <v>12658</v>
      </c>
      <c r="K70" s="156" t="s">
        <v>11074</v>
      </c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IFERROR(__xludf.DUMMYFUNCTION("ifna(VALUE(REGEXEXTRACT(E70,""[0-9.]+[,]+[0-9]+"")))"),9.94)</f>
        <v>9.94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1769093.0</v>
      </c>
      <c r="C71" s="14">
        <v>45961.688622685186</v>
      </c>
      <c r="D71" s="210" t="s">
        <v>101</v>
      </c>
      <c r="E71" s="211" t="s">
        <v>13445</v>
      </c>
      <c r="F71" s="212"/>
      <c r="G71" s="210" t="s">
        <v>13248</v>
      </c>
      <c r="H71" s="170"/>
      <c r="I71" s="170"/>
      <c r="J71" s="156" t="s">
        <v>12658</v>
      </c>
      <c r="K71" s="156" t="s">
        <v>11074</v>
      </c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IFERROR(__xludf.DUMMYFUNCTION("ifna(VALUE(REGEXEXTRACT(E71,""[0-9.]+[,]+[0-9]+"")))"),7.0)</f>
        <v>7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1769195.0</v>
      </c>
      <c r="C72" s="14">
        <v>45961.71703703704</v>
      </c>
      <c r="D72" s="210" t="s">
        <v>101</v>
      </c>
      <c r="E72" s="211" t="s">
        <v>410</v>
      </c>
      <c r="F72" s="212"/>
      <c r="G72" s="210" t="s">
        <v>12927</v>
      </c>
      <c r="H72" s="170"/>
      <c r="I72" s="170"/>
      <c r="J72" s="156" t="s">
        <v>12952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IFERROR(__xludf.DUMMYFUNCTION("ifna(VALUE(REGEXEXTRACT(E72,""[0-9.]+[,]+[0-9]+"")))"),29.0)</f>
        <v>29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1769196.0</v>
      </c>
      <c r="C73" s="14">
        <v>45961.71729166667</v>
      </c>
      <c r="D73" s="210" t="s">
        <v>101</v>
      </c>
      <c r="E73" s="211" t="s">
        <v>13447</v>
      </c>
      <c r="F73" s="212"/>
      <c r="G73" s="210" t="s">
        <v>13448</v>
      </c>
      <c r="H73" s="170"/>
      <c r="I73" s="170"/>
      <c r="J73" s="156" t="s">
        <v>12720</v>
      </c>
      <c r="K73" s="156"/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IFERROR(__xludf.DUMMYFUNCTION("ifna(VALUE(REGEXEXTRACT(E73,""[0-9.]+[,]+[0-9]+"")))"),98.7)</f>
        <v>98.7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1769205.0</v>
      </c>
      <c r="C74" s="14">
        <v>45961.72</v>
      </c>
      <c r="D74" s="210" t="s">
        <v>101</v>
      </c>
      <c r="E74" s="211" t="s">
        <v>823</v>
      </c>
      <c r="F74" s="212"/>
      <c r="G74" s="210" t="s">
        <v>13451</v>
      </c>
      <c r="H74" s="170"/>
      <c r="I74" s="170"/>
      <c r="J74" s="156" t="s">
        <v>12720</v>
      </c>
      <c r="K74" s="156"/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IFERROR(__xludf.DUMMYFUNCTION("ifna(VALUE(REGEXEXTRACT(E74,""[0-9.]+[,]+[0-9]+"")))"),37.0)</f>
        <v>37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1769550.0</v>
      </c>
      <c r="C75" s="14">
        <v>45961.842627314814</v>
      </c>
      <c r="D75" s="210" t="s">
        <v>101</v>
      </c>
      <c r="E75" s="211" t="s">
        <v>237</v>
      </c>
      <c r="F75" s="214"/>
      <c r="G75" s="210" t="s">
        <v>13453</v>
      </c>
      <c r="H75" s="170"/>
      <c r="I75" s="170"/>
      <c r="J75" s="156" t="s">
        <v>6914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IFERROR(__xludf.DUMMYFUNCTION("ifna(VALUE(REGEXEXTRACT(E75,""[0-9.]+[,]+[0-9]+"")))"),100.0)</f>
        <v>100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1769629.0</v>
      </c>
      <c r="C76" s="14">
        <v>45961.86876157407</v>
      </c>
      <c r="D76" s="210" t="s">
        <v>101</v>
      </c>
      <c r="E76" s="211" t="s">
        <v>398</v>
      </c>
      <c r="F76" s="212"/>
      <c r="G76" s="210" t="s">
        <v>13455</v>
      </c>
      <c r="H76" s="170"/>
      <c r="I76" s="170"/>
      <c r="J76" s="156" t="s">
        <v>6914</v>
      </c>
      <c r="K76" s="156"/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IFERROR(__xludf.DUMMYFUNCTION("ifna(VALUE(REGEXEXTRACT(E76,""[0-9.]+[,]+[0-9]+"")))"),12.0)</f>
        <v>12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1769715.0</v>
      </c>
      <c r="C77" s="14">
        <v>45961.89840277778</v>
      </c>
      <c r="D77" s="210" t="s">
        <v>101</v>
      </c>
      <c r="E77" s="211" t="s">
        <v>13458</v>
      </c>
      <c r="F77" s="212"/>
      <c r="G77" s="210" t="s">
        <v>13459</v>
      </c>
      <c r="H77" s="170"/>
      <c r="I77" s="170"/>
      <c r="J77" s="156" t="s">
        <v>12658</v>
      </c>
      <c r="K77" s="156" t="s">
        <v>12666</v>
      </c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IFERROR(__xludf.DUMMYFUNCTION("ifna(VALUE(REGEXEXTRACT(E77,""[0-9.]+[,]+[0-9]+"")))"),79.09)</f>
        <v>79.09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1769741.0</v>
      </c>
      <c r="C78" s="14">
        <v>45961.90252314815</v>
      </c>
      <c r="D78" s="210" t="s">
        <v>101</v>
      </c>
      <c r="E78" s="211" t="s">
        <v>13461</v>
      </c>
      <c r="F78" s="212"/>
      <c r="G78" s="210" t="s">
        <v>13462</v>
      </c>
      <c r="H78" s="170"/>
      <c r="I78" s="170"/>
      <c r="J78" s="156" t="s">
        <v>12658</v>
      </c>
      <c r="K78" s="156" t="s">
        <v>12693</v>
      </c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IFERROR(__xludf.DUMMYFUNCTION("ifna(VALUE(REGEXEXTRACT(E78,""[0-9.]+[,]+[0-9]+"")))"),44.9)</f>
        <v>44.9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1769973.0</v>
      </c>
      <c r="C79" s="14">
        <v>45961.936840277776</v>
      </c>
      <c r="D79" s="210" t="s">
        <v>101</v>
      </c>
      <c r="E79" s="211" t="s">
        <v>2075</v>
      </c>
      <c r="F79" s="212"/>
      <c r="G79" s="210" t="s">
        <v>13465</v>
      </c>
      <c r="H79" s="170"/>
      <c r="I79" s="170"/>
      <c r="J79" s="156" t="s">
        <v>12778</v>
      </c>
      <c r="K79" s="156" t="s">
        <v>12666</v>
      </c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59">
        <f>IFERROR(__xludf.DUMMYFUNCTION("ifna(VALUE(REGEXEXTRACT(E79,""[0-9.]+[,]+[0-9]+"")))"),900.0)</f>
        <v>900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1770367.0</v>
      </c>
      <c r="C80" s="14">
        <v>45962.554560185185</v>
      </c>
      <c r="D80" s="210" t="s">
        <v>139</v>
      </c>
      <c r="E80" s="211" t="s">
        <v>213</v>
      </c>
      <c r="F80" s="212"/>
      <c r="G80" s="210" t="s">
        <v>12927</v>
      </c>
      <c r="H80" s="170"/>
      <c r="I80" s="170"/>
      <c r="J80" s="156" t="s">
        <v>12952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IFERROR(__xludf.DUMMYFUNCTION("ifna(VALUE(REGEXEXTRACT(E80,""[0-9.]+[,]+[0-9]+"")))"),200.0)</f>
        <v>200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1771252.0</v>
      </c>
      <c r="C81" s="14">
        <v>45962.78229166667</v>
      </c>
      <c r="D81" s="210" t="s">
        <v>101</v>
      </c>
      <c r="E81" s="211" t="s">
        <v>799</v>
      </c>
      <c r="F81" s="212"/>
      <c r="G81" s="210" t="s">
        <v>13469</v>
      </c>
      <c r="H81" s="170"/>
      <c r="I81" s="170"/>
      <c r="J81" s="156" t="s">
        <v>6914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IFERROR(__xludf.DUMMYFUNCTION("ifna(VALUE(REGEXEXTRACT(E81,""[0-9.]+[,]+[0-9]+"")))"),75.0)</f>
        <v>75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1771563.0</v>
      </c>
      <c r="C82" s="14">
        <v>45962.85359953704</v>
      </c>
      <c r="D82" s="210" t="s">
        <v>101</v>
      </c>
      <c r="E82" s="211" t="s">
        <v>786</v>
      </c>
      <c r="F82" s="212"/>
      <c r="G82" s="210" t="s">
        <v>13398</v>
      </c>
      <c r="H82" s="170"/>
      <c r="I82" s="170"/>
      <c r="J82" s="156" t="s">
        <v>10036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IFERROR(__xludf.DUMMYFUNCTION("ifna(VALUE(REGEXEXTRACT(E82,""[0-9.]+[,]+[0-9]+"")))"),130.0)</f>
        <v>130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1771564.0</v>
      </c>
      <c r="C83" s="14">
        <v>45962.85386574074</v>
      </c>
      <c r="D83" s="210" t="s">
        <v>101</v>
      </c>
      <c r="E83" s="211" t="s">
        <v>786</v>
      </c>
      <c r="F83" s="212"/>
      <c r="G83" s="210" t="s">
        <v>13208</v>
      </c>
      <c r="H83" s="170"/>
      <c r="I83" s="170"/>
      <c r="J83" s="156" t="s">
        <v>10036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IFERROR(__xludf.DUMMYFUNCTION("ifna(VALUE(REGEXEXTRACT(E83,""[0-9.]+[,]+[0-9]+"")))"),130.0)</f>
        <v>130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1771565.0</v>
      </c>
      <c r="C84" s="14">
        <v>45962.85413194444</v>
      </c>
      <c r="D84" s="210" t="s">
        <v>101</v>
      </c>
      <c r="E84" s="211" t="s">
        <v>786</v>
      </c>
      <c r="F84" s="212"/>
      <c r="G84" s="210" t="s">
        <v>13210</v>
      </c>
      <c r="H84" s="170"/>
      <c r="I84" s="170"/>
      <c r="J84" s="156" t="s">
        <v>10036</v>
      </c>
      <c r="K84" s="156"/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IFERROR(__xludf.DUMMYFUNCTION("ifna(VALUE(REGEXEXTRACT(E84,""[0-9.]+[,]+[0-9]+"")))"),130.0)</f>
        <v>130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1771566.0</v>
      </c>
      <c r="C85" s="14">
        <v>45962.854421296295</v>
      </c>
      <c r="D85" s="210" t="s">
        <v>101</v>
      </c>
      <c r="E85" s="211" t="s">
        <v>237</v>
      </c>
      <c r="F85" s="214"/>
      <c r="G85" s="210" t="s">
        <v>13473</v>
      </c>
      <c r="H85" s="170"/>
      <c r="I85" s="170"/>
      <c r="J85" s="156" t="s">
        <v>10036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IFERROR(__xludf.DUMMYFUNCTION("ifna(VALUE(REGEXEXTRACT(E85,""[0-9.]+[,]+[0-9]+"")))"),100.0)</f>
        <v>100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217"/>
      <c r="C86" s="218"/>
      <c r="D86" s="219"/>
      <c r="E86" s="220"/>
      <c r="F86" s="219"/>
      <c r="G86" s="219"/>
      <c r="H86" s="170"/>
      <c r="I86" s="170"/>
      <c r="J86" s="156"/>
      <c r="K86" s="156"/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 t="str">
        <f>IFERROR(__xludf.DUMMYFUNCTION("ifna(VALUE(REGEXEXTRACT(E86,""[0-9.]+[,]+[0-9]+"")))"),"")</f>
        <v/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1771849.0</v>
      </c>
      <c r="C87" s="14">
        <v>45962.91290509259</v>
      </c>
      <c r="D87" s="210" t="s">
        <v>101</v>
      </c>
      <c r="E87" s="211" t="s">
        <v>907</v>
      </c>
      <c r="F87" s="212"/>
      <c r="G87" s="210" t="s">
        <v>13475</v>
      </c>
      <c r="H87" s="170"/>
      <c r="I87" s="170"/>
      <c r="J87" s="156" t="s">
        <v>6914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IFERROR(__xludf.DUMMYFUNCTION("ifna(VALUE(REGEXEXTRACT(E87,""[0-9.]+[,]+[0-9]+"")))"),54.0)</f>
        <v>54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1771863.0</v>
      </c>
      <c r="C88" s="14">
        <v>45962.91462962963</v>
      </c>
      <c r="D88" s="210" t="s">
        <v>101</v>
      </c>
      <c r="E88" s="211" t="s">
        <v>13478</v>
      </c>
      <c r="F88" s="212"/>
      <c r="G88" s="210" t="s">
        <v>13480</v>
      </c>
      <c r="H88" s="170"/>
      <c r="I88" s="170"/>
      <c r="J88" s="156" t="s">
        <v>12658</v>
      </c>
      <c r="K88" s="156" t="s">
        <v>11074</v>
      </c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IFERROR(__xludf.DUMMYFUNCTION("ifna(VALUE(REGEXEXTRACT(E88,""[0-9.]+[,]+[0-9]+"")))"),70.9)</f>
        <v>70.9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1771948.0</v>
      </c>
      <c r="C89" s="14">
        <v>45962.92097222222</v>
      </c>
      <c r="D89" s="210" t="s">
        <v>101</v>
      </c>
      <c r="E89" s="211" t="s">
        <v>2116</v>
      </c>
      <c r="F89" s="212"/>
      <c r="G89" s="210" t="s">
        <v>13481</v>
      </c>
      <c r="H89" s="170"/>
      <c r="I89" s="170"/>
      <c r="J89" s="156" t="s">
        <v>12778</v>
      </c>
      <c r="K89" s="156" t="s">
        <v>12666</v>
      </c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"),"Confirmada")</f>
        <v>Confirmada</v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IFERROR(__xludf.DUMMYFUNCTION("ifna(VALUE(REGEXEXTRACT(E89,""[0-9.]+[,]+[0-9]+"")))"),1250.0)</f>
        <v>1250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1773973.0</v>
      </c>
      <c r="C90" s="14">
        <v>45963.848032407404</v>
      </c>
      <c r="D90" s="210" t="s">
        <v>101</v>
      </c>
      <c r="E90" s="211" t="s">
        <v>786</v>
      </c>
      <c r="F90" s="212"/>
      <c r="G90" s="210" t="s">
        <v>12998</v>
      </c>
      <c r="H90" s="170"/>
      <c r="I90" s="170"/>
      <c r="J90" s="156" t="s">
        <v>10036</v>
      </c>
      <c r="K90" s="156"/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IFERROR(__xludf.DUMMYFUNCTION("ifna(VALUE(REGEXEXTRACT(E90,""[0-9.]+[,]+[0-9]+"")))"),130.0)</f>
        <v>130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1773976.0</v>
      </c>
      <c r="C91" s="14">
        <v>45963.848391203705</v>
      </c>
      <c r="D91" s="210" t="s">
        <v>101</v>
      </c>
      <c r="E91" s="211" t="s">
        <v>786</v>
      </c>
      <c r="F91" s="212"/>
      <c r="G91" s="210" t="s">
        <v>13486</v>
      </c>
      <c r="H91" s="170"/>
      <c r="I91" s="170"/>
      <c r="J91" s="156" t="s">
        <v>10036</v>
      </c>
      <c r="K91" s="156"/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IFERROR(__xludf.DUMMYFUNCTION("ifna(VALUE(REGEXEXTRACT(E91,""[0-9.]+[,]+[0-9]+"")))"),130.0)</f>
        <v>130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1773994.0</v>
      </c>
      <c r="C92" s="14">
        <v>45963.851643518516</v>
      </c>
      <c r="D92" s="210" t="s">
        <v>101</v>
      </c>
      <c r="E92" s="211" t="s">
        <v>1687</v>
      </c>
      <c r="F92" s="212"/>
      <c r="G92" s="210" t="s">
        <v>13489</v>
      </c>
      <c r="H92" s="170"/>
      <c r="I92" s="170"/>
      <c r="J92" s="156" t="s">
        <v>12658</v>
      </c>
      <c r="K92" s="156" t="s">
        <v>11074</v>
      </c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IFERROR(__xludf.DUMMYFUNCTION("ifna(VALUE(REGEXEXTRACT(E92,""[0-9.]+[,]+[0-9]+"")))"),19.0)</f>
        <v>19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1774139.0</v>
      </c>
      <c r="C93" s="14">
        <v>45963.87613425926</v>
      </c>
      <c r="D93" s="210" t="s">
        <v>101</v>
      </c>
      <c r="E93" s="211" t="s">
        <v>13491</v>
      </c>
      <c r="F93" s="212"/>
      <c r="G93" s="210" t="s">
        <v>13492</v>
      </c>
      <c r="H93" s="170"/>
      <c r="I93" s="170"/>
      <c r="J93" s="156" t="s">
        <v>6914</v>
      </c>
      <c r="K93" s="156"/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IFERROR(__xludf.DUMMYFUNCTION("ifna(VALUE(REGEXEXTRACT(E93,""[0-9.]+[,]+[0-9]+"")))"),353.0)</f>
        <v>353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1774211.0</v>
      </c>
      <c r="C94" s="14">
        <v>45963.88743055556</v>
      </c>
      <c r="D94" s="210" t="s">
        <v>101</v>
      </c>
      <c r="E94" s="211" t="s">
        <v>615</v>
      </c>
      <c r="F94" s="212"/>
      <c r="G94" s="210" t="s">
        <v>13493</v>
      </c>
      <c r="H94" s="170"/>
      <c r="I94" s="170"/>
      <c r="J94" s="156" t="s">
        <v>12658</v>
      </c>
      <c r="K94" s="156" t="s">
        <v>199</v>
      </c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IFERROR(__xludf.DUMMYFUNCTION("ifna(VALUE(REGEXEXTRACT(E94,""[0-9.]+[,]+[0-9]+"")))"),18.0)</f>
        <v>18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1774491.0</v>
      </c>
      <c r="C95" s="14">
        <v>45963.91826388889</v>
      </c>
      <c r="D95" s="210" t="s">
        <v>101</v>
      </c>
      <c r="E95" s="211" t="s">
        <v>13495</v>
      </c>
      <c r="F95" s="214"/>
      <c r="G95" s="210" t="s">
        <v>13496</v>
      </c>
      <c r="H95" s="170"/>
      <c r="I95" s="170"/>
      <c r="J95" s="156" t="s">
        <v>12778</v>
      </c>
      <c r="K95" s="156" t="s">
        <v>199</v>
      </c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"),"Confirmada")</f>
        <v>Confirmada</v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IFERROR(__xludf.DUMMYFUNCTION("ifna(VALUE(REGEXEXTRACT(E95,""[0-9.]+[,]+[0-9]+"")))"),1370.0)</f>
        <v>1370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1775273.0</v>
      </c>
      <c r="C96" s="14">
        <v>45964.561064814814</v>
      </c>
      <c r="D96" s="210" t="s">
        <v>101</v>
      </c>
      <c r="E96" s="211" t="s">
        <v>231</v>
      </c>
      <c r="F96" s="212"/>
      <c r="G96" s="210" t="s">
        <v>13498</v>
      </c>
      <c r="H96" s="170"/>
      <c r="I96" s="170"/>
      <c r="J96" s="156" t="s">
        <v>12658</v>
      </c>
      <c r="K96" s="156" t="s">
        <v>11074</v>
      </c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IFERROR(__xludf.DUMMYFUNCTION("ifna(VALUE(REGEXEXTRACT(E96,""[0-9.]+[,]+[0-9]+"")))"),10.0)</f>
        <v>10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1775274.0</v>
      </c>
      <c r="C97" s="14">
        <v>45964.56150462963</v>
      </c>
      <c r="D97" s="210" t="s">
        <v>101</v>
      </c>
      <c r="E97" s="211" t="s">
        <v>274</v>
      </c>
      <c r="F97" s="212"/>
      <c r="G97" s="210" t="s">
        <v>13500</v>
      </c>
      <c r="H97" s="170"/>
      <c r="I97" s="170"/>
      <c r="J97" s="156" t="s">
        <v>12658</v>
      </c>
      <c r="K97" s="156" t="s">
        <v>12666</v>
      </c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IFERROR(__xludf.DUMMYFUNCTION("ifna(VALUE(REGEXEXTRACT(E97,""[0-9.]+[,]+[0-9]+"")))"),6.0)</f>
        <v>6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1776163.0</v>
      </c>
      <c r="C98" s="14">
        <v>45964.86949074074</v>
      </c>
      <c r="D98" s="210" t="s">
        <v>101</v>
      </c>
      <c r="E98" s="211" t="s">
        <v>718</v>
      </c>
      <c r="F98" s="212"/>
      <c r="G98" s="210" t="s">
        <v>13344</v>
      </c>
      <c r="H98" s="170"/>
      <c r="I98" s="170"/>
      <c r="J98" s="156" t="s">
        <v>6914</v>
      </c>
      <c r="K98" s="156"/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IFERROR(__xludf.DUMMYFUNCTION("ifna(VALUE(REGEXEXTRACT(E98,""[0-9.]+[,]+[0-9]+"")))"),32.0)</f>
        <v>32</v>
      </c>
      <c r="O98" s="181" t="s">
        <v>13284</v>
      </c>
      <c r="W98" s="159"/>
    </row>
    <row r="99" ht="14.25" customHeight="1">
      <c r="A99" s="149"/>
      <c r="B99" s="13">
        <v>1776164.0</v>
      </c>
      <c r="C99" s="14">
        <v>45964.86980324074</v>
      </c>
      <c r="D99" s="210" t="s">
        <v>101</v>
      </c>
      <c r="E99" s="211" t="s">
        <v>1389</v>
      </c>
      <c r="F99" s="212"/>
      <c r="G99" s="210" t="s">
        <v>13345</v>
      </c>
      <c r="H99" s="170"/>
      <c r="I99" s="170"/>
      <c r="J99" s="156" t="s">
        <v>6914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IFERROR(__xludf.DUMMYFUNCTION("ifna(VALUE(REGEXEXTRACT(E99,""[0-9.]+[,]+[0-9]+"")))"),34.0)</f>
        <v>34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1776460.0</v>
      </c>
      <c r="C100" s="14">
        <v>45964.92818287037</v>
      </c>
      <c r="D100" s="210" t="s">
        <v>101</v>
      </c>
      <c r="E100" s="211" t="s">
        <v>252</v>
      </c>
      <c r="F100" s="212"/>
      <c r="G100" s="210" t="s">
        <v>12935</v>
      </c>
      <c r="H100" s="170"/>
      <c r="I100" s="170"/>
      <c r="J100" s="156" t="s">
        <v>12658</v>
      </c>
      <c r="K100" s="156" t="s">
        <v>12666</v>
      </c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IFERROR(__xludf.DUMMYFUNCTION("ifna(VALUE(REGEXEXTRACT(E100,""[0-9.]+[,]+[0-9]+"")))"),5.0)</f>
        <v>5</v>
      </c>
      <c r="O100" s="222"/>
      <c r="P100" s="186"/>
      <c r="Q100" s="185"/>
      <c r="R100" s="187"/>
      <c r="S100" s="185"/>
      <c r="V100" s="185"/>
      <c r="W100" s="159"/>
    </row>
    <row r="101" ht="14.25" customHeight="1">
      <c r="A101" s="149"/>
      <c r="B101" s="13">
        <v>1776461.0</v>
      </c>
      <c r="C101" s="14">
        <v>45964.928391203706</v>
      </c>
      <c r="D101" s="210" t="s">
        <v>101</v>
      </c>
      <c r="E101" s="211" t="s">
        <v>1219</v>
      </c>
      <c r="F101" s="214"/>
      <c r="G101" s="210" t="s">
        <v>13508</v>
      </c>
      <c r="H101" s="170"/>
      <c r="I101" s="170"/>
      <c r="J101" s="156" t="s">
        <v>12778</v>
      </c>
      <c r="K101" s="156" t="s">
        <v>12666</v>
      </c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"),"Caixa Atendimento")</f>
        <v>Caixa Atendimento</v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IFERROR(__xludf.DUMMYFUNCTION("ifna(VALUE(REGEXEXTRACT(E101,""[0-9.]+[,]+[0-9]+"")))"),400.0)</f>
        <v>400</v>
      </c>
      <c r="O101" s="188"/>
      <c r="P101" s="189"/>
      <c r="Q101" s="188"/>
      <c r="R101" s="190"/>
      <c r="S101" s="188"/>
      <c r="V101" s="188"/>
      <c r="W101" s="159"/>
    </row>
    <row r="102" ht="14.25" customHeight="1">
      <c r="A102" s="149"/>
      <c r="B102" s="13">
        <v>1776834.0</v>
      </c>
      <c r="C102" s="14">
        <v>45965.55434027778</v>
      </c>
      <c r="D102" s="210" t="s">
        <v>101</v>
      </c>
      <c r="E102" s="211" t="s">
        <v>210</v>
      </c>
      <c r="F102" s="212"/>
      <c r="G102" s="210" t="s">
        <v>13510</v>
      </c>
      <c r="H102" s="170"/>
      <c r="I102" s="170"/>
      <c r="J102" s="156" t="s">
        <v>12818</v>
      </c>
      <c r="K102" s="156"/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59">
        <f>IFERROR(__xludf.DUMMYFUNCTION("ifna(VALUE(REGEXEXTRACT(E102,""[0-9.]+[,]+[0-9]+"")))"),40.0)</f>
        <v>40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1777881.0</v>
      </c>
      <c r="C103" s="14">
        <v>45965.86864583333</v>
      </c>
      <c r="D103" s="210" t="s">
        <v>101</v>
      </c>
      <c r="E103" s="211" t="s">
        <v>231</v>
      </c>
      <c r="F103" s="212"/>
      <c r="G103" s="210" t="s">
        <v>13511</v>
      </c>
      <c r="H103" s="170"/>
      <c r="I103" s="170"/>
      <c r="J103" s="156" t="s">
        <v>12658</v>
      </c>
      <c r="K103" s="156" t="s">
        <v>199</v>
      </c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IFERROR(__xludf.DUMMYFUNCTION("ifna(VALUE(REGEXEXTRACT(E103,""[0-9.]+[,]+[0-9]+"")))"),10.0)</f>
        <v>10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1777953.0</v>
      </c>
      <c r="C104" s="14">
        <v>45965.88995370371</v>
      </c>
      <c r="D104" s="210" t="s">
        <v>101</v>
      </c>
      <c r="E104" s="211" t="s">
        <v>13201</v>
      </c>
      <c r="F104" s="212"/>
      <c r="G104" s="210" t="s">
        <v>13514</v>
      </c>
      <c r="H104" s="170"/>
      <c r="I104" s="170"/>
      <c r="J104" s="156" t="s">
        <v>6914</v>
      </c>
      <c r="K104" s="156"/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IFERROR(__xludf.DUMMYFUNCTION("ifna(VALUE(REGEXEXTRACT(E104,""[0-9.]+[,]+[0-9]+"")))"),140.0)</f>
        <v>140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1778304.0</v>
      </c>
      <c r="C105" s="14">
        <v>45965.93761574074</v>
      </c>
      <c r="D105" s="210" t="s">
        <v>101</v>
      </c>
      <c r="E105" s="211" t="s">
        <v>13517</v>
      </c>
      <c r="F105" s="212"/>
      <c r="G105" s="210" t="s">
        <v>13518</v>
      </c>
      <c r="H105" s="170"/>
      <c r="I105" s="170"/>
      <c r="J105" s="156" t="s">
        <v>12778</v>
      </c>
      <c r="K105" s="156" t="s">
        <v>12666</v>
      </c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"),"Caixa Atendimento")</f>
        <v>Caixa Atendimento</v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IFERROR(__xludf.DUMMYFUNCTION("ifna(VALUE(REGEXEXTRACT(E105,""[0-9.]+[,]+[0-9]+"")))"),710.0)</f>
        <v>710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1778757.0</v>
      </c>
      <c r="C106" s="14">
        <v>45966.594409722224</v>
      </c>
      <c r="D106" s="210" t="s">
        <v>139</v>
      </c>
      <c r="E106" s="211" t="s">
        <v>13517</v>
      </c>
      <c r="F106" s="212"/>
      <c r="G106" s="210" t="s">
        <v>13521</v>
      </c>
      <c r="H106" s="170"/>
      <c r="I106" s="170"/>
      <c r="J106" s="156" t="s">
        <v>12778</v>
      </c>
      <c r="K106" s="156" t="s">
        <v>12666</v>
      </c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IFERROR(__xludf.DUMMYFUNCTION("ifna(VALUE(REGEXEXTRACT(E106,""[0-9.]+[,]+[0-9]+"")))"),710.0)</f>
        <v>710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1778761.0</v>
      </c>
      <c r="C107" s="14">
        <v>45966.59512731482</v>
      </c>
      <c r="D107" s="210" t="s">
        <v>101</v>
      </c>
      <c r="E107" s="211" t="s">
        <v>13525</v>
      </c>
      <c r="F107" s="212"/>
      <c r="G107" s="210" t="s">
        <v>13526</v>
      </c>
      <c r="H107" s="170"/>
      <c r="I107" s="170"/>
      <c r="J107" s="156" t="s">
        <v>12720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IFERROR(__xludf.DUMMYFUNCTION("ifna(VALUE(REGEXEXTRACT(E107,""[0-9.]+[,]+[0-9]+"")))"),45.54)</f>
        <v>45.54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1778787.0</v>
      </c>
      <c r="C108" s="14">
        <v>45966.60491898148</v>
      </c>
      <c r="D108" s="210" t="s">
        <v>101</v>
      </c>
      <c r="E108" s="211" t="s">
        <v>13530</v>
      </c>
      <c r="F108" s="212"/>
      <c r="G108" s="210" t="s">
        <v>13531</v>
      </c>
      <c r="H108" s="170"/>
      <c r="I108" s="170"/>
      <c r="J108" s="156" t="s">
        <v>12952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IFERROR(__xludf.DUMMYFUNCTION("ifna(VALUE(REGEXEXTRACT(E108,""[0-9.]+[,]+[0-9]+"")))"),800.0)</f>
        <v>800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1779112.0</v>
      </c>
      <c r="C109" s="14">
        <v>45966.69358796296</v>
      </c>
      <c r="D109" s="210" t="s">
        <v>101</v>
      </c>
      <c r="E109" s="211" t="s">
        <v>13534</v>
      </c>
      <c r="F109" s="212"/>
      <c r="G109" s="210" t="s">
        <v>13536</v>
      </c>
      <c r="H109" s="170"/>
      <c r="I109" s="170"/>
      <c r="J109" s="156"/>
      <c r="K109" s="156"/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IFERROR(__xludf.DUMMYFUNCTION("ifna(VALUE(REGEXEXTRACT(E109,""[0-9.]+[,]+[0-9]+"")))"),39.6)</f>
        <v>39.6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1779669.0</v>
      </c>
      <c r="C110" s="14">
        <v>45966.849652777775</v>
      </c>
      <c r="D110" s="210" t="s">
        <v>101</v>
      </c>
      <c r="E110" s="211" t="s">
        <v>13538</v>
      </c>
      <c r="F110" s="212"/>
      <c r="G110" s="210" t="s">
        <v>13376</v>
      </c>
      <c r="H110" s="170"/>
      <c r="I110" s="170"/>
      <c r="J110" s="156" t="s">
        <v>6914</v>
      </c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IFERROR(__xludf.DUMMYFUNCTION("ifna(VALUE(REGEXEXTRACT(E110,""[0-9.]+[,]+[0-9]+"")))"),182.0)</f>
        <v>182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1779692.0</v>
      </c>
      <c r="C111" s="14">
        <v>45966.856875</v>
      </c>
      <c r="D111" s="210" t="s">
        <v>101</v>
      </c>
      <c r="E111" s="211" t="s">
        <v>306</v>
      </c>
      <c r="F111" s="214"/>
      <c r="G111" s="210" t="s">
        <v>13541</v>
      </c>
      <c r="H111" s="170"/>
      <c r="I111" s="170"/>
      <c r="J111" s="156" t="s">
        <v>6914</v>
      </c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IFERROR(__xludf.DUMMYFUNCTION("ifna(VALUE(REGEXEXTRACT(E111,""[0-9.]+[,]+[0-9]+"")))"),22.0)</f>
        <v>22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1779860.0</v>
      </c>
      <c r="C112" s="14">
        <v>45966.90525462963</v>
      </c>
      <c r="D112" s="210" t="s">
        <v>101</v>
      </c>
      <c r="E112" s="211" t="s">
        <v>13138</v>
      </c>
      <c r="F112" s="212"/>
      <c r="G112" s="210" t="s">
        <v>13544</v>
      </c>
      <c r="H112" s="170"/>
      <c r="I112" s="170"/>
      <c r="J112" s="156"/>
      <c r="K112" s="156"/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IFERROR(__xludf.DUMMYFUNCTION("ifna(VALUE(REGEXEXTRACT(E112,""[0-9.]+[,]+[0-9]+"")))"),0.01)</f>
        <v>0.01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1779871.0</v>
      </c>
      <c r="C113" s="14">
        <v>45966.90813657407</v>
      </c>
      <c r="D113" s="210" t="s">
        <v>101</v>
      </c>
      <c r="E113" s="211" t="s">
        <v>252</v>
      </c>
      <c r="F113" s="212"/>
      <c r="G113" s="210" t="s">
        <v>13547</v>
      </c>
      <c r="H113" s="170"/>
      <c r="I113" s="170"/>
      <c r="J113" s="156" t="s">
        <v>12658</v>
      </c>
      <c r="K113" s="156" t="s">
        <v>12666</v>
      </c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IFERROR(__xludf.DUMMYFUNCTION("ifna(VALUE(REGEXEXTRACT(E113,""[0-9.]+[,]+[0-9]+"")))"),5.0)</f>
        <v>5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1780146.0</v>
      </c>
      <c r="C114" s="14">
        <v>45966.93927083333</v>
      </c>
      <c r="D114" s="210" t="s">
        <v>101</v>
      </c>
      <c r="E114" s="211" t="s">
        <v>13548</v>
      </c>
      <c r="F114" s="212"/>
      <c r="G114" s="210" t="s">
        <v>13549</v>
      </c>
      <c r="H114" s="170"/>
      <c r="I114" s="170"/>
      <c r="J114" s="156" t="s">
        <v>12778</v>
      </c>
      <c r="K114" s="168" t="s">
        <v>12666</v>
      </c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"),"Confirmada")</f>
        <v>Confirmada</v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IFERROR(__xludf.DUMMYFUNCTION("ifna(VALUE(REGEXEXTRACT(E114,""[0-9.]+[,]+[0-9]+"")))"),1130.0)</f>
        <v>1130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1780846.0</v>
      </c>
      <c r="C115" s="14">
        <v>45967.69130787037</v>
      </c>
      <c r="D115" s="210" t="s">
        <v>101</v>
      </c>
      <c r="E115" s="211" t="s">
        <v>252</v>
      </c>
      <c r="F115" s="212"/>
      <c r="G115" s="210" t="s">
        <v>13553</v>
      </c>
      <c r="H115" s="170"/>
      <c r="I115" s="170"/>
      <c r="J115" s="156" t="s">
        <v>12658</v>
      </c>
      <c r="K115" s="156" t="s">
        <v>12666</v>
      </c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IFERROR(__xludf.DUMMYFUNCTION("ifna(VALUE(REGEXEXTRACT(E115,""[0-9.]+[,]+[0-9]+"")))"),5.0)</f>
        <v>5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1780981.0</v>
      </c>
      <c r="C116" s="14">
        <v>45967.71960648148</v>
      </c>
      <c r="D116" s="210" t="s">
        <v>101</v>
      </c>
      <c r="E116" s="211" t="s">
        <v>252</v>
      </c>
      <c r="F116" s="212"/>
      <c r="G116" s="210" t="s">
        <v>13442</v>
      </c>
      <c r="H116" s="170"/>
      <c r="I116" s="170"/>
      <c r="J116" s="156" t="s">
        <v>12658</v>
      </c>
      <c r="K116" s="156" t="s">
        <v>199</v>
      </c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IFERROR(__xludf.DUMMYFUNCTION("ifna(VALUE(REGEXEXTRACT(E116,""[0-9.]+[,]+[0-9]+"")))"),5.0)</f>
        <v>5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1781410.0</v>
      </c>
      <c r="C117" s="14">
        <v>45967.841886574075</v>
      </c>
      <c r="D117" s="210" t="s">
        <v>101</v>
      </c>
      <c r="E117" s="211" t="s">
        <v>13316</v>
      </c>
      <c r="F117" s="212"/>
      <c r="G117" s="210" t="s">
        <v>13556</v>
      </c>
      <c r="H117" s="170"/>
      <c r="I117" s="170"/>
      <c r="J117" s="156" t="s">
        <v>6914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IFERROR(__xludf.DUMMYFUNCTION("ifna(VALUE(REGEXEXTRACT(E117,""[0-9.]+[,]+[0-9]+"")))"),104.0)</f>
        <v>104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1781483.0</v>
      </c>
      <c r="C118" s="14">
        <v>45967.86752314815</v>
      </c>
      <c r="D118" s="210" t="s">
        <v>101</v>
      </c>
      <c r="E118" s="211" t="s">
        <v>339</v>
      </c>
      <c r="F118" s="212"/>
      <c r="G118" s="210" t="s">
        <v>13559</v>
      </c>
      <c r="H118" s="170"/>
      <c r="I118" s="170"/>
      <c r="J118" s="156" t="s">
        <v>6914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IFERROR(__xludf.DUMMYFUNCTION("ifna(VALUE(REGEXEXTRACT(E118,""[0-9.]+[,]+[0-9]+"")))"),31.0)</f>
        <v>31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1781577.0</v>
      </c>
      <c r="C119" s="14">
        <v>45967.89164351852</v>
      </c>
      <c r="D119" s="210" t="s">
        <v>101</v>
      </c>
      <c r="E119" s="211" t="s">
        <v>13561</v>
      </c>
      <c r="F119" s="212"/>
      <c r="G119" s="210" t="s">
        <v>13562</v>
      </c>
      <c r="H119" s="170"/>
      <c r="I119" s="170"/>
      <c r="J119" s="156" t="s">
        <v>12658</v>
      </c>
      <c r="K119" s="156" t="s">
        <v>12666</v>
      </c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IFERROR(__xludf.DUMMYFUNCTION("ifna(VALUE(REGEXEXTRACT(E119,""[0-9.]+[,]+[0-9]+"")))"),3.0)</f>
        <v>3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1781892.0</v>
      </c>
      <c r="C120" s="14">
        <v>45967.93790509259</v>
      </c>
      <c r="D120" s="210" t="s">
        <v>101</v>
      </c>
      <c r="E120" s="211" t="s">
        <v>13563</v>
      </c>
      <c r="F120" s="214"/>
      <c r="G120" s="210" t="s">
        <v>13564</v>
      </c>
      <c r="H120" s="153"/>
      <c r="I120" s="170"/>
      <c r="J120" s="156" t="s">
        <v>12778</v>
      </c>
      <c r="K120" s="156" t="s">
        <v>12666</v>
      </c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IFERROR(__xludf.DUMMYFUNCTION("ifna(VALUE(REGEXEXTRACT(E120,""[0-9.]+[,]+[0-9]+"")))"),1300.0)</f>
        <v>1300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1782438.0</v>
      </c>
      <c r="C121" s="14">
        <v>45968.632581018515</v>
      </c>
      <c r="D121" s="210" t="s">
        <v>101</v>
      </c>
      <c r="E121" s="211" t="s">
        <v>13565</v>
      </c>
      <c r="F121" s="212"/>
      <c r="G121" s="210" t="s">
        <v>13567</v>
      </c>
      <c r="H121" s="153"/>
      <c r="I121" s="170"/>
      <c r="J121" s="156" t="s">
        <v>12818</v>
      </c>
      <c r="K121" s="156"/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59">
        <f>IFERROR(__xludf.DUMMYFUNCTION("ifna(VALUE(REGEXEXTRACT(E121,""[0-9.]+[,]+[0-9]+"")))"),107.01)</f>
        <v>107.01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1782442.0</v>
      </c>
      <c r="C122" s="14">
        <v>45968.632997685185</v>
      </c>
      <c r="D122" s="210" t="s">
        <v>139</v>
      </c>
      <c r="E122" s="211" t="s">
        <v>1219</v>
      </c>
      <c r="F122" s="212"/>
      <c r="G122" s="210" t="s">
        <v>13570</v>
      </c>
      <c r="H122" s="153"/>
      <c r="I122" s="170"/>
      <c r="J122" s="156" t="s">
        <v>12778</v>
      </c>
      <c r="K122" s="156" t="s">
        <v>12666</v>
      </c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IFERROR(__xludf.DUMMYFUNCTION("ifna(VALUE(REGEXEXTRACT(E122,""[0-9.]+[,]+[0-9]+"")))"),400.0)</f>
        <v>400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1782731.0</v>
      </c>
      <c r="C123" s="14">
        <v>45968.71083333333</v>
      </c>
      <c r="D123" s="210" t="s">
        <v>101</v>
      </c>
      <c r="E123" s="211" t="s">
        <v>13573</v>
      </c>
      <c r="F123" s="212"/>
      <c r="G123" s="210" t="s">
        <v>13575</v>
      </c>
      <c r="H123" s="153"/>
      <c r="I123" s="170"/>
      <c r="J123" s="156" t="s">
        <v>12818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59">
        <f>IFERROR(__xludf.DUMMYFUNCTION("ifna(VALUE(REGEXEXTRACT(E123,""[0-9.]+[,]+[0-9]+"")))"),172.2)</f>
        <v>172.2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1782732.0</v>
      </c>
      <c r="C124" s="14">
        <v>45968.71123842592</v>
      </c>
      <c r="D124" s="210" t="s">
        <v>101</v>
      </c>
      <c r="E124" s="211" t="s">
        <v>13577</v>
      </c>
      <c r="F124" s="212"/>
      <c r="G124" s="210" t="s">
        <v>13578</v>
      </c>
      <c r="H124" s="153"/>
      <c r="I124" s="170"/>
      <c r="J124" s="156" t="s">
        <v>12818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59">
        <f>IFERROR(__xludf.DUMMYFUNCTION("ifna(VALUE(REGEXEXTRACT(E124,""[0-9.]+[,]+[0-9]+"")))"),403.3)</f>
        <v>403.3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1782777.0</v>
      </c>
      <c r="C125" s="14">
        <v>45968.71805555555</v>
      </c>
      <c r="D125" s="210" t="s">
        <v>101</v>
      </c>
      <c r="E125" s="211" t="s">
        <v>1013</v>
      </c>
      <c r="F125" s="212"/>
      <c r="G125" s="210" t="s">
        <v>13442</v>
      </c>
      <c r="H125" s="153"/>
      <c r="I125" s="170"/>
      <c r="J125" s="156" t="s">
        <v>12658</v>
      </c>
      <c r="K125" s="156" t="s">
        <v>199</v>
      </c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IFERROR(__xludf.DUMMYFUNCTION("ifna(VALUE(REGEXEXTRACT(E125,""[0-9.]+[,]+[0-9]+"")))"),17.0)</f>
        <v>17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1782796.0</v>
      </c>
      <c r="C126" s="14">
        <v>45968.72315972222</v>
      </c>
      <c r="D126" s="210" t="s">
        <v>101</v>
      </c>
      <c r="E126" s="211" t="s">
        <v>256</v>
      </c>
      <c r="F126" s="212"/>
      <c r="G126" s="210" t="s">
        <v>13296</v>
      </c>
      <c r="H126" s="153"/>
      <c r="I126" s="170"/>
      <c r="J126" s="156" t="s">
        <v>12952</v>
      </c>
      <c r="K126" s="156"/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IFERROR(__xludf.DUMMYFUNCTION("ifna(VALUE(REGEXEXTRACT(E126,""[0-9.]+[,]+[0-9]+"")))"),300.0)</f>
        <v>300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1783286.0</v>
      </c>
      <c r="C127" s="14">
        <v>45968.87008101852</v>
      </c>
      <c r="D127" s="210" t="s">
        <v>101</v>
      </c>
      <c r="E127" s="211" t="s">
        <v>321</v>
      </c>
      <c r="F127" s="212"/>
      <c r="G127" s="210" t="s">
        <v>13347</v>
      </c>
      <c r="H127" s="153"/>
      <c r="I127" s="170"/>
      <c r="J127" s="156" t="s">
        <v>6914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IFERROR(__xludf.DUMMYFUNCTION("ifna(VALUE(REGEXEXTRACT(E127,""[0-9.]+[,]+[0-9]+"")))"),83.0)</f>
        <v>83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1783288.0</v>
      </c>
      <c r="C128" s="14">
        <v>45968.87113425926</v>
      </c>
      <c r="D128" s="210" t="s">
        <v>101</v>
      </c>
      <c r="E128" s="211" t="s">
        <v>141</v>
      </c>
      <c r="F128" s="212"/>
      <c r="G128" s="210" t="s">
        <v>13475</v>
      </c>
      <c r="H128" s="153"/>
      <c r="I128" s="170"/>
      <c r="J128" s="156" t="s">
        <v>6914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59">
        <f>IFERROR(__xludf.DUMMYFUNCTION("ifna(VALUE(REGEXEXTRACT(E128,""[0-9.]+[,]+[0-9]+"")))"),50.0)</f>
        <v>50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1784220.0</v>
      </c>
      <c r="C129" s="14">
        <v>45969.63081018518</v>
      </c>
      <c r="D129" s="210" t="s">
        <v>139</v>
      </c>
      <c r="E129" s="211" t="s">
        <v>13201</v>
      </c>
      <c r="F129" s="212"/>
      <c r="G129" s="210" t="s">
        <v>12927</v>
      </c>
      <c r="H129" s="153"/>
      <c r="I129" s="170"/>
      <c r="J129" s="156" t="s">
        <v>12952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IFERROR(__xludf.DUMMYFUNCTION("ifna(VALUE(REGEXEXTRACT(E129,""[0-9.]+[,]+[0-9]+"")))"),140.0)</f>
        <v>140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1784689.0</v>
      </c>
      <c r="C130" s="14">
        <v>45969.74377314815</v>
      </c>
      <c r="D130" s="210" t="s">
        <v>101</v>
      </c>
      <c r="E130" s="211" t="s">
        <v>13201</v>
      </c>
      <c r="F130" s="214"/>
      <c r="G130" s="210" t="s">
        <v>13591</v>
      </c>
      <c r="H130" s="170"/>
      <c r="I130" s="170"/>
      <c r="J130" s="156" t="s">
        <v>6914</v>
      </c>
      <c r="K130" s="156"/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IFERROR(__xludf.DUMMYFUNCTION("ifna(VALUE(REGEXEXTRACT(E130,""[0-9.]+[,]+[0-9]+"")))"),140.0)</f>
        <v>140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1785310.0</v>
      </c>
      <c r="C131" s="14">
        <v>45969.89181712963</v>
      </c>
      <c r="D131" s="210" t="s">
        <v>101</v>
      </c>
      <c r="E131" s="211" t="s">
        <v>231</v>
      </c>
      <c r="F131" s="212"/>
      <c r="G131" s="210" t="s">
        <v>13594</v>
      </c>
      <c r="H131" s="170"/>
      <c r="I131" s="170"/>
      <c r="J131" s="156" t="s">
        <v>6914</v>
      </c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IFERROR(__xludf.DUMMYFUNCTION("ifna(VALUE(REGEXEXTRACT(E131,""[0-9.]+[,]+[0-9]+"")))"),10.0)</f>
        <v>10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1785680.0</v>
      </c>
      <c r="C132" s="14">
        <v>45969.93293981482</v>
      </c>
      <c r="D132" s="210" t="s">
        <v>101</v>
      </c>
      <c r="E132" s="211" t="s">
        <v>2133</v>
      </c>
      <c r="F132" s="212"/>
      <c r="G132" s="210" t="s">
        <v>13597</v>
      </c>
      <c r="H132" s="170"/>
      <c r="I132" s="170"/>
      <c r="J132" s="156" t="s">
        <v>12778</v>
      </c>
      <c r="K132" s="156" t="s">
        <v>199</v>
      </c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"),"Confirmada")</f>
        <v>Confirmada</v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IFERROR(__xludf.DUMMYFUNCTION("ifna(VALUE(REGEXEXTRACT(E132,""[0-9.]+[,]+[0-9]+"")))"),750.0)</f>
        <v>750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1787656.0</v>
      </c>
      <c r="C133" s="14">
        <v>45970.85787037037</v>
      </c>
      <c r="D133" s="210" t="s">
        <v>101</v>
      </c>
      <c r="E133" s="211" t="s">
        <v>13601</v>
      </c>
      <c r="F133" s="212"/>
      <c r="G133" s="210" t="s">
        <v>13602</v>
      </c>
      <c r="H133" s="170"/>
      <c r="I133" s="170"/>
      <c r="J133" s="156" t="s">
        <v>6914</v>
      </c>
      <c r="K133" s="156"/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IFERROR(__xludf.DUMMYFUNCTION("ifna(VALUE(REGEXEXTRACT(E133,""[0-9.]+[,]+[0-9]+"")))"),414.0)</f>
        <v>414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1787681.0</v>
      </c>
      <c r="C134" s="14">
        <v>45970.86054398148</v>
      </c>
      <c r="D134" s="210" t="s">
        <v>101</v>
      </c>
      <c r="E134" s="211" t="s">
        <v>1808</v>
      </c>
      <c r="F134" s="212"/>
      <c r="G134" s="210" t="s">
        <v>13605</v>
      </c>
      <c r="H134" s="170"/>
      <c r="I134" s="170"/>
      <c r="J134" s="156" t="s">
        <v>6914</v>
      </c>
      <c r="K134" s="156"/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IFERROR(__xludf.DUMMYFUNCTION("ifna(VALUE(REGEXEXTRACT(E134,""[0-9.]+[,]+[0-9]+"")))"),72.0)</f>
        <v>72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1787684.0</v>
      </c>
      <c r="C135" s="14">
        <v>45970.861493055556</v>
      </c>
      <c r="D135" s="210" t="s">
        <v>101</v>
      </c>
      <c r="E135" s="211" t="s">
        <v>786</v>
      </c>
      <c r="F135" s="212"/>
      <c r="G135" s="210" t="s">
        <v>12998</v>
      </c>
      <c r="H135" s="170"/>
      <c r="I135" s="170"/>
      <c r="J135" s="156" t="s">
        <v>10036</v>
      </c>
      <c r="K135" s="156"/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IFERROR(__xludf.DUMMYFUNCTION("ifna(VALUE(REGEXEXTRACT(E135,""[0-9.]+[,]+[0-9]+"")))"),130.0)</f>
        <v>130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1787687.0</v>
      </c>
      <c r="C136" s="14">
        <v>45970.86185185185</v>
      </c>
      <c r="D136" s="210" t="s">
        <v>101</v>
      </c>
      <c r="E136" s="211" t="s">
        <v>786</v>
      </c>
      <c r="F136" s="212"/>
      <c r="G136" s="210" t="s">
        <v>13210</v>
      </c>
      <c r="H136" s="170"/>
      <c r="I136" s="170"/>
      <c r="J136" s="156" t="s">
        <v>10036</v>
      </c>
      <c r="K136" s="156"/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IFERROR(__xludf.DUMMYFUNCTION("ifna(VALUE(REGEXEXTRACT(E136,""[0-9.]+[,]+[0-9]+"")))"),130.0)</f>
        <v>130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1787688.0</v>
      </c>
      <c r="C137" s="14">
        <v>45970.86204861111</v>
      </c>
      <c r="D137" s="210" t="s">
        <v>101</v>
      </c>
      <c r="E137" s="211" t="s">
        <v>786</v>
      </c>
      <c r="F137" s="212"/>
      <c r="G137" s="210" t="s">
        <v>13613</v>
      </c>
      <c r="H137" s="170"/>
      <c r="I137" s="170"/>
      <c r="J137" s="156" t="s">
        <v>10036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IFERROR(__xludf.DUMMYFUNCTION("ifna(VALUE(REGEXEXTRACT(E137,""[0-9.]+[,]+[0-9]+"")))"),130.0)</f>
        <v>130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1788165.0</v>
      </c>
      <c r="C138" s="14">
        <v>45970.91935185185</v>
      </c>
      <c r="D138" s="210" t="s">
        <v>101</v>
      </c>
      <c r="E138" s="211" t="s">
        <v>252</v>
      </c>
      <c r="F138" s="212"/>
      <c r="G138" s="210" t="s">
        <v>12935</v>
      </c>
      <c r="H138" s="170"/>
      <c r="I138" s="170"/>
      <c r="J138" s="156" t="s">
        <v>12658</v>
      </c>
      <c r="K138" s="156" t="s">
        <v>12666</v>
      </c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IFERROR(__xludf.DUMMYFUNCTION("ifna(VALUE(REGEXEXTRACT(E138,""[0-9.]+[,]+[0-9]+"")))"),5.0)</f>
        <v>5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1788198.0</v>
      </c>
      <c r="C139" s="14">
        <v>45970.92103009259</v>
      </c>
      <c r="D139" s="210" t="s">
        <v>101</v>
      </c>
      <c r="E139" s="211" t="s">
        <v>1252</v>
      </c>
      <c r="F139" s="214"/>
      <c r="G139" s="210" t="s">
        <v>13620</v>
      </c>
      <c r="H139" s="170"/>
      <c r="I139" s="170"/>
      <c r="J139" s="156" t="s">
        <v>12778</v>
      </c>
      <c r="K139" s="156" t="s">
        <v>12666</v>
      </c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"),"Confirmada")</f>
        <v>Confirmada</v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IFERROR(__xludf.DUMMYFUNCTION("ifna(VALUE(REGEXEXTRACT(E139,""[0-9.]+[,]+[0-9]+"")))"),1050.0)</f>
        <v>1050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1789520.0</v>
      </c>
      <c r="C140" s="14">
        <v>45971.710335648146</v>
      </c>
      <c r="D140" s="210" t="s">
        <v>101</v>
      </c>
      <c r="E140" s="211" t="s">
        <v>231</v>
      </c>
      <c r="F140" s="212"/>
      <c r="G140" s="210" t="s">
        <v>13442</v>
      </c>
      <c r="H140" s="170"/>
      <c r="I140" s="170"/>
      <c r="J140" s="156" t="s">
        <v>12658</v>
      </c>
      <c r="K140" s="156" t="s">
        <v>199</v>
      </c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IFERROR(__xludf.DUMMYFUNCTION("ifna(VALUE(REGEXEXTRACT(E140,""[0-9.]+[,]+[0-9]+"")))"),10.0)</f>
        <v>10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1789909.0</v>
      </c>
      <c r="C141" s="14">
        <v>45971.816030092596</v>
      </c>
      <c r="D141" s="210" t="s">
        <v>101</v>
      </c>
      <c r="E141" s="211" t="s">
        <v>246</v>
      </c>
      <c r="F141" s="214"/>
      <c r="G141" s="210" t="s">
        <v>13628</v>
      </c>
      <c r="H141" s="170"/>
      <c r="I141" s="170"/>
      <c r="J141" s="156" t="s">
        <v>6914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59">
        <f>IFERROR(__xludf.DUMMYFUNCTION("ifna(VALUE(REGEXEXTRACT(E141,""[0-9.]+[,]+[0-9]+"")))"),30.0)</f>
        <v>30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1790733.0</v>
      </c>
      <c r="C142" s="14">
        <v>45972.5324537037</v>
      </c>
      <c r="D142" s="210" t="s">
        <v>101</v>
      </c>
      <c r="E142" s="211" t="s">
        <v>13633</v>
      </c>
      <c r="F142" s="212"/>
      <c r="G142" s="210" t="s">
        <v>13634</v>
      </c>
      <c r="H142" s="170"/>
      <c r="I142" s="170"/>
      <c r="J142" s="156" t="s">
        <v>12778</v>
      </c>
      <c r="K142" s="156" t="s">
        <v>199</v>
      </c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IFERROR(__xludf.DUMMYFUNCTION("ifna(VALUE(REGEXEXTRACT(E142,""[0-9.]+[,]+[0-9]+"")))"),980.0)</f>
        <v>980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1790834.0</v>
      </c>
      <c r="C143" s="14">
        <v>45972.583032407405</v>
      </c>
      <c r="D143" s="210" t="s">
        <v>101</v>
      </c>
      <c r="E143" s="211" t="s">
        <v>937</v>
      </c>
      <c r="F143" s="212"/>
      <c r="G143" s="210" t="s">
        <v>13638</v>
      </c>
      <c r="H143" s="170"/>
      <c r="I143" s="170"/>
      <c r="J143" s="156" t="s">
        <v>12658</v>
      </c>
      <c r="K143" s="156" t="s">
        <v>12666</v>
      </c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IFERROR(__xludf.DUMMYFUNCTION("ifna(VALUE(REGEXEXTRACT(E143,""[0-9.]+[,]+[0-9]+"")))"),105.0)</f>
        <v>105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1790847.0</v>
      </c>
      <c r="C144" s="14">
        <v>45972.589108796295</v>
      </c>
      <c r="D144" s="210" t="s">
        <v>101</v>
      </c>
      <c r="E144" s="211" t="s">
        <v>252</v>
      </c>
      <c r="F144" s="212"/>
      <c r="G144" s="210" t="s">
        <v>13640</v>
      </c>
      <c r="H144" s="170"/>
      <c r="I144" s="170"/>
      <c r="J144" s="156"/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IFERROR(__xludf.DUMMYFUNCTION("ifna(VALUE(REGEXEXTRACT(E144,""[0-9.]+[,]+[0-9]+"")))"),5.0)</f>
        <v>5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1791838.0</v>
      </c>
      <c r="C145" s="14">
        <v>45972.87535879629</v>
      </c>
      <c r="D145" s="210" t="s">
        <v>101</v>
      </c>
      <c r="E145" s="211" t="s">
        <v>213</v>
      </c>
      <c r="F145" s="212"/>
      <c r="G145" s="210" t="s">
        <v>13543</v>
      </c>
      <c r="H145" s="170"/>
      <c r="I145" s="170"/>
      <c r="J145" s="156" t="s">
        <v>6914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IFERROR(__xludf.DUMMYFUNCTION("ifna(VALUE(REGEXEXTRACT(E145,""[0-9.]+[,]+[0-9]+"")))"),200.0)</f>
        <v>200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1792006.0</v>
      </c>
      <c r="C146" s="14">
        <v>45972.90553240741</v>
      </c>
      <c r="D146" s="210" t="s">
        <v>101</v>
      </c>
      <c r="E146" s="211" t="s">
        <v>179</v>
      </c>
      <c r="F146" s="212"/>
      <c r="G146" s="210" t="s">
        <v>13075</v>
      </c>
      <c r="H146" s="170"/>
      <c r="I146" s="170"/>
      <c r="J146" s="156" t="s">
        <v>6914</v>
      </c>
      <c r="K146" s="156"/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IFERROR(__xludf.DUMMYFUNCTION("ifna(VALUE(REGEXEXTRACT(E146,""[0-9.]+[,]+[0-9]+"")))"),20.0)</f>
        <v>20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1792053.0</v>
      </c>
      <c r="C147" s="14">
        <v>45972.91390046296</v>
      </c>
      <c r="D147" s="210" t="s">
        <v>101</v>
      </c>
      <c r="E147" s="211" t="s">
        <v>13138</v>
      </c>
      <c r="F147" s="212"/>
      <c r="G147" s="210" t="s">
        <v>13645</v>
      </c>
      <c r="H147" s="170"/>
      <c r="I147" s="170"/>
      <c r="J147" s="156"/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IFERROR(__xludf.DUMMYFUNCTION("ifna(VALUE(REGEXEXTRACT(E147,""[0-9.]+[,]+[0-9]+"")))"),0.01)</f>
        <v>0.01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1792271.0</v>
      </c>
      <c r="C148" s="14">
        <v>45972.942766203705</v>
      </c>
      <c r="D148" s="210" t="s">
        <v>101</v>
      </c>
      <c r="E148" s="211" t="s">
        <v>13336</v>
      </c>
      <c r="F148" s="212"/>
      <c r="G148" s="210" t="s">
        <v>13648</v>
      </c>
      <c r="H148" s="170"/>
      <c r="I148" s="170"/>
      <c r="J148" s="156" t="s">
        <v>12778</v>
      </c>
      <c r="K148" s="156" t="s">
        <v>12666</v>
      </c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"),"Confirmada")</f>
        <v>Confirmada</v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IFERROR(__xludf.DUMMYFUNCTION("ifna(VALUE(REGEXEXTRACT(E148,""[0-9.]+[,]+[0-9]+"")))"),870.0)</f>
        <v>870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1793049.0</v>
      </c>
      <c r="C149" s="14">
        <v>45973.710231481484</v>
      </c>
      <c r="D149" s="210" t="s">
        <v>139</v>
      </c>
      <c r="E149" s="211" t="s">
        <v>237</v>
      </c>
      <c r="F149" s="212"/>
      <c r="G149" s="210" t="s">
        <v>12927</v>
      </c>
      <c r="H149" s="170"/>
      <c r="I149" s="170"/>
      <c r="J149" s="156" t="s">
        <v>12952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IFERROR(__xludf.DUMMYFUNCTION("ifna(VALUE(REGEXEXTRACT(E149,""[0-9.]+[,]+[0-9]+"")))"),100.0)</f>
        <v>100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1793061.0</v>
      </c>
      <c r="C150" s="14">
        <v>45973.71387731482</v>
      </c>
      <c r="D150" s="210" t="s">
        <v>101</v>
      </c>
      <c r="E150" s="211" t="s">
        <v>210</v>
      </c>
      <c r="F150" s="212"/>
      <c r="G150" s="210" t="s">
        <v>13658</v>
      </c>
      <c r="H150" s="170"/>
      <c r="I150" s="170"/>
      <c r="J150" s="156" t="s">
        <v>10036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IFERROR(__xludf.DUMMYFUNCTION("ifna(VALUE(REGEXEXTRACT(E150,""[0-9.]+[,]+[0-9]+"")))"),40.0)</f>
        <v>40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1793545.0</v>
      </c>
      <c r="C151" s="14">
        <v>45973.87704861111</v>
      </c>
      <c r="D151" s="210" t="s">
        <v>101</v>
      </c>
      <c r="E151" s="211" t="s">
        <v>246</v>
      </c>
      <c r="F151" s="214"/>
      <c r="G151" s="210" t="s">
        <v>13541</v>
      </c>
      <c r="H151" s="170"/>
      <c r="I151" s="170"/>
      <c r="J151" s="156" t="s">
        <v>6914</v>
      </c>
      <c r="K151" s="156"/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IFERROR(__xludf.DUMMYFUNCTION("ifna(VALUE(REGEXEXTRACT(E151,""[0-9.]+[,]+[0-9]+"")))"),30.0)</f>
        <v>30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1793548.0</v>
      </c>
      <c r="C152" s="14">
        <v>45973.877291666664</v>
      </c>
      <c r="D152" s="210" t="s">
        <v>101</v>
      </c>
      <c r="E152" s="211" t="s">
        <v>398</v>
      </c>
      <c r="F152" s="212"/>
      <c r="G152" s="210" t="s">
        <v>13668</v>
      </c>
      <c r="H152" s="170"/>
      <c r="I152" s="170"/>
      <c r="J152" s="156" t="s">
        <v>6914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IFERROR(__xludf.DUMMYFUNCTION("ifna(VALUE(REGEXEXTRACT(E152,""[0-9.]+[,]+[0-9]+"")))"),12.0)</f>
        <v>12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1793897.0</v>
      </c>
      <c r="C153" s="14">
        <v>45973.92949074074</v>
      </c>
      <c r="D153" s="210" t="s">
        <v>101</v>
      </c>
      <c r="E153" s="211" t="s">
        <v>13635</v>
      </c>
      <c r="F153" s="214"/>
      <c r="G153" s="210" t="s">
        <v>13674</v>
      </c>
      <c r="H153" s="170"/>
      <c r="I153" s="170"/>
      <c r="J153" s="156" t="s">
        <v>12778</v>
      </c>
      <c r="K153" s="156" t="s">
        <v>12666</v>
      </c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"),"Caixa Atendimento")</f>
        <v>Caixa Atendimento</v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IFERROR(__xludf.DUMMYFUNCTION("ifna(VALUE(REGEXEXTRACT(E153,""[0-9.]+[,]+[0-9]+"")))"),260.0)</f>
        <v>260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1794514.0</v>
      </c>
      <c r="C154" s="14">
        <v>45974.6553587963</v>
      </c>
      <c r="D154" s="210" t="s">
        <v>101</v>
      </c>
      <c r="E154" s="211" t="s">
        <v>252</v>
      </c>
      <c r="F154" s="212"/>
      <c r="G154" s="210" t="s">
        <v>13678</v>
      </c>
      <c r="H154" s="170"/>
      <c r="I154" s="170"/>
      <c r="J154" s="156" t="s">
        <v>12818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59">
        <f>IFERROR(__xludf.DUMMYFUNCTION("ifna(VALUE(REGEXEXTRACT(E154,""[0-9.]+[,]+[0-9]+"")))"),5.0)</f>
        <v>5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1794747.0</v>
      </c>
      <c r="C155" s="14">
        <v>45974.712233796294</v>
      </c>
      <c r="D155" s="210" t="s">
        <v>101</v>
      </c>
      <c r="E155" s="211" t="s">
        <v>288</v>
      </c>
      <c r="F155" s="212"/>
      <c r="G155" s="210" t="s">
        <v>13683</v>
      </c>
      <c r="H155" s="170"/>
      <c r="I155" s="170"/>
      <c r="J155" s="156" t="s">
        <v>12658</v>
      </c>
      <c r="K155" s="156" t="s">
        <v>199</v>
      </c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IFERROR(__xludf.DUMMYFUNCTION("ifna(VALUE(REGEXEXTRACT(E155,""[0-9.]+[,]+[0-9]+"")))"),23.0)</f>
        <v>23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1795185.0</v>
      </c>
      <c r="C156" s="14">
        <v>45974.877754629626</v>
      </c>
      <c r="D156" s="210" t="s">
        <v>101</v>
      </c>
      <c r="E156" s="211" t="s">
        <v>13287</v>
      </c>
      <c r="F156" s="212"/>
      <c r="G156" s="210" t="s">
        <v>13685</v>
      </c>
      <c r="H156" s="170"/>
      <c r="I156" s="170"/>
      <c r="J156" s="156" t="s">
        <v>6914</v>
      </c>
      <c r="K156" s="156"/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IFERROR(__xludf.DUMMYFUNCTION("ifna(VALUE(REGEXEXTRACT(E156,""[0-9.]+[,]+[0-9]+"")))"),52.0)</f>
        <v>52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1795187.0</v>
      </c>
      <c r="C157" s="14">
        <v>45974.878217592595</v>
      </c>
      <c r="D157" s="210" t="s">
        <v>101</v>
      </c>
      <c r="E157" s="211" t="s">
        <v>637</v>
      </c>
      <c r="F157" s="212"/>
      <c r="G157" s="210" t="s">
        <v>13308</v>
      </c>
      <c r="H157" s="170"/>
      <c r="I157" s="170"/>
      <c r="J157" s="156" t="s">
        <v>6914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IFERROR(__xludf.DUMMYFUNCTION("ifna(VALUE(REGEXEXTRACT(E157,""[0-9.]+[,]+[0-9]+"")))"),41.0)</f>
        <v>41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1795188.0</v>
      </c>
      <c r="C158" s="14">
        <v>45974.87846064815</v>
      </c>
      <c r="D158" s="210" t="s">
        <v>101</v>
      </c>
      <c r="E158" s="211" t="s">
        <v>526</v>
      </c>
      <c r="F158" s="212"/>
      <c r="G158" s="210" t="s">
        <v>13698</v>
      </c>
      <c r="H158" s="170"/>
      <c r="I158" s="170"/>
      <c r="J158" s="156" t="s">
        <v>6914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IFERROR(__xludf.DUMMYFUNCTION("ifna(VALUE(REGEXEXTRACT(E158,""[0-9.]+[,]+[0-9]+"")))"),21.0)</f>
        <v>21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1795549.0</v>
      </c>
      <c r="C159" s="14">
        <v>45974.9353125</v>
      </c>
      <c r="D159" s="210" t="s">
        <v>101</v>
      </c>
      <c r="E159" s="211" t="s">
        <v>1633</v>
      </c>
      <c r="F159" s="212"/>
      <c r="G159" s="210" t="s">
        <v>13701</v>
      </c>
      <c r="H159" s="170"/>
      <c r="I159" s="170"/>
      <c r="J159" s="156" t="s">
        <v>12658</v>
      </c>
      <c r="K159" s="156" t="s">
        <v>12693</v>
      </c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IFERROR(__xludf.DUMMYFUNCTION("ifna(VALUE(REGEXEXTRACT(E159,""[0-9.]+[,]+[0-9]+"")))"),8.0)</f>
        <v>8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1795565.0</v>
      </c>
      <c r="C160" s="14">
        <v>45974.93950231482</v>
      </c>
      <c r="D160" s="210" t="s">
        <v>101</v>
      </c>
      <c r="E160" s="211" t="s">
        <v>12773</v>
      </c>
      <c r="F160" s="214"/>
      <c r="G160" s="210" t="s">
        <v>13706</v>
      </c>
      <c r="H160" s="170"/>
      <c r="I160" s="170"/>
      <c r="J160" s="156" t="s">
        <v>12778</v>
      </c>
      <c r="K160" s="156" t="s">
        <v>12666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"),"Confirmada")</f>
        <v>Confirmada</v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IFERROR(__xludf.DUMMYFUNCTION("ifna(VALUE(REGEXEXTRACT(E160,""[0-9.]+[,]+[0-9]+"")))"),700.0)</f>
        <v>700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1796173.0</v>
      </c>
      <c r="C161" s="14">
        <v>45975.65280092593</v>
      </c>
      <c r="D161" s="210" t="s">
        <v>101</v>
      </c>
      <c r="E161" s="211" t="s">
        <v>231</v>
      </c>
      <c r="F161" s="212"/>
      <c r="G161" s="210" t="s">
        <v>13710</v>
      </c>
      <c r="H161" s="170"/>
      <c r="I161" s="170"/>
      <c r="J161" s="156" t="s">
        <v>12658</v>
      </c>
      <c r="K161" s="156" t="s">
        <v>199</v>
      </c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IFERROR(__xludf.DUMMYFUNCTION("ifna(VALUE(REGEXEXTRACT(E161,""[0-9.]+[,]+[0-9]+"")))"),10.0)</f>
        <v>10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1797481.0</v>
      </c>
      <c r="C162" s="14">
        <v>45975.95009259259</v>
      </c>
      <c r="D162" s="210" t="s">
        <v>101</v>
      </c>
      <c r="E162" s="211" t="s">
        <v>13712</v>
      </c>
      <c r="F162" s="212"/>
      <c r="G162" s="210" t="s">
        <v>13713</v>
      </c>
      <c r="H162" s="170"/>
      <c r="I162" s="170"/>
      <c r="J162" s="156" t="s">
        <v>6914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IFERROR(__xludf.DUMMYFUNCTION("ifna(VALUE(REGEXEXTRACT(E162,""[0-9.]+[,]+[0-9]+"")))"),235.0)</f>
        <v>235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1797512.0</v>
      </c>
      <c r="C163" s="14">
        <v>45975.95390046296</v>
      </c>
      <c r="D163" s="210" t="s">
        <v>101</v>
      </c>
      <c r="E163" s="211" t="s">
        <v>13714</v>
      </c>
      <c r="F163" s="212"/>
      <c r="G163" s="210" t="s">
        <v>13715</v>
      </c>
      <c r="H163" s="170"/>
      <c r="I163" s="170"/>
      <c r="J163" s="156" t="s">
        <v>12778</v>
      </c>
      <c r="K163" s="156" t="s">
        <v>12666</v>
      </c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"),"Confirmada")</f>
        <v>Confirmada</v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IFERROR(__xludf.DUMMYFUNCTION("ifna(VALUE(REGEXEXTRACT(E163,""[0-9.]+[,]+[0-9]+"")))"),1200.0)</f>
        <v>1200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1799339.0</v>
      </c>
      <c r="C164" s="14">
        <v>45976.88520833333</v>
      </c>
      <c r="D164" s="210" t="s">
        <v>101</v>
      </c>
      <c r="E164" s="211" t="s">
        <v>13719</v>
      </c>
      <c r="F164" s="212"/>
      <c r="G164" s="210" t="s">
        <v>13543</v>
      </c>
      <c r="H164" s="170"/>
      <c r="I164" s="170"/>
      <c r="J164" s="156" t="s">
        <v>6914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IFERROR(__xludf.DUMMYFUNCTION("ifna(VALUE(REGEXEXTRACT(E164,""[0-9.]+[,]+[0-9]+"")))"),275.0)</f>
        <v>275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1799350.0</v>
      </c>
      <c r="C165" s="14">
        <v>45976.88719907407</v>
      </c>
      <c r="D165" s="210" t="s">
        <v>101</v>
      </c>
      <c r="E165" s="211" t="s">
        <v>526</v>
      </c>
      <c r="F165" s="212"/>
      <c r="G165" s="210" t="s">
        <v>13722</v>
      </c>
      <c r="H165" s="170"/>
      <c r="I165" s="170"/>
      <c r="J165" s="156" t="s">
        <v>6914</v>
      </c>
      <c r="K165" s="156"/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IFERROR(__xludf.DUMMYFUNCTION("ifna(VALUE(REGEXEXTRACT(E165,""[0-9.]+[,]+[0-9]+"")))"),21.0)</f>
        <v>21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1799381.0</v>
      </c>
      <c r="C166" s="14">
        <v>45976.89306712963</v>
      </c>
      <c r="D166" s="210" t="s">
        <v>101</v>
      </c>
      <c r="E166" s="211" t="s">
        <v>786</v>
      </c>
      <c r="F166" s="212"/>
      <c r="G166" s="210" t="s">
        <v>13398</v>
      </c>
      <c r="H166" s="170"/>
      <c r="I166" s="170"/>
      <c r="J166" s="156" t="s">
        <v>10036</v>
      </c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IFERROR(__xludf.DUMMYFUNCTION("ifna(VALUE(REGEXEXTRACT(E166,""[0-9.]+[,]+[0-9]+"")))"),130.0)</f>
        <v>130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1799382.0</v>
      </c>
      <c r="C167" s="14">
        <v>45976.89332175926</v>
      </c>
      <c r="D167" s="210" t="s">
        <v>101</v>
      </c>
      <c r="E167" s="211" t="s">
        <v>13726</v>
      </c>
      <c r="F167" s="212"/>
      <c r="G167" s="210" t="s">
        <v>12998</v>
      </c>
      <c r="H167" s="170"/>
      <c r="I167" s="170"/>
      <c r="J167" s="156" t="s">
        <v>10036</v>
      </c>
      <c r="K167" s="156"/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IFERROR(__xludf.DUMMYFUNCTION("ifna(VALUE(REGEXEXTRACT(E167,""[0-9.]+[,]+[0-9]+"")))"),124.0)</f>
        <v>124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1799384.0</v>
      </c>
      <c r="C168" s="14">
        <v>45976.893599537034</v>
      </c>
      <c r="D168" s="210" t="s">
        <v>101</v>
      </c>
      <c r="E168" s="211" t="s">
        <v>786</v>
      </c>
      <c r="F168" s="212"/>
      <c r="G168" s="210" t="s">
        <v>13728</v>
      </c>
      <c r="H168" s="170"/>
      <c r="I168" s="170"/>
      <c r="J168" s="156" t="s">
        <v>10036</v>
      </c>
      <c r="K168" s="156"/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IFERROR(__xludf.DUMMYFUNCTION("ifna(VALUE(REGEXEXTRACT(E168,""[0-9.]+[,]+[0-9]+"")))"),130.0)</f>
        <v>130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1799387.0</v>
      </c>
      <c r="C169" s="14">
        <v>45976.89414351852</v>
      </c>
      <c r="D169" s="210" t="s">
        <v>101</v>
      </c>
      <c r="E169" s="211" t="s">
        <v>786</v>
      </c>
      <c r="F169" s="212"/>
      <c r="G169" s="210" t="s">
        <v>13732</v>
      </c>
      <c r="H169" s="170"/>
      <c r="I169" s="170"/>
      <c r="J169" s="156" t="s">
        <v>10036</v>
      </c>
      <c r="K169" s="156"/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IFERROR(__xludf.DUMMYFUNCTION("ifna(VALUE(REGEXEXTRACT(E169,""[0-9.]+[,]+[0-9]+"")))"),130.0)</f>
        <v>130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1799606.0</v>
      </c>
      <c r="C170" s="14">
        <v>45976.92070601852</v>
      </c>
      <c r="D170" s="210" t="s">
        <v>101</v>
      </c>
      <c r="E170" s="211" t="s">
        <v>12773</v>
      </c>
      <c r="F170" s="214"/>
      <c r="G170" s="210" t="s">
        <v>13733</v>
      </c>
      <c r="H170" s="170"/>
      <c r="I170" s="170"/>
      <c r="J170" s="156" t="s">
        <v>12778</v>
      </c>
      <c r="K170" s="156" t="s">
        <v>12666</v>
      </c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"),"Confirmada")</f>
        <v>Confirmada</v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IFERROR(__xludf.DUMMYFUNCTION("ifna(VALUE(REGEXEXTRACT(E170,""[0-9.]+[,]+[0-9]+"")))"),700.0)</f>
        <v>700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1802005.0</v>
      </c>
      <c r="C171" s="14">
        <v>45977.90112268519</v>
      </c>
      <c r="D171" s="210" t="s">
        <v>101</v>
      </c>
      <c r="E171" s="211" t="s">
        <v>786</v>
      </c>
      <c r="F171" s="212"/>
      <c r="G171" s="210" t="s">
        <v>13736</v>
      </c>
      <c r="H171" s="170"/>
      <c r="I171" s="170"/>
      <c r="J171" s="156" t="s">
        <v>10036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IFERROR(__xludf.DUMMYFUNCTION("ifna(VALUE(REGEXEXTRACT(E171,""[0-9.]+[,]+[0-9]+"")))"),130.0)</f>
        <v>130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1802006.0</v>
      </c>
      <c r="C172" s="14">
        <v>45977.90142361111</v>
      </c>
      <c r="D172" s="210" t="s">
        <v>101</v>
      </c>
      <c r="E172" s="211" t="s">
        <v>786</v>
      </c>
      <c r="F172" s="212"/>
      <c r="G172" s="210" t="s">
        <v>13737</v>
      </c>
      <c r="H172" s="170"/>
      <c r="I172" s="170"/>
      <c r="J172" s="156" t="s">
        <v>10036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IFERROR(__xludf.DUMMYFUNCTION("ifna(VALUE(REGEXEXTRACT(E172,""[0-9.]+[,]+[0-9]+"")))"),130.0)</f>
        <v>130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1802010.0</v>
      </c>
      <c r="C173" s="14">
        <v>45977.90174768519</v>
      </c>
      <c r="D173" s="210" t="s">
        <v>101</v>
      </c>
      <c r="E173" s="211" t="s">
        <v>786</v>
      </c>
      <c r="F173" s="212"/>
      <c r="G173" s="210" t="s">
        <v>13738</v>
      </c>
      <c r="H173" s="170"/>
      <c r="I173" s="170"/>
      <c r="J173" s="156" t="s">
        <v>10036</v>
      </c>
      <c r="K173" s="156"/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IFERROR(__xludf.DUMMYFUNCTION("ifna(VALUE(REGEXEXTRACT(E173,""[0-9.]+[,]+[0-9]+"")))"),130.0)</f>
        <v>130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1802014.0</v>
      </c>
      <c r="C174" s="14">
        <v>45977.90200231481</v>
      </c>
      <c r="D174" s="210" t="s">
        <v>101</v>
      </c>
      <c r="E174" s="211" t="s">
        <v>13209</v>
      </c>
      <c r="F174" s="212"/>
      <c r="G174" s="210" t="s">
        <v>13743</v>
      </c>
      <c r="H174" s="170"/>
      <c r="I174" s="170"/>
      <c r="J174" s="156" t="s">
        <v>10036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IFERROR(__xludf.DUMMYFUNCTION("ifna(VALUE(REGEXEXTRACT(E174,""[0-9.]+[,]+[0-9]+"")))"),117.0)</f>
        <v>117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1802101.0</v>
      </c>
      <c r="C175" s="14">
        <v>45977.91123842593</v>
      </c>
      <c r="D175" s="210" t="s">
        <v>101</v>
      </c>
      <c r="E175" s="211" t="s">
        <v>13745</v>
      </c>
      <c r="F175" s="212"/>
      <c r="G175" s="210" t="s">
        <v>13746</v>
      </c>
      <c r="H175" s="170"/>
      <c r="I175" s="170"/>
      <c r="J175" s="156" t="s">
        <v>6914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IFERROR(__xludf.DUMMYFUNCTION("ifna(VALUE(REGEXEXTRACT(E175,""[0-9.]+[,]+[0-9]+"")))"),326.0)</f>
        <v>326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1802336.0</v>
      </c>
      <c r="C176" s="14">
        <v>45977.92706018518</v>
      </c>
      <c r="D176" s="210" t="s">
        <v>101</v>
      </c>
      <c r="E176" s="211" t="s">
        <v>13748</v>
      </c>
      <c r="F176" s="214"/>
      <c r="G176" s="210" t="s">
        <v>13749</v>
      </c>
      <c r="H176" s="170"/>
      <c r="I176" s="170"/>
      <c r="J176" s="156" t="s">
        <v>12778</v>
      </c>
      <c r="K176" s="156" t="s">
        <v>199</v>
      </c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"),"Confirmada")</f>
        <v>Confirmada</v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IFERROR(__xludf.DUMMYFUNCTION("ifna(VALUE(REGEXEXTRACT(E176,""[0-9.]+[,]+[0-9]+"")))"),1650.0)</f>
        <v>1650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1803103.0</v>
      </c>
      <c r="C177" s="14">
        <v>45978.57032407408</v>
      </c>
      <c r="D177" s="210" t="s">
        <v>139</v>
      </c>
      <c r="E177" s="211" t="s">
        <v>364</v>
      </c>
      <c r="F177" s="212"/>
      <c r="G177" s="210" t="s">
        <v>13352</v>
      </c>
      <c r="H177" s="170"/>
      <c r="I177" s="170"/>
      <c r="J177" s="156" t="s">
        <v>12778</v>
      </c>
      <c r="K177" s="156" t="s">
        <v>12666</v>
      </c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IFERROR(__xludf.DUMMYFUNCTION("ifna(VALUE(REGEXEXTRACT(E177,""[0-9.]+[,]+[0-9]+"")))"),600.0)</f>
        <v>600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1803590.0</v>
      </c>
      <c r="C178" s="14">
        <v>45978.73405092592</v>
      </c>
      <c r="D178" s="210" t="s">
        <v>101</v>
      </c>
      <c r="E178" s="211" t="s">
        <v>210</v>
      </c>
      <c r="F178" s="212"/>
      <c r="G178" s="210" t="s">
        <v>13754</v>
      </c>
      <c r="H178" s="170"/>
      <c r="I178" s="170"/>
      <c r="J178" s="156" t="s">
        <v>12818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"""")"),"Encontrada")</f>
        <v>Encontrada</v>
      </c>
      <c r="N178" s="159">
        <f>IFERROR(__xludf.DUMMYFUNCTION("ifna(VALUE(REGEXEXTRACT(E178,""[0-9.]+[,]+[0-9]+"")))"),40.0)</f>
        <v>40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1803622.0</v>
      </c>
      <c r="C179" s="14">
        <v>45978.741747685184</v>
      </c>
      <c r="D179" s="210" t="s">
        <v>101</v>
      </c>
      <c r="E179" s="211" t="s">
        <v>13757</v>
      </c>
      <c r="F179" s="212"/>
      <c r="G179" s="210" t="s">
        <v>13758</v>
      </c>
      <c r="H179" s="170"/>
      <c r="I179" s="170"/>
      <c r="J179" s="156" t="s">
        <v>12818</v>
      </c>
      <c r="K179" s="156"/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159">
        <f>IFERROR(__xludf.DUMMYFUNCTION("ifna(VALUE(REGEXEXTRACT(E179,""[0-9.]+[,]+[0-9]+"")))"),222.02)</f>
        <v>222.02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1803652.0</v>
      </c>
      <c r="C180" s="14">
        <v>45978.74932870371</v>
      </c>
      <c r="D180" s="210" t="s">
        <v>101</v>
      </c>
      <c r="E180" s="211" t="s">
        <v>13762</v>
      </c>
      <c r="F180" s="212"/>
      <c r="G180" s="210" t="s">
        <v>13764</v>
      </c>
      <c r="H180" s="170"/>
      <c r="I180" s="170"/>
      <c r="J180" s="156" t="s">
        <v>12818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59">
        <f>IFERROR(__xludf.DUMMYFUNCTION("ifna(VALUE(REGEXEXTRACT(E180,""[0-9.]+[,]+[0-9]+"")))"),143.9)</f>
        <v>143.9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1804003.0</v>
      </c>
      <c r="C181" s="14">
        <v>45978.882060185184</v>
      </c>
      <c r="D181" s="210" t="s">
        <v>101</v>
      </c>
      <c r="E181" s="211" t="s">
        <v>599</v>
      </c>
      <c r="F181" s="212"/>
      <c r="G181" s="210" t="s">
        <v>13769</v>
      </c>
      <c r="H181" s="170"/>
      <c r="I181" s="170"/>
      <c r="J181" s="156" t="s">
        <v>6914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IFERROR(__xludf.DUMMYFUNCTION("ifna(VALUE(REGEXEXTRACT(E181,""[0-9.]+[,]+[0-9]+"")))"),11.0)</f>
        <v>11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1804006.0</v>
      </c>
      <c r="C182" s="14">
        <v>45978.882372685184</v>
      </c>
      <c r="D182" s="210" t="s">
        <v>101</v>
      </c>
      <c r="E182" s="211" t="s">
        <v>637</v>
      </c>
      <c r="F182" s="212"/>
      <c r="G182" s="210" t="s">
        <v>13773</v>
      </c>
      <c r="H182" s="170"/>
      <c r="I182" s="170"/>
      <c r="J182" s="156" t="s">
        <v>6914</v>
      </c>
      <c r="K182" s="156"/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IFERROR(__xludf.DUMMYFUNCTION("ifna(VALUE(REGEXEXTRACT(E182,""[0-9.]+[,]+[0-9]+"")))"),41.0)</f>
        <v>41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1804313.0</v>
      </c>
      <c r="C183" s="14">
        <v>45978.93203703704</v>
      </c>
      <c r="D183" s="210" t="s">
        <v>101</v>
      </c>
      <c r="E183" s="211" t="s">
        <v>256</v>
      </c>
      <c r="F183" s="214"/>
      <c r="G183" s="210" t="s">
        <v>13776</v>
      </c>
      <c r="H183" s="170"/>
      <c r="I183" s="170"/>
      <c r="J183" s="156" t="s">
        <v>12778</v>
      </c>
      <c r="K183" s="156" t="s">
        <v>12666</v>
      </c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"),"Confirmada")</f>
        <v>Confirmada</v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IFERROR(__xludf.DUMMYFUNCTION("ifna(VALUE(REGEXEXTRACT(E183,""[0-9.]+[,]+[0-9]+"")))"),300.0)</f>
        <v>300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1805537.0</v>
      </c>
      <c r="C184" s="14">
        <v>45979.902719907404</v>
      </c>
      <c r="D184" s="210" t="s">
        <v>101</v>
      </c>
      <c r="E184" s="211" t="s">
        <v>799</v>
      </c>
      <c r="F184" s="212"/>
      <c r="G184" s="210" t="s">
        <v>12891</v>
      </c>
      <c r="H184" s="170"/>
      <c r="I184" s="170"/>
      <c r="J184" s="156" t="s">
        <v>6914</v>
      </c>
      <c r="K184" s="156"/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IFERROR(__xludf.DUMMYFUNCTION("ifna(VALUE(REGEXEXTRACT(E184,""[0-9.]+[,]+[0-9]+"")))"),75.0)</f>
        <v>75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1805539.0</v>
      </c>
      <c r="C185" s="14">
        <v>45979.903032407405</v>
      </c>
      <c r="D185" s="210" t="s">
        <v>101</v>
      </c>
      <c r="E185" s="211" t="s">
        <v>13138</v>
      </c>
      <c r="F185" s="212"/>
      <c r="G185" s="210" t="s">
        <v>13781</v>
      </c>
      <c r="H185" s="170"/>
      <c r="I185" s="170"/>
      <c r="J185" s="156"/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IFERROR(__xludf.DUMMYFUNCTION("ifna(VALUE(REGEXEXTRACT(E185,""[0-9.]+[,]+[0-9]+"")))"),0.01)</f>
        <v>0.01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1805747.0</v>
      </c>
      <c r="C186" s="14">
        <v>45979.933275462965</v>
      </c>
      <c r="D186" s="210" t="s">
        <v>101</v>
      </c>
      <c r="E186" s="211" t="s">
        <v>237</v>
      </c>
      <c r="F186" s="214"/>
      <c r="G186" s="210" t="s">
        <v>13786</v>
      </c>
      <c r="H186" s="170"/>
      <c r="I186" s="170"/>
      <c r="J186" s="156" t="s">
        <v>12778</v>
      </c>
      <c r="K186" s="156" t="s">
        <v>12666</v>
      </c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"),"Caixa Atendimento")</f>
        <v>Caixa Atendimento</v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IFERROR(__xludf.DUMMYFUNCTION("ifna(VALUE(REGEXEXTRACT(E186,""[0-9.]+[,]+[0-9]+"")))"),100.0)</f>
        <v>100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1806283.0</v>
      </c>
      <c r="C187" s="14">
        <v>45980.61960648148</v>
      </c>
      <c r="D187" s="210" t="s">
        <v>101</v>
      </c>
      <c r="E187" s="211" t="s">
        <v>246</v>
      </c>
      <c r="F187" s="212"/>
      <c r="G187" s="210" t="s">
        <v>13790</v>
      </c>
      <c r="H187" s="170"/>
      <c r="I187" s="170"/>
      <c r="J187" s="156" t="s">
        <v>13513</v>
      </c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IFERROR(__xludf.DUMMYFUNCTION("ifna(VALUE(REGEXEXTRACT(E187,""[0-9.]+[,]+[0-9]+"")))"),30.0)</f>
        <v>30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1806529.0</v>
      </c>
      <c r="C188" s="14">
        <v>45980.685324074075</v>
      </c>
      <c r="D188" s="210" t="s">
        <v>139</v>
      </c>
      <c r="E188" s="211" t="s">
        <v>2367</v>
      </c>
      <c r="F188" s="212"/>
      <c r="G188" s="210" t="s">
        <v>12927</v>
      </c>
      <c r="H188" s="170"/>
      <c r="I188" s="170"/>
      <c r="J188" s="156" t="s">
        <v>12952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IFERROR(__xludf.DUMMYFUNCTION("ifna(VALUE(REGEXEXTRACT(E188,""[0-9.]+[,]+[0-9]+"")))"),106.0)</f>
        <v>106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1806646.0</v>
      </c>
      <c r="C189" s="14">
        <v>45980.70681712963</v>
      </c>
      <c r="D189" s="210" t="s">
        <v>101</v>
      </c>
      <c r="E189" s="211" t="s">
        <v>13138</v>
      </c>
      <c r="F189" s="212"/>
      <c r="G189" s="210" t="s">
        <v>13798</v>
      </c>
      <c r="H189" s="170"/>
      <c r="I189" s="170"/>
      <c r="J189" s="156"/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IFERROR(__xludf.DUMMYFUNCTION("ifna(VALUE(REGEXEXTRACT(E189,""[0-9.]+[,]+[0-9]+"")))"),0.01)</f>
        <v>0.01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1807245.0</v>
      </c>
      <c r="C190" s="14">
        <v>45980.868576388886</v>
      </c>
      <c r="D190" s="210" t="s">
        <v>101</v>
      </c>
      <c r="E190" s="211" t="s">
        <v>179</v>
      </c>
      <c r="F190" s="212"/>
      <c r="G190" s="210" t="s">
        <v>13802</v>
      </c>
      <c r="H190" s="170"/>
      <c r="I190" s="170"/>
      <c r="J190" s="156" t="s">
        <v>6914</v>
      </c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IFERROR(__xludf.DUMMYFUNCTION("ifna(VALUE(REGEXEXTRACT(E190,""[0-9.]+[,]+[0-9]+"")))"),20.0)</f>
        <v>20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1807248.0</v>
      </c>
      <c r="C191" s="14">
        <v>45980.86883101852</v>
      </c>
      <c r="D191" s="210" t="s">
        <v>101</v>
      </c>
      <c r="E191" s="211" t="s">
        <v>2014</v>
      </c>
      <c r="F191" s="212"/>
      <c r="G191" s="210" t="s">
        <v>13807</v>
      </c>
      <c r="H191" s="170"/>
      <c r="I191" s="170"/>
      <c r="J191" s="156" t="s">
        <v>6914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IFERROR(__xludf.DUMMYFUNCTION("ifna(VALUE(REGEXEXTRACT(E191,""[0-9.]+[,]+[0-9]+"")))"),80.0)</f>
        <v>80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1807249.0</v>
      </c>
      <c r="C192" s="14">
        <v>45980.86902777778</v>
      </c>
      <c r="D192" s="210" t="s">
        <v>101</v>
      </c>
      <c r="E192" s="211" t="s">
        <v>237</v>
      </c>
      <c r="F192" s="212"/>
      <c r="G192" s="210" t="s">
        <v>13814</v>
      </c>
      <c r="H192" s="170"/>
      <c r="I192" s="170"/>
      <c r="J192" s="156" t="s">
        <v>10036</v>
      </c>
      <c r="K192" s="156"/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IFERROR(__xludf.DUMMYFUNCTION("ifna(VALUE(REGEXEXTRACT(E192,""[0-9.]+[,]+[0-9]+"")))"),100.0)</f>
        <v>100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1807662.0</v>
      </c>
      <c r="C193" s="14">
        <v>45980.939247685186</v>
      </c>
      <c r="D193" s="210" t="s">
        <v>101</v>
      </c>
      <c r="E193" s="211" t="s">
        <v>405</v>
      </c>
      <c r="F193" s="212"/>
      <c r="G193" s="210" t="s">
        <v>13818</v>
      </c>
      <c r="H193" s="170"/>
      <c r="I193" s="170"/>
      <c r="J193" s="156" t="s">
        <v>12778</v>
      </c>
      <c r="K193" s="156" t="s">
        <v>12666</v>
      </c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"),"Caixa Atendimento")</f>
        <v>Caixa Atendimento</v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IFERROR(__xludf.DUMMYFUNCTION("ifna(VALUE(REGEXEXTRACT(E193,""[0-9.]+[,]+[0-9]+"")))"),650.0)</f>
        <v>650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1809161.0</v>
      </c>
      <c r="C194" s="14">
        <v>45981.80578703704</v>
      </c>
      <c r="D194" s="210" t="s">
        <v>101</v>
      </c>
      <c r="E194" s="211" t="s">
        <v>2257</v>
      </c>
      <c r="F194" s="212"/>
      <c r="G194" s="210" t="s">
        <v>13821</v>
      </c>
      <c r="H194" s="170"/>
      <c r="I194" s="170"/>
      <c r="J194" s="156" t="s">
        <v>6914</v>
      </c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IFERROR(__xludf.DUMMYFUNCTION("ifna(VALUE(REGEXEXTRACT(E194,""[0-9.]+[,]+[0-9]+"")))"),273.0)</f>
        <v>273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1809165.0</v>
      </c>
      <c r="C195" s="14">
        <v>45981.80688657407</v>
      </c>
      <c r="D195" s="210" t="s">
        <v>101</v>
      </c>
      <c r="E195" s="211" t="s">
        <v>786</v>
      </c>
      <c r="F195" s="212"/>
      <c r="G195" s="210" t="s">
        <v>13736</v>
      </c>
      <c r="H195" s="170"/>
      <c r="I195" s="170"/>
      <c r="J195" s="156" t="s">
        <v>10036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IFERROR(__xludf.DUMMYFUNCTION("ifna(VALUE(REGEXEXTRACT(E195,""[0-9.]+[,]+[0-9]+"")))"),130.0)</f>
        <v>130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1809166.0</v>
      </c>
      <c r="C196" s="14">
        <v>45981.80712962963</v>
      </c>
      <c r="D196" s="210" t="s">
        <v>101</v>
      </c>
      <c r="E196" s="211" t="s">
        <v>13316</v>
      </c>
      <c r="F196" s="214"/>
      <c r="G196" s="210" t="s">
        <v>13828</v>
      </c>
      <c r="H196" s="170"/>
      <c r="I196" s="170"/>
      <c r="J196" s="156" t="s">
        <v>10036</v>
      </c>
      <c r="K196" s="156"/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IFERROR(__xludf.DUMMYFUNCTION("ifna(VALUE(REGEXEXTRACT(E196,""[0-9.]+[,]+[0-9]+"")))"),104.0)</f>
        <v>104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1809439.0</v>
      </c>
      <c r="C197" s="14">
        <v>45981.85953703704</v>
      </c>
      <c r="D197" s="210" t="s">
        <v>101</v>
      </c>
      <c r="E197" s="211" t="s">
        <v>13829</v>
      </c>
      <c r="F197" s="212"/>
      <c r="G197" s="210" t="s">
        <v>13830</v>
      </c>
      <c r="H197" s="170"/>
      <c r="I197" s="170"/>
      <c r="J197" s="156" t="s">
        <v>12720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IFERROR(__xludf.DUMMYFUNCTION("ifna(VALUE(REGEXEXTRACT(E197,""[0-9.]+[,]+[0-9]+"")))"),55.1)</f>
        <v>55.1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1809538.0</v>
      </c>
      <c r="C198" s="14">
        <v>45981.87878472222</v>
      </c>
      <c r="D198" s="210" t="s">
        <v>101</v>
      </c>
      <c r="E198" s="211" t="s">
        <v>13834</v>
      </c>
      <c r="F198" s="212"/>
      <c r="G198" s="210" t="s">
        <v>13835</v>
      </c>
      <c r="H198" s="170"/>
      <c r="I198" s="170"/>
      <c r="J198" s="156" t="s">
        <v>12658</v>
      </c>
      <c r="K198" s="156" t="s">
        <v>199</v>
      </c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IFERROR(__xludf.DUMMYFUNCTION("ifna(VALUE(REGEXEXTRACT(E198,""[0-9.]+[,]+[0-9]+"")))"),21.3)</f>
        <v>21.3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1809767.0</v>
      </c>
      <c r="C199" s="14">
        <v>45981.90924768519</v>
      </c>
      <c r="D199" s="210" t="s">
        <v>101</v>
      </c>
      <c r="E199" s="211" t="s">
        <v>165</v>
      </c>
      <c r="F199" s="212"/>
      <c r="G199" s="210" t="s">
        <v>13839</v>
      </c>
      <c r="H199" s="170"/>
      <c r="I199" s="170"/>
      <c r="J199" s="156" t="s">
        <v>6914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IFERROR(__xludf.DUMMYFUNCTION("ifna(VALUE(REGEXEXTRACT(E199,""[0-9.]+[,]+[0-9]+"")))"),58.0)</f>
        <v>58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1809939.0</v>
      </c>
      <c r="C200" s="14">
        <v>45981.92222222222</v>
      </c>
      <c r="D200" s="210" t="s">
        <v>101</v>
      </c>
      <c r="E200" s="211" t="s">
        <v>13846</v>
      </c>
      <c r="F200" s="212"/>
      <c r="G200" s="210" t="s">
        <v>13847</v>
      </c>
      <c r="H200" s="170"/>
      <c r="I200" s="170"/>
      <c r="J200" s="156" t="s">
        <v>12778</v>
      </c>
      <c r="K200" s="156" t="s">
        <v>199</v>
      </c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"),"Caixa Sangria")</f>
        <v>Caixa Sangria</v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>
        <f>IFERROR(__xludf.DUMMYFUNCTION("ifna(VALUE(REGEXEXTRACT(E200,""[0-9.]+[,]+[0-9]+"")))"),2000.0)</f>
        <v>2000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1811005.0</v>
      </c>
      <c r="C201" s="14">
        <v>45982.64989583333</v>
      </c>
      <c r="D201" s="210" t="s">
        <v>101</v>
      </c>
      <c r="E201" s="211" t="s">
        <v>13849</v>
      </c>
      <c r="F201" s="212"/>
      <c r="G201" s="210" t="s">
        <v>3109</v>
      </c>
      <c r="H201" s="170"/>
      <c r="I201" s="170"/>
      <c r="J201" s="156" t="s">
        <v>12818</v>
      </c>
      <c r="K201" s="156"/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59">
        <f>IFERROR(__xludf.DUMMYFUNCTION("ifna(VALUE(REGEXEXTRACT(E201,""[0-9.]+[,]+[0-9]+"")))"),27.8)</f>
        <v>27.8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1811016.0</v>
      </c>
      <c r="C202" s="14">
        <v>45982.65168981482</v>
      </c>
      <c r="D202" s="210" t="s">
        <v>139</v>
      </c>
      <c r="E202" s="211" t="s">
        <v>237</v>
      </c>
      <c r="F202" s="212"/>
      <c r="G202" s="210" t="s">
        <v>13850</v>
      </c>
      <c r="H202" s="170"/>
      <c r="I202" s="170"/>
      <c r="J202" s="156" t="s">
        <v>12778</v>
      </c>
      <c r="K202" s="156" t="s">
        <v>12666</v>
      </c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IFERROR(__xludf.DUMMYFUNCTION("ifna(VALUE(REGEXEXTRACT(E202,""[0-9.]+[,]+[0-9]+"")))"),100.0)</f>
        <v>100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1811309.0</v>
      </c>
      <c r="C203" s="14">
        <v>45982.711388888885</v>
      </c>
      <c r="D203" s="210" t="s">
        <v>101</v>
      </c>
      <c r="E203" s="211" t="s">
        <v>13853</v>
      </c>
      <c r="F203" s="212"/>
      <c r="G203" s="210" t="s">
        <v>13583</v>
      </c>
      <c r="H203" s="170"/>
      <c r="I203" s="170"/>
      <c r="J203" s="156" t="s">
        <v>12818</v>
      </c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"""")"),"Encontrada")</f>
        <v>Encontrada</v>
      </c>
      <c r="N203" s="159">
        <f>IFERROR(__xludf.DUMMYFUNCTION("ifna(VALUE(REGEXEXTRACT(E203,""[0-9.]+[,]+[0-9]+"")))"),527.3)</f>
        <v>527.3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>
        <v>1811313.0</v>
      </c>
      <c r="C204" s="14">
        <v>45982.71195601852</v>
      </c>
      <c r="D204" s="210" t="s">
        <v>139</v>
      </c>
      <c r="E204" s="211" t="s">
        <v>405</v>
      </c>
      <c r="F204" s="212"/>
      <c r="G204" s="210" t="s">
        <v>13855</v>
      </c>
      <c r="H204" s="170"/>
      <c r="I204" s="170"/>
      <c r="J204" s="156" t="s">
        <v>12778</v>
      </c>
      <c r="K204" s="156" t="s">
        <v>12666</v>
      </c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>
        <f>IFERROR(__xludf.DUMMYFUNCTION("ifna(VALUE(REGEXEXTRACT(E204,""[0-9.]+[,]+[0-9]+"")))"),650.0)</f>
        <v>650</v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>
        <v>1811507.0</v>
      </c>
      <c r="C205" s="14">
        <v>45982.73708333333</v>
      </c>
      <c r="D205" s="210" t="s">
        <v>101</v>
      </c>
      <c r="E205" s="211" t="s">
        <v>473</v>
      </c>
      <c r="F205" s="212"/>
      <c r="G205" s="210" t="s">
        <v>13593</v>
      </c>
      <c r="H205" s="170"/>
      <c r="I205" s="170"/>
      <c r="J205" s="156" t="s">
        <v>12818</v>
      </c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159">
        <f>IFERROR(__xludf.DUMMYFUNCTION("ifna(VALUE(REGEXEXTRACT(E205,""[0-9.]+[,]+[0-9]+"")))"),15.0)</f>
        <v>15</v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>
        <v>1811737.0</v>
      </c>
      <c r="C206" s="14">
        <v>45982.78173611111</v>
      </c>
      <c r="D206" s="210" t="s">
        <v>101</v>
      </c>
      <c r="E206" s="211" t="s">
        <v>13333</v>
      </c>
      <c r="F206" s="214"/>
      <c r="G206" s="210" t="s">
        <v>13859</v>
      </c>
      <c r="H206" s="170"/>
      <c r="I206" s="170"/>
      <c r="J206" s="156" t="s">
        <v>12818</v>
      </c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159">
        <f>IFERROR(__xludf.DUMMYFUNCTION("ifna(VALUE(REGEXEXTRACT(E206,""[0-9.]+[,]+[0-9]+"")))"),110.0)</f>
        <v>110</v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>
        <v>1811748.0</v>
      </c>
      <c r="C207" s="14">
        <v>45982.784467592595</v>
      </c>
      <c r="D207" s="210" t="s">
        <v>101</v>
      </c>
      <c r="E207" s="211" t="s">
        <v>1488</v>
      </c>
      <c r="F207" s="212"/>
      <c r="G207" s="210" t="s">
        <v>13210</v>
      </c>
      <c r="H207" s="170"/>
      <c r="I207" s="170"/>
      <c r="J207" s="156" t="s">
        <v>10036</v>
      </c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>
        <f>IFERROR(__xludf.DUMMYFUNCTION("ifna(VALUE(REGEXEXTRACT(E207,""[0-9.]+[,]+[0-9]+"")))"),90.0)</f>
        <v>90</v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>
        <v>1811776.0</v>
      </c>
      <c r="C208" s="14">
        <v>45982.79075231482</v>
      </c>
      <c r="D208" s="210" t="s">
        <v>101</v>
      </c>
      <c r="E208" s="211" t="s">
        <v>1193</v>
      </c>
      <c r="F208" s="212"/>
      <c r="G208" s="210" t="s">
        <v>13174</v>
      </c>
      <c r="H208" s="170"/>
      <c r="I208" s="170"/>
      <c r="J208" s="156" t="s">
        <v>6914</v>
      </c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>
        <f>IFERROR(__xludf.DUMMYFUNCTION("ifna(VALUE(REGEXEXTRACT(E208,""[0-9.]+[,]+[0-9]+"")))"),101.0)</f>
        <v>101</v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>
        <v>1812197.0</v>
      </c>
      <c r="C209" s="14">
        <v>45982.892175925925</v>
      </c>
      <c r="D209" s="210" t="s">
        <v>101</v>
      </c>
      <c r="E209" s="211" t="s">
        <v>428</v>
      </c>
      <c r="F209" s="212"/>
      <c r="G209" s="210" t="s">
        <v>13868</v>
      </c>
      <c r="H209" s="170"/>
      <c r="I209" s="170"/>
      <c r="J209" s="156" t="s">
        <v>6914</v>
      </c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>
        <f>IFERROR(__xludf.DUMMYFUNCTION("ifna(VALUE(REGEXEXTRACT(E209,""[0-9.]+[,]+[0-9]+"")))"),35.0)</f>
        <v>35</v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>
        <v>1812347.0</v>
      </c>
      <c r="C210" s="14">
        <v>45982.913125</v>
      </c>
      <c r="D210" s="210" t="s">
        <v>101</v>
      </c>
      <c r="E210" s="211" t="s">
        <v>1462</v>
      </c>
      <c r="F210" s="212"/>
      <c r="G210" s="210" t="s">
        <v>13871</v>
      </c>
      <c r="H210" s="170"/>
      <c r="I210" s="170"/>
      <c r="J210" s="156" t="s">
        <v>12658</v>
      </c>
      <c r="K210" s="156" t="s">
        <v>12693</v>
      </c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>
        <f>IFERROR(__xludf.DUMMYFUNCTION("ifna(VALUE(REGEXEXTRACT(E210,""[0-9.]+[,]+[0-9]+"")))"),49.0)</f>
        <v>49</v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>
        <v>1812461.0</v>
      </c>
      <c r="C211" s="14">
        <v>45982.923530092594</v>
      </c>
      <c r="D211" s="210" t="s">
        <v>101</v>
      </c>
      <c r="E211" s="211" t="s">
        <v>2116</v>
      </c>
      <c r="F211" s="212"/>
      <c r="G211" s="210" t="s">
        <v>13874</v>
      </c>
      <c r="H211" s="170"/>
      <c r="I211" s="170"/>
      <c r="J211" s="156" t="s">
        <v>12778</v>
      </c>
      <c r="K211" s="156" t="s">
        <v>12666</v>
      </c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"),"Confirmada")</f>
        <v>Confirmada</v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>
        <f>IFERROR(__xludf.DUMMYFUNCTION("ifna(VALUE(REGEXEXTRACT(E211,""[0-9.]+[,]+[0-9]+"")))"),1250.0)</f>
        <v>1250</v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>
        <v>1814373.0</v>
      </c>
      <c r="C212" s="14">
        <v>45983.83138888889</v>
      </c>
      <c r="D212" s="210" t="s">
        <v>101</v>
      </c>
      <c r="E212" s="211" t="s">
        <v>937</v>
      </c>
      <c r="F212" s="212"/>
      <c r="G212" s="210" t="s">
        <v>13875</v>
      </c>
      <c r="H212" s="170"/>
      <c r="I212" s="170"/>
      <c r="J212" s="156" t="s">
        <v>6914</v>
      </c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>
        <f>IFERROR(__xludf.DUMMYFUNCTION("ifna(VALUE(REGEXEXTRACT(E212,""[0-9.]+[,]+[0-9]+"")))"),105.0)</f>
        <v>105</v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>
        <v>1814634.0</v>
      </c>
      <c r="C213" s="14">
        <v>45983.88195601852</v>
      </c>
      <c r="D213" s="210" t="s">
        <v>101</v>
      </c>
      <c r="E213" s="211" t="s">
        <v>428</v>
      </c>
      <c r="F213" s="212"/>
      <c r="G213" s="210" t="s">
        <v>13879</v>
      </c>
      <c r="H213" s="170"/>
      <c r="I213" s="170"/>
      <c r="J213" s="156" t="s">
        <v>6914</v>
      </c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>
        <f>IFERROR(__xludf.DUMMYFUNCTION("ifna(VALUE(REGEXEXTRACT(E213,""[0-9.]+[,]+[0-9]+"")))"),35.0)</f>
        <v>35</v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>
        <v>1814645.0</v>
      </c>
      <c r="C214" s="14">
        <v>45983.88460648148</v>
      </c>
      <c r="D214" s="210" t="s">
        <v>101</v>
      </c>
      <c r="E214" s="211" t="s">
        <v>786</v>
      </c>
      <c r="F214" s="212"/>
      <c r="G214" s="210" t="s">
        <v>13882</v>
      </c>
      <c r="H214" s="170"/>
      <c r="I214" s="170"/>
      <c r="J214" s="156" t="s">
        <v>10036</v>
      </c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>
        <f>IFERROR(__xludf.DUMMYFUNCTION("ifna(VALUE(REGEXEXTRACT(E214,""[0-9.]+[,]+[0-9]+"")))"),130.0)</f>
        <v>130</v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>
        <v>1814648.0</v>
      </c>
      <c r="C215" s="14">
        <v>45983.88486111111</v>
      </c>
      <c r="D215" s="210" t="s">
        <v>101</v>
      </c>
      <c r="E215" s="211" t="s">
        <v>786</v>
      </c>
      <c r="F215" s="212"/>
      <c r="G215" s="210" t="s">
        <v>13398</v>
      </c>
      <c r="H215" s="170"/>
      <c r="I215" s="170"/>
      <c r="J215" s="156" t="s">
        <v>10036</v>
      </c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>
        <f>IFERROR(__xludf.DUMMYFUNCTION("ifna(VALUE(REGEXEXTRACT(E215,""[0-9.]+[,]+[0-9]+"")))"),130.0)</f>
        <v>130</v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>
        <v>1814827.0</v>
      </c>
      <c r="C216" s="14">
        <v>45983.9112962963</v>
      </c>
      <c r="D216" s="210" t="s">
        <v>101</v>
      </c>
      <c r="E216" s="211" t="s">
        <v>501</v>
      </c>
      <c r="F216" s="214"/>
      <c r="G216" s="210" t="s">
        <v>13885</v>
      </c>
      <c r="H216" s="170"/>
      <c r="I216" s="170"/>
      <c r="J216" s="156" t="s">
        <v>12658</v>
      </c>
      <c r="K216" s="156" t="s">
        <v>12693</v>
      </c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>
        <f>IFERROR(__xludf.DUMMYFUNCTION("ifna(VALUE(REGEXEXTRACT(E216,""[0-9.]+[,]+[0-9]+"")))"),25.0)</f>
        <v>25</v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>
        <v>1814966.0</v>
      </c>
      <c r="C217" s="14">
        <v>45983.92217592592</v>
      </c>
      <c r="D217" s="210" t="s">
        <v>101</v>
      </c>
      <c r="E217" s="211" t="s">
        <v>1496</v>
      </c>
      <c r="F217" s="214"/>
      <c r="G217" s="210" t="s">
        <v>13887</v>
      </c>
      <c r="H217" s="170"/>
      <c r="I217" s="170"/>
      <c r="J217" s="156" t="s">
        <v>12778</v>
      </c>
      <c r="K217" s="156" t="s">
        <v>12666</v>
      </c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"),"Confirmada")</f>
        <v>Confirmada</v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>
        <f>IFERROR(__xludf.DUMMYFUNCTION("ifna(VALUE(REGEXEXTRACT(E217,""[0-9.]+[,]+[0-9]+"")))"),950.0)</f>
        <v>950</v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>
        <v>1815698.0</v>
      </c>
      <c r="C218" s="14">
        <v>45984.566087962965</v>
      </c>
      <c r="D218" s="210" t="s">
        <v>101</v>
      </c>
      <c r="E218" s="211" t="s">
        <v>13138</v>
      </c>
      <c r="F218" s="212"/>
      <c r="G218" s="210" t="s">
        <v>13893</v>
      </c>
      <c r="H218" s="170"/>
      <c r="I218" s="170"/>
      <c r="J218" s="156"/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>
        <f>IFERROR(__xludf.DUMMYFUNCTION("ifna(VALUE(REGEXEXTRACT(E218,""[0-9.]+[,]+[0-9]+"")))"),0.01)</f>
        <v>0.01</v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>
        <v>1816971.0</v>
      </c>
      <c r="C219" s="14">
        <v>45984.86678240741</v>
      </c>
      <c r="D219" s="210" t="s">
        <v>101</v>
      </c>
      <c r="E219" s="211" t="s">
        <v>13894</v>
      </c>
      <c r="F219" s="212"/>
      <c r="G219" s="210" t="s">
        <v>13895</v>
      </c>
      <c r="H219" s="170"/>
      <c r="I219" s="170"/>
      <c r="J219" s="156" t="s">
        <v>6914</v>
      </c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>
        <f>IFERROR(__xludf.DUMMYFUNCTION("ifna(VALUE(REGEXEXTRACT(E219,""[0-9.]+[,]+[0-9]+"")))"),142.0)</f>
        <v>142</v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>
        <v>1816975.0</v>
      </c>
      <c r="C220" s="14">
        <v>45984.866956018515</v>
      </c>
      <c r="D220" s="210" t="s">
        <v>101</v>
      </c>
      <c r="E220" s="211" t="s">
        <v>786</v>
      </c>
      <c r="F220" s="212"/>
      <c r="G220" s="210" t="s">
        <v>12998</v>
      </c>
      <c r="H220" s="170"/>
      <c r="I220" s="170"/>
      <c r="J220" s="156" t="s">
        <v>10036</v>
      </c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>
        <f>IFERROR(__xludf.DUMMYFUNCTION("ifna(VALUE(REGEXEXTRACT(E220,""[0-9.]+[,]+[0-9]+"")))"),130.0)</f>
        <v>130</v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>
        <v>1816977.0</v>
      </c>
      <c r="C221" s="14">
        <v>45984.86712962963</v>
      </c>
      <c r="D221" s="210" t="s">
        <v>101</v>
      </c>
      <c r="E221" s="211" t="s">
        <v>786</v>
      </c>
      <c r="F221" s="212"/>
      <c r="G221" s="210" t="s">
        <v>13473</v>
      </c>
      <c r="H221" s="170"/>
      <c r="I221" s="170"/>
      <c r="J221" s="156" t="s">
        <v>10036</v>
      </c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>
        <f>IFERROR(__xludf.DUMMYFUNCTION("ifna(VALUE(REGEXEXTRACT(E221,""[0-9.]+[,]+[0-9]+"")))"),130.0)</f>
        <v>130</v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>
        <v>1816981.0</v>
      </c>
      <c r="C222" s="14">
        <v>45984.86738425926</v>
      </c>
      <c r="D222" s="210" t="s">
        <v>101</v>
      </c>
      <c r="E222" s="211" t="s">
        <v>401</v>
      </c>
      <c r="F222" s="212"/>
      <c r="G222" s="210" t="s">
        <v>13902</v>
      </c>
      <c r="H222" s="170"/>
      <c r="I222" s="170"/>
      <c r="J222" s="156" t="s">
        <v>10036</v>
      </c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>
        <f>IFERROR(__xludf.DUMMYFUNCTION("ifna(VALUE(REGEXEXTRACT(E222,""[0-9.]+[,]+[0-9]+"")))"),65.0)</f>
        <v>65</v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>
        <v>1817609.0</v>
      </c>
      <c r="C223" s="14">
        <v>45984.94354166667</v>
      </c>
      <c r="D223" s="210" t="s">
        <v>101</v>
      </c>
      <c r="E223" s="211" t="s">
        <v>213</v>
      </c>
      <c r="F223" s="212"/>
      <c r="G223" s="210" t="s">
        <v>13905</v>
      </c>
      <c r="H223" s="170"/>
      <c r="I223" s="170"/>
      <c r="J223" s="156" t="s">
        <v>12778</v>
      </c>
      <c r="K223" s="156" t="s">
        <v>12666</v>
      </c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"),"Confirmada")</f>
        <v>Confirmada</v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>
        <f>IFERROR(__xludf.DUMMYFUNCTION("ifna(VALUE(REGEXEXTRACT(E223,""[0-9.]+[,]+[0-9]+"")))"),200.0)</f>
        <v>200</v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>
        <v>1818513.0</v>
      </c>
      <c r="C224" s="14">
        <v>45985.71994212963</v>
      </c>
      <c r="D224" s="210" t="s">
        <v>139</v>
      </c>
      <c r="E224" s="211" t="s">
        <v>13906</v>
      </c>
      <c r="F224" s="212"/>
      <c r="G224" s="210" t="s">
        <v>13907</v>
      </c>
      <c r="H224" s="170"/>
      <c r="I224" s="170"/>
      <c r="J224" s="156" t="s">
        <v>12778</v>
      </c>
      <c r="K224" s="156" t="s">
        <v>199</v>
      </c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>
        <f>IFERROR(__xludf.DUMMYFUNCTION("ifna(VALUE(REGEXEXTRACT(E224,""[0-9.]+[,]+[0-9]+"")))"),48.8)</f>
        <v>48.8</v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>
        <v>1818514.0</v>
      </c>
      <c r="C225" s="14">
        <v>45985.720185185186</v>
      </c>
      <c r="D225" s="210" t="s">
        <v>139</v>
      </c>
      <c r="E225" s="211" t="s">
        <v>13913</v>
      </c>
      <c r="F225" s="212"/>
      <c r="G225" s="210" t="s">
        <v>13907</v>
      </c>
      <c r="H225" s="170"/>
      <c r="I225" s="170"/>
      <c r="J225" s="156" t="s">
        <v>12778</v>
      </c>
      <c r="K225" s="156" t="s">
        <v>199</v>
      </c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>
        <f>IFERROR(__xludf.DUMMYFUNCTION("ifna(VALUE(REGEXEXTRACT(E225,""[0-9.]+[,]+[0-9]+"")))"),67.55)</f>
        <v>67.55</v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>
        <v>1818515.0</v>
      </c>
      <c r="C226" s="14">
        <v>45985.72069444445</v>
      </c>
      <c r="D226" s="210" t="s">
        <v>101</v>
      </c>
      <c r="E226" s="211" t="s">
        <v>328</v>
      </c>
      <c r="F226" s="212"/>
      <c r="G226" s="210" t="s">
        <v>13916</v>
      </c>
      <c r="H226" s="170"/>
      <c r="I226" s="170"/>
      <c r="J226" s="156" t="s">
        <v>12818</v>
      </c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59">
        <f>IFERROR(__xludf.DUMMYFUNCTION("ifna(VALUE(REGEXEXTRACT(E226,""[0-9.]+[,]+[0-9]+"")))"),48.0)</f>
        <v>48</v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>
        <v>1818931.0</v>
      </c>
      <c r="C227" s="14">
        <v>45985.86954861111</v>
      </c>
      <c r="D227" s="210" t="s">
        <v>101</v>
      </c>
      <c r="E227" s="211" t="s">
        <v>1028</v>
      </c>
      <c r="F227" s="214"/>
      <c r="G227" s="210" t="s">
        <v>13685</v>
      </c>
      <c r="H227" s="170"/>
      <c r="I227" s="170"/>
      <c r="J227" s="156" t="s">
        <v>6914</v>
      </c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>
        <f>IFERROR(__xludf.DUMMYFUNCTION("ifna(VALUE(REGEXEXTRACT(E227,""[0-9.]+[,]+[0-9]+"")))"),53.0)</f>
        <v>53</v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>
        <v>1818932.0</v>
      </c>
      <c r="C228" s="14">
        <v>45985.86987268519</v>
      </c>
      <c r="D228" s="210" t="s">
        <v>101</v>
      </c>
      <c r="E228" s="211" t="s">
        <v>231</v>
      </c>
      <c r="F228" s="212"/>
      <c r="G228" s="210" t="s">
        <v>13802</v>
      </c>
      <c r="H228" s="170"/>
      <c r="I228" s="170"/>
      <c r="J228" s="156" t="s">
        <v>6914</v>
      </c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>
        <f>IFERROR(__xludf.DUMMYFUNCTION("ifna(VALUE(REGEXEXTRACT(E228,""[0-9.]+[,]+[0-9]+"")))"),10.0)</f>
        <v>10</v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>
        <v>1818934.0</v>
      </c>
      <c r="C229" s="14">
        <v>45985.870833333334</v>
      </c>
      <c r="D229" s="210" t="s">
        <v>101</v>
      </c>
      <c r="E229" s="211" t="s">
        <v>1274</v>
      </c>
      <c r="F229" s="212"/>
      <c r="G229" s="210" t="s">
        <v>13210</v>
      </c>
      <c r="H229" s="170"/>
      <c r="I229" s="170"/>
      <c r="J229" s="156" t="s">
        <v>10036</v>
      </c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>
        <f>IFERROR(__xludf.DUMMYFUNCTION("ifna(VALUE(REGEXEXTRACT(E229,""[0-9.]+[,]+[0-9]+"")))"),66.0)</f>
        <v>66</v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>
        <v>1819294.0</v>
      </c>
      <c r="C230" s="14">
        <v>45985.93650462963</v>
      </c>
      <c r="D230" s="210" t="s">
        <v>101</v>
      </c>
      <c r="E230" s="211" t="s">
        <v>291</v>
      </c>
      <c r="F230" s="214"/>
      <c r="G230" s="210" t="s">
        <v>13925</v>
      </c>
      <c r="H230" s="170"/>
      <c r="I230" s="170"/>
      <c r="J230" s="156" t="s">
        <v>12778</v>
      </c>
      <c r="K230" s="156" t="s">
        <v>12666</v>
      </c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"),"Caixa Atendimento")</f>
        <v>Caixa Atendimento</v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>
        <f>IFERROR(__xludf.DUMMYFUNCTION("ifna(VALUE(REGEXEXTRACT(E230,""[0-9.]+[,]+[0-9]+"")))"),250.0)</f>
        <v>250</v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>
        <v>1820102.0</v>
      </c>
      <c r="C231" s="14">
        <v>45986.72951388889</v>
      </c>
      <c r="D231" s="210" t="s">
        <v>101</v>
      </c>
      <c r="E231" s="211" t="s">
        <v>13928</v>
      </c>
      <c r="F231" s="212"/>
      <c r="G231" s="210" t="s">
        <v>528</v>
      </c>
      <c r="H231" s="170"/>
      <c r="I231" s="170"/>
      <c r="J231" s="156" t="s">
        <v>12818</v>
      </c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"""")"),"Encontrada")</f>
        <v>Encontrada</v>
      </c>
      <c r="N231" s="159">
        <f>IFERROR(__xludf.DUMMYFUNCTION("ifna(VALUE(REGEXEXTRACT(E231,""[0-9.]+[,]+[0-9]+"")))"),86.72)</f>
        <v>86.72</v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>
        <v>1820106.0</v>
      </c>
      <c r="C232" s="14">
        <v>45986.729791666665</v>
      </c>
      <c r="D232" s="210" t="s">
        <v>139</v>
      </c>
      <c r="E232" s="211" t="s">
        <v>13635</v>
      </c>
      <c r="F232" s="212"/>
      <c r="G232" s="210" t="s">
        <v>13674</v>
      </c>
      <c r="H232" s="170"/>
      <c r="I232" s="170"/>
      <c r="J232" s="156" t="s">
        <v>12778</v>
      </c>
      <c r="K232" s="156" t="s">
        <v>12666</v>
      </c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>
        <f>IFERROR(__xludf.DUMMYFUNCTION("ifna(VALUE(REGEXEXTRACT(E232,""[0-9.]+[,]+[0-9]+"")))"),260.0)</f>
        <v>260</v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>
        <v>1820657.0</v>
      </c>
      <c r="C233" s="14">
        <v>45986.90594907408</v>
      </c>
      <c r="D233" s="210" t="s">
        <v>101</v>
      </c>
      <c r="E233" s="211" t="s">
        <v>1687</v>
      </c>
      <c r="F233" s="212"/>
      <c r="G233" s="210" t="s">
        <v>13439</v>
      </c>
      <c r="H233" s="170"/>
      <c r="I233" s="170"/>
      <c r="J233" s="156" t="s">
        <v>12658</v>
      </c>
      <c r="K233" s="156" t="s">
        <v>12693</v>
      </c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>
        <f>IFERROR(__xludf.DUMMYFUNCTION("ifna(VALUE(REGEXEXTRACT(E233,""[0-9.]+[,]+[0-9]+"")))"),19.0)</f>
        <v>19</v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>
        <v>1820884.0</v>
      </c>
      <c r="C234" s="14">
        <v>45986.93565972222</v>
      </c>
      <c r="D234" s="210" t="s">
        <v>101</v>
      </c>
      <c r="E234" s="211" t="s">
        <v>1045</v>
      </c>
      <c r="F234" s="212"/>
      <c r="G234" s="210" t="s">
        <v>13210</v>
      </c>
      <c r="H234" s="170"/>
      <c r="I234" s="170"/>
      <c r="J234" s="156" t="s">
        <v>10036</v>
      </c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>
        <f>IFERROR(__xludf.DUMMYFUNCTION("ifna(VALUE(REGEXEXTRACT(E234,""[0-9.]+[,]+[0-9]+"")))"),91.0)</f>
        <v>91</v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>
        <v>1820888.0</v>
      </c>
      <c r="C235" s="14">
        <v>45986.93599537037</v>
      </c>
      <c r="D235" s="210" t="s">
        <v>101</v>
      </c>
      <c r="E235" s="211" t="s">
        <v>13935</v>
      </c>
      <c r="F235" s="212"/>
      <c r="G235" s="210" t="s">
        <v>13174</v>
      </c>
      <c r="H235" s="170"/>
      <c r="I235" s="170"/>
      <c r="J235" s="156" t="s">
        <v>6914</v>
      </c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>
        <f>IFERROR(__xludf.DUMMYFUNCTION("ifna(VALUE(REGEXEXTRACT(E235,""[0-9.]+[,]+[0-9]+"")))"),93.0)</f>
        <v>93</v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>
        <v>1820894.0</v>
      </c>
      <c r="C236" s="14">
        <v>45986.937210648146</v>
      </c>
      <c r="D236" s="210" t="s">
        <v>101</v>
      </c>
      <c r="E236" s="211" t="s">
        <v>364</v>
      </c>
      <c r="F236" s="214"/>
      <c r="G236" s="210" t="s">
        <v>13482</v>
      </c>
      <c r="H236" s="170"/>
      <c r="I236" s="170"/>
      <c r="J236" s="156" t="s">
        <v>12778</v>
      </c>
      <c r="K236" s="156" t="s">
        <v>12666</v>
      </c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"),"Caixa Atendimento")</f>
        <v>Caixa Atendimento</v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>
        <f>IFERROR(__xludf.DUMMYFUNCTION("ifna(VALUE(REGEXEXTRACT(E236,""[0-9.]+[,]+[0-9]+"")))"),600.0)</f>
        <v>600</v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51"/>
      <c r="C237" s="152"/>
      <c r="D237" s="153"/>
      <c r="E237" s="154"/>
      <c r="F237" s="165"/>
      <c r="G237" s="153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51"/>
      <c r="C238" s="152"/>
      <c r="D238" s="153"/>
      <c r="E238" s="154"/>
      <c r="F238" s="155"/>
      <c r="G238" s="153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51"/>
      <c r="C239" s="152"/>
      <c r="D239" s="153"/>
      <c r="E239" s="154"/>
      <c r="F239" s="155"/>
      <c r="G239" s="153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51"/>
      <c r="C240" s="152"/>
      <c r="D240" s="153"/>
      <c r="E240" s="154"/>
      <c r="F240" s="155"/>
      <c r="G240" s="153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51"/>
      <c r="C241" s="152"/>
      <c r="D241" s="153"/>
      <c r="E241" s="154"/>
      <c r="F241" s="155"/>
      <c r="G241" s="153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51"/>
      <c r="C242" s="152"/>
      <c r="D242" s="153"/>
      <c r="E242" s="154"/>
      <c r="F242" s="155"/>
      <c r="G242" s="153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51"/>
      <c r="C243" s="152"/>
      <c r="D243" s="153"/>
      <c r="E243" s="154"/>
      <c r="F243" s="165"/>
      <c r="G243" s="153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51"/>
      <c r="C244" s="152"/>
      <c r="D244" s="153"/>
      <c r="E244" s="154"/>
      <c r="F244" s="155"/>
      <c r="G244" s="153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51"/>
      <c r="C245" s="152"/>
      <c r="D245" s="153"/>
      <c r="E245" s="154"/>
      <c r="F245" s="155"/>
      <c r="G245" s="153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51"/>
      <c r="C246" s="152"/>
      <c r="D246" s="153"/>
      <c r="E246" s="154"/>
      <c r="F246" s="155"/>
      <c r="G246" s="153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51"/>
      <c r="C247" s="152"/>
      <c r="D247" s="153"/>
      <c r="E247" s="154"/>
      <c r="F247" s="155"/>
      <c r="G247" s="153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51"/>
      <c r="C248" s="152"/>
      <c r="D248" s="153"/>
      <c r="E248" s="154"/>
      <c r="F248" s="155"/>
      <c r="G248" s="153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51"/>
      <c r="C249" s="152"/>
      <c r="D249" s="153"/>
      <c r="E249" s="154"/>
      <c r="F249" s="155"/>
      <c r="G249" s="153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51"/>
      <c r="C250" s="152"/>
      <c r="D250" s="153"/>
      <c r="E250" s="154"/>
      <c r="F250" s="155"/>
      <c r="G250" s="153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51"/>
      <c r="C251" s="152"/>
      <c r="D251" s="153"/>
      <c r="E251" s="154"/>
      <c r="F251" s="155"/>
      <c r="G251" s="153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51"/>
      <c r="C252" s="152"/>
      <c r="D252" s="153"/>
      <c r="E252" s="154"/>
      <c r="F252" s="155"/>
      <c r="G252" s="153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51"/>
      <c r="C253" s="152"/>
      <c r="D253" s="153"/>
      <c r="E253" s="154"/>
      <c r="F253" s="165"/>
      <c r="G253" s="153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51"/>
      <c r="C254" s="152"/>
      <c r="D254" s="153"/>
      <c r="E254" s="154"/>
      <c r="F254" s="155"/>
      <c r="G254" s="153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51"/>
      <c r="C255" s="152"/>
      <c r="D255" s="153"/>
      <c r="E255" s="154"/>
      <c r="F255" s="155"/>
      <c r="G255" s="153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51"/>
      <c r="C256" s="152"/>
      <c r="D256" s="153"/>
      <c r="E256" s="154"/>
      <c r="F256" s="155"/>
      <c r="G256" s="153"/>
      <c r="H256" s="170"/>
      <c r="I256" s="170"/>
      <c r="J256" s="156"/>
      <c r="K256" s="169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51"/>
      <c r="C257" s="152"/>
      <c r="D257" s="153"/>
      <c r="E257" s="154"/>
      <c r="F257" s="155"/>
      <c r="G257" s="153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51"/>
      <c r="C258" s="152"/>
      <c r="D258" s="153"/>
      <c r="E258" s="154"/>
      <c r="F258" s="165"/>
      <c r="G258" s="153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51"/>
      <c r="C259" s="152"/>
      <c r="D259" s="153"/>
      <c r="E259" s="154"/>
      <c r="F259" s="155"/>
      <c r="G259" s="153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51"/>
      <c r="C260" s="152"/>
      <c r="D260" s="153"/>
      <c r="E260" s="154"/>
      <c r="F260" s="155"/>
      <c r="G260" s="153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51"/>
      <c r="C261" s="152"/>
      <c r="D261" s="153"/>
      <c r="E261" s="154"/>
      <c r="F261" s="155"/>
      <c r="G261" s="153"/>
      <c r="H261" s="170"/>
      <c r="I261" s="170"/>
      <c r="J261" s="156"/>
      <c r="K261" s="169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51"/>
      <c r="C262" s="152"/>
      <c r="D262" s="153"/>
      <c r="E262" s="154"/>
      <c r="F262" s="155"/>
      <c r="G262" s="153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51"/>
      <c r="C263" s="152"/>
      <c r="D263" s="153"/>
      <c r="E263" s="154"/>
      <c r="F263" s="155"/>
      <c r="G263" s="153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51"/>
      <c r="C264" s="152"/>
      <c r="D264" s="153"/>
      <c r="E264" s="154"/>
      <c r="F264" s="155"/>
      <c r="G264" s="153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51"/>
      <c r="C265" s="152"/>
      <c r="D265" s="153"/>
      <c r="E265" s="154"/>
      <c r="F265" s="155"/>
      <c r="G265" s="153"/>
      <c r="H265" s="170"/>
      <c r="I265" s="170"/>
      <c r="J265" s="192"/>
      <c r="K265" s="169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51"/>
      <c r="C266" s="152"/>
      <c r="D266" s="153"/>
      <c r="E266" s="154"/>
      <c r="F266" s="155"/>
      <c r="G266" s="153"/>
      <c r="H266" s="170"/>
      <c r="I266" s="170"/>
      <c r="J266" s="156"/>
      <c r="K266" s="169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51"/>
      <c r="C267" s="152"/>
      <c r="D267" s="153"/>
      <c r="E267" s="154"/>
      <c r="F267" s="155"/>
      <c r="G267" s="153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51"/>
      <c r="C268" s="152"/>
      <c r="D268" s="153"/>
      <c r="E268" s="154"/>
      <c r="F268" s="165"/>
      <c r="G268" s="153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51"/>
      <c r="C269" s="152"/>
      <c r="D269" s="153"/>
      <c r="E269" s="154"/>
      <c r="F269" s="155"/>
      <c r="G269" s="153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51"/>
      <c r="C270" s="152"/>
      <c r="D270" s="153"/>
      <c r="E270" s="154"/>
      <c r="F270" s="155"/>
      <c r="G270" s="153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51"/>
      <c r="C271" s="152"/>
      <c r="D271" s="153"/>
      <c r="E271" s="154"/>
      <c r="F271" s="155"/>
      <c r="G271" s="153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51"/>
      <c r="C272" s="152"/>
      <c r="D272" s="153"/>
      <c r="E272" s="154"/>
      <c r="F272" s="155"/>
      <c r="G272" s="153"/>
      <c r="H272" s="170"/>
      <c r="I272" s="170"/>
      <c r="J272" s="156"/>
      <c r="K272" s="169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51"/>
      <c r="C273" s="152"/>
      <c r="D273" s="153"/>
      <c r="E273" s="154"/>
      <c r="F273" s="155"/>
      <c r="G273" s="153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51"/>
      <c r="C274" s="152"/>
      <c r="D274" s="153"/>
      <c r="E274" s="154"/>
      <c r="F274" s="155"/>
      <c r="G274" s="153"/>
      <c r="H274" s="170"/>
      <c r="I274" s="170"/>
      <c r="J274" s="156"/>
      <c r="K274" s="169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51"/>
      <c r="C275" s="152"/>
      <c r="D275" s="153"/>
      <c r="E275" s="154"/>
      <c r="F275" s="155"/>
      <c r="G275" s="153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51"/>
      <c r="C276" s="152"/>
      <c r="D276" s="153"/>
      <c r="E276" s="154"/>
      <c r="F276" s="155"/>
      <c r="G276" s="153"/>
      <c r="H276" s="170"/>
      <c r="I276" s="170"/>
      <c r="J276" s="156"/>
      <c r="K276" s="169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51"/>
      <c r="C277" s="152"/>
      <c r="D277" s="153"/>
      <c r="E277" s="154"/>
      <c r="F277" s="165"/>
      <c r="G277" s="153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51"/>
      <c r="C278" s="152"/>
      <c r="D278" s="153"/>
      <c r="E278" s="154"/>
      <c r="F278" s="155"/>
      <c r="G278" s="153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51"/>
      <c r="C279" s="152"/>
      <c r="D279" s="153"/>
      <c r="E279" s="154"/>
      <c r="F279" s="155"/>
      <c r="G279" s="153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51"/>
      <c r="C280" s="152"/>
      <c r="D280" s="153"/>
      <c r="E280" s="154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51"/>
      <c r="C281" s="152"/>
      <c r="D281" s="153"/>
      <c r="E281" s="154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51"/>
      <c r="C282" s="152"/>
      <c r="D282" s="153"/>
      <c r="E282" s="154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51"/>
      <c r="C283" s="152"/>
      <c r="D283" s="153"/>
      <c r="E283" s="154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51"/>
      <c r="C284" s="152"/>
      <c r="D284" s="153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51"/>
      <c r="C285" s="152"/>
      <c r="D285" s="153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51"/>
      <c r="C286" s="152"/>
      <c r="D286" s="153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51"/>
      <c r="C287" s="152"/>
      <c r="D287" s="153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51"/>
      <c r="C288" s="152"/>
      <c r="D288" s="153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51"/>
      <c r="C289" s="152"/>
      <c r="D289" s="153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51"/>
      <c r="C290" s="152"/>
      <c r="D290" s="153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51"/>
      <c r="C291" s="152"/>
      <c r="D291" s="153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51"/>
      <c r="C292" s="152"/>
      <c r="D292" s="153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51"/>
      <c r="C293" s="152"/>
      <c r="D293" s="153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51"/>
      <c r="C294" s="152"/>
      <c r="D294" s="153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51"/>
      <c r="C295" s="152"/>
      <c r="D295" s="153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153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IFERROR(__xludf.DUMMYFUNCTION("ifna(IF(and(D329=""Saída"",J329=""Sangria""),if(sum(QUERY(IMPORTRANGE(""https://docs.google.com/spreadsheets/d/15vCx43UQd-lUcbnvwm-R2Xfhex1Wogrs1wY4DlXukMA/edit#gid=458192036"",""BD M Sangrias!a:i""),""select Col6 where Col7 = 'Depositada' and Col9 = '""&amp;"&amp;"K329&amp;""' and Col6 = ""&amp;N329&amp;"" and Col4 = date '""&amp;YEAR(C329)&amp;""-""&amp;MONTH(C329)&amp;""-""&amp;DAY(C329)&amp;""'""))&gt;0,""Depositada"",if(sum(QUERY(IMPORTRANGE(""https://docs.google.com/spreadsheets/d/15vCx43UQd-lUcbnvwm-R2Xfhex1Wogrs1wY4DlXukMA/edit#gid=458192036"","""&amp;"BD M Sangrias!a:i""),""select Col6 where Col7 = 'Caixa Atendimento' and Col9 = '""&amp;K329&amp;""' and Col6 = ""&amp;N329&amp;"" and Col4 = date '""&amp;YEAR(C329)&amp;""-""&amp;MONTH(C329)&amp;""-""&amp;DAY(C329)&amp;""'""))&gt;0,""Caixa Atendimento"",""Caixa Sangria"")),""""),""Caixa Sangria"")"),"")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IFERROR(__xludf.DUMMYFUNCTION("ifna(IF(and(D330=""Saída"",J330=""Sangria""),if(sum(QUERY(IMPORTRANGE(""https://docs.google.com/spreadsheets/d/15vCx43UQd-lUcbnvwm-R2Xfhex1Wogrs1wY4DlXukMA/edit#gid=458192036"",""BD M Sangrias!a:i""),""select Col6 where Col7 = 'Depositada' and Col9 = '""&amp;"&amp;"K330&amp;""' and Col6 = ""&amp;N330&amp;"" and Col4 = date '""&amp;YEAR(C330)&amp;""-""&amp;MONTH(C330)&amp;""-""&amp;DAY(C330)&amp;""'""))&gt;0,""Depositada"",if(sum(QUERY(IMPORTRANGE(""https://docs.google.com/spreadsheets/d/15vCx43UQd-lUcbnvwm-R2Xfhex1Wogrs1wY4DlXukMA/edit#gid=458192036"","""&amp;"BD M Sangrias!a:i""),""select Col6 where Col7 = 'Caixa Atendimento' and Col9 = '""&amp;K330&amp;""' and Col6 = ""&amp;N330&amp;"" and Col4 = date '""&amp;YEAR(C330)&amp;""-""&amp;MONTH(C330)&amp;""-""&amp;DAY(C330)&amp;""'""))&gt;0,""Caixa Atendimento"",""Caixa Sangria"")),""""),""Caixa Sangria"")"),"")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IFERROR(__xludf.DUMMYFUNCTION("ifna(IF(and(D331=""Saída"",J331=""Sangria""),if(sum(QUERY(IMPORTRANGE(""https://docs.google.com/spreadsheets/d/15vCx43UQd-lUcbnvwm-R2Xfhex1Wogrs1wY4DlXukMA/edit#gid=458192036"",""BD M Sangrias!a:i""),""select Col6 where Col7 = 'Depositada' and Col9 = '""&amp;"&amp;"K331&amp;""' and Col6 = ""&amp;N331&amp;"" and Col4 = date '""&amp;YEAR(C331)&amp;""-""&amp;MONTH(C331)&amp;""-""&amp;DAY(C331)&amp;""'""))&gt;0,""Depositada"",if(sum(QUERY(IMPORTRANGE(""https://docs.google.com/spreadsheets/d/15vCx43UQd-lUcbnvwm-R2Xfhex1Wogrs1wY4DlXukMA/edit#gid=458192036"","""&amp;"BD M Sangrias!a:i""),""select Col6 where Col7 = 'Caixa Atendimento' and Col9 = '""&amp;K331&amp;""' and Col6 = ""&amp;N331&amp;"" and Col4 = date '""&amp;YEAR(C331)&amp;""-""&amp;MONTH(C331)&amp;""-""&amp;DAY(C331)&amp;""'""))&gt;0,""Caixa Atendimento"",""Caixa Sangria"")),""""),""Caixa Sangria"")"),"")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IFERROR(__xludf.DUMMYFUNCTION("ifna(IF(and(D332=""Saída"",J332=""Sangria""),if(sum(QUERY(IMPORTRANGE(""https://docs.google.com/spreadsheets/d/15vCx43UQd-lUcbnvwm-R2Xfhex1Wogrs1wY4DlXukMA/edit#gid=458192036"",""BD M Sangrias!a:i""),""select Col6 where Col7 = 'Depositada' and Col9 = '""&amp;"&amp;"K332&amp;""' and Col6 = ""&amp;N332&amp;"" and Col4 = date '""&amp;YEAR(C332)&amp;""-""&amp;MONTH(C332)&amp;""-""&amp;DAY(C332)&amp;""'""))&gt;0,""Depositada"",if(sum(QUERY(IMPORTRANGE(""https://docs.google.com/spreadsheets/d/15vCx43UQd-lUcbnvwm-R2Xfhex1Wogrs1wY4DlXukMA/edit#gid=458192036"","""&amp;"BD M Sangrias!a:i""),""select Col6 where Col7 = 'Caixa Atendimento' and Col9 = '""&amp;K332&amp;""' and Col6 = ""&amp;N332&amp;"" and Col4 = date '""&amp;YEAR(C332)&amp;""-""&amp;MONTH(C332)&amp;""-""&amp;DAY(C332)&amp;""'""))&gt;0,""Caixa Atendimento"",""Caixa Sangria"")),""""),""Caixa Sangria"")"),"")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IFERROR(__xludf.DUMMYFUNCTION("ifna(IF(and(D333=""Saída"",J333=""Sangria""),if(sum(QUERY(IMPORTRANGE(""https://docs.google.com/spreadsheets/d/15vCx43UQd-lUcbnvwm-R2Xfhex1Wogrs1wY4DlXukMA/edit#gid=458192036"",""BD M Sangrias!a:i""),""select Col6 where Col7 = 'Depositada' and Col9 = '""&amp;"&amp;"K333&amp;""' and Col6 = ""&amp;N333&amp;"" and Col4 = date '""&amp;YEAR(C333)&amp;""-""&amp;MONTH(C333)&amp;""-""&amp;DAY(C333)&amp;""'""))&gt;0,""Depositada"",if(sum(QUERY(IMPORTRANGE(""https://docs.google.com/spreadsheets/d/15vCx43UQd-lUcbnvwm-R2Xfhex1Wogrs1wY4DlXukMA/edit#gid=458192036"","""&amp;"BD M Sangrias!a:i""),""select Col6 where Col7 = 'Caixa Atendimento' and Col9 = '""&amp;K333&amp;""' and Col6 = ""&amp;N333&amp;"" and Col4 = date '""&amp;YEAR(C333)&amp;""-""&amp;MONTH(C333)&amp;""-""&amp;DAY(C333)&amp;""'""))&gt;0,""Caixa Atendimento"",""Caixa Sangria"")),""""),""Caixa Sangria"")"),"")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IFERROR(__xludf.DUMMYFUNCTION("ifna(IF(and(D334=""Saída"",J334=""Sangria""),if(sum(QUERY(IMPORTRANGE(""https://docs.google.com/spreadsheets/d/15vCx43UQd-lUcbnvwm-R2Xfhex1Wogrs1wY4DlXukMA/edit#gid=458192036"",""BD M Sangrias!a:i""),""select Col6 where Col7 = 'Depositada' and Col9 = '""&amp;"&amp;"K334&amp;""' and Col6 = ""&amp;N334&amp;"" and Col4 = date '""&amp;YEAR(C334)&amp;""-""&amp;MONTH(C334)&amp;""-""&amp;DAY(C334)&amp;""'""))&gt;0,""Depositada"",if(sum(QUERY(IMPORTRANGE(""https://docs.google.com/spreadsheets/d/15vCx43UQd-lUcbnvwm-R2Xfhex1Wogrs1wY4DlXukMA/edit#gid=458192036"","""&amp;"BD M Sangrias!a:i""),""select Col6 where Col7 = 'Caixa Atendimento' and Col9 = '""&amp;K334&amp;""' and Col6 = ""&amp;N334&amp;"" and Col4 = date '""&amp;YEAR(C334)&amp;""-""&amp;MONTH(C334)&amp;""-""&amp;DAY(C334)&amp;""'""))&gt;0,""Caixa Atendimento"",""Caixa Sangria"")),""""),""Caixa Sangria"")"),"")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IFERROR(__xludf.DUMMYFUNCTION("ifna(IF(and(D335=""Saída"",J335=""Sangria""),if(sum(QUERY(IMPORTRANGE(""https://docs.google.com/spreadsheets/d/15vCx43UQd-lUcbnvwm-R2Xfhex1Wogrs1wY4DlXukMA/edit#gid=458192036"",""BD M Sangrias!a:i""),""select Col6 where Col7 = 'Depositada' and Col9 = '""&amp;"&amp;"K335&amp;""' and Col6 = ""&amp;N335&amp;"" and Col4 = date '""&amp;YEAR(C335)&amp;""-""&amp;MONTH(C335)&amp;""-""&amp;DAY(C335)&amp;""'""))&gt;0,""Depositada"",if(sum(QUERY(IMPORTRANGE(""https://docs.google.com/spreadsheets/d/15vCx43UQd-lUcbnvwm-R2Xfhex1Wogrs1wY4DlXukMA/edit#gid=458192036"","""&amp;"BD M Sangrias!a:i""),""select Col6 where Col7 = 'Caixa Atendimento' and Col9 = '""&amp;K335&amp;""' and Col6 = ""&amp;N335&amp;"" and Col4 = date '""&amp;YEAR(C335)&amp;""-""&amp;MONTH(C335)&amp;""-""&amp;DAY(C335)&amp;""'""))&gt;0,""Caixa Atendimento"",""Caixa Sangria"")),""""),""Caixa Sangria"")"),"")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IFERROR(__xludf.DUMMYFUNCTION("ifna(IF(and(D336=""Saída"",J336=""Sangria""),if(sum(QUERY(IMPORTRANGE(""https://docs.google.com/spreadsheets/d/15vCx43UQd-lUcbnvwm-R2Xfhex1Wogrs1wY4DlXukMA/edit#gid=458192036"",""BD M Sangrias!a:i""),""select Col6 where Col7 = 'Depositada' and Col9 = '""&amp;"&amp;"K336&amp;""' and Col6 = ""&amp;N336&amp;"" and Col4 = date '""&amp;YEAR(C336)&amp;""-""&amp;MONTH(C336)&amp;""-""&amp;DAY(C336)&amp;""'""))&gt;0,""Depositada"",if(sum(QUERY(IMPORTRANGE(""https://docs.google.com/spreadsheets/d/15vCx43UQd-lUcbnvwm-R2Xfhex1Wogrs1wY4DlXukMA/edit#gid=458192036"","""&amp;"BD M Sangrias!a:i""),""select Col6 where Col7 = 'Caixa Atendimento' and Col9 = '""&amp;K336&amp;""' and Col6 = ""&amp;N336&amp;"" and Col4 = date '""&amp;YEAR(C336)&amp;""-""&amp;MONTH(C336)&amp;""-""&amp;DAY(C336)&amp;""'""))&gt;0,""Caixa Atendimento"",""Caixa Sangria"")),""""),""Caixa Sangria"")"),"")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IFERROR(__xludf.DUMMYFUNCTION("ifna(IF(and(D337=""Saída"",J337=""Sangria""),if(sum(QUERY(IMPORTRANGE(""https://docs.google.com/spreadsheets/d/15vCx43UQd-lUcbnvwm-R2Xfhex1Wogrs1wY4DlXukMA/edit#gid=458192036"",""BD M Sangrias!a:i""),""select Col6 where Col7 = 'Depositada' and Col9 = '""&amp;"&amp;"K337&amp;""' and Col6 = ""&amp;N337&amp;"" and Col4 = date '""&amp;YEAR(C337)&amp;""-""&amp;MONTH(C337)&amp;""-""&amp;DAY(C337)&amp;""'""))&gt;0,""Depositada"",if(sum(QUERY(IMPORTRANGE(""https://docs.google.com/spreadsheets/d/15vCx43UQd-lUcbnvwm-R2Xfhex1Wogrs1wY4DlXukMA/edit#gid=458192036"","""&amp;"BD M Sangrias!a:i""),""select Col6 where Col7 = 'Caixa Atendimento' and Col9 = '""&amp;K337&amp;""' and Col6 = ""&amp;N337&amp;"" and Col4 = date '""&amp;YEAR(C337)&amp;""-""&amp;MONTH(C337)&amp;""-""&amp;DAY(C337)&amp;""'""))&gt;0,""Caixa Atendimento"",""Caixa Sangria"")),""""),""Caixa Sangria"")"),"")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IFERROR(__xludf.DUMMYFUNCTION("ifna(IF(and(D338=""Saída"",J338=""Sangria""),if(sum(QUERY(IMPORTRANGE(""https://docs.google.com/spreadsheets/d/15vCx43UQd-lUcbnvwm-R2Xfhex1Wogrs1wY4DlXukMA/edit#gid=458192036"",""BD M Sangrias!a:i""),""select Col6 where Col7 = 'Depositada' and Col9 = '""&amp;"&amp;"K338&amp;""' and Col6 = ""&amp;N338&amp;"" and Col4 = date '""&amp;YEAR(C338)&amp;""-""&amp;MONTH(C338)&amp;""-""&amp;DAY(C338)&amp;""'""))&gt;0,""Depositada"",if(sum(QUERY(IMPORTRANGE(""https://docs.google.com/spreadsheets/d/15vCx43UQd-lUcbnvwm-R2Xfhex1Wogrs1wY4DlXukMA/edit#gid=458192036"","""&amp;"BD M Sangrias!a:i""),""select Col6 where Col7 = 'Caixa Atendimento' and Col9 = '""&amp;K338&amp;""' and Col6 = ""&amp;N338&amp;"" and Col4 = date '""&amp;YEAR(C338)&amp;""-""&amp;MONTH(C338)&amp;""-""&amp;DAY(C338)&amp;""'""))&gt;0,""Caixa Atendimento"",""Caixa Sangria"")),""""),""Caixa Sangria"")"),"")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IFERROR(__xludf.DUMMYFUNCTION("ifna(IF(and(D339=""Saída"",J339=""Sangria""),if(sum(QUERY(IMPORTRANGE(""https://docs.google.com/spreadsheets/d/15vCx43UQd-lUcbnvwm-R2Xfhex1Wogrs1wY4DlXukMA/edit#gid=458192036"",""BD M Sangrias!a:i""),""select Col6 where Col7 = 'Depositada' and Col9 = '""&amp;"&amp;"K339&amp;""' and Col6 = ""&amp;N339&amp;"" and Col4 = date '""&amp;YEAR(C339)&amp;""-""&amp;MONTH(C339)&amp;""-""&amp;DAY(C339)&amp;""'""))&gt;0,""Depositada"",if(sum(QUERY(IMPORTRANGE(""https://docs.google.com/spreadsheets/d/15vCx43UQd-lUcbnvwm-R2Xfhex1Wogrs1wY4DlXukMA/edit#gid=458192036"","""&amp;"BD M Sangrias!a:i""),""select Col6 where Col7 = 'Caixa Atendimento' and Col9 = '""&amp;K339&amp;""' and Col6 = ""&amp;N339&amp;"" and Col4 = date '""&amp;YEAR(C339)&amp;""-""&amp;MONTH(C339)&amp;""-""&amp;DAY(C339)&amp;""'""))&gt;0,""Caixa Atendimento"",""Caixa Sangria"")),""""),""Caixa Sangria"")"),"")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IFERROR(__xludf.DUMMYFUNCTION("ifna(IF(and(D340=""Saída"",J340=""Sangria""),if(sum(QUERY(IMPORTRANGE(""https://docs.google.com/spreadsheets/d/15vCx43UQd-lUcbnvwm-R2Xfhex1Wogrs1wY4DlXukMA/edit#gid=458192036"",""BD M Sangrias!a:i""),""select Col6 where Col7 = 'Depositada' and Col9 = '""&amp;"&amp;"K340&amp;""' and Col6 = ""&amp;N340&amp;"" and Col4 = date '""&amp;YEAR(C340)&amp;""-""&amp;MONTH(C340)&amp;""-""&amp;DAY(C340)&amp;""'""))&gt;0,""Depositada"",if(sum(QUERY(IMPORTRANGE(""https://docs.google.com/spreadsheets/d/15vCx43UQd-lUcbnvwm-R2Xfhex1Wogrs1wY4DlXukMA/edit#gid=458192036"","""&amp;"BD M Sangrias!a:i""),""select Col6 where Col7 = 'Caixa Atendimento' and Col9 = '""&amp;K340&amp;""' and Col6 = ""&amp;N340&amp;"" and Col4 = date '""&amp;YEAR(C340)&amp;""-""&amp;MONTH(C340)&amp;""-""&amp;DAY(C340)&amp;""'""))&gt;0,""Caixa Atendimento"",""Caixa Sangria"")),""""),""Caixa Sangria"")"),"")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IFERROR(__xludf.DUMMYFUNCTION("ifna(IF(and(D341=""Saída"",J341=""Sangria""),if(sum(QUERY(IMPORTRANGE(""https://docs.google.com/spreadsheets/d/15vCx43UQd-lUcbnvwm-R2Xfhex1Wogrs1wY4DlXukMA/edit#gid=458192036"",""BD M Sangrias!a:i""),""select Col6 where Col7 = 'Depositada' and Col9 = '""&amp;"&amp;"K341&amp;""' and Col6 = ""&amp;N341&amp;"" and Col4 = date '""&amp;YEAR(C341)&amp;""-""&amp;MONTH(C341)&amp;""-""&amp;DAY(C341)&amp;""'""))&gt;0,""Depositada"",if(sum(QUERY(IMPORTRANGE(""https://docs.google.com/spreadsheets/d/15vCx43UQd-lUcbnvwm-R2Xfhex1Wogrs1wY4DlXukMA/edit#gid=458192036"","""&amp;"BD M Sangrias!a:i""),""select Col6 where Col7 = 'Caixa Atendimento' and Col9 = '""&amp;K341&amp;""' and Col6 = ""&amp;N341&amp;"" and Col4 = date '""&amp;YEAR(C341)&amp;""-""&amp;MONTH(C341)&amp;""-""&amp;DAY(C341)&amp;""'""))&gt;0,""Caixa Atendimento"",""Caixa Sangria"")),""""),""Caixa Sangria"")"),"")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IFERROR(__xludf.DUMMYFUNCTION("ifna(IF(and(D342=""Saída"",J342=""Sangria""),if(sum(QUERY(IMPORTRANGE(""https://docs.google.com/spreadsheets/d/15vCx43UQd-lUcbnvwm-R2Xfhex1Wogrs1wY4DlXukMA/edit#gid=458192036"",""BD M Sangrias!a:i""),""select Col6 where Col7 = 'Depositada' and Col9 = '""&amp;"&amp;"K342&amp;""' and Col6 = ""&amp;N342&amp;"" and Col4 = date '""&amp;YEAR(C342)&amp;""-""&amp;MONTH(C342)&amp;""-""&amp;DAY(C342)&amp;""'""))&gt;0,""Depositada"",if(sum(QUERY(IMPORTRANGE(""https://docs.google.com/spreadsheets/d/15vCx43UQd-lUcbnvwm-R2Xfhex1Wogrs1wY4DlXukMA/edit#gid=458192036"","""&amp;"BD M Sangrias!a:i""),""select Col6 where Col7 = 'Caixa Atendimento' and Col9 = '""&amp;K342&amp;""' and Col6 = ""&amp;N342&amp;"" and Col4 = date '""&amp;YEAR(C342)&amp;""-""&amp;MONTH(C342)&amp;""-""&amp;DAY(C342)&amp;""'""))&gt;0,""Caixa Atendimento"",""Caixa Sangria"")),""""),""Caixa Sangria"")"),"")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IFERROR(__xludf.DUMMYFUNCTION("ifna(IF(and(D343=""Saída"",J343=""Sangria""),if(sum(QUERY(IMPORTRANGE(""https://docs.google.com/spreadsheets/d/15vCx43UQd-lUcbnvwm-R2Xfhex1Wogrs1wY4DlXukMA/edit#gid=458192036"",""BD M Sangrias!a:i""),""select Col6 where Col7 = 'Depositada' and Col9 = '""&amp;"&amp;"K343&amp;""' and Col6 = ""&amp;N343&amp;"" and Col4 = date '""&amp;YEAR(C343)&amp;""-""&amp;MONTH(C343)&amp;""-""&amp;DAY(C343)&amp;""'""))&gt;0,""Depositada"",if(sum(QUERY(IMPORTRANGE(""https://docs.google.com/spreadsheets/d/15vCx43UQd-lUcbnvwm-R2Xfhex1Wogrs1wY4DlXukMA/edit#gid=458192036"","""&amp;"BD M Sangrias!a:i""),""select Col6 where Col7 = 'Caixa Atendimento' and Col9 = '""&amp;K343&amp;""' and Col6 = ""&amp;N343&amp;"" and Col4 = date '""&amp;YEAR(C343)&amp;""-""&amp;MONTH(C343)&amp;""-""&amp;DAY(C343)&amp;""'""))&gt;0,""Caixa Atendimento"",""Caixa Sangria"")),""""),""Caixa Sangria"")"),"")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IFERROR(__xludf.DUMMYFUNCTION("ifna(IF(and(D344=""Saída"",J344=""Sangria""),if(sum(QUERY(IMPORTRANGE(""https://docs.google.com/spreadsheets/d/15vCx43UQd-lUcbnvwm-R2Xfhex1Wogrs1wY4DlXukMA/edit#gid=458192036"",""BD M Sangrias!a:i""),""select Col6 where Col7 = 'Depositada' and Col9 = '""&amp;"&amp;"K344&amp;""' and Col6 = ""&amp;N344&amp;"" and Col4 = date '""&amp;YEAR(C344)&amp;""-""&amp;MONTH(C344)&amp;""-""&amp;DAY(C344)&amp;""'""))&gt;0,""Depositada"",if(sum(QUERY(IMPORTRANGE(""https://docs.google.com/spreadsheets/d/15vCx43UQd-lUcbnvwm-R2Xfhex1Wogrs1wY4DlXukMA/edit#gid=458192036"","""&amp;"BD M Sangrias!a:i""),""select Col6 where Col7 = 'Caixa Atendimento' and Col9 = '""&amp;K344&amp;""' and Col6 = ""&amp;N344&amp;"" and Col4 = date '""&amp;YEAR(C344)&amp;""-""&amp;MONTH(C344)&amp;""-""&amp;DAY(C344)&amp;""'""))&gt;0,""Caixa Atendimento"",""Caixa Sangria"")),""""),""Caixa Sangria"")"),"")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IFERROR(__xludf.DUMMYFUNCTION("ifna(IF(and(D345=""Saída"",J345=""Sangria""),if(sum(QUERY(IMPORTRANGE(""https://docs.google.com/spreadsheets/d/15vCx43UQd-lUcbnvwm-R2Xfhex1Wogrs1wY4DlXukMA/edit#gid=458192036"",""BD M Sangrias!a:i""),""select Col6 where Col7 = 'Depositada' and Col9 = '""&amp;"&amp;"K345&amp;""' and Col6 = ""&amp;N345&amp;"" and Col4 = date '""&amp;YEAR(C345)&amp;""-""&amp;MONTH(C345)&amp;""-""&amp;DAY(C345)&amp;""'""))&gt;0,""Depositada"",if(sum(QUERY(IMPORTRANGE(""https://docs.google.com/spreadsheets/d/15vCx43UQd-lUcbnvwm-R2Xfhex1Wogrs1wY4DlXukMA/edit#gid=458192036"","""&amp;"BD M Sangrias!a:i""),""select Col6 where Col7 = 'Caixa Atendimento' and Col9 = '""&amp;K345&amp;""' and Col6 = ""&amp;N345&amp;"" and Col4 = date '""&amp;YEAR(C345)&amp;""-""&amp;MONTH(C345)&amp;""-""&amp;DAY(C345)&amp;""'""))&gt;0,""Caixa Atendimento"",""Caixa Sangria"")),""""),""Caixa Sangria"")"),"")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IFERROR(__xludf.DUMMYFUNCTION("ifna(IF(and(D346=""Saída"",J346=""Sangria""),if(sum(QUERY(IMPORTRANGE(""https://docs.google.com/spreadsheets/d/15vCx43UQd-lUcbnvwm-R2Xfhex1Wogrs1wY4DlXukMA/edit#gid=458192036"",""BD M Sangrias!a:i""),""select Col6 where Col7 = 'Depositada' and Col9 = '""&amp;"&amp;"K346&amp;""' and Col6 = ""&amp;N346&amp;"" and Col4 = date '""&amp;YEAR(C346)&amp;""-""&amp;MONTH(C346)&amp;""-""&amp;DAY(C346)&amp;""'""))&gt;0,""Depositada"",if(sum(QUERY(IMPORTRANGE(""https://docs.google.com/spreadsheets/d/15vCx43UQd-lUcbnvwm-R2Xfhex1Wogrs1wY4DlXukMA/edit#gid=458192036"","""&amp;"BD M Sangrias!a:i""),""select Col6 where Col7 = 'Caixa Atendimento' and Col9 = '""&amp;K346&amp;""' and Col6 = ""&amp;N346&amp;"" and Col4 = date '""&amp;YEAR(C346)&amp;""-""&amp;MONTH(C346)&amp;""-""&amp;DAY(C346)&amp;""'""))&gt;0,""Caixa Atendimento"",""Caixa Sangria"")),""""),""Caixa Sangria"")"),"")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IFERROR(__xludf.DUMMYFUNCTION("ifna(IF(and(D347=""Saída"",J347=""Sangria""),if(sum(QUERY(IMPORTRANGE(""https://docs.google.com/spreadsheets/d/15vCx43UQd-lUcbnvwm-R2Xfhex1Wogrs1wY4DlXukMA/edit#gid=458192036"",""BD M Sangrias!a:i""),""select Col6 where Col7 = 'Depositada' and Col9 = '""&amp;"&amp;"K347&amp;""' and Col6 = ""&amp;N347&amp;"" and Col4 = date '""&amp;YEAR(C347)&amp;""-""&amp;MONTH(C347)&amp;""-""&amp;DAY(C347)&amp;""'""))&gt;0,""Depositada"",if(sum(QUERY(IMPORTRANGE(""https://docs.google.com/spreadsheets/d/15vCx43UQd-lUcbnvwm-R2Xfhex1Wogrs1wY4DlXukMA/edit#gid=458192036"","""&amp;"BD M Sangrias!a:i""),""select Col6 where Col7 = 'Caixa Atendimento' and Col9 = '""&amp;K347&amp;""' and Col6 = ""&amp;N347&amp;"" and Col4 = date '""&amp;YEAR(C347)&amp;""-""&amp;MONTH(C347)&amp;""-""&amp;DAY(C347)&amp;""'""))&gt;0,""Caixa Atendimento"",""Caixa Sangria"")),""""),""Caixa Sangria"")"),"")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IFERROR(__xludf.DUMMYFUNCTION("ifna(IF(and(D348=""Saída"",J348=""Sangria""),if(sum(QUERY(IMPORTRANGE(""https://docs.google.com/spreadsheets/d/15vCx43UQd-lUcbnvwm-R2Xfhex1Wogrs1wY4DlXukMA/edit#gid=458192036"",""BD M Sangrias!a:i""),""select Col6 where Col7 = 'Depositada' and Col9 = '""&amp;"&amp;"K348&amp;""' and Col6 = ""&amp;N348&amp;"" and Col4 = date '""&amp;YEAR(C348)&amp;""-""&amp;MONTH(C348)&amp;""-""&amp;DAY(C348)&amp;""'""))&gt;0,""Depositada"",if(sum(QUERY(IMPORTRANGE(""https://docs.google.com/spreadsheets/d/15vCx43UQd-lUcbnvwm-R2Xfhex1Wogrs1wY4DlXukMA/edit#gid=458192036"","""&amp;"BD M Sangrias!a:i""),""select Col6 where Col7 = 'Caixa Atendimento' and Col9 = '""&amp;K348&amp;""' and Col6 = ""&amp;N348&amp;"" and Col4 = date '""&amp;YEAR(C348)&amp;""-""&amp;MONTH(C348)&amp;""-""&amp;DAY(C348)&amp;""'""))&gt;0,""Caixa Atendimento"",""Caixa Sangria"")),""""),""Caixa Sangria"")"),"")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IFERROR(__xludf.DUMMYFUNCTION("ifna(IF(and(D349=""Saída"",J349=""Sangria""),if(sum(QUERY(IMPORTRANGE(""https://docs.google.com/spreadsheets/d/15vCx43UQd-lUcbnvwm-R2Xfhex1Wogrs1wY4DlXukMA/edit#gid=458192036"",""BD M Sangrias!a:i""),""select Col6 where Col7 = 'Depositada' and Col9 = '""&amp;"&amp;"K349&amp;""' and Col6 = ""&amp;N349&amp;"" and Col4 = date '""&amp;YEAR(C349)&amp;""-""&amp;MONTH(C349)&amp;""-""&amp;DAY(C349)&amp;""'""))&gt;0,""Depositada"",if(sum(QUERY(IMPORTRANGE(""https://docs.google.com/spreadsheets/d/15vCx43UQd-lUcbnvwm-R2Xfhex1Wogrs1wY4DlXukMA/edit#gid=458192036"","""&amp;"BD M Sangrias!a:i""),""select Col6 where Col7 = 'Caixa Atendimento' and Col9 = '""&amp;K349&amp;""' and Col6 = ""&amp;N349&amp;"" and Col4 = date '""&amp;YEAR(C349)&amp;""-""&amp;MONTH(C349)&amp;""-""&amp;DAY(C349)&amp;""'""))&gt;0,""Caixa Atendimento"",""Caixa Sangria"")),""""),""Caixa Sangria"")"),"")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IFERROR(__xludf.DUMMYFUNCTION("ifna(IF(and(D350=""Saída"",J350=""Sangria""),if(sum(QUERY(IMPORTRANGE(""https://docs.google.com/spreadsheets/d/15vCx43UQd-lUcbnvwm-R2Xfhex1Wogrs1wY4DlXukMA/edit#gid=458192036"",""BD M Sangrias!a:i""),""select Col6 where Col7 = 'Depositada' and Col9 = '""&amp;"&amp;"K350&amp;""' and Col6 = ""&amp;N350&amp;"" and Col4 = date '""&amp;YEAR(C350)&amp;""-""&amp;MONTH(C350)&amp;""-""&amp;DAY(C350)&amp;""'""))&gt;0,""Depositada"",if(sum(QUERY(IMPORTRANGE(""https://docs.google.com/spreadsheets/d/15vCx43UQd-lUcbnvwm-R2Xfhex1Wogrs1wY4DlXukMA/edit#gid=458192036"","""&amp;"BD M Sangrias!a:i""),""select Col6 where Col7 = 'Caixa Atendimento' and Col9 = '""&amp;K350&amp;""' and Col6 = ""&amp;N350&amp;"" and Col4 = date '""&amp;YEAR(C350)&amp;""-""&amp;MONTH(C350)&amp;""-""&amp;DAY(C350)&amp;""'""))&gt;0,""Caixa Atendimento"",""Caixa Sangria"")),""""),""Caixa Sangria"")"),"")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IFERROR(__xludf.DUMMYFUNCTION("ifna(IF(and(D351=""Saída"",J351=""Sangria""),if(sum(QUERY(IMPORTRANGE(""https://docs.google.com/spreadsheets/d/15vCx43UQd-lUcbnvwm-R2Xfhex1Wogrs1wY4DlXukMA/edit#gid=458192036"",""BD M Sangrias!a:i""),""select Col6 where Col7 = 'Depositada' and Col9 = '""&amp;"&amp;"K351&amp;""' and Col6 = ""&amp;N351&amp;"" and Col4 = date '""&amp;YEAR(C351)&amp;""-""&amp;MONTH(C351)&amp;""-""&amp;DAY(C351)&amp;""'""))&gt;0,""Depositada"",if(sum(QUERY(IMPORTRANGE(""https://docs.google.com/spreadsheets/d/15vCx43UQd-lUcbnvwm-R2Xfhex1Wogrs1wY4DlXukMA/edit#gid=458192036"","""&amp;"BD M Sangrias!a:i""),""select Col6 where Col7 = 'Caixa Atendimento' and Col9 = '""&amp;K351&amp;""' and Col6 = ""&amp;N351&amp;"" and Col4 = date '""&amp;YEAR(C351)&amp;""-""&amp;MONTH(C351)&amp;""-""&amp;DAY(C351)&amp;""'""))&gt;0,""Caixa Atendimento"",""Caixa Sangria"")),""""),""Caixa Sangria"")"),"")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IFERROR(__xludf.DUMMYFUNCTION("ifna(IF(and(D352=""Saída"",J352=""Sangria""),if(sum(QUERY(IMPORTRANGE(""https://docs.google.com/spreadsheets/d/15vCx43UQd-lUcbnvwm-R2Xfhex1Wogrs1wY4DlXukMA/edit#gid=458192036"",""BD M Sangrias!a:i""),""select Col6 where Col7 = 'Depositada' and Col9 = '""&amp;"&amp;"K352&amp;""' and Col6 = ""&amp;N352&amp;"" and Col4 = date '""&amp;YEAR(C352)&amp;""-""&amp;MONTH(C352)&amp;""-""&amp;DAY(C352)&amp;""'""))&gt;0,""Depositada"",if(sum(QUERY(IMPORTRANGE(""https://docs.google.com/spreadsheets/d/15vCx43UQd-lUcbnvwm-R2Xfhex1Wogrs1wY4DlXukMA/edit#gid=458192036"","""&amp;"BD M Sangrias!a:i""),""select Col6 where Col7 = 'Caixa Atendimento' and Col9 = '""&amp;K352&amp;""' and Col6 = ""&amp;N352&amp;"" and Col4 = date '""&amp;YEAR(C352)&amp;""-""&amp;MONTH(C352)&amp;""-""&amp;DAY(C352)&amp;""'""))&gt;0,""Caixa Atendimento"",""Caixa Sangria"")),""""),""Caixa Sangria"")"),"")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IFERROR(__xludf.DUMMYFUNCTION("ifna(IF(and(D353=""Saída"",J353=""Sangria""),if(sum(QUERY(IMPORTRANGE(""https://docs.google.com/spreadsheets/d/15vCx43UQd-lUcbnvwm-R2Xfhex1Wogrs1wY4DlXukMA/edit#gid=458192036"",""BD M Sangrias!a:i""),""select Col6 where Col7 = 'Depositada' and Col9 = '""&amp;"&amp;"K353&amp;""' and Col6 = ""&amp;N353&amp;"" and Col4 = date '""&amp;YEAR(C353)&amp;""-""&amp;MONTH(C353)&amp;""-""&amp;DAY(C353)&amp;""'""))&gt;0,""Depositada"",if(sum(QUERY(IMPORTRANGE(""https://docs.google.com/spreadsheets/d/15vCx43UQd-lUcbnvwm-R2Xfhex1Wogrs1wY4DlXukMA/edit#gid=458192036"","""&amp;"BD M Sangrias!a:i""),""select Col6 where Col7 = 'Caixa Atendimento' and Col9 = '""&amp;K353&amp;""' and Col6 = ""&amp;N353&amp;"" and Col4 = date '""&amp;YEAR(C353)&amp;""-""&amp;MONTH(C353)&amp;""-""&amp;DAY(C353)&amp;""'""))&gt;0,""Caixa Atendimento"",""Caixa Sangria"")),""""),""Caixa Sangria"")"),"")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IFERROR(__xludf.DUMMYFUNCTION("ifna(IF(and(D354=""Saída"",J354=""Sangria""),if(sum(QUERY(IMPORTRANGE(""https://docs.google.com/spreadsheets/d/15vCx43UQd-lUcbnvwm-R2Xfhex1Wogrs1wY4DlXukMA/edit#gid=458192036"",""BD M Sangrias!a:i""),""select Col6 where Col7 = 'Depositada' and Col9 = '""&amp;"&amp;"K354&amp;""' and Col6 = ""&amp;N354&amp;"" and Col4 = date '""&amp;YEAR(C354)&amp;""-""&amp;MONTH(C354)&amp;""-""&amp;DAY(C354)&amp;""'""))&gt;0,""Depositada"",if(sum(QUERY(IMPORTRANGE(""https://docs.google.com/spreadsheets/d/15vCx43UQd-lUcbnvwm-R2Xfhex1Wogrs1wY4DlXukMA/edit#gid=458192036"","""&amp;"BD M Sangrias!a:i""),""select Col6 where Col7 = 'Caixa Atendimento' and Col9 = '""&amp;K354&amp;""' and Col6 = ""&amp;N354&amp;"" and Col4 = date '""&amp;YEAR(C354)&amp;""-""&amp;MONTH(C354)&amp;""-""&amp;DAY(C354)&amp;""'""))&gt;0,""Caixa Atendimento"",""Caixa Sangria"")),""""),""Caixa Sangria"")"),"")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IFERROR(__xludf.DUMMYFUNCTION("ifna(IF(and(D355=""Saída"",J355=""Sangria""),if(sum(QUERY(IMPORTRANGE(""https://docs.google.com/spreadsheets/d/15vCx43UQd-lUcbnvwm-R2Xfhex1Wogrs1wY4DlXukMA/edit#gid=458192036"",""BD M Sangrias!a:i""),""select Col6 where Col7 = 'Depositada' and Col9 = '""&amp;"&amp;"K355&amp;""' and Col6 = ""&amp;N355&amp;"" and Col4 = date '""&amp;YEAR(C355)&amp;""-""&amp;MONTH(C355)&amp;""-""&amp;DAY(C355)&amp;""'""))&gt;0,""Depositada"",if(sum(QUERY(IMPORTRANGE(""https://docs.google.com/spreadsheets/d/15vCx43UQd-lUcbnvwm-R2Xfhex1Wogrs1wY4DlXukMA/edit#gid=458192036"","""&amp;"BD M Sangrias!a:i""),""select Col6 where Col7 = 'Caixa Atendimento' and Col9 = '""&amp;K355&amp;""' and Col6 = ""&amp;N355&amp;"" and Col4 = date '""&amp;YEAR(C355)&amp;""-""&amp;MONTH(C355)&amp;""-""&amp;DAY(C355)&amp;""'""))&gt;0,""Caixa Atendimento"",""Caixa Sangria"")),""""),""Caixa Sangria"")"),"")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IFERROR(__xludf.DUMMYFUNCTION("ifna(IF(and(D356=""Saída"",J356=""Sangria""),if(sum(QUERY(IMPORTRANGE(""https://docs.google.com/spreadsheets/d/15vCx43UQd-lUcbnvwm-R2Xfhex1Wogrs1wY4DlXukMA/edit#gid=458192036"",""BD M Sangrias!a:i""),""select Col6 where Col7 = 'Depositada' and Col9 = '""&amp;"&amp;"K356&amp;""' and Col6 = ""&amp;N356&amp;"" and Col4 = date '""&amp;YEAR(C356)&amp;""-""&amp;MONTH(C356)&amp;""-""&amp;DAY(C356)&amp;""'""))&gt;0,""Depositada"",if(sum(QUERY(IMPORTRANGE(""https://docs.google.com/spreadsheets/d/15vCx43UQd-lUcbnvwm-R2Xfhex1Wogrs1wY4DlXukMA/edit#gid=458192036"","""&amp;"BD M Sangrias!a:i""),""select Col6 where Col7 = 'Caixa Atendimento' and Col9 = '""&amp;K356&amp;""' and Col6 = ""&amp;N356&amp;"" and Col4 = date '""&amp;YEAR(C356)&amp;""-""&amp;MONTH(C356)&amp;""-""&amp;DAY(C356)&amp;""'""))&gt;0,""Caixa Atendimento"",""Caixa Sangria"")),""""),""Caixa Sangria"")"),"")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IFERROR(__xludf.DUMMYFUNCTION("ifna(IF(and(D357=""Saída"",J357=""Sangria""),if(sum(QUERY(IMPORTRANGE(""https://docs.google.com/spreadsheets/d/15vCx43UQd-lUcbnvwm-R2Xfhex1Wogrs1wY4DlXukMA/edit#gid=458192036"",""BD M Sangrias!a:i""),""select Col6 where Col7 = 'Depositada' and Col9 = '""&amp;"&amp;"K357&amp;""' and Col6 = ""&amp;N357&amp;"" and Col4 = date '""&amp;YEAR(C357)&amp;""-""&amp;MONTH(C357)&amp;""-""&amp;DAY(C357)&amp;""'""))&gt;0,""Depositada"",if(sum(QUERY(IMPORTRANGE(""https://docs.google.com/spreadsheets/d/15vCx43UQd-lUcbnvwm-R2Xfhex1Wogrs1wY4DlXukMA/edit#gid=458192036"","""&amp;"BD M Sangrias!a:i""),""select Col6 where Col7 = 'Caixa Atendimento' and Col9 = '""&amp;K357&amp;""' and Col6 = ""&amp;N357&amp;"" and Col4 = date '""&amp;YEAR(C357)&amp;""-""&amp;MONTH(C357)&amp;""-""&amp;DAY(C357)&amp;""'""))&gt;0,""Caixa Atendimento"",""Caixa Sangria"")),""""),""Caixa Sangria"")"),"")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IFERROR(__xludf.DUMMYFUNCTION("ifna(IF(and(D358=""Saída"",J358=""Sangria""),if(sum(QUERY(IMPORTRANGE(""https://docs.google.com/spreadsheets/d/15vCx43UQd-lUcbnvwm-R2Xfhex1Wogrs1wY4DlXukMA/edit#gid=458192036"",""BD M Sangrias!a:i""),""select Col6 where Col7 = 'Depositada' and Col9 = '""&amp;"&amp;"K358&amp;""' and Col6 = ""&amp;N358&amp;"" and Col4 = date '""&amp;YEAR(C358)&amp;""-""&amp;MONTH(C358)&amp;""-""&amp;DAY(C358)&amp;""'""))&gt;0,""Depositada"",if(sum(QUERY(IMPORTRANGE(""https://docs.google.com/spreadsheets/d/15vCx43UQd-lUcbnvwm-R2Xfhex1Wogrs1wY4DlXukMA/edit#gid=458192036"","""&amp;"BD M Sangrias!a:i""),""select Col6 where Col7 = 'Caixa Atendimento' and Col9 = '""&amp;K358&amp;""' and Col6 = ""&amp;N358&amp;"" and Col4 = date '""&amp;YEAR(C358)&amp;""-""&amp;MONTH(C358)&amp;""-""&amp;DAY(C358)&amp;""'""))&gt;0,""Caixa Atendimento"",""Caixa Sangria"")),""""),""Caixa Sangria"")"),"")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IFERROR(__xludf.DUMMYFUNCTION("ifna(IF(and(D359=""Saída"",J359=""Sangria""),if(sum(QUERY(IMPORTRANGE(""https://docs.google.com/spreadsheets/d/15vCx43UQd-lUcbnvwm-R2Xfhex1Wogrs1wY4DlXukMA/edit#gid=458192036"",""BD M Sangrias!a:i""),""select Col6 where Col7 = 'Depositada' and Col9 = '""&amp;"&amp;"K359&amp;""' and Col6 = ""&amp;N359&amp;"" and Col4 = date '""&amp;YEAR(C359)&amp;""-""&amp;MONTH(C359)&amp;""-""&amp;DAY(C359)&amp;""'""))&gt;0,""Depositada"",if(sum(QUERY(IMPORTRANGE(""https://docs.google.com/spreadsheets/d/15vCx43UQd-lUcbnvwm-R2Xfhex1Wogrs1wY4DlXukMA/edit#gid=458192036"","""&amp;"BD M Sangrias!a:i""),""select Col6 where Col7 = 'Caixa Atendimento' and Col9 = '""&amp;K359&amp;""' and Col6 = ""&amp;N359&amp;"" and Col4 = date '""&amp;YEAR(C359)&amp;""-""&amp;MONTH(C359)&amp;""-""&amp;DAY(C359)&amp;""'""))&gt;0,""Caixa Atendimento"",""Caixa Sangria"")),""""),""Caixa Sangria"")"),"")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IFERROR(__xludf.DUMMYFUNCTION("ifna(IF(and(D360=""Saída"",J360=""Sangria""),if(sum(QUERY(IMPORTRANGE(""https://docs.google.com/spreadsheets/d/15vCx43UQd-lUcbnvwm-R2Xfhex1Wogrs1wY4DlXukMA/edit#gid=458192036"",""BD M Sangrias!a:i""),""select Col6 where Col7 = 'Depositada' and Col9 = '""&amp;"&amp;"K360&amp;""' and Col6 = ""&amp;N360&amp;"" and Col4 = date '""&amp;YEAR(C360)&amp;""-""&amp;MONTH(C360)&amp;""-""&amp;DAY(C360)&amp;""'""))&gt;0,""Depositada"",if(sum(QUERY(IMPORTRANGE(""https://docs.google.com/spreadsheets/d/15vCx43UQd-lUcbnvwm-R2Xfhex1Wogrs1wY4DlXukMA/edit#gid=458192036"","""&amp;"BD M Sangrias!a:i""),""select Col6 where Col7 = 'Caixa Atendimento' and Col9 = '""&amp;K360&amp;""' and Col6 = ""&amp;N360&amp;"" and Col4 = date '""&amp;YEAR(C360)&amp;""-""&amp;MONTH(C360)&amp;""-""&amp;DAY(C360)&amp;""'""))&gt;0,""Caixa Atendimento"",""Caixa Sangria"")),""""),""Caixa Sangria"")"),"")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IFERROR(__xludf.DUMMYFUNCTION("ifna(IF(and(D361=""Saída"",J361=""Sangria""),if(sum(QUERY(IMPORTRANGE(""https://docs.google.com/spreadsheets/d/15vCx43UQd-lUcbnvwm-R2Xfhex1Wogrs1wY4DlXukMA/edit#gid=458192036"",""BD M Sangrias!a:i""),""select Col6 where Col7 = 'Depositada' and Col9 = '""&amp;"&amp;"K361&amp;""' and Col6 = ""&amp;N361&amp;"" and Col4 = date '""&amp;YEAR(C361)&amp;""-""&amp;MONTH(C361)&amp;""-""&amp;DAY(C361)&amp;""'""))&gt;0,""Depositada"",if(sum(QUERY(IMPORTRANGE(""https://docs.google.com/spreadsheets/d/15vCx43UQd-lUcbnvwm-R2Xfhex1Wogrs1wY4DlXukMA/edit#gid=458192036"","""&amp;"BD M Sangrias!a:i""),""select Col6 where Col7 = 'Caixa Atendimento' and Col9 = '""&amp;K361&amp;""' and Col6 = ""&amp;N361&amp;"" and Col4 = date '""&amp;YEAR(C361)&amp;""-""&amp;MONTH(C361)&amp;""-""&amp;DAY(C361)&amp;""'""))&gt;0,""Caixa Atendimento"",""Caixa Sangria"")),""""),""Caixa Sangria"")"),"")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IFERROR(__xludf.DUMMYFUNCTION("ifna(IF(and(D362=""Saída"",J362=""Sangria""),if(sum(QUERY(IMPORTRANGE(""https://docs.google.com/spreadsheets/d/15vCx43UQd-lUcbnvwm-R2Xfhex1Wogrs1wY4DlXukMA/edit#gid=458192036"",""BD M Sangrias!a:i""),""select Col6 where Col7 = 'Depositada' and Col9 = '""&amp;"&amp;"K362&amp;""' and Col6 = ""&amp;N362&amp;"" and Col4 = date '""&amp;YEAR(C362)&amp;""-""&amp;MONTH(C362)&amp;""-""&amp;DAY(C362)&amp;""'""))&gt;0,""Depositada"",if(sum(QUERY(IMPORTRANGE(""https://docs.google.com/spreadsheets/d/15vCx43UQd-lUcbnvwm-R2Xfhex1Wogrs1wY4DlXukMA/edit#gid=458192036"","""&amp;"BD M Sangrias!a:i""),""select Col6 where Col7 = 'Caixa Atendimento' and Col9 = '""&amp;K362&amp;""' and Col6 = ""&amp;N362&amp;"" and Col4 = date '""&amp;YEAR(C362)&amp;""-""&amp;MONTH(C362)&amp;""-""&amp;DAY(C362)&amp;""'""))&gt;0,""Caixa Atendimento"",""Caixa Sangria"")),""""),""Caixa Sangria"")"),"")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IFERROR(__xludf.DUMMYFUNCTION("ifna(IF(and(D363=""Saída"",J363=""Sangria""),if(sum(QUERY(IMPORTRANGE(""https://docs.google.com/spreadsheets/d/15vCx43UQd-lUcbnvwm-R2Xfhex1Wogrs1wY4DlXukMA/edit#gid=458192036"",""BD M Sangrias!a:i""),""select Col6 where Col7 = 'Depositada' and Col9 = '""&amp;"&amp;"K363&amp;""' and Col6 = ""&amp;N363&amp;"" and Col4 = date '""&amp;YEAR(C363)&amp;""-""&amp;MONTH(C363)&amp;""-""&amp;DAY(C363)&amp;""'""))&gt;0,""Depositada"",if(sum(QUERY(IMPORTRANGE(""https://docs.google.com/spreadsheets/d/15vCx43UQd-lUcbnvwm-R2Xfhex1Wogrs1wY4DlXukMA/edit#gid=458192036"","""&amp;"BD M Sangrias!a:i""),""select Col6 where Col7 = 'Caixa Atendimento' and Col9 = '""&amp;K363&amp;""' and Col6 = ""&amp;N363&amp;"" and Col4 = date '""&amp;YEAR(C363)&amp;""-""&amp;MONTH(C363)&amp;""-""&amp;DAY(C363)&amp;""'""))&gt;0,""Caixa Atendimento"",""Caixa Sangria"")),""""),""Caixa Sangria"")"),"")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IFERROR(__xludf.DUMMYFUNCTION("ifna(IF(and(D364=""Saída"",J364=""Sangria""),if(sum(QUERY(IMPORTRANGE(""https://docs.google.com/spreadsheets/d/15vCx43UQd-lUcbnvwm-R2Xfhex1Wogrs1wY4DlXukMA/edit#gid=458192036"",""BD M Sangrias!a:i""),""select Col6 where Col7 = 'Depositada' and Col9 = '""&amp;"&amp;"K364&amp;""' and Col6 = ""&amp;N364&amp;"" and Col4 = date '""&amp;YEAR(C364)&amp;""-""&amp;MONTH(C364)&amp;""-""&amp;DAY(C364)&amp;""'""))&gt;0,""Depositada"",if(sum(QUERY(IMPORTRANGE(""https://docs.google.com/spreadsheets/d/15vCx43UQd-lUcbnvwm-R2Xfhex1Wogrs1wY4DlXukMA/edit#gid=458192036"","""&amp;"BD M Sangrias!a:i""),""select Col6 where Col7 = 'Caixa Atendimento' and Col9 = '""&amp;K364&amp;""' and Col6 = ""&amp;N364&amp;"" and Col4 = date '""&amp;YEAR(C364)&amp;""-""&amp;MONTH(C364)&amp;""-""&amp;DAY(C364)&amp;""'""))&gt;0,""Caixa Atendimento"",""Caixa Sangria"")),""""),""Caixa Sangria"")"),"")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IFERROR(__xludf.DUMMYFUNCTION("ifna(IF(and(D365=""Saída"",J365=""Sangria""),if(sum(QUERY(IMPORTRANGE(""https://docs.google.com/spreadsheets/d/15vCx43UQd-lUcbnvwm-R2Xfhex1Wogrs1wY4DlXukMA/edit#gid=458192036"",""BD M Sangrias!a:i""),""select Col6 where Col7 = 'Depositada' and Col9 = '""&amp;"&amp;"K365&amp;""' and Col6 = ""&amp;N365&amp;"" and Col4 = date '""&amp;YEAR(C365)&amp;""-""&amp;MONTH(C365)&amp;""-""&amp;DAY(C365)&amp;""'""))&gt;0,""Depositada"",if(sum(QUERY(IMPORTRANGE(""https://docs.google.com/spreadsheets/d/15vCx43UQd-lUcbnvwm-R2Xfhex1Wogrs1wY4DlXukMA/edit#gid=458192036"","""&amp;"BD M Sangrias!a:i""),""select Col6 where Col7 = 'Caixa Atendimento' and Col9 = '""&amp;K365&amp;""' and Col6 = ""&amp;N365&amp;"" and Col4 = date '""&amp;YEAR(C365)&amp;""-""&amp;MONTH(C365)&amp;""-""&amp;DAY(C365)&amp;""'""))&gt;0,""Caixa Atendimento"",""Caixa Sangria"")),""""),""Caixa Sangria"")"),"")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IFERROR(__xludf.DUMMYFUNCTION("ifna(IF(and(D366=""Saída"",J366=""Sangria""),if(sum(QUERY(IMPORTRANGE(""https://docs.google.com/spreadsheets/d/15vCx43UQd-lUcbnvwm-R2Xfhex1Wogrs1wY4DlXukMA/edit#gid=458192036"",""BD M Sangrias!a:i""),""select Col6 where Col7 = 'Depositada' and Col9 = '""&amp;"&amp;"K366&amp;""' and Col6 = ""&amp;N366&amp;"" and Col4 = date '""&amp;YEAR(C366)&amp;""-""&amp;MONTH(C366)&amp;""-""&amp;DAY(C366)&amp;""'""))&gt;0,""Depositada"",if(sum(QUERY(IMPORTRANGE(""https://docs.google.com/spreadsheets/d/15vCx43UQd-lUcbnvwm-R2Xfhex1Wogrs1wY4DlXukMA/edit#gid=458192036"","""&amp;"BD M Sangrias!a:i""),""select Col6 where Col7 = 'Caixa Atendimento' and Col9 = '""&amp;K366&amp;""' and Col6 = ""&amp;N366&amp;"" and Col4 = date '""&amp;YEAR(C366)&amp;""-""&amp;MONTH(C366)&amp;""-""&amp;DAY(C366)&amp;""'""))&gt;0,""Caixa Atendimento"",""Caixa Sangria"")),""""),""Caixa Sangria"")"),"")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IFERROR(__xludf.DUMMYFUNCTION("ifna(IF(and(D367=""Saída"",J367=""Sangria""),if(sum(QUERY(IMPORTRANGE(""https://docs.google.com/spreadsheets/d/15vCx43UQd-lUcbnvwm-R2Xfhex1Wogrs1wY4DlXukMA/edit#gid=458192036"",""BD M Sangrias!a:i""),""select Col6 where Col7 = 'Depositada' and Col9 = '""&amp;"&amp;"K367&amp;""' and Col6 = ""&amp;N367&amp;"" and Col4 = date '""&amp;YEAR(C367)&amp;""-""&amp;MONTH(C367)&amp;""-""&amp;DAY(C367)&amp;""'""))&gt;0,""Depositada"",if(sum(QUERY(IMPORTRANGE(""https://docs.google.com/spreadsheets/d/15vCx43UQd-lUcbnvwm-R2Xfhex1Wogrs1wY4DlXukMA/edit#gid=458192036"","""&amp;"BD M Sangrias!a:i""),""select Col6 where Col7 = 'Caixa Atendimento' and Col9 = '""&amp;K367&amp;""' and Col6 = ""&amp;N367&amp;"" and Col4 = date '""&amp;YEAR(C367)&amp;""-""&amp;MONTH(C367)&amp;""-""&amp;DAY(C367)&amp;""'""))&gt;0,""Caixa Atendimento"",""Caixa Sangria"")),""""),""Caixa Sangria"")"),"")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IFERROR(__xludf.DUMMYFUNCTION("ifna(IF(and(D368=""Saída"",J368=""Sangria""),if(sum(QUERY(IMPORTRANGE(""https://docs.google.com/spreadsheets/d/15vCx43UQd-lUcbnvwm-R2Xfhex1Wogrs1wY4DlXukMA/edit#gid=458192036"",""BD M Sangrias!a:i""),""select Col6 where Col7 = 'Depositada' and Col9 = '""&amp;"&amp;"K368&amp;""' and Col6 = ""&amp;N368&amp;"" and Col4 = date '""&amp;YEAR(C368)&amp;""-""&amp;MONTH(C368)&amp;""-""&amp;DAY(C368)&amp;""'""))&gt;0,""Depositada"",if(sum(QUERY(IMPORTRANGE(""https://docs.google.com/spreadsheets/d/15vCx43UQd-lUcbnvwm-R2Xfhex1Wogrs1wY4DlXukMA/edit#gid=458192036"","""&amp;"BD M Sangrias!a:i""),""select Col6 where Col7 = 'Caixa Atendimento' and Col9 = '""&amp;K368&amp;""' and Col6 = ""&amp;N368&amp;"" and Col4 = date '""&amp;YEAR(C368)&amp;""-""&amp;MONTH(C368)&amp;""-""&amp;DAY(C368)&amp;""'""))&gt;0,""Caixa Atendimento"",""Caixa Sangria"")),""""),""Caixa Sangria"")"),"")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IFERROR(__xludf.DUMMYFUNCTION("ifna(IF(and(D369=""Saída"",J369=""Sangria""),if(sum(QUERY(IMPORTRANGE(""https://docs.google.com/spreadsheets/d/15vCx43UQd-lUcbnvwm-R2Xfhex1Wogrs1wY4DlXukMA/edit#gid=458192036"",""BD M Sangrias!a:i""),""select Col6 where Col7 = 'Depositada' and Col9 = '""&amp;"&amp;"K369&amp;""' and Col6 = ""&amp;N369&amp;"" and Col4 = date '""&amp;YEAR(C369)&amp;""-""&amp;MONTH(C369)&amp;""-""&amp;DAY(C369)&amp;""'""))&gt;0,""Depositada"",if(sum(QUERY(IMPORTRANGE(""https://docs.google.com/spreadsheets/d/15vCx43UQd-lUcbnvwm-R2Xfhex1Wogrs1wY4DlXukMA/edit#gid=458192036"","""&amp;"BD M Sangrias!a:i""),""select Col6 where Col7 = 'Caixa Atendimento' and Col9 = '""&amp;K369&amp;""' and Col6 = ""&amp;N369&amp;"" and Col4 = date '""&amp;YEAR(C369)&amp;""-""&amp;MONTH(C369)&amp;""-""&amp;DAY(C369)&amp;""'""))&gt;0,""Caixa Atendimento"",""Caixa Sangria"")),""""),""Caixa Sangria"")"),"")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IFERROR(__xludf.DUMMYFUNCTION("ifna(IF(and(D370=""Saída"",J370=""Sangria""),if(sum(QUERY(IMPORTRANGE(""https://docs.google.com/spreadsheets/d/15vCx43UQd-lUcbnvwm-R2Xfhex1Wogrs1wY4DlXukMA/edit#gid=458192036"",""BD M Sangrias!a:i""),""select Col6 where Col7 = 'Depositada' and Col9 = '""&amp;"&amp;"K370&amp;""' and Col6 = ""&amp;N370&amp;"" and Col4 = date '""&amp;YEAR(C370)&amp;""-""&amp;MONTH(C370)&amp;""-""&amp;DAY(C370)&amp;""'""))&gt;0,""Depositada"",if(sum(QUERY(IMPORTRANGE(""https://docs.google.com/spreadsheets/d/15vCx43UQd-lUcbnvwm-R2Xfhex1Wogrs1wY4DlXukMA/edit#gid=458192036"","""&amp;"BD M Sangrias!a:i""),""select Col6 where Col7 = 'Caixa Atendimento' and Col9 = '""&amp;K370&amp;""' and Col6 = ""&amp;N370&amp;"" and Col4 = date '""&amp;YEAR(C370)&amp;""-""&amp;MONTH(C370)&amp;""-""&amp;DAY(C370)&amp;""'""))&gt;0,""Caixa Atendimento"",""Caixa Sangria"")),""""),""Caixa Sangria"")"),"")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IFERROR(__xludf.DUMMYFUNCTION("ifna(IF(and(D371=""Saída"",J371=""Sangria""),if(sum(QUERY(IMPORTRANGE(""https://docs.google.com/spreadsheets/d/15vCx43UQd-lUcbnvwm-R2Xfhex1Wogrs1wY4DlXukMA/edit#gid=458192036"",""BD M Sangrias!a:i""),""select Col6 where Col7 = 'Depositada' and Col9 = '""&amp;"&amp;"K371&amp;""' and Col6 = ""&amp;N371&amp;"" and Col4 = date '""&amp;YEAR(C371)&amp;""-""&amp;MONTH(C371)&amp;""-""&amp;DAY(C371)&amp;""'""))&gt;0,""Depositada"",if(sum(QUERY(IMPORTRANGE(""https://docs.google.com/spreadsheets/d/15vCx43UQd-lUcbnvwm-R2Xfhex1Wogrs1wY4DlXukMA/edit#gid=458192036"","""&amp;"BD M Sangrias!a:i""),""select Col6 where Col7 = 'Caixa Atendimento' and Col9 = '""&amp;K371&amp;""' and Col6 = ""&amp;N371&amp;"" and Col4 = date '""&amp;YEAR(C371)&amp;""-""&amp;MONTH(C371)&amp;""-""&amp;DAY(C371)&amp;""'""))&gt;0,""Caixa Atendimento"",""Caixa Sangria"")),""""),""Caixa Sangria"")"),"")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IFERROR(__xludf.DUMMYFUNCTION("ifna(IF(and(D372=""Saída"",J372=""Sangria""),if(sum(QUERY(IMPORTRANGE(""https://docs.google.com/spreadsheets/d/15vCx43UQd-lUcbnvwm-R2Xfhex1Wogrs1wY4DlXukMA/edit#gid=458192036"",""BD M Sangrias!a:i""),""select Col6 where Col7 = 'Depositada' and Col9 = '""&amp;"&amp;"K372&amp;""' and Col6 = ""&amp;N372&amp;"" and Col4 = date '""&amp;YEAR(C372)&amp;""-""&amp;MONTH(C372)&amp;""-""&amp;DAY(C372)&amp;""'""))&gt;0,""Depositada"",if(sum(QUERY(IMPORTRANGE(""https://docs.google.com/spreadsheets/d/15vCx43UQd-lUcbnvwm-R2Xfhex1Wogrs1wY4DlXukMA/edit#gid=458192036"","""&amp;"BD M Sangrias!a:i""),""select Col6 where Col7 = 'Caixa Atendimento' and Col9 = '""&amp;K372&amp;""' and Col6 = ""&amp;N372&amp;"" and Col4 = date '""&amp;YEAR(C372)&amp;""-""&amp;MONTH(C372)&amp;""-""&amp;DAY(C372)&amp;""'""))&gt;0,""Caixa Atendimento"",""Caixa Sangria"")),""""),""Caixa Sangria"")"),"")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IFERROR(__xludf.DUMMYFUNCTION("ifna(IF(and(D373=""Saída"",J373=""Sangria""),if(sum(QUERY(IMPORTRANGE(""https://docs.google.com/spreadsheets/d/15vCx43UQd-lUcbnvwm-R2Xfhex1Wogrs1wY4DlXukMA/edit#gid=458192036"",""BD M Sangrias!a:i""),""select Col6 where Col7 = 'Depositada' and Col9 = '""&amp;"&amp;"K373&amp;""' and Col6 = ""&amp;N373&amp;"" and Col4 = date '""&amp;YEAR(C373)&amp;""-""&amp;MONTH(C373)&amp;""-""&amp;DAY(C373)&amp;""'""))&gt;0,""Depositada"",if(sum(QUERY(IMPORTRANGE(""https://docs.google.com/spreadsheets/d/15vCx43UQd-lUcbnvwm-R2Xfhex1Wogrs1wY4DlXukMA/edit#gid=458192036"","""&amp;"BD M Sangrias!a:i""),""select Col6 where Col7 = 'Caixa Atendimento' and Col9 = '""&amp;K373&amp;""' and Col6 = ""&amp;N373&amp;"" and Col4 = date '""&amp;YEAR(C373)&amp;""-""&amp;MONTH(C373)&amp;""-""&amp;DAY(C373)&amp;""'""))&gt;0,""Caixa Atendimento"",""Caixa Sangria"")),""""),""Caixa Sangria"")"),"")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IFERROR(__xludf.DUMMYFUNCTION("ifna(IF(and(D374=""Saída"",J374=""Sangria""),if(sum(QUERY(IMPORTRANGE(""https://docs.google.com/spreadsheets/d/15vCx43UQd-lUcbnvwm-R2Xfhex1Wogrs1wY4DlXukMA/edit#gid=458192036"",""BD M Sangrias!a:i""),""select Col6 where Col7 = 'Depositada' and Col9 = '""&amp;"&amp;"K374&amp;""' and Col6 = ""&amp;N374&amp;"" and Col4 = date '""&amp;YEAR(C374)&amp;""-""&amp;MONTH(C374)&amp;""-""&amp;DAY(C374)&amp;""'""))&gt;0,""Depositada"",if(sum(QUERY(IMPORTRANGE(""https://docs.google.com/spreadsheets/d/15vCx43UQd-lUcbnvwm-R2Xfhex1Wogrs1wY4DlXukMA/edit#gid=458192036"","""&amp;"BD M Sangrias!a:i""),""select Col6 where Col7 = 'Caixa Atendimento' and Col9 = '""&amp;K374&amp;""' and Col6 = ""&amp;N374&amp;"" and Col4 = date '""&amp;YEAR(C374)&amp;""-""&amp;MONTH(C374)&amp;""-""&amp;DAY(C374)&amp;""'""))&gt;0,""Caixa Atendimento"",""Caixa Sangria"")),""""),""Caixa Sangria"")"),"")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IFERROR(__xludf.DUMMYFUNCTION("ifna(IF(and(D375=""Saída"",J375=""Sangria""),if(sum(QUERY(IMPORTRANGE(""https://docs.google.com/spreadsheets/d/15vCx43UQd-lUcbnvwm-R2Xfhex1Wogrs1wY4DlXukMA/edit#gid=458192036"",""BD M Sangrias!a:i""),""select Col6 where Col7 = 'Depositada' and Col9 = '""&amp;"&amp;"K375&amp;""' and Col6 = ""&amp;N375&amp;"" and Col4 = date '""&amp;YEAR(C375)&amp;""-""&amp;MONTH(C375)&amp;""-""&amp;DAY(C375)&amp;""'""))&gt;0,""Depositada"",if(sum(QUERY(IMPORTRANGE(""https://docs.google.com/spreadsheets/d/15vCx43UQd-lUcbnvwm-R2Xfhex1Wogrs1wY4DlXukMA/edit#gid=458192036"","""&amp;"BD M Sangrias!a:i""),""select Col6 where Col7 = 'Caixa Atendimento' and Col9 = '""&amp;K375&amp;""' and Col6 = ""&amp;N375&amp;"" and Col4 = date '""&amp;YEAR(C375)&amp;""-""&amp;MONTH(C375)&amp;""-""&amp;DAY(C375)&amp;""'""))&gt;0,""Caixa Atendimento"",""Caixa Sangria"")),""""),""Caixa Sangria"")"),"")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IFERROR(__xludf.DUMMYFUNCTION("ifna(IF(and(D376=""Saída"",J376=""Sangria""),if(sum(QUERY(IMPORTRANGE(""https://docs.google.com/spreadsheets/d/15vCx43UQd-lUcbnvwm-R2Xfhex1Wogrs1wY4DlXukMA/edit#gid=458192036"",""BD M Sangrias!a:i""),""select Col6 where Col7 = 'Depositada' and Col9 = '""&amp;"&amp;"K376&amp;""' and Col6 = ""&amp;N376&amp;"" and Col4 = date '""&amp;YEAR(C376)&amp;""-""&amp;MONTH(C376)&amp;""-""&amp;DAY(C376)&amp;""'""))&gt;0,""Depositada"",if(sum(QUERY(IMPORTRANGE(""https://docs.google.com/spreadsheets/d/15vCx43UQd-lUcbnvwm-R2Xfhex1Wogrs1wY4DlXukMA/edit#gid=458192036"","""&amp;"BD M Sangrias!a:i""),""select Col6 where Col7 = 'Caixa Atendimento' and Col9 = '""&amp;K376&amp;""' and Col6 = ""&amp;N376&amp;"" and Col4 = date '""&amp;YEAR(C376)&amp;""-""&amp;MONTH(C376)&amp;""-""&amp;DAY(C376)&amp;""'""))&gt;0,""Caixa Atendimento"",""Caixa Sangria"")),""""),""Caixa Sangria"")"),"")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IFERROR(__xludf.DUMMYFUNCTION("ifna(IF(and(D377=""Saída"",J377=""Sangria""),if(sum(QUERY(IMPORTRANGE(""https://docs.google.com/spreadsheets/d/15vCx43UQd-lUcbnvwm-R2Xfhex1Wogrs1wY4DlXukMA/edit#gid=458192036"",""BD M Sangrias!a:i""),""select Col6 where Col7 = 'Depositada' and Col9 = '""&amp;"&amp;"K377&amp;""' and Col6 = ""&amp;N377&amp;"" and Col4 = date '""&amp;YEAR(C377)&amp;""-""&amp;MONTH(C377)&amp;""-""&amp;DAY(C377)&amp;""'""))&gt;0,""Depositada"",if(sum(QUERY(IMPORTRANGE(""https://docs.google.com/spreadsheets/d/15vCx43UQd-lUcbnvwm-R2Xfhex1Wogrs1wY4DlXukMA/edit#gid=458192036"","""&amp;"BD M Sangrias!a:i""),""select Col6 where Col7 = 'Caixa Atendimento' and Col9 = '""&amp;K377&amp;""' and Col6 = ""&amp;N377&amp;"" and Col4 = date '""&amp;YEAR(C377)&amp;""-""&amp;MONTH(C377)&amp;""-""&amp;DAY(C377)&amp;""'""))&gt;0,""Caixa Atendimento"",""Caixa Sangria"")),""""),""Caixa Sangria"")"),"")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IFERROR(__xludf.DUMMYFUNCTION("ifna(IF(and(D378=""Saída"",J378=""Sangria""),if(sum(QUERY(IMPORTRANGE(""https://docs.google.com/spreadsheets/d/15vCx43UQd-lUcbnvwm-R2Xfhex1Wogrs1wY4DlXukMA/edit#gid=458192036"",""BD M Sangrias!a:i""),""select Col6 where Col7 = 'Depositada' and Col9 = '""&amp;"&amp;"K378&amp;""' and Col6 = ""&amp;N378&amp;"" and Col4 = date '""&amp;YEAR(C378)&amp;""-""&amp;MONTH(C378)&amp;""-""&amp;DAY(C378)&amp;""'""))&gt;0,""Depositada"",if(sum(QUERY(IMPORTRANGE(""https://docs.google.com/spreadsheets/d/15vCx43UQd-lUcbnvwm-R2Xfhex1Wogrs1wY4DlXukMA/edit#gid=458192036"","""&amp;"BD M Sangrias!a:i""),""select Col6 where Col7 = 'Caixa Atendimento' and Col9 = '""&amp;K378&amp;""' and Col6 = ""&amp;N378&amp;"" and Col4 = date '""&amp;YEAR(C378)&amp;""-""&amp;MONTH(C378)&amp;""-""&amp;DAY(C378)&amp;""'""))&gt;0,""Caixa Atendimento"",""Caixa Sangria"")),""""),""Caixa Sangria"")"),"")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IFERROR(__xludf.DUMMYFUNCTION("ifna(IF(and(D379=""Saída"",J379=""Sangria""),if(sum(QUERY(IMPORTRANGE(""https://docs.google.com/spreadsheets/d/15vCx43UQd-lUcbnvwm-R2Xfhex1Wogrs1wY4DlXukMA/edit#gid=458192036"",""BD M Sangrias!a:i""),""select Col6 where Col7 = 'Depositada' and Col9 = '""&amp;"&amp;"K379&amp;""' and Col6 = ""&amp;N379&amp;"" and Col4 = date '""&amp;YEAR(C379)&amp;""-""&amp;MONTH(C379)&amp;""-""&amp;DAY(C379)&amp;""'""))&gt;0,""Depositada"",if(sum(QUERY(IMPORTRANGE(""https://docs.google.com/spreadsheets/d/15vCx43UQd-lUcbnvwm-R2Xfhex1Wogrs1wY4DlXukMA/edit#gid=458192036"","""&amp;"BD M Sangrias!a:i""),""select Col6 where Col7 = 'Caixa Atendimento' and Col9 = '""&amp;K379&amp;""' and Col6 = ""&amp;N379&amp;"" and Col4 = date '""&amp;YEAR(C379)&amp;""-""&amp;MONTH(C379)&amp;""-""&amp;DAY(C379)&amp;""'""))&gt;0,""Caixa Atendimento"",""Caixa Sangria"")),""""),""Caixa Sangria"")"),"")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IFERROR(__xludf.DUMMYFUNCTION("ifna(IF(and(D380=""Saída"",J380=""Sangria""),if(sum(QUERY(IMPORTRANGE(""https://docs.google.com/spreadsheets/d/15vCx43UQd-lUcbnvwm-R2Xfhex1Wogrs1wY4DlXukMA/edit#gid=458192036"",""BD M Sangrias!a:i""),""select Col6 where Col7 = 'Depositada' and Col9 = '""&amp;"&amp;"K380&amp;""' and Col6 = ""&amp;N380&amp;"" and Col4 = date '""&amp;YEAR(C380)&amp;""-""&amp;MONTH(C380)&amp;""-""&amp;DAY(C380)&amp;""'""))&gt;0,""Depositada"",if(sum(QUERY(IMPORTRANGE(""https://docs.google.com/spreadsheets/d/15vCx43UQd-lUcbnvwm-R2Xfhex1Wogrs1wY4DlXukMA/edit#gid=458192036"","""&amp;"BD M Sangrias!a:i""),""select Col6 where Col7 = 'Caixa Atendimento' and Col9 = '""&amp;K380&amp;""' and Col6 = ""&amp;N380&amp;"" and Col4 = date '""&amp;YEAR(C380)&amp;""-""&amp;MONTH(C380)&amp;""-""&amp;DAY(C380)&amp;""'""))&gt;0,""Caixa Atendimento"",""Caixa Sangria"")),""""),""Caixa Sangria"")"),"")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IFERROR(__xludf.DUMMYFUNCTION("ifna(IF(and(D381=""Saída"",J381=""Sangria""),if(sum(QUERY(IMPORTRANGE(""https://docs.google.com/spreadsheets/d/15vCx43UQd-lUcbnvwm-R2Xfhex1Wogrs1wY4DlXukMA/edit#gid=458192036"",""BD M Sangrias!a:i""),""select Col6 where Col7 = 'Depositada' and Col9 = '""&amp;"&amp;"K381&amp;""' and Col6 = ""&amp;N381&amp;"" and Col4 = date '""&amp;YEAR(C381)&amp;""-""&amp;MONTH(C381)&amp;""-""&amp;DAY(C381)&amp;""'""))&gt;0,""Depositada"",if(sum(QUERY(IMPORTRANGE(""https://docs.google.com/spreadsheets/d/15vCx43UQd-lUcbnvwm-R2Xfhex1Wogrs1wY4DlXukMA/edit#gid=458192036"","""&amp;"BD M Sangrias!a:i""),""select Col6 where Col7 = 'Caixa Atendimento' and Col9 = '""&amp;K381&amp;""' and Col6 = ""&amp;N381&amp;"" and Col4 = date '""&amp;YEAR(C381)&amp;""-""&amp;MONTH(C381)&amp;""-""&amp;DAY(C381)&amp;""'""))&gt;0,""Caixa Atendimento"",""Caixa Sangria"")),""""),""Caixa Sangria"")"),"")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IFERROR(__xludf.DUMMYFUNCTION("ifna(IF(and(D382=""Saída"",J382=""Sangria""),if(sum(QUERY(IMPORTRANGE(""https://docs.google.com/spreadsheets/d/15vCx43UQd-lUcbnvwm-R2Xfhex1Wogrs1wY4DlXukMA/edit#gid=458192036"",""BD M Sangrias!a:i""),""select Col6 where Col7 = 'Depositada' and Col9 = '""&amp;"&amp;"K382&amp;""' and Col6 = ""&amp;N382&amp;"" and Col4 = date '""&amp;YEAR(C382)&amp;""-""&amp;MONTH(C382)&amp;""-""&amp;DAY(C382)&amp;""'""))&gt;0,""Depositada"",if(sum(QUERY(IMPORTRANGE(""https://docs.google.com/spreadsheets/d/15vCx43UQd-lUcbnvwm-R2Xfhex1Wogrs1wY4DlXukMA/edit#gid=458192036"","""&amp;"BD M Sangrias!a:i""),""select Col6 where Col7 = 'Caixa Atendimento' and Col9 = '""&amp;K382&amp;""' and Col6 = ""&amp;N382&amp;"" and Col4 = date '""&amp;YEAR(C382)&amp;""-""&amp;MONTH(C382)&amp;""-""&amp;DAY(C382)&amp;""'""))&gt;0,""Caixa Atendimento"",""Caixa Sangria"")),""""),""Caixa Sangria"")"),"")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IFERROR(__xludf.DUMMYFUNCTION("ifna(IF(and(D383=""Saída"",J383=""Sangria""),if(sum(QUERY(IMPORTRANGE(""https://docs.google.com/spreadsheets/d/15vCx43UQd-lUcbnvwm-R2Xfhex1Wogrs1wY4DlXukMA/edit#gid=458192036"",""BD M Sangrias!a:i""),""select Col6 where Col7 = 'Depositada' and Col9 = '""&amp;"&amp;"K383&amp;""' and Col6 = ""&amp;N383&amp;"" and Col4 = date '""&amp;YEAR(C383)&amp;""-""&amp;MONTH(C383)&amp;""-""&amp;DAY(C383)&amp;""'""))&gt;0,""Depositada"",if(sum(QUERY(IMPORTRANGE(""https://docs.google.com/spreadsheets/d/15vCx43UQd-lUcbnvwm-R2Xfhex1Wogrs1wY4DlXukMA/edit#gid=458192036"","""&amp;"BD M Sangrias!a:i""),""select Col6 where Col7 = 'Caixa Atendimento' and Col9 = '""&amp;K383&amp;""' and Col6 = ""&amp;N383&amp;"" and Col4 = date '""&amp;YEAR(C383)&amp;""-""&amp;MONTH(C383)&amp;""-""&amp;DAY(C383)&amp;""'""))&gt;0,""Caixa Atendimento"",""Caixa Sangria"")),""""),""Caixa Sangria"")"),"")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IFERROR(__xludf.DUMMYFUNCTION("ifna(IF(and(D384=""Saída"",J384=""Sangria""),if(sum(QUERY(IMPORTRANGE(""https://docs.google.com/spreadsheets/d/15vCx43UQd-lUcbnvwm-R2Xfhex1Wogrs1wY4DlXukMA/edit#gid=458192036"",""BD M Sangrias!a:i""),""select Col6 where Col7 = 'Depositada' and Col9 = '""&amp;"&amp;"K384&amp;""' and Col6 = ""&amp;N384&amp;"" and Col4 = date '""&amp;YEAR(C384)&amp;""-""&amp;MONTH(C384)&amp;""-""&amp;DAY(C384)&amp;""'""))&gt;0,""Depositada"",if(sum(QUERY(IMPORTRANGE(""https://docs.google.com/spreadsheets/d/15vCx43UQd-lUcbnvwm-R2Xfhex1Wogrs1wY4DlXukMA/edit#gid=458192036"","""&amp;"BD M Sangrias!a:i""),""select Col6 where Col7 = 'Caixa Atendimento' and Col9 = '""&amp;K384&amp;""' and Col6 = ""&amp;N384&amp;"" and Col4 = date '""&amp;YEAR(C384)&amp;""-""&amp;MONTH(C384)&amp;""-""&amp;DAY(C384)&amp;""'""))&gt;0,""Caixa Atendimento"",""Caixa Sangria"")),""""),""Caixa Sangria"")"),"")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IFERROR(__xludf.DUMMYFUNCTION("ifna(IF(and(D385=""Saída"",J385=""Sangria""),if(sum(QUERY(IMPORTRANGE(""https://docs.google.com/spreadsheets/d/15vCx43UQd-lUcbnvwm-R2Xfhex1Wogrs1wY4DlXukMA/edit#gid=458192036"",""BD M Sangrias!a:i""),""select Col6 where Col7 = 'Depositada' and Col9 = '""&amp;"&amp;"K385&amp;""' and Col6 = ""&amp;N385&amp;"" and Col4 = date '""&amp;YEAR(C385)&amp;""-""&amp;MONTH(C385)&amp;""-""&amp;DAY(C385)&amp;""'""))&gt;0,""Depositada"",if(sum(QUERY(IMPORTRANGE(""https://docs.google.com/spreadsheets/d/15vCx43UQd-lUcbnvwm-R2Xfhex1Wogrs1wY4DlXukMA/edit#gid=458192036"","""&amp;"BD M Sangrias!a:i""),""select Col6 where Col7 = 'Caixa Atendimento' and Col9 = '""&amp;K385&amp;""' and Col6 = ""&amp;N385&amp;"" and Col4 = date '""&amp;YEAR(C385)&amp;""-""&amp;MONTH(C385)&amp;""-""&amp;DAY(C385)&amp;""'""))&gt;0,""Caixa Atendimento"",""Caixa Sangria"")),""""),""Caixa Sangria"")"),"")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IFERROR(__xludf.DUMMYFUNCTION("ifna(IF(and(D386=""Saída"",J386=""Sangria""),if(sum(QUERY(IMPORTRANGE(""https://docs.google.com/spreadsheets/d/15vCx43UQd-lUcbnvwm-R2Xfhex1Wogrs1wY4DlXukMA/edit#gid=458192036"",""BD M Sangrias!a:i""),""select Col6 where Col7 = 'Depositada' and Col9 = '""&amp;"&amp;"K386&amp;""' and Col6 = ""&amp;N386&amp;"" and Col4 = date '""&amp;YEAR(C386)&amp;""-""&amp;MONTH(C386)&amp;""-""&amp;DAY(C386)&amp;""'""))&gt;0,""Depositada"",if(sum(QUERY(IMPORTRANGE(""https://docs.google.com/spreadsheets/d/15vCx43UQd-lUcbnvwm-R2Xfhex1Wogrs1wY4DlXukMA/edit#gid=458192036"","""&amp;"BD M Sangrias!a:i""),""select Col6 where Col7 = 'Caixa Atendimento' and Col9 = '""&amp;K386&amp;""' and Col6 = ""&amp;N386&amp;"" and Col4 = date '""&amp;YEAR(C386)&amp;""-""&amp;MONTH(C386)&amp;""-""&amp;DAY(C386)&amp;""'""))&gt;0,""Caixa Atendimento"",""Caixa Sangria"")),""""),""Caixa Sangria"")"),"")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IFERROR(__xludf.DUMMYFUNCTION("ifna(IF(and(D387=""Saída"",J387=""Sangria""),if(sum(QUERY(IMPORTRANGE(""https://docs.google.com/spreadsheets/d/15vCx43UQd-lUcbnvwm-R2Xfhex1Wogrs1wY4DlXukMA/edit#gid=458192036"",""BD M Sangrias!a:i""),""select Col6 where Col7 = 'Depositada' and Col9 = '""&amp;"&amp;"K387&amp;""' and Col6 = ""&amp;N387&amp;"" and Col4 = date '""&amp;YEAR(C387)&amp;""-""&amp;MONTH(C387)&amp;""-""&amp;DAY(C387)&amp;""'""))&gt;0,""Depositada"",if(sum(QUERY(IMPORTRANGE(""https://docs.google.com/spreadsheets/d/15vCx43UQd-lUcbnvwm-R2Xfhex1Wogrs1wY4DlXukMA/edit#gid=458192036"","""&amp;"BD M Sangrias!a:i""),""select Col6 where Col7 = 'Caixa Atendimento' and Col9 = '""&amp;K387&amp;""' and Col6 = ""&amp;N387&amp;"" and Col4 = date '""&amp;YEAR(C387)&amp;""-""&amp;MONTH(C387)&amp;""-""&amp;DAY(C387)&amp;""'""))&gt;0,""Caixa Atendimento"",""Caixa Sangria"")),""""),""Caixa Sangria"")"),"")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IFERROR(__xludf.DUMMYFUNCTION("ifna(IF(and(D388=""Saída"",J388=""Sangria""),if(sum(QUERY(IMPORTRANGE(""https://docs.google.com/spreadsheets/d/15vCx43UQd-lUcbnvwm-R2Xfhex1Wogrs1wY4DlXukMA/edit#gid=458192036"",""BD M Sangrias!a:i""),""select Col6 where Col7 = 'Depositada' and Col9 = '""&amp;"&amp;"K388&amp;""' and Col6 = ""&amp;N388&amp;"" and Col4 = date '""&amp;YEAR(C388)&amp;""-""&amp;MONTH(C388)&amp;""-""&amp;DAY(C388)&amp;""'""))&gt;0,""Depositada"",if(sum(QUERY(IMPORTRANGE(""https://docs.google.com/spreadsheets/d/15vCx43UQd-lUcbnvwm-R2Xfhex1Wogrs1wY4DlXukMA/edit#gid=458192036"","""&amp;"BD M Sangrias!a:i""),""select Col6 where Col7 = 'Caixa Atendimento' and Col9 = '""&amp;K388&amp;""' and Col6 = ""&amp;N388&amp;"" and Col4 = date '""&amp;YEAR(C388)&amp;""-""&amp;MONTH(C388)&amp;""-""&amp;DAY(C388)&amp;""'""))&gt;0,""Caixa Atendimento"",""Caixa Sangria"")),""""),""Caixa Sangria"")"),"")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IFERROR(__xludf.DUMMYFUNCTION("ifna(IF(and(D389=""Saída"",J389=""Sangria""),if(sum(QUERY(IMPORTRANGE(""https://docs.google.com/spreadsheets/d/15vCx43UQd-lUcbnvwm-R2Xfhex1Wogrs1wY4DlXukMA/edit#gid=458192036"",""BD M Sangrias!a:i""),""select Col6 where Col7 = 'Depositada' and Col9 = '""&amp;"&amp;"K389&amp;""' and Col6 = ""&amp;N389&amp;"" and Col4 = date '""&amp;YEAR(C389)&amp;""-""&amp;MONTH(C389)&amp;""-""&amp;DAY(C389)&amp;""'""))&gt;0,""Depositada"",if(sum(QUERY(IMPORTRANGE(""https://docs.google.com/spreadsheets/d/15vCx43UQd-lUcbnvwm-R2Xfhex1Wogrs1wY4DlXukMA/edit#gid=458192036"","""&amp;"BD M Sangrias!a:i""),""select Col6 where Col7 = 'Caixa Atendimento' and Col9 = '""&amp;K389&amp;""' and Col6 = ""&amp;N389&amp;"" and Col4 = date '""&amp;YEAR(C389)&amp;""-""&amp;MONTH(C389)&amp;""-""&amp;DAY(C389)&amp;""'""))&gt;0,""Caixa Atendimento"",""Caixa Sangria"")),""""),""Caixa Sangria"")"),"")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IFERROR(__xludf.DUMMYFUNCTION("ifna(IF(and(D390=""Saída"",J390=""Sangria""),if(sum(QUERY(IMPORTRANGE(""https://docs.google.com/spreadsheets/d/15vCx43UQd-lUcbnvwm-R2Xfhex1Wogrs1wY4DlXukMA/edit#gid=458192036"",""BD M Sangrias!a:i""),""select Col6 where Col7 = 'Depositada' and Col9 = '""&amp;"&amp;"K390&amp;""' and Col6 = ""&amp;N390&amp;"" and Col4 = date '""&amp;YEAR(C390)&amp;""-""&amp;MONTH(C390)&amp;""-""&amp;DAY(C390)&amp;""'""))&gt;0,""Depositada"",if(sum(QUERY(IMPORTRANGE(""https://docs.google.com/spreadsheets/d/15vCx43UQd-lUcbnvwm-R2Xfhex1Wogrs1wY4DlXukMA/edit#gid=458192036"","""&amp;"BD M Sangrias!a:i""),""select Col6 where Col7 = 'Caixa Atendimento' and Col9 = '""&amp;K390&amp;""' and Col6 = ""&amp;N390&amp;"" and Col4 = date '""&amp;YEAR(C390)&amp;""-""&amp;MONTH(C390)&amp;""-""&amp;DAY(C390)&amp;""'""))&gt;0,""Caixa Atendimento"",""Caixa Sangria"")),""""),""Caixa Sangria"")"),"")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IFERROR(__xludf.DUMMYFUNCTION("ifna(IF(and(D391=""Saída"",J391=""Sangria""),if(sum(QUERY(IMPORTRANGE(""https://docs.google.com/spreadsheets/d/15vCx43UQd-lUcbnvwm-R2Xfhex1Wogrs1wY4DlXukMA/edit#gid=458192036"",""BD M Sangrias!a:i""),""select Col6 where Col7 = 'Depositada' and Col9 = '""&amp;"&amp;"K391&amp;""' and Col6 = ""&amp;N391&amp;"" and Col4 = date '""&amp;YEAR(C391)&amp;""-""&amp;MONTH(C391)&amp;""-""&amp;DAY(C391)&amp;""'""))&gt;0,""Depositada"",if(sum(QUERY(IMPORTRANGE(""https://docs.google.com/spreadsheets/d/15vCx43UQd-lUcbnvwm-R2Xfhex1Wogrs1wY4DlXukMA/edit#gid=458192036"","""&amp;"BD M Sangrias!a:i""),""select Col6 where Col7 = 'Caixa Atendimento' and Col9 = '""&amp;K391&amp;""' and Col6 = ""&amp;N391&amp;"" and Col4 = date '""&amp;YEAR(C391)&amp;""-""&amp;MONTH(C391)&amp;""-""&amp;DAY(C391)&amp;""'""))&gt;0,""Caixa Atendimento"",""Caixa Sangria"")),""""),""Caixa Sangria"")"),"")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IFERROR(__xludf.DUMMYFUNCTION("ifna(IF(and(D392=""Saída"",J392=""Sangria""),if(sum(QUERY(IMPORTRANGE(""https://docs.google.com/spreadsheets/d/15vCx43UQd-lUcbnvwm-R2Xfhex1Wogrs1wY4DlXukMA/edit#gid=458192036"",""BD M Sangrias!a:i""),""select Col6 where Col7 = 'Depositada' and Col9 = '""&amp;"&amp;"K392&amp;""' and Col6 = ""&amp;N392&amp;"" and Col4 = date '""&amp;YEAR(C392)&amp;""-""&amp;MONTH(C392)&amp;""-""&amp;DAY(C392)&amp;""'""))&gt;0,""Depositada"",if(sum(QUERY(IMPORTRANGE(""https://docs.google.com/spreadsheets/d/15vCx43UQd-lUcbnvwm-R2Xfhex1Wogrs1wY4DlXukMA/edit#gid=458192036"","""&amp;"BD M Sangrias!a:i""),""select Col6 where Col7 = 'Caixa Atendimento' and Col9 = '""&amp;K392&amp;""' and Col6 = ""&amp;N392&amp;"" and Col4 = date '""&amp;YEAR(C392)&amp;""-""&amp;MONTH(C392)&amp;""-""&amp;DAY(C392)&amp;""'""))&gt;0,""Caixa Atendimento"",""Caixa Sangria"")),""""),""Caixa Sangria"")"),"")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IFERROR(__xludf.DUMMYFUNCTION("ifna(IF(and(D393=""Saída"",J393=""Sangria""),if(sum(QUERY(IMPORTRANGE(""https://docs.google.com/spreadsheets/d/15vCx43UQd-lUcbnvwm-R2Xfhex1Wogrs1wY4DlXukMA/edit#gid=458192036"",""BD M Sangrias!a:i""),""select Col6 where Col7 = 'Depositada' and Col9 = '""&amp;"&amp;"K393&amp;""' and Col6 = ""&amp;N393&amp;"" and Col4 = date '""&amp;YEAR(C393)&amp;""-""&amp;MONTH(C393)&amp;""-""&amp;DAY(C393)&amp;""'""))&gt;0,""Depositada"",if(sum(QUERY(IMPORTRANGE(""https://docs.google.com/spreadsheets/d/15vCx43UQd-lUcbnvwm-R2Xfhex1Wogrs1wY4DlXukMA/edit#gid=458192036"","""&amp;"BD M Sangrias!a:i""),""select Col6 where Col7 = 'Caixa Atendimento' and Col9 = '""&amp;K393&amp;""' and Col6 = ""&amp;N393&amp;"" and Col4 = date '""&amp;YEAR(C393)&amp;""-""&amp;MONTH(C393)&amp;""-""&amp;DAY(C393)&amp;""'""))&gt;0,""Caixa Atendimento"",""Caixa Sangria"")),""""),""Caixa Sangria"")"),"")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IFERROR(__xludf.DUMMYFUNCTION("ifna(IF(and(D394=""Saída"",J394=""Sangria""),if(sum(QUERY(IMPORTRANGE(""https://docs.google.com/spreadsheets/d/15vCx43UQd-lUcbnvwm-R2Xfhex1Wogrs1wY4DlXukMA/edit#gid=458192036"",""BD M Sangrias!a:i""),""select Col6 where Col7 = 'Depositada' and Col9 = '""&amp;"&amp;"K394&amp;""' and Col6 = ""&amp;N394&amp;"" and Col4 = date '""&amp;YEAR(C394)&amp;""-""&amp;MONTH(C394)&amp;""-""&amp;DAY(C394)&amp;""'""))&gt;0,""Depositada"",if(sum(QUERY(IMPORTRANGE(""https://docs.google.com/spreadsheets/d/15vCx43UQd-lUcbnvwm-R2Xfhex1Wogrs1wY4DlXukMA/edit#gid=458192036"","""&amp;"BD M Sangrias!a:i""),""select Col6 where Col7 = 'Caixa Atendimento' and Col9 = '""&amp;K394&amp;""' and Col6 = ""&amp;N394&amp;"" and Col4 = date '""&amp;YEAR(C394)&amp;""-""&amp;MONTH(C394)&amp;""-""&amp;DAY(C394)&amp;""'""))&gt;0,""Caixa Atendimento"",""Caixa Sangria"")),""""),""Caixa Sangria"")"),"")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IFERROR(__xludf.DUMMYFUNCTION("ifna(IF(and(D395=""Saída"",J395=""Sangria""),if(sum(QUERY(IMPORTRANGE(""https://docs.google.com/spreadsheets/d/15vCx43UQd-lUcbnvwm-R2Xfhex1Wogrs1wY4DlXukMA/edit#gid=458192036"",""BD M Sangrias!a:i""),""select Col6 where Col7 = 'Depositada' and Col9 = '""&amp;"&amp;"K395&amp;""' and Col6 = ""&amp;N395&amp;"" and Col4 = date '""&amp;YEAR(C395)&amp;""-""&amp;MONTH(C395)&amp;""-""&amp;DAY(C395)&amp;""'""))&gt;0,""Depositada"",if(sum(QUERY(IMPORTRANGE(""https://docs.google.com/spreadsheets/d/15vCx43UQd-lUcbnvwm-R2Xfhex1Wogrs1wY4DlXukMA/edit#gid=458192036"","""&amp;"BD M Sangrias!a:i""),""select Col6 where Col7 = 'Caixa Atendimento' and Col9 = '""&amp;K395&amp;""' and Col6 = ""&amp;N395&amp;"" and Col4 = date '""&amp;YEAR(C395)&amp;""-""&amp;MONTH(C395)&amp;""-""&amp;DAY(C395)&amp;""'""))&gt;0,""Caixa Atendimento"",""Caixa Sangria"")),""""),""Caixa Sangria"")"),"")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IFERROR(__xludf.DUMMYFUNCTION("ifna(IF(and(D396=""Saída"",J396=""Sangria""),if(sum(QUERY(IMPORTRANGE(""https://docs.google.com/spreadsheets/d/15vCx43UQd-lUcbnvwm-R2Xfhex1Wogrs1wY4DlXukMA/edit#gid=458192036"",""BD M Sangrias!a:i""),""select Col6 where Col7 = 'Depositada' and Col9 = '""&amp;"&amp;"K396&amp;""' and Col6 = ""&amp;N396&amp;"" and Col4 = date '""&amp;YEAR(C396)&amp;""-""&amp;MONTH(C396)&amp;""-""&amp;DAY(C396)&amp;""'""))&gt;0,""Depositada"",if(sum(QUERY(IMPORTRANGE(""https://docs.google.com/spreadsheets/d/15vCx43UQd-lUcbnvwm-R2Xfhex1Wogrs1wY4DlXukMA/edit#gid=458192036"","""&amp;"BD M Sangrias!a:i""),""select Col6 where Col7 = 'Caixa Atendimento' and Col9 = '""&amp;K396&amp;""' and Col6 = ""&amp;N396&amp;"" and Col4 = date '""&amp;YEAR(C396)&amp;""-""&amp;MONTH(C396)&amp;""-""&amp;DAY(C396)&amp;""'""))&gt;0,""Caixa Atendimento"",""Caixa Sangria"")),""""),""Caixa Sangria"")"),"")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IFERROR(__xludf.DUMMYFUNCTION("ifna(IF(and(D397=""Saída"",J397=""Sangria""),if(sum(QUERY(IMPORTRANGE(""https://docs.google.com/spreadsheets/d/15vCx43UQd-lUcbnvwm-R2Xfhex1Wogrs1wY4DlXukMA/edit#gid=458192036"",""BD M Sangrias!a:i""),""select Col6 where Col7 = 'Depositada' and Col9 = '""&amp;"&amp;"K397&amp;""' and Col6 = ""&amp;N397&amp;"" and Col4 = date '""&amp;YEAR(C397)&amp;""-""&amp;MONTH(C397)&amp;""-""&amp;DAY(C397)&amp;""'""))&gt;0,""Depositada"",if(sum(QUERY(IMPORTRANGE(""https://docs.google.com/spreadsheets/d/15vCx43UQd-lUcbnvwm-R2Xfhex1Wogrs1wY4DlXukMA/edit#gid=458192036"","""&amp;"BD M Sangrias!a:i""),""select Col6 where Col7 = 'Caixa Atendimento' and Col9 = '""&amp;K397&amp;""' and Col6 = ""&amp;N397&amp;"" and Col4 = date '""&amp;YEAR(C397)&amp;""-""&amp;MONTH(C397)&amp;""-""&amp;DAY(C397)&amp;""'""))&gt;0,""Caixa Atendimento"",""Caixa Sangria"")),""""),""Caixa Sangria"")"),"")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IFERROR(__xludf.DUMMYFUNCTION("ifna(IF(and(D398=""Saída"",J398=""Sangria""),if(sum(QUERY(IMPORTRANGE(""https://docs.google.com/spreadsheets/d/15vCx43UQd-lUcbnvwm-R2Xfhex1Wogrs1wY4DlXukMA/edit#gid=458192036"",""BD M Sangrias!a:i""),""select Col6 where Col7 = 'Depositada' and Col9 = '""&amp;"&amp;"K398&amp;""' and Col6 = ""&amp;N398&amp;"" and Col4 = date '""&amp;YEAR(C398)&amp;""-""&amp;MONTH(C398)&amp;""-""&amp;DAY(C398)&amp;""'""))&gt;0,""Depositada"",if(sum(QUERY(IMPORTRANGE(""https://docs.google.com/spreadsheets/d/15vCx43UQd-lUcbnvwm-R2Xfhex1Wogrs1wY4DlXukMA/edit#gid=458192036"","""&amp;"BD M Sangrias!a:i""),""select Col6 where Col7 = 'Caixa Atendimento' and Col9 = '""&amp;K398&amp;""' and Col6 = ""&amp;N398&amp;"" and Col4 = date '""&amp;YEAR(C398)&amp;""-""&amp;MONTH(C398)&amp;""-""&amp;DAY(C398)&amp;""'""))&gt;0,""Caixa Atendimento"",""Caixa Sangria"")),""""),""Caixa Sangria"")"),"")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IFERROR(__xludf.DUMMYFUNCTION("ifna(IF(and(D399=""Saída"",J399=""Sangria""),if(sum(QUERY(IMPORTRANGE(""https://docs.google.com/spreadsheets/d/15vCx43UQd-lUcbnvwm-R2Xfhex1Wogrs1wY4DlXukMA/edit#gid=458192036"",""BD M Sangrias!a:i""),""select Col6 where Col7 = 'Depositada' and Col9 = '""&amp;"&amp;"K399&amp;""' and Col6 = ""&amp;N399&amp;"" and Col4 = date '""&amp;YEAR(C399)&amp;""-""&amp;MONTH(C399)&amp;""-""&amp;DAY(C399)&amp;""'""))&gt;0,""Depositada"",if(sum(QUERY(IMPORTRANGE(""https://docs.google.com/spreadsheets/d/15vCx43UQd-lUcbnvwm-R2Xfhex1Wogrs1wY4DlXukMA/edit#gid=458192036"","""&amp;"BD M Sangrias!a:i""),""select Col6 where Col7 = 'Caixa Atendimento' and Col9 = '""&amp;K399&amp;""' and Col6 = ""&amp;N399&amp;"" and Col4 = date '""&amp;YEAR(C399)&amp;""-""&amp;MONTH(C399)&amp;""-""&amp;DAY(C399)&amp;""'""))&gt;0,""Caixa Atendimento"",""Caixa Sangria"")),""""),""Caixa Sangria"")"),"")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IFERROR(__xludf.DUMMYFUNCTION("ifna(IF(and(D400=""Saída"",J400=""Sangria""),if(sum(QUERY(IMPORTRANGE(""https://docs.google.com/spreadsheets/d/15vCx43UQd-lUcbnvwm-R2Xfhex1Wogrs1wY4DlXukMA/edit#gid=458192036"",""BD M Sangrias!a:i""),""select Col6 where Col7 = 'Depositada' and Col9 = '""&amp;"&amp;"K400&amp;""' and Col6 = ""&amp;N400&amp;"" and Col4 = date '""&amp;YEAR(C400)&amp;""-""&amp;MONTH(C400)&amp;""-""&amp;DAY(C400)&amp;""'""))&gt;0,""Depositada"",if(sum(QUERY(IMPORTRANGE(""https://docs.google.com/spreadsheets/d/15vCx43UQd-lUcbnvwm-R2Xfhex1Wogrs1wY4DlXukMA/edit#gid=458192036"","""&amp;"BD M Sangrias!a:i""),""select Col6 where Col7 = 'Caixa Atendimento' and Col9 = '""&amp;K400&amp;""' and Col6 = ""&amp;N400&amp;"" and Col4 = date '""&amp;YEAR(C400)&amp;""-""&amp;MONTH(C400)&amp;""-""&amp;DAY(C400)&amp;""'""))&gt;0,""Caixa Atendimento"",""Caixa Sangria"")),""""),""Caixa Sangria"")"),"")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IFERROR(__xludf.DUMMYFUNCTION("ifna(IF(and(D401=""Saída"",J401=""Sangria""),if(sum(QUERY(IMPORTRANGE(""https://docs.google.com/spreadsheets/d/15vCx43UQd-lUcbnvwm-R2Xfhex1Wogrs1wY4DlXukMA/edit#gid=458192036"",""BD M Sangrias!a:i""),""select Col6 where Col7 = 'Depositada' and Col9 = '""&amp;"&amp;"K401&amp;""' and Col6 = ""&amp;N401&amp;"" and Col4 = date '""&amp;YEAR(C401)&amp;""-""&amp;MONTH(C401)&amp;""-""&amp;DAY(C401)&amp;""'""))&gt;0,""Depositada"",if(sum(QUERY(IMPORTRANGE(""https://docs.google.com/spreadsheets/d/15vCx43UQd-lUcbnvwm-R2Xfhex1Wogrs1wY4DlXukMA/edit#gid=458192036"","""&amp;"BD M Sangrias!a:i""),""select Col6 where Col7 = 'Caixa Atendimento' and Col9 = '""&amp;K401&amp;""' and Col6 = ""&amp;N401&amp;"" and Col4 = date '""&amp;YEAR(C401)&amp;""-""&amp;MONTH(C401)&amp;""-""&amp;DAY(C401)&amp;""'""))&gt;0,""Caixa Atendimento"",""Caixa Sangria"")),""""),""Caixa Sangria"")"),"")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IFERROR(__xludf.DUMMYFUNCTION("ifna(IF(and(D402=""Saída"",J402=""Sangria""),if(sum(QUERY(IMPORTRANGE(""https://docs.google.com/spreadsheets/d/15vCx43UQd-lUcbnvwm-R2Xfhex1Wogrs1wY4DlXukMA/edit#gid=458192036"",""BD M Sangrias!a:i""),""select Col6 where Col7 = 'Depositada' and Col9 = '""&amp;"&amp;"K402&amp;""' and Col6 = ""&amp;N402&amp;"" and Col4 = date '""&amp;YEAR(C402)&amp;""-""&amp;MONTH(C402)&amp;""-""&amp;DAY(C402)&amp;""'""))&gt;0,""Depositada"",if(sum(QUERY(IMPORTRANGE(""https://docs.google.com/spreadsheets/d/15vCx43UQd-lUcbnvwm-R2Xfhex1Wogrs1wY4DlXukMA/edit#gid=458192036"","""&amp;"BD M Sangrias!a:i""),""select Col6 where Col7 = 'Caixa Atendimento' and Col9 = '""&amp;K402&amp;""' and Col6 = ""&amp;N402&amp;"" and Col4 = date '""&amp;YEAR(C402)&amp;""-""&amp;MONTH(C402)&amp;""-""&amp;DAY(C402)&amp;""'""))&gt;0,""Caixa Atendimento"",""Caixa Sangria"")),""""),""Caixa Sangria"")"),"")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IFERROR(__xludf.DUMMYFUNCTION("ifna(IF(and(D403=""Saída"",J403=""Sangria""),if(sum(QUERY(IMPORTRANGE(""https://docs.google.com/spreadsheets/d/15vCx43UQd-lUcbnvwm-R2Xfhex1Wogrs1wY4DlXukMA/edit#gid=458192036"",""BD M Sangrias!a:i""),""select Col6 where Col7 = 'Depositada' and Col9 = '""&amp;"&amp;"K403&amp;""' and Col6 = ""&amp;N403&amp;"" and Col4 = date '""&amp;YEAR(C403)&amp;""-""&amp;MONTH(C403)&amp;""-""&amp;DAY(C403)&amp;""'""))&gt;0,""Depositada"",if(sum(QUERY(IMPORTRANGE(""https://docs.google.com/spreadsheets/d/15vCx43UQd-lUcbnvwm-R2Xfhex1Wogrs1wY4DlXukMA/edit#gid=458192036"","""&amp;"BD M Sangrias!a:i""),""select Col6 where Col7 = 'Caixa Atendimento' and Col9 = '""&amp;K403&amp;""' and Col6 = ""&amp;N403&amp;"" and Col4 = date '""&amp;YEAR(C403)&amp;""-""&amp;MONTH(C403)&amp;""-""&amp;DAY(C403)&amp;""'""))&gt;0,""Caixa Atendimento"",""Caixa Sangria"")),""""),""Caixa Sangria"")"),"")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IFERROR(__xludf.DUMMYFUNCTION("ifna(IF(and(D404=""Saída"",J404=""Sangria""),if(sum(QUERY(IMPORTRANGE(""https://docs.google.com/spreadsheets/d/15vCx43UQd-lUcbnvwm-R2Xfhex1Wogrs1wY4DlXukMA/edit#gid=458192036"",""BD M Sangrias!a:i""),""select Col6 where Col7 = 'Depositada' and Col9 = '""&amp;"&amp;"K404&amp;""' and Col6 = ""&amp;N404&amp;"" and Col4 = date '""&amp;YEAR(C404)&amp;""-""&amp;MONTH(C404)&amp;""-""&amp;DAY(C404)&amp;""'""))&gt;0,""Depositada"",if(sum(QUERY(IMPORTRANGE(""https://docs.google.com/spreadsheets/d/15vCx43UQd-lUcbnvwm-R2Xfhex1Wogrs1wY4DlXukMA/edit#gid=458192036"","""&amp;"BD M Sangrias!a:i""),""select Col6 where Col7 = 'Caixa Atendimento' and Col9 = '""&amp;K404&amp;""' and Col6 = ""&amp;N404&amp;"" and Col4 = date '""&amp;YEAR(C404)&amp;""-""&amp;MONTH(C404)&amp;""-""&amp;DAY(C404)&amp;""'""))&gt;0,""Caixa Atendimento"",""Caixa Sangria"")),""""),""Caixa Sangria"")"),"")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IFERROR(__xludf.DUMMYFUNCTION("ifna(IF(and(D405=""Saída"",J405=""Sangria""),if(sum(QUERY(IMPORTRANGE(""https://docs.google.com/spreadsheets/d/15vCx43UQd-lUcbnvwm-R2Xfhex1Wogrs1wY4DlXukMA/edit#gid=458192036"",""BD M Sangrias!a:i""),""select Col6 where Col7 = 'Depositada' and Col9 = '""&amp;"&amp;"K405&amp;""' and Col6 = ""&amp;N405&amp;"" and Col4 = date '""&amp;YEAR(C405)&amp;""-""&amp;MONTH(C405)&amp;""-""&amp;DAY(C405)&amp;""'""))&gt;0,""Depositada"",if(sum(QUERY(IMPORTRANGE(""https://docs.google.com/spreadsheets/d/15vCx43UQd-lUcbnvwm-R2Xfhex1Wogrs1wY4DlXukMA/edit#gid=458192036"","""&amp;"BD M Sangrias!a:i""),""select Col6 where Col7 = 'Caixa Atendimento' and Col9 = '""&amp;K405&amp;""' and Col6 = ""&amp;N405&amp;"" and Col4 = date '""&amp;YEAR(C405)&amp;""-""&amp;MONTH(C405)&amp;""-""&amp;DAY(C405)&amp;""'""))&gt;0,""Caixa Atendimento"",""Caixa Sangria"")),""""),""Caixa Sangria"")"),"")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IFERROR(__xludf.DUMMYFUNCTION("ifna(IF(and(D406=""Saída"",J406=""Sangria""),if(sum(QUERY(IMPORTRANGE(""https://docs.google.com/spreadsheets/d/15vCx43UQd-lUcbnvwm-R2Xfhex1Wogrs1wY4DlXukMA/edit#gid=458192036"",""BD M Sangrias!a:i""),""select Col6 where Col7 = 'Depositada' and Col9 = '""&amp;"&amp;"K406&amp;""' and Col6 = ""&amp;N406&amp;"" and Col4 = date '""&amp;YEAR(C406)&amp;""-""&amp;MONTH(C406)&amp;""-""&amp;DAY(C406)&amp;""'""))&gt;0,""Depositada"",if(sum(QUERY(IMPORTRANGE(""https://docs.google.com/spreadsheets/d/15vCx43UQd-lUcbnvwm-R2Xfhex1Wogrs1wY4DlXukMA/edit#gid=458192036"","""&amp;"BD M Sangrias!a:i""),""select Col6 where Col7 = 'Caixa Atendimento' and Col9 = '""&amp;K406&amp;""' and Col6 = ""&amp;N406&amp;"" and Col4 = date '""&amp;YEAR(C406)&amp;""-""&amp;MONTH(C406)&amp;""-""&amp;DAY(C406)&amp;""'""))&gt;0,""Caixa Atendimento"",""Caixa Sangria"")),""""),""Caixa Sangria"")"),"")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IFERROR(__xludf.DUMMYFUNCTION("ifna(IF(and(D407=""Saída"",J407=""Sangria""),if(sum(QUERY(IMPORTRANGE(""https://docs.google.com/spreadsheets/d/15vCx43UQd-lUcbnvwm-R2Xfhex1Wogrs1wY4DlXukMA/edit#gid=458192036"",""BD M Sangrias!a:i""),""select Col6 where Col7 = 'Depositada' and Col9 = '""&amp;"&amp;"K407&amp;""' and Col6 = ""&amp;N407&amp;"" and Col4 = date '""&amp;YEAR(C407)&amp;""-""&amp;MONTH(C407)&amp;""-""&amp;DAY(C407)&amp;""'""))&gt;0,""Depositada"",if(sum(QUERY(IMPORTRANGE(""https://docs.google.com/spreadsheets/d/15vCx43UQd-lUcbnvwm-R2Xfhex1Wogrs1wY4DlXukMA/edit#gid=458192036"","""&amp;"BD M Sangrias!a:i""),""select Col6 where Col7 = 'Caixa Atendimento' and Col9 = '""&amp;K407&amp;""' and Col6 = ""&amp;N407&amp;"" and Col4 = date '""&amp;YEAR(C407)&amp;""-""&amp;MONTH(C407)&amp;""-""&amp;DAY(C407)&amp;""'""))&gt;0,""Caixa Atendimento"",""Caixa Sangria"")),""""),""Caixa Sangria"")"),"")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IFERROR(__xludf.DUMMYFUNCTION("ifna(IF(and(D408=""Saída"",J408=""Sangria""),if(sum(QUERY(IMPORTRANGE(""https://docs.google.com/spreadsheets/d/15vCx43UQd-lUcbnvwm-R2Xfhex1Wogrs1wY4DlXukMA/edit#gid=458192036"",""BD M Sangrias!a:i""),""select Col6 where Col7 = 'Depositada' and Col9 = '""&amp;"&amp;"K408&amp;""' and Col6 = ""&amp;N408&amp;"" and Col4 = date '""&amp;YEAR(C408)&amp;""-""&amp;MONTH(C408)&amp;""-""&amp;DAY(C408)&amp;""'""))&gt;0,""Depositada"",if(sum(QUERY(IMPORTRANGE(""https://docs.google.com/spreadsheets/d/15vCx43UQd-lUcbnvwm-R2Xfhex1Wogrs1wY4DlXukMA/edit#gid=458192036"","""&amp;"BD M Sangrias!a:i""),""select Col6 where Col7 = 'Caixa Atendimento' and Col9 = '""&amp;K408&amp;""' and Col6 = ""&amp;N408&amp;"" and Col4 = date '""&amp;YEAR(C408)&amp;""-""&amp;MONTH(C408)&amp;""-""&amp;DAY(C408)&amp;""'""))&gt;0,""Caixa Atendimento"",""Caixa Sangria"")),""""),""Caixa Sangria"")"),"")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IFERROR(__xludf.DUMMYFUNCTION("ifna(IF(and(D409=""Saída"",J409=""Sangria""),if(sum(QUERY(IMPORTRANGE(""https://docs.google.com/spreadsheets/d/15vCx43UQd-lUcbnvwm-R2Xfhex1Wogrs1wY4DlXukMA/edit#gid=458192036"",""BD M Sangrias!a:i""),""select Col6 where Col7 = 'Depositada' and Col9 = '""&amp;"&amp;"K409&amp;""' and Col6 = ""&amp;N409&amp;"" and Col4 = date '""&amp;YEAR(C409)&amp;""-""&amp;MONTH(C409)&amp;""-""&amp;DAY(C409)&amp;""'""))&gt;0,""Depositada"",if(sum(QUERY(IMPORTRANGE(""https://docs.google.com/spreadsheets/d/15vCx43UQd-lUcbnvwm-R2Xfhex1Wogrs1wY4DlXukMA/edit#gid=458192036"","""&amp;"BD M Sangrias!a:i""),""select Col6 where Col7 = 'Caixa Atendimento' and Col9 = '""&amp;K409&amp;""' and Col6 = ""&amp;N409&amp;"" and Col4 = date '""&amp;YEAR(C409)&amp;""-""&amp;MONTH(C409)&amp;""-""&amp;DAY(C409)&amp;""'""))&gt;0,""Caixa Atendimento"",""Caixa Sangria"")),""""),""Caixa Sangria"")"),"")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IFERROR(__xludf.DUMMYFUNCTION("ifna(IF(and(D410=""Saída"",J410=""Sangria""),if(sum(QUERY(IMPORTRANGE(""https://docs.google.com/spreadsheets/d/15vCx43UQd-lUcbnvwm-R2Xfhex1Wogrs1wY4DlXukMA/edit#gid=458192036"",""BD M Sangrias!a:i""),""select Col6 where Col7 = 'Depositada' and Col9 = '""&amp;"&amp;"K410&amp;""' and Col6 = ""&amp;N410&amp;"" and Col4 = date '""&amp;YEAR(C410)&amp;""-""&amp;MONTH(C410)&amp;""-""&amp;DAY(C410)&amp;""'""))&gt;0,""Depositada"",if(sum(QUERY(IMPORTRANGE(""https://docs.google.com/spreadsheets/d/15vCx43UQd-lUcbnvwm-R2Xfhex1Wogrs1wY4DlXukMA/edit#gid=458192036"","""&amp;"BD M Sangrias!a:i""),""select Col6 where Col7 = 'Caixa Atendimento' and Col9 = '""&amp;K410&amp;""' and Col6 = ""&amp;N410&amp;"" and Col4 = date '""&amp;YEAR(C410)&amp;""-""&amp;MONTH(C410)&amp;""-""&amp;DAY(C410)&amp;""'""))&gt;0,""Caixa Atendimento"",""Caixa Sangria"")),""""),""Caixa Sangria"")"),"")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IFERROR(__xludf.DUMMYFUNCTION("ifna(IF(and(D411=""Saída"",J411=""Sangria""),if(sum(QUERY(IMPORTRANGE(""https://docs.google.com/spreadsheets/d/15vCx43UQd-lUcbnvwm-R2Xfhex1Wogrs1wY4DlXukMA/edit#gid=458192036"",""BD M Sangrias!a:i""),""select Col6 where Col7 = 'Depositada' and Col9 = '""&amp;"&amp;"K411&amp;""' and Col6 = ""&amp;N411&amp;"" and Col4 = date '""&amp;YEAR(C411)&amp;""-""&amp;MONTH(C411)&amp;""-""&amp;DAY(C411)&amp;""'""))&gt;0,""Depositada"",if(sum(QUERY(IMPORTRANGE(""https://docs.google.com/spreadsheets/d/15vCx43UQd-lUcbnvwm-R2Xfhex1Wogrs1wY4DlXukMA/edit#gid=458192036"","""&amp;"BD M Sangrias!a:i""),""select Col6 where Col7 = 'Caixa Atendimento' and Col9 = '""&amp;K411&amp;""' and Col6 = ""&amp;N411&amp;"" and Col4 = date '""&amp;YEAR(C411)&amp;""-""&amp;MONTH(C411)&amp;""-""&amp;DAY(C411)&amp;""'""))&gt;0,""Caixa Atendimento"",""Caixa Sangria"")),""""),""Caixa Sangria"")"),"")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IFERROR(__xludf.DUMMYFUNCTION("ifna(IF(and(D412=""Saída"",J412=""Sangria""),if(sum(QUERY(IMPORTRANGE(""https://docs.google.com/spreadsheets/d/15vCx43UQd-lUcbnvwm-R2Xfhex1Wogrs1wY4DlXukMA/edit#gid=458192036"",""BD M Sangrias!a:i""),""select Col6 where Col7 = 'Depositada' and Col9 = '""&amp;"&amp;"K412&amp;""' and Col6 = ""&amp;N412&amp;"" and Col4 = date '""&amp;YEAR(C412)&amp;""-""&amp;MONTH(C412)&amp;""-""&amp;DAY(C412)&amp;""'""))&gt;0,""Depositada"",if(sum(QUERY(IMPORTRANGE(""https://docs.google.com/spreadsheets/d/15vCx43UQd-lUcbnvwm-R2Xfhex1Wogrs1wY4DlXukMA/edit#gid=458192036"","""&amp;"BD M Sangrias!a:i""),""select Col6 where Col7 = 'Caixa Atendimento' and Col9 = '""&amp;K412&amp;""' and Col6 = ""&amp;N412&amp;"" and Col4 = date '""&amp;YEAR(C412)&amp;""-""&amp;MONTH(C412)&amp;""-""&amp;DAY(C412)&amp;""'""))&gt;0,""Caixa Atendimento"",""Caixa Sangria"")),""""),""Caixa Sangria"")"),"")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IFERROR(__xludf.DUMMYFUNCTION("ifna(IF(and(D413=""Saída"",J413=""Sangria""),if(sum(QUERY(IMPORTRANGE(""https://docs.google.com/spreadsheets/d/15vCx43UQd-lUcbnvwm-R2Xfhex1Wogrs1wY4DlXukMA/edit#gid=458192036"",""BD M Sangrias!a:i""),""select Col6 where Col7 = 'Depositada' and Col9 = '""&amp;"&amp;"K413&amp;""' and Col6 = ""&amp;N413&amp;"" and Col4 = date '""&amp;YEAR(C413)&amp;""-""&amp;MONTH(C413)&amp;""-""&amp;DAY(C413)&amp;""'""))&gt;0,""Depositada"",if(sum(QUERY(IMPORTRANGE(""https://docs.google.com/spreadsheets/d/15vCx43UQd-lUcbnvwm-R2Xfhex1Wogrs1wY4DlXukMA/edit#gid=458192036"","""&amp;"BD M Sangrias!a:i""),""select Col6 where Col7 = 'Caixa Atendimento' and Col9 = '""&amp;K413&amp;""' and Col6 = ""&amp;N413&amp;"" and Col4 = date '""&amp;YEAR(C413)&amp;""-""&amp;MONTH(C413)&amp;""-""&amp;DAY(C413)&amp;""'""))&gt;0,""Caixa Atendimento"",""Caixa Sangria"")),""""),""Caixa Sangria"")"),"")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IFERROR(__xludf.DUMMYFUNCTION("ifna(IF(and(D414=""Saída"",J414=""Sangria""),if(sum(QUERY(IMPORTRANGE(""https://docs.google.com/spreadsheets/d/15vCx43UQd-lUcbnvwm-R2Xfhex1Wogrs1wY4DlXukMA/edit#gid=458192036"",""BD M Sangrias!a:i""),""select Col6 where Col7 = 'Depositada' and Col9 = '""&amp;"&amp;"K414&amp;""' and Col6 = ""&amp;N414&amp;"" and Col4 = date '""&amp;YEAR(C414)&amp;""-""&amp;MONTH(C414)&amp;""-""&amp;DAY(C414)&amp;""'""))&gt;0,""Depositada"",if(sum(QUERY(IMPORTRANGE(""https://docs.google.com/spreadsheets/d/15vCx43UQd-lUcbnvwm-R2Xfhex1Wogrs1wY4DlXukMA/edit#gid=458192036"","""&amp;"BD M Sangrias!a:i""),""select Col6 where Col7 = 'Caixa Atendimento' and Col9 = '""&amp;K414&amp;""' and Col6 = ""&amp;N414&amp;"" and Col4 = date '""&amp;YEAR(C414)&amp;""-""&amp;MONTH(C414)&amp;""-""&amp;DAY(C414)&amp;""'""))&gt;0,""Caixa Atendimento"",""Caixa Sangria"")),""""),""Caixa Sangria"")"),"")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IFERROR(__xludf.DUMMYFUNCTION("ifna(IF(and(D415=""Saída"",J415=""Sangria""),if(sum(QUERY(IMPORTRANGE(""https://docs.google.com/spreadsheets/d/15vCx43UQd-lUcbnvwm-R2Xfhex1Wogrs1wY4DlXukMA/edit#gid=458192036"",""BD M Sangrias!a:i""),""select Col6 where Col7 = 'Depositada' and Col9 = '""&amp;"&amp;"K415&amp;""' and Col6 = ""&amp;N415&amp;"" and Col4 = date '""&amp;YEAR(C415)&amp;""-""&amp;MONTH(C415)&amp;""-""&amp;DAY(C415)&amp;""'""))&gt;0,""Depositada"",if(sum(QUERY(IMPORTRANGE(""https://docs.google.com/spreadsheets/d/15vCx43UQd-lUcbnvwm-R2Xfhex1Wogrs1wY4DlXukMA/edit#gid=458192036"","""&amp;"BD M Sangrias!a:i""),""select Col6 where Col7 = 'Caixa Atendimento' and Col9 = '""&amp;K415&amp;""' and Col6 = ""&amp;N415&amp;"" and Col4 = date '""&amp;YEAR(C415)&amp;""-""&amp;MONTH(C415)&amp;""-""&amp;DAY(C415)&amp;""'""))&gt;0,""Caixa Atendimento"",""Caixa Sangria"")),""""),""Caixa Sangria"")"),"")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IFERROR(__xludf.DUMMYFUNCTION("ifna(IF(and(D416=""Saída"",J416=""Sangria""),if(sum(QUERY(IMPORTRANGE(""https://docs.google.com/spreadsheets/d/15vCx43UQd-lUcbnvwm-R2Xfhex1Wogrs1wY4DlXukMA/edit#gid=458192036"",""BD M Sangrias!a:i""),""select Col6 where Col7 = 'Depositada' and Col9 = '""&amp;"&amp;"K416&amp;""' and Col6 = ""&amp;N416&amp;"" and Col4 = date '""&amp;YEAR(C416)&amp;""-""&amp;MONTH(C416)&amp;""-""&amp;DAY(C416)&amp;""'""))&gt;0,""Depositada"",if(sum(QUERY(IMPORTRANGE(""https://docs.google.com/spreadsheets/d/15vCx43UQd-lUcbnvwm-R2Xfhex1Wogrs1wY4DlXukMA/edit#gid=458192036"","""&amp;"BD M Sangrias!a:i""),""select Col6 where Col7 = 'Caixa Atendimento' and Col9 = '""&amp;K416&amp;""' and Col6 = ""&amp;N416&amp;"" and Col4 = date '""&amp;YEAR(C416)&amp;""-""&amp;MONTH(C416)&amp;""-""&amp;DAY(C416)&amp;""'""))&gt;0,""Caixa Atendimento"",""Caixa Sangria"")),""""),""Caixa Sangria"")"),"")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IFERROR(__xludf.DUMMYFUNCTION("ifna(IF(and(D417=""Saída"",J417=""Sangria""),if(sum(QUERY(IMPORTRANGE(""https://docs.google.com/spreadsheets/d/15vCx43UQd-lUcbnvwm-R2Xfhex1Wogrs1wY4DlXukMA/edit#gid=458192036"",""BD M Sangrias!a:i""),""select Col6 where Col7 = 'Depositada' and Col9 = '""&amp;"&amp;"K417&amp;""' and Col6 = ""&amp;N417&amp;"" and Col4 = date '""&amp;YEAR(C417)&amp;""-""&amp;MONTH(C417)&amp;""-""&amp;DAY(C417)&amp;""'""))&gt;0,""Depositada"",if(sum(QUERY(IMPORTRANGE(""https://docs.google.com/spreadsheets/d/15vCx43UQd-lUcbnvwm-R2Xfhex1Wogrs1wY4DlXukMA/edit#gid=458192036"","""&amp;"BD M Sangrias!a:i""),""select Col6 where Col7 = 'Caixa Atendimento' and Col9 = '""&amp;K417&amp;""' and Col6 = ""&amp;N417&amp;"" and Col4 = date '""&amp;YEAR(C417)&amp;""-""&amp;MONTH(C417)&amp;""-""&amp;DAY(C417)&amp;""'""))&gt;0,""Caixa Atendimento"",""Caixa Sangria"")),""""),""Caixa Sangria"")"),"")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IFERROR(__xludf.DUMMYFUNCTION("ifna(IF(and(D418=""Saída"",J418=""Sangria""),if(sum(QUERY(IMPORTRANGE(""https://docs.google.com/spreadsheets/d/15vCx43UQd-lUcbnvwm-R2Xfhex1Wogrs1wY4DlXukMA/edit#gid=458192036"",""BD M Sangrias!a:i""),""select Col6 where Col7 = 'Depositada' and Col9 = '""&amp;"&amp;"K418&amp;""' and Col6 = ""&amp;N418&amp;"" and Col4 = date '""&amp;YEAR(C418)&amp;""-""&amp;MONTH(C418)&amp;""-""&amp;DAY(C418)&amp;""'""))&gt;0,""Depositada"",if(sum(QUERY(IMPORTRANGE(""https://docs.google.com/spreadsheets/d/15vCx43UQd-lUcbnvwm-R2Xfhex1Wogrs1wY4DlXukMA/edit#gid=458192036"","""&amp;"BD M Sangrias!a:i""),""select Col6 where Col7 = 'Caixa Atendimento' and Col9 = '""&amp;K418&amp;""' and Col6 = ""&amp;N418&amp;"" and Col4 = date '""&amp;YEAR(C418)&amp;""-""&amp;MONTH(C418)&amp;""-""&amp;DAY(C418)&amp;""'""))&gt;0,""Caixa Atendimento"",""Caixa Sangria"")),""""),""Caixa Sangria"")"),"")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IFERROR(__xludf.DUMMYFUNCTION("ifna(IF(and(D419=""Saída"",J419=""Sangria""),if(sum(QUERY(IMPORTRANGE(""https://docs.google.com/spreadsheets/d/15vCx43UQd-lUcbnvwm-R2Xfhex1Wogrs1wY4DlXukMA/edit#gid=458192036"",""BD M Sangrias!a:i""),""select Col6 where Col7 = 'Depositada' and Col9 = '""&amp;"&amp;"K419&amp;""' and Col6 = ""&amp;N419&amp;"" and Col4 = date '""&amp;YEAR(C419)&amp;""-""&amp;MONTH(C419)&amp;""-""&amp;DAY(C419)&amp;""'""))&gt;0,""Depositada"",if(sum(QUERY(IMPORTRANGE(""https://docs.google.com/spreadsheets/d/15vCx43UQd-lUcbnvwm-R2Xfhex1Wogrs1wY4DlXukMA/edit#gid=458192036"","""&amp;"BD M Sangrias!a:i""),""select Col6 where Col7 = 'Caixa Atendimento' and Col9 = '""&amp;K419&amp;""' and Col6 = ""&amp;N419&amp;"" and Col4 = date '""&amp;YEAR(C419)&amp;""-""&amp;MONTH(C419)&amp;""-""&amp;DAY(C419)&amp;""'""))&gt;0,""Caixa Atendimento"",""Caixa Sangria"")),""""),""Caixa Sangria"")"),"")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IFERROR(__xludf.DUMMYFUNCTION("ifna(IF(and(D420=""Saída"",J420=""Sangria""),if(sum(QUERY(IMPORTRANGE(""https://docs.google.com/spreadsheets/d/15vCx43UQd-lUcbnvwm-R2Xfhex1Wogrs1wY4DlXukMA/edit#gid=458192036"",""BD M Sangrias!a:i""),""select Col6 where Col7 = 'Depositada' and Col9 = '""&amp;"&amp;"K420&amp;""' and Col6 = ""&amp;N420&amp;"" and Col4 = date '""&amp;YEAR(C420)&amp;""-""&amp;MONTH(C420)&amp;""-""&amp;DAY(C420)&amp;""'""))&gt;0,""Depositada"",if(sum(QUERY(IMPORTRANGE(""https://docs.google.com/spreadsheets/d/15vCx43UQd-lUcbnvwm-R2Xfhex1Wogrs1wY4DlXukMA/edit#gid=458192036"","""&amp;"BD M Sangrias!a:i""),""select Col6 where Col7 = 'Caixa Atendimento' and Col9 = '""&amp;K420&amp;""' and Col6 = ""&amp;N420&amp;"" and Col4 = date '""&amp;YEAR(C420)&amp;""-""&amp;MONTH(C420)&amp;""-""&amp;DAY(C420)&amp;""'""))&gt;0,""Caixa Atendimento"",""Caixa Sangria"")),""""),""Caixa Sangria"")"),"")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IFERROR(__xludf.DUMMYFUNCTION("ifna(IF(and(D421=""Saída"",J421=""Sangria""),if(sum(QUERY(IMPORTRANGE(""https://docs.google.com/spreadsheets/d/15vCx43UQd-lUcbnvwm-R2Xfhex1Wogrs1wY4DlXukMA/edit#gid=458192036"",""BD M Sangrias!a:i""),""select Col6 where Col7 = 'Depositada' and Col9 = '""&amp;"&amp;"K421&amp;""' and Col6 = ""&amp;N421&amp;"" and Col4 = date '""&amp;YEAR(C421)&amp;""-""&amp;MONTH(C421)&amp;""-""&amp;DAY(C421)&amp;""'""))&gt;0,""Depositada"",if(sum(QUERY(IMPORTRANGE(""https://docs.google.com/spreadsheets/d/15vCx43UQd-lUcbnvwm-R2Xfhex1Wogrs1wY4DlXukMA/edit#gid=458192036"","""&amp;"BD M Sangrias!a:i""),""select Col6 where Col7 = 'Caixa Atendimento' and Col9 = '""&amp;K421&amp;""' and Col6 = ""&amp;N421&amp;"" and Col4 = date '""&amp;YEAR(C421)&amp;""-""&amp;MONTH(C421)&amp;""-""&amp;DAY(C421)&amp;""'""))&gt;0,""Caixa Atendimento"",""Caixa Sangria"")),""""),""Caixa Sangria"")"),"")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IFERROR(__xludf.DUMMYFUNCTION("ifna(IF(and(D422=""Saída"",J422=""Sangria""),if(sum(QUERY(IMPORTRANGE(""https://docs.google.com/spreadsheets/d/15vCx43UQd-lUcbnvwm-R2Xfhex1Wogrs1wY4DlXukMA/edit#gid=458192036"",""BD M Sangrias!a:i""),""select Col6 where Col7 = 'Depositada' and Col9 = '""&amp;"&amp;"K422&amp;""' and Col6 = ""&amp;N422&amp;"" and Col4 = date '""&amp;YEAR(C422)&amp;""-""&amp;MONTH(C422)&amp;""-""&amp;DAY(C422)&amp;""'""))&gt;0,""Depositada"",if(sum(QUERY(IMPORTRANGE(""https://docs.google.com/spreadsheets/d/15vCx43UQd-lUcbnvwm-R2Xfhex1Wogrs1wY4DlXukMA/edit#gid=458192036"","""&amp;"BD M Sangrias!a:i""),""select Col6 where Col7 = 'Caixa Atendimento' and Col9 = '""&amp;K422&amp;""' and Col6 = ""&amp;N422&amp;"" and Col4 = date '""&amp;YEAR(C422)&amp;""-""&amp;MONTH(C422)&amp;""-""&amp;DAY(C422)&amp;""'""))&gt;0,""Caixa Atendimento"",""Caixa Sangria"")),""""),""Caixa Sangria"")"),"")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IFERROR(__xludf.DUMMYFUNCTION("ifna(IF(and(D423=""Saída"",J423=""Sangria""),if(sum(QUERY(IMPORTRANGE(""https://docs.google.com/spreadsheets/d/15vCx43UQd-lUcbnvwm-R2Xfhex1Wogrs1wY4DlXukMA/edit#gid=458192036"",""BD M Sangrias!a:i""),""select Col6 where Col7 = 'Depositada' and Col9 = '""&amp;"&amp;"K423&amp;""' and Col6 = ""&amp;N423&amp;"" and Col4 = date '""&amp;YEAR(C423)&amp;""-""&amp;MONTH(C423)&amp;""-""&amp;DAY(C423)&amp;""'""))&gt;0,""Depositada"",if(sum(QUERY(IMPORTRANGE(""https://docs.google.com/spreadsheets/d/15vCx43UQd-lUcbnvwm-R2Xfhex1Wogrs1wY4DlXukMA/edit#gid=458192036"","""&amp;"BD M Sangrias!a:i""),""select Col6 where Col7 = 'Caixa Atendimento' and Col9 = '""&amp;K423&amp;""' and Col6 = ""&amp;N423&amp;"" and Col4 = date '""&amp;YEAR(C423)&amp;""-""&amp;MONTH(C423)&amp;""-""&amp;DAY(C423)&amp;""'""))&gt;0,""Caixa Atendimento"",""Caixa Sangria"")),""""),""Caixa Sangria"")"),"")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IFERROR(__xludf.DUMMYFUNCTION("ifna(IF(and(D424=""Saída"",J424=""Sangria""),if(sum(QUERY(IMPORTRANGE(""https://docs.google.com/spreadsheets/d/15vCx43UQd-lUcbnvwm-R2Xfhex1Wogrs1wY4DlXukMA/edit#gid=458192036"",""BD M Sangrias!a:i""),""select Col6 where Col7 = 'Depositada' and Col9 = '""&amp;"&amp;"K424&amp;""' and Col6 = ""&amp;N424&amp;"" and Col4 = date '""&amp;YEAR(C424)&amp;""-""&amp;MONTH(C424)&amp;""-""&amp;DAY(C424)&amp;""'""))&gt;0,""Depositada"",if(sum(QUERY(IMPORTRANGE(""https://docs.google.com/spreadsheets/d/15vCx43UQd-lUcbnvwm-R2Xfhex1Wogrs1wY4DlXukMA/edit#gid=458192036"","""&amp;"BD M Sangrias!a:i""),""select Col6 where Col7 = 'Caixa Atendimento' and Col9 = '""&amp;K424&amp;""' and Col6 = ""&amp;N424&amp;"" and Col4 = date '""&amp;YEAR(C424)&amp;""-""&amp;MONTH(C424)&amp;""-""&amp;DAY(C424)&amp;""'""))&gt;0,""Caixa Atendimento"",""Caixa Sangria"")),""""),""Caixa Sangria"")"),"")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IFERROR(__xludf.DUMMYFUNCTION("ifna(IF(and(D425=""Saída"",J425=""Sangria""),if(sum(QUERY(IMPORTRANGE(""https://docs.google.com/spreadsheets/d/15vCx43UQd-lUcbnvwm-R2Xfhex1Wogrs1wY4DlXukMA/edit#gid=458192036"",""BD M Sangrias!a:i""),""select Col6 where Col7 = 'Depositada' and Col9 = '""&amp;"&amp;"K425&amp;""' and Col6 = ""&amp;N425&amp;"" and Col4 = date '""&amp;YEAR(C425)&amp;""-""&amp;MONTH(C425)&amp;""-""&amp;DAY(C425)&amp;""'""))&gt;0,""Depositada"",if(sum(QUERY(IMPORTRANGE(""https://docs.google.com/spreadsheets/d/15vCx43UQd-lUcbnvwm-R2Xfhex1Wogrs1wY4DlXukMA/edit#gid=458192036"","""&amp;"BD M Sangrias!a:i""),""select Col6 where Col7 = 'Caixa Atendimento' and Col9 = '""&amp;K425&amp;""' and Col6 = ""&amp;N425&amp;"" and Col4 = date '""&amp;YEAR(C425)&amp;""-""&amp;MONTH(C425)&amp;""-""&amp;DAY(C425)&amp;""'""))&gt;0,""Caixa Atendimento"",""Caixa Sangria"")),""""),""Caixa Sangria"")"),"")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IFERROR(__xludf.DUMMYFUNCTION("ifna(IF(and(D426=""Saída"",J426=""Sangria""),if(sum(QUERY(IMPORTRANGE(""https://docs.google.com/spreadsheets/d/15vCx43UQd-lUcbnvwm-R2Xfhex1Wogrs1wY4DlXukMA/edit#gid=458192036"",""BD M Sangrias!a:i""),""select Col6 where Col7 = 'Depositada' and Col9 = '""&amp;"&amp;"K426&amp;""' and Col6 = ""&amp;N426&amp;"" and Col4 = date '""&amp;YEAR(C426)&amp;""-""&amp;MONTH(C426)&amp;""-""&amp;DAY(C426)&amp;""'""))&gt;0,""Depositada"",if(sum(QUERY(IMPORTRANGE(""https://docs.google.com/spreadsheets/d/15vCx43UQd-lUcbnvwm-R2Xfhex1Wogrs1wY4DlXukMA/edit#gid=458192036"","""&amp;"BD M Sangrias!a:i""),""select Col6 where Col7 = 'Caixa Atendimento' and Col9 = '""&amp;K426&amp;""' and Col6 = ""&amp;N426&amp;"" and Col4 = date '""&amp;YEAR(C426)&amp;""-""&amp;MONTH(C426)&amp;""-""&amp;DAY(C426)&amp;""'""))&gt;0,""Caixa Atendimento"",""Caixa Sangria"")),""""),""Caixa Sangria"")"),"")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IFERROR(__xludf.DUMMYFUNCTION("ifna(IF(and(D427=""Saída"",J427=""Sangria""),if(sum(QUERY(IMPORTRANGE(""https://docs.google.com/spreadsheets/d/15vCx43UQd-lUcbnvwm-R2Xfhex1Wogrs1wY4DlXukMA/edit#gid=458192036"",""BD M Sangrias!a:i""),""select Col6 where Col7 = 'Depositada' and Col9 = '""&amp;"&amp;"K427&amp;""' and Col6 = ""&amp;N427&amp;"" and Col4 = date '""&amp;YEAR(C427)&amp;""-""&amp;MONTH(C427)&amp;""-""&amp;DAY(C427)&amp;""'""))&gt;0,""Depositada"",if(sum(QUERY(IMPORTRANGE(""https://docs.google.com/spreadsheets/d/15vCx43UQd-lUcbnvwm-R2Xfhex1Wogrs1wY4DlXukMA/edit#gid=458192036"","""&amp;"BD M Sangrias!a:i""),""select Col6 where Col7 = 'Caixa Atendimento' and Col9 = '""&amp;K427&amp;""' and Col6 = ""&amp;N427&amp;"" and Col4 = date '""&amp;YEAR(C427)&amp;""-""&amp;MONTH(C427)&amp;""-""&amp;DAY(C427)&amp;""'""))&gt;0,""Caixa Atendimento"",""Caixa Sangria"")),""""),""Caixa Sangria"")"),"")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IFERROR(__xludf.DUMMYFUNCTION("ifna(IF(and(D428=""Saída"",J428=""Sangria""),if(sum(QUERY(IMPORTRANGE(""https://docs.google.com/spreadsheets/d/15vCx43UQd-lUcbnvwm-R2Xfhex1Wogrs1wY4DlXukMA/edit#gid=458192036"",""BD M Sangrias!a:i""),""select Col6 where Col7 = 'Depositada' and Col9 = '""&amp;"&amp;"K428&amp;""' and Col6 = ""&amp;N428&amp;"" and Col4 = date '""&amp;YEAR(C428)&amp;""-""&amp;MONTH(C428)&amp;""-""&amp;DAY(C428)&amp;""'""))&gt;0,""Depositada"",if(sum(QUERY(IMPORTRANGE(""https://docs.google.com/spreadsheets/d/15vCx43UQd-lUcbnvwm-R2Xfhex1Wogrs1wY4DlXukMA/edit#gid=458192036"","""&amp;"BD M Sangrias!a:i""),""select Col6 where Col7 = 'Caixa Atendimento' and Col9 = '""&amp;K428&amp;""' and Col6 = ""&amp;N428&amp;"" and Col4 = date '""&amp;YEAR(C428)&amp;""-""&amp;MONTH(C428)&amp;""-""&amp;DAY(C428)&amp;""'""))&gt;0,""Caixa Atendimento"",""Caixa Sangria"")),""""),""Caixa Sangria"")"),"")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IFERROR(__xludf.DUMMYFUNCTION("ifna(IF(and(D429=""Saída"",J429=""Sangria""),if(sum(QUERY(IMPORTRANGE(""https://docs.google.com/spreadsheets/d/15vCx43UQd-lUcbnvwm-R2Xfhex1Wogrs1wY4DlXukMA/edit#gid=458192036"",""BD M Sangrias!a:i""),""select Col6 where Col7 = 'Depositada' and Col9 = '""&amp;"&amp;"K429&amp;""' and Col6 = ""&amp;N429&amp;"" and Col4 = date '""&amp;YEAR(C429)&amp;""-""&amp;MONTH(C429)&amp;""-""&amp;DAY(C429)&amp;""'""))&gt;0,""Depositada"",if(sum(QUERY(IMPORTRANGE(""https://docs.google.com/spreadsheets/d/15vCx43UQd-lUcbnvwm-R2Xfhex1Wogrs1wY4DlXukMA/edit#gid=458192036"","""&amp;"BD M Sangrias!a:i""),""select Col6 where Col7 = 'Caixa Atendimento' and Col9 = '""&amp;K429&amp;""' and Col6 = ""&amp;N429&amp;"" and Col4 = date '""&amp;YEAR(C429)&amp;""-""&amp;MONTH(C429)&amp;""-""&amp;DAY(C429)&amp;""'""))&gt;0,""Caixa Atendimento"",""Caixa Sangria"")),""""),""Caixa Sangria"")"),"")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IFERROR(__xludf.DUMMYFUNCTION("ifna(IF(and(D430=""Saída"",J430=""Sangria""),if(sum(QUERY(IMPORTRANGE(""https://docs.google.com/spreadsheets/d/15vCx43UQd-lUcbnvwm-R2Xfhex1Wogrs1wY4DlXukMA/edit#gid=458192036"",""BD M Sangrias!a:i""),""select Col6 where Col7 = 'Depositada' and Col9 = '""&amp;"&amp;"K430&amp;""' and Col6 = ""&amp;N430&amp;"" and Col4 = date '""&amp;YEAR(C430)&amp;""-""&amp;MONTH(C430)&amp;""-""&amp;DAY(C430)&amp;""'""))&gt;0,""Depositada"",if(sum(QUERY(IMPORTRANGE(""https://docs.google.com/spreadsheets/d/15vCx43UQd-lUcbnvwm-R2Xfhex1Wogrs1wY4DlXukMA/edit#gid=458192036"","""&amp;"BD M Sangrias!a:i""),""select Col6 where Col7 = 'Caixa Atendimento' and Col9 = '""&amp;K430&amp;""' and Col6 = ""&amp;N430&amp;"" and Col4 = date '""&amp;YEAR(C430)&amp;""-""&amp;MONTH(C430)&amp;""-""&amp;DAY(C430)&amp;""'""))&gt;0,""Caixa Atendimento"",""Caixa Sangria"")),""""),""Caixa Sangria"")"),"")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IFERROR(__xludf.DUMMYFUNCTION("ifna(IF(and(D431=""Saída"",J431=""Sangria""),if(sum(QUERY(IMPORTRANGE(""https://docs.google.com/spreadsheets/d/15vCx43UQd-lUcbnvwm-R2Xfhex1Wogrs1wY4DlXukMA/edit#gid=458192036"",""BD M Sangrias!a:i""),""select Col6 where Col7 = 'Depositada' and Col9 = '""&amp;"&amp;"K431&amp;""' and Col6 = ""&amp;N431&amp;"" and Col4 = date '""&amp;YEAR(C431)&amp;""-""&amp;MONTH(C431)&amp;""-""&amp;DAY(C431)&amp;""'""))&gt;0,""Depositada"",if(sum(QUERY(IMPORTRANGE(""https://docs.google.com/spreadsheets/d/15vCx43UQd-lUcbnvwm-R2Xfhex1Wogrs1wY4DlXukMA/edit#gid=458192036"","""&amp;"BD M Sangrias!a:i""),""select Col6 where Col7 = 'Caixa Atendimento' and Col9 = '""&amp;K431&amp;""' and Col6 = ""&amp;N431&amp;"" and Col4 = date '""&amp;YEAR(C431)&amp;""-""&amp;MONTH(C431)&amp;""-""&amp;DAY(C431)&amp;""'""))&gt;0,""Caixa Atendimento"",""Caixa Sangria"")),""""),""Caixa Sangria"")"),"")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IFERROR(__xludf.DUMMYFUNCTION("ifna(IF(and(D432=""Saída"",J432=""Sangria""),if(sum(QUERY(IMPORTRANGE(""https://docs.google.com/spreadsheets/d/15vCx43UQd-lUcbnvwm-R2Xfhex1Wogrs1wY4DlXukMA/edit#gid=458192036"",""BD M Sangrias!a:i""),""select Col6 where Col7 = 'Depositada' and Col9 = '""&amp;"&amp;"K432&amp;""' and Col6 = ""&amp;N432&amp;"" and Col4 = date '""&amp;YEAR(C432)&amp;""-""&amp;MONTH(C432)&amp;""-""&amp;DAY(C432)&amp;""'""))&gt;0,""Depositada"",if(sum(QUERY(IMPORTRANGE(""https://docs.google.com/spreadsheets/d/15vCx43UQd-lUcbnvwm-R2Xfhex1Wogrs1wY4DlXukMA/edit#gid=458192036"","""&amp;"BD M Sangrias!a:i""),""select Col6 where Col7 = 'Caixa Atendimento' and Col9 = '""&amp;K432&amp;""' and Col6 = ""&amp;N432&amp;"" and Col4 = date '""&amp;YEAR(C432)&amp;""-""&amp;MONTH(C432)&amp;""-""&amp;DAY(C432)&amp;""'""))&gt;0,""Caixa Atendimento"",""Caixa Sangria"")),""""),""Caixa Sangria"")"),"")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IFERROR(__xludf.DUMMYFUNCTION("ifna(IF(and(D433=""Saída"",J433=""Sangria""),if(sum(QUERY(IMPORTRANGE(""https://docs.google.com/spreadsheets/d/15vCx43UQd-lUcbnvwm-R2Xfhex1Wogrs1wY4DlXukMA/edit#gid=458192036"",""BD M Sangrias!a:i""),""select Col6 where Col7 = 'Depositada' and Col9 = '""&amp;"&amp;"K433&amp;""' and Col6 = ""&amp;N433&amp;"" and Col4 = date '""&amp;YEAR(C433)&amp;""-""&amp;MONTH(C433)&amp;""-""&amp;DAY(C433)&amp;""'""))&gt;0,""Depositada"",if(sum(QUERY(IMPORTRANGE(""https://docs.google.com/spreadsheets/d/15vCx43UQd-lUcbnvwm-R2Xfhex1Wogrs1wY4DlXukMA/edit#gid=458192036"","""&amp;"BD M Sangrias!a:i""),""select Col6 where Col7 = 'Caixa Atendimento' and Col9 = '""&amp;K433&amp;""' and Col6 = ""&amp;N433&amp;"" and Col4 = date '""&amp;YEAR(C433)&amp;""-""&amp;MONTH(C433)&amp;""-""&amp;DAY(C433)&amp;""'""))&gt;0,""Caixa Atendimento"",""Caixa Sangria"")),""""),""Caixa Sangria"")"),"")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IFERROR(__xludf.DUMMYFUNCTION("ifna(IF(and(D434=""Saída"",J434=""Sangria""),if(sum(QUERY(IMPORTRANGE(""https://docs.google.com/spreadsheets/d/15vCx43UQd-lUcbnvwm-R2Xfhex1Wogrs1wY4DlXukMA/edit#gid=458192036"",""BD M Sangrias!a:i""),""select Col6 where Col7 = 'Depositada' and Col9 = '""&amp;"&amp;"K434&amp;""' and Col6 = ""&amp;N434&amp;"" and Col4 = date '""&amp;YEAR(C434)&amp;""-""&amp;MONTH(C434)&amp;""-""&amp;DAY(C434)&amp;""'""))&gt;0,""Depositada"",if(sum(QUERY(IMPORTRANGE(""https://docs.google.com/spreadsheets/d/15vCx43UQd-lUcbnvwm-R2Xfhex1Wogrs1wY4DlXukMA/edit#gid=458192036"","""&amp;"BD M Sangrias!a:i""),""select Col6 where Col7 = 'Caixa Atendimento' and Col9 = '""&amp;K434&amp;""' and Col6 = ""&amp;N434&amp;"" and Col4 = date '""&amp;YEAR(C434)&amp;""-""&amp;MONTH(C434)&amp;""-""&amp;DAY(C434)&amp;""'""))&gt;0,""Caixa Atendimento"",""Caixa Sangria"")),""""),""Caixa Sangria"")"),"")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IFERROR(__xludf.DUMMYFUNCTION("ifna(IF(and(D435=""Saída"",J435=""Sangria""),if(sum(QUERY(IMPORTRANGE(""https://docs.google.com/spreadsheets/d/15vCx43UQd-lUcbnvwm-R2Xfhex1Wogrs1wY4DlXukMA/edit#gid=458192036"",""BD M Sangrias!a:i""),""select Col6 where Col7 = 'Depositada' and Col9 = '""&amp;"&amp;"K435&amp;""' and Col6 = ""&amp;N435&amp;"" and Col4 = date '""&amp;YEAR(C435)&amp;""-""&amp;MONTH(C435)&amp;""-""&amp;DAY(C435)&amp;""'""))&gt;0,""Depositada"",if(sum(QUERY(IMPORTRANGE(""https://docs.google.com/spreadsheets/d/15vCx43UQd-lUcbnvwm-R2Xfhex1Wogrs1wY4DlXukMA/edit#gid=458192036"","""&amp;"BD M Sangrias!a:i""),""select Col6 where Col7 = 'Caixa Atendimento' and Col9 = '""&amp;K435&amp;""' and Col6 = ""&amp;N435&amp;"" and Col4 = date '""&amp;YEAR(C435)&amp;""-""&amp;MONTH(C435)&amp;""-""&amp;DAY(C435)&amp;""'""))&gt;0,""Caixa Atendimento"",""Caixa Sangria"")),""""),""Caixa Sangria"")"),"")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IFERROR(__xludf.DUMMYFUNCTION("ifna(IF(and(D436=""Saída"",J436=""Sangria""),if(sum(QUERY(IMPORTRANGE(""https://docs.google.com/spreadsheets/d/15vCx43UQd-lUcbnvwm-R2Xfhex1Wogrs1wY4DlXukMA/edit#gid=458192036"",""BD M Sangrias!a:i""),""select Col6 where Col7 = 'Depositada' and Col9 = '""&amp;"&amp;"K436&amp;""' and Col6 = ""&amp;N436&amp;"" and Col4 = date '""&amp;YEAR(C436)&amp;""-""&amp;MONTH(C436)&amp;""-""&amp;DAY(C436)&amp;""'""))&gt;0,""Depositada"",if(sum(QUERY(IMPORTRANGE(""https://docs.google.com/spreadsheets/d/15vCx43UQd-lUcbnvwm-R2Xfhex1Wogrs1wY4DlXukMA/edit#gid=458192036"","""&amp;"BD M Sangrias!a:i""),""select Col6 where Col7 = 'Caixa Atendimento' and Col9 = '""&amp;K436&amp;""' and Col6 = ""&amp;N436&amp;"" and Col4 = date '""&amp;YEAR(C436)&amp;""-""&amp;MONTH(C436)&amp;""-""&amp;DAY(C436)&amp;""'""))&gt;0,""Caixa Atendimento"",""Caixa Sangria"")),""""),""Caixa Sangria"")"),"")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IFERROR(__xludf.DUMMYFUNCTION("ifna(IF(and(D437=""Saída"",J437=""Sangria""),if(sum(QUERY(IMPORTRANGE(""https://docs.google.com/spreadsheets/d/15vCx43UQd-lUcbnvwm-R2Xfhex1Wogrs1wY4DlXukMA/edit#gid=458192036"",""BD M Sangrias!a:i""),""select Col6 where Col7 = 'Depositada' and Col9 = '""&amp;"&amp;"K437&amp;""' and Col6 = ""&amp;N437&amp;"" and Col4 = date '""&amp;YEAR(C437)&amp;""-""&amp;MONTH(C437)&amp;""-""&amp;DAY(C437)&amp;""'""))&gt;0,""Depositada"",if(sum(QUERY(IMPORTRANGE(""https://docs.google.com/spreadsheets/d/15vCx43UQd-lUcbnvwm-R2Xfhex1Wogrs1wY4DlXukMA/edit#gid=458192036"","""&amp;"BD M Sangrias!a:i""),""select Col6 where Col7 = 'Caixa Atendimento' and Col9 = '""&amp;K437&amp;""' and Col6 = ""&amp;N437&amp;"" and Col4 = date '""&amp;YEAR(C437)&amp;""-""&amp;MONTH(C437)&amp;""-""&amp;DAY(C437)&amp;""'""))&gt;0,""Caixa Atendimento"",""Caixa Sangria"")),""""),""Caixa Sangria"")"),"")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IFERROR(__xludf.DUMMYFUNCTION("ifna(IF(and(D438=""Saída"",J438=""Sangria""),if(sum(QUERY(IMPORTRANGE(""https://docs.google.com/spreadsheets/d/15vCx43UQd-lUcbnvwm-R2Xfhex1Wogrs1wY4DlXukMA/edit#gid=458192036"",""BD M Sangrias!a:i""),""select Col6 where Col7 = 'Depositada' and Col9 = '""&amp;"&amp;"K438&amp;""' and Col6 = ""&amp;N438&amp;"" and Col4 = date '""&amp;YEAR(C438)&amp;""-""&amp;MONTH(C438)&amp;""-""&amp;DAY(C438)&amp;""'""))&gt;0,""Depositada"",if(sum(QUERY(IMPORTRANGE(""https://docs.google.com/spreadsheets/d/15vCx43UQd-lUcbnvwm-R2Xfhex1Wogrs1wY4DlXukMA/edit#gid=458192036"","""&amp;"BD M Sangrias!a:i""),""select Col6 where Col7 = 'Caixa Atendimento' and Col9 = '""&amp;K438&amp;""' and Col6 = ""&amp;N438&amp;"" and Col4 = date '""&amp;YEAR(C438)&amp;""-""&amp;MONTH(C438)&amp;""-""&amp;DAY(C438)&amp;""'""))&gt;0,""Caixa Atendimento"",""Caixa Sangria"")),""""),""Caixa Sangria"")"),"")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IFERROR(__xludf.DUMMYFUNCTION("ifna(IF(and(D439=""Saída"",J439=""Sangria""),if(sum(QUERY(IMPORTRANGE(""https://docs.google.com/spreadsheets/d/15vCx43UQd-lUcbnvwm-R2Xfhex1Wogrs1wY4DlXukMA/edit#gid=458192036"",""BD M Sangrias!a:i""),""select Col6 where Col7 = 'Depositada' and Col9 = '""&amp;"&amp;"K439&amp;""' and Col6 = ""&amp;N439&amp;"" and Col4 = date '""&amp;YEAR(C439)&amp;""-""&amp;MONTH(C439)&amp;""-""&amp;DAY(C439)&amp;""'""))&gt;0,""Depositada"",if(sum(QUERY(IMPORTRANGE(""https://docs.google.com/spreadsheets/d/15vCx43UQd-lUcbnvwm-R2Xfhex1Wogrs1wY4DlXukMA/edit#gid=458192036"","""&amp;"BD M Sangrias!a:i""),""select Col6 where Col7 = 'Caixa Atendimento' and Col9 = '""&amp;K439&amp;""' and Col6 = ""&amp;N439&amp;"" and Col4 = date '""&amp;YEAR(C439)&amp;""-""&amp;MONTH(C439)&amp;""-""&amp;DAY(C439)&amp;""'""))&gt;0,""Caixa Atendimento"",""Caixa Sangria"")),""""),""Caixa Sangria"")"),"")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IFERROR(__xludf.DUMMYFUNCTION("ifna(IF(and(D440=""Saída"",J440=""Sangria""),if(sum(QUERY(IMPORTRANGE(""https://docs.google.com/spreadsheets/d/15vCx43UQd-lUcbnvwm-R2Xfhex1Wogrs1wY4DlXukMA/edit#gid=458192036"",""BD M Sangrias!a:i""),""select Col6 where Col7 = 'Depositada' and Col9 = '""&amp;"&amp;"K440&amp;""' and Col6 = ""&amp;N440&amp;"" and Col4 = date '""&amp;YEAR(C440)&amp;""-""&amp;MONTH(C440)&amp;""-""&amp;DAY(C440)&amp;""'""))&gt;0,""Depositada"",if(sum(QUERY(IMPORTRANGE(""https://docs.google.com/spreadsheets/d/15vCx43UQd-lUcbnvwm-R2Xfhex1Wogrs1wY4DlXukMA/edit#gid=458192036"","""&amp;"BD M Sangrias!a:i""),""select Col6 where Col7 = 'Caixa Atendimento' and Col9 = '""&amp;K440&amp;""' and Col6 = ""&amp;N440&amp;"" and Col4 = date '""&amp;YEAR(C440)&amp;""-""&amp;MONTH(C440)&amp;""-""&amp;DAY(C440)&amp;""'""))&gt;0,""Caixa Atendimento"",""Caixa Sangria"")),""""),""Caixa Sangria"")"),"")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IFERROR(__xludf.DUMMYFUNCTION("ifna(IF(and(D441=""Saída"",J441=""Sangria""),if(sum(QUERY(IMPORTRANGE(""https://docs.google.com/spreadsheets/d/15vCx43UQd-lUcbnvwm-R2Xfhex1Wogrs1wY4DlXukMA/edit#gid=458192036"",""BD M Sangrias!a:i""),""select Col6 where Col7 = 'Depositada' and Col9 = '""&amp;"&amp;"K441&amp;""' and Col6 = ""&amp;N441&amp;"" and Col4 = date '""&amp;YEAR(C441)&amp;""-""&amp;MONTH(C441)&amp;""-""&amp;DAY(C441)&amp;""'""))&gt;0,""Depositada"",if(sum(QUERY(IMPORTRANGE(""https://docs.google.com/spreadsheets/d/15vCx43UQd-lUcbnvwm-R2Xfhex1Wogrs1wY4DlXukMA/edit#gid=458192036"","""&amp;"BD M Sangrias!a:i""),""select Col6 where Col7 = 'Caixa Atendimento' and Col9 = '""&amp;K441&amp;""' and Col6 = ""&amp;N441&amp;"" and Col4 = date '""&amp;YEAR(C441)&amp;""-""&amp;MONTH(C441)&amp;""-""&amp;DAY(C441)&amp;""'""))&gt;0,""Caixa Atendimento"",""Caixa Sangria"")),""""),""Caixa Sangria"")"),"")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IFERROR(__xludf.DUMMYFUNCTION("ifna(IF(and(D442=""Saída"",J442=""Sangria""),if(sum(QUERY(IMPORTRANGE(""https://docs.google.com/spreadsheets/d/15vCx43UQd-lUcbnvwm-R2Xfhex1Wogrs1wY4DlXukMA/edit#gid=458192036"",""BD M Sangrias!a:i""),""select Col6 where Col7 = 'Depositada' and Col9 = '""&amp;"&amp;"K442&amp;""' and Col6 = ""&amp;N442&amp;"" and Col4 = date '""&amp;YEAR(C442)&amp;""-""&amp;MONTH(C442)&amp;""-""&amp;DAY(C442)&amp;""'""))&gt;0,""Depositada"",if(sum(QUERY(IMPORTRANGE(""https://docs.google.com/spreadsheets/d/15vCx43UQd-lUcbnvwm-R2Xfhex1Wogrs1wY4DlXukMA/edit#gid=458192036"","""&amp;"BD M Sangrias!a:i""),""select Col6 where Col7 = 'Caixa Atendimento' and Col9 = '""&amp;K442&amp;""' and Col6 = ""&amp;N442&amp;"" and Col4 = date '""&amp;YEAR(C442)&amp;""-""&amp;MONTH(C442)&amp;""-""&amp;DAY(C442)&amp;""'""))&gt;0,""Caixa Atendimento"",""Caixa Sangria"")),""""),""Caixa Sangria"")"),"")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IFERROR(__xludf.DUMMYFUNCTION("ifna(IF(and(D443=""Saída"",J443=""Sangria""),if(sum(QUERY(IMPORTRANGE(""https://docs.google.com/spreadsheets/d/15vCx43UQd-lUcbnvwm-R2Xfhex1Wogrs1wY4DlXukMA/edit#gid=458192036"",""BD M Sangrias!a:i""),""select Col6 where Col7 = 'Depositada' and Col9 = '""&amp;"&amp;"K443&amp;""' and Col6 = ""&amp;N443&amp;"" and Col4 = date '""&amp;YEAR(C443)&amp;""-""&amp;MONTH(C443)&amp;""-""&amp;DAY(C443)&amp;""'""))&gt;0,""Depositada"",if(sum(QUERY(IMPORTRANGE(""https://docs.google.com/spreadsheets/d/15vCx43UQd-lUcbnvwm-R2Xfhex1Wogrs1wY4DlXukMA/edit#gid=458192036"","""&amp;"BD M Sangrias!a:i""),""select Col6 where Col7 = 'Caixa Atendimento' and Col9 = '""&amp;K443&amp;""' and Col6 = ""&amp;N443&amp;"" and Col4 = date '""&amp;YEAR(C443)&amp;""-""&amp;MONTH(C443)&amp;""-""&amp;DAY(C443)&amp;""'""))&gt;0,""Caixa Atendimento"",""Caixa Sangria"")),""""),""Caixa Sangria"")"),"")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IFERROR(__xludf.DUMMYFUNCTION("ifna(IF(and(D444=""Saída"",J444=""Sangria""),if(sum(QUERY(IMPORTRANGE(""https://docs.google.com/spreadsheets/d/15vCx43UQd-lUcbnvwm-R2Xfhex1Wogrs1wY4DlXukMA/edit#gid=458192036"",""BD M Sangrias!a:i""),""select Col6 where Col7 = 'Depositada' and Col9 = '""&amp;"&amp;"K444&amp;""' and Col6 = ""&amp;N444&amp;"" and Col4 = date '""&amp;YEAR(C444)&amp;""-""&amp;MONTH(C444)&amp;""-""&amp;DAY(C444)&amp;""'""))&gt;0,""Depositada"",if(sum(QUERY(IMPORTRANGE(""https://docs.google.com/spreadsheets/d/15vCx43UQd-lUcbnvwm-R2Xfhex1Wogrs1wY4DlXukMA/edit#gid=458192036"","""&amp;"BD M Sangrias!a:i""),""select Col6 where Col7 = 'Caixa Atendimento' and Col9 = '""&amp;K444&amp;""' and Col6 = ""&amp;N444&amp;"" and Col4 = date '""&amp;YEAR(C444)&amp;""-""&amp;MONTH(C444)&amp;""-""&amp;DAY(C444)&amp;""'""))&gt;0,""Caixa Atendimento"",""Caixa Sangria"")),""""),""Caixa Sangria"")"),"")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IFERROR(__xludf.DUMMYFUNCTION("ifna(IF(and(D445=""Saída"",J445=""Sangria""),if(sum(QUERY(IMPORTRANGE(""https://docs.google.com/spreadsheets/d/15vCx43UQd-lUcbnvwm-R2Xfhex1Wogrs1wY4DlXukMA/edit#gid=458192036"",""BD M Sangrias!a:i""),""select Col6 where Col7 = 'Depositada' and Col9 = '""&amp;"&amp;"K445&amp;""' and Col6 = ""&amp;N445&amp;"" and Col4 = date '""&amp;YEAR(C445)&amp;""-""&amp;MONTH(C445)&amp;""-""&amp;DAY(C445)&amp;""'""))&gt;0,""Depositada"",if(sum(QUERY(IMPORTRANGE(""https://docs.google.com/spreadsheets/d/15vCx43UQd-lUcbnvwm-R2Xfhex1Wogrs1wY4DlXukMA/edit#gid=458192036"","""&amp;"BD M Sangrias!a:i""),""select Col6 where Col7 = 'Caixa Atendimento' and Col9 = '""&amp;K445&amp;""' and Col6 = ""&amp;N445&amp;"" and Col4 = date '""&amp;YEAR(C445)&amp;""-""&amp;MONTH(C445)&amp;""-""&amp;DAY(C445)&amp;""'""))&gt;0,""Caixa Atendimento"",""Caixa Sangria"")),""""),""Caixa Sangria"")"),"")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IFERROR(__xludf.DUMMYFUNCTION("ifna(IF(and(D446=""Saída"",J446=""Sangria""),if(sum(QUERY(IMPORTRANGE(""https://docs.google.com/spreadsheets/d/15vCx43UQd-lUcbnvwm-R2Xfhex1Wogrs1wY4DlXukMA/edit#gid=458192036"",""BD M Sangrias!a:i""),""select Col6 where Col7 = 'Depositada' and Col9 = '""&amp;"&amp;"K446&amp;""' and Col6 = ""&amp;N446&amp;"" and Col4 = date '""&amp;YEAR(C446)&amp;""-""&amp;MONTH(C446)&amp;""-""&amp;DAY(C446)&amp;""'""))&gt;0,""Depositada"",if(sum(QUERY(IMPORTRANGE(""https://docs.google.com/spreadsheets/d/15vCx43UQd-lUcbnvwm-R2Xfhex1Wogrs1wY4DlXukMA/edit#gid=458192036"","""&amp;"BD M Sangrias!a:i""),""select Col6 where Col7 = 'Caixa Atendimento' and Col9 = '""&amp;K446&amp;""' and Col6 = ""&amp;N446&amp;"" and Col4 = date '""&amp;YEAR(C446)&amp;""-""&amp;MONTH(C446)&amp;""-""&amp;DAY(C446)&amp;""'""))&gt;0,""Caixa Atendimento"",""Caixa Sangria"")),""""),""Caixa Sangria"")"),"")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IFERROR(__xludf.DUMMYFUNCTION("ifna(IF(and(D447=""Saída"",J447=""Sangria""),if(sum(QUERY(IMPORTRANGE(""https://docs.google.com/spreadsheets/d/15vCx43UQd-lUcbnvwm-R2Xfhex1Wogrs1wY4DlXukMA/edit#gid=458192036"",""BD M Sangrias!a:i""),""select Col6 where Col7 = 'Depositada' and Col9 = '""&amp;"&amp;"K447&amp;""' and Col6 = ""&amp;N447&amp;"" and Col4 = date '""&amp;YEAR(C447)&amp;""-""&amp;MONTH(C447)&amp;""-""&amp;DAY(C447)&amp;""'""))&gt;0,""Depositada"",if(sum(QUERY(IMPORTRANGE(""https://docs.google.com/spreadsheets/d/15vCx43UQd-lUcbnvwm-R2Xfhex1Wogrs1wY4DlXukMA/edit#gid=458192036"","""&amp;"BD M Sangrias!a:i""),""select Col6 where Col7 = 'Caixa Atendimento' and Col9 = '""&amp;K447&amp;""' and Col6 = ""&amp;N447&amp;"" and Col4 = date '""&amp;YEAR(C447)&amp;""-""&amp;MONTH(C447)&amp;""-""&amp;DAY(C447)&amp;""'""))&gt;0,""Caixa Atendimento"",""Caixa Sangria"")),""""),""Caixa Sangria"")"),"")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IFERROR(__xludf.DUMMYFUNCTION("ifna(IF(and(D448=""Saída"",J448=""Sangria""),if(sum(QUERY(IMPORTRANGE(""https://docs.google.com/spreadsheets/d/15vCx43UQd-lUcbnvwm-R2Xfhex1Wogrs1wY4DlXukMA/edit#gid=458192036"",""BD M Sangrias!a:i""),""select Col6 where Col7 = 'Depositada' and Col9 = '""&amp;"&amp;"K448&amp;""' and Col6 = ""&amp;N448&amp;"" and Col4 = date '""&amp;YEAR(C448)&amp;""-""&amp;MONTH(C448)&amp;""-""&amp;DAY(C448)&amp;""'""))&gt;0,""Depositada"",if(sum(QUERY(IMPORTRANGE(""https://docs.google.com/spreadsheets/d/15vCx43UQd-lUcbnvwm-R2Xfhex1Wogrs1wY4DlXukMA/edit#gid=458192036"","""&amp;"BD M Sangrias!a:i""),""select Col6 where Col7 = 'Caixa Atendimento' and Col9 = '""&amp;K448&amp;""' and Col6 = ""&amp;N448&amp;"" and Col4 = date '""&amp;YEAR(C448)&amp;""-""&amp;MONTH(C448)&amp;""-""&amp;DAY(C448)&amp;""'""))&gt;0,""Caixa Atendimento"",""Caixa Sangria"")),""""),""Caixa Sangria"")"),"")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IFERROR(__xludf.DUMMYFUNCTION("ifna(IF(and(D449=""Saída"",J449=""Sangria""),if(sum(QUERY(IMPORTRANGE(""https://docs.google.com/spreadsheets/d/15vCx43UQd-lUcbnvwm-R2Xfhex1Wogrs1wY4DlXukMA/edit#gid=458192036"",""BD M Sangrias!a:i""),""select Col6 where Col7 = 'Depositada' and Col9 = '""&amp;"&amp;"K449&amp;""' and Col6 = ""&amp;N449&amp;"" and Col4 = date '""&amp;YEAR(C449)&amp;""-""&amp;MONTH(C449)&amp;""-""&amp;DAY(C449)&amp;""'""))&gt;0,""Depositada"",if(sum(QUERY(IMPORTRANGE(""https://docs.google.com/spreadsheets/d/15vCx43UQd-lUcbnvwm-R2Xfhex1Wogrs1wY4DlXukMA/edit#gid=458192036"","""&amp;"BD M Sangrias!a:i""),""select Col6 where Col7 = 'Caixa Atendimento' and Col9 = '""&amp;K449&amp;""' and Col6 = ""&amp;N449&amp;"" and Col4 = date '""&amp;YEAR(C449)&amp;""-""&amp;MONTH(C449)&amp;""-""&amp;DAY(C449)&amp;""'""))&gt;0,""Caixa Atendimento"",""Caixa Sangria"")),""""),""Caixa Sangria"")"),"")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IFERROR(__xludf.DUMMYFUNCTION("ifna(IF(and(D450=""Saída"",J450=""Sangria""),if(sum(QUERY(IMPORTRANGE(""https://docs.google.com/spreadsheets/d/15vCx43UQd-lUcbnvwm-R2Xfhex1Wogrs1wY4DlXukMA/edit#gid=458192036"",""BD M Sangrias!a:i""),""select Col6 where Col7 = 'Depositada' and Col9 = '""&amp;"&amp;"K450&amp;""' and Col6 = ""&amp;N450&amp;"" and Col4 = date '""&amp;YEAR(C450)&amp;""-""&amp;MONTH(C450)&amp;""-""&amp;DAY(C450)&amp;""'""))&gt;0,""Depositada"",if(sum(QUERY(IMPORTRANGE(""https://docs.google.com/spreadsheets/d/15vCx43UQd-lUcbnvwm-R2Xfhex1Wogrs1wY4DlXukMA/edit#gid=458192036"","""&amp;"BD M Sangrias!a:i""),""select Col6 where Col7 = 'Caixa Atendimento' and Col9 = '""&amp;K450&amp;""' and Col6 = ""&amp;N450&amp;"" and Col4 = date '""&amp;YEAR(C450)&amp;""-""&amp;MONTH(C450)&amp;""-""&amp;DAY(C450)&amp;""'""))&gt;0,""Caixa Atendimento"",""Caixa Sangria"")),""""),""Caixa Sangria"")"),"")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IFERROR(__xludf.DUMMYFUNCTION("ifna(IF(and(D451=""Saída"",J451=""Sangria""),if(sum(QUERY(IMPORTRANGE(""https://docs.google.com/spreadsheets/d/15vCx43UQd-lUcbnvwm-R2Xfhex1Wogrs1wY4DlXukMA/edit#gid=458192036"",""BD M Sangrias!a:i""),""select Col6 where Col7 = 'Depositada' and Col9 = '""&amp;"&amp;"K451&amp;""' and Col6 = ""&amp;N451&amp;"" and Col4 = date '""&amp;YEAR(C451)&amp;""-""&amp;MONTH(C451)&amp;""-""&amp;DAY(C451)&amp;""'""))&gt;0,""Depositada"",if(sum(QUERY(IMPORTRANGE(""https://docs.google.com/spreadsheets/d/15vCx43UQd-lUcbnvwm-R2Xfhex1Wogrs1wY4DlXukMA/edit#gid=458192036"","""&amp;"BD M Sangrias!a:i""),""select Col6 where Col7 = 'Caixa Atendimento' and Col9 = '""&amp;K451&amp;""' and Col6 = ""&amp;N451&amp;"" and Col4 = date '""&amp;YEAR(C451)&amp;""-""&amp;MONTH(C451)&amp;""-""&amp;DAY(C451)&amp;""'""))&gt;0,""Caixa Atendimento"",""Caixa Sangria"")),""""),""Caixa Sangria"")"),"")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IFERROR(__xludf.DUMMYFUNCTION("ifna(IF(and(D452=""Saída"",J452=""Sangria""),if(sum(QUERY(IMPORTRANGE(""https://docs.google.com/spreadsheets/d/15vCx43UQd-lUcbnvwm-R2Xfhex1Wogrs1wY4DlXukMA/edit#gid=458192036"",""BD M Sangrias!a:i""),""select Col6 where Col7 = 'Depositada' and Col9 = '""&amp;"&amp;"K452&amp;""' and Col6 = ""&amp;N452&amp;"" and Col4 = date '""&amp;YEAR(C452)&amp;""-""&amp;MONTH(C452)&amp;""-""&amp;DAY(C452)&amp;""'""))&gt;0,""Depositada"",if(sum(QUERY(IMPORTRANGE(""https://docs.google.com/spreadsheets/d/15vCx43UQd-lUcbnvwm-R2Xfhex1Wogrs1wY4DlXukMA/edit#gid=458192036"","""&amp;"BD M Sangrias!a:i""),""select Col6 where Col7 = 'Caixa Atendimento' and Col9 = '""&amp;K452&amp;""' and Col6 = ""&amp;N452&amp;"" and Col4 = date '""&amp;YEAR(C452)&amp;""-""&amp;MONTH(C452)&amp;""-""&amp;DAY(C452)&amp;""'""))&gt;0,""Caixa Atendimento"",""Caixa Sangria"")),""""),""Caixa Sangria"")"),"")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IFERROR(__xludf.DUMMYFUNCTION("ifna(IF(and(D453=""Saída"",J453=""Sangria""),if(sum(QUERY(IMPORTRANGE(""https://docs.google.com/spreadsheets/d/15vCx43UQd-lUcbnvwm-R2Xfhex1Wogrs1wY4DlXukMA/edit#gid=458192036"",""BD M Sangrias!a:i""),""select Col6 where Col7 = 'Depositada' and Col9 = '""&amp;"&amp;"K453&amp;""' and Col6 = ""&amp;N453&amp;"" and Col4 = date '""&amp;YEAR(C453)&amp;""-""&amp;MONTH(C453)&amp;""-""&amp;DAY(C453)&amp;""'""))&gt;0,""Depositada"",if(sum(QUERY(IMPORTRANGE(""https://docs.google.com/spreadsheets/d/15vCx43UQd-lUcbnvwm-R2Xfhex1Wogrs1wY4DlXukMA/edit#gid=458192036"","""&amp;"BD M Sangrias!a:i""),""select Col6 where Col7 = 'Caixa Atendimento' and Col9 = '""&amp;K453&amp;""' and Col6 = ""&amp;N453&amp;"" and Col4 = date '""&amp;YEAR(C453)&amp;""-""&amp;MONTH(C453)&amp;""-""&amp;DAY(C453)&amp;""'""))&gt;0,""Caixa Atendimento"",""Caixa Sangria"")),""""),""Caixa Sangria"")"),"")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IFERROR(__xludf.DUMMYFUNCTION("ifna(IF(and(D454=""Saída"",J454=""Sangria""),if(sum(QUERY(IMPORTRANGE(""https://docs.google.com/spreadsheets/d/15vCx43UQd-lUcbnvwm-R2Xfhex1Wogrs1wY4DlXukMA/edit#gid=458192036"",""BD M Sangrias!a:i""),""select Col6 where Col7 = 'Depositada' and Col9 = '""&amp;"&amp;"K454&amp;""' and Col6 = ""&amp;N454&amp;"" and Col4 = date '""&amp;YEAR(C454)&amp;""-""&amp;MONTH(C454)&amp;""-""&amp;DAY(C454)&amp;""'""))&gt;0,""Depositada"",if(sum(QUERY(IMPORTRANGE(""https://docs.google.com/spreadsheets/d/15vCx43UQd-lUcbnvwm-R2Xfhex1Wogrs1wY4DlXukMA/edit#gid=458192036"","""&amp;"BD M Sangrias!a:i""),""select Col6 where Col7 = 'Caixa Atendimento' and Col9 = '""&amp;K454&amp;""' and Col6 = ""&amp;N454&amp;"" and Col4 = date '""&amp;YEAR(C454)&amp;""-""&amp;MONTH(C454)&amp;""-""&amp;DAY(C454)&amp;""'""))&gt;0,""Caixa Atendimento"",""Caixa Sangria"")),""""),""Caixa Sangria"")"),"")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IFERROR(__xludf.DUMMYFUNCTION("ifna(IF(and(D455=""Saída"",J455=""Sangria""),if(sum(QUERY(IMPORTRANGE(""https://docs.google.com/spreadsheets/d/15vCx43UQd-lUcbnvwm-R2Xfhex1Wogrs1wY4DlXukMA/edit#gid=458192036"",""BD M Sangrias!a:i""),""select Col6 where Col7 = 'Depositada' and Col9 = '""&amp;"&amp;"K455&amp;""' and Col6 = ""&amp;N455&amp;"" and Col4 = date '""&amp;YEAR(C455)&amp;""-""&amp;MONTH(C455)&amp;""-""&amp;DAY(C455)&amp;""'""))&gt;0,""Depositada"",if(sum(QUERY(IMPORTRANGE(""https://docs.google.com/spreadsheets/d/15vCx43UQd-lUcbnvwm-R2Xfhex1Wogrs1wY4DlXukMA/edit#gid=458192036"","""&amp;"BD M Sangrias!a:i""),""select Col6 where Col7 = 'Caixa Atendimento' and Col9 = '""&amp;K455&amp;""' and Col6 = ""&amp;N455&amp;"" and Col4 = date '""&amp;YEAR(C455)&amp;""-""&amp;MONTH(C455)&amp;""-""&amp;DAY(C455)&amp;""'""))&gt;0,""Caixa Atendimento"",""Caixa Sangria"")),""""),""Caixa Sangria"")"),"")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IFERROR(__xludf.DUMMYFUNCTION("ifna(IF(and(D456=""Saída"",J456=""Sangria""),if(sum(QUERY(IMPORTRANGE(""https://docs.google.com/spreadsheets/d/15vCx43UQd-lUcbnvwm-R2Xfhex1Wogrs1wY4DlXukMA/edit#gid=458192036"",""BD M Sangrias!a:i""),""select Col6 where Col7 = 'Depositada' and Col9 = '""&amp;"&amp;"K456&amp;""' and Col6 = ""&amp;N456&amp;"" and Col4 = date '""&amp;YEAR(C456)&amp;""-""&amp;MONTH(C456)&amp;""-""&amp;DAY(C456)&amp;""'""))&gt;0,""Depositada"",if(sum(QUERY(IMPORTRANGE(""https://docs.google.com/spreadsheets/d/15vCx43UQd-lUcbnvwm-R2Xfhex1Wogrs1wY4DlXukMA/edit#gid=458192036"","""&amp;"BD M Sangrias!a:i""),""select Col6 where Col7 = 'Caixa Atendimento' and Col9 = '""&amp;K456&amp;""' and Col6 = ""&amp;N456&amp;"" and Col4 = date '""&amp;YEAR(C456)&amp;""-""&amp;MONTH(C456)&amp;""-""&amp;DAY(C456)&amp;""'""))&gt;0,""Caixa Atendimento"",""Caixa Sangria"")),""""),""Caixa Sangria"")"),"")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IFERROR(__xludf.DUMMYFUNCTION("ifna(IF(and(D457=""Saída"",J457=""Sangria""),if(sum(QUERY(IMPORTRANGE(""https://docs.google.com/spreadsheets/d/15vCx43UQd-lUcbnvwm-R2Xfhex1Wogrs1wY4DlXukMA/edit#gid=458192036"",""BD M Sangrias!a:i""),""select Col6 where Col7 = 'Depositada' and Col9 = '""&amp;"&amp;"K457&amp;""' and Col6 = ""&amp;N457&amp;"" and Col4 = date '""&amp;YEAR(C457)&amp;""-""&amp;MONTH(C457)&amp;""-""&amp;DAY(C457)&amp;""'""))&gt;0,""Depositada"",if(sum(QUERY(IMPORTRANGE(""https://docs.google.com/spreadsheets/d/15vCx43UQd-lUcbnvwm-R2Xfhex1Wogrs1wY4DlXukMA/edit#gid=458192036"","""&amp;"BD M Sangrias!a:i""),""select Col6 where Col7 = 'Caixa Atendimento' and Col9 = '""&amp;K457&amp;""' and Col6 = ""&amp;N457&amp;"" and Col4 = date '""&amp;YEAR(C457)&amp;""-""&amp;MONTH(C457)&amp;""-""&amp;DAY(C457)&amp;""'""))&gt;0,""Caixa Atendimento"",""Caixa Sangria"")),""""),""Caixa Sangria"")"),"")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IFERROR(__xludf.DUMMYFUNCTION("ifna(IF(and(D458=""Saída"",J458=""Sangria""),if(sum(QUERY(IMPORTRANGE(""https://docs.google.com/spreadsheets/d/15vCx43UQd-lUcbnvwm-R2Xfhex1Wogrs1wY4DlXukMA/edit#gid=458192036"",""BD M Sangrias!a:i""),""select Col6 where Col7 = 'Depositada' and Col9 = '""&amp;"&amp;"K458&amp;""' and Col6 = ""&amp;N458&amp;"" and Col4 = date '""&amp;YEAR(C458)&amp;""-""&amp;MONTH(C458)&amp;""-""&amp;DAY(C458)&amp;""'""))&gt;0,""Depositada"",if(sum(QUERY(IMPORTRANGE(""https://docs.google.com/spreadsheets/d/15vCx43UQd-lUcbnvwm-R2Xfhex1Wogrs1wY4DlXukMA/edit#gid=458192036"","""&amp;"BD M Sangrias!a:i""),""select Col6 where Col7 = 'Caixa Atendimento' and Col9 = '""&amp;K458&amp;""' and Col6 = ""&amp;N458&amp;"" and Col4 = date '""&amp;YEAR(C458)&amp;""-""&amp;MONTH(C458)&amp;""-""&amp;DAY(C458)&amp;""'""))&gt;0,""Caixa Atendimento"",""Caixa Sangria"")),""""),""Caixa Sangria"")"),"")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IFERROR(__xludf.DUMMYFUNCTION("ifna(IF(and(D459=""Saída"",J459=""Sangria""),if(sum(QUERY(IMPORTRANGE(""https://docs.google.com/spreadsheets/d/15vCx43UQd-lUcbnvwm-R2Xfhex1Wogrs1wY4DlXukMA/edit#gid=458192036"",""BD M Sangrias!a:i""),""select Col6 where Col7 = 'Depositada' and Col9 = '""&amp;"&amp;"K459&amp;""' and Col6 = ""&amp;N459&amp;"" and Col4 = date '""&amp;YEAR(C459)&amp;""-""&amp;MONTH(C459)&amp;""-""&amp;DAY(C459)&amp;""'""))&gt;0,""Depositada"",if(sum(QUERY(IMPORTRANGE(""https://docs.google.com/spreadsheets/d/15vCx43UQd-lUcbnvwm-R2Xfhex1Wogrs1wY4DlXukMA/edit#gid=458192036"","""&amp;"BD M Sangrias!a:i""),""select Col6 where Col7 = 'Caixa Atendimento' and Col9 = '""&amp;K459&amp;""' and Col6 = ""&amp;N459&amp;"" and Col4 = date '""&amp;YEAR(C459)&amp;""-""&amp;MONTH(C459)&amp;""-""&amp;DAY(C459)&amp;""'""))&gt;0,""Caixa Atendimento"",""Caixa Sangria"")),""""),""Caixa Sangria"")"),"")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IFERROR(__xludf.DUMMYFUNCTION("ifna(IF(and(D460=""Saída"",J460=""Sangria""),if(sum(QUERY(IMPORTRANGE(""https://docs.google.com/spreadsheets/d/15vCx43UQd-lUcbnvwm-R2Xfhex1Wogrs1wY4DlXukMA/edit#gid=458192036"",""BD M Sangrias!a:i""),""select Col6 where Col7 = 'Depositada' and Col9 = '""&amp;"&amp;"K460&amp;""' and Col6 = ""&amp;N460&amp;"" and Col4 = date '""&amp;YEAR(C460)&amp;""-""&amp;MONTH(C460)&amp;""-""&amp;DAY(C460)&amp;""'""))&gt;0,""Depositada"",if(sum(QUERY(IMPORTRANGE(""https://docs.google.com/spreadsheets/d/15vCx43UQd-lUcbnvwm-R2Xfhex1Wogrs1wY4DlXukMA/edit#gid=458192036"","""&amp;"BD M Sangrias!a:i""),""select Col6 where Col7 = 'Caixa Atendimento' and Col9 = '""&amp;K460&amp;""' and Col6 = ""&amp;N460&amp;"" and Col4 = date '""&amp;YEAR(C460)&amp;""-""&amp;MONTH(C460)&amp;""-""&amp;DAY(C460)&amp;""'""))&gt;0,""Caixa Atendimento"",""Caixa Sangria"")),""""),""Caixa Sangria"")"),"")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IFERROR(__xludf.DUMMYFUNCTION("ifna(IF(and(D461=""Saída"",J461=""Sangria""),if(sum(QUERY(IMPORTRANGE(""https://docs.google.com/spreadsheets/d/15vCx43UQd-lUcbnvwm-R2Xfhex1Wogrs1wY4DlXukMA/edit#gid=458192036"",""BD M Sangrias!a:i""),""select Col6 where Col7 = 'Depositada' and Col9 = '""&amp;"&amp;"K461&amp;""' and Col6 = ""&amp;N461&amp;"" and Col4 = date '""&amp;YEAR(C461)&amp;""-""&amp;MONTH(C461)&amp;""-""&amp;DAY(C461)&amp;""'""))&gt;0,""Depositada"",if(sum(QUERY(IMPORTRANGE(""https://docs.google.com/spreadsheets/d/15vCx43UQd-lUcbnvwm-R2Xfhex1Wogrs1wY4DlXukMA/edit#gid=458192036"","""&amp;"BD M Sangrias!a:i""),""select Col6 where Col7 = 'Caixa Atendimento' and Col9 = '""&amp;K461&amp;""' and Col6 = ""&amp;N461&amp;"" and Col4 = date '""&amp;YEAR(C461)&amp;""-""&amp;MONTH(C461)&amp;""-""&amp;DAY(C461)&amp;""'""))&gt;0,""Caixa Atendimento"",""Caixa Sangria"")),""""),""Caixa Sangria"")"),"")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IFERROR(__xludf.DUMMYFUNCTION("ifna(IF(and(D462=""Saída"",J462=""Sangria""),if(sum(QUERY(IMPORTRANGE(""https://docs.google.com/spreadsheets/d/15vCx43UQd-lUcbnvwm-R2Xfhex1Wogrs1wY4DlXukMA/edit#gid=458192036"",""BD M Sangrias!a:i""),""select Col6 where Col7 = 'Depositada' and Col9 = '""&amp;"&amp;"K462&amp;""' and Col6 = ""&amp;N462&amp;"" and Col4 = date '""&amp;YEAR(C462)&amp;""-""&amp;MONTH(C462)&amp;""-""&amp;DAY(C462)&amp;""'""))&gt;0,""Depositada"",if(sum(QUERY(IMPORTRANGE(""https://docs.google.com/spreadsheets/d/15vCx43UQd-lUcbnvwm-R2Xfhex1Wogrs1wY4DlXukMA/edit#gid=458192036"","""&amp;"BD M Sangrias!a:i""),""select Col6 where Col7 = 'Caixa Atendimento' and Col9 = '""&amp;K462&amp;""' and Col6 = ""&amp;N462&amp;"" and Col4 = date '""&amp;YEAR(C462)&amp;""-""&amp;MONTH(C462)&amp;""-""&amp;DAY(C462)&amp;""'""))&gt;0,""Caixa Atendimento"",""Caixa Sangria"")),""""),""Caixa Sangria"")"),"")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IFERROR(__xludf.DUMMYFUNCTION("ifna(IF(and(D463=""Saída"",J463=""Sangria""),if(sum(QUERY(IMPORTRANGE(""https://docs.google.com/spreadsheets/d/15vCx43UQd-lUcbnvwm-R2Xfhex1Wogrs1wY4DlXukMA/edit#gid=458192036"",""BD M Sangrias!a:i""),""select Col6 where Col7 = 'Depositada' and Col9 = '""&amp;"&amp;"K463&amp;""' and Col6 = ""&amp;N463&amp;"" and Col4 = date '""&amp;YEAR(C463)&amp;""-""&amp;MONTH(C463)&amp;""-""&amp;DAY(C463)&amp;""'""))&gt;0,""Depositada"",if(sum(QUERY(IMPORTRANGE(""https://docs.google.com/spreadsheets/d/15vCx43UQd-lUcbnvwm-R2Xfhex1Wogrs1wY4DlXukMA/edit#gid=458192036"","""&amp;"BD M Sangrias!a:i""),""select Col6 where Col7 = 'Caixa Atendimento' and Col9 = '""&amp;K463&amp;""' and Col6 = ""&amp;N463&amp;"" and Col4 = date '""&amp;YEAR(C463)&amp;""-""&amp;MONTH(C463)&amp;""-""&amp;DAY(C463)&amp;""'""))&gt;0,""Caixa Atendimento"",""Caixa Sangria"")),""""),""Caixa Sangria"")"),"")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IFERROR(__xludf.DUMMYFUNCTION("ifna(IF(and(D464=""Saída"",J464=""Sangria""),if(sum(QUERY(IMPORTRANGE(""https://docs.google.com/spreadsheets/d/15vCx43UQd-lUcbnvwm-R2Xfhex1Wogrs1wY4DlXukMA/edit#gid=458192036"",""BD M Sangrias!a:i""),""select Col6 where Col7 = 'Depositada' and Col9 = '""&amp;"&amp;"K464&amp;""' and Col6 = ""&amp;N464&amp;"" and Col4 = date '""&amp;YEAR(C464)&amp;""-""&amp;MONTH(C464)&amp;""-""&amp;DAY(C464)&amp;""'""))&gt;0,""Depositada"",if(sum(QUERY(IMPORTRANGE(""https://docs.google.com/spreadsheets/d/15vCx43UQd-lUcbnvwm-R2Xfhex1Wogrs1wY4DlXukMA/edit#gid=458192036"","""&amp;"BD M Sangrias!a:i""),""select Col6 where Col7 = 'Caixa Atendimento' and Col9 = '""&amp;K464&amp;""' and Col6 = ""&amp;N464&amp;"" and Col4 = date '""&amp;YEAR(C464)&amp;""-""&amp;MONTH(C464)&amp;""-""&amp;DAY(C464)&amp;""'""))&gt;0,""Caixa Atendimento"",""Caixa Sangria"")),""""),""Caixa Sangria"")"),"")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IFERROR(__xludf.DUMMYFUNCTION("ifna(IF(and(D465=""Saída"",J465=""Sangria""),if(sum(QUERY(IMPORTRANGE(""https://docs.google.com/spreadsheets/d/15vCx43UQd-lUcbnvwm-R2Xfhex1Wogrs1wY4DlXukMA/edit#gid=458192036"",""BD M Sangrias!a:i""),""select Col6 where Col7 = 'Depositada' and Col9 = '""&amp;"&amp;"K465&amp;""' and Col6 = ""&amp;N465&amp;"" and Col4 = date '""&amp;YEAR(C465)&amp;""-""&amp;MONTH(C465)&amp;""-""&amp;DAY(C465)&amp;""'""))&gt;0,""Depositada"",if(sum(QUERY(IMPORTRANGE(""https://docs.google.com/spreadsheets/d/15vCx43UQd-lUcbnvwm-R2Xfhex1Wogrs1wY4DlXukMA/edit#gid=458192036"","""&amp;"BD M Sangrias!a:i""),""select Col6 where Col7 = 'Caixa Atendimento' and Col9 = '""&amp;K465&amp;""' and Col6 = ""&amp;N465&amp;"" and Col4 = date '""&amp;YEAR(C465)&amp;""-""&amp;MONTH(C465)&amp;""-""&amp;DAY(C465)&amp;""'""))&gt;0,""Caixa Atendimento"",""Caixa Sangria"")),""""),""Caixa Sangria"")"),"")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IFERROR(__xludf.DUMMYFUNCTION("ifna(IF(and(D466=""Saída"",J466=""Sangria""),if(sum(QUERY(IMPORTRANGE(""https://docs.google.com/spreadsheets/d/15vCx43UQd-lUcbnvwm-R2Xfhex1Wogrs1wY4DlXukMA/edit#gid=458192036"",""BD M Sangrias!a:i""),""select Col6 where Col7 = 'Depositada' and Col9 = '""&amp;"&amp;"K466&amp;""' and Col6 = ""&amp;N466&amp;"" and Col4 = date '""&amp;YEAR(C466)&amp;""-""&amp;MONTH(C466)&amp;""-""&amp;DAY(C466)&amp;""'""))&gt;0,""Depositada"",if(sum(QUERY(IMPORTRANGE(""https://docs.google.com/spreadsheets/d/15vCx43UQd-lUcbnvwm-R2Xfhex1Wogrs1wY4DlXukMA/edit#gid=458192036"","""&amp;"BD M Sangrias!a:i""),""select Col6 where Col7 = 'Caixa Atendimento' and Col9 = '""&amp;K466&amp;""' and Col6 = ""&amp;N466&amp;"" and Col4 = date '""&amp;YEAR(C466)&amp;""-""&amp;MONTH(C466)&amp;""-""&amp;DAY(C466)&amp;""'""))&gt;0,""Caixa Atendimento"",""Caixa Sangria"")),""""),""Caixa Sangria"")"),"")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IFERROR(__xludf.DUMMYFUNCTION("ifna(IF(and(D467=""Saída"",J467=""Sangria""),if(sum(QUERY(IMPORTRANGE(""https://docs.google.com/spreadsheets/d/15vCx43UQd-lUcbnvwm-R2Xfhex1Wogrs1wY4DlXukMA/edit#gid=458192036"",""BD M Sangrias!a:i""),""select Col6 where Col7 = 'Depositada' and Col9 = '""&amp;"&amp;"K467&amp;""' and Col6 = ""&amp;N467&amp;"" and Col4 = date '""&amp;YEAR(C467)&amp;""-""&amp;MONTH(C467)&amp;""-""&amp;DAY(C467)&amp;""'""))&gt;0,""Depositada"",if(sum(QUERY(IMPORTRANGE(""https://docs.google.com/spreadsheets/d/15vCx43UQd-lUcbnvwm-R2Xfhex1Wogrs1wY4DlXukMA/edit#gid=458192036"","""&amp;"BD M Sangrias!a:i""),""select Col6 where Col7 = 'Caixa Atendimento' and Col9 = '""&amp;K467&amp;""' and Col6 = ""&amp;N467&amp;"" and Col4 = date '""&amp;YEAR(C467)&amp;""-""&amp;MONTH(C467)&amp;""-""&amp;DAY(C467)&amp;""'""))&gt;0,""Caixa Atendimento"",""Caixa Sangria"")),""""),""Caixa Sangria"")"),"")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IFERROR(__xludf.DUMMYFUNCTION("ifna(IF(and(D468=""Saída"",J468=""Sangria""),if(sum(QUERY(IMPORTRANGE(""https://docs.google.com/spreadsheets/d/15vCx43UQd-lUcbnvwm-R2Xfhex1Wogrs1wY4DlXukMA/edit#gid=458192036"",""BD M Sangrias!a:i""),""select Col6 where Col7 = 'Depositada' and Col9 = '""&amp;"&amp;"K468&amp;""' and Col6 = ""&amp;N468&amp;"" and Col4 = date '""&amp;YEAR(C468)&amp;""-""&amp;MONTH(C468)&amp;""-""&amp;DAY(C468)&amp;""'""))&gt;0,""Depositada"",if(sum(QUERY(IMPORTRANGE(""https://docs.google.com/spreadsheets/d/15vCx43UQd-lUcbnvwm-R2Xfhex1Wogrs1wY4DlXukMA/edit#gid=458192036"","""&amp;"BD M Sangrias!a:i""),""select Col6 where Col7 = 'Caixa Atendimento' and Col9 = '""&amp;K468&amp;""' and Col6 = ""&amp;N468&amp;"" and Col4 = date '""&amp;YEAR(C468)&amp;""-""&amp;MONTH(C468)&amp;""-""&amp;DAY(C468)&amp;""'""))&gt;0,""Caixa Atendimento"",""Caixa Sangria"")),""""),""Caixa Sangria"")"),"")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IFERROR(__xludf.DUMMYFUNCTION("ifna(IF(and(D469=""Saída"",J469=""Sangria""),if(sum(QUERY(IMPORTRANGE(""https://docs.google.com/spreadsheets/d/15vCx43UQd-lUcbnvwm-R2Xfhex1Wogrs1wY4DlXukMA/edit#gid=458192036"",""BD M Sangrias!a:i""),""select Col6 where Col7 = 'Depositada' and Col9 = '""&amp;"&amp;"K469&amp;""' and Col6 = ""&amp;N469&amp;"" and Col4 = date '""&amp;YEAR(C469)&amp;""-""&amp;MONTH(C469)&amp;""-""&amp;DAY(C469)&amp;""'""))&gt;0,""Depositada"",if(sum(QUERY(IMPORTRANGE(""https://docs.google.com/spreadsheets/d/15vCx43UQd-lUcbnvwm-R2Xfhex1Wogrs1wY4DlXukMA/edit#gid=458192036"","""&amp;"BD M Sangrias!a:i""),""select Col6 where Col7 = 'Caixa Atendimento' and Col9 = '""&amp;K469&amp;""' and Col6 = ""&amp;N469&amp;"" and Col4 = date '""&amp;YEAR(C469)&amp;""-""&amp;MONTH(C469)&amp;""-""&amp;DAY(C469)&amp;""'""))&gt;0,""Caixa Atendimento"",""Caixa Sangria"")),""""),""Caixa Sangria"")"),"")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IFERROR(__xludf.DUMMYFUNCTION("ifna(IF(and(D470=""Saída"",J470=""Sangria""),if(sum(QUERY(IMPORTRANGE(""https://docs.google.com/spreadsheets/d/15vCx43UQd-lUcbnvwm-R2Xfhex1Wogrs1wY4DlXukMA/edit#gid=458192036"",""BD M Sangrias!a:i""),""select Col6 where Col7 = 'Depositada' and Col9 = '""&amp;"&amp;"K470&amp;""' and Col6 = ""&amp;N470&amp;"" and Col4 = date '""&amp;YEAR(C470)&amp;""-""&amp;MONTH(C470)&amp;""-""&amp;DAY(C470)&amp;""'""))&gt;0,""Depositada"",if(sum(QUERY(IMPORTRANGE(""https://docs.google.com/spreadsheets/d/15vCx43UQd-lUcbnvwm-R2Xfhex1Wogrs1wY4DlXukMA/edit#gid=458192036"","""&amp;"BD M Sangrias!a:i""),""select Col6 where Col7 = 'Caixa Atendimento' and Col9 = '""&amp;K470&amp;""' and Col6 = ""&amp;N470&amp;"" and Col4 = date '""&amp;YEAR(C470)&amp;""-""&amp;MONTH(C470)&amp;""-""&amp;DAY(C470)&amp;""'""))&gt;0,""Caixa Atendimento"",""Caixa Sangria"")),""""),""Caixa Sangria"")"),"")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IFERROR(__xludf.DUMMYFUNCTION("ifna(IF(and(D471=""Saída"",J471=""Sangria""),if(sum(QUERY(IMPORTRANGE(""https://docs.google.com/spreadsheets/d/15vCx43UQd-lUcbnvwm-R2Xfhex1Wogrs1wY4DlXukMA/edit#gid=458192036"",""BD M Sangrias!a:i""),""select Col6 where Col7 = 'Depositada' and Col9 = '""&amp;"&amp;"K471&amp;""' and Col6 = ""&amp;N471&amp;"" and Col4 = date '""&amp;YEAR(C471)&amp;""-""&amp;MONTH(C471)&amp;""-""&amp;DAY(C471)&amp;""'""))&gt;0,""Depositada"",if(sum(QUERY(IMPORTRANGE(""https://docs.google.com/spreadsheets/d/15vCx43UQd-lUcbnvwm-R2Xfhex1Wogrs1wY4DlXukMA/edit#gid=458192036"","""&amp;"BD M Sangrias!a:i""),""select Col6 where Col7 = 'Caixa Atendimento' and Col9 = '""&amp;K471&amp;""' and Col6 = ""&amp;N471&amp;"" and Col4 = date '""&amp;YEAR(C471)&amp;""-""&amp;MONTH(C471)&amp;""-""&amp;DAY(C471)&amp;""'""))&gt;0,""Caixa Atendimento"",""Caixa Sangria"")),""""),""Caixa Sangria"")"),"")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IFERROR(__xludf.DUMMYFUNCTION("ifna(IF(and(D472=""Saída"",J472=""Sangria""),if(sum(QUERY(IMPORTRANGE(""https://docs.google.com/spreadsheets/d/15vCx43UQd-lUcbnvwm-R2Xfhex1Wogrs1wY4DlXukMA/edit#gid=458192036"",""BD M Sangrias!a:i""),""select Col6 where Col7 = 'Depositada' and Col9 = '""&amp;"&amp;"K472&amp;""' and Col6 = ""&amp;N472&amp;"" and Col4 = date '""&amp;YEAR(C472)&amp;""-""&amp;MONTH(C472)&amp;""-""&amp;DAY(C472)&amp;""'""))&gt;0,""Depositada"",if(sum(QUERY(IMPORTRANGE(""https://docs.google.com/spreadsheets/d/15vCx43UQd-lUcbnvwm-R2Xfhex1Wogrs1wY4DlXukMA/edit#gid=458192036"","""&amp;"BD M Sangrias!a:i""),""select Col6 where Col7 = 'Caixa Atendimento' and Col9 = '""&amp;K472&amp;""' and Col6 = ""&amp;N472&amp;"" and Col4 = date '""&amp;YEAR(C472)&amp;""-""&amp;MONTH(C472)&amp;""-""&amp;DAY(C472)&amp;""'""))&gt;0,""Caixa Atendimento"",""Caixa Sangria"")),""""),""Caixa Sangria"")"),"")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IFERROR(__xludf.DUMMYFUNCTION("ifna(IF(and(D473=""Saída"",J473=""Sangria""),if(sum(QUERY(IMPORTRANGE(""https://docs.google.com/spreadsheets/d/15vCx43UQd-lUcbnvwm-R2Xfhex1Wogrs1wY4DlXukMA/edit#gid=458192036"",""BD M Sangrias!a:i""),""select Col6 where Col7 = 'Depositada' and Col9 = '""&amp;"&amp;"K473&amp;""' and Col6 = ""&amp;N473&amp;"" and Col4 = date '""&amp;YEAR(C473)&amp;""-""&amp;MONTH(C473)&amp;""-""&amp;DAY(C473)&amp;""'""))&gt;0,""Depositada"",if(sum(QUERY(IMPORTRANGE(""https://docs.google.com/spreadsheets/d/15vCx43UQd-lUcbnvwm-R2Xfhex1Wogrs1wY4DlXukMA/edit#gid=458192036"","""&amp;"BD M Sangrias!a:i""),""select Col6 where Col7 = 'Caixa Atendimento' and Col9 = '""&amp;K473&amp;""' and Col6 = ""&amp;N473&amp;"" and Col4 = date '""&amp;YEAR(C473)&amp;""-""&amp;MONTH(C473)&amp;""-""&amp;DAY(C473)&amp;""'""))&gt;0,""Caixa Atendimento"",""Caixa Sangria"")),""""),""Caixa Sangria"")"),"")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IFERROR(__xludf.DUMMYFUNCTION("ifna(IF(and(D474=""Saída"",J474=""Sangria""),if(sum(QUERY(IMPORTRANGE(""https://docs.google.com/spreadsheets/d/15vCx43UQd-lUcbnvwm-R2Xfhex1Wogrs1wY4DlXukMA/edit#gid=458192036"",""BD M Sangrias!a:i""),""select Col6 where Col7 = 'Depositada' and Col9 = '""&amp;"&amp;"K474&amp;""' and Col6 = ""&amp;N474&amp;"" and Col4 = date '""&amp;YEAR(C474)&amp;""-""&amp;MONTH(C474)&amp;""-""&amp;DAY(C474)&amp;""'""))&gt;0,""Depositada"",if(sum(QUERY(IMPORTRANGE(""https://docs.google.com/spreadsheets/d/15vCx43UQd-lUcbnvwm-R2Xfhex1Wogrs1wY4DlXukMA/edit#gid=458192036"","""&amp;"BD M Sangrias!a:i""),""select Col6 where Col7 = 'Caixa Atendimento' and Col9 = '""&amp;K474&amp;""' and Col6 = ""&amp;N474&amp;"" and Col4 = date '""&amp;YEAR(C474)&amp;""-""&amp;MONTH(C474)&amp;""-""&amp;DAY(C474)&amp;""'""))&gt;0,""Caixa Atendimento"",""Caixa Sangria"")),""""),""Caixa Sangria"")"),"")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IFERROR(__xludf.DUMMYFUNCTION("ifna(IF(and(D475=""Saída"",J475=""Sangria""),if(sum(QUERY(IMPORTRANGE(""https://docs.google.com/spreadsheets/d/15vCx43UQd-lUcbnvwm-R2Xfhex1Wogrs1wY4DlXukMA/edit#gid=458192036"",""BD M Sangrias!a:i""),""select Col6 where Col7 = 'Depositada' and Col9 = '""&amp;"&amp;"K475&amp;""' and Col6 = ""&amp;N475&amp;"" and Col4 = date '""&amp;YEAR(C475)&amp;""-""&amp;MONTH(C475)&amp;""-""&amp;DAY(C475)&amp;""'""))&gt;0,""Depositada"",if(sum(QUERY(IMPORTRANGE(""https://docs.google.com/spreadsheets/d/15vCx43UQd-lUcbnvwm-R2Xfhex1Wogrs1wY4DlXukMA/edit#gid=458192036"","""&amp;"BD M Sangrias!a:i""),""select Col6 where Col7 = 'Caixa Atendimento' and Col9 = '""&amp;K475&amp;""' and Col6 = ""&amp;N475&amp;"" and Col4 = date '""&amp;YEAR(C475)&amp;""-""&amp;MONTH(C475)&amp;""-""&amp;DAY(C475)&amp;""'""))&gt;0,""Caixa Atendimento"",""Caixa Sangria"")),""""),""Caixa Sangria"")"),"")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IFERROR(__xludf.DUMMYFUNCTION("ifna(IF(and(D476=""Saída"",J476=""Sangria""),if(sum(QUERY(IMPORTRANGE(""https://docs.google.com/spreadsheets/d/15vCx43UQd-lUcbnvwm-R2Xfhex1Wogrs1wY4DlXukMA/edit#gid=458192036"",""BD M Sangrias!a:i""),""select Col6 where Col7 = 'Depositada' and Col9 = '""&amp;"&amp;"K476&amp;""' and Col6 = ""&amp;N476&amp;"" and Col4 = date '""&amp;YEAR(C476)&amp;""-""&amp;MONTH(C476)&amp;""-""&amp;DAY(C476)&amp;""'""))&gt;0,""Depositada"",if(sum(QUERY(IMPORTRANGE(""https://docs.google.com/spreadsheets/d/15vCx43UQd-lUcbnvwm-R2Xfhex1Wogrs1wY4DlXukMA/edit#gid=458192036"","""&amp;"BD M Sangrias!a:i""),""select Col6 where Col7 = 'Caixa Atendimento' and Col9 = '""&amp;K476&amp;""' and Col6 = ""&amp;N476&amp;"" and Col4 = date '""&amp;YEAR(C476)&amp;""-""&amp;MONTH(C476)&amp;""-""&amp;DAY(C476)&amp;""'""))&gt;0,""Caixa Atendimento"",""Caixa Sangria"")),""""),""Caixa Sangria"")"),"")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IFERROR(__xludf.DUMMYFUNCTION("ifna(IF(and(D477=""Saída"",J477=""Sangria""),if(sum(QUERY(IMPORTRANGE(""https://docs.google.com/spreadsheets/d/15vCx43UQd-lUcbnvwm-R2Xfhex1Wogrs1wY4DlXukMA/edit#gid=458192036"",""BD M Sangrias!a:i""),""select Col6 where Col7 = 'Depositada' and Col9 = '""&amp;"&amp;"K477&amp;""' and Col6 = ""&amp;N477&amp;"" and Col4 = date '""&amp;YEAR(C477)&amp;""-""&amp;MONTH(C477)&amp;""-""&amp;DAY(C477)&amp;""'""))&gt;0,""Depositada"",if(sum(QUERY(IMPORTRANGE(""https://docs.google.com/spreadsheets/d/15vCx43UQd-lUcbnvwm-R2Xfhex1Wogrs1wY4DlXukMA/edit#gid=458192036"","""&amp;"BD M Sangrias!a:i""),""select Col6 where Col7 = 'Caixa Atendimento' and Col9 = '""&amp;K477&amp;""' and Col6 = ""&amp;N477&amp;"" and Col4 = date '""&amp;YEAR(C477)&amp;""-""&amp;MONTH(C477)&amp;""-""&amp;DAY(C477)&amp;""'""))&gt;0,""Caixa Atendimento"",""Caixa Sangria"")),""""),""Caixa Sangria"")"),"")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IFERROR(__xludf.DUMMYFUNCTION("ifna(IF(and(D478=""Saída"",J478=""Sangria""),if(sum(QUERY(IMPORTRANGE(""https://docs.google.com/spreadsheets/d/15vCx43UQd-lUcbnvwm-R2Xfhex1Wogrs1wY4DlXukMA/edit#gid=458192036"",""BD M Sangrias!a:i""),""select Col6 where Col7 = 'Depositada' and Col9 = '""&amp;"&amp;"K478&amp;""' and Col6 = ""&amp;N478&amp;"" and Col4 = date '""&amp;YEAR(C478)&amp;""-""&amp;MONTH(C478)&amp;""-""&amp;DAY(C478)&amp;""'""))&gt;0,""Depositada"",if(sum(QUERY(IMPORTRANGE(""https://docs.google.com/spreadsheets/d/15vCx43UQd-lUcbnvwm-R2Xfhex1Wogrs1wY4DlXukMA/edit#gid=458192036"","""&amp;"BD M Sangrias!a:i""),""select Col6 where Col7 = 'Caixa Atendimento' and Col9 = '""&amp;K478&amp;""' and Col6 = ""&amp;N478&amp;"" and Col4 = date '""&amp;YEAR(C478)&amp;""-""&amp;MONTH(C478)&amp;""-""&amp;DAY(C478)&amp;""'""))&gt;0,""Caixa Atendimento"",""Caixa Sangria"")),""""),""Caixa Sangria"")"),"")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IFERROR(__xludf.DUMMYFUNCTION("ifna(IF(and(D479=""Saída"",J479=""Sangria""),if(sum(QUERY(IMPORTRANGE(""https://docs.google.com/spreadsheets/d/15vCx43UQd-lUcbnvwm-R2Xfhex1Wogrs1wY4DlXukMA/edit#gid=458192036"",""BD M Sangrias!a:i""),""select Col6 where Col7 = 'Depositada' and Col9 = '""&amp;"&amp;"K479&amp;""' and Col6 = ""&amp;N479&amp;"" and Col4 = date '""&amp;YEAR(C479)&amp;""-""&amp;MONTH(C479)&amp;""-""&amp;DAY(C479)&amp;""'""))&gt;0,""Depositada"",if(sum(QUERY(IMPORTRANGE(""https://docs.google.com/spreadsheets/d/15vCx43UQd-lUcbnvwm-R2Xfhex1Wogrs1wY4DlXukMA/edit#gid=458192036"","""&amp;"BD M Sangrias!a:i""),""select Col6 where Col7 = 'Caixa Atendimento' and Col9 = '""&amp;K479&amp;""' and Col6 = ""&amp;N479&amp;"" and Col4 = date '""&amp;YEAR(C479)&amp;""-""&amp;MONTH(C479)&amp;""-""&amp;DAY(C479)&amp;""'""))&gt;0,""Caixa Atendimento"",""Caixa Sangria"")),""""),""Caixa Sangria"")"),"")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IFERROR(__xludf.DUMMYFUNCTION("ifna(IF(and(D480=""Saída"",J480=""Sangria""),if(sum(QUERY(IMPORTRANGE(""https://docs.google.com/spreadsheets/d/15vCx43UQd-lUcbnvwm-R2Xfhex1Wogrs1wY4DlXukMA/edit#gid=458192036"",""BD M Sangrias!a:i""),""select Col6 where Col7 = 'Depositada' and Col9 = '""&amp;"&amp;"K480&amp;""' and Col6 = ""&amp;N480&amp;"" and Col4 = date '""&amp;YEAR(C480)&amp;""-""&amp;MONTH(C480)&amp;""-""&amp;DAY(C480)&amp;""'""))&gt;0,""Depositada"",if(sum(QUERY(IMPORTRANGE(""https://docs.google.com/spreadsheets/d/15vCx43UQd-lUcbnvwm-R2Xfhex1Wogrs1wY4DlXukMA/edit#gid=458192036"","""&amp;"BD M Sangrias!a:i""),""select Col6 where Col7 = 'Caixa Atendimento' and Col9 = '""&amp;K480&amp;""' and Col6 = ""&amp;N480&amp;"" and Col4 = date '""&amp;YEAR(C480)&amp;""-""&amp;MONTH(C480)&amp;""-""&amp;DAY(C480)&amp;""'""))&gt;0,""Caixa Atendimento"",""Caixa Sangria"")),""""),""Caixa Sangria"")"),"")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IFERROR(__xludf.DUMMYFUNCTION("ifna(IF(and(D481=""Saída"",J481=""Sangria""),if(sum(QUERY(IMPORTRANGE(""https://docs.google.com/spreadsheets/d/15vCx43UQd-lUcbnvwm-R2Xfhex1Wogrs1wY4DlXukMA/edit#gid=458192036"",""BD M Sangrias!a:i""),""select Col6 where Col7 = 'Depositada' and Col9 = '""&amp;"&amp;"K481&amp;""' and Col6 = ""&amp;N481&amp;"" and Col4 = date '""&amp;YEAR(C481)&amp;""-""&amp;MONTH(C481)&amp;""-""&amp;DAY(C481)&amp;""'""))&gt;0,""Depositada"",if(sum(QUERY(IMPORTRANGE(""https://docs.google.com/spreadsheets/d/15vCx43UQd-lUcbnvwm-R2Xfhex1Wogrs1wY4DlXukMA/edit#gid=458192036"","""&amp;"BD M Sangrias!a:i""),""select Col6 where Col7 = 'Caixa Atendimento' and Col9 = '""&amp;K481&amp;""' and Col6 = ""&amp;N481&amp;"" and Col4 = date '""&amp;YEAR(C481)&amp;""-""&amp;MONTH(C481)&amp;""-""&amp;DAY(C481)&amp;""'""))&gt;0,""Caixa Atendimento"",""Caixa Sangria"")),""""),""Caixa Sangria"")"),"")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IFERROR(__xludf.DUMMYFUNCTION("ifna(IF(and(D482=""Saída"",J482=""Sangria""),if(sum(QUERY(IMPORTRANGE(""https://docs.google.com/spreadsheets/d/15vCx43UQd-lUcbnvwm-R2Xfhex1Wogrs1wY4DlXukMA/edit#gid=458192036"",""BD M Sangrias!a:i""),""select Col6 where Col7 = 'Depositada' and Col9 = '""&amp;"&amp;"K482&amp;""' and Col6 = ""&amp;N482&amp;"" and Col4 = date '""&amp;YEAR(C482)&amp;""-""&amp;MONTH(C482)&amp;""-""&amp;DAY(C482)&amp;""'""))&gt;0,""Depositada"",if(sum(QUERY(IMPORTRANGE(""https://docs.google.com/spreadsheets/d/15vCx43UQd-lUcbnvwm-R2Xfhex1Wogrs1wY4DlXukMA/edit#gid=458192036"","""&amp;"BD M Sangrias!a:i""),""select Col6 where Col7 = 'Caixa Atendimento' and Col9 = '""&amp;K482&amp;""' and Col6 = ""&amp;N482&amp;"" and Col4 = date '""&amp;YEAR(C482)&amp;""-""&amp;MONTH(C482)&amp;""-""&amp;DAY(C482)&amp;""'""))&gt;0,""Caixa Atendimento"",""Caixa Sangria"")),""""),""Caixa Sangria"")"),"")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IFERROR(__xludf.DUMMYFUNCTION("ifna(IF(and(D483=""Saída"",J483=""Sangria""),if(sum(QUERY(IMPORTRANGE(""https://docs.google.com/spreadsheets/d/15vCx43UQd-lUcbnvwm-R2Xfhex1Wogrs1wY4DlXukMA/edit#gid=458192036"",""BD M Sangrias!a:i""),""select Col6 where Col7 = 'Depositada' and Col9 = '""&amp;"&amp;"K483&amp;""' and Col6 = ""&amp;N483&amp;"" and Col4 = date '""&amp;YEAR(C483)&amp;""-""&amp;MONTH(C483)&amp;""-""&amp;DAY(C483)&amp;""'""))&gt;0,""Depositada"",if(sum(QUERY(IMPORTRANGE(""https://docs.google.com/spreadsheets/d/15vCx43UQd-lUcbnvwm-R2Xfhex1Wogrs1wY4DlXukMA/edit#gid=458192036"","""&amp;"BD M Sangrias!a:i""),""select Col6 where Col7 = 'Caixa Atendimento' and Col9 = '""&amp;K483&amp;""' and Col6 = ""&amp;N483&amp;"" and Col4 = date '""&amp;YEAR(C483)&amp;""-""&amp;MONTH(C483)&amp;""-""&amp;DAY(C483)&amp;""'""))&gt;0,""Caixa Atendimento"",""Caixa Sangria"")),""""),""Caixa Sangria"")"),"")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IFERROR(__xludf.DUMMYFUNCTION("ifna(IF(and(D484=""Saída"",J484=""Sangria""),if(sum(QUERY(IMPORTRANGE(""https://docs.google.com/spreadsheets/d/15vCx43UQd-lUcbnvwm-R2Xfhex1Wogrs1wY4DlXukMA/edit#gid=458192036"",""BD M Sangrias!a:i""),""select Col6 where Col7 = 'Depositada' and Col9 = '""&amp;"&amp;"K484&amp;""' and Col6 = ""&amp;N484&amp;"" and Col4 = date '""&amp;YEAR(C484)&amp;""-""&amp;MONTH(C484)&amp;""-""&amp;DAY(C484)&amp;""'""))&gt;0,""Depositada"",if(sum(QUERY(IMPORTRANGE(""https://docs.google.com/spreadsheets/d/15vCx43UQd-lUcbnvwm-R2Xfhex1Wogrs1wY4DlXukMA/edit#gid=458192036"","""&amp;"BD M Sangrias!a:i""),""select Col6 where Col7 = 'Caixa Atendimento' and Col9 = '""&amp;K484&amp;""' and Col6 = ""&amp;N484&amp;"" and Col4 = date '""&amp;YEAR(C484)&amp;""-""&amp;MONTH(C484)&amp;""-""&amp;DAY(C484)&amp;""'""))&gt;0,""Caixa Atendimento"",""Caixa Sangria"")),""""),""Caixa Sangria"")"),"")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IFERROR(__xludf.DUMMYFUNCTION("ifna(IF(and(D485=""Saída"",J485=""Sangria""),if(sum(QUERY(IMPORTRANGE(""https://docs.google.com/spreadsheets/d/15vCx43UQd-lUcbnvwm-R2Xfhex1Wogrs1wY4DlXukMA/edit#gid=458192036"",""BD M Sangrias!a:i""),""select Col6 where Col7 = 'Depositada' and Col9 = '""&amp;"&amp;"K485&amp;""' and Col6 = ""&amp;N485&amp;"" and Col4 = date '""&amp;YEAR(C485)&amp;""-""&amp;MONTH(C485)&amp;""-""&amp;DAY(C485)&amp;""'""))&gt;0,""Depositada"",if(sum(QUERY(IMPORTRANGE(""https://docs.google.com/spreadsheets/d/15vCx43UQd-lUcbnvwm-R2Xfhex1Wogrs1wY4DlXukMA/edit#gid=458192036"","""&amp;"BD M Sangrias!a:i""),""select Col6 where Col7 = 'Caixa Atendimento' and Col9 = '""&amp;K485&amp;""' and Col6 = ""&amp;N485&amp;"" and Col4 = date '""&amp;YEAR(C485)&amp;""-""&amp;MONTH(C485)&amp;""-""&amp;DAY(C485)&amp;""'""))&gt;0,""Caixa Atendimento"",""Caixa Sangria"")),""""),""Caixa Sangria"")"),"")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IFERROR(__xludf.DUMMYFUNCTION("ifna(IF(and(D486=""Saída"",J486=""Sangria""),if(sum(QUERY(IMPORTRANGE(""https://docs.google.com/spreadsheets/d/15vCx43UQd-lUcbnvwm-R2Xfhex1Wogrs1wY4DlXukMA/edit#gid=458192036"",""BD M Sangrias!a:i""),""select Col6 where Col7 = 'Depositada' and Col9 = '""&amp;"&amp;"K486&amp;""' and Col6 = ""&amp;N486&amp;"" and Col4 = date '""&amp;YEAR(C486)&amp;""-""&amp;MONTH(C486)&amp;""-""&amp;DAY(C486)&amp;""'""))&gt;0,""Depositada"",if(sum(QUERY(IMPORTRANGE(""https://docs.google.com/spreadsheets/d/15vCx43UQd-lUcbnvwm-R2Xfhex1Wogrs1wY4DlXukMA/edit#gid=458192036"","""&amp;"BD M Sangrias!a:i""),""select Col6 where Col7 = 'Caixa Atendimento' and Col9 = '""&amp;K486&amp;""' and Col6 = ""&amp;N486&amp;"" and Col4 = date '""&amp;YEAR(C486)&amp;""-""&amp;MONTH(C486)&amp;""-""&amp;DAY(C486)&amp;""'""))&gt;0,""Caixa Atendimento"",""Caixa Sangria"")),""""),""Caixa Sangria"")"),"")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IFERROR(__xludf.DUMMYFUNCTION("ifna(IF(and(D487=""Saída"",J487=""Sangria""),if(sum(QUERY(IMPORTRANGE(""https://docs.google.com/spreadsheets/d/15vCx43UQd-lUcbnvwm-R2Xfhex1Wogrs1wY4DlXukMA/edit#gid=458192036"",""BD M Sangrias!a:i""),""select Col6 where Col7 = 'Depositada' and Col9 = '""&amp;"&amp;"K487&amp;""' and Col6 = ""&amp;N487&amp;"" and Col4 = date '""&amp;YEAR(C487)&amp;""-""&amp;MONTH(C487)&amp;""-""&amp;DAY(C487)&amp;""'""))&gt;0,""Depositada"",if(sum(QUERY(IMPORTRANGE(""https://docs.google.com/spreadsheets/d/15vCx43UQd-lUcbnvwm-R2Xfhex1Wogrs1wY4DlXukMA/edit#gid=458192036"","""&amp;"BD M Sangrias!a:i""),""select Col6 where Col7 = 'Caixa Atendimento' and Col9 = '""&amp;K487&amp;""' and Col6 = ""&amp;N487&amp;"" and Col4 = date '""&amp;YEAR(C487)&amp;""-""&amp;MONTH(C487)&amp;""-""&amp;DAY(C487)&amp;""'""))&gt;0,""Caixa Atendimento"",""Caixa Sangria"")),""""),""Caixa Sangria"")"),"")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IFERROR(__xludf.DUMMYFUNCTION("ifna(IF(and(D488=""Saída"",J488=""Sangria""),if(sum(QUERY(IMPORTRANGE(""https://docs.google.com/spreadsheets/d/15vCx43UQd-lUcbnvwm-R2Xfhex1Wogrs1wY4DlXukMA/edit#gid=458192036"",""BD M Sangrias!a:i""),""select Col6 where Col7 = 'Depositada' and Col9 = '""&amp;"&amp;"K488&amp;""' and Col6 = ""&amp;N488&amp;"" and Col4 = date '""&amp;YEAR(C488)&amp;""-""&amp;MONTH(C488)&amp;""-""&amp;DAY(C488)&amp;""'""))&gt;0,""Depositada"",if(sum(QUERY(IMPORTRANGE(""https://docs.google.com/spreadsheets/d/15vCx43UQd-lUcbnvwm-R2Xfhex1Wogrs1wY4DlXukMA/edit#gid=458192036"","""&amp;"BD M Sangrias!a:i""),""select Col6 where Col7 = 'Caixa Atendimento' and Col9 = '""&amp;K488&amp;""' and Col6 = ""&amp;N488&amp;"" and Col4 = date '""&amp;YEAR(C488)&amp;""-""&amp;MONTH(C488)&amp;""-""&amp;DAY(C488)&amp;""'""))&gt;0,""Caixa Atendimento"",""Caixa Sangria"")),""""),""Caixa Sangria"")"),"")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IFERROR(__xludf.DUMMYFUNCTION("ifna(IF(and(D489=""Saída"",J489=""Sangria""),if(sum(QUERY(IMPORTRANGE(""https://docs.google.com/spreadsheets/d/15vCx43UQd-lUcbnvwm-R2Xfhex1Wogrs1wY4DlXukMA/edit#gid=458192036"",""BD M Sangrias!a:i""),""select Col6 where Col7 = 'Depositada' and Col9 = '""&amp;"&amp;"K489&amp;""' and Col6 = ""&amp;N489&amp;"" and Col4 = date '""&amp;YEAR(C489)&amp;""-""&amp;MONTH(C489)&amp;""-""&amp;DAY(C489)&amp;""'""))&gt;0,""Depositada"",if(sum(QUERY(IMPORTRANGE(""https://docs.google.com/spreadsheets/d/15vCx43UQd-lUcbnvwm-R2Xfhex1Wogrs1wY4DlXukMA/edit#gid=458192036"","""&amp;"BD M Sangrias!a:i""),""select Col6 where Col7 = 'Caixa Atendimento' and Col9 = '""&amp;K489&amp;""' and Col6 = ""&amp;N489&amp;"" and Col4 = date '""&amp;YEAR(C489)&amp;""-""&amp;MONTH(C489)&amp;""-""&amp;DAY(C489)&amp;""'""))&gt;0,""Caixa Atendimento"",""Caixa Sangria"")),""""),""Caixa Sangria"")"),"")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IFERROR(__xludf.DUMMYFUNCTION("ifna(IF(and(D490=""Saída"",J490=""Sangria""),if(sum(QUERY(IMPORTRANGE(""https://docs.google.com/spreadsheets/d/15vCx43UQd-lUcbnvwm-R2Xfhex1Wogrs1wY4DlXukMA/edit#gid=458192036"",""BD M Sangrias!a:i""),""select Col6 where Col7 = 'Depositada' and Col9 = '""&amp;"&amp;"K490&amp;""' and Col6 = ""&amp;N490&amp;"" and Col4 = date '""&amp;YEAR(C490)&amp;""-""&amp;MONTH(C490)&amp;""-""&amp;DAY(C490)&amp;""'""))&gt;0,""Depositada"",if(sum(QUERY(IMPORTRANGE(""https://docs.google.com/spreadsheets/d/15vCx43UQd-lUcbnvwm-R2Xfhex1Wogrs1wY4DlXukMA/edit#gid=458192036"","""&amp;"BD M Sangrias!a:i""),""select Col6 where Col7 = 'Caixa Atendimento' and Col9 = '""&amp;K490&amp;""' and Col6 = ""&amp;N490&amp;"" and Col4 = date '""&amp;YEAR(C490)&amp;""-""&amp;MONTH(C490)&amp;""-""&amp;DAY(C490)&amp;""'""))&gt;0,""Caixa Atendimento"",""Caixa Sangria"")),""""),""Caixa Sangria"")"),"")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IFERROR(__xludf.DUMMYFUNCTION("ifna(IF(and(D491=""Saída"",J491=""Sangria""),if(sum(QUERY(IMPORTRANGE(""https://docs.google.com/spreadsheets/d/15vCx43UQd-lUcbnvwm-R2Xfhex1Wogrs1wY4DlXukMA/edit#gid=458192036"",""BD M Sangrias!a:i""),""select Col6 where Col7 = 'Depositada' and Col9 = '""&amp;"&amp;"K491&amp;""' and Col6 = ""&amp;N491&amp;"" and Col4 = date '""&amp;YEAR(C491)&amp;""-""&amp;MONTH(C491)&amp;""-""&amp;DAY(C491)&amp;""'""))&gt;0,""Depositada"",if(sum(QUERY(IMPORTRANGE(""https://docs.google.com/spreadsheets/d/15vCx43UQd-lUcbnvwm-R2Xfhex1Wogrs1wY4DlXukMA/edit#gid=458192036"","""&amp;"BD M Sangrias!a:i""),""select Col6 where Col7 = 'Caixa Atendimento' and Col9 = '""&amp;K491&amp;""' and Col6 = ""&amp;N491&amp;"" and Col4 = date '""&amp;YEAR(C491)&amp;""-""&amp;MONTH(C491)&amp;""-""&amp;DAY(C491)&amp;""'""))&gt;0,""Caixa Atendimento"",""Caixa Sangria"")),""""),""Caixa Sangria"")"),"")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IFERROR(__xludf.DUMMYFUNCTION("ifna(IF(and(D492=""Saída"",J492=""Sangria""),if(sum(QUERY(IMPORTRANGE(""https://docs.google.com/spreadsheets/d/15vCx43UQd-lUcbnvwm-R2Xfhex1Wogrs1wY4DlXukMA/edit#gid=458192036"",""BD M Sangrias!a:i""),""select Col6 where Col7 = 'Depositada' and Col9 = '""&amp;"&amp;"K492&amp;""' and Col6 = ""&amp;N492&amp;"" and Col4 = date '""&amp;YEAR(C492)&amp;""-""&amp;MONTH(C492)&amp;""-""&amp;DAY(C492)&amp;""'""))&gt;0,""Depositada"",if(sum(QUERY(IMPORTRANGE(""https://docs.google.com/spreadsheets/d/15vCx43UQd-lUcbnvwm-R2Xfhex1Wogrs1wY4DlXukMA/edit#gid=458192036"","""&amp;"BD M Sangrias!a:i""),""select Col6 where Col7 = 'Caixa Atendimento' and Col9 = '""&amp;K492&amp;""' and Col6 = ""&amp;N492&amp;"" and Col4 = date '""&amp;YEAR(C492)&amp;""-""&amp;MONTH(C492)&amp;""-""&amp;DAY(C492)&amp;""'""))&gt;0,""Caixa Atendimento"",""Caixa Sangria"")),""""),""Caixa Sangria"")"),"")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IFERROR(__xludf.DUMMYFUNCTION("ifna(IF(and(D493=""Saída"",J493=""Sangria""),if(sum(QUERY(IMPORTRANGE(""https://docs.google.com/spreadsheets/d/15vCx43UQd-lUcbnvwm-R2Xfhex1Wogrs1wY4DlXukMA/edit#gid=458192036"",""BD M Sangrias!a:i""),""select Col6 where Col7 = 'Depositada' and Col9 = '""&amp;"&amp;"K493&amp;""' and Col6 = ""&amp;N493&amp;"" and Col4 = date '""&amp;YEAR(C493)&amp;""-""&amp;MONTH(C493)&amp;""-""&amp;DAY(C493)&amp;""'""))&gt;0,""Depositada"",if(sum(QUERY(IMPORTRANGE(""https://docs.google.com/spreadsheets/d/15vCx43UQd-lUcbnvwm-R2Xfhex1Wogrs1wY4DlXukMA/edit#gid=458192036"","""&amp;"BD M Sangrias!a:i""),""select Col6 where Col7 = 'Caixa Atendimento' and Col9 = '""&amp;K493&amp;""' and Col6 = ""&amp;N493&amp;"" and Col4 = date '""&amp;YEAR(C493)&amp;""-""&amp;MONTH(C493)&amp;""-""&amp;DAY(C493)&amp;""'""))&gt;0,""Caixa Atendimento"",""Caixa Sangria"")),""""),""Caixa Sangria"")"),"")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IFERROR(__xludf.DUMMYFUNCTION("ifna(IF(and(D494=""Saída"",J494=""Sangria""),if(sum(QUERY(IMPORTRANGE(""https://docs.google.com/spreadsheets/d/15vCx43UQd-lUcbnvwm-R2Xfhex1Wogrs1wY4DlXukMA/edit#gid=458192036"",""BD M Sangrias!a:i""),""select Col6 where Col7 = 'Depositada' and Col9 = '""&amp;"&amp;"K494&amp;""' and Col6 = ""&amp;N494&amp;"" and Col4 = date '""&amp;YEAR(C494)&amp;""-""&amp;MONTH(C494)&amp;""-""&amp;DAY(C494)&amp;""'""))&gt;0,""Depositada"",if(sum(QUERY(IMPORTRANGE(""https://docs.google.com/spreadsheets/d/15vCx43UQd-lUcbnvwm-R2Xfhex1Wogrs1wY4DlXukMA/edit#gid=458192036"","""&amp;"BD M Sangrias!a:i""),""select Col6 where Col7 = 'Caixa Atendimento' and Col9 = '""&amp;K494&amp;""' and Col6 = ""&amp;N494&amp;"" and Col4 = date '""&amp;YEAR(C494)&amp;""-""&amp;MONTH(C494)&amp;""-""&amp;DAY(C494)&amp;""'""))&gt;0,""Caixa Atendimento"",""Caixa Sangria"")),""""),""Caixa Sangria"")"),"")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IFERROR(__xludf.DUMMYFUNCTION("ifna(IF(and(D495=""Saída"",J495=""Sangria""),if(sum(QUERY(IMPORTRANGE(""https://docs.google.com/spreadsheets/d/15vCx43UQd-lUcbnvwm-R2Xfhex1Wogrs1wY4DlXukMA/edit#gid=458192036"",""BD M Sangrias!a:i""),""select Col6 where Col7 = 'Depositada' and Col9 = '""&amp;"&amp;"K495&amp;""' and Col6 = ""&amp;N495&amp;"" and Col4 = date '""&amp;YEAR(C495)&amp;""-""&amp;MONTH(C495)&amp;""-""&amp;DAY(C495)&amp;""'""))&gt;0,""Depositada"",if(sum(QUERY(IMPORTRANGE(""https://docs.google.com/spreadsheets/d/15vCx43UQd-lUcbnvwm-R2Xfhex1Wogrs1wY4DlXukMA/edit#gid=458192036"","""&amp;"BD M Sangrias!a:i""),""select Col6 where Col7 = 'Caixa Atendimento' and Col9 = '""&amp;K495&amp;""' and Col6 = ""&amp;N495&amp;"" and Col4 = date '""&amp;YEAR(C495)&amp;""-""&amp;MONTH(C495)&amp;""-""&amp;DAY(C495)&amp;""'""))&gt;0,""Caixa Atendimento"",""Caixa Sangria"")),""""),""Caixa Sangria"")"),"")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IFERROR(__xludf.DUMMYFUNCTION("ifna(IF(and(D496=""Saída"",J496=""Sangria""),if(sum(QUERY(IMPORTRANGE(""https://docs.google.com/spreadsheets/d/15vCx43UQd-lUcbnvwm-R2Xfhex1Wogrs1wY4DlXukMA/edit#gid=458192036"",""BD M Sangrias!a:i""),""select Col6 where Col7 = 'Depositada' and Col9 = '""&amp;"&amp;"K496&amp;""' and Col6 = ""&amp;N496&amp;"" and Col4 = date '""&amp;YEAR(C496)&amp;""-""&amp;MONTH(C496)&amp;""-""&amp;DAY(C496)&amp;""'""))&gt;0,""Depositada"",if(sum(QUERY(IMPORTRANGE(""https://docs.google.com/spreadsheets/d/15vCx43UQd-lUcbnvwm-R2Xfhex1Wogrs1wY4DlXukMA/edit#gid=458192036"","""&amp;"BD M Sangrias!a:i""),""select Col6 where Col7 = 'Caixa Atendimento' and Col9 = '""&amp;K496&amp;""' and Col6 = ""&amp;N496&amp;"" and Col4 = date '""&amp;YEAR(C496)&amp;""-""&amp;MONTH(C496)&amp;""-""&amp;DAY(C496)&amp;""'""))&gt;0,""Caixa Atendimento"",""Caixa Sangria"")),""""),""Caixa Sangria"")"),"")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IFERROR(__xludf.DUMMYFUNCTION("ifna(IF(and(D497=""Saída"",J497=""Sangria""),if(sum(QUERY(IMPORTRANGE(""https://docs.google.com/spreadsheets/d/15vCx43UQd-lUcbnvwm-R2Xfhex1Wogrs1wY4DlXukMA/edit#gid=458192036"",""BD M Sangrias!a:i""),""select Col6 where Col7 = 'Depositada' and Col9 = '""&amp;"&amp;"K497&amp;""' and Col6 = ""&amp;N497&amp;"" and Col4 = date '""&amp;YEAR(C497)&amp;""-""&amp;MONTH(C497)&amp;""-""&amp;DAY(C497)&amp;""'""))&gt;0,""Depositada"",if(sum(QUERY(IMPORTRANGE(""https://docs.google.com/spreadsheets/d/15vCx43UQd-lUcbnvwm-R2Xfhex1Wogrs1wY4DlXukMA/edit#gid=458192036"","""&amp;"BD M Sangrias!a:i""),""select Col6 where Col7 = 'Caixa Atendimento' and Col9 = '""&amp;K497&amp;""' and Col6 = ""&amp;N497&amp;"" and Col4 = date '""&amp;YEAR(C497)&amp;""-""&amp;MONTH(C497)&amp;""-""&amp;DAY(C497)&amp;""'""))&gt;0,""Caixa Atendimento"",""Caixa Sangria"")),""""),""Caixa Sangria"")"),"")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IFERROR(__xludf.DUMMYFUNCTION("ifna(IF(and(D498=""Saída"",J498=""Sangria""),if(sum(QUERY(IMPORTRANGE(""https://docs.google.com/spreadsheets/d/15vCx43UQd-lUcbnvwm-R2Xfhex1Wogrs1wY4DlXukMA/edit#gid=458192036"",""BD M Sangrias!a:i""),""select Col6 where Col7 = 'Depositada' and Col9 = '""&amp;"&amp;"K498&amp;""' and Col6 = ""&amp;N498&amp;"" and Col4 = date '""&amp;YEAR(C498)&amp;""-""&amp;MONTH(C498)&amp;""-""&amp;DAY(C498)&amp;""'""))&gt;0,""Depositada"",if(sum(QUERY(IMPORTRANGE(""https://docs.google.com/spreadsheets/d/15vCx43UQd-lUcbnvwm-R2Xfhex1Wogrs1wY4DlXukMA/edit#gid=458192036"","""&amp;"BD M Sangrias!a:i""),""select Col6 where Col7 = 'Caixa Atendimento' and Col9 = '""&amp;K498&amp;""' and Col6 = ""&amp;N498&amp;"" and Col4 = date '""&amp;YEAR(C498)&amp;""-""&amp;MONTH(C498)&amp;""-""&amp;DAY(C498)&amp;""'""))&gt;0,""Caixa Atendimento"",""Caixa Sangria"")),""""),""Caixa Sangria"")"),"")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IFERROR(__xludf.DUMMYFUNCTION("ifna(IF(and(D499=""Saída"",J499=""Sangria""),if(sum(QUERY(IMPORTRANGE(""https://docs.google.com/spreadsheets/d/15vCx43UQd-lUcbnvwm-R2Xfhex1Wogrs1wY4DlXukMA/edit#gid=458192036"",""BD M Sangrias!a:i""),""select Col6 where Col7 = 'Depositada' and Col9 = '""&amp;"&amp;"K499&amp;""' and Col6 = ""&amp;N499&amp;"" and Col4 = date '""&amp;YEAR(C499)&amp;""-""&amp;MONTH(C499)&amp;""-""&amp;DAY(C499)&amp;""'""))&gt;0,""Depositada"",if(sum(QUERY(IMPORTRANGE(""https://docs.google.com/spreadsheets/d/15vCx43UQd-lUcbnvwm-R2Xfhex1Wogrs1wY4DlXukMA/edit#gid=458192036"","""&amp;"BD M Sangrias!a:i""),""select Col6 where Col7 = 'Caixa Atendimento' and Col9 = '""&amp;K499&amp;""' and Col6 = ""&amp;N499&amp;"" and Col4 = date '""&amp;YEAR(C499)&amp;""-""&amp;MONTH(C499)&amp;""-""&amp;DAY(C499)&amp;""'""))&gt;0,""Caixa Atendimento"",""Caixa Sangria"")),""""),""Caixa Sangria"")"),"")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IFERROR(__xludf.DUMMYFUNCTION("ifna(IF(and(D500=""Saída"",J500=""Sangria""),if(sum(QUERY(IMPORTRANGE(""https://docs.google.com/spreadsheets/d/15vCx43UQd-lUcbnvwm-R2Xfhex1Wogrs1wY4DlXukMA/edit#gid=458192036"",""BD M Sangrias!a:i""),""select Col6 where Col7 = 'Depositada' and Col9 = '""&amp;"&amp;"K500&amp;""' and Col6 = ""&amp;N500&amp;"" and Col4 = date '""&amp;YEAR(C500)&amp;""-""&amp;MONTH(C500)&amp;""-""&amp;DAY(C500)&amp;""'""))&gt;0,""Depositada"",if(sum(QUERY(IMPORTRANGE(""https://docs.google.com/spreadsheets/d/15vCx43UQd-lUcbnvwm-R2Xfhex1Wogrs1wY4DlXukMA/edit#gid=458192036"","""&amp;"BD M Sangrias!a:i""),""select Col6 where Col7 = 'Caixa Atendimento' and Col9 = '""&amp;K500&amp;""' and Col6 = ""&amp;N500&amp;"" and Col4 = date '""&amp;YEAR(C500)&amp;""-""&amp;MONTH(C500)&amp;""-""&amp;DAY(C500)&amp;""'""))&gt;0,""Caixa Atendimento"",""Caixa Sangria"")),""""),""Caixa Sangria"")"),"")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J22:J264 J266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113 K115:K500">
      <formula1>'NOVEMBRO 2025'!$B$4:$B$10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>Patrícia</v>
      </c>
      <c r="D3" s="40"/>
      <c r="E3" s="41" t="str">
        <f>B5</f>
        <v>Renan</v>
      </c>
      <c r="F3" s="40"/>
      <c r="G3" s="41" t="str">
        <f>B6</f>
        <v>Bruna</v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>Patrícia</v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 t="s">
        <v>624</v>
      </c>
      <c r="B4" s="47" t="s">
        <v>199</v>
      </c>
      <c r="C4" s="48" t="s">
        <v>1329</v>
      </c>
      <c r="D4" s="49">
        <f>SUMIFS(N22:N500,J22:J500,C4,K22:K500,C3)+SUMIF(Q59:Q95,A4,R59:R122)+D9</f>
        <v>200</v>
      </c>
      <c r="E4" s="50" t="s">
        <v>1329</v>
      </c>
      <c r="F4" s="49">
        <f>SUMIFS(N22:N500,J22:J500,E4,K22:K500,E3)+SUMIF(Q59:Q95,A5,R59:R122)+F9</f>
        <v>0</v>
      </c>
      <c r="G4" s="50" t="s">
        <v>1329</v>
      </c>
      <c r="H4" s="49">
        <f>SUMIFS(N22:N500,J22:J500,C4,K22:K500,G3)+SUMIF(Q59:Q122,A6,R59:S122)+H9</f>
        <v>1000</v>
      </c>
      <c r="I4" s="50" t="s">
        <v>1329</v>
      </c>
      <c r="J4" s="49">
        <f>SUMIFS(N22:N500,J22:J500,C4,K22:K500,I3)+SUMIF(Q59:Q95,A7,R59:R195)+J9</f>
        <v>1000</v>
      </c>
      <c r="K4" s="50" t="s">
        <v>1329</v>
      </c>
      <c r="L4" s="51">
        <f>SUMIFS(N22:N500,J22:J500,C4,K22:K500,K3)+SUMIF(Q59:Q95,A8,R59:R122)+L9</f>
        <v>1000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211</v>
      </c>
      <c r="E5" s="50" t="s">
        <v>12658</v>
      </c>
      <c r="F5" s="49">
        <f>SUMIFS(N22:N500,J22:J500,C5,K22:K500,E3)</f>
        <v>31</v>
      </c>
      <c r="G5" s="50" t="s">
        <v>12658</v>
      </c>
      <c r="H5" s="49">
        <f>SUMIFS(N22:N500,J22:J500,C5,K22:K500,G3)</f>
        <v>224.32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103</v>
      </c>
      <c r="M5" s="33"/>
      <c r="N5" s="33"/>
      <c r="O5" s="202">
        <f>IFERROR(__xludf.DUMMYFUNCTION("""COMPUTED_VALUE"""),45988.906064814815)</f>
        <v>45988.90606</v>
      </c>
      <c r="P5" s="58" t="str">
        <f>IFERROR(__xludf.DUMMYFUNCTION("""COMPUTED_VALUE"""),"R$ 98,00")</f>
        <v>R$ 98,00</v>
      </c>
      <c r="Q5" s="58" t="str">
        <f>IFERROR(__xludf.DUMMYFUNCTION("""COMPUTED_VALUE"""),"Consumo")</f>
        <v>Consumo</v>
      </c>
      <c r="R5" s="59" t="str">
        <f>IFERROR(__xludf.DUMMYFUNCTION("""COMPUTED_VALUE"""),"Patrícia")</f>
        <v>Patrícia</v>
      </c>
      <c r="S5" s="33"/>
      <c r="T5" s="202">
        <f>IFERROR(__xludf.DUMMYFUNCTION("""COMPUTED_VALUE"""),46012.57061342592)</f>
        <v>46012.57061</v>
      </c>
      <c r="U5" s="58" t="str">
        <f>IFERROR(__xludf.DUMMYFUNCTION("""COMPUTED_VALUE"""),"R$ 18,00")</f>
        <v>R$ 18,00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 t="s">
        <v>6062</v>
      </c>
      <c r="B6" s="56" t="s">
        <v>12666</v>
      </c>
      <c r="C6" s="48" t="s">
        <v>12669</v>
      </c>
      <c r="D6" s="49">
        <f>D5*0.8</f>
        <v>168.8</v>
      </c>
      <c r="E6" s="50" t="s">
        <v>12669</v>
      </c>
      <c r="F6" s="49">
        <f>F5*0.8</f>
        <v>24.8</v>
      </c>
      <c r="G6" s="50" t="s">
        <v>12669</v>
      </c>
      <c r="H6" s="49">
        <f>H5*0.8</f>
        <v>179.456</v>
      </c>
      <c r="I6" s="50" t="s">
        <v>12669</v>
      </c>
      <c r="J6" s="49">
        <f>J5*0.8</f>
        <v>0</v>
      </c>
      <c r="K6" s="60" t="s">
        <v>12669</v>
      </c>
      <c r="L6" s="51">
        <f>L5*0.8</f>
        <v>82.4</v>
      </c>
      <c r="M6" s="33"/>
      <c r="N6" s="33"/>
      <c r="O6" s="202">
        <f>IFERROR(__xludf.DUMMYFUNCTION("""COMPUTED_VALUE"""),45989.90474537037)</f>
        <v>45989.90475</v>
      </c>
      <c r="P6" s="58" t="str">
        <f>IFERROR(__xludf.DUMMYFUNCTION("""COMPUTED_VALUE"""),"R$ 84,00")</f>
        <v>R$ 84,00</v>
      </c>
      <c r="Q6" s="58" t="str">
        <f>IFERROR(__xludf.DUMMYFUNCTION("""COMPUTED_VALUE"""),"Consumo")</f>
        <v>Consumo</v>
      </c>
      <c r="R6" s="59" t="str">
        <f>IFERROR(__xludf.DUMMYFUNCTION("""COMPUTED_VALUE"""),"Patrícia")</f>
        <v>Patrícia</v>
      </c>
      <c r="S6" s="33"/>
      <c r="T6" s="202">
        <f>IFERROR(__xludf.DUMMYFUNCTION("""COMPUTED_VALUE"""),46013.76388888889)</f>
        <v>46013.76389</v>
      </c>
      <c r="U6" s="58" t="str">
        <f>IFERROR(__xludf.DUMMYFUNCTION("""COMPUTED_VALUE"""),"R$ 13,00")</f>
        <v>R$ 13,00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203">
        <f>IFERROR(__xludf.DUMMYFUNCTION("""COMPUTED_VALUE"""),45995.56747685185)</f>
        <v>45995.56748</v>
      </c>
      <c r="P7" s="67" t="str">
        <f>IFERROR(__xludf.DUMMYFUNCTION("""COMPUTED_VALUE"""),"R$ 29,00")</f>
        <v>R$ 29,00</v>
      </c>
      <c r="Q7" s="67" t="str">
        <f>IFERROR(__xludf.DUMMYFUNCTION("""COMPUTED_VALUE"""),"Consumo")</f>
        <v>Consumo</v>
      </c>
      <c r="R7" s="68" t="str">
        <f>IFERROR(__xludf.DUMMYFUNCTION("""COMPUTED_VALUE"""),"Patrícia")</f>
        <v>Patrícia</v>
      </c>
      <c r="S7" s="65"/>
      <c r="T7" s="66"/>
      <c r="U7" s="67"/>
      <c r="V7" s="67"/>
      <c r="W7" s="68"/>
    </row>
    <row r="8" ht="14.25" customHeight="1">
      <c r="A8" s="55" t="s">
        <v>227</v>
      </c>
      <c r="B8" s="56" t="s">
        <v>12693</v>
      </c>
      <c r="C8" s="69" t="s">
        <v>12695</v>
      </c>
      <c r="D8" s="70" t="s">
        <v>13382</v>
      </c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66"/>
      <c r="U8" s="67"/>
      <c r="V8" s="67"/>
      <c r="W8" s="68"/>
    </row>
    <row r="9" ht="15.75" customHeight="1">
      <c r="A9" s="55"/>
      <c r="B9" s="56"/>
      <c r="C9" s="75" t="s">
        <v>17</v>
      </c>
      <c r="D9" s="76">
        <v>200.0</v>
      </c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66"/>
      <c r="U9" s="67"/>
      <c r="V9" s="67"/>
      <c r="W9" s="68"/>
    </row>
    <row r="10">
      <c r="A10" s="55"/>
      <c r="B10" s="56"/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81"/>
      <c r="U10" s="82"/>
      <c r="V10" s="82"/>
      <c r="W10" s="83"/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81"/>
      <c r="U11" s="82"/>
      <c r="V11" s="82"/>
      <c r="W11" s="83"/>
    </row>
    <row r="12">
      <c r="A12" s="31"/>
      <c r="B12" s="31"/>
      <c r="C12" s="88" t="str">
        <f>B9</f>
        <v/>
      </c>
      <c r="D12" s="89"/>
      <c r="E12" s="88" t="str">
        <f>B10</f>
        <v/>
      </c>
      <c r="F12" s="90"/>
      <c r="G12" s="91" t="s">
        <v>12714</v>
      </c>
      <c r="H12" s="92">
        <f>SUMIF(L22:L495,G12,N22:N495)</f>
        <v>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81"/>
      <c r="U12" s="82"/>
      <c r="V12" s="82"/>
      <c r="W12" s="83"/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203.23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81"/>
      <c r="U13" s="82"/>
      <c r="V13" s="82"/>
      <c r="W13" s="83"/>
    </row>
    <row r="14" ht="14.25" customHeight="1">
      <c r="A14" s="105"/>
      <c r="B14" s="105"/>
      <c r="C14" s="97" t="s">
        <v>12658</v>
      </c>
      <c r="D14" s="51">
        <f>SUMIFS(N22:N500,J22:J500,C5,K22:K500,C12)</f>
        <v>0</v>
      </c>
      <c r="E14" s="97" t="s">
        <v>12658</v>
      </c>
      <c r="F14" s="106">
        <f>SUMIFS(N22:N500,J22:J500,C5,K22:K500,E12)</f>
        <v>0</v>
      </c>
      <c r="G14" s="50" t="s">
        <v>12744</v>
      </c>
      <c r="H14" s="51">
        <f>SUMIFS(N22:N500,D22:D500,"Saída",J22:J500,"Sangria")</f>
        <v>37200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81"/>
      <c r="U14" s="82"/>
      <c r="V14" s="82"/>
      <c r="W14" s="83"/>
    </row>
    <row r="15">
      <c r="A15" s="105"/>
      <c r="B15" s="105"/>
      <c r="C15" s="109" t="s">
        <v>12669</v>
      </c>
      <c r="D15" s="51">
        <f>D14*0.8</f>
        <v>0</v>
      </c>
      <c r="E15" s="109" t="s">
        <v>12669</v>
      </c>
      <c r="F15" s="110">
        <f>F14*0.8</f>
        <v>0</v>
      </c>
      <c r="G15" s="111" t="s">
        <v>12749</v>
      </c>
      <c r="H15" s="112">
        <f>SUMIFS(N22:N500,D22:D500,"Entrada",J22:J500,"Sangria")</f>
        <v>8100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81"/>
      <c r="U15" s="82"/>
      <c r="V15" s="82"/>
      <c r="W15" s="83"/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81"/>
      <c r="U16" s="82"/>
      <c r="V16" s="82"/>
      <c r="W16" s="83"/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8590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81"/>
      <c r="U17" s="82"/>
      <c r="V17" s="82"/>
      <c r="W17" s="83"/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>Bruna</v>
      </c>
      <c r="S21" s="138"/>
      <c r="T21" s="148" t="str">
        <f>B7</f>
        <v>Josi Ribas</v>
      </c>
    </row>
    <row r="22">
      <c r="A22" s="149"/>
      <c r="B22" s="13">
        <v>1821499.0</v>
      </c>
      <c r="C22" s="14">
        <v>45987.66417824074</v>
      </c>
      <c r="D22" s="210" t="s">
        <v>139</v>
      </c>
      <c r="E22" s="211" t="s">
        <v>13412</v>
      </c>
      <c r="F22" s="212"/>
      <c r="G22" s="210" t="s">
        <v>12927</v>
      </c>
      <c r="H22" s="155"/>
      <c r="I22" s="155"/>
      <c r="J22" s="156" t="s">
        <v>12952</v>
      </c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>
        <f>IFERROR(__xludf.DUMMYFUNCTION("ifna(VALUE(REGEXEXTRACT(E22,""[0-9.]+[,]+[0-9]+"")))"),190.0)</f>
        <v>190</v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1821818.0</v>
      </c>
      <c r="C23" s="14">
        <v>45987.74204861111</v>
      </c>
      <c r="D23" s="210" t="s">
        <v>101</v>
      </c>
      <c r="E23" s="211" t="s">
        <v>401</v>
      </c>
      <c r="F23" s="212"/>
      <c r="G23" s="210" t="s">
        <v>13210</v>
      </c>
      <c r="H23" s="161"/>
      <c r="I23" s="161"/>
      <c r="J23" s="156" t="s">
        <v>10036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59">
        <f>IFERROR(__xludf.DUMMYFUNCTION("ifna(VALUE(REGEXEXTRACT(E23,""[0-9.]+[,]+[0-9]+"")))"),65.0)</f>
        <v>65</v>
      </c>
      <c r="O23" s="206">
        <f>IFERROR(__xludf.DUMMYFUNCTION("""COMPUTED_VALUE"""),45987.928495370375)</f>
        <v>45987.9285</v>
      </c>
      <c r="P23" s="58" t="str">
        <f>IFERROR(__xludf.DUMMYFUNCTION("""COMPUTED_VALUE"""),"R$ 36,00")</f>
        <v>R$ 36,00</v>
      </c>
      <c r="Q23" s="58" t="str">
        <f>IFERROR(__xludf.DUMMYFUNCTION("""COMPUTED_VALUE"""),"Consumo")</f>
        <v>Consumo</v>
      </c>
      <c r="R23" s="58" t="str">
        <f>IFERROR(__xludf.DUMMYFUNCTION("""COMPUTED_VALUE"""),"Bruna")</f>
        <v>Bruna</v>
      </c>
      <c r="S23" s="159"/>
      <c r="T23" s="58"/>
      <c r="U23" s="58"/>
      <c r="V23" s="58"/>
      <c r="W23" s="58"/>
    </row>
    <row r="24" ht="14.25" customHeight="1">
      <c r="A24" s="149"/>
      <c r="B24" s="13">
        <v>1822400.0</v>
      </c>
      <c r="C24" s="14">
        <v>45987.910729166666</v>
      </c>
      <c r="D24" s="210" t="s">
        <v>101</v>
      </c>
      <c r="E24" s="211" t="s">
        <v>246</v>
      </c>
      <c r="F24" s="212"/>
      <c r="G24" s="210" t="s">
        <v>13422</v>
      </c>
      <c r="H24" s="161"/>
      <c r="I24" s="161"/>
      <c r="J24" s="156" t="s">
        <v>6914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IFERROR(__xludf.DUMMYFUNCTION("ifna(VALUE(REGEXEXTRACT(E24,""[0-9.]+[,]+[0-9]+"")))"),30.0)</f>
        <v>30</v>
      </c>
      <c r="O24" s="206">
        <f>IFERROR(__xludf.DUMMYFUNCTION("""COMPUTED_VALUE"""),45988.906377314815)</f>
        <v>45988.90638</v>
      </c>
      <c r="P24" s="58" t="str">
        <f>IFERROR(__xludf.DUMMYFUNCTION("""COMPUTED_VALUE"""),"R$ 167,32")</f>
        <v>R$ 167,32</v>
      </c>
      <c r="Q24" s="58" t="str">
        <f>IFERROR(__xludf.DUMMYFUNCTION("""COMPUTED_VALUE"""),"Consumo")</f>
        <v>Consumo</v>
      </c>
      <c r="R24" s="58" t="str">
        <f>IFERROR(__xludf.DUMMYFUNCTION("""COMPUTED_VALUE"""),"Bruna")</f>
        <v>Bruna</v>
      </c>
      <c r="S24" s="159"/>
      <c r="T24" s="58"/>
      <c r="U24" s="58"/>
      <c r="V24" s="58"/>
      <c r="W24" s="58"/>
    </row>
    <row r="25" ht="14.25" customHeight="1">
      <c r="A25" s="149"/>
      <c r="B25" s="13">
        <v>1822401.0</v>
      </c>
      <c r="C25" s="14">
        <v>45987.91100694444</v>
      </c>
      <c r="D25" s="210" t="s">
        <v>101</v>
      </c>
      <c r="E25" s="211" t="s">
        <v>1389</v>
      </c>
      <c r="F25" s="212"/>
      <c r="G25" s="210" t="s">
        <v>13344</v>
      </c>
      <c r="H25" s="161"/>
      <c r="I25" s="161"/>
      <c r="J25" s="156" t="s">
        <v>6914</v>
      </c>
      <c r="K25" s="156"/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IFERROR(__xludf.DUMMYFUNCTION("ifna(VALUE(REGEXEXTRACT(E25,""[0-9.]+[,]+[0-9]+"")))"),34.0)</f>
        <v>34</v>
      </c>
      <c r="O25" s="208">
        <f>IFERROR(__xludf.DUMMYFUNCTION("""COMPUTED_VALUE"""),45990.874293981484)</f>
        <v>45990.87429</v>
      </c>
      <c r="P25" s="67" t="str">
        <f>IFERROR(__xludf.DUMMYFUNCTION("""COMPUTED_VALUE"""),"R$ 8,00")</f>
        <v>R$ 8,00</v>
      </c>
      <c r="Q25" s="67" t="str">
        <f>IFERROR(__xludf.DUMMYFUNCTION("""COMPUTED_VALUE"""),"Consumo")</f>
        <v>Consumo</v>
      </c>
      <c r="R25" s="67" t="str">
        <f>IFERROR(__xludf.DUMMYFUNCTION("""COMPUTED_VALUE"""),"Bruna")</f>
        <v>Bruna</v>
      </c>
      <c r="S25" s="159"/>
      <c r="T25" s="67"/>
      <c r="U25" s="67"/>
      <c r="V25" s="67"/>
      <c r="W25" s="67"/>
    </row>
    <row r="26" ht="14.25" customHeight="1">
      <c r="A26" s="149"/>
      <c r="B26" s="13">
        <v>1822564.0</v>
      </c>
      <c r="C26" s="14">
        <v>45987.92849537037</v>
      </c>
      <c r="D26" s="210" t="s">
        <v>101</v>
      </c>
      <c r="E26" s="211" t="s">
        <v>13426</v>
      </c>
      <c r="F26" s="212"/>
      <c r="G26" s="210" t="s">
        <v>13427</v>
      </c>
      <c r="H26" s="161"/>
      <c r="I26" s="161"/>
      <c r="J26" s="156" t="s">
        <v>12658</v>
      </c>
      <c r="K26" s="156" t="s">
        <v>12666</v>
      </c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IFERROR(__xludf.DUMMYFUNCTION("ifna(VALUE(REGEXEXTRACT(E26,""[0-9.]+[,]+[0-9]+"")))"),36.0)</f>
        <v>36</v>
      </c>
      <c r="O26" s="208">
        <f>IFERROR(__xludf.DUMMYFUNCTION("""COMPUTED_VALUE"""),45993.94184027778)</f>
        <v>45993.94184</v>
      </c>
      <c r="P26" s="67" t="str">
        <f>IFERROR(__xludf.DUMMYFUNCTION("""COMPUTED_VALUE"""),"R$ 10,00")</f>
        <v>R$ 10,00</v>
      </c>
      <c r="Q26" s="67" t="str">
        <f>IFERROR(__xludf.DUMMYFUNCTION("""COMPUTED_VALUE"""),"Consumo")</f>
        <v>Consumo</v>
      </c>
      <c r="R26" s="67" t="str">
        <f>IFERROR(__xludf.DUMMYFUNCTION("""COMPUTED_VALUE"""),"Bruna")</f>
        <v>Bruna</v>
      </c>
      <c r="S26" s="159"/>
      <c r="T26" s="67"/>
      <c r="U26" s="67"/>
      <c r="V26" s="67"/>
      <c r="W26" s="67"/>
    </row>
    <row r="27" ht="14.25" customHeight="1">
      <c r="A27" s="149"/>
      <c r="B27" s="13">
        <v>1822617.0</v>
      </c>
      <c r="C27" s="14">
        <v>45987.937951388885</v>
      </c>
      <c r="D27" s="210" t="s">
        <v>101</v>
      </c>
      <c r="E27" s="211" t="s">
        <v>13393</v>
      </c>
      <c r="F27" s="214"/>
      <c r="G27" s="210" t="s">
        <v>13430</v>
      </c>
      <c r="H27" s="161"/>
      <c r="I27" s="161"/>
      <c r="J27" s="156" t="s">
        <v>12778</v>
      </c>
      <c r="K27" s="156" t="s">
        <v>12666</v>
      </c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"),"Confirmada")</f>
        <v>Confirmada</v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IFERROR(__xludf.DUMMYFUNCTION("ifna(VALUE(REGEXEXTRACT(E27,""[0-9.]+[,]+[0-9]+"")))"),1100.0)</f>
        <v>1100</v>
      </c>
      <c r="O27" s="208">
        <f>IFERROR(__xludf.DUMMYFUNCTION("""COMPUTED_VALUE"""),45994.936006944445)</f>
        <v>45994.93601</v>
      </c>
      <c r="P27" s="67" t="str">
        <f>IFERROR(__xludf.DUMMYFUNCTION("""COMPUTED_VALUE"""),"R$ 3,00")</f>
        <v>R$ 3,00</v>
      </c>
      <c r="Q27" s="67" t="str">
        <f>IFERROR(__xludf.DUMMYFUNCTION("""COMPUTED_VALUE"""),"Consumo")</f>
        <v>Consumo</v>
      </c>
      <c r="R27" s="67" t="str">
        <f>IFERROR(__xludf.DUMMYFUNCTION("""COMPUTED_VALUE"""),"Bruna")</f>
        <v>Bruna</v>
      </c>
      <c r="S27" s="159"/>
      <c r="T27" s="67"/>
      <c r="U27" s="67"/>
      <c r="V27" s="67"/>
      <c r="W27" s="67"/>
    </row>
    <row r="28" ht="14.25" customHeight="1">
      <c r="A28" s="149"/>
      <c r="B28" s="13">
        <v>1824097.0</v>
      </c>
      <c r="C28" s="14">
        <v>45988.90490740741</v>
      </c>
      <c r="D28" s="210" t="s">
        <v>101</v>
      </c>
      <c r="E28" s="211" t="s">
        <v>288</v>
      </c>
      <c r="F28" s="212"/>
      <c r="G28" s="210" t="s">
        <v>13304</v>
      </c>
      <c r="H28" s="161"/>
      <c r="I28" s="161"/>
      <c r="J28" s="156" t="s">
        <v>6914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IFERROR(__xludf.DUMMYFUNCTION("ifna(VALUE(REGEXEXTRACT(E28,""[0-9.]+[,]+[0-9]+"")))"),23.0)</f>
        <v>23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3">
        <v>1824098.0</v>
      </c>
      <c r="C29" s="14">
        <v>45988.90511574074</v>
      </c>
      <c r="D29" s="210" t="s">
        <v>101</v>
      </c>
      <c r="E29" s="211" t="s">
        <v>1808</v>
      </c>
      <c r="F29" s="212"/>
      <c r="G29" s="210" t="s">
        <v>13347</v>
      </c>
      <c r="H29" s="161"/>
      <c r="I29" s="161"/>
      <c r="J29" s="156" t="s">
        <v>6914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IFERROR(__xludf.DUMMYFUNCTION("ifna(VALUE(REGEXEXTRACT(E29,""[0-9.]+[,]+[0-9]+"")))"),72.0)</f>
        <v>72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3">
        <v>1824100.0</v>
      </c>
      <c r="C30" s="14">
        <v>45988.905335648145</v>
      </c>
      <c r="D30" s="210" t="s">
        <v>101</v>
      </c>
      <c r="E30" s="211" t="s">
        <v>477</v>
      </c>
      <c r="F30" s="212"/>
      <c r="G30" s="210" t="s">
        <v>13210</v>
      </c>
      <c r="H30" s="161"/>
      <c r="I30" s="161"/>
      <c r="J30" s="156" t="s">
        <v>10036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IFERROR(__xludf.DUMMYFUNCTION("ifna(VALUE(REGEXEXTRACT(E30,""[0-9.]+[,]+[0-9]+"")))"),73.0)</f>
        <v>73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3">
        <v>1824102.0</v>
      </c>
      <c r="C31" s="14">
        <v>45988.905636574076</v>
      </c>
      <c r="D31" s="210" t="s">
        <v>101</v>
      </c>
      <c r="E31" s="211" t="s">
        <v>179</v>
      </c>
      <c r="F31" s="212"/>
      <c r="G31" s="210" t="s">
        <v>13439</v>
      </c>
      <c r="H31" s="161"/>
      <c r="I31" s="161"/>
      <c r="J31" s="156" t="s">
        <v>12658</v>
      </c>
      <c r="K31" s="156" t="s">
        <v>12693</v>
      </c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IFERROR(__xludf.DUMMYFUNCTION("ifna(VALUE(REGEXEXTRACT(E31,""[0-9.]+[,]+[0-9]+"")))"),20.0)</f>
        <v>20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3">
        <v>1824107.0</v>
      </c>
      <c r="C32" s="14">
        <v>45988.906064814815</v>
      </c>
      <c r="D32" s="210" t="s">
        <v>101</v>
      </c>
      <c r="E32" s="211" t="s">
        <v>1208</v>
      </c>
      <c r="F32" s="212"/>
      <c r="G32" s="210" t="s">
        <v>13442</v>
      </c>
      <c r="H32" s="161"/>
      <c r="I32" s="161"/>
      <c r="J32" s="156" t="s">
        <v>12658</v>
      </c>
      <c r="K32" s="156" t="s">
        <v>199</v>
      </c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IFERROR(__xludf.DUMMYFUNCTION("ifna(VALUE(REGEXEXTRACT(E32,""[0-9.]+[,]+[0-9]+"")))"),98.0)</f>
        <v>98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3">
        <v>1824113.0</v>
      </c>
      <c r="C33" s="14">
        <v>45988.906377314815</v>
      </c>
      <c r="D33" s="210" t="s">
        <v>101</v>
      </c>
      <c r="E33" s="211" t="s">
        <v>13444</v>
      </c>
      <c r="F33" s="212"/>
      <c r="G33" s="210" t="s">
        <v>12935</v>
      </c>
      <c r="H33" s="161"/>
      <c r="I33" s="161"/>
      <c r="J33" s="156" t="s">
        <v>12658</v>
      </c>
      <c r="K33" s="156" t="s">
        <v>12666</v>
      </c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IFERROR(__xludf.DUMMYFUNCTION("ifna(VALUE(REGEXEXTRACT(E33,""[0-9.]+[,]+[0-9]+"")))"),167.32)</f>
        <v>167.32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1824388.0</v>
      </c>
      <c r="C34" s="14">
        <v>45988.94096064815</v>
      </c>
      <c r="D34" s="210" t="s">
        <v>101</v>
      </c>
      <c r="E34" s="211" t="s">
        <v>2075</v>
      </c>
      <c r="F34" s="214"/>
      <c r="G34" s="210" t="s">
        <v>13446</v>
      </c>
      <c r="H34" s="161"/>
      <c r="I34" s="161"/>
      <c r="J34" s="156" t="s">
        <v>12778</v>
      </c>
      <c r="K34" s="156" t="s">
        <v>12666</v>
      </c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"),"Caixa Atendimento")</f>
        <v>Caixa Atendimento</v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IFERROR(__xludf.DUMMYFUNCTION("ifna(VALUE(REGEXEXTRACT(E34,""[0-9.]+[,]+[0-9]+"")))"),900.0)</f>
        <v>900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1825305.0</v>
      </c>
      <c r="C35" s="14">
        <v>45989.708506944444</v>
      </c>
      <c r="D35" s="210" t="s">
        <v>139</v>
      </c>
      <c r="E35" s="211" t="s">
        <v>291</v>
      </c>
      <c r="F35" s="212"/>
      <c r="G35" s="210" t="s">
        <v>13450</v>
      </c>
      <c r="H35" s="161"/>
      <c r="I35" s="161"/>
      <c r="J35" s="156" t="s">
        <v>12778</v>
      </c>
      <c r="K35" s="156" t="s">
        <v>12666</v>
      </c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IFERROR(__xludf.DUMMYFUNCTION("ifna(VALUE(REGEXEXTRACT(E35,""[0-9.]+[,]+[0-9]+"")))"),250.0)</f>
        <v>250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1825306.0</v>
      </c>
      <c r="C36" s="14">
        <v>45989.70863425926</v>
      </c>
      <c r="D36" s="210" t="s">
        <v>139</v>
      </c>
      <c r="E36" s="211" t="s">
        <v>786</v>
      </c>
      <c r="F36" s="212"/>
      <c r="G36" s="210" t="s">
        <v>12927</v>
      </c>
      <c r="H36" s="169"/>
      <c r="I36" s="169"/>
      <c r="J36" s="156" t="s">
        <v>12952</v>
      </c>
      <c r="K36" s="156"/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IFERROR(__xludf.DUMMYFUNCTION("ifna(VALUE(REGEXEXTRACT(E36,""[0-9.]+[,]+[0-9]+"")))"),130.0)</f>
        <v>130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1825308.0</v>
      </c>
      <c r="C37" s="14">
        <v>45989.70905092593</v>
      </c>
      <c r="D37" s="210" t="s">
        <v>101</v>
      </c>
      <c r="E37" s="211" t="s">
        <v>13457</v>
      </c>
      <c r="F37" s="212"/>
      <c r="G37" s="210" t="s">
        <v>528</v>
      </c>
      <c r="H37" s="169"/>
      <c r="I37" s="169"/>
      <c r="J37" s="156" t="s">
        <v>12818</v>
      </c>
      <c r="K37" s="156"/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159">
        <f>IFERROR(__xludf.DUMMYFUNCTION("ifna(VALUE(REGEXEXTRACT(E37,""[0-9.]+[,]+[0-9]+"")))"),169.13)</f>
        <v>169.13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1825883.0</v>
      </c>
      <c r="C38" s="14">
        <v>45989.85189814815</v>
      </c>
      <c r="D38" s="210" t="s">
        <v>101</v>
      </c>
      <c r="E38" s="211" t="s">
        <v>13463</v>
      </c>
      <c r="F38" s="212"/>
      <c r="G38" s="210" t="s">
        <v>13464</v>
      </c>
      <c r="H38" s="170"/>
      <c r="I38" s="170"/>
      <c r="J38" s="156" t="s">
        <v>6914</v>
      </c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IFERROR(__xludf.DUMMYFUNCTION("ifna(VALUE(REGEXEXTRACT(E38,""[0-9.]+[,]+[0-9]+"")))"),162.0)</f>
        <v>162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1825974.0</v>
      </c>
      <c r="C39" s="14">
        <v>45989.87173611111</v>
      </c>
      <c r="D39" s="210" t="s">
        <v>101</v>
      </c>
      <c r="E39" s="211" t="s">
        <v>1697</v>
      </c>
      <c r="F39" s="212"/>
      <c r="G39" s="210" t="s">
        <v>13467</v>
      </c>
      <c r="H39" s="170"/>
      <c r="I39" s="170"/>
      <c r="J39" s="156" t="s">
        <v>6914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IFERROR(__xludf.DUMMYFUNCTION("ifna(VALUE(REGEXEXTRACT(E39,""[0-9.]+[,]+[0-9]+"")))"),63.0)</f>
        <v>63</v>
      </c>
      <c r="O39" s="171" t="str">
        <f>B8</f>
        <v>Rose</v>
      </c>
      <c r="S39" s="159"/>
      <c r="T39" s="148" t="str">
        <f>B9</f>
        <v/>
      </c>
    </row>
    <row r="40" ht="14.25" customHeight="1">
      <c r="A40" s="149"/>
      <c r="B40" s="13">
        <v>1826168.0</v>
      </c>
      <c r="C40" s="14">
        <v>45989.90474537037</v>
      </c>
      <c r="D40" s="210" t="s">
        <v>101</v>
      </c>
      <c r="E40" s="211" t="s">
        <v>2463</v>
      </c>
      <c r="F40" s="212"/>
      <c r="G40" s="210" t="s">
        <v>13442</v>
      </c>
      <c r="H40" s="170"/>
      <c r="I40" s="170"/>
      <c r="J40" s="156" t="s">
        <v>12658</v>
      </c>
      <c r="K40" s="156" t="s">
        <v>199</v>
      </c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IFERROR(__xludf.DUMMYFUNCTION("ifna(VALUE(REGEXEXTRACT(E40,""[0-9.]+[,]+[0-9]+"")))"),84.0)</f>
        <v>84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1826170.0</v>
      </c>
      <c r="C41" s="14">
        <v>45989.90488425926</v>
      </c>
      <c r="D41" s="210" t="s">
        <v>101</v>
      </c>
      <c r="E41" s="211" t="s">
        <v>586</v>
      </c>
      <c r="F41" s="212"/>
      <c r="G41" s="210" t="s">
        <v>13210</v>
      </c>
      <c r="H41" s="170"/>
      <c r="I41" s="170"/>
      <c r="J41" s="156" t="s">
        <v>10036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IFERROR(__xludf.DUMMYFUNCTION("ifna(VALUE(REGEXEXTRACT(E41,""[0-9.]+[,]+[0-9]+"")))"),120.0)</f>
        <v>120</v>
      </c>
      <c r="O41" s="206">
        <f>IFERROR(__xludf.DUMMYFUNCTION("""COMPUTED_VALUE"""),45988.90563657407)</f>
        <v>45988.90564</v>
      </c>
      <c r="P41" s="58" t="str">
        <f>IFERROR(__xludf.DUMMYFUNCTION("""COMPUTED_VALUE"""),"R$ 20,00")</f>
        <v>R$ 20,00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1826226.0</v>
      </c>
      <c r="C42" s="14">
        <v>45989.91355324074</v>
      </c>
      <c r="D42" s="210" t="s">
        <v>101</v>
      </c>
      <c r="E42" s="211" t="s">
        <v>306</v>
      </c>
      <c r="F42" s="212"/>
      <c r="G42" s="210" t="s">
        <v>13439</v>
      </c>
      <c r="H42" s="170"/>
      <c r="I42" s="170"/>
      <c r="J42" s="156" t="s">
        <v>12658</v>
      </c>
      <c r="K42" s="156" t="s">
        <v>12693</v>
      </c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IFERROR(__xludf.DUMMYFUNCTION("ifna(VALUE(REGEXEXTRACT(E42,""[0-9.]+[,]+[0-9]+"")))"),22.0)</f>
        <v>22</v>
      </c>
      <c r="O42" s="206">
        <f>IFERROR(__xludf.DUMMYFUNCTION("""COMPUTED_VALUE"""),45989.91355324074)</f>
        <v>45989.91355</v>
      </c>
      <c r="P42" s="58" t="str">
        <f>IFERROR(__xludf.DUMMYFUNCTION("""COMPUTED_VALUE"""),"R$ 22,00")</f>
        <v>R$ 22,00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3">
        <v>1826375.0</v>
      </c>
      <c r="C43" s="14">
        <v>45989.92806712963</v>
      </c>
      <c r="D43" s="210" t="s">
        <v>101</v>
      </c>
      <c r="E43" s="211" t="s">
        <v>13476</v>
      </c>
      <c r="F43" s="212"/>
      <c r="G43" s="210" t="s">
        <v>13477</v>
      </c>
      <c r="H43" s="170"/>
      <c r="I43" s="170"/>
      <c r="J43" s="156" t="s">
        <v>12778</v>
      </c>
      <c r="K43" s="156" t="s">
        <v>12666</v>
      </c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IFERROR(__xludf.DUMMYFUNCTION("ifna(VALUE(REGEXEXTRACT(E43,""[0-9.]+[,]+[0-9]+"")))"),1410.0)</f>
        <v>1410</v>
      </c>
      <c r="O43" s="208">
        <f>IFERROR(__xludf.DUMMYFUNCTION("""COMPUTED_VALUE"""),45994.93577546296)</f>
        <v>45994.93578</v>
      </c>
      <c r="P43" s="67" t="str">
        <f>IFERROR(__xludf.DUMMYFUNCTION("""COMPUTED_VALUE"""),"R$ 8,00")</f>
        <v>R$ 8,00</v>
      </c>
      <c r="Q43" s="67" t="str">
        <f>IFERROR(__xludf.DUMMYFUNCTION("""COMPUTED_VALUE"""),"Consumo")</f>
        <v>Consumo</v>
      </c>
      <c r="R43" s="67" t="str">
        <f>IFERROR(__xludf.DUMMYFUNCTION("""COMPUTED_VALUE"""),"Rose")</f>
        <v>Rose</v>
      </c>
      <c r="S43" s="159"/>
      <c r="T43" s="67"/>
      <c r="U43" s="67"/>
      <c r="V43" s="67"/>
      <c r="W43" s="67"/>
    </row>
    <row r="44" ht="14.25" customHeight="1">
      <c r="A44" s="149"/>
      <c r="B44" s="13">
        <v>1827137.0</v>
      </c>
      <c r="C44" s="14">
        <v>45990.58917824074</v>
      </c>
      <c r="D44" s="210" t="s">
        <v>139</v>
      </c>
      <c r="E44" s="211" t="s">
        <v>364</v>
      </c>
      <c r="F44" s="214"/>
      <c r="G44" s="210" t="s">
        <v>13482</v>
      </c>
      <c r="H44" s="170"/>
      <c r="I44" s="170"/>
      <c r="J44" s="156" t="s">
        <v>12778</v>
      </c>
      <c r="K44" s="156" t="s">
        <v>12666</v>
      </c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IFERROR(__xludf.DUMMYFUNCTION("ifna(VALUE(REGEXEXTRACT(E44,""[0-9.]+[,]+[0-9]+"")))"),600.0)</f>
        <v>600</v>
      </c>
      <c r="O44" s="208">
        <f>IFERROR(__xludf.DUMMYFUNCTION("""COMPUTED_VALUE"""),46009.93807870371)</f>
        <v>46009.93808</v>
      </c>
      <c r="P44" s="67" t="str">
        <f>IFERROR(__xludf.DUMMYFUNCTION("""COMPUTED_VALUE"""),"R$ 53,00")</f>
        <v>R$ 53,00</v>
      </c>
      <c r="Q44" s="67" t="str">
        <f>IFERROR(__xludf.DUMMYFUNCTION("""COMPUTED_VALUE"""),"Consumo")</f>
        <v>Consumo</v>
      </c>
      <c r="R44" s="67" t="str">
        <f>IFERROR(__xludf.DUMMYFUNCTION("""COMPUTED_VALUE"""),"Rose")</f>
        <v>Rose</v>
      </c>
      <c r="S44" s="159"/>
      <c r="T44" s="67"/>
      <c r="U44" s="67"/>
      <c r="V44" s="67"/>
      <c r="W44" s="67"/>
    </row>
    <row r="45" ht="14.25" customHeight="1">
      <c r="A45" s="149"/>
      <c r="B45" s="13">
        <v>1828290.0</v>
      </c>
      <c r="C45" s="14">
        <v>45990.81715277778</v>
      </c>
      <c r="D45" s="210" t="s">
        <v>101</v>
      </c>
      <c r="E45" s="211" t="s">
        <v>13484</v>
      </c>
      <c r="F45" s="212"/>
      <c r="G45" s="210" t="s">
        <v>13485</v>
      </c>
      <c r="H45" s="170"/>
      <c r="I45" s="170"/>
      <c r="J45" s="156" t="s">
        <v>6914</v>
      </c>
      <c r="K45" s="156"/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IFERROR(__xludf.DUMMYFUNCTION("ifna(VALUE(REGEXEXTRACT(E45,""[0-9.]+[,]+[0-9]+"")))"),358.0)</f>
        <v>358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13">
        <v>1828525.0</v>
      </c>
      <c r="C46" s="14">
        <v>45990.86481481481</v>
      </c>
      <c r="D46" s="210" t="s">
        <v>101</v>
      </c>
      <c r="E46" s="211" t="s">
        <v>786</v>
      </c>
      <c r="F46" s="212"/>
      <c r="G46" s="210" t="s">
        <v>12998</v>
      </c>
      <c r="H46" s="170"/>
      <c r="I46" s="170"/>
      <c r="J46" s="156" t="s">
        <v>10036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IFERROR(__xludf.DUMMYFUNCTION("ifna(VALUE(REGEXEXTRACT(E46,""[0-9.]+[,]+[0-9]+"")))"),130.0)</f>
        <v>130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3">
        <v>1828530.0</v>
      </c>
      <c r="C47" s="14">
        <v>45990.86523148148</v>
      </c>
      <c r="D47" s="210" t="s">
        <v>101</v>
      </c>
      <c r="E47" s="211" t="s">
        <v>799</v>
      </c>
      <c r="F47" s="212"/>
      <c r="G47" s="210" t="s">
        <v>13490</v>
      </c>
      <c r="H47" s="170"/>
      <c r="I47" s="170"/>
      <c r="J47" s="156" t="s">
        <v>10036</v>
      </c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IFERROR(__xludf.DUMMYFUNCTION("ifna(VALUE(REGEXEXTRACT(E47,""[0-9.]+[,]+[0-9]+"")))"),75.0)</f>
        <v>75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3">
        <v>1828585.0</v>
      </c>
      <c r="C48" s="14">
        <v>45990.874293981484</v>
      </c>
      <c r="D48" s="210" t="s">
        <v>101</v>
      </c>
      <c r="E48" s="211" t="s">
        <v>1633</v>
      </c>
      <c r="F48" s="212"/>
      <c r="G48" s="210" t="s">
        <v>12935</v>
      </c>
      <c r="H48" s="170"/>
      <c r="I48" s="170"/>
      <c r="J48" s="156" t="s">
        <v>12658</v>
      </c>
      <c r="K48" s="156" t="s">
        <v>12666</v>
      </c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IFERROR(__xludf.DUMMYFUNCTION("ifna(VALUE(REGEXEXTRACT(E48,""[0-9.]+[,]+[0-9]+"")))"),8.0)</f>
        <v>8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1828651.0</v>
      </c>
      <c r="C49" s="14">
        <v>45990.885775462964</v>
      </c>
      <c r="D49" s="210" t="s">
        <v>101</v>
      </c>
      <c r="E49" s="211" t="s">
        <v>231</v>
      </c>
      <c r="F49" s="212"/>
      <c r="G49" s="210" t="s">
        <v>13455</v>
      </c>
      <c r="H49" s="170"/>
      <c r="I49" s="170"/>
      <c r="J49" s="156" t="s">
        <v>6914</v>
      </c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IFERROR(__xludf.DUMMYFUNCTION("ifna(VALUE(REGEXEXTRACT(E49,""[0-9.]+[,]+[0-9]+"")))"),10.0)</f>
        <v>10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1828987.0</v>
      </c>
      <c r="C50" s="14">
        <v>45990.924733796295</v>
      </c>
      <c r="D50" s="210" t="s">
        <v>101</v>
      </c>
      <c r="E50" s="211" t="s">
        <v>13295</v>
      </c>
      <c r="F50" s="212"/>
      <c r="G50" s="210" t="s">
        <v>13494</v>
      </c>
      <c r="H50" s="170"/>
      <c r="I50" s="170"/>
      <c r="J50" s="156" t="s">
        <v>12778</v>
      </c>
      <c r="K50" s="156" t="s">
        <v>12666</v>
      </c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"),"Confirmada")</f>
        <v>Confirmada</v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IFERROR(__xludf.DUMMYFUNCTION("ifna(VALUE(REGEXEXTRACT(E50,""[0-9.]+[,]+[0-9]+"")))"),2250.0)</f>
        <v>2250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1829918.0</v>
      </c>
      <c r="C51" s="14">
        <v>45991.60711805556</v>
      </c>
      <c r="D51" s="210" t="s">
        <v>101</v>
      </c>
      <c r="E51" s="211" t="s">
        <v>13497</v>
      </c>
      <c r="F51" s="212"/>
      <c r="G51" s="210" t="s">
        <v>13259</v>
      </c>
      <c r="H51" s="170"/>
      <c r="I51" s="170"/>
      <c r="J51" s="156"/>
      <c r="K51" s="156"/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IFERROR(__xludf.DUMMYFUNCTION("ifna(VALUE(REGEXEXTRACT(E51,""[0-9.]+[,]+[0-9]+"")))"),110.17)</f>
        <v>110.17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1832019.0</v>
      </c>
      <c r="C52" s="14">
        <v>45991.927939814814</v>
      </c>
      <c r="D52" s="210" t="s">
        <v>101</v>
      </c>
      <c r="E52" s="211" t="s">
        <v>13501</v>
      </c>
      <c r="F52" s="212"/>
      <c r="G52" s="210" t="s">
        <v>13502</v>
      </c>
      <c r="H52" s="170"/>
      <c r="I52" s="170"/>
      <c r="J52" s="156" t="s">
        <v>12778</v>
      </c>
      <c r="K52" s="156" t="s">
        <v>199</v>
      </c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"),"Confirmada")</f>
        <v>Confirmada</v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IFERROR(__xludf.DUMMYFUNCTION("ifna(VALUE(REGEXEXTRACT(E52,""[0-9.]+[,]+[0-9]+"")))"),1850.0)</f>
        <v>1850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1832031.0</v>
      </c>
      <c r="C53" s="14">
        <v>45991.92888888889</v>
      </c>
      <c r="D53" s="191" t="s">
        <v>139</v>
      </c>
      <c r="E53" s="221" t="s">
        <v>364</v>
      </c>
      <c r="F53" s="212"/>
      <c r="G53" s="210" t="s">
        <v>13504</v>
      </c>
      <c r="H53" s="170"/>
      <c r="I53" s="170"/>
      <c r="J53" s="156" t="s">
        <v>12778</v>
      </c>
      <c r="K53" s="156" t="s">
        <v>12666</v>
      </c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IFERROR(__xludf.DUMMYFUNCTION("ifna(VALUE(REGEXEXTRACT(E53,""[0-9.]+[,]+[0-9]+"")))"),600.0)</f>
        <v>600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1832046.0</v>
      </c>
      <c r="C54" s="14">
        <v>45991.92951388889</v>
      </c>
      <c r="D54" s="210" t="s">
        <v>101</v>
      </c>
      <c r="E54" s="211" t="s">
        <v>13506</v>
      </c>
      <c r="F54" s="214"/>
      <c r="G54" s="210" t="s">
        <v>13507</v>
      </c>
      <c r="H54" s="170"/>
      <c r="I54" s="170"/>
      <c r="J54" s="156" t="s">
        <v>6914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IFERROR(__xludf.DUMMYFUNCTION("ifna(VALUE(REGEXEXTRACT(E54,""[0-9.]+[,]+[0-9]+"")))"),339.0)</f>
        <v>339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1832050.0</v>
      </c>
      <c r="C55" s="14">
        <v>45991.92972222222</v>
      </c>
      <c r="D55" s="210" t="s">
        <v>101</v>
      </c>
      <c r="E55" s="211" t="s">
        <v>786</v>
      </c>
      <c r="F55" s="212"/>
      <c r="G55" s="210" t="s">
        <v>13398</v>
      </c>
      <c r="H55" s="170"/>
      <c r="I55" s="170"/>
      <c r="J55" s="156" t="s">
        <v>10036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IFERROR(__xludf.DUMMYFUNCTION("ifna(VALUE(REGEXEXTRACT(E55,""[0-9.]+[,]+[0-9]+"")))"),130.0)</f>
        <v>130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1832057.0</v>
      </c>
      <c r="C56" s="14">
        <v>45991.929930555554</v>
      </c>
      <c r="D56" s="210" t="s">
        <v>101</v>
      </c>
      <c r="E56" s="211" t="s">
        <v>786</v>
      </c>
      <c r="F56" s="214"/>
      <c r="G56" s="210" t="s">
        <v>12901</v>
      </c>
      <c r="H56" s="170"/>
      <c r="I56" s="170"/>
      <c r="J56" s="156" t="s">
        <v>10036</v>
      </c>
      <c r="K56" s="156"/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IFERROR(__xludf.DUMMYFUNCTION("ifna(VALUE(REGEXEXTRACT(E56,""[0-9.]+[,]+[0-9]+"")))"),130.0)</f>
        <v>130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1834356.0</v>
      </c>
      <c r="C57" s="14">
        <v>45992.925671296296</v>
      </c>
      <c r="D57" s="210" t="s">
        <v>101</v>
      </c>
      <c r="E57" s="211" t="s">
        <v>921</v>
      </c>
      <c r="F57" s="212"/>
      <c r="G57" s="210" t="s">
        <v>13360</v>
      </c>
      <c r="H57" s="170"/>
      <c r="I57" s="170"/>
      <c r="J57" s="156" t="s">
        <v>6914</v>
      </c>
      <c r="K57" s="156"/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IFERROR(__xludf.DUMMYFUNCTION("ifna(VALUE(REGEXEXTRACT(E57,""[0-9.]+[,]+[0-9]+"")))"),57.0)</f>
        <v>57</v>
      </c>
      <c r="U57" s="159"/>
      <c r="V57" s="159"/>
      <c r="W57" s="159"/>
    </row>
    <row r="58" ht="14.25" customHeight="1">
      <c r="A58" s="149"/>
      <c r="B58" s="13">
        <v>1834359.0</v>
      </c>
      <c r="C58" s="14">
        <v>45992.92626157407</v>
      </c>
      <c r="D58" s="210" t="s">
        <v>101</v>
      </c>
      <c r="E58" s="211" t="s">
        <v>270</v>
      </c>
      <c r="F58" s="212"/>
      <c r="G58" s="210" t="s">
        <v>13512</v>
      </c>
      <c r="H58" s="170"/>
      <c r="I58" s="170"/>
      <c r="J58" s="156" t="s">
        <v>13513</v>
      </c>
      <c r="K58" s="156"/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IFERROR(__xludf.DUMMYFUNCTION("ifna(VALUE(REGEXEXTRACT(E58,""[0-9.]+[,]+[0-9]+"")))"),62.0)</f>
        <v>62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1834364.0</v>
      </c>
      <c r="C59" s="14">
        <v>45992.92649305556</v>
      </c>
      <c r="D59" s="210" t="s">
        <v>101</v>
      </c>
      <c r="E59" s="211" t="s">
        <v>1983</v>
      </c>
      <c r="F59" s="212"/>
      <c r="G59" s="210" t="s">
        <v>13398</v>
      </c>
      <c r="H59" s="170"/>
      <c r="I59" s="170"/>
      <c r="J59" s="156" t="s">
        <v>10036</v>
      </c>
      <c r="K59" s="156"/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IFERROR(__xludf.DUMMYFUNCTION("ifna(VALUE(REGEXEXTRACT(E59,""[0-9.]+[,]+[0-9]+"")))"),78.0)</f>
        <v>78</v>
      </c>
      <c r="O59" s="174" t="s">
        <v>9062</v>
      </c>
      <c r="P59" s="175">
        <v>45987.0</v>
      </c>
      <c r="Q59" s="174" t="s">
        <v>2052</v>
      </c>
      <c r="R59" s="176">
        <v>500.0</v>
      </c>
      <c r="S59" s="177" t="str">
        <f t="shared" ref="S59:S95" si="1">IFERROR(VLOOKUP(Q59, $A$4:$B$11, 2, FALSE), "")</f>
        <v>Josi Ribas</v>
      </c>
      <c r="U59" s="159"/>
      <c r="V59" s="159"/>
      <c r="W59" s="159"/>
    </row>
    <row r="60" ht="14.25" customHeight="1">
      <c r="A60" s="149"/>
      <c r="B60" s="13">
        <v>1834394.0</v>
      </c>
      <c r="C60" s="14">
        <v>45992.92886574074</v>
      </c>
      <c r="D60" s="210" t="s">
        <v>101</v>
      </c>
      <c r="E60" s="211" t="s">
        <v>364</v>
      </c>
      <c r="F60" s="212"/>
      <c r="G60" s="210" t="s">
        <v>13520</v>
      </c>
      <c r="H60" s="170"/>
      <c r="I60" s="170"/>
      <c r="J60" s="156" t="s">
        <v>12778</v>
      </c>
      <c r="K60" s="156" t="s">
        <v>12666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"),"Caixa Atendimento")</f>
        <v>Caixa Atendimento</v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IFERROR(__xludf.DUMMYFUNCTION("ifna(VALUE(REGEXEXTRACT(E60,""[0-9.]+[,]+[0-9]+"")))"),600.0)</f>
        <v>600</v>
      </c>
      <c r="O60" s="174" t="s">
        <v>9066</v>
      </c>
      <c r="P60" s="175">
        <v>45987.0</v>
      </c>
      <c r="Q60" s="174" t="s">
        <v>6062</v>
      </c>
      <c r="R60" s="176">
        <v>500.0</v>
      </c>
      <c r="S60" s="177" t="str">
        <f t="shared" si="1"/>
        <v>Bruna</v>
      </c>
      <c r="U60" s="159"/>
      <c r="V60" s="159"/>
      <c r="W60" s="159"/>
    </row>
    <row r="61" ht="14.25" customHeight="1">
      <c r="A61" s="149"/>
      <c r="B61" s="13">
        <v>1836354.0</v>
      </c>
      <c r="C61" s="14">
        <v>45993.9415625</v>
      </c>
      <c r="D61" s="210" t="s">
        <v>101</v>
      </c>
      <c r="E61" s="211" t="s">
        <v>1252</v>
      </c>
      <c r="F61" s="212"/>
      <c r="G61" s="210" t="s">
        <v>13524</v>
      </c>
      <c r="H61" s="170"/>
      <c r="I61" s="170"/>
      <c r="J61" s="156" t="s">
        <v>12778</v>
      </c>
      <c r="K61" s="156" t="s">
        <v>12666</v>
      </c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"),"Caixa Atendimento")</f>
        <v>Caixa Atendimento</v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IFERROR(__xludf.DUMMYFUNCTION("ifna(VALUE(REGEXEXTRACT(E61,""[0-9.]+[,]+[0-9]+"")))"),1050.0)</f>
        <v>1050</v>
      </c>
      <c r="O61" s="174" t="s">
        <v>9069</v>
      </c>
      <c r="P61" s="175">
        <v>45987.0</v>
      </c>
      <c r="Q61" s="174" t="s">
        <v>227</v>
      </c>
      <c r="R61" s="176">
        <v>500.0</v>
      </c>
      <c r="S61" s="177" t="str">
        <f t="shared" si="1"/>
        <v>Rose</v>
      </c>
      <c r="U61" s="159"/>
      <c r="V61" s="159"/>
      <c r="W61" s="159"/>
    </row>
    <row r="62" ht="14.25" customHeight="1">
      <c r="A62" s="149"/>
      <c r="B62" s="13">
        <v>1836358.0</v>
      </c>
      <c r="C62" s="14">
        <v>45993.94184027778</v>
      </c>
      <c r="D62" s="210" t="s">
        <v>101</v>
      </c>
      <c r="E62" s="211" t="s">
        <v>231</v>
      </c>
      <c r="F62" s="212"/>
      <c r="G62" s="210" t="s">
        <v>13529</v>
      </c>
      <c r="H62" s="170"/>
      <c r="I62" s="170"/>
      <c r="J62" s="156" t="s">
        <v>12658</v>
      </c>
      <c r="K62" s="156" t="s">
        <v>12666</v>
      </c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IFERROR(__xludf.DUMMYFUNCTION("ifna(VALUE(REGEXEXTRACT(E62,""[0-9.]+[,]+[0-9]+"")))"),10.0)</f>
        <v>10</v>
      </c>
      <c r="O62" s="174" t="s">
        <v>9431</v>
      </c>
      <c r="P62" s="175">
        <v>46017.0</v>
      </c>
      <c r="Q62" s="176" t="s">
        <v>2052</v>
      </c>
      <c r="R62" s="176">
        <v>500.0</v>
      </c>
      <c r="S62" s="177" t="str">
        <f t="shared" si="1"/>
        <v>Josi Ribas</v>
      </c>
      <c r="U62" s="159"/>
      <c r="V62" s="159"/>
      <c r="W62" s="159"/>
    </row>
    <row r="63" ht="14.25" customHeight="1">
      <c r="A63" s="149"/>
      <c r="B63" s="13">
        <v>1836360.0</v>
      </c>
      <c r="C63" s="14">
        <v>45993.94215277778</v>
      </c>
      <c r="D63" s="210" t="s">
        <v>101</v>
      </c>
      <c r="E63" s="211" t="s">
        <v>13533</v>
      </c>
      <c r="F63" s="212"/>
      <c r="G63" s="210" t="s">
        <v>13174</v>
      </c>
      <c r="H63" s="170"/>
      <c r="I63" s="170"/>
      <c r="J63" s="156" t="s">
        <v>6914</v>
      </c>
      <c r="K63" s="156"/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IFERROR(__xludf.DUMMYFUNCTION("ifna(VALUE(REGEXEXTRACT(E63,""[0-9.]+[,]+[0-9]+"")))"),89.0)</f>
        <v>89</v>
      </c>
      <c r="O63" s="174" t="s">
        <v>9433</v>
      </c>
      <c r="P63" s="175">
        <v>46017.0</v>
      </c>
      <c r="Q63" s="176" t="s">
        <v>6062</v>
      </c>
      <c r="R63" s="178">
        <v>500.0</v>
      </c>
      <c r="S63" s="177" t="str">
        <f t="shared" si="1"/>
        <v>Bruna</v>
      </c>
      <c r="U63" s="159"/>
      <c r="V63" s="159"/>
      <c r="W63" s="159"/>
    </row>
    <row r="64" ht="14.25" customHeight="1">
      <c r="A64" s="149"/>
      <c r="B64" s="13">
        <v>1836362.0</v>
      </c>
      <c r="C64" s="14">
        <v>45993.94252314815</v>
      </c>
      <c r="D64" s="210" t="s">
        <v>101</v>
      </c>
      <c r="E64" s="211" t="s">
        <v>1983</v>
      </c>
      <c r="F64" s="214"/>
      <c r="G64" s="210" t="s">
        <v>13539</v>
      </c>
      <c r="H64" s="170"/>
      <c r="I64" s="170"/>
      <c r="J64" s="156" t="s">
        <v>10036</v>
      </c>
      <c r="K64" s="156"/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IFERROR(__xludf.DUMMYFUNCTION("ifna(VALUE(REGEXEXTRACT(E64,""[0-9.]+[,]+[0-9]+"")))"),78.0)</f>
        <v>78</v>
      </c>
      <c r="O64" s="174" t="s">
        <v>9440</v>
      </c>
      <c r="P64" s="175">
        <v>46018.0</v>
      </c>
      <c r="Q64" s="174" t="s">
        <v>227</v>
      </c>
      <c r="R64" s="176">
        <v>500.0</v>
      </c>
      <c r="S64" s="177" t="str">
        <f t="shared" si="1"/>
        <v>Rose</v>
      </c>
      <c r="U64" s="159"/>
      <c r="V64" s="159"/>
      <c r="W64" s="159"/>
    </row>
    <row r="65" ht="14.25" customHeight="1">
      <c r="A65" s="149"/>
      <c r="B65" s="13">
        <v>1837726.0</v>
      </c>
      <c r="C65" s="14">
        <v>45994.835381944446</v>
      </c>
      <c r="D65" s="210" t="s">
        <v>101</v>
      </c>
      <c r="E65" s="211" t="s">
        <v>13542</v>
      </c>
      <c r="F65" s="212"/>
      <c r="G65" s="210" t="s">
        <v>13543</v>
      </c>
      <c r="H65" s="170"/>
      <c r="I65" s="170"/>
      <c r="J65" s="156" t="s">
        <v>6914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IFERROR(__xludf.DUMMYFUNCTION("ifna(VALUE(REGEXEXTRACT(E65,""[0-9.]+[,]+[0-9]+"")))"),214.0)</f>
        <v>214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1837729.0</v>
      </c>
      <c r="C66" s="14">
        <v>45994.83574074074</v>
      </c>
      <c r="D66" s="210" t="s">
        <v>101</v>
      </c>
      <c r="E66" s="211" t="s">
        <v>13545</v>
      </c>
      <c r="F66" s="212"/>
      <c r="G66" s="210" t="s">
        <v>13546</v>
      </c>
      <c r="H66" s="170"/>
      <c r="I66" s="170"/>
      <c r="J66" s="156" t="s">
        <v>10036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IFERROR(__xludf.DUMMYFUNCTION("ifna(VALUE(REGEXEXTRACT(E66,""[0-9.]+[,]+[0-9]+"")))"),67.0)</f>
        <v>67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1837730.0</v>
      </c>
      <c r="C67" s="14">
        <v>45994.835960648146</v>
      </c>
      <c r="D67" s="210" t="s">
        <v>101</v>
      </c>
      <c r="E67" s="211" t="s">
        <v>1983</v>
      </c>
      <c r="F67" s="212"/>
      <c r="G67" s="210" t="s">
        <v>12998</v>
      </c>
      <c r="H67" s="170"/>
      <c r="I67" s="170"/>
      <c r="J67" s="156" t="s">
        <v>10036</v>
      </c>
      <c r="K67" s="156"/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IFERROR(__xludf.DUMMYFUNCTION("ifna(VALUE(REGEXEXTRACT(E67,""[0-9.]+[,]+[0-9]+"")))"),78.0)</f>
        <v>78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1837785.0</v>
      </c>
      <c r="C68" s="14">
        <v>45994.858090277776</v>
      </c>
      <c r="D68" s="210" t="s">
        <v>101</v>
      </c>
      <c r="E68" s="211" t="s">
        <v>13551</v>
      </c>
      <c r="F68" s="212"/>
      <c r="G68" s="210" t="s">
        <v>13552</v>
      </c>
      <c r="H68" s="170"/>
      <c r="I68" s="170"/>
      <c r="J68" s="156" t="s">
        <v>12818</v>
      </c>
      <c r="K68" s="156"/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159">
        <f>IFERROR(__xludf.DUMMYFUNCTION("ifna(VALUE(REGEXEXTRACT(E68,""[0-9.]+[,]+[0-9]+"")))"),199.8)</f>
        <v>199.8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1837787.0</v>
      </c>
      <c r="C69" s="14">
        <v>45994.85938657408</v>
      </c>
      <c r="D69" s="210" t="s">
        <v>101</v>
      </c>
      <c r="E69" s="211" t="s">
        <v>201</v>
      </c>
      <c r="F69" s="212"/>
      <c r="G69" s="210" t="s">
        <v>13554</v>
      </c>
      <c r="H69" s="170"/>
      <c r="I69" s="170"/>
      <c r="J69" s="156" t="s">
        <v>12818</v>
      </c>
      <c r="K69" s="156"/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"""")"),"Encontrada")</f>
        <v>Encontrada</v>
      </c>
      <c r="N69" s="159">
        <f>IFERROR(__xludf.DUMMYFUNCTION("ifna(VALUE(REGEXEXTRACT(E69,""[0-9.]+[,]+[0-9]+"")))"),150.0)</f>
        <v>150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1837997.0</v>
      </c>
      <c r="C70" s="14">
        <v>45994.90886574074</v>
      </c>
      <c r="D70" s="210" t="s">
        <v>101</v>
      </c>
      <c r="E70" s="211" t="s">
        <v>223</v>
      </c>
      <c r="F70" s="212"/>
      <c r="G70" s="210" t="s">
        <v>13555</v>
      </c>
      <c r="H70" s="170"/>
      <c r="I70" s="170"/>
      <c r="J70" s="156" t="s">
        <v>13513</v>
      </c>
      <c r="K70" s="156"/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IFERROR(__xludf.DUMMYFUNCTION("ifna(VALUE(REGEXEXTRACT(E70,""[0-9.]+[,]+[0-9]+"")))"),55.0)</f>
        <v>55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1838206.0</v>
      </c>
      <c r="C71" s="14">
        <v>45994.93556712963</v>
      </c>
      <c r="D71" s="210" t="s">
        <v>101</v>
      </c>
      <c r="E71" s="211" t="s">
        <v>13557</v>
      </c>
      <c r="F71" s="212"/>
      <c r="G71" s="210" t="s">
        <v>13558</v>
      </c>
      <c r="H71" s="170"/>
      <c r="I71" s="170"/>
      <c r="J71" s="156" t="s">
        <v>12778</v>
      </c>
      <c r="K71" s="156" t="s">
        <v>12666</v>
      </c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"),"Caixa Atendimento")</f>
        <v>Caixa Atendimento</v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IFERROR(__xludf.DUMMYFUNCTION("ifna(VALUE(REGEXEXTRACT(E71,""[0-9.]+[,]+[0-9]+"")))"),420.0)</f>
        <v>420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1838208.0</v>
      </c>
      <c r="C72" s="14">
        <v>45994.93577546296</v>
      </c>
      <c r="D72" s="210" t="s">
        <v>101</v>
      </c>
      <c r="E72" s="211" t="s">
        <v>1633</v>
      </c>
      <c r="F72" s="212"/>
      <c r="G72" s="210" t="s">
        <v>13439</v>
      </c>
      <c r="H72" s="170"/>
      <c r="I72" s="170"/>
      <c r="J72" s="156" t="s">
        <v>12658</v>
      </c>
      <c r="K72" s="156" t="s">
        <v>12693</v>
      </c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IFERROR(__xludf.DUMMYFUNCTION("ifna(VALUE(REGEXEXTRACT(E72,""[0-9.]+[,]+[0-9]+"")))"),8.0)</f>
        <v>8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1838211.0</v>
      </c>
      <c r="C73" s="14">
        <v>45994.936006944445</v>
      </c>
      <c r="D73" s="210" t="s">
        <v>101</v>
      </c>
      <c r="E73" s="211" t="s">
        <v>13561</v>
      </c>
      <c r="F73" s="214"/>
      <c r="G73" s="210" t="s">
        <v>12935</v>
      </c>
      <c r="H73" s="170"/>
      <c r="I73" s="170"/>
      <c r="J73" s="156" t="s">
        <v>12658</v>
      </c>
      <c r="K73" s="156" t="s">
        <v>12666</v>
      </c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IFERROR(__xludf.DUMMYFUNCTION("ifna(VALUE(REGEXEXTRACT(E73,""[0-9.]+[,]+[0-9]+"")))"),3.0)</f>
        <v>3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1838622.0</v>
      </c>
      <c r="C74" s="14">
        <v>45995.56747685185</v>
      </c>
      <c r="D74" s="210" t="s">
        <v>101</v>
      </c>
      <c r="E74" s="211" t="s">
        <v>410</v>
      </c>
      <c r="F74" s="212"/>
      <c r="G74" s="210" t="s">
        <v>13566</v>
      </c>
      <c r="H74" s="170"/>
      <c r="I74" s="170"/>
      <c r="J74" s="156" t="s">
        <v>12658</v>
      </c>
      <c r="K74" s="156" t="s">
        <v>199</v>
      </c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IFERROR(__xludf.DUMMYFUNCTION("ifna(VALUE(REGEXEXTRACT(E74,""[0-9.]+[,]+[0-9]+"")))"),29.0)</f>
        <v>29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1838667.0</v>
      </c>
      <c r="C75" s="14">
        <v>45995.59113425926</v>
      </c>
      <c r="D75" s="210" t="s">
        <v>101</v>
      </c>
      <c r="E75" s="211" t="s">
        <v>13568</v>
      </c>
      <c r="F75" s="212"/>
      <c r="G75" s="210" t="s">
        <v>13569</v>
      </c>
      <c r="H75" s="170"/>
      <c r="I75" s="170"/>
      <c r="J75" s="156" t="s">
        <v>13571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IFERROR(__xludf.DUMMYFUNCTION("ifna(VALUE(REGEXEXTRACT(E75,""[0-9.]+[,]+[0-9]+"")))"),72.7)</f>
        <v>72.7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1838671.0</v>
      </c>
      <c r="C76" s="14">
        <v>45995.59228009259</v>
      </c>
      <c r="D76" s="210" t="s">
        <v>101</v>
      </c>
      <c r="E76" s="211" t="s">
        <v>13572</v>
      </c>
      <c r="F76" s="212"/>
      <c r="G76" s="210" t="s">
        <v>13574</v>
      </c>
      <c r="H76" s="170"/>
      <c r="I76" s="170"/>
      <c r="J76" s="156" t="s">
        <v>13571</v>
      </c>
      <c r="K76" s="156"/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IFERROR(__xludf.DUMMYFUNCTION("ifna(VALUE(REGEXEXTRACT(E76,""[0-9.]+[,]+[0-9]+"")))"),15.22)</f>
        <v>15.22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1838695.0</v>
      </c>
      <c r="C77" s="14">
        <v>45995.60260416667</v>
      </c>
      <c r="D77" s="210" t="s">
        <v>139</v>
      </c>
      <c r="E77" s="211" t="s">
        <v>13557</v>
      </c>
      <c r="F77" s="212"/>
      <c r="G77" s="210" t="s">
        <v>13558</v>
      </c>
      <c r="H77" s="170"/>
      <c r="I77" s="170"/>
      <c r="J77" s="156" t="s">
        <v>12778</v>
      </c>
      <c r="K77" s="156" t="s">
        <v>12666</v>
      </c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IFERROR(__xludf.DUMMYFUNCTION("ifna(VALUE(REGEXEXTRACT(E77,""[0-9.]+[,]+[0-9]+"")))"),420.0)</f>
        <v>420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1839020.0</v>
      </c>
      <c r="C78" s="14">
        <v>45995.67774305555</v>
      </c>
      <c r="D78" s="210" t="s">
        <v>139</v>
      </c>
      <c r="E78" s="211" t="s">
        <v>364</v>
      </c>
      <c r="F78" s="212"/>
      <c r="G78" s="210" t="s">
        <v>13520</v>
      </c>
      <c r="H78" s="170"/>
      <c r="I78" s="170"/>
      <c r="J78" s="156" t="s">
        <v>12778</v>
      </c>
      <c r="K78" s="156" t="s">
        <v>12666</v>
      </c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IFERROR(__xludf.DUMMYFUNCTION("ifna(VALUE(REGEXEXTRACT(E78,""[0-9.]+[,]+[0-9]+"")))"),600.0)</f>
        <v>600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1839021.0</v>
      </c>
      <c r="C79" s="14">
        <v>45995.67795138889</v>
      </c>
      <c r="D79" s="210" t="s">
        <v>101</v>
      </c>
      <c r="E79" s="211" t="s">
        <v>13581</v>
      </c>
      <c r="F79" s="212"/>
      <c r="G79" s="210" t="s">
        <v>13583</v>
      </c>
      <c r="H79" s="170"/>
      <c r="I79" s="170"/>
      <c r="J79" s="156" t="s">
        <v>12818</v>
      </c>
      <c r="K79" s="156"/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59">
        <f>IFERROR(__xludf.DUMMYFUNCTION("ifna(VALUE(REGEXEXTRACT(E79,""[0-9.]+[,]+[0-9]+"")))"),699.2)</f>
        <v>699.2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1839836.0</v>
      </c>
      <c r="C80" s="14">
        <v>45995.89065972222</v>
      </c>
      <c r="D80" s="210" t="s">
        <v>101</v>
      </c>
      <c r="E80" s="211" t="s">
        <v>473</v>
      </c>
      <c r="F80" s="212"/>
      <c r="G80" s="210" t="s">
        <v>13585</v>
      </c>
      <c r="H80" s="170"/>
      <c r="I80" s="170"/>
      <c r="J80" s="156" t="s">
        <v>6914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IFERROR(__xludf.DUMMYFUNCTION("ifna(VALUE(REGEXEXTRACT(E80,""[0-9.]+[,]+[0-9]+"")))"),15.0)</f>
        <v>15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1839838.0</v>
      </c>
      <c r="C81" s="14">
        <v>45995.89084490741</v>
      </c>
      <c r="D81" s="210" t="s">
        <v>101</v>
      </c>
      <c r="E81" s="211" t="s">
        <v>339</v>
      </c>
      <c r="F81" s="212"/>
      <c r="G81" s="210" t="s">
        <v>13344</v>
      </c>
      <c r="H81" s="170"/>
      <c r="I81" s="170"/>
      <c r="J81" s="156" t="s">
        <v>6914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IFERROR(__xludf.DUMMYFUNCTION("ifna(VALUE(REGEXEXTRACT(E81,""[0-9.]+[,]+[0-9]+"")))"),31.0)</f>
        <v>31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1840236.0</v>
      </c>
      <c r="C82" s="14">
        <v>45995.93913194445</v>
      </c>
      <c r="D82" s="210" t="s">
        <v>101</v>
      </c>
      <c r="E82" s="211" t="s">
        <v>13589</v>
      </c>
      <c r="F82" s="214"/>
      <c r="G82" s="210" t="s">
        <v>13518</v>
      </c>
      <c r="H82" s="170"/>
      <c r="I82" s="170"/>
      <c r="J82" s="156" t="s">
        <v>12778</v>
      </c>
      <c r="K82" s="156" t="s">
        <v>12666</v>
      </c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"),"Caixa Atendimento")</f>
        <v>Caixa Atendimento</v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IFERROR(__xludf.DUMMYFUNCTION("ifna(VALUE(REGEXEXTRACT(E82,""[0-9.]+[,]+[0-9]+"")))"),1210.0)</f>
        <v>1210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1840875.0</v>
      </c>
      <c r="C83" s="14">
        <v>45996.63034722222</v>
      </c>
      <c r="D83" s="210" t="s">
        <v>101</v>
      </c>
      <c r="E83" s="211" t="s">
        <v>473</v>
      </c>
      <c r="F83" s="212"/>
      <c r="G83" s="210" t="s">
        <v>13593</v>
      </c>
      <c r="H83" s="170"/>
      <c r="I83" s="170"/>
      <c r="J83" s="156" t="s">
        <v>12818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159">
        <f>IFERROR(__xludf.DUMMYFUNCTION("ifna(VALUE(REGEXEXTRACT(E83,""[0-9.]+[,]+[0-9]+"")))"),15.0)</f>
        <v>15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1842236.0</v>
      </c>
      <c r="C84" s="14">
        <v>45996.91716435185</v>
      </c>
      <c r="D84" s="210" t="s">
        <v>101</v>
      </c>
      <c r="E84" s="211" t="s">
        <v>12951</v>
      </c>
      <c r="F84" s="212"/>
      <c r="G84" s="210" t="s">
        <v>13596</v>
      </c>
      <c r="H84" s="170"/>
      <c r="I84" s="170"/>
      <c r="J84" s="156" t="s">
        <v>6914</v>
      </c>
      <c r="K84" s="156"/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IFERROR(__xludf.DUMMYFUNCTION("ifna(VALUE(REGEXEXTRACT(E84,""[0-9.]+[,]+[0-9]+"")))"),170.0)</f>
        <v>170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1842242.0</v>
      </c>
      <c r="C85" s="14">
        <v>45996.91753472222</v>
      </c>
      <c r="D85" s="210" t="s">
        <v>101</v>
      </c>
      <c r="E85" s="211" t="s">
        <v>1006</v>
      </c>
      <c r="F85" s="212"/>
      <c r="G85" s="210" t="s">
        <v>13599</v>
      </c>
      <c r="H85" s="170"/>
      <c r="I85" s="170"/>
      <c r="J85" s="156" t="s">
        <v>6914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IFERROR(__xludf.DUMMYFUNCTION("ifna(VALUE(REGEXEXTRACT(E85,""[0-9.]+[,]+[0-9]+"")))"),68.0)</f>
        <v>68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1842245.0</v>
      </c>
      <c r="C86" s="14">
        <v>45996.91767361111</v>
      </c>
      <c r="D86" s="210" t="s">
        <v>101</v>
      </c>
      <c r="E86" s="211" t="s">
        <v>1983</v>
      </c>
      <c r="F86" s="212"/>
      <c r="G86" s="210" t="s">
        <v>13603</v>
      </c>
      <c r="H86" s="170"/>
      <c r="I86" s="170"/>
      <c r="J86" s="156" t="s">
        <v>10036</v>
      </c>
      <c r="K86" s="156"/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>
        <f>IFERROR(__xludf.DUMMYFUNCTION("ifna(VALUE(REGEXEXTRACT(E86,""[0-9.]+[,]+[0-9]+"")))"),78.0)</f>
        <v>78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1842249.0</v>
      </c>
      <c r="C87" s="14">
        <v>45996.917962962965</v>
      </c>
      <c r="D87" s="210" t="s">
        <v>101</v>
      </c>
      <c r="E87" s="211" t="s">
        <v>401</v>
      </c>
      <c r="F87" s="212"/>
      <c r="G87" s="210" t="s">
        <v>13607</v>
      </c>
      <c r="H87" s="170"/>
      <c r="I87" s="170"/>
      <c r="J87" s="156" t="s">
        <v>10036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IFERROR(__xludf.DUMMYFUNCTION("ifna(VALUE(REGEXEXTRACT(E87,""[0-9.]+[,]+[0-9]+"")))"),65.0)</f>
        <v>65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1842341.0</v>
      </c>
      <c r="C88" s="14">
        <v>45996.92605324074</v>
      </c>
      <c r="D88" s="210" t="s">
        <v>101</v>
      </c>
      <c r="E88" s="211" t="s">
        <v>13609</v>
      </c>
      <c r="F88" s="212"/>
      <c r="G88" s="210" t="s">
        <v>13610</v>
      </c>
      <c r="H88" s="170"/>
      <c r="I88" s="170"/>
      <c r="J88" s="156" t="s">
        <v>12778</v>
      </c>
      <c r="K88" s="156" t="s">
        <v>12666</v>
      </c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"),"Confirmada")</f>
        <v>Confirmada</v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IFERROR(__xludf.DUMMYFUNCTION("ifna(VALUE(REGEXEXTRACT(E88,""[0-9.]+[,]+[0-9]+"")))"),1810.0)</f>
        <v>1810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1843158.0</v>
      </c>
      <c r="C89" s="14">
        <v>45997.61274305556</v>
      </c>
      <c r="D89" s="210" t="s">
        <v>139</v>
      </c>
      <c r="E89" s="211" t="s">
        <v>1252</v>
      </c>
      <c r="F89" s="212"/>
      <c r="G89" s="210" t="s">
        <v>13524</v>
      </c>
      <c r="H89" s="170"/>
      <c r="I89" s="170"/>
      <c r="J89" s="156" t="s">
        <v>12778</v>
      </c>
      <c r="K89" s="156" t="s">
        <v>12666</v>
      </c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IFERROR(__xludf.DUMMYFUNCTION("ifna(VALUE(REGEXEXTRACT(E89,""[0-9.]+[,]+[0-9]+"")))"),1050.0)</f>
        <v>1050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1843744.0</v>
      </c>
      <c r="C90" s="14">
        <v>45997.743263888886</v>
      </c>
      <c r="D90" s="210" t="s">
        <v>101</v>
      </c>
      <c r="E90" s="211" t="s">
        <v>13615</v>
      </c>
      <c r="F90" s="212"/>
      <c r="G90" s="210" t="s">
        <v>13616</v>
      </c>
      <c r="H90" s="170"/>
      <c r="I90" s="170"/>
      <c r="J90" s="156" t="s">
        <v>6914</v>
      </c>
      <c r="K90" s="156"/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IFERROR(__xludf.DUMMYFUNCTION("ifna(VALUE(REGEXEXTRACT(E90,""[0-9.]+[,]+[0-9]+"")))"),225.0)</f>
        <v>225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1844604.0</v>
      </c>
      <c r="C91" s="14">
        <v>45997.89465277778</v>
      </c>
      <c r="D91" s="210" t="s">
        <v>101</v>
      </c>
      <c r="E91" s="211" t="s">
        <v>786</v>
      </c>
      <c r="F91" s="212"/>
      <c r="G91" s="210" t="s">
        <v>12998</v>
      </c>
      <c r="H91" s="170"/>
      <c r="I91" s="170"/>
      <c r="J91" s="156" t="s">
        <v>10036</v>
      </c>
      <c r="K91" s="156"/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IFERROR(__xludf.DUMMYFUNCTION("ifna(VALUE(REGEXEXTRACT(E91,""[0-9.]+[,]+[0-9]+"")))"),130.0)</f>
        <v>130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1844605.0</v>
      </c>
      <c r="C92" s="14">
        <v>45997.894849537035</v>
      </c>
      <c r="D92" s="210" t="s">
        <v>101</v>
      </c>
      <c r="E92" s="211" t="s">
        <v>786</v>
      </c>
      <c r="F92" s="214"/>
      <c r="G92" s="210" t="s">
        <v>13621</v>
      </c>
      <c r="H92" s="170"/>
      <c r="I92" s="170"/>
      <c r="J92" s="156" t="s">
        <v>10036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IFERROR(__xludf.DUMMYFUNCTION("ifna(VALUE(REGEXEXTRACT(E92,""[0-9.]+[,]+[0-9]+"")))"),130.0)</f>
        <v>130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1844611.0</v>
      </c>
      <c r="C93" s="14">
        <v>45997.89555555556</v>
      </c>
      <c r="D93" s="210" t="s">
        <v>101</v>
      </c>
      <c r="E93" s="211" t="s">
        <v>231</v>
      </c>
      <c r="F93" s="212"/>
      <c r="G93" s="210" t="s">
        <v>13623</v>
      </c>
      <c r="H93" s="170"/>
      <c r="I93" s="170"/>
      <c r="J93" s="156" t="s">
        <v>6914</v>
      </c>
      <c r="K93" s="156"/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IFERROR(__xludf.DUMMYFUNCTION("ifna(VALUE(REGEXEXTRACT(E93,""[0-9.]+[,]+[0-9]+"")))"),10.0)</f>
        <v>10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1844662.0</v>
      </c>
      <c r="C94" s="14">
        <v>45997.904756944445</v>
      </c>
      <c r="D94" s="210" t="s">
        <v>101</v>
      </c>
      <c r="E94" s="211" t="s">
        <v>13625</v>
      </c>
      <c r="F94" s="212"/>
      <c r="G94" s="210" t="s">
        <v>13626</v>
      </c>
      <c r="H94" s="170"/>
      <c r="I94" s="170"/>
      <c r="J94" s="156" t="s">
        <v>12720</v>
      </c>
      <c r="K94" s="156"/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IFERROR(__xludf.DUMMYFUNCTION("ifna(VALUE(REGEXEXTRACT(E94,""[0-9.]+[,]+[0-9]+"")))"),98.22)</f>
        <v>98.22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1844888.0</v>
      </c>
      <c r="C95" s="14">
        <v>45997.923738425925</v>
      </c>
      <c r="D95" s="210" t="s">
        <v>101</v>
      </c>
      <c r="E95" s="211" t="s">
        <v>256</v>
      </c>
      <c r="F95" s="212"/>
      <c r="G95" s="210" t="s">
        <v>13629</v>
      </c>
      <c r="H95" s="170"/>
      <c r="I95" s="170"/>
      <c r="J95" s="156" t="s">
        <v>12952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IFERROR(__xludf.DUMMYFUNCTION("ifna(VALUE(REGEXEXTRACT(E95,""[0-9.]+[,]+[0-9]+"")))"),300.0)</f>
        <v>300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1844902.0</v>
      </c>
      <c r="C96" s="14">
        <v>45997.92474537037</v>
      </c>
      <c r="D96" s="210" t="s">
        <v>101</v>
      </c>
      <c r="E96" s="211" t="s">
        <v>13630</v>
      </c>
      <c r="F96" s="212"/>
      <c r="G96" s="210" t="s">
        <v>13632</v>
      </c>
      <c r="H96" s="170"/>
      <c r="I96" s="170"/>
      <c r="J96" s="156" t="s">
        <v>12778</v>
      </c>
      <c r="K96" s="156" t="s">
        <v>199</v>
      </c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IFERROR(__xludf.DUMMYFUNCTION("ifna(VALUE(REGEXEXTRACT(E96,""[0-9.]+[,]+[0-9]+"")))"),2350.0)</f>
        <v>2350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1845914.0</v>
      </c>
      <c r="C97" s="14">
        <v>45998.59248842593</v>
      </c>
      <c r="D97" s="210" t="s">
        <v>139</v>
      </c>
      <c r="E97" s="211" t="s">
        <v>13635</v>
      </c>
      <c r="F97" s="212"/>
      <c r="G97" s="210" t="s">
        <v>12927</v>
      </c>
      <c r="H97" s="170"/>
      <c r="I97" s="170"/>
      <c r="J97" s="156" t="s">
        <v>12952</v>
      </c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IFERROR(__xludf.DUMMYFUNCTION("ifna(VALUE(REGEXEXTRACT(E97,""[0-9.]+[,]+[0-9]+"")))"),260.0)</f>
        <v>260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1847799.0</v>
      </c>
      <c r="C98" s="14">
        <v>45998.90362268518</v>
      </c>
      <c r="D98" s="210" t="s">
        <v>101</v>
      </c>
      <c r="E98" s="211" t="s">
        <v>13636</v>
      </c>
      <c r="F98" s="212"/>
      <c r="G98" s="210" t="s">
        <v>13637</v>
      </c>
      <c r="H98" s="170"/>
      <c r="I98" s="170"/>
      <c r="J98" s="156" t="s">
        <v>6914</v>
      </c>
      <c r="K98" s="156"/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IFERROR(__xludf.DUMMYFUNCTION("ifna(VALUE(REGEXEXTRACT(E98,""[0-9.]+[,]+[0-9]+"")))"),322.0)</f>
        <v>322</v>
      </c>
      <c r="O98" s="181" t="s">
        <v>13284</v>
      </c>
      <c r="W98" s="159"/>
    </row>
    <row r="99" ht="14.25" customHeight="1">
      <c r="A99" s="149"/>
      <c r="B99" s="13">
        <v>1847802.0</v>
      </c>
      <c r="C99" s="14">
        <v>45998.90380787037</v>
      </c>
      <c r="D99" s="210" t="s">
        <v>101</v>
      </c>
      <c r="E99" s="211" t="s">
        <v>786</v>
      </c>
      <c r="F99" s="212"/>
      <c r="G99" s="210" t="s">
        <v>13639</v>
      </c>
      <c r="H99" s="170"/>
      <c r="I99" s="170"/>
      <c r="J99" s="156" t="s">
        <v>10036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IFERROR(__xludf.DUMMYFUNCTION("ifna(VALUE(REGEXEXTRACT(E99,""[0-9.]+[,]+[0-9]+"")))"),130.0)</f>
        <v>130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1847803.0</v>
      </c>
      <c r="C100" s="14">
        <v>45998.90400462963</v>
      </c>
      <c r="D100" s="210" t="s">
        <v>101</v>
      </c>
      <c r="E100" s="211" t="s">
        <v>13209</v>
      </c>
      <c r="F100" s="212"/>
      <c r="G100" s="210" t="s">
        <v>13621</v>
      </c>
      <c r="H100" s="170"/>
      <c r="I100" s="170"/>
      <c r="J100" s="156" t="s">
        <v>10036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IFERROR(__xludf.DUMMYFUNCTION("ifna(VALUE(REGEXEXTRACT(E100,""[0-9.]+[,]+[0-9]+"")))"),117.0)</f>
        <v>117</v>
      </c>
      <c r="O100" s="222"/>
      <c r="P100" s="186"/>
      <c r="Q100" s="185"/>
      <c r="R100" s="187"/>
      <c r="S100" s="185"/>
      <c r="V100" s="185"/>
      <c r="W100" s="159"/>
    </row>
    <row r="101" ht="14.25" customHeight="1">
      <c r="A101" s="149"/>
      <c r="B101" s="13">
        <v>1847804.0</v>
      </c>
      <c r="C101" s="14">
        <v>45998.904282407406</v>
      </c>
      <c r="D101" s="210" t="s">
        <v>101</v>
      </c>
      <c r="E101" s="211" t="s">
        <v>13209</v>
      </c>
      <c r="F101" s="212"/>
      <c r="G101" s="210" t="s">
        <v>12901</v>
      </c>
      <c r="H101" s="170"/>
      <c r="I101" s="170"/>
      <c r="J101" s="156" t="s">
        <v>10036</v>
      </c>
      <c r="K101" s="156"/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IFERROR(__xludf.DUMMYFUNCTION("ifna(VALUE(REGEXEXTRACT(E101,""[0-9.]+[,]+[0-9]+"")))"),117.0)</f>
        <v>117</v>
      </c>
      <c r="O101" s="188"/>
      <c r="P101" s="189"/>
      <c r="Q101" s="188"/>
      <c r="R101" s="190"/>
      <c r="S101" s="188"/>
      <c r="V101" s="188"/>
      <c r="W101" s="159"/>
    </row>
    <row r="102" ht="14.25" customHeight="1">
      <c r="A102" s="149"/>
      <c r="B102" s="13">
        <v>1848345.0</v>
      </c>
      <c r="C102" s="14">
        <v>45998.937418981484</v>
      </c>
      <c r="D102" s="210" t="s">
        <v>101</v>
      </c>
      <c r="E102" s="211" t="s">
        <v>13641</v>
      </c>
      <c r="F102" s="214"/>
      <c r="G102" s="210" t="s">
        <v>13642</v>
      </c>
      <c r="H102" s="170"/>
      <c r="I102" s="170"/>
      <c r="J102" s="156" t="s">
        <v>12778</v>
      </c>
      <c r="K102" s="156" t="s">
        <v>12666</v>
      </c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"),"Confirmada")</f>
        <v>Confirmada</v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IFERROR(__xludf.DUMMYFUNCTION("ifna(VALUE(REGEXEXTRACT(E102,""[0-9.]+[,]+[0-9]+"")))"),2850.0)</f>
        <v>2850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1849100.0</v>
      </c>
      <c r="C103" s="14">
        <v>45999.558229166665</v>
      </c>
      <c r="D103" s="210" t="s">
        <v>139</v>
      </c>
      <c r="E103" s="211" t="s">
        <v>13589</v>
      </c>
      <c r="F103" s="212"/>
      <c r="G103" s="210" t="s">
        <v>13643</v>
      </c>
      <c r="H103" s="170"/>
      <c r="I103" s="170"/>
      <c r="J103" s="156" t="s">
        <v>12778</v>
      </c>
      <c r="K103" s="156" t="s">
        <v>12666</v>
      </c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IFERROR(__xludf.DUMMYFUNCTION("ifna(VALUE(REGEXEXTRACT(E103,""[0-9.]+[,]+[0-9]+"")))"),1210.0)</f>
        <v>1210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1850097.0</v>
      </c>
      <c r="C104" s="14">
        <v>45999.86508101852</v>
      </c>
      <c r="D104" s="210" t="s">
        <v>101</v>
      </c>
      <c r="E104" s="211" t="s">
        <v>256</v>
      </c>
      <c r="F104" s="212"/>
      <c r="G104" s="210" t="s">
        <v>13644</v>
      </c>
      <c r="H104" s="170"/>
      <c r="I104" s="170"/>
      <c r="J104" s="156" t="s">
        <v>12952</v>
      </c>
      <c r="K104" s="156"/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IFERROR(__xludf.DUMMYFUNCTION("ifna(VALUE(REGEXEXTRACT(E104,""[0-9.]+[,]+[0-9]+"")))"),300.0)</f>
        <v>300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1850100.0</v>
      </c>
      <c r="C105" s="14">
        <v>45999.865324074075</v>
      </c>
      <c r="D105" s="210" t="s">
        <v>101</v>
      </c>
      <c r="E105" s="211" t="s">
        <v>1983</v>
      </c>
      <c r="F105" s="212"/>
      <c r="G105" s="210" t="s">
        <v>13646</v>
      </c>
      <c r="H105" s="170"/>
      <c r="I105" s="170"/>
      <c r="J105" s="156" t="s">
        <v>10036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IFERROR(__xludf.DUMMYFUNCTION("ifna(VALUE(REGEXEXTRACT(E105,""[0-9.]+[,]+[0-9]+"")))"),78.0)</f>
        <v>78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1850101.0</v>
      </c>
      <c r="C106" s="14">
        <v>45999.865752314814</v>
      </c>
      <c r="D106" s="210" t="s">
        <v>101</v>
      </c>
      <c r="E106" s="211" t="s">
        <v>586</v>
      </c>
      <c r="F106" s="212"/>
      <c r="G106" s="210" t="s">
        <v>13647</v>
      </c>
      <c r="H106" s="170"/>
      <c r="I106" s="170"/>
      <c r="J106" s="156" t="s">
        <v>6914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IFERROR(__xludf.DUMMYFUNCTION("ifna(VALUE(REGEXEXTRACT(E106,""[0-9.]+[,]+[0-9]+"")))"),120.0)</f>
        <v>120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1850563.0</v>
      </c>
      <c r="C107" s="14">
        <v>45999.943078703705</v>
      </c>
      <c r="D107" s="210" t="s">
        <v>101</v>
      </c>
      <c r="E107" s="211" t="s">
        <v>312</v>
      </c>
      <c r="F107" s="212"/>
      <c r="G107" s="210" t="s">
        <v>13651</v>
      </c>
      <c r="H107" s="170"/>
      <c r="I107" s="170"/>
      <c r="J107" s="156" t="s">
        <v>12778</v>
      </c>
      <c r="K107" s="156" t="s">
        <v>12666</v>
      </c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"),"Confirmada")</f>
        <v>Confirmada</v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IFERROR(__xludf.DUMMYFUNCTION("ifna(VALUE(REGEXEXTRACT(E107,""[0-9.]+[,]+[0-9]+"")))"),1000.0)</f>
        <v>1000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1850566.0</v>
      </c>
      <c r="C108" s="14">
        <v>45999.94335648148</v>
      </c>
      <c r="D108" s="210" t="s">
        <v>101</v>
      </c>
      <c r="E108" s="211" t="s">
        <v>398</v>
      </c>
      <c r="F108" s="214"/>
      <c r="G108" s="210" t="s">
        <v>13654</v>
      </c>
      <c r="H108" s="170"/>
      <c r="I108" s="170"/>
      <c r="J108" s="156" t="s">
        <v>6914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IFERROR(__xludf.DUMMYFUNCTION("ifna(VALUE(REGEXEXTRACT(E108,""[0-9.]+[,]+[0-9]+"")))"),12.0)</f>
        <v>12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1852029.0</v>
      </c>
      <c r="C109" s="14">
        <v>46000.93798611111</v>
      </c>
      <c r="D109" s="210" t="s">
        <v>101</v>
      </c>
      <c r="E109" s="211" t="s">
        <v>586</v>
      </c>
      <c r="F109" s="212"/>
      <c r="G109" s="210" t="s">
        <v>13514</v>
      </c>
      <c r="H109" s="170"/>
      <c r="I109" s="170"/>
      <c r="J109" s="156" t="s">
        <v>6914</v>
      </c>
      <c r="K109" s="156"/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IFERROR(__xludf.DUMMYFUNCTION("ifna(VALUE(REGEXEXTRACT(E109,""[0-9.]+[,]+[0-9]+"")))"),120.0)</f>
        <v>120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1852032.0</v>
      </c>
      <c r="C110" s="14">
        <v>46000.93880787037</v>
      </c>
      <c r="D110" s="210" t="s">
        <v>101</v>
      </c>
      <c r="E110" s="211" t="s">
        <v>364</v>
      </c>
      <c r="F110" s="212"/>
      <c r="G110" s="210" t="s">
        <v>13661</v>
      </c>
      <c r="H110" s="170"/>
      <c r="I110" s="170"/>
      <c r="J110" s="156" t="s">
        <v>12778</v>
      </c>
      <c r="K110" s="156" t="s">
        <v>12666</v>
      </c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"),"Caixa Atendimento")</f>
        <v>Caixa Atendimento</v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IFERROR(__xludf.DUMMYFUNCTION("ifna(VALUE(REGEXEXTRACT(E110,""[0-9.]+[,]+[0-9]+"")))"),600.0)</f>
        <v>600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1852391.0</v>
      </c>
      <c r="C111" s="14">
        <v>46001.58803240741</v>
      </c>
      <c r="D111" s="210" t="s">
        <v>139</v>
      </c>
      <c r="E111" s="211" t="s">
        <v>364</v>
      </c>
      <c r="F111" s="212"/>
      <c r="G111" s="210" t="s">
        <v>13664</v>
      </c>
      <c r="H111" s="170"/>
      <c r="I111" s="170"/>
      <c r="J111" s="156" t="s">
        <v>12778</v>
      </c>
      <c r="K111" s="156" t="s">
        <v>12666</v>
      </c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IFERROR(__xludf.DUMMYFUNCTION("ifna(VALUE(REGEXEXTRACT(E111,""[0-9.]+[,]+[0-9]+"")))"),600.0)</f>
        <v>600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1852393.0</v>
      </c>
      <c r="C112" s="14">
        <v>46001.588425925926</v>
      </c>
      <c r="D112" s="210" t="s">
        <v>101</v>
      </c>
      <c r="E112" s="211" t="s">
        <v>213</v>
      </c>
      <c r="F112" s="212"/>
      <c r="G112" s="210" t="s">
        <v>13296</v>
      </c>
      <c r="H112" s="170"/>
      <c r="I112" s="170"/>
      <c r="J112" s="156" t="s">
        <v>12952</v>
      </c>
      <c r="K112" s="156"/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IFERROR(__xludf.DUMMYFUNCTION("ifna(VALUE(REGEXEXTRACT(E112,""[0-9.]+[,]+[0-9]+"")))"),200.0)</f>
        <v>200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1852628.0</v>
      </c>
      <c r="C113" s="14">
        <v>46001.691712962966</v>
      </c>
      <c r="D113" s="210" t="s">
        <v>101</v>
      </c>
      <c r="E113" s="211" t="s">
        <v>786</v>
      </c>
      <c r="F113" s="212"/>
      <c r="G113" s="210" t="s">
        <v>13669</v>
      </c>
      <c r="H113" s="170"/>
      <c r="I113" s="170"/>
      <c r="J113" s="156" t="s">
        <v>12818</v>
      </c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159">
        <f>IFERROR(__xludf.DUMMYFUNCTION("ifna(VALUE(REGEXEXTRACT(E113,""[0-9.]+[,]+[0-9]+"")))"),130.0)</f>
        <v>130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1852632.0</v>
      </c>
      <c r="C114" s="14">
        <v>46001.695</v>
      </c>
      <c r="D114" s="210" t="s">
        <v>101</v>
      </c>
      <c r="E114" s="211" t="s">
        <v>779</v>
      </c>
      <c r="F114" s="212"/>
      <c r="G114" s="210" t="s">
        <v>4058</v>
      </c>
      <c r="H114" s="170"/>
      <c r="I114" s="170"/>
      <c r="J114" s="156" t="s">
        <v>12818</v>
      </c>
      <c r="K114" s="168"/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59">
        <f>IFERROR(__xludf.DUMMYFUNCTION("ifna(VALUE(REGEXEXTRACT(E114,""[0-9.]+[,]+[0-9]+"")))"),14.0)</f>
        <v>14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1852956.0</v>
      </c>
      <c r="C115" s="14">
        <v>46001.77049768518</v>
      </c>
      <c r="D115" s="210" t="s">
        <v>101</v>
      </c>
      <c r="E115" s="211" t="s">
        <v>237</v>
      </c>
      <c r="F115" s="212"/>
      <c r="G115" s="210" t="s">
        <v>13347</v>
      </c>
      <c r="H115" s="170"/>
      <c r="I115" s="170"/>
      <c r="J115" s="156" t="s">
        <v>6914</v>
      </c>
      <c r="K115" s="156"/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IFERROR(__xludf.DUMMYFUNCTION("ifna(VALUE(REGEXEXTRACT(E115,""[0-9.]+[,]+[0-9]+"")))"),100.0)</f>
        <v>100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1853093.0</v>
      </c>
      <c r="C116" s="14">
        <v>46001.81737268518</v>
      </c>
      <c r="D116" s="210" t="s">
        <v>101</v>
      </c>
      <c r="E116" s="211" t="s">
        <v>1006</v>
      </c>
      <c r="F116" s="212"/>
      <c r="G116" s="210" t="s">
        <v>13679</v>
      </c>
      <c r="H116" s="170"/>
      <c r="I116" s="170"/>
      <c r="J116" s="156" t="s">
        <v>10036</v>
      </c>
      <c r="K116" s="156"/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IFERROR(__xludf.DUMMYFUNCTION("ifna(VALUE(REGEXEXTRACT(E116,""[0-9.]+[,]+[0-9]+"")))"),68.0)</f>
        <v>68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1853147.0</v>
      </c>
      <c r="C117" s="14">
        <v>46001.835960648146</v>
      </c>
      <c r="D117" s="210" t="s">
        <v>101</v>
      </c>
      <c r="E117" s="211" t="s">
        <v>13681</v>
      </c>
      <c r="F117" s="212"/>
      <c r="G117" s="210" t="s">
        <v>13682</v>
      </c>
      <c r="H117" s="170"/>
      <c r="I117" s="170"/>
      <c r="J117" s="156" t="s">
        <v>12720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IFERROR(__xludf.DUMMYFUNCTION("ifna(VALUE(REGEXEXTRACT(E117,""[0-9.]+[,]+[0-9]+"")))"),105.01)</f>
        <v>105.01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1853226.0</v>
      </c>
      <c r="C118" s="14">
        <v>46001.865</v>
      </c>
      <c r="D118" s="210" t="s">
        <v>101</v>
      </c>
      <c r="E118" s="211" t="s">
        <v>306</v>
      </c>
      <c r="F118" s="214"/>
      <c r="G118" s="210" t="s">
        <v>13541</v>
      </c>
      <c r="H118" s="170"/>
      <c r="I118" s="170"/>
      <c r="J118" s="156" t="s">
        <v>6914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IFERROR(__xludf.DUMMYFUNCTION("ifna(VALUE(REGEXEXTRACT(E118,""[0-9.]+[,]+[0-9]+"")))"),22.0)</f>
        <v>22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1853625.0</v>
      </c>
      <c r="C119" s="14">
        <v>46001.93714120371</v>
      </c>
      <c r="D119" s="210" t="s">
        <v>101</v>
      </c>
      <c r="E119" s="211" t="s">
        <v>256</v>
      </c>
      <c r="F119" s="214"/>
      <c r="G119" s="210" t="s">
        <v>13684</v>
      </c>
      <c r="H119" s="170"/>
      <c r="I119" s="170"/>
      <c r="J119" s="156" t="s">
        <v>12778</v>
      </c>
      <c r="K119" s="156" t="s">
        <v>12666</v>
      </c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"),"Caixa Atendimento")</f>
        <v>Caixa Atendimento</v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IFERROR(__xludf.DUMMYFUNCTION("ifna(VALUE(REGEXEXTRACT(E119,""[0-9.]+[,]+[0-9]+"")))"),300.0)</f>
        <v>300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1854077.0</v>
      </c>
      <c r="C120" s="14">
        <v>46002.584398148145</v>
      </c>
      <c r="D120" s="210" t="s">
        <v>101</v>
      </c>
      <c r="E120" s="211" t="s">
        <v>13686</v>
      </c>
      <c r="F120" s="212"/>
      <c r="G120" s="210" t="s">
        <v>13687</v>
      </c>
      <c r="H120" s="153"/>
      <c r="I120" s="170"/>
      <c r="J120" s="156" t="s">
        <v>13571</v>
      </c>
      <c r="K120" s="156"/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IFERROR(__xludf.DUMMYFUNCTION("ifna(VALUE(REGEXEXTRACT(E120,""[0-9.]+[,]+[0-9]+"")))"),100.99)</f>
        <v>100.99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1854775.0</v>
      </c>
      <c r="C121" s="14">
        <v>46002.76436342593</v>
      </c>
      <c r="D121" s="210" t="s">
        <v>139</v>
      </c>
      <c r="E121" s="211" t="s">
        <v>256</v>
      </c>
      <c r="F121" s="212"/>
      <c r="G121" s="210" t="s">
        <v>13688</v>
      </c>
      <c r="H121" s="153"/>
      <c r="I121" s="170"/>
      <c r="J121" s="156" t="s">
        <v>12778</v>
      </c>
      <c r="K121" s="156" t="s">
        <v>12666</v>
      </c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IFERROR(__xludf.DUMMYFUNCTION("ifna(VALUE(REGEXEXTRACT(E121,""[0-9.]+[,]+[0-9]+"")))"),300.0)</f>
        <v>300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1855102.0</v>
      </c>
      <c r="C122" s="14">
        <v>46002.85818287037</v>
      </c>
      <c r="D122" s="210" t="s">
        <v>101</v>
      </c>
      <c r="E122" s="211" t="s">
        <v>13690</v>
      </c>
      <c r="F122" s="212"/>
      <c r="G122" s="210" t="s">
        <v>13691</v>
      </c>
      <c r="H122" s="153"/>
      <c r="I122" s="170"/>
      <c r="J122" s="156" t="s">
        <v>12818</v>
      </c>
      <c r="K122" s="156"/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"""")"),"Encontrada")</f>
        <v>Encontrada</v>
      </c>
      <c r="N122" s="159">
        <f>IFERROR(__xludf.DUMMYFUNCTION("ifna(VALUE(REGEXEXTRACT(E122,""[0-9.]+[,]+[0-9]+"")))"),22.73)</f>
        <v>22.73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1855106.0</v>
      </c>
      <c r="C123" s="14">
        <v>46002.85849537037</v>
      </c>
      <c r="D123" s="210" t="s">
        <v>101</v>
      </c>
      <c r="E123" s="211" t="s">
        <v>13693</v>
      </c>
      <c r="F123" s="212"/>
      <c r="G123" s="210" t="s">
        <v>13695</v>
      </c>
      <c r="H123" s="153"/>
      <c r="I123" s="170"/>
      <c r="J123" s="156" t="s">
        <v>12818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159">
        <f>IFERROR(__xludf.DUMMYFUNCTION("ifna(VALUE(REGEXEXTRACT(E123,""[0-9.]+[,]+[0-9]+"")))"),48.74)</f>
        <v>48.74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1855113.0</v>
      </c>
      <c r="C124" s="14">
        <v>46002.86083333333</v>
      </c>
      <c r="D124" s="210" t="s">
        <v>101</v>
      </c>
      <c r="E124" s="211" t="s">
        <v>885</v>
      </c>
      <c r="F124" s="212"/>
      <c r="G124" s="210" t="s">
        <v>13347</v>
      </c>
      <c r="H124" s="153"/>
      <c r="I124" s="170"/>
      <c r="J124" s="156" t="s">
        <v>6914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IFERROR(__xludf.DUMMYFUNCTION("ifna(VALUE(REGEXEXTRACT(E124,""[0-9.]+[,]+[0-9]+"")))"),81.0)</f>
        <v>81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1855366.0</v>
      </c>
      <c r="C125" s="14">
        <v>46002.91388888889</v>
      </c>
      <c r="D125" s="210" t="s">
        <v>101</v>
      </c>
      <c r="E125" s="211" t="s">
        <v>210</v>
      </c>
      <c r="F125" s="212"/>
      <c r="G125" s="210" t="s">
        <v>13605</v>
      </c>
      <c r="H125" s="153"/>
      <c r="I125" s="170"/>
      <c r="J125" s="156" t="s">
        <v>6914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IFERROR(__xludf.DUMMYFUNCTION("ifna(VALUE(REGEXEXTRACT(E125,""[0-9.]+[,]+[0-9]+"")))"),40.0)</f>
        <v>40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1855620.0</v>
      </c>
      <c r="C126" s="14">
        <v>46002.940462962964</v>
      </c>
      <c r="D126" s="210" t="s">
        <v>101</v>
      </c>
      <c r="E126" s="211" t="s">
        <v>13703</v>
      </c>
      <c r="F126" s="212"/>
      <c r="G126" s="210" t="s">
        <v>13704</v>
      </c>
      <c r="H126" s="153"/>
      <c r="I126" s="170"/>
      <c r="J126" s="156" t="s">
        <v>12778</v>
      </c>
      <c r="K126" s="156" t="s">
        <v>12666</v>
      </c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"),"Caixa Atendimento")</f>
        <v>Caixa Atendimento</v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IFERROR(__xludf.DUMMYFUNCTION("ifna(VALUE(REGEXEXTRACT(E126,""[0-9.]+[,]+[0-9]+"")))"),1080.0)</f>
        <v>1080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1855640.0</v>
      </c>
      <c r="C127" s="14">
        <v>46002.943923611114</v>
      </c>
      <c r="D127" s="210" t="s">
        <v>101</v>
      </c>
      <c r="E127" s="211" t="s">
        <v>477</v>
      </c>
      <c r="F127" s="212"/>
      <c r="G127" s="210" t="s">
        <v>12901</v>
      </c>
      <c r="H127" s="153"/>
      <c r="I127" s="170"/>
      <c r="J127" s="156" t="s">
        <v>10036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IFERROR(__xludf.DUMMYFUNCTION("ifna(VALUE(REGEXEXTRACT(E127,""[0-9.]+[,]+[0-9]+"")))"),73.0)</f>
        <v>73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1856354.0</v>
      </c>
      <c r="C128" s="14">
        <v>46003.64449074074</v>
      </c>
      <c r="D128" s="210" t="s">
        <v>101</v>
      </c>
      <c r="E128" s="211" t="s">
        <v>13708</v>
      </c>
      <c r="F128" s="212"/>
      <c r="G128" s="210" t="s">
        <v>3109</v>
      </c>
      <c r="H128" s="153"/>
      <c r="I128" s="170"/>
      <c r="J128" s="156" t="s">
        <v>12818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59">
        <f>IFERROR(__xludf.DUMMYFUNCTION("ifna(VALUE(REGEXEXTRACT(E128,""[0-9.]+[,]+[0-9]+"")))"),68.07)</f>
        <v>68.07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1856358.0</v>
      </c>
      <c r="C129" s="14">
        <v>46003.64538194444</v>
      </c>
      <c r="D129" s="210" t="s">
        <v>101</v>
      </c>
      <c r="E129" s="211" t="s">
        <v>13709</v>
      </c>
      <c r="F129" s="214"/>
      <c r="G129" s="210" t="s">
        <v>13711</v>
      </c>
      <c r="H129" s="153"/>
      <c r="I129" s="170"/>
      <c r="J129" s="156" t="s">
        <v>12818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59">
        <f>IFERROR(__xludf.DUMMYFUNCTION("ifna(VALUE(REGEXEXTRACT(E129,""[0-9.]+[,]+[0-9]+"")))"),531.0)</f>
        <v>531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1856360.0</v>
      </c>
      <c r="C130" s="14">
        <v>46003.64581018518</v>
      </c>
      <c r="D130" s="210" t="s">
        <v>139</v>
      </c>
      <c r="E130" s="211" t="s">
        <v>13703</v>
      </c>
      <c r="F130" s="212"/>
      <c r="G130" s="210" t="s">
        <v>13704</v>
      </c>
      <c r="H130" s="170"/>
      <c r="I130" s="170"/>
      <c r="J130" s="156" t="s">
        <v>12778</v>
      </c>
      <c r="K130" s="156" t="s">
        <v>12666</v>
      </c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IFERROR(__xludf.DUMMYFUNCTION("ifna(VALUE(REGEXEXTRACT(E130,""[0-9.]+[,]+[0-9]+"")))"),1080.0)</f>
        <v>1080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1857087.0</v>
      </c>
      <c r="C131" s="14">
        <v>46003.85559027778</v>
      </c>
      <c r="D131" s="210" t="s">
        <v>101</v>
      </c>
      <c r="E131" s="211" t="s">
        <v>1045</v>
      </c>
      <c r="F131" s="212"/>
      <c r="G131" s="210" t="s">
        <v>12901</v>
      </c>
      <c r="H131" s="170"/>
      <c r="I131" s="170"/>
      <c r="J131" s="156" t="s">
        <v>10036</v>
      </c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IFERROR(__xludf.DUMMYFUNCTION("ifna(VALUE(REGEXEXTRACT(E131,""[0-9.]+[,]+[0-9]+"")))"),91.0)</f>
        <v>91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1857090.0</v>
      </c>
      <c r="C132" s="14">
        <v>46003.85607638889</v>
      </c>
      <c r="D132" s="210" t="s">
        <v>101</v>
      </c>
      <c r="E132" s="211" t="s">
        <v>13716</v>
      </c>
      <c r="F132" s="212"/>
      <c r="G132" s="210" t="s">
        <v>13347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IFERROR(__xludf.DUMMYFUNCTION("ifna(VALUE(REGEXEXTRACT(E132,""[0-9.]+[,]+[0-9]+"")))"),103.0)</f>
        <v>103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1857187.0</v>
      </c>
      <c r="C133" s="14">
        <v>46003.88079861111</v>
      </c>
      <c r="D133" s="210" t="s">
        <v>101</v>
      </c>
      <c r="E133" s="211" t="s">
        <v>1514</v>
      </c>
      <c r="F133" s="212"/>
      <c r="G133" s="210" t="s">
        <v>13718</v>
      </c>
      <c r="H133" s="170"/>
      <c r="I133" s="170"/>
      <c r="J133" s="156" t="s">
        <v>6914</v>
      </c>
      <c r="K133" s="156"/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IFERROR(__xludf.DUMMYFUNCTION("ifna(VALUE(REGEXEXTRACT(E133,""[0-9.]+[,]+[0-9]+"")))"),51.0)</f>
        <v>51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1857518.0</v>
      </c>
      <c r="C134" s="14">
        <v>46003.93913194445</v>
      </c>
      <c r="D134" s="210" t="s">
        <v>101</v>
      </c>
      <c r="E134" s="211" t="s">
        <v>13720</v>
      </c>
      <c r="F134" s="212"/>
      <c r="G134" s="210" t="s">
        <v>13721</v>
      </c>
      <c r="H134" s="170"/>
      <c r="I134" s="170"/>
      <c r="J134" s="156" t="s">
        <v>12778</v>
      </c>
      <c r="K134" s="156" t="s">
        <v>12666</v>
      </c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"),"Caixa Atendimento")</f>
        <v>Caixa Atendimento</v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IFERROR(__xludf.DUMMYFUNCTION("ifna(VALUE(REGEXEXTRACT(E134,""[0-9.]+[,]+[0-9]+"")))"),540.0)</f>
        <v>540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1858084.0</v>
      </c>
      <c r="C135" s="14">
        <v>46004.60488425926</v>
      </c>
      <c r="D135" s="210" t="s">
        <v>139</v>
      </c>
      <c r="E135" s="211" t="s">
        <v>13720</v>
      </c>
      <c r="F135" s="212"/>
      <c r="G135" s="210" t="s">
        <v>13723</v>
      </c>
      <c r="H135" s="170"/>
      <c r="I135" s="170"/>
      <c r="J135" s="156" t="s">
        <v>12778</v>
      </c>
      <c r="K135" s="156" t="s">
        <v>12666</v>
      </c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IFERROR(__xludf.DUMMYFUNCTION("ifna(VALUE(REGEXEXTRACT(E135,""[0-9.]+[,]+[0-9]+"")))"),540.0)</f>
        <v>540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1858089.0</v>
      </c>
      <c r="C136" s="14">
        <v>46004.60768518518</v>
      </c>
      <c r="D136" s="210" t="s">
        <v>101</v>
      </c>
      <c r="E136" s="211" t="s">
        <v>291</v>
      </c>
      <c r="F136" s="212"/>
      <c r="G136" s="210" t="s">
        <v>12928</v>
      </c>
      <c r="H136" s="170"/>
      <c r="I136" s="170"/>
      <c r="J136" s="156" t="s">
        <v>12952</v>
      </c>
      <c r="K136" s="156"/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IFERROR(__xludf.DUMMYFUNCTION("ifna(VALUE(REGEXEXTRACT(E136,""[0-9.]+[,]+[0-9]+"")))"),250.0)</f>
        <v>250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1858099.0</v>
      </c>
      <c r="C137" s="14">
        <v>46004.61009259259</v>
      </c>
      <c r="D137" s="210" t="s">
        <v>101</v>
      </c>
      <c r="E137" s="211" t="s">
        <v>1246</v>
      </c>
      <c r="F137" s="212"/>
      <c r="G137" s="210" t="s">
        <v>12928</v>
      </c>
      <c r="H137" s="170"/>
      <c r="I137" s="170"/>
      <c r="J137" s="156" t="s">
        <v>12952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IFERROR(__xludf.DUMMYFUNCTION("ifna(VALUE(REGEXEXTRACT(E137,""[0-9.]+[,]+[0-9]+"")))"),114.0)</f>
        <v>114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1859288.0</v>
      </c>
      <c r="C138" s="14">
        <v>46004.883518518516</v>
      </c>
      <c r="D138" s="210" t="s">
        <v>101</v>
      </c>
      <c r="E138" s="211" t="s">
        <v>201</v>
      </c>
      <c r="F138" s="212"/>
      <c r="G138" s="210" t="s">
        <v>13464</v>
      </c>
      <c r="H138" s="170"/>
      <c r="I138" s="170"/>
      <c r="J138" s="156" t="s">
        <v>6914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IFERROR(__xludf.DUMMYFUNCTION("ifna(VALUE(REGEXEXTRACT(E138,""[0-9.]+[,]+[0-9]+"")))"),150.0)</f>
        <v>150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1859304.0</v>
      </c>
      <c r="C139" s="14">
        <v>46004.88712962963</v>
      </c>
      <c r="D139" s="210" t="s">
        <v>101</v>
      </c>
      <c r="E139" s="211" t="s">
        <v>12982</v>
      </c>
      <c r="F139" s="214"/>
      <c r="G139" s="210" t="s">
        <v>12901</v>
      </c>
      <c r="H139" s="170"/>
      <c r="I139" s="170"/>
      <c r="J139" s="156" t="s">
        <v>10036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IFERROR(__xludf.DUMMYFUNCTION("ifna(VALUE(REGEXEXTRACT(E139,""[0-9.]+[,]+[0-9]+"")))"),118.0)</f>
        <v>118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1859309.0</v>
      </c>
      <c r="C140" s="14">
        <v>46004.8875462963</v>
      </c>
      <c r="D140" s="210" t="s">
        <v>101</v>
      </c>
      <c r="E140" s="211" t="s">
        <v>786</v>
      </c>
      <c r="F140" s="212"/>
      <c r="G140" s="210" t="s">
        <v>13729</v>
      </c>
      <c r="H140" s="170"/>
      <c r="I140" s="170"/>
      <c r="J140" s="156" t="s">
        <v>10036</v>
      </c>
      <c r="K140" s="156"/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IFERROR(__xludf.DUMMYFUNCTION("ifna(VALUE(REGEXEXTRACT(E140,""[0-9.]+[,]+[0-9]+"")))"),130.0)</f>
        <v>130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1859311.0</v>
      </c>
      <c r="C141" s="14">
        <v>46004.887719907405</v>
      </c>
      <c r="D141" s="210" t="s">
        <v>101</v>
      </c>
      <c r="E141" s="211" t="s">
        <v>786</v>
      </c>
      <c r="F141" s="212"/>
      <c r="G141" s="210" t="s">
        <v>13639</v>
      </c>
      <c r="H141" s="170"/>
      <c r="I141" s="170"/>
      <c r="J141" s="156" t="s">
        <v>10036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59">
        <f>IFERROR(__xludf.DUMMYFUNCTION("ifna(VALUE(REGEXEXTRACT(E141,""[0-9.]+[,]+[0-9]+"")))"),130.0)</f>
        <v>130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1859330.0</v>
      </c>
      <c r="C142" s="14">
        <v>46004.891388888886</v>
      </c>
      <c r="D142" s="210" t="s">
        <v>101</v>
      </c>
      <c r="E142" s="211" t="s">
        <v>440</v>
      </c>
      <c r="F142" s="212"/>
      <c r="G142" s="210" t="s">
        <v>13475</v>
      </c>
      <c r="H142" s="170"/>
      <c r="I142" s="170"/>
      <c r="J142" s="156" t="s">
        <v>6914</v>
      </c>
      <c r="K142" s="156"/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IFERROR(__xludf.DUMMYFUNCTION("ifna(VALUE(REGEXEXTRACT(E142,""[0-9.]+[,]+[0-9]+"")))"),74.0)</f>
        <v>74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1859687.0</v>
      </c>
      <c r="C143" s="14">
        <v>46004.92820601852</v>
      </c>
      <c r="D143" s="210" t="s">
        <v>101</v>
      </c>
      <c r="E143" s="211" t="s">
        <v>13734</v>
      </c>
      <c r="F143" s="212"/>
      <c r="G143" s="210" t="s">
        <v>13735</v>
      </c>
      <c r="H143" s="170"/>
      <c r="I143" s="170"/>
      <c r="J143" s="156" t="s">
        <v>12778</v>
      </c>
      <c r="K143" s="156" t="s">
        <v>12666</v>
      </c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"),"Confirmada")</f>
        <v>Confirmada</v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IFERROR(__xludf.DUMMYFUNCTION("ifna(VALUE(REGEXEXTRACT(E143,""[0-9.]+[,]+[0-9]+"")))"),2270.0)</f>
        <v>2270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1862474.0</v>
      </c>
      <c r="C144" s="14">
        <v>46005.92623842593</v>
      </c>
      <c r="D144" s="210" t="s">
        <v>101</v>
      </c>
      <c r="E144" s="211" t="s">
        <v>786</v>
      </c>
      <c r="F144" s="212"/>
      <c r="G144" s="210" t="s">
        <v>13639</v>
      </c>
      <c r="H144" s="170"/>
      <c r="I144" s="170"/>
      <c r="J144" s="156" t="s">
        <v>10036</v>
      </c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IFERROR(__xludf.DUMMYFUNCTION("ifna(VALUE(REGEXEXTRACT(E144,""[0-9.]+[,]+[0-9]+"")))"),130.0)</f>
        <v>130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1862483.0</v>
      </c>
      <c r="C145" s="14">
        <v>46005.926724537036</v>
      </c>
      <c r="D145" s="210" t="s">
        <v>101</v>
      </c>
      <c r="E145" s="211" t="s">
        <v>786</v>
      </c>
      <c r="F145" s="212"/>
      <c r="G145" s="210" t="s">
        <v>12901</v>
      </c>
      <c r="H145" s="170"/>
      <c r="I145" s="170"/>
      <c r="J145" s="156" t="s">
        <v>10036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IFERROR(__xludf.DUMMYFUNCTION("ifna(VALUE(REGEXEXTRACT(E145,""[0-9.]+[,]+[0-9]+"")))"),130.0)</f>
        <v>130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1862489.0</v>
      </c>
      <c r="C146" s="14">
        <v>46005.92695601852</v>
      </c>
      <c r="D146" s="210" t="s">
        <v>101</v>
      </c>
      <c r="E146" s="211" t="s">
        <v>786</v>
      </c>
      <c r="F146" s="212"/>
      <c r="G146" s="210" t="s">
        <v>13729</v>
      </c>
      <c r="H146" s="170"/>
      <c r="I146" s="170"/>
      <c r="J146" s="156" t="s">
        <v>10036</v>
      </c>
      <c r="K146" s="156"/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IFERROR(__xludf.DUMMYFUNCTION("ifna(VALUE(REGEXEXTRACT(E146,""[0-9.]+[,]+[0-9]+"")))"),130.0)</f>
        <v>130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1862496.0</v>
      </c>
      <c r="C147" s="14">
        <v>46005.92721064815</v>
      </c>
      <c r="D147" s="210" t="s">
        <v>101</v>
      </c>
      <c r="E147" s="211" t="s">
        <v>786</v>
      </c>
      <c r="F147" s="212"/>
      <c r="G147" s="210" t="s">
        <v>12998</v>
      </c>
      <c r="H147" s="170"/>
      <c r="I147" s="170"/>
      <c r="J147" s="156" t="s">
        <v>10036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IFERROR(__xludf.DUMMYFUNCTION("ifna(VALUE(REGEXEXTRACT(E147,""[0-9.]+[,]+[0-9]+"")))"),130.0)</f>
        <v>130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1862561.0</v>
      </c>
      <c r="C148" s="14">
        <v>46005.93078703704</v>
      </c>
      <c r="D148" s="210" t="s">
        <v>101</v>
      </c>
      <c r="E148" s="211" t="s">
        <v>13739</v>
      </c>
      <c r="F148" s="212"/>
      <c r="G148" s="210" t="s">
        <v>13740</v>
      </c>
      <c r="H148" s="170"/>
      <c r="I148" s="170"/>
      <c r="J148" s="156" t="s">
        <v>12778</v>
      </c>
      <c r="K148" s="156" t="s">
        <v>199</v>
      </c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"),"Confirmada")</f>
        <v>Confirmada</v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IFERROR(__xludf.DUMMYFUNCTION("ifna(VALUE(REGEXEXTRACT(E148,""[0-9.]+[,]+[0-9]+"")))"),1520.0)</f>
        <v>1520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1862615.0</v>
      </c>
      <c r="C149" s="14">
        <v>46005.934537037036</v>
      </c>
      <c r="D149" s="210" t="s">
        <v>101</v>
      </c>
      <c r="E149" s="211" t="s">
        <v>13741</v>
      </c>
      <c r="F149" s="214"/>
      <c r="G149" s="210" t="s">
        <v>13742</v>
      </c>
      <c r="H149" s="170"/>
      <c r="I149" s="170"/>
      <c r="J149" s="156" t="s">
        <v>12818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159">
        <f>IFERROR(__xludf.DUMMYFUNCTION("ifna(VALUE(REGEXEXTRACT(E149,""[0-9.]+[,]+[0-9]+"")))"),37.06)</f>
        <v>37.06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1863379.0</v>
      </c>
      <c r="C150" s="14">
        <v>46006.56684027778</v>
      </c>
      <c r="D150" s="210" t="s">
        <v>139</v>
      </c>
      <c r="E150" s="211" t="s">
        <v>256</v>
      </c>
      <c r="F150" s="212"/>
      <c r="G150" s="210" t="s">
        <v>13744</v>
      </c>
      <c r="H150" s="170"/>
      <c r="I150" s="170"/>
      <c r="J150" s="156" t="s">
        <v>12952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IFERROR(__xludf.DUMMYFUNCTION("ifna(VALUE(REGEXEXTRACT(E150,""[0-9.]+[,]+[0-9]+"")))"),300.0)</f>
        <v>300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1864426.0</v>
      </c>
      <c r="C151" s="14">
        <v>46006.867743055554</v>
      </c>
      <c r="D151" s="210" t="s">
        <v>101</v>
      </c>
      <c r="E151" s="211" t="s">
        <v>237</v>
      </c>
      <c r="F151" s="212"/>
      <c r="G151" s="210" t="s">
        <v>13174</v>
      </c>
      <c r="H151" s="170"/>
      <c r="I151" s="170"/>
      <c r="J151" s="156" t="s">
        <v>6914</v>
      </c>
      <c r="K151" s="156"/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IFERROR(__xludf.DUMMYFUNCTION("ifna(VALUE(REGEXEXTRACT(E151,""[0-9.]+[,]+[0-9]+"")))"),100.0)</f>
        <v>100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1864591.0</v>
      </c>
      <c r="C152" s="14">
        <v>46006.89954861111</v>
      </c>
      <c r="D152" s="210" t="s">
        <v>101</v>
      </c>
      <c r="E152" s="211" t="s">
        <v>473</v>
      </c>
      <c r="F152" s="212"/>
      <c r="G152" s="210" t="s">
        <v>13747</v>
      </c>
      <c r="H152" s="170"/>
      <c r="I152" s="170"/>
      <c r="J152" s="156" t="s">
        <v>6914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IFERROR(__xludf.DUMMYFUNCTION("ifna(VALUE(REGEXEXTRACT(E152,""[0-9.]+[,]+[0-9]+"")))"),15.0)</f>
        <v>15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1864975.0</v>
      </c>
      <c r="C153" s="14">
        <v>46006.94516203704</v>
      </c>
      <c r="D153" s="210" t="s">
        <v>101</v>
      </c>
      <c r="E153" s="211" t="s">
        <v>1496</v>
      </c>
      <c r="F153" s="212"/>
      <c r="G153" s="210" t="s">
        <v>13750</v>
      </c>
      <c r="H153" s="170"/>
      <c r="I153" s="170"/>
      <c r="J153" s="156" t="s">
        <v>12778</v>
      </c>
      <c r="K153" s="156" t="s">
        <v>12666</v>
      </c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"),"Caixa Atendimento")</f>
        <v>Caixa Atendimento</v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IFERROR(__xludf.DUMMYFUNCTION("ifna(VALUE(REGEXEXTRACT(E153,""[0-9.]+[,]+[0-9]+"")))"),950.0)</f>
        <v>950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1865768.0</v>
      </c>
      <c r="C154" s="14">
        <v>46007.71884259259</v>
      </c>
      <c r="D154" s="210" t="s">
        <v>101</v>
      </c>
      <c r="E154" s="211" t="s">
        <v>13751</v>
      </c>
      <c r="F154" s="212"/>
      <c r="G154" s="210" t="s">
        <v>13752</v>
      </c>
      <c r="H154" s="170"/>
      <c r="I154" s="170"/>
      <c r="J154" s="156" t="s">
        <v>12818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159">
        <f>IFERROR(__xludf.DUMMYFUNCTION("ifna(VALUE(REGEXEXTRACT(E154,""[0-9.]+[,]+[0-9]+"")))"),92.76)</f>
        <v>92.76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1866742.0</v>
      </c>
      <c r="C155" s="14">
        <v>46007.9284837963</v>
      </c>
      <c r="D155" s="210" t="s">
        <v>101</v>
      </c>
      <c r="E155" s="211" t="s">
        <v>201</v>
      </c>
      <c r="F155" s="212"/>
      <c r="G155" s="210" t="s">
        <v>13514</v>
      </c>
      <c r="H155" s="170"/>
      <c r="I155" s="170"/>
      <c r="J155" s="156" t="s">
        <v>6914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IFERROR(__xludf.DUMMYFUNCTION("ifna(VALUE(REGEXEXTRACT(E155,""[0-9.]+[,]+[0-9]+"")))"),150.0)</f>
        <v>150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1866772.0</v>
      </c>
      <c r="C156" s="14">
        <v>46007.932488425926</v>
      </c>
      <c r="D156" s="210" t="s">
        <v>101</v>
      </c>
      <c r="E156" s="211" t="s">
        <v>201</v>
      </c>
      <c r="F156" s="212"/>
      <c r="G156" s="210" t="s">
        <v>13753</v>
      </c>
      <c r="H156" s="170"/>
      <c r="I156" s="170"/>
      <c r="J156" s="156" t="s">
        <v>12778</v>
      </c>
      <c r="K156" s="156" t="s">
        <v>12666</v>
      </c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IFERROR(__xludf.DUMMYFUNCTION("ifna(VALUE(REGEXEXTRACT(E156,""[0-9.]+[,]+[0-9]+"")))"),150.0)</f>
        <v>150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1866799.0</v>
      </c>
      <c r="C157" s="14">
        <v>46007.93581018518</v>
      </c>
      <c r="D157" s="210" t="s">
        <v>101</v>
      </c>
      <c r="E157" s="211" t="s">
        <v>1045</v>
      </c>
      <c r="F157" s="214"/>
      <c r="G157" s="210" t="s">
        <v>13755</v>
      </c>
      <c r="H157" s="170"/>
      <c r="I157" s="170"/>
      <c r="J157" s="156" t="s">
        <v>10036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IFERROR(__xludf.DUMMYFUNCTION("ifna(VALUE(REGEXEXTRACT(E157,""[0-9.]+[,]+[0-9]+"")))"),91.0)</f>
        <v>91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1867709.0</v>
      </c>
      <c r="C158" s="14">
        <v>46008.74644675926</v>
      </c>
      <c r="D158" s="210" t="s">
        <v>139</v>
      </c>
      <c r="E158" s="211" t="s">
        <v>440</v>
      </c>
      <c r="F158" s="212"/>
      <c r="G158" s="210" t="s">
        <v>12927</v>
      </c>
      <c r="H158" s="170"/>
      <c r="I158" s="170"/>
      <c r="J158" s="156" t="s">
        <v>12952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IFERROR(__xludf.DUMMYFUNCTION("ifna(VALUE(REGEXEXTRACT(E158,""[0-9.]+[,]+[0-9]+"")))"),74.0)</f>
        <v>74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1868106.0</v>
      </c>
      <c r="C159" s="14">
        <v>46008.872094907405</v>
      </c>
      <c r="D159" s="210" t="s">
        <v>101</v>
      </c>
      <c r="E159" s="211" t="s">
        <v>440</v>
      </c>
      <c r="F159" s="212"/>
      <c r="G159" s="210" t="s">
        <v>13360</v>
      </c>
      <c r="H159" s="170"/>
      <c r="I159" s="170"/>
      <c r="J159" s="156" t="s">
        <v>6914</v>
      </c>
      <c r="K159" s="156"/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IFERROR(__xludf.DUMMYFUNCTION("ifna(VALUE(REGEXEXTRACT(E159,""[0-9.]+[,]+[0-9]+"")))"),74.0)</f>
        <v>74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1868526.0</v>
      </c>
      <c r="C160" s="14">
        <v>46008.93814814815</v>
      </c>
      <c r="D160" s="210" t="s">
        <v>101</v>
      </c>
      <c r="E160" s="211" t="s">
        <v>1808</v>
      </c>
      <c r="F160" s="212"/>
      <c r="G160" s="210" t="s">
        <v>13761</v>
      </c>
      <c r="H160" s="170"/>
      <c r="I160" s="170"/>
      <c r="J160" s="156" t="s">
        <v>6914</v>
      </c>
      <c r="K160" s="156"/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IFERROR(__xludf.DUMMYFUNCTION("ifna(VALUE(REGEXEXTRACT(E160,""[0-9.]+[,]+[0-9]+"")))"),72.0)</f>
        <v>72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1868527.0</v>
      </c>
      <c r="C161" s="14">
        <v>46008.938414351855</v>
      </c>
      <c r="D161" s="210" t="s">
        <v>101</v>
      </c>
      <c r="E161" s="211" t="s">
        <v>473</v>
      </c>
      <c r="F161" s="212"/>
      <c r="G161" s="210" t="s">
        <v>13765</v>
      </c>
      <c r="H161" s="170"/>
      <c r="I161" s="170"/>
      <c r="J161" s="156" t="s">
        <v>6914</v>
      </c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IFERROR(__xludf.DUMMYFUNCTION("ifna(VALUE(REGEXEXTRACT(E161,""[0-9.]+[,]+[0-9]+"")))"),15.0)</f>
        <v>15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1868560.0</v>
      </c>
      <c r="C162" s="14">
        <v>46008.94228009259</v>
      </c>
      <c r="D162" s="210" t="s">
        <v>101</v>
      </c>
      <c r="E162" s="211" t="s">
        <v>13377</v>
      </c>
      <c r="F162" s="212"/>
      <c r="G162" s="210" t="s">
        <v>13767</v>
      </c>
      <c r="H162" s="170"/>
      <c r="I162" s="170"/>
      <c r="J162" s="156" t="s">
        <v>12778</v>
      </c>
      <c r="K162" s="156" t="s">
        <v>12666</v>
      </c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"),"Caixa Atendimento")</f>
        <v>Caixa Atendimento</v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IFERROR(__xludf.DUMMYFUNCTION("ifna(VALUE(REGEXEXTRACT(E162,""[0-9.]+[,]+[0-9]+"")))"),940.0)</f>
        <v>940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1868896.0</v>
      </c>
      <c r="C163" s="14">
        <v>46009.5233912037</v>
      </c>
      <c r="D163" s="210" t="s">
        <v>139</v>
      </c>
      <c r="E163" s="211" t="s">
        <v>237</v>
      </c>
      <c r="F163" s="212"/>
      <c r="G163" s="210" t="s">
        <v>12927</v>
      </c>
      <c r="H163" s="170"/>
      <c r="I163" s="170"/>
      <c r="J163" s="156" t="s">
        <v>12952</v>
      </c>
      <c r="K163" s="156"/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IFERROR(__xludf.DUMMYFUNCTION("ifna(VALUE(REGEXEXTRACT(E163,""[0-9.]+[,]+[0-9]+"")))"),100.0)</f>
        <v>100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1869009.0</v>
      </c>
      <c r="C164" s="14">
        <v>46009.5934837963</v>
      </c>
      <c r="D164" s="210" t="s">
        <v>139</v>
      </c>
      <c r="E164" s="211" t="s">
        <v>13772</v>
      </c>
      <c r="F164" s="212"/>
      <c r="G164" s="210" t="s">
        <v>13750</v>
      </c>
      <c r="H164" s="170"/>
      <c r="I164" s="170"/>
      <c r="J164" s="156" t="s">
        <v>12778</v>
      </c>
      <c r="K164" s="156" t="s">
        <v>12666</v>
      </c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IFERROR(__xludf.DUMMYFUNCTION("ifna(VALUE(REGEXEXTRACT(E164,""[0-9.]+[,]+[0-9]+"")))"),850.0)</f>
        <v>850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1870005.0</v>
      </c>
      <c r="C165" s="14">
        <v>46009.87013888889</v>
      </c>
      <c r="D165" s="210" t="s">
        <v>101</v>
      </c>
      <c r="E165" s="211" t="s">
        <v>316</v>
      </c>
      <c r="F165" s="212"/>
      <c r="G165" s="210" t="s">
        <v>13775</v>
      </c>
      <c r="H165" s="170"/>
      <c r="I165" s="170"/>
      <c r="J165" s="156" t="s">
        <v>6914</v>
      </c>
      <c r="K165" s="156"/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IFERROR(__xludf.DUMMYFUNCTION("ifna(VALUE(REGEXEXTRACT(E165,""[0-9.]+[,]+[0-9]+"")))"),125.0)</f>
        <v>125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1870014.0</v>
      </c>
      <c r="C166" s="14">
        <v>46009.872719907406</v>
      </c>
      <c r="D166" s="210" t="s">
        <v>101</v>
      </c>
      <c r="E166" s="211" t="s">
        <v>13777</v>
      </c>
      <c r="F166" s="212"/>
      <c r="G166" s="210" t="s">
        <v>13778</v>
      </c>
      <c r="H166" s="170"/>
      <c r="I166" s="170"/>
      <c r="J166" s="156" t="s">
        <v>6914</v>
      </c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IFERROR(__xludf.DUMMYFUNCTION("ifna(VALUE(REGEXEXTRACT(E166,""[0-9.]+[,]+[0-9]+"")))"),61.0)</f>
        <v>61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1870447.0</v>
      </c>
      <c r="C167" s="14">
        <v>46009.9380787037</v>
      </c>
      <c r="D167" s="210" t="s">
        <v>101</v>
      </c>
      <c r="E167" s="211" t="s">
        <v>1028</v>
      </c>
      <c r="F167" s="214"/>
      <c r="G167" s="210" t="s">
        <v>13439</v>
      </c>
      <c r="H167" s="170"/>
      <c r="I167" s="170"/>
      <c r="J167" s="156" t="s">
        <v>12658</v>
      </c>
      <c r="K167" s="156" t="s">
        <v>12693</v>
      </c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IFERROR(__xludf.DUMMYFUNCTION("ifna(VALUE(REGEXEXTRACT(E167,""[0-9.]+[,]+[0-9]+"")))"),53.0)</f>
        <v>53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1870480.0</v>
      </c>
      <c r="C168" s="14">
        <v>46009.94228009259</v>
      </c>
      <c r="D168" s="210" t="s">
        <v>101</v>
      </c>
      <c r="E168" s="211" t="s">
        <v>13779</v>
      </c>
      <c r="F168" s="214"/>
      <c r="G168" s="210" t="s">
        <v>13780</v>
      </c>
      <c r="H168" s="170"/>
      <c r="I168" s="170"/>
      <c r="J168" s="156" t="s">
        <v>12778</v>
      </c>
      <c r="K168" s="156" t="s">
        <v>12666</v>
      </c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"),"Confirmada")</f>
        <v>Confirmada</v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IFERROR(__xludf.DUMMYFUNCTION("ifna(VALUE(REGEXEXTRACT(E168,""[0-9.]+[,]+[0-9]+"")))"),2220.0)</f>
        <v>2220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1870943.0</v>
      </c>
      <c r="C169" s="14">
        <v>46010.57947916666</v>
      </c>
      <c r="D169" s="210" t="s">
        <v>139</v>
      </c>
      <c r="E169" s="211" t="s">
        <v>237</v>
      </c>
      <c r="F169" s="212"/>
      <c r="G169" s="210" t="s">
        <v>12927</v>
      </c>
      <c r="H169" s="170"/>
      <c r="I169" s="170"/>
      <c r="J169" s="156" t="s">
        <v>12952</v>
      </c>
      <c r="K169" s="156"/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IFERROR(__xludf.DUMMYFUNCTION("ifna(VALUE(REGEXEXTRACT(E169,""[0-9.]+[,]+[0-9]+"")))"),100.0)</f>
        <v>100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1870994.0</v>
      </c>
      <c r="C170" s="14">
        <v>46010.600324074076</v>
      </c>
      <c r="D170" s="210" t="s">
        <v>139</v>
      </c>
      <c r="E170" s="211" t="s">
        <v>1496</v>
      </c>
      <c r="F170" s="212"/>
      <c r="G170" s="210" t="s">
        <v>13782</v>
      </c>
      <c r="H170" s="170"/>
      <c r="I170" s="170"/>
      <c r="J170" s="156" t="s">
        <v>13783</v>
      </c>
      <c r="K170" s="156"/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IFERROR(__xludf.DUMMYFUNCTION("ifna(VALUE(REGEXEXTRACT(E170,""[0-9.]+[,]+[0-9]+"")))"),950.0)</f>
        <v>950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1871089.0</v>
      </c>
      <c r="C171" s="14">
        <v>46010.63322916667</v>
      </c>
      <c r="D171" s="210" t="s">
        <v>101</v>
      </c>
      <c r="E171" s="211" t="s">
        <v>13784</v>
      </c>
      <c r="F171" s="212"/>
      <c r="G171" s="210" t="s">
        <v>13785</v>
      </c>
      <c r="H171" s="170"/>
      <c r="I171" s="170"/>
      <c r="J171" s="156" t="s">
        <v>12818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"""")"),"Encontrada")</f>
        <v>Encontrada</v>
      </c>
      <c r="N171" s="159">
        <f>IFERROR(__xludf.DUMMYFUNCTION("ifna(VALUE(REGEXEXTRACT(E171,""[0-9.]+[,]+[0-9]+"")))"),213.46)</f>
        <v>213.46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1871717.0</v>
      </c>
      <c r="C172" s="14">
        <v>46010.75813657408</v>
      </c>
      <c r="D172" s="210" t="s">
        <v>101</v>
      </c>
      <c r="E172" s="211" t="s">
        <v>13709</v>
      </c>
      <c r="F172" s="212"/>
      <c r="G172" s="210" t="s">
        <v>13787</v>
      </c>
      <c r="H172" s="170"/>
      <c r="I172" s="170"/>
      <c r="J172" s="156" t="s">
        <v>12818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"""")"),"Encontrada")</f>
        <v>Encontrada</v>
      </c>
      <c r="N172" s="159">
        <f>IFERROR(__xludf.DUMMYFUNCTION("ifna(VALUE(REGEXEXTRACT(E172,""[0-9.]+[,]+[0-9]+"")))"),531.0)</f>
        <v>531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1871915.0</v>
      </c>
      <c r="C173" s="14">
        <v>46010.80564814815</v>
      </c>
      <c r="D173" s="210" t="s">
        <v>101</v>
      </c>
      <c r="E173" s="211" t="s">
        <v>13788</v>
      </c>
      <c r="F173" s="212"/>
      <c r="G173" s="210" t="s">
        <v>13202</v>
      </c>
      <c r="H173" s="170"/>
      <c r="I173" s="170"/>
      <c r="J173" s="156" t="s">
        <v>6914</v>
      </c>
      <c r="K173" s="156"/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IFERROR(__xludf.DUMMYFUNCTION("ifna(VALUE(REGEXEXTRACT(E173,""[0-9.]+[,]+[0-9]+"")))"),165.0)</f>
        <v>165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1871999.0</v>
      </c>
      <c r="C174" s="14">
        <v>46010.82454861111</v>
      </c>
      <c r="D174" s="210" t="s">
        <v>139</v>
      </c>
      <c r="E174" s="211" t="s">
        <v>231</v>
      </c>
      <c r="F174" s="212"/>
      <c r="G174" s="210" t="s">
        <v>12927</v>
      </c>
      <c r="H174" s="170"/>
      <c r="I174" s="170"/>
      <c r="J174" s="156" t="s">
        <v>12952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IFERROR(__xludf.DUMMYFUNCTION("ifna(VALUE(REGEXEXTRACT(E174,""[0-9.]+[,]+[0-9]+"")))"),10.0)</f>
        <v>10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1872643.0</v>
      </c>
      <c r="C175" s="14">
        <v>46010.93556712963</v>
      </c>
      <c r="D175" s="210" t="s">
        <v>139</v>
      </c>
      <c r="E175" s="211" t="s">
        <v>13791</v>
      </c>
      <c r="F175" s="212"/>
      <c r="G175" s="210" t="s">
        <v>12927</v>
      </c>
      <c r="H175" s="170"/>
      <c r="I175" s="170"/>
      <c r="J175" s="156" t="s">
        <v>12952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IFERROR(__xludf.DUMMYFUNCTION("ifna(VALUE(REGEXEXTRACT(E175,""[0-9.]+[,]+[0-9]+"")))"),72.5)</f>
        <v>72.5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1872688.0</v>
      </c>
      <c r="C176" s="14">
        <v>46010.94243055556</v>
      </c>
      <c r="D176" s="210" t="s">
        <v>101</v>
      </c>
      <c r="E176" s="211" t="s">
        <v>13793</v>
      </c>
      <c r="F176" s="212"/>
      <c r="G176" s="210" t="s">
        <v>13794</v>
      </c>
      <c r="H176" s="170"/>
      <c r="I176" s="170"/>
      <c r="J176" s="156" t="s">
        <v>12778</v>
      </c>
      <c r="K176" s="156" t="s">
        <v>12666</v>
      </c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"),"Confirmada")</f>
        <v>Confirmada</v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IFERROR(__xludf.DUMMYFUNCTION("ifna(VALUE(REGEXEXTRACT(E176,""[0-9.]+[,]+[0-9]+"")))"),2180.0)</f>
        <v>2180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1872693.0</v>
      </c>
      <c r="C177" s="14">
        <v>46010.9425462963</v>
      </c>
      <c r="D177" s="210" t="s">
        <v>101</v>
      </c>
      <c r="E177" s="211" t="s">
        <v>510</v>
      </c>
      <c r="F177" s="212"/>
      <c r="G177" s="210" t="s">
        <v>13795</v>
      </c>
      <c r="H177" s="170"/>
      <c r="I177" s="170"/>
      <c r="J177" s="156" t="s">
        <v>6914</v>
      </c>
      <c r="K177" s="156"/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IFERROR(__xludf.DUMMYFUNCTION("ifna(VALUE(REGEXEXTRACT(E177,""[0-9.]+[,]+[0-9]+"")))"),24.0)</f>
        <v>24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1874038.0</v>
      </c>
      <c r="C178" s="14">
        <v>46011.75765046296</v>
      </c>
      <c r="D178" s="210" t="s">
        <v>101</v>
      </c>
      <c r="E178" s="211" t="s">
        <v>13799</v>
      </c>
      <c r="F178" s="214"/>
      <c r="G178" s="210" t="s">
        <v>13800</v>
      </c>
      <c r="H178" s="170"/>
      <c r="I178" s="170"/>
      <c r="J178" s="156" t="s">
        <v>6914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IFERROR(__xludf.DUMMYFUNCTION("ifna(VALUE(REGEXEXTRACT(E178,""[0-9.]+[,]+[0-9]+"")))"),86.0)</f>
        <v>86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1874797.0</v>
      </c>
      <c r="C179" s="14">
        <v>46011.8975462963</v>
      </c>
      <c r="D179" s="210" t="s">
        <v>101</v>
      </c>
      <c r="E179" s="211" t="s">
        <v>223</v>
      </c>
      <c r="F179" s="212"/>
      <c r="G179" s="210" t="s">
        <v>13801</v>
      </c>
      <c r="H179" s="170"/>
      <c r="I179" s="170"/>
      <c r="J179" s="156" t="s">
        <v>6914</v>
      </c>
      <c r="K179" s="156"/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IFERROR(__xludf.DUMMYFUNCTION("ifna(VALUE(REGEXEXTRACT(E179,""[0-9.]+[,]+[0-9]+"")))"),55.0)</f>
        <v>55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1874811.0</v>
      </c>
      <c r="C180" s="14">
        <v>46011.898564814815</v>
      </c>
      <c r="D180" s="210" t="s">
        <v>101</v>
      </c>
      <c r="E180" s="211" t="s">
        <v>13804</v>
      </c>
      <c r="F180" s="212"/>
      <c r="G180" s="210" t="s">
        <v>13805</v>
      </c>
      <c r="H180" s="170"/>
      <c r="I180" s="170"/>
      <c r="J180" s="156" t="s">
        <v>12778</v>
      </c>
      <c r="K180" s="156" t="s">
        <v>199</v>
      </c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"),"Confirmada")</f>
        <v>Confirmada</v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59">
        <f>IFERROR(__xludf.DUMMYFUNCTION("ifna(VALUE(REGEXEXTRACT(E180,""[0-9.]+[,]+[0-9]+"")))"),1450.0)</f>
        <v>1450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1875144.0</v>
      </c>
      <c r="C181" s="14">
        <v>46011.92880787037</v>
      </c>
      <c r="D181" s="210" t="s">
        <v>101</v>
      </c>
      <c r="E181" s="211" t="s">
        <v>786</v>
      </c>
      <c r="F181" s="212"/>
      <c r="G181" s="210" t="s">
        <v>13639</v>
      </c>
      <c r="H181" s="170"/>
      <c r="I181" s="170"/>
      <c r="J181" s="156" t="s">
        <v>10036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IFERROR(__xludf.DUMMYFUNCTION("ifna(VALUE(REGEXEXTRACT(E181,""[0-9.]+[,]+[0-9]+"")))"),130.0)</f>
        <v>130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1875155.0</v>
      </c>
      <c r="C182" s="14">
        <v>46011.92978009259</v>
      </c>
      <c r="D182" s="210" t="s">
        <v>101</v>
      </c>
      <c r="E182" s="211" t="s">
        <v>13809</v>
      </c>
      <c r="F182" s="212"/>
      <c r="G182" s="210" t="s">
        <v>13810</v>
      </c>
      <c r="H182" s="170"/>
      <c r="I182" s="170"/>
      <c r="J182" s="156" t="s">
        <v>12778</v>
      </c>
      <c r="K182" s="156" t="s">
        <v>199</v>
      </c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"),"Confirmada")</f>
        <v>Confirmada</v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IFERROR(__xludf.DUMMYFUNCTION("ifna(VALUE(REGEXEXTRACT(E182,""[0-9.]+[,]+[0-9]+"")))"),330.0)</f>
        <v>330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1875187.0</v>
      </c>
      <c r="C183" s="14">
        <v>46011.93188657407</v>
      </c>
      <c r="D183" s="210" t="s">
        <v>139</v>
      </c>
      <c r="E183" s="211" t="s">
        <v>324</v>
      </c>
      <c r="F183" s="212"/>
      <c r="G183" s="210" t="s">
        <v>12927</v>
      </c>
      <c r="H183" s="170"/>
      <c r="I183" s="170"/>
      <c r="J183" s="156" t="s">
        <v>12952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IFERROR(__xludf.DUMMYFUNCTION("ifna(VALUE(REGEXEXTRACT(E183,""[0-9.]+[,]+[0-9]+"")))"),45.0)</f>
        <v>45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1875982.0</v>
      </c>
      <c r="C184" s="14">
        <v>46012.57061342592</v>
      </c>
      <c r="D184" s="210" t="s">
        <v>101</v>
      </c>
      <c r="E184" s="211" t="s">
        <v>615</v>
      </c>
      <c r="F184" s="212"/>
      <c r="G184" s="210" t="s">
        <v>13817</v>
      </c>
      <c r="H184" s="170"/>
      <c r="I184" s="170"/>
      <c r="J184" s="156" t="s">
        <v>12658</v>
      </c>
      <c r="K184" s="156" t="s">
        <v>11866</v>
      </c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IFERROR(__xludf.DUMMYFUNCTION("ifna(VALUE(REGEXEXTRACT(E184,""[0-9.]+[,]+[0-9]+"")))"),18.0)</f>
        <v>18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1875984.0</v>
      </c>
      <c r="C185" s="14">
        <v>46012.5709375</v>
      </c>
      <c r="D185" s="210" t="s">
        <v>101</v>
      </c>
      <c r="E185" s="211" t="s">
        <v>410</v>
      </c>
      <c r="F185" s="212"/>
      <c r="G185" s="210" t="s">
        <v>13819</v>
      </c>
      <c r="H185" s="170"/>
      <c r="I185" s="170"/>
      <c r="J185" s="156"/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IFERROR(__xludf.DUMMYFUNCTION("ifna(VALUE(REGEXEXTRACT(E185,""[0-9.]+[,]+[0-9]+"")))"),29.0)</f>
        <v>29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1876848.0</v>
      </c>
      <c r="C186" s="14">
        <v>46012.76052083333</v>
      </c>
      <c r="D186" s="210" t="s">
        <v>139</v>
      </c>
      <c r="E186" s="211" t="s">
        <v>13820</v>
      </c>
      <c r="F186" s="212"/>
      <c r="G186" s="210" t="s">
        <v>12927</v>
      </c>
      <c r="H186" s="170"/>
      <c r="I186" s="170"/>
      <c r="J186" s="156" t="s">
        <v>12952</v>
      </c>
      <c r="K186" s="156"/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IFERROR(__xludf.DUMMYFUNCTION("ifna(VALUE(REGEXEXTRACT(E186,""[0-9.]+[,]+[0-9]+"")))"),380.0)</f>
        <v>380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1876966.0</v>
      </c>
      <c r="C187" s="14">
        <v>46012.78008101852</v>
      </c>
      <c r="D187" s="210" t="s">
        <v>101</v>
      </c>
      <c r="E187" s="211" t="s">
        <v>13823</v>
      </c>
      <c r="F187" s="212"/>
      <c r="G187" s="210" t="s">
        <v>13259</v>
      </c>
      <c r="H187" s="170"/>
      <c r="I187" s="170"/>
      <c r="J187" s="156"/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IFERROR(__xludf.DUMMYFUNCTION("ifna(VALUE(REGEXEXTRACT(E187,""[0-9.]+[,]+[0-9]+"")))"),15.78)</f>
        <v>15.78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1877627.0</v>
      </c>
      <c r="C188" s="14">
        <v>46012.88292824074</v>
      </c>
      <c r="D188" s="210" t="s">
        <v>139</v>
      </c>
      <c r="E188" s="211" t="s">
        <v>141</v>
      </c>
      <c r="F188" s="214"/>
      <c r="G188" s="210" t="s">
        <v>12927</v>
      </c>
      <c r="H188" s="170"/>
      <c r="I188" s="170"/>
      <c r="J188" s="156" t="s">
        <v>12952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IFERROR(__xludf.DUMMYFUNCTION("ifna(VALUE(REGEXEXTRACT(E188,""[0-9.]+[,]+[0-9]+"")))"),50.0)</f>
        <v>50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1878035.0</v>
      </c>
      <c r="C189" s="14">
        <v>46012.92239583333</v>
      </c>
      <c r="D189" s="210" t="s">
        <v>101</v>
      </c>
      <c r="E189" s="211" t="s">
        <v>13825</v>
      </c>
      <c r="F189" s="212"/>
      <c r="G189" s="210" t="s">
        <v>13826</v>
      </c>
      <c r="H189" s="170"/>
      <c r="I189" s="170"/>
      <c r="J189" s="156" t="s">
        <v>6914</v>
      </c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IFERROR(__xludf.DUMMYFUNCTION("ifna(VALUE(REGEXEXTRACT(E189,""[0-9.]+[,]+[0-9]+"")))"),253.0)</f>
        <v>253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1878041.0</v>
      </c>
      <c r="C190" s="14">
        <v>46012.92261574074</v>
      </c>
      <c r="D190" s="210" t="s">
        <v>101</v>
      </c>
      <c r="E190" s="211" t="s">
        <v>13209</v>
      </c>
      <c r="F190" s="212"/>
      <c r="G190" s="210" t="s">
        <v>13639</v>
      </c>
      <c r="H190" s="170"/>
      <c r="I190" s="170"/>
      <c r="J190" s="156" t="s">
        <v>10036</v>
      </c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IFERROR(__xludf.DUMMYFUNCTION("ifna(VALUE(REGEXEXTRACT(E190,""[0-9.]+[,]+[0-9]+"")))"),117.0)</f>
        <v>117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1878052.0</v>
      </c>
      <c r="C191" s="14">
        <v>46012.92318287037</v>
      </c>
      <c r="D191" s="210" t="s">
        <v>101</v>
      </c>
      <c r="E191" s="211" t="s">
        <v>13316</v>
      </c>
      <c r="F191" s="212"/>
      <c r="G191" s="210" t="s">
        <v>12901</v>
      </c>
      <c r="H191" s="170"/>
      <c r="I191" s="170"/>
      <c r="J191" s="156" t="s">
        <v>10036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IFERROR(__xludf.DUMMYFUNCTION("ifna(VALUE(REGEXEXTRACT(E191,""[0-9.]+[,]+[0-9]+"")))"),104.0)</f>
        <v>104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1878079.0</v>
      </c>
      <c r="C192" s="14">
        <v>46012.92491898148</v>
      </c>
      <c r="D192" s="210" t="s">
        <v>101</v>
      </c>
      <c r="E192" s="211" t="s">
        <v>13831</v>
      </c>
      <c r="F192" s="214"/>
      <c r="G192" s="210" t="s">
        <v>13832</v>
      </c>
      <c r="H192" s="170"/>
      <c r="I192" s="170"/>
      <c r="J192" s="156" t="s">
        <v>12778</v>
      </c>
      <c r="K192" s="156" t="s">
        <v>12666</v>
      </c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"),"Confirmada")</f>
        <v>Confirmada</v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IFERROR(__xludf.DUMMYFUNCTION("ifna(VALUE(REGEXEXTRACT(E192,""[0-9.]+[,]+[0-9]+"")))"),2340.0)</f>
        <v>2340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1879869.0</v>
      </c>
      <c r="C193" s="14">
        <v>46013.732465277775</v>
      </c>
      <c r="D193" s="210" t="s">
        <v>139</v>
      </c>
      <c r="E193" s="211" t="s">
        <v>1983</v>
      </c>
      <c r="F193" s="212"/>
      <c r="G193" s="210" t="s">
        <v>12927</v>
      </c>
      <c r="H193" s="170"/>
      <c r="I193" s="170"/>
      <c r="J193" s="156" t="s">
        <v>12952</v>
      </c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IFERROR(__xludf.DUMMYFUNCTION("ifna(VALUE(REGEXEXTRACT(E193,""[0-9.]+[,]+[0-9]+"")))"),78.0)</f>
        <v>78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1880050.0</v>
      </c>
      <c r="C194" s="14">
        <v>46013.76388888889</v>
      </c>
      <c r="D194" s="210" t="s">
        <v>101</v>
      </c>
      <c r="E194" s="211" t="s">
        <v>260</v>
      </c>
      <c r="F194" s="212"/>
      <c r="G194" s="210" t="s">
        <v>13836</v>
      </c>
      <c r="H194" s="170"/>
      <c r="I194" s="170"/>
      <c r="J194" s="156" t="s">
        <v>12658</v>
      </c>
      <c r="K194" s="156" t="s">
        <v>11866</v>
      </c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IFERROR(__xludf.DUMMYFUNCTION("ifna(VALUE(REGEXEXTRACT(E194,""[0-9.]+[,]+[0-9]+"")))"),13.0)</f>
        <v>13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1880264.0</v>
      </c>
      <c r="C195" s="14">
        <v>46013.810752314814</v>
      </c>
      <c r="D195" s="210" t="s">
        <v>101</v>
      </c>
      <c r="E195" s="211" t="s">
        <v>13837</v>
      </c>
      <c r="F195" s="212"/>
      <c r="G195" s="210" t="s">
        <v>13838</v>
      </c>
      <c r="H195" s="170"/>
      <c r="I195" s="170"/>
      <c r="J195" s="156" t="s">
        <v>6914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IFERROR(__xludf.DUMMYFUNCTION("ifna(VALUE(REGEXEXTRACT(E195,""[0-9.]+[,]+[0-9]+"")))"),207.0)</f>
        <v>207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1881007.0</v>
      </c>
      <c r="C196" s="14">
        <v>46013.942083333335</v>
      </c>
      <c r="D196" s="210" t="s">
        <v>101</v>
      </c>
      <c r="E196" s="211" t="s">
        <v>13842</v>
      </c>
      <c r="F196" s="212"/>
      <c r="G196" s="210" t="s">
        <v>13843</v>
      </c>
      <c r="H196" s="170"/>
      <c r="I196" s="170"/>
      <c r="J196" s="156" t="s">
        <v>12778</v>
      </c>
      <c r="K196" s="156" t="s">
        <v>12666</v>
      </c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"),"Confirmada")</f>
        <v>Confirmada</v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IFERROR(__xludf.DUMMYFUNCTION("ifna(VALUE(REGEXEXTRACT(E196,""[0-9.]+[,]+[0-9]+"")))"),1530.0)</f>
        <v>1530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1881035.0</v>
      </c>
      <c r="C197" s="14">
        <v>46013.94493055555</v>
      </c>
      <c r="D197" s="210" t="s">
        <v>101</v>
      </c>
      <c r="E197" s="211" t="s">
        <v>179</v>
      </c>
      <c r="F197" s="214"/>
      <c r="G197" s="210" t="s">
        <v>13541</v>
      </c>
      <c r="H197" s="170"/>
      <c r="I197" s="170"/>
      <c r="J197" s="156" t="s">
        <v>6914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IFERROR(__xludf.DUMMYFUNCTION("ifna(VALUE(REGEXEXTRACT(E197,""[0-9.]+[,]+[0-9]+"")))"),20.0)</f>
        <v>20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51"/>
      <c r="C198" s="152"/>
      <c r="D198" s="153"/>
      <c r="E198" s="154"/>
      <c r="F198" s="212"/>
      <c r="G198" s="153"/>
      <c r="H198" s="170"/>
      <c r="I198" s="170"/>
      <c r="J198" s="156"/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 t="str">
        <f>IFERROR(__xludf.DUMMYFUNCTION("ifna(VALUE(REGEXEXTRACT(E198,""[0-9.]+[,]+[0-9]+"")))"),"")</f>
        <v/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51"/>
      <c r="C199" s="152"/>
      <c r="D199" s="153"/>
      <c r="E199" s="154"/>
      <c r="F199" s="212"/>
      <c r="G199" s="153"/>
      <c r="H199" s="170"/>
      <c r="I199" s="170"/>
      <c r="J199" s="156"/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 t="str">
        <f>IFERROR(__xludf.DUMMYFUNCTION("ifna(VALUE(REGEXEXTRACT(E199,""[0-9.]+[,]+[0-9]+"")))"),"")</f>
        <v/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51"/>
      <c r="C200" s="152"/>
      <c r="D200" s="153"/>
      <c r="E200" s="154"/>
      <c r="F200" s="212"/>
      <c r="G200" s="153"/>
      <c r="H200" s="170"/>
      <c r="I200" s="170"/>
      <c r="J200" s="156"/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 t="str">
        <f>IFERROR(__xludf.DUMMYFUNCTION("ifna(VALUE(REGEXEXTRACT(E200,""[0-9.]+[,]+[0-9]+"")))"),"")</f>
        <v/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51"/>
      <c r="C201" s="152"/>
      <c r="D201" s="153"/>
      <c r="E201" s="154"/>
      <c r="F201" s="212"/>
      <c r="G201" s="153"/>
      <c r="H201" s="170"/>
      <c r="I201" s="170"/>
      <c r="J201" s="156"/>
      <c r="K201" s="156"/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 t="str">
        <f>IFERROR(__xludf.DUMMYFUNCTION("ifna(VALUE(REGEXEXTRACT(E201,""[0-9.]+[,]+[0-9]+"")))"),"")</f>
        <v/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51"/>
      <c r="C202" s="152"/>
      <c r="D202" s="153"/>
      <c r="E202" s="154"/>
      <c r="F202" s="212"/>
      <c r="G202" s="153"/>
      <c r="H202" s="170"/>
      <c r="I202" s="170"/>
      <c r="J202" s="156"/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 t="str">
        <f>IFERROR(__xludf.DUMMYFUNCTION("ifna(VALUE(REGEXEXTRACT(E202,""[0-9.]+[,]+[0-9]+"")))"),"")</f>
        <v/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51"/>
      <c r="C203" s="152"/>
      <c r="D203" s="153"/>
      <c r="E203" s="154"/>
      <c r="F203" s="212"/>
      <c r="G203" s="153"/>
      <c r="H203" s="170"/>
      <c r="I203" s="170"/>
      <c r="J203" s="156"/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 t="str">
        <f>IFERROR(__xludf.DUMMYFUNCTION("ifna(VALUE(REGEXEXTRACT(E203,""[0-9.]+[,]+[0-9]+"")))"),"")</f>
        <v/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51"/>
      <c r="C204" s="152"/>
      <c r="D204" s="153"/>
      <c r="E204" s="154"/>
      <c r="F204" s="212"/>
      <c r="G204" s="153"/>
      <c r="H204" s="170"/>
      <c r="I204" s="170"/>
      <c r="J204" s="156"/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 t="str">
        <f>IFERROR(__xludf.DUMMYFUNCTION("ifna(VALUE(REGEXEXTRACT(E204,""[0-9.]+[,]+[0-9]+"")))"),"")</f>
        <v/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51"/>
      <c r="C205" s="152"/>
      <c r="D205" s="153"/>
      <c r="E205" s="154"/>
      <c r="F205" s="212"/>
      <c r="G205" s="153"/>
      <c r="H205" s="170"/>
      <c r="I205" s="170"/>
      <c r="J205" s="156"/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 t="str">
        <f>IFERROR(__xludf.DUMMYFUNCTION("ifna(VALUE(REGEXEXTRACT(E205,""[0-9.]+[,]+[0-9]+"")))"),"")</f>
        <v/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51"/>
      <c r="C206" s="152"/>
      <c r="D206" s="153"/>
      <c r="E206" s="154"/>
      <c r="F206" s="214"/>
      <c r="G206" s="153"/>
      <c r="H206" s="170"/>
      <c r="I206" s="170"/>
      <c r="J206" s="156"/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 t="str">
        <f>IFERROR(__xludf.DUMMYFUNCTION("ifna(VALUE(REGEXEXTRACT(E206,""[0-9.]+[,]+[0-9]+"")))"),"")</f>
        <v/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51"/>
      <c r="C207" s="152"/>
      <c r="D207" s="153"/>
      <c r="E207" s="154"/>
      <c r="F207" s="212"/>
      <c r="G207" s="153"/>
      <c r="H207" s="170"/>
      <c r="I207" s="170"/>
      <c r="J207" s="156"/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 t="str">
        <f>IFERROR(__xludf.DUMMYFUNCTION("ifna(VALUE(REGEXEXTRACT(E207,""[0-9.]+[,]+[0-9]+"")))"),"")</f>
        <v/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51"/>
      <c r="C208" s="152"/>
      <c r="D208" s="153"/>
      <c r="E208" s="154"/>
      <c r="F208" s="212"/>
      <c r="G208" s="153"/>
      <c r="H208" s="170"/>
      <c r="I208" s="170"/>
      <c r="J208" s="156"/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 t="str">
        <f>IFERROR(__xludf.DUMMYFUNCTION("ifna(VALUE(REGEXEXTRACT(E208,""[0-9.]+[,]+[0-9]+"")))"),"")</f>
        <v/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51"/>
      <c r="C209" s="152"/>
      <c r="D209" s="153"/>
      <c r="E209" s="154"/>
      <c r="F209" s="212"/>
      <c r="G209" s="153"/>
      <c r="H209" s="170"/>
      <c r="I209" s="170"/>
      <c r="J209" s="156"/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 t="str">
        <f>IFERROR(__xludf.DUMMYFUNCTION("ifna(VALUE(REGEXEXTRACT(E209,""[0-9.]+[,]+[0-9]+"")))"),"")</f>
        <v/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51"/>
      <c r="C210" s="152"/>
      <c r="D210" s="153"/>
      <c r="E210" s="154"/>
      <c r="F210" s="212"/>
      <c r="G210" s="153"/>
      <c r="H210" s="170"/>
      <c r="I210" s="170"/>
      <c r="J210" s="156"/>
      <c r="K210" s="156"/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 t="str">
        <f>IFERROR(__xludf.DUMMYFUNCTION("ifna(VALUE(REGEXEXTRACT(E210,""[0-9.]+[,]+[0-9]+"")))"),"")</f>
        <v/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51"/>
      <c r="C211" s="152"/>
      <c r="D211" s="153"/>
      <c r="E211" s="154"/>
      <c r="F211" s="212"/>
      <c r="G211" s="153"/>
      <c r="H211" s="170"/>
      <c r="I211" s="170"/>
      <c r="J211" s="156"/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 t="str">
        <f>IFERROR(__xludf.DUMMYFUNCTION("ifna(VALUE(REGEXEXTRACT(E211,""[0-9.]+[,]+[0-9]+"")))"),"")</f>
        <v/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51"/>
      <c r="C212" s="152"/>
      <c r="D212" s="153"/>
      <c r="E212" s="154"/>
      <c r="F212" s="212"/>
      <c r="G212" s="153"/>
      <c r="H212" s="170"/>
      <c r="I212" s="170"/>
      <c r="J212" s="156"/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 t="str">
        <f>IFERROR(__xludf.DUMMYFUNCTION("ifna(VALUE(REGEXEXTRACT(E212,""[0-9.]+[,]+[0-9]+"")))"),"")</f>
        <v/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51"/>
      <c r="C213" s="152"/>
      <c r="D213" s="153"/>
      <c r="E213" s="154"/>
      <c r="F213" s="212"/>
      <c r="G213" s="153"/>
      <c r="H213" s="170"/>
      <c r="I213" s="170"/>
      <c r="J213" s="156"/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 t="str">
        <f>IFERROR(__xludf.DUMMYFUNCTION("ifna(VALUE(REGEXEXTRACT(E213,""[0-9.]+[,]+[0-9]+"")))"),"")</f>
        <v/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51"/>
      <c r="C214" s="152"/>
      <c r="D214" s="153"/>
      <c r="E214" s="154"/>
      <c r="F214" s="212"/>
      <c r="G214" s="153"/>
      <c r="H214" s="170"/>
      <c r="I214" s="170"/>
      <c r="J214" s="156"/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 t="str">
        <f>IFERROR(__xludf.DUMMYFUNCTION("ifna(VALUE(REGEXEXTRACT(E214,""[0-9.]+[,]+[0-9]+"")))"),"")</f>
        <v/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51"/>
      <c r="C215" s="152"/>
      <c r="D215" s="153"/>
      <c r="E215" s="154"/>
      <c r="F215" s="212"/>
      <c r="G215" s="153"/>
      <c r="H215" s="170"/>
      <c r="I215" s="170"/>
      <c r="J215" s="156"/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 t="str">
        <f>IFERROR(__xludf.DUMMYFUNCTION("ifna(VALUE(REGEXEXTRACT(E215,""[0-9.]+[,]+[0-9]+"")))"),"")</f>
        <v/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51"/>
      <c r="C216" s="152"/>
      <c r="D216" s="153"/>
      <c r="E216" s="154"/>
      <c r="F216" s="214"/>
      <c r="G216" s="153"/>
      <c r="H216" s="170"/>
      <c r="I216" s="170"/>
      <c r="J216" s="156"/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 t="str">
        <f>IFERROR(__xludf.DUMMYFUNCTION("ifna(VALUE(REGEXEXTRACT(E216,""[0-9.]+[,]+[0-9]+"")))"),"")</f>
        <v/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51"/>
      <c r="C217" s="152"/>
      <c r="D217" s="153"/>
      <c r="E217" s="154"/>
      <c r="F217" s="214"/>
      <c r="G217" s="153"/>
      <c r="H217" s="170"/>
      <c r="I217" s="170"/>
      <c r="J217" s="156"/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 t="str">
        <f>IFERROR(__xludf.DUMMYFUNCTION("ifna(VALUE(REGEXEXTRACT(E217,""[0-9.]+[,]+[0-9]+"")))"),"")</f>
        <v/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51"/>
      <c r="C218" s="152"/>
      <c r="D218" s="153"/>
      <c r="E218" s="154"/>
      <c r="F218" s="212"/>
      <c r="G218" s="153"/>
      <c r="H218" s="170"/>
      <c r="I218" s="170"/>
      <c r="J218" s="156"/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 t="str">
        <f>IFERROR(__xludf.DUMMYFUNCTION("ifna(VALUE(REGEXEXTRACT(E218,""[0-9.]+[,]+[0-9]+"")))"),"")</f>
        <v/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51"/>
      <c r="C219" s="152"/>
      <c r="D219" s="153"/>
      <c r="E219" s="154"/>
      <c r="F219" s="212"/>
      <c r="G219" s="153"/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 t="str">
        <f>IFERROR(__xludf.DUMMYFUNCTION("ifna(VALUE(REGEXEXTRACT(E219,""[0-9.]+[,]+[0-9]+"")))"),"")</f>
        <v/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51"/>
      <c r="C220" s="152"/>
      <c r="D220" s="153"/>
      <c r="E220" s="154"/>
      <c r="F220" s="212"/>
      <c r="G220" s="153"/>
      <c r="H220" s="170"/>
      <c r="I220" s="170"/>
      <c r="J220" s="156"/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 t="str">
        <f>IFERROR(__xludf.DUMMYFUNCTION("ifna(VALUE(REGEXEXTRACT(E220,""[0-9.]+[,]+[0-9]+"")))"),"")</f>
        <v/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51"/>
      <c r="C221" s="152"/>
      <c r="D221" s="153"/>
      <c r="E221" s="154"/>
      <c r="F221" s="212"/>
      <c r="G221" s="153"/>
      <c r="H221" s="170"/>
      <c r="I221" s="170"/>
      <c r="J221" s="156"/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 t="str">
        <f>IFERROR(__xludf.DUMMYFUNCTION("ifna(VALUE(REGEXEXTRACT(E221,""[0-9.]+[,]+[0-9]+"")))"),"")</f>
        <v/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51"/>
      <c r="C222" s="152"/>
      <c r="D222" s="153"/>
      <c r="E222" s="154"/>
      <c r="F222" s="212"/>
      <c r="G222" s="153"/>
      <c r="H222" s="170"/>
      <c r="I222" s="170"/>
      <c r="J222" s="156"/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 t="str">
        <f>IFERROR(__xludf.DUMMYFUNCTION("ifna(VALUE(REGEXEXTRACT(E222,""[0-9.]+[,]+[0-9]+"")))"),"")</f>
        <v/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51"/>
      <c r="C223" s="152"/>
      <c r="D223" s="153"/>
      <c r="E223" s="154"/>
      <c r="F223" s="212"/>
      <c r="G223" s="153"/>
      <c r="H223" s="170"/>
      <c r="I223" s="170"/>
      <c r="J223" s="156"/>
      <c r="K223" s="156"/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 t="str">
        <f>IFERROR(__xludf.DUMMYFUNCTION("ifna(VALUE(REGEXEXTRACT(E223,""[0-9.]+[,]+[0-9]+"")))"),"")</f>
        <v/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51"/>
      <c r="C224" s="152"/>
      <c r="D224" s="153"/>
      <c r="E224" s="154"/>
      <c r="F224" s="212"/>
      <c r="G224" s="153"/>
      <c r="H224" s="170"/>
      <c r="I224" s="170"/>
      <c r="J224" s="156"/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 t="str">
        <f>IFERROR(__xludf.DUMMYFUNCTION("ifna(VALUE(REGEXEXTRACT(E224,""[0-9.]+[,]+[0-9]+"")))"),"")</f>
        <v/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51"/>
      <c r="C225" s="152"/>
      <c r="D225" s="153"/>
      <c r="E225" s="154"/>
      <c r="F225" s="212"/>
      <c r="G225" s="153"/>
      <c r="H225" s="170"/>
      <c r="I225" s="170"/>
      <c r="J225" s="156"/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 t="str">
        <f>IFERROR(__xludf.DUMMYFUNCTION("ifna(VALUE(REGEXEXTRACT(E225,""[0-9.]+[,]+[0-9]+"")))"),"")</f>
        <v/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51"/>
      <c r="C226" s="152"/>
      <c r="D226" s="153"/>
      <c r="E226" s="154"/>
      <c r="F226" s="212"/>
      <c r="G226" s="153"/>
      <c r="H226" s="170"/>
      <c r="I226" s="170"/>
      <c r="J226" s="156"/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 t="str">
        <f>IFERROR(__xludf.DUMMYFUNCTION("ifna(VALUE(REGEXEXTRACT(E226,""[0-9.]+[,]+[0-9]+"")))"),"")</f>
        <v/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51"/>
      <c r="C227" s="152"/>
      <c r="D227" s="153"/>
      <c r="E227" s="154"/>
      <c r="F227" s="214"/>
      <c r="G227" s="153"/>
      <c r="H227" s="170"/>
      <c r="I227" s="170"/>
      <c r="J227" s="156"/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 t="str">
        <f>IFERROR(__xludf.DUMMYFUNCTION("ifna(VALUE(REGEXEXTRACT(E227,""[0-9.]+[,]+[0-9]+"")))"),"")</f>
        <v/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51"/>
      <c r="C228" s="152"/>
      <c r="D228" s="153"/>
      <c r="E228" s="154"/>
      <c r="F228" s="212"/>
      <c r="G228" s="153"/>
      <c r="H228" s="170"/>
      <c r="I228" s="170"/>
      <c r="J228" s="156"/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 t="str">
        <f>IFERROR(__xludf.DUMMYFUNCTION("ifna(VALUE(REGEXEXTRACT(E228,""[0-9.]+[,]+[0-9]+"")))"),"")</f>
        <v/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51"/>
      <c r="C229" s="152"/>
      <c r="D229" s="153"/>
      <c r="E229" s="154"/>
      <c r="F229" s="212"/>
      <c r="G229" s="153"/>
      <c r="H229" s="170"/>
      <c r="I229" s="170"/>
      <c r="J229" s="156"/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 t="str">
        <f>IFERROR(__xludf.DUMMYFUNCTION("ifna(VALUE(REGEXEXTRACT(E229,""[0-9.]+[,]+[0-9]+"")))"),"")</f>
        <v/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51"/>
      <c r="C230" s="152"/>
      <c r="D230" s="153"/>
      <c r="E230" s="154"/>
      <c r="F230" s="214"/>
      <c r="G230" s="153"/>
      <c r="H230" s="170"/>
      <c r="I230" s="170"/>
      <c r="J230" s="156"/>
      <c r="K230" s="156"/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 t="str">
        <f>IFERROR(__xludf.DUMMYFUNCTION("ifna(VALUE(REGEXEXTRACT(E230,""[0-9.]+[,]+[0-9]+"")))"),"")</f>
        <v/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51"/>
      <c r="C231" s="152"/>
      <c r="D231" s="153"/>
      <c r="E231" s="154"/>
      <c r="F231" s="212"/>
      <c r="G231" s="153"/>
      <c r="H231" s="170"/>
      <c r="I231" s="170"/>
      <c r="J231" s="156"/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 t="str">
        <f>IFERROR(__xludf.DUMMYFUNCTION("ifna(VALUE(REGEXEXTRACT(E231,""[0-9.]+[,]+[0-9]+"")))"),"")</f>
        <v/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51"/>
      <c r="C232" s="152"/>
      <c r="D232" s="153"/>
      <c r="E232" s="154"/>
      <c r="F232" s="212"/>
      <c r="G232" s="153"/>
      <c r="H232" s="170"/>
      <c r="I232" s="170"/>
      <c r="J232" s="156"/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 t="str">
        <f>IFERROR(__xludf.DUMMYFUNCTION("ifna(VALUE(REGEXEXTRACT(E232,""[0-9.]+[,]+[0-9]+"")))"),"")</f>
        <v/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51"/>
      <c r="C233" s="152"/>
      <c r="D233" s="153"/>
      <c r="E233" s="154"/>
      <c r="F233" s="212"/>
      <c r="G233" s="153"/>
      <c r="H233" s="170"/>
      <c r="I233" s="170"/>
      <c r="J233" s="156"/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 t="str">
        <f>IFERROR(__xludf.DUMMYFUNCTION("ifna(VALUE(REGEXEXTRACT(E233,""[0-9.]+[,]+[0-9]+"")))"),"")</f>
        <v/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51"/>
      <c r="C234" s="152"/>
      <c r="D234" s="153"/>
      <c r="E234" s="154"/>
      <c r="F234" s="212"/>
      <c r="G234" s="153"/>
      <c r="H234" s="170"/>
      <c r="I234" s="170"/>
      <c r="J234" s="156"/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 t="str">
        <f>IFERROR(__xludf.DUMMYFUNCTION("ifna(VALUE(REGEXEXTRACT(E234,""[0-9.]+[,]+[0-9]+"")))"),"")</f>
        <v/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51"/>
      <c r="C235" s="152"/>
      <c r="D235" s="153"/>
      <c r="E235" s="154"/>
      <c r="F235" s="212"/>
      <c r="G235" s="153"/>
      <c r="H235" s="170"/>
      <c r="I235" s="170"/>
      <c r="J235" s="156"/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 t="str">
        <f>IFERROR(__xludf.DUMMYFUNCTION("ifna(VALUE(REGEXEXTRACT(E235,""[0-9.]+[,]+[0-9]+"")))"),"")</f>
        <v/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51"/>
      <c r="C236" s="152"/>
      <c r="D236" s="153"/>
      <c r="E236" s="154"/>
      <c r="F236" s="214"/>
      <c r="G236" s="153"/>
      <c r="H236" s="170"/>
      <c r="I236" s="170"/>
      <c r="J236" s="156"/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 t="str">
        <f>IFERROR(__xludf.DUMMYFUNCTION("ifna(VALUE(REGEXEXTRACT(E236,""[0-9.]+[,]+[0-9]+"")))"),"")</f>
        <v/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51"/>
      <c r="C237" s="152"/>
      <c r="D237" s="153"/>
      <c r="E237" s="154"/>
      <c r="F237" s="165"/>
      <c r="G237" s="153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51"/>
      <c r="C238" s="152"/>
      <c r="D238" s="153"/>
      <c r="E238" s="154"/>
      <c r="F238" s="155"/>
      <c r="G238" s="153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51"/>
      <c r="C239" s="152"/>
      <c r="D239" s="153"/>
      <c r="E239" s="154"/>
      <c r="F239" s="155"/>
      <c r="G239" s="153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51"/>
      <c r="C240" s="152"/>
      <c r="D240" s="153"/>
      <c r="E240" s="154"/>
      <c r="F240" s="155"/>
      <c r="G240" s="153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51"/>
      <c r="C241" s="152"/>
      <c r="D241" s="153"/>
      <c r="E241" s="154"/>
      <c r="F241" s="155"/>
      <c r="G241" s="153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51"/>
      <c r="C242" s="152"/>
      <c r="D242" s="153"/>
      <c r="E242" s="154"/>
      <c r="F242" s="155"/>
      <c r="G242" s="153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51"/>
      <c r="C243" s="152"/>
      <c r="D243" s="153"/>
      <c r="E243" s="154"/>
      <c r="F243" s="165"/>
      <c r="G243" s="153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51"/>
      <c r="C244" s="152"/>
      <c r="D244" s="153"/>
      <c r="E244" s="154"/>
      <c r="F244" s="155"/>
      <c r="G244" s="153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51"/>
      <c r="C245" s="152"/>
      <c r="D245" s="153"/>
      <c r="E245" s="154"/>
      <c r="F245" s="155"/>
      <c r="G245" s="153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51"/>
      <c r="C246" s="152"/>
      <c r="D246" s="153"/>
      <c r="E246" s="154"/>
      <c r="F246" s="155"/>
      <c r="G246" s="153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51"/>
      <c r="C247" s="152"/>
      <c r="D247" s="153"/>
      <c r="E247" s="154"/>
      <c r="F247" s="155"/>
      <c r="G247" s="153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51"/>
      <c r="C248" s="152"/>
      <c r="D248" s="153"/>
      <c r="E248" s="154"/>
      <c r="F248" s="155"/>
      <c r="G248" s="153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51"/>
      <c r="C249" s="152"/>
      <c r="D249" s="153"/>
      <c r="E249" s="154"/>
      <c r="F249" s="155"/>
      <c r="G249" s="153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51"/>
      <c r="C250" s="152"/>
      <c r="D250" s="153"/>
      <c r="E250" s="154"/>
      <c r="F250" s="155"/>
      <c r="G250" s="153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51"/>
      <c r="C251" s="152"/>
      <c r="D251" s="153"/>
      <c r="E251" s="154"/>
      <c r="F251" s="155"/>
      <c r="G251" s="153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51"/>
      <c r="C252" s="152"/>
      <c r="D252" s="153"/>
      <c r="E252" s="154"/>
      <c r="F252" s="155"/>
      <c r="G252" s="153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51"/>
      <c r="C253" s="152"/>
      <c r="D253" s="153"/>
      <c r="E253" s="154"/>
      <c r="F253" s="165"/>
      <c r="G253" s="153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51"/>
      <c r="C254" s="152"/>
      <c r="D254" s="153"/>
      <c r="E254" s="154"/>
      <c r="F254" s="155"/>
      <c r="G254" s="153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51"/>
      <c r="C255" s="152"/>
      <c r="D255" s="153"/>
      <c r="E255" s="154"/>
      <c r="F255" s="155"/>
      <c r="G255" s="153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51"/>
      <c r="C256" s="152"/>
      <c r="D256" s="153"/>
      <c r="E256" s="154"/>
      <c r="F256" s="155"/>
      <c r="G256" s="153"/>
      <c r="H256" s="170"/>
      <c r="I256" s="170"/>
      <c r="J256" s="156"/>
      <c r="K256" s="169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51"/>
      <c r="C257" s="152"/>
      <c r="D257" s="153"/>
      <c r="E257" s="154"/>
      <c r="F257" s="155"/>
      <c r="G257" s="153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51"/>
      <c r="C258" s="152"/>
      <c r="D258" s="153"/>
      <c r="E258" s="154"/>
      <c r="F258" s="165"/>
      <c r="G258" s="153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51"/>
      <c r="C259" s="152"/>
      <c r="D259" s="153"/>
      <c r="E259" s="154"/>
      <c r="F259" s="155"/>
      <c r="G259" s="153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51"/>
      <c r="C260" s="152"/>
      <c r="D260" s="153"/>
      <c r="E260" s="154"/>
      <c r="F260" s="155"/>
      <c r="G260" s="153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51"/>
      <c r="C261" s="152"/>
      <c r="D261" s="153"/>
      <c r="E261" s="154"/>
      <c r="F261" s="155"/>
      <c r="G261" s="153"/>
      <c r="H261" s="170"/>
      <c r="I261" s="170"/>
      <c r="J261" s="156"/>
      <c r="K261" s="169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51"/>
      <c r="C262" s="152"/>
      <c r="D262" s="153"/>
      <c r="E262" s="154"/>
      <c r="F262" s="155"/>
      <c r="G262" s="153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51"/>
      <c r="C263" s="152"/>
      <c r="D263" s="153"/>
      <c r="E263" s="154"/>
      <c r="F263" s="155"/>
      <c r="G263" s="153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51"/>
      <c r="C264" s="152"/>
      <c r="D264" s="153"/>
      <c r="E264" s="154"/>
      <c r="F264" s="155"/>
      <c r="G264" s="153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51"/>
      <c r="C265" s="152"/>
      <c r="D265" s="153"/>
      <c r="E265" s="154"/>
      <c r="F265" s="155"/>
      <c r="G265" s="153"/>
      <c r="H265" s="170"/>
      <c r="I265" s="170"/>
      <c r="J265" s="192"/>
      <c r="K265" s="169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51"/>
      <c r="C266" s="152"/>
      <c r="D266" s="153"/>
      <c r="E266" s="154"/>
      <c r="F266" s="155"/>
      <c r="G266" s="153"/>
      <c r="H266" s="170"/>
      <c r="I266" s="170"/>
      <c r="J266" s="156"/>
      <c r="K266" s="169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51"/>
      <c r="C267" s="152"/>
      <c r="D267" s="153"/>
      <c r="E267" s="154"/>
      <c r="F267" s="155"/>
      <c r="G267" s="153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51"/>
      <c r="C268" s="152"/>
      <c r="D268" s="153"/>
      <c r="E268" s="154"/>
      <c r="F268" s="165"/>
      <c r="G268" s="153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51"/>
      <c r="C269" s="152"/>
      <c r="D269" s="153"/>
      <c r="E269" s="154"/>
      <c r="F269" s="155"/>
      <c r="G269" s="153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51"/>
      <c r="C270" s="152"/>
      <c r="D270" s="153"/>
      <c r="E270" s="154"/>
      <c r="F270" s="155"/>
      <c r="G270" s="153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51"/>
      <c r="C271" s="152"/>
      <c r="D271" s="153"/>
      <c r="E271" s="154"/>
      <c r="F271" s="155"/>
      <c r="G271" s="153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51"/>
      <c r="C272" s="152"/>
      <c r="D272" s="153"/>
      <c r="E272" s="154"/>
      <c r="F272" s="155"/>
      <c r="G272" s="153"/>
      <c r="H272" s="170"/>
      <c r="I272" s="170"/>
      <c r="J272" s="156"/>
      <c r="K272" s="169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51"/>
      <c r="C273" s="152"/>
      <c r="D273" s="153"/>
      <c r="E273" s="154"/>
      <c r="F273" s="155"/>
      <c r="G273" s="153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51"/>
      <c r="C274" s="152"/>
      <c r="D274" s="153"/>
      <c r="E274" s="154"/>
      <c r="F274" s="155"/>
      <c r="G274" s="153"/>
      <c r="H274" s="170"/>
      <c r="I274" s="170"/>
      <c r="J274" s="156"/>
      <c r="K274" s="169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51"/>
      <c r="C275" s="152"/>
      <c r="D275" s="153"/>
      <c r="E275" s="154"/>
      <c r="F275" s="155"/>
      <c r="G275" s="153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51"/>
      <c r="C276" s="152"/>
      <c r="D276" s="153"/>
      <c r="E276" s="154"/>
      <c r="F276" s="155"/>
      <c r="G276" s="153"/>
      <c r="H276" s="170"/>
      <c r="I276" s="170"/>
      <c r="J276" s="156"/>
      <c r="K276" s="169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51"/>
      <c r="C277" s="152"/>
      <c r="D277" s="153"/>
      <c r="E277" s="154"/>
      <c r="F277" s="165"/>
      <c r="G277" s="153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51"/>
      <c r="C278" s="152"/>
      <c r="D278" s="153"/>
      <c r="E278" s="154"/>
      <c r="F278" s="155"/>
      <c r="G278" s="153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51"/>
      <c r="C279" s="152"/>
      <c r="D279" s="153"/>
      <c r="E279" s="154"/>
      <c r="F279" s="155"/>
      <c r="G279" s="153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51"/>
      <c r="C280" s="152"/>
      <c r="D280" s="153"/>
      <c r="E280" s="154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51"/>
      <c r="C281" s="152"/>
      <c r="D281" s="153"/>
      <c r="E281" s="154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51"/>
      <c r="C282" s="152"/>
      <c r="D282" s="153"/>
      <c r="E282" s="154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51"/>
      <c r="C283" s="152"/>
      <c r="D283" s="153"/>
      <c r="E283" s="154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51"/>
      <c r="C284" s="152"/>
      <c r="D284" s="153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51"/>
      <c r="C285" s="152"/>
      <c r="D285" s="153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51"/>
      <c r="C286" s="152"/>
      <c r="D286" s="153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51"/>
      <c r="C287" s="152"/>
      <c r="D287" s="153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51"/>
      <c r="C288" s="152"/>
      <c r="D288" s="153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51"/>
      <c r="C289" s="152"/>
      <c r="D289" s="153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51"/>
      <c r="C290" s="152"/>
      <c r="D290" s="153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51"/>
      <c r="C291" s="152"/>
      <c r="D291" s="153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51"/>
      <c r="C292" s="152"/>
      <c r="D292" s="153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51"/>
      <c r="C293" s="152"/>
      <c r="D293" s="153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51"/>
      <c r="C294" s="152"/>
      <c r="D294" s="153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51"/>
      <c r="C295" s="152"/>
      <c r="D295" s="153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153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J22:J264 J266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113 K115:K500">
      <formula1>'DEZEMBRO 2025'!$B$4:$B$10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/>
      </c>
      <c r="D3" s="40"/>
      <c r="E3" s="41" t="str">
        <f>B5</f>
        <v>Renan</v>
      </c>
      <c r="F3" s="40"/>
      <c r="G3" s="41" t="str">
        <f>B6</f>
        <v>Bruna</v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/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/>
      <c r="B4" s="47"/>
      <c r="C4" s="48" t="s">
        <v>1329</v>
      </c>
      <c r="D4" s="49">
        <f>SUMIFS(N22:N500,J22:J500,C4,K22:K500,C3)+SUMIF(Q59:Q95,A4,R59:R122)+D9</f>
        <v>200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500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0</v>
      </c>
      <c r="E5" s="50" t="s">
        <v>12658</v>
      </c>
      <c r="F5" s="49">
        <f>SUMIFS(N22:N500,J22:J500,C5,K22:K500,E3)</f>
        <v>295.66</v>
      </c>
      <c r="G5" s="50" t="s">
        <v>12658</v>
      </c>
      <c r="H5" s="49">
        <f>SUMIFS(N22:N500,J22:J500,C5,K22:K500,G3)</f>
        <v>254.15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129.9</v>
      </c>
      <c r="M5" s="33"/>
      <c r="N5" s="33"/>
      <c r="O5" s="57"/>
      <c r="P5" s="58"/>
      <c r="Q5" s="58"/>
      <c r="R5" s="59"/>
      <c r="S5" s="33"/>
      <c r="T5" s="202">
        <f>IFERROR(__xludf.DUMMYFUNCTION("""COMPUTED_VALUE"""),46014.752118055556)</f>
        <v>46014.75212</v>
      </c>
      <c r="U5" s="58" t="str">
        <f>IFERROR(__xludf.DUMMYFUNCTION("""COMPUTED_VALUE"""),"R$ 13,00")</f>
        <v>R$ 13,00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 t="s">
        <v>6062</v>
      </c>
      <c r="B6" s="56" t="s">
        <v>12666</v>
      </c>
      <c r="C6" s="48" t="s">
        <v>12669</v>
      </c>
      <c r="D6" s="49">
        <f>D5*0.8</f>
        <v>0</v>
      </c>
      <c r="E6" s="50" t="s">
        <v>12669</v>
      </c>
      <c r="F6" s="49">
        <f>F5*0.8</f>
        <v>236.528</v>
      </c>
      <c r="G6" s="50" t="s">
        <v>12669</v>
      </c>
      <c r="H6" s="49">
        <f>H5*0.8</f>
        <v>203.32</v>
      </c>
      <c r="I6" s="50" t="s">
        <v>12669</v>
      </c>
      <c r="J6" s="49">
        <f>J5*0.8</f>
        <v>0</v>
      </c>
      <c r="K6" s="60" t="s">
        <v>12669</v>
      </c>
      <c r="L6" s="51">
        <f>L5*0.8</f>
        <v>103.92</v>
      </c>
      <c r="M6" s="33"/>
      <c r="N6" s="33"/>
      <c r="O6" s="57"/>
      <c r="P6" s="58"/>
      <c r="Q6" s="58"/>
      <c r="R6" s="59"/>
      <c r="S6" s="33"/>
      <c r="T6" s="202">
        <f>IFERROR(__xludf.DUMMYFUNCTION("""COMPUTED_VALUE"""),46018.90425925926)</f>
        <v>46018.90426</v>
      </c>
      <c r="U6" s="58" t="str">
        <f>IFERROR(__xludf.DUMMYFUNCTION("""COMPUTED_VALUE"""),"R$ 83,00")</f>
        <v>R$ 83,00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203">
        <f>IFERROR(__xludf.DUMMYFUNCTION("""COMPUTED_VALUE"""),46024.829363425924)</f>
        <v>46024.82936</v>
      </c>
      <c r="U7" s="67" t="str">
        <f>IFERROR(__xludf.DUMMYFUNCTION("""COMPUTED_VALUE"""),"R$ 75,00")</f>
        <v>R$ 75,00</v>
      </c>
      <c r="V7" s="67" t="str">
        <f>IFERROR(__xludf.DUMMYFUNCTION("""COMPUTED_VALUE"""),"Consumo")</f>
        <v>Consumo</v>
      </c>
      <c r="W7" s="68" t="str">
        <f>IFERROR(__xludf.DUMMYFUNCTION("""COMPUTED_VALUE"""),"Renan")</f>
        <v>Renan</v>
      </c>
    </row>
    <row r="8" ht="14.25" customHeight="1">
      <c r="A8" s="55" t="s">
        <v>227</v>
      </c>
      <c r="B8" s="56" t="s">
        <v>12693</v>
      </c>
      <c r="C8" s="69" t="s">
        <v>12695</v>
      </c>
      <c r="D8" s="70" t="s">
        <v>13382</v>
      </c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203">
        <f>IFERROR(__xludf.DUMMYFUNCTION("""COMPUTED_VALUE"""),46029.74966435185)</f>
        <v>46029.74966</v>
      </c>
      <c r="U8" s="67" t="str">
        <f>IFERROR(__xludf.DUMMYFUNCTION("""COMPUTED_VALUE"""),"R$ 5,00")</f>
        <v>R$ 5,00</v>
      </c>
      <c r="V8" s="67" t="str">
        <f>IFERROR(__xludf.DUMMYFUNCTION("""COMPUTED_VALUE"""),"Consumo")</f>
        <v>Consumo</v>
      </c>
      <c r="W8" s="68" t="str">
        <f>IFERROR(__xludf.DUMMYFUNCTION("""COMPUTED_VALUE"""),"Renan")</f>
        <v>Renan</v>
      </c>
    </row>
    <row r="9" ht="15.75" customHeight="1">
      <c r="A9" s="55" t="s">
        <v>336</v>
      </c>
      <c r="B9" s="56" t="s">
        <v>13760</v>
      </c>
      <c r="C9" s="75" t="s">
        <v>17</v>
      </c>
      <c r="D9" s="76">
        <v>200.0</v>
      </c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203">
        <f>IFERROR(__xludf.DUMMYFUNCTION("""COMPUTED_VALUE"""),46035.52385416666)</f>
        <v>46035.52385</v>
      </c>
      <c r="U9" s="67" t="str">
        <f>IFERROR(__xludf.DUMMYFUNCTION("""COMPUTED_VALUE"""),"R$ 6,00")</f>
        <v>R$ 6,00</v>
      </c>
      <c r="V9" s="67" t="str">
        <f>IFERROR(__xludf.DUMMYFUNCTION("""COMPUTED_VALUE"""),"Consumo")</f>
        <v>Consumo</v>
      </c>
      <c r="W9" s="68" t="str">
        <f>IFERROR(__xludf.DUMMYFUNCTION("""COMPUTED_VALUE"""),"Renan")</f>
        <v>Renan</v>
      </c>
    </row>
    <row r="10">
      <c r="A10" s="55" t="s">
        <v>218</v>
      </c>
      <c r="B10" s="56" t="s">
        <v>13763</v>
      </c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202">
        <f>IFERROR(__xludf.DUMMYFUNCTION("""COMPUTED_VALUE"""),46037.536574074074)</f>
        <v>46037.53657</v>
      </c>
      <c r="U10" s="82" t="str">
        <f>IFERROR(__xludf.DUMMYFUNCTION("""COMPUTED_VALUE"""),"R$ 19,00")</f>
        <v>R$ 19,00</v>
      </c>
      <c r="V10" s="82" t="str">
        <f>IFERROR(__xludf.DUMMYFUNCTION("""COMPUTED_VALUE"""),"Consumo")</f>
        <v>Consumo</v>
      </c>
      <c r="W10" s="83" t="str">
        <f>IFERROR(__xludf.DUMMYFUNCTION("""COMPUTED_VALUE"""),"Renan")</f>
        <v>Renan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202">
        <f>IFERROR(__xludf.DUMMYFUNCTION("""COMPUTED_VALUE"""),46038.57576388889)</f>
        <v>46038.57576</v>
      </c>
      <c r="U11" s="82" t="str">
        <f>IFERROR(__xludf.DUMMYFUNCTION("""COMPUTED_VALUE"""),"R$ 3,00")</f>
        <v>R$ 3,00</v>
      </c>
      <c r="V11" s="82" t="str">
        <f>IFERROR(__xludf.DUMMYFUNCTION("""COMPUTED_VALUE"""),"Consumo")</f>
        <v>Consumo</v>
      </c>
      <c r="W11" s="83" t="str">
        <f>IFERROR(__xludf.DUMMYFUNCTION("""COMPUTED_VALUE"""),"Renan")</f>
        <v>Renan</v>
      </c>
    </row>
    <row r="12">
      <c r="A12" s="31"/>
      <c r="B12" s="31"/>
      <c r="C12" s="88" t="str">
        <f>B9</f>
        <v>Regiane</v>
      </c>
      <c r="D12" s="89"/>
      <c r="E12" s="88" t="str">
        <f>B10</f>
        <v>Ramon Dutra</v>
      </c>
      <c r="F12" s="90"/>
      <c r="G12" s="91" t="s">
        <v>12714</v>
      </c>
      <c r="H12" s="92">
        <f>SUMIF(L22:L495,G12,N22:N495)</f>
        <v>3200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202">
        <f>IFERROR(__xludf.DUMMYFUNCTION("""COMPUTED_VALUE"""),46038.84699074074)</f>
        <v>46038.84699</v>
      </c>
      <c r="U12" s="82" t="str">
        <f>IFERROR(__xludf.DUMMYFUNCTION("""COMPUTED_VALUE"""),"R$ 27,00")</f>
        <v>R$ 27,00</v>
      </c>
      <c r="V12" s="82" t="str">
        <f>IFERROR(__xludf.DUMMYFUNCTION("""COMPUTED_VALUE"""),"Consumo")</f>
        <v>Consumo</v>
      </c>
      <c r="W12" s="83" t="str">
        <f>IFERROR(__xludf.DUMMYFUNCTION("""COMPUTED_VALUE"""),"Renan")</f>
        <v>Renan</v>
      </c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201.5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202">
        <f>IFERROR(__xludf.DUMMYFUNCTION("""COMPUTED_VALUE"""),46040.90561342593)</f>
        <v>46040.90561</v>
      </c>
      <c r="U13" s="82" t="str">
        <f>IFERROR(__xludf.DUMMYFUNCTION("""COMPUTED_VALUE"""),"R$ 59,66")</f>
        <v>R$ 59,66</v>
      </c>
      <c r="V13" s="82" t="str">
        <f>IFERROR(__xludf.DUMMYFUNCTION("""COMPUTED_VALUE"""),"Consumo")</f>
        <v>Consumo</v>
      </c>
      <c r="W13" s="83" t="str">
        <f>IFERROR(__xludf.DUMMYFUNCTION("""COMPUTED_VALUE"""),"Renan")</f>
        <v>Renan</v>
      </c>
    </row>
    <row r="14" ht="14.25" customHeight="1">
      <c r="A14" s="105"/>
      <c r="B14" s="105"/>
      <c r="C14" s="97" t="s">
        <v>12658</v>
      </c>
      <c r="D14" s="51">
        <f>SUMIFS(N22:N500,J22:J500,C5,K22:K500,C12)</f>
        <v>0</v>
      </c>
      <c r="E14" s="97" t="s">
        <v>12658</v>
      </c>
      <c r="F14" s="106">
        <f>SUMIFS(N22:N500,J22:J500,C5,K22:K500,E12)</f>
        <v>0</v>
      </c>
      <c r="G14" s="50" t="s">
        <v>12744</v>
      </c>
      <c r="H14" s="51">
        <f>SUMIFS(N22:N500,D22:D500,"Saída",J22:J500,"Sangria")</f>
        <v>35560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202">
        <f>IFERROR(__xludf.DUMMYFUNCTION("""COMPUTED_VALUE"""),46042.75402777777)</f>
        <v>46042.75403</v>
      </c>
      <c r="U14" s="82" t="str">
        <f>IFERROR(__xludf.DUMMYFUNCTION("""COMPUTED_VALUE"""),"R$ 5,00")</f>
        <v>R$ 5,00</v>
      </c>
      <c r="V14" s="82" t="str">
        <f>IFERROR(__xludf.DUMMYFUNCTION("""COMPUTED_VALUE"""),"Consumo")</f>
        <v>Consumo</v>
      </c>
      <c r="W14" s="83" t="str">
        <f>IFERROR(__xludf.DUMMYFUNCTION("""COMPUTED_VALUE"""),"Renan")</f>
        <v>Renan</v>
      </c>
    </row>
    <row r="15">
      <c r="A15" s="105"/>
      <c r="B15" s="105"/>
      <c r="C15" s="109" t="s">
        <v>12669</v>
      </c>
      <c r="D15" s="51">
        <f>D14*0.8</f>
        <v>0</v>
      </c>
      <c r="E15" s="109" t="s">
        <v>12669</v>
      </c>
      <c r="F15" s="110">
        <f>F14*0.8</f>
        <v>0</v>
      </c>
      <c r="G15" s="111" t="s">
        <v>12749</v>
      </c>
      <c r="H15" s="112">
        <f>SUMIFS(N22:N500,D22:D500,"Entrada",J22:J500,"Sangria")</f>
        <v>2800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81"/>
      <c r="U15" s="82"/>
      <c r="V15" s="82"/>
      <c r="W15" s="83"/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81"/>
      <c r="U16" s="82"/>
      <c r="V16" s="82"/>
      <c r="W16" s="83"/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1600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81"/>
      <c r="U17" s="82"/>
      <c r="V17" s="82"/>
      <c r="W17" s="83"/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>Bruna</v>
      </c>
      <c r="S21" s="138"/>
      <c r="T21" s="148" t="str">
        <f>B7</f>
        <v>Josi Ribas</v>
      </c>
    </row>
    <row r="22">
      <c r="A22" s="149"/>
      <c r="B22" s="13">
        <v>1881738.0</v>
      </c>
      <c r="C22" s="14">
        <v>46014.62608796296</v>
      </c>
      <c r="D22" s="210" t="s">
        <v>101</v>
      </c>
      <c r="E22" s="211" t="s">
        <v>13545</v>
      </c>
      <c r="F22" s="212"/>
      <c r="G22" s="210" t="s">
        <v>13747</v>
      </c>
      <c r="H22" s="155"/>
      <c r="I22" s="155"/>
      <c r="J22" s="156" t="s">
        <v>6914</v>
      </c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>
        <f>IFERROR(__xludf.DUMMYFUNCTION("ifna(VALUE(REGEXEXTRACT(E22,""[0-9.]+[,]+[0-9]+"")))"),67.0)</f>
        <v>67</v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1882382.0</v>
      </c>
      <c r="C23" s="14">
        <v>46014.752118055556</v>
      </c>
      <c r="D23" s="210" t="s">
        <v>101</v>
      </c>
      <c r="E23" s="211" t="s">
        <v>260</v>
      </c>
      <c r="F23" s="212"/>
      <c r="G23" s="210" t="s">
        <v>13792</v>
      </c>
      <c r="H23" s="161"/>
      <c r="I23" s="161"/>
      <c r="J23" s="156" t="s">
        <v>12658</v>
      </c>
      <c r="K23" s="156" t="s">
        <v>11866</v>
      </c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59">
        <f>IFERROR(__xludf.DUMMYFUNCTION("ifna(VALUE(REGEXEXTRACT(E23,""[0-9.]+[,]+[0-9]+"")))"),13.0)</f>
        <v>13</v>
      </c>
      <c r="O23" s="206">
        <f>IFERROR(__xludf.DUMMYFUNCTION("""COMPUTED_VALUE"""),46017.92028935185)</f>
        <v>46017.92029</v>
      </c>
      <c r="P23" s="58" t="str">
        <f>IFERROR(__xludf.DUMMYFUNCTION("""COMPUTED_VALUE"""),"R$ 65,00")</f>
        <v>R$ 65,00</v>
      </c>
      <c r="Q23" s="58" t="str">
        <f>IFERROR(__xludf.DUMMYFUNCTION("""COMPUTED_VALUE"""),"Consumo")</f>
        <v>Consumo</v>
      </c>
      <c r="R23" s="58" t="str">
        <f>IFERROR(__xludf.DUMMYFUNCTION("""COMPUTED_VALUE"""),"Bruna")</f>
        <v>Bruna</v>
      </c>
      <c r="S23" s="159"/>
      <c r="T23" s="58"/>
      <c r="U23" s="58"/>
      <c r="V23" s="58"/>
      <c r="W23" s="58"/>
    </row>
    <row r="24" ht="14.25" customHeight="1">
      <c r="A24" s="149"/>
      <c r="B24" s="13">
        <v>1882662.0</v>
      </c>
      <c r="C24" s="14">
        <v>46014.82237268519</v>
      </c>
      <c r="D24" s="210" t="s">
        <v>101</v>
      </c>
      <c r="E24" s="211" t="s">
        <v>13796</v>
      </c>
      <c r="F24" s="212"/>
      <c r="G24" s="210" t="s">
        <v>13797</v>
      </c>
      <c r="H24" s="161"/>
      <c r="I24" s="161"/>
      <c r="J24" s="156" t="s">
        <v>10036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IFERROR(__xludf.DUMMYFUNCTION("ifna(VALUE(REGEXEXTRACT(E24,""[0-9.]+[,]+[0-9]+"")))"),203.0)</f>
        <v>203</v>
      </c>
      <c r="O24" s="206">
        <f>IFERROR(__xludf.DUMMYFUNCTION("""COMPUTED_VALUE"""),46020.900601851856)</f>
        <v>46020.9006</v>
      </c>
      <c r="P24" s="58" t="str">
        <f>IFERROR(__xludf.DUMMYFUNCTION("""COMPUTED_VALUE"""),"R$ 6,00")</f>
        <v>R$ 6,00</v>
      </c>
      <c r="Q24" s="58" t="str">
        <f>IFERROR(__xludf.DUMMYFUNCTION("""COMPUTED_VALUE"""),"Consumo")</f>
        <v>Consumo</v>
      </c>
      <c r="R24" s="58" t="str">
        <f>IFERROR(__xludf.DUMMYFUNCTION("""COMPUTED_VALUE"""),"Bruna")</f>
        <v>Bruna</v>
      </c>
      <c r="S24" s="159"/>
      <c r="T24" s="58"/>
      <c r="U24" s="58"/>
      <c r="V24" s="58"/>
      <c r="W24" s="58"/>
    </row>
    <row r="25" ht="14.25" customHeight="1">
      <c r="A25" s="149"/>
      <c r="B25" s="13">
        <v>1883180.0</v>
      </c>
      <c r="C25" s="14">
        <v>46014.922997685186</v>
      </c>
      <c r="D25" s="210" t="s">
        <v>101</v>
      </c>
      <c r="E25" s="211" t="s">
        <v>316</v>
      </c>
      <c r="F25" s="212"/>
      <c r="G25" s="210" t="s">
        <v>13747</v>
      </c>
      <c r="H25" s="161"/>
      <c r="I25" s="161"/>
      <c r="J25" s="156" t="s">
        <v>6914</v>
      </c>
      <c r="K25" s="156"/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IFERROR(__xludf.DUMMYFUNCTION("ifna(VALUE(REGEXEXTRACT(E25,""[0-9.]+[,]+[0-9]+"")))"),125.0)</f>
        <v>125</v>
      </c>
      <c r="O25" s="208">
        <f>IFERROR(__xludf.DUMMYFUNCTION("""COMPUTED_VALUE"""),46021.74105324074)</f>
        <v>46021.74105</v>
      </c>
      <c r="P25" s="67" t="str">
        <f>IFERROR(__xludf.DUMMYFUNCTION("""COMPUTED_VALUE"""),"R$ 3,00")</f>
        <v>R$ 3,00</v>
      </c>
      <c r="Q25" s="67" t="str">
        <f>IFERROR(__xludf.DUMMYFUNCTION("""COMPUTED_VALUE"""),"Consumo")</f>
        <v>Consumo</v>
      </c>
      <c r="R25" s="67" t="str">
        <f>IFERROR(__xludf.DUMMYFUNCTION("""COMPUTED_VALUE"""),"Bruna")</f>
        <v>Bruna</v>
      </c>
      <c r="S25" s="159"/>
      <c r="T25" s="67"/>
      <c r="U25" s="67"/>
      <c r="V25" s="67"/>
      <c r="W25" s="67"/>
    </row>
    <row r="26" ht="14.25" customHeight="1">
      <c r="A26" s="149"/>
      <c r="B26" s="13">
        <v>1883215.0</v>
      </c>
      <c r="C26" s="14">
        <v>46014.92710648148</v>
      </c>
      <c r="D26" s="210" t="s">
        <v>139</v>
      </c>
      <c r="E26" s="211" t="s">
        <v>13545</v>
      </c>
      <c r="F26" s="212"/>
      <c r="G26" s="210" t="s">
        <v>13803</v>
      </c>
      <c r="H26" s="161"/>
      <c r="I26" s="161"/>
      <c r="J26" s="156" t="s">
        <v>6914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IFERROR(__xludf.DUMMYFUNCTION("ifna(VALUE(REGEXEXTRACT(E26,""[0-9.]+[,]+[0-9]+"")))"),67.0)</f>
        <v>67</v>
      </c>
      <c r="O26" s="208">
        <f>IFERROR(__xludf.DUMMYFUNCTION("""COMPUTED_VALUE"""),46021.91159722222)</f>
        <v>46021.9116</v>
      </c>
      <c r="P26" s="67" t="str">
        <f>IFERROR(__xludf.DUMMYFUNCTION("""COMPUTED_VALUE"""),"R$ 126,00")</f>
        <v>R$ 126,00</v>
      </c>
      <c r="Q26" s="67" t="str">
        <f>IFERROR(__xludf.DUMMYFUNCTION("""COMPUTED_VALUE"""),"Consumo")</f>
        <v>Consumo</v>
      </c>
      <c r="R26" s="67" t="str">
        <f>IFERROR(__xludf.DUMMYFUNCTION("""COMPUTED_VALUE"""),"Bruna")</f>
        <v>Bruna</v>
      </c>
      <c r="S26" s="159"/>
      <c r="T26" s="67"/>
      <c r="U26" s="67"/>
      <c r="V26" s="67"/>
      <c r="W26" s="67"/>
    </row>
    <row r="27" ht="14.25" customHeight="1">
      <c r="A27" s="149"/>
      <c r="B27" s="13">
        <v>1883321.0</v>
      </c>
      <c r="C27" s="14">
        <v>46014.93898148148</v>
      </c>
      <c r="D27" s="210" t="s">
        <v>101</v>
      </c>
      <c r="E27" s="211" t="s">
        <v>1496</v>
      </c>
      <c r="F27" s="214"/>
      <c r="G27" s="210" t="s">
        <v>13806</v>
      </c>
      <c r="H27" s="161"/>
      <c r="I27" s="161"/>
      <c r="J27" s="156" t="s">
        <v>12778</v>
      </c>
      <c r="K27" s="156" t="s">
        <v>12666</v>
      </c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"),"Confirmada")</f>
        <v>Confirmada</v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IFERROR(__xludf.DUMMYFUNCTION("ifna(VALUE(REGEXEXTRACT(E27,""[0-9.]+[,]+[0-9]+"")))"),950.0)</f>
        <v>950</v>
      </c>
      <c r="O27" s="208">
        <f>IFERROR(__xludf.DUMMYFUNCTION("""COMPUTED_VALUE"""),46024.58188657407)</f>
        <v>46024.58189</v>
      </c>
      <c r="P27" s="67" t="str">
        <f>IFERROR(__xludf.DUMMYFUNCTION("""COMPUTED_VALUE"""),"R$ 8,00")</f>
        <v>R$ 8,00</v>
      </c>
      <c r="Q27" s="67" t="str">
        <f>IFERROR(__xludf.DUMMYFUNCTION("""COMPUTED_VALUE"""),"Consumo")</f>
        <v>Consumo</v>
      </c>
      <c r="R27" s="67" t="str">
        <f>IFERROR(__xludf.DUMMYFUNCTION("""COMPUTED_VALUE"""),"Bruna")</f>
        <v>Bruna</v>
      </c>
      <c r="S27" s="159"/>
      <c r="T27" s="67"/>
      <c r="U27" s="67"/>
      <c r="V27" s="67"/>
      <c r="W27" s="67"/>
    </row>
    <row r="28" ht="14.25" customHeight="1">
      <c r="A28" s="149"/>
      <c r="B28" s="13">
        <v>1886073.0</v>
      </c>
      <c r="C28" s="14">
        <v>46017.61199074074</v>
      </c>
      <c r="D28" s="210" t="s">
        <v>139</v>
      </c>
      <c r="E28" s="211" t="s">
        <v>13811</v>
      </c>
      <c r="F28" s="212"/>
      <c r="G28" s="210" t="s">
        <v>12927</v>
      </c>
      <c r="H28" s="161"/>
      <c r="I28" s="161"/>
      <c r="J28" s="156" t="s">
        <v>12952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IFERROR(__xludf.DUMMYFUNCTION("ifna(VALUE(REGEXEXTRACT(E28,""[0-9.]+[,]+[0-9]+"")))"),148.0)</f>
        <v>148</v>
      </c>
      <c r="O28" s="206">
        <f>IFERROR(__xludf.DUMMYFUNCTION("""COMPUTED_VALUE"""),46026.884675925925)</f>
        <v>46026.88468</v>
      </c>
      <c r="P28" s="82" t="str">
        <f>IFERROR(__xludf.DUMMYFUNCTION("""COMPUTED_VALUE"""),"R$ 3,00")</f>
        <v>R$ 3,00</v>
      </c>
      <c r="Q28" s="82" t="str">
        <f>IFERROR(__xludf.DUMMYFUNCTION("""COMPUTED_VALUE"""),"Consumo")</f>
        <v>Consumo</v>
      </c>
      <c r="R28" s="82" t="str">
        <f>IFERROR(__xludf.DUMMYFUNCTION("""COMPUTED_VALUE"""),"Bruna")</f>
        <v>Bruna</v>
      </c>
      <c r="S28" s="159"/>
      <c r="T28" s="82"/>
      <c r="U28" s="82"/>
      <c r="V28" s="82"/>
      <c r="W28" s="82"/>
    </row>
    <row r="29" ht="14.25" customHeight="1">
      <c r="A29" s="149"/>
      <c r="B29" s="13">
        <v>1886120.0</v>
      </c>
      <c r="C29" s="14">
        <v>46017.6297337963</v>
      </c>
      <c r="D29" s="210" t="s">
        <v>101</v>
      </c>
      <c r="E29" s="211" t="s">
        <v>13815</v>
      </c>
      <c r="F29" s="212"/>
      <c r="G29" s="210" t="s">
        <v>3109</v>
      </c>
      <c r="H29" s="161"/>
      <c r="I29" s="161"/>
      <c r="J29" s="156" t="s">
        <v>12818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59">
        <f>IFERROR(__xludf.DUMMYFUNCTION("ifna(VALUE(REGEXEXTRACT(E29,""[0-9.]+[,]+[0-9]+"")))"),85.93)</f>
        <v>85.93</v>
      </c>
      <c r="O29" s="206">
        <f>IFERROR(__xludf.DUMMYFUNCTION("""COMPUTED_VALUE"""),46027.750925925924)</f>
        <v>46027.75093</v>
      </c>
      <c r="P29" s="82" t="str">
        <f>IFERROR(__xludf.DUMMYFUNCTION("""COMPUTED_VALUE"""),"R$ 5,00")</f>
        <v>R$ 5,00</v>
      </c>
      <c r="Q29" s="82" t="str">
        <f>IFERROR(__xludf.DUMMYFUNCTION("""COMPUTED_VALUE"""),"Consumo")</f>
        <v>Consumo</v>
      </c>
      <c r="R29" s="82" t="str">
        <f>IFERROR(__xludf.DUMMYFUNCTION("""COMPUTED_VALUE"""),"Bruna")</f>
        <v>Bruna</v>
      </c>
      <c r="S29" s="159"/>
      <c r="T29" s="82"/>
      <c r="U29" s="82"/>
      <c r="V29" s="82"/>
      <c r="W29" s="82"/>
    </row>
    <row r="30" ht="14.25" customHeight="1">
      <c r="A30" s="149"/>
      <c r="B30" s="13">
        <v>1887312.0</v>
      </c>
      <c r="C30" s="14">
        <v>46017.858831018515</v>
      </c>
      <c r="D30" s="210" t="s">
        <v>101</v>
      </c>
      <c r="E30" s="211" t="s">
        <v>1633</v>
      </c>
      <c r="F30" s="212"/>
      <c r="G30" s="210" t="s">
        <v>13816</v>
      </c>
      <c r="H30" s="161"/>
      <c r="I30" s="161"/>
      <c r="J30" s="156" t="s">
        <v>12818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59">
        <f>IFERROR(__xludf.DUMMYFUNCTION("ifna(VALUE(REGEXEXTRACT(E30,""[0-9.]+[,]+[0-9]+"")))"),8.0)</f>
        <v>8</v>
      </c>
      <c r="O30" s="206">
        <f>IFERROR(__xludf.DUMMYFUNCTION("""COMPUTED_VALUE"""),46029.74936342593)</f>
        <v>46029.74936</v>
      </c>
      <c r="P30" s="82" t="str">
        <f>IFERROR(__xludf.DUMMYFUNCTION("""COMPUTED_VALUE"""),"R$ 5,00")</f>
        <v>R$ 5,00</v>
      </c>
      <c r="Q30" s="82" t="str">
        <f>IFERROR(__xludf.DUMMYFUNCTION("""COMPUTED_VALUE"""),"Consumo")</f>
        <v>Consumo</v>
      </c>
      <c r="R30" s="82" t="str">
        <f>IFERROR(__xludf.DUMMYFUNCTION("""COMPUTED_VALUE"""),"Bruna")</f>
        <v>Bruna</v>
      </c>
      <c r="S30" s="159"/>
      <c r="T30" s="82"/>
      <c r="U30" s="82"/>
      <c r="V30" s="82"/>
      <c r="W30" s="82"/>
    </row>
    <row r="31" ht="14.25" customHeight="1">
      <c r="A31" s="149"/>
      <c r="B31" s="13">
        <v>1887595.0</v>
      </c>
      <c r="C31" s="14">
        <v>46017.90965277778</v>
      </c>
      <c r="D31" s="210" t="s">
        <v>101</v>
      </c>
      <c r="E31" s="211" t="s">
        <v>12941</v>
      </c>
      <c r="F31" s="212"/>
      <c r="G31" s="210" t="s">
        <v>13775</v>
      </c>
      <c r="H31" s="161"/>
      <c r="I31" s="161"/>
      <c r="J31" s="156" t="s">
        <v>6914</v>
      </c>
      <c r="K31" s="156"/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IFERROR(__xludf.DUMMYFUNCTION("ifna(VALUE(REGEXEXTRACT(E31,""[0-9.]+[,]+[0-9]+"")))"),46.0)</f>
        <v>46</v>
      </c>
      <c r="O31" s="206">
        <f>IFERROR(__xludf.DUMMYFUNCTION("""COMPUTED_VALUE"""),46029.921053240745)</f>
        <v>46029.92105</v>
      </c>
      <c r="P31" s="82" t="str">
        <f>IFERROR(__xludf.DUMMYFUNCTION("""COMPUTED_VALUE"""),"R$ 8,00")</f>
        <v>R$ 8,00</v>
      </c>
      <c r="Q31" s="82" t="str">
        <f>IFERROR(__xludf.DUMMYFUNCTION("""COMPUTED_VALUE"""),"Consumo")</f>
        <v>Consumo</v>
      </c>
      <c r="R31" s="82" t="str">
        <f>IFERROR(__xludf.DUMMYFUNCTION("""COMPUTED_VALUE"""),"Bruna")</f>
        <v>Bruna</v>
      </c>
      <c r="S31" s="159"/>
      <c r="T31" s="82"/>
      <c r="U31" s="82"/>
      <c r="V31" s="82"/>
      <c r="W31" s="82"/>
    </row>
    <row r="32" ht="14.25" customHeight="1">
      <c r="A32" s="149"/>
      <c r="B32" s="13">
        <v>1887702.0</v>
      </c>
      <c r="C32" s="14">
        <v>46017.92028935185</v>
      </c>
      <c r="D32" s="210" t="s">
        <v>101</v>
      </c>
      <c r="E32" s="211" t="s">
        <v>401</v>
      </c>
      <c r="F32" s="212"/>
      <c r="G32" s="210" t="s">
        <v>13822</v>
      </c>
      <c r="H32" s="161"/>
      <c r="I32" s="161"/>
      <c r="J32" s="156" t="s">
        <v>12658</v>
      </c>
      <c r="K32" s="156" t="s">
        <v>12666</v>
      </c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IFERROR(__xludf.DUMMYFUNCTION("ifna(VALUE(REGEXEXTRACT(E32,""[0-9.]+[,]+[0-9]+"")))"),65.0)</f>
        <v>65</v>
      </c>
      <c r="O32" s="206">
        <f>IFERROR(__xludf.DUMMYFUNCTION("""COMPUTED_VALUE"""),46032.90650462963)</f>
        <v>46032.9065</v>
      </c>
      <c r="P32" s="82" t="str">
        <f>IFERROR(__xludf.DUMMYFUNCTION("""COMPUTED_VALUE"""),"R$ 25,15")</f>
        <v>R$ 25,15</v>
      </c>
      <c r="Q32" s="82" t="str">
        <f>IFERROR(__xludf.DUMMYFUNCTION("""COMPUTED_VALUE"""),"Consumo")</f>
        <v>Consumo</v>
      </c>
      <c r="R32" s="82" t="str">
        <f>IFERROR(__xludf.DUMMYFUNCTION("""COMPUTED_VALUE"""),"Bruna")</f>
        <v>Bruna</v>
      </c>
      <c r="S32" s="159"/>
      <c r="T32" s="82"/>
      <c r="U32" s="82"/>
      <c r="V32" s="82"/>
      <c r="W32" s="82"/>
    </row>
    <row r="33" ht="14.25" customHeight="1">
      <c r="A33" s="149"/>
      <c r="B33" s="13">
        <v>1887714.0</v>
      </c>
      <c r="C33" s="14">
        <v>46017.921435185184</v>
      </c>
      <c r="D33" s="210" t="s">
        <v>101</v>
      </c>
      <c r="E33" s="211" t="s">
        <v>13138</v>
      </c>
      <c r="F33" s="212"/>
      <c r="G33" s="210" t="s">
        <v>13824</v>
      </c>
      <c r="H33" s="161"/>
      <c r="I33" s="161"/>
      <c r="J33" s="156"/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IFERROR(__xludf.DUMMYFUNCTION("ifna(VALUE(REGEXEXTRACT(E33,""[0-9.]+[,]+[0-9]+"")))"),0.01)</f>
        <v>0.01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1887755.0</v>
      </c>
      <c r="C34" s="14">
        <v>46017.924895833334</v>
      </c>
      <c r="D34" s="210" t="s">
        <v>101</v>
      </c>
      <c r="E34" s="211" t="s">
        <v>13316</v>
      </c>
      <c r="F34" s="212"/>
      <c r="G34" s="210" t="s">
        <v>13639</v>
      </c>
      <c r="H34" s="161"/>
      <c r="I34" s="161"/>
      <c r="J34" s="156" t="s">
        <v>10036</v>
      </c>
      <c r="K34" s="156"/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IFERROR(__xludf.DUMMYFUNCTION("ifna(VALUE(REGEXEXTRACT(E34,""[0-9.]+[,]+[0-9]+"")))"),104.0)</f>
        <v>104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1887801.0</v>
      </c>
      <c r="C35" s="14">
        <v>46017.93142361111</v>
      </c>
      <c r="D35" s="210" t="s">
        <v>101</v>
      </c>
      <c r="E35" s="211" t="s">
        <v>13748</v>
      </c>
      <c r="F35" s="212"/>
      <c r="G35" s="210" t="s">
        <v>13827</v>
      </c>
      <c r="H35" s="161"/>
      <c r="I35" s="161"/>
      <c r="J35" s="156" t="s">
        <v>12778</v>
      </c>
      <c r="K35" s="156" t="s">
        <v>12666</v>
      </c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"),"Confirmada")</f>
        <v>Confirmada</v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IFERROR(__xludf.DUMMYFUNCTION("ifna(VALUE(REGEXEXTRACT(E35,""[0-9.]+[,]+[0-9]+"")))"),1650.0)</f>
        <v>1650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1888791.0</v>
      </c>
      <c r="C36" s="14">
        <v>46018.61357638889</v>
      </c>
      <c r="D36" s="210" t="s">
        <v>139</v>
      </c>
      <c r="E36" s="211" t="s">
        <v>13635</v>
      </c>
      <c r="F36" s="212"/>
      <c r="G36" s="210" t="s">
        <v>12927</v>
      </c>
      <c r="H36" s="169"/>
      <c r="I36" s="169"/>
      <c r="J36" s="156" t="s">
        <v>12952</v>
      </c>
      <c r="K36" s="156"/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IFERROR(__xludf.DUMMYFUNCTION("ifna(VALUE(REGEXEXTRACT(E36,""[0-9.]+[,]+[0-9]+"")))"),260.0)</f>
        <v>260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1890293.0</v>
      </c>
      <c r="C37" s="14">
        <v>46018.90107638889</v>
      </c>
      <c r="D37" s="210" t="s">
        <v>101</v>
      </c>
      <c r="E37" s="211" t="s">
        <v>13412</v>
      </c>
      <c r="F37" s="214"/>
      <c r="G37" s="210" t="s">
        <v>13543</v>
      </c>
      <c r="H37" s="169"/>
      <c r="I37" s="169"/>
      <c r="J37" s="156" t="s">
        <v>6914</v>
      </c>
      <c r="K37" s="156"/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IFERROR(__xludf.DUMMYFUNCTION("ifna(VALUE(REGEXEXTRACT(E37,""[0-9.]+[,]+[0-9]+"")))"),190.0)</f>
        <v>190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1890301.0</v>
      </c>
      <c r="C38" s="14">
        <v>46018.9021875</v>
      </c>
      <c r="D38" s="210" t="s">
        <v>101</v>
      </c>
      <c r="E38" s="211" t="s">
        <v>13209</v>
      </c>
      <c r="F38" s="212"/>
      <c r="G38" s="210" t="s">
        <v>12901</v>
      </c>
      <c r="H38" s="170"/>
      <c r="I38" s="170"/>
      <c r="J38" s="156" t="s">
        <v>10036</v>
      </c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IFERROR(__xludf.DUMMYFUNCTION("ifna(VALUE(REGEXEXTRACT(E38,""[0-9.]+[,]+[0-9]+"")))"),117.0)</f>
        <v>117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1890311.0</v>
      </c>
      <c r="C39" s="14">
        <v>46018.90425925926</v>
      </c>
      <c r="D39" s="210" t="s">
        <v>101</v>
      </c>
      <c r="E39" s="211" t="s">
        <v>321</v>
      </c>
      <c r="F39" s="212"/>
      <c r="G39" s="210" t="s">
        <v>13833</v>
      </c>
      <c r="H39" s="170"/>
      <c r="I39" s="170"/>
      <c r="J39" s="156" t="s">
        <v>12658</v>
      </c>
      <c r="K39" s="156" t="s">
        <v>11866</v>
      </c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IFERROR(__xludf.DUMMYFUNCTION("ifna(VALUE(REGEXEXTRACT(E39,""[0-9.]+[,]+[0-9]+"")))"),83.0)</f>
        <v>83</v>
      </c>
      <c r="O39" s="171" t="str">
        <f>B8</f>
        <v>Rose</v>
      </c>
      <c r="S39" s="159"/>
      <c r="T39" s="148" t="str">
        <f>B9</f>
        <v>Regiane</v>
      </c>
    </row>
    <row r="40" ht="14.25" customHeight="1">
      <c r="A40" s="149"/>
      <c r="B40" s="13">
        <v>1890316.0</v>
      </c>
      <c r="C40" s="14">
        <v>46018.90474537037</v>
      </c>
      <c r="D40" s="210" t="s">
        <v>101</v>
      </c>
      <c r="E40" s="211" t="s">
        <v>786</v>
      </c>
      <c r="F40" s="212"/>
      <c r="G40" s="210" t="s">
        <v>13639</v>
      </c>
      <c r="H40" s="170"/>
      <c r="I40" s="170"/>
      <c r="J40" s="156" t="s">
        <v>10036</v>
      </c>
      <c r="K40" s="156"/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IFERROR(__xludf.DUMMYFUNCTION("ifna(VALUE(REGEXEXTRACT(E40,""[0-9.]+[,]+[0-9]+"")))"),130.0)</f>
        <v>130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1890320.0</v>
      </c>
      <c r="C41" s="14">
        <v>46018.90498842593</v>
      </c>
      <c r="D41" s="210" t="s">
        <v>101</v>
      </c>
      <c r="E41" s="211" t="s">
        <v>13316</v>
      </c>
      <c r="F41" s="212"/>
      <c r="G41" s="210" t="s">
        <v>13841</v>
      </c>
      <c r="H41" s="170"/>
      <c r="I41" s="170"/>
      <c r="J41" s="156" t="s">
        <v>10036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IFERROR(__xludf.DUMMYFUNCTION("ifna(VALUE(REGEXEXTRACT(E41,""[0-9.]+[,]+[0-9]+"")))"),104.0)</f>
        <v>104</v>
      </c>
      <c r="O41" s="206">
        <f>IFERROR(__xludf.DUMMYFUNCTION("""COMPUTED_VALUE"""),46021.91237268518)</f>
        <v>46021.91237</v>
      </c>
      <c r="P41" s="58" t="str">
        <f>IFERROR(__xludf.DUMMYFUNCTION("""COMPUTED_VALUE"""),"R$ 26,00")</f>
        <v>R$ 26,00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1890323.0</v>
      </c>
      <c r="C42" s="14">
        <v>46018.905335648145</v>
      </c>
      <c r="D42" s="210" t="s">
        <v>101</v>
      </c>
      <c r="E42" s="211" t="s">
        <v>786</v>
      </c>
      <c r="F42" s="212"/>
      <c r="G42" s="210" t="s">
        <v>13845</v>
      </c>
      <c r="H42" s="170"/>
      <c r="I42" s="170"/>
      <c r="J42" s="156" t="s">
        <v>10036</v>
      </c>
      <c r="K42" s="156"/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IFERROR(__xludf.DUMMYFUNCTION("ifna(VALUE(REGEXEXTRACT(E42,""[0-9.]+[,]+[0-9]+"")))"),130.0)</f>
        <v>130</v>
      </c>
      <c r="O42" s="206">
        <f>IFERROR(__xludf.DUMMYFUNCTION("""COMPUTED_VALUE"""),46027.91071759259)</f>
        <v>46027.91072</v>
      </c>
      <c r="P42" s="58" t="str">
        <f>IFERROR(__xludf.DUMMYFUNCTION("""COMPUTED_VALUE"""),"R$ 64,90")</f>
        <v>R$ 64,90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3">
        <v>1890621.0</v>
      </c>
      <c r="C43" s="14">
        <v>46018.930347222224</v>
      </c>
      <c r="D43" s="210" t="s">
        <v>101</v>
      </c>
      <c r="E43" s="211" t="s">
        <v>13714</v>
      </c>
      <c r="F43" s="212"/>
      <c r="G43" s="210" t="s">
        <v>13848</v>
      </c>
      <c r="H43" s="170"/>
      <c r="I43" s="170"/>
      <c r="J43" s="156" t="s">
        <v>12778</v>
      </c>
      <c r="K43" s="156" t="s">
        <v>12666</v>
      </c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"),"Confirmada")</f>
        <v>Confirmada</v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IFERROR(__xludf.DUMMYFUNCTION("ifna(VALUE(REGEXEXTRACT(E43,""[0-9.]+[,]+[0-9]+"")))"),1200.0)</f>
        <v>1200</v>
      </c>
      <c r="O43" s="208">
        <f>IFERROR(__xludf.DUMMYFUNCTION("""COMPUTED_VALUE"""),46039.91006944445)</f>
        <v>46039.91007</v>
      </c>
      <c r="P43" s="67" t="str">
        <f>IFERROR(__xludf.DUMMYFUNCTION("""COMPUTED_VALUE"""),"R$ 39,00")</f>
        <v>R$ 39,00</v>
      </c>
      <c r="Q43" s="67" t="str">
        <f>IFERROR(__xludf.DUMMYFUNCTION("""COMPUTED_VALUE"""),"Consumo")</f>
        <v>Consumo</v>
      </c>
      <c r="R43" s="67" t="str">
        <f>IFERROR(__xludf.DUMMYFUNCTION("""COMPUTED_VALUE"""),"Rose")</f>
        <v>Rose</v>
      </c>
      <c r="S43" s="159"/>
      <c r="T43" s="67"/>
      <c r="U43" s="67"/>
      <c r="V43" s="67"/>
      <c r="W43" s="67"/>
    </row>
    <row r="44" ht="14.25" customHeight="1">
      <c r="A44" s="149"/>
      <c r="B44" s="13">
        <v>1890718.0</v>
      </c>
      <c r="C44" s="14">
        <v>46018.93829861111</v>
      </c>
      <c r="D44" s="210" t="s">
        <v>139</v>
      </c>
      <c r="E44" s="211" t="s">
        <v>13714</v>
      </c>
      <c r="F44" s="212"/>
      <c r="G44" s="210" t="s">
        <v>13848</v>
      </c>
      <c r="H44" s="170"/>
      <c r="I44" s="170"/>
      <c r="J44" s="156" t="s">
        <v>12778</v>
      </c>
      <c r="K44" s="156" t="s">
        <v>12666</v>
      </c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IFERROR(__xludf.DUMMYFUNCTION("ifna(VALUE(REGEXEXTRACT(E44,""[0-9.]+[,]+[0-9]+"")))"),1200.0)</f>
        <v>1200</v>
      </c>
      <c r="O44" s="67"/>
      <c r="P44" s="67"/>
      <c r="Q44" s="67"/>
      <c r="R44" s="67"/>
      <c r="S44" s="159"/>
      <c r="T44" s="67"/>
      <c r="U44" s="67"/>
      <c r="V44" s="67"/>
      <c r="W44" s="67"/>
    </row>
    <row r="45" ht="14.25" customHeight="1">
      <c r="A45" s="149"/>
      <c r="B45" s="13">
        <v>1890724.0</v>
      </c>
      <c r="C45" s="14">
        <v>46018.93861111111</v>
      </c>
      <c r="D45" s="210" t="s">
        <v>101</v>
      </c>
      <c r="E45" s="211" t="s">
        <v>13714</v>
      </c>
      <c r="F45" s="212"/>
      <c r="G45" s="210" t="s">
        <v>13848</v>
      </c>
      <c r="H45" s="170"/>
      <c r="I45" s="170"/>
      <c r="J45" s="156" t="s">
        <v>12778</v>
      </c>
      <c r="K45" s="156" t="s">
        <v>12666</v>
      </c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"),"Confirmada")</f>
        <v>Confirmada</v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IFERROR(__xludf.DUMMYFUNCTION("ifna(VALUE(REGEXEXTRACT(E45,""[0-9.]+[,]+[0-9]+"")))"),1200.0)</f>
        <v>1200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13">
        <v>1892289.0</v>
      </c>
      <c r="C46" s="14">
        <v>46019.747708333336</v>
      </c>
      <c r="D46" s="210" t="s">
        <v>139</v>
      </c>
      <c r="E46" s="211" t="s">
        <v>13636</v>
      </c>
      <c r="F46" s="212"/>
      <c r="G46" s="210" t="s">
        <v>12927</v>
      </c>
      <c r="H46" s="170"/>
      <c r="I46" s="170"/>
      <c r="J46" s="156" t="s">
        <v>12952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IFERROR(__xludf.DUMMYFUNCTION("ifna(VALUE(REGEXEXTRACT(E46,""[0-9.]+[,]+[0-9]+"")))"),322.0)</f>
        <v>322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3">
        <v>1893249.0</v>
      </c>
      <c r="C47" s="14">
        <v>46019.892372685186</v>
      </c>
      <c r="D47" s="210" t="s">
        <v>101</v>
      </c>
      <c r="E47" s="211" t="s">
        <v>13851</v>
      </c>
      <c r="F47" s="214"/>
      <c r="G47" s="210" t="s">
        <v>13852</v>
      </c>
      <c r="H47" s="170"/>
      <c r="I47" s="170"/>
      <c r="J47" s="156" t="s">
        <v>6914</v>
      </c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IFERROR(__xludf.DUMMYFUNCTION("ifna(VALUE(REGEXEXTRACT(E47,""[0-9.]+[,]+[0-9]+"")))"),266.0)</f>
        <v>266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3">
        <v>1893626.0</v>
      </c>
      <c r="C48" s="14">
        <v>46019.92255787037</v>
      </c>
      <c r="D48" s="210" t="s">
        <v>101</v>
      </c>
      <c r="E48" s="211" t="s">
        <v>786</v>
      </c>
      <c r="F48" s="212"/>
      <c r="G48" s="210" t="s">
        <v>13854</v>
      </c>
      <c r="H48" s="170"/>
      <c r="I48" s="170"/>
      <c r="J48" s="156" t="s">
        <v>10036</v>
      </c>
      <c r="K48" s="156"/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IFERROR(__xludf.DUMMYFUNCTION("ifna(VALUE(REGEXEXTRACT(E48,""[0-9.]+[,]+[0-9]+"")))"),130.0)</f>
        <v>130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1893636.0</v>
      </c>
      <c r="C49" s="14">
        <v>46019.92324074074</v>
      </c>
      <c r="D49" s="210" t="s">
        <v>101</v>
      </c>
      <c r="E49" s="211" t="s">
        <v>786</v>
      </c>
      <c r="F49" s="212"/>
      <c r="G49" s="210" t="s">
        <v>13845</v>
      </c>
      <c r="H49" s="170"/>
      <c r="I49" s="170"/>
      <c r="J49" s="156" t="s">
        <v>10036</v>
      </c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IFERROR(__xludf.DUMMYFUNCTION("ifna(VALUE(REGEXEXTRACT(E49,""[0-9.]+[,]+[0-9]+"")))"),130.0)</f>
        <v>130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1893654.0</v>
      </c>
      <c r="C50" s="14">
        <v>46019.924166666664</v>
      </c>
      <c r="D50" s="210" t="s">
        <v>101</v>
      </c>
      <c r="E50" s="211" t="s">
        <v>786</v>
      </c>
      <c r="F50" s="212"/>
      <c r="G50" s="210" t="s">
        <v>13639</v>
      </c>
      <c r="H50" s="170"/>
      <c r="I50" s="170"/>
      <c r="J50" s="156" t="s">
        <v>10036</v>
      </c>
      <c r="K50" s="156"/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IFERROR(__xludf.DUMMYFUNCTION("ifna(VALUE(REGEXEXTRACT(E50,""[0-9.]+[,]+[0-9]+"")))"),130.0)</f>
        <v>130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1893819.0</v>
      </c>
      <c r="C51" s="14">
        <v>46019.93298611111</v>
      </c>
      <c r="D51" s="210" t="s">
        <v>101</v>
      </c>
      <c r="E51" s="211" t="s">
        <v>2285</v>
      </c>
      <c r="F51" s="214"/>
      <c r="G51" s="210" t="s">
        <v>13857</v>
      </c>
      <c r="H51" s="170"/>
      <c r="I51" s="170"/>
      <c r="J51" s="156" t="s">
        <v>12778</v>
      </c>
      <c r="K51" s="156" t="s">
        <v>199</v>
      </c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"),"Confirmada")</f>
        <v>Confirmada</v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IFERROR(__xludf.DUMMYFUNCTION("ifna(VALUE(REGEXEXTRACT(E51,""[0-9.]+[,]+[0-9]+"")))"),1900.0)</f>
        <v>1900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1895423.0</v>
      </c>
      <c r="C52" s="14">
        <v>46020.723703703705</v>
      </c>
      <c r="D52" s="210" t="s">
        <v>139</v>
      </c>
      <c r="E52" s="211" t="s">
        <v>213</v>
      </c>
      <c r="F52" s="212"/>
      <c r="G52" s="210" t="s">
        <v>12927</v>
      </c>
      <c r="H52" s="170"/>
      <c r="I52" s="170"/>
      <c r="J52" s="156" t="s">
        <v>12952</v>
      </c>
      <c r="K52" s="156"/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IFERROR(__xludf.DUMMYFUNCTION("ifna(VALUE(REGEXEXTRACT(E52,""[0-9.]+[,]+[0-9]+"")))"),200.0)</f>
        <v>200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1895726.0</v>
      </c>
      <c r="C53" s="14">
        <v>46020.78886574074</v>
      </c>
      <c r="D53" s="210" t="s">
        <v>139</v>
      </c>
      <c r="E53" s="211" t="s">
        <v>582</v>
      </c>
      <c r="F53" s="212"/>
      <c r="G53" s="210" t="s">
        <v>12927</v>
      </c>
      <c r="H53" s="170"/>
      <c r="I53" s="170"/>
      <c r="J53" s="156" t="s">
        <v>12952</v>
      </c>
      <c r="K53" s="156"/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IFERROR(__xludf.DUMMYFUNCTION("ifna(VALUE(REGEXEXTRACT(E53,""[0-9.]+[,]+[0-9]+"")))"),151.0)</f>
        <v>151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1896209.0</v>
      </c>
      <c r="C54" s="14">
        <v>46020.90060185185</v>
      </c>
      <c r="D54" s="210" t="s">
        <v>101</v>
      </c>
      <c r="E54" s="211" t="s">
        <v>274</v>
      </c>
      <c r="F54" s="212"/>
      <c r="G54" s="210" t="s">
        <v>13860</v>
      </c>
      <c r="H54" s="170"/>
      <c r="I54" s="170"/>
      <c r="J54" s="156" t="s">
        <v>12658</v>
      </c>
      <c r="K54" s="156" t="s">
        <v>12666</v>
      </c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IFERROR(__xludf.DUMMYFUNCTION("ifna(VALUE(REGEXEXTRACT(E54,""[0-9.]+[,]+[0-9]+"")))"),6.0)</f>
        <v>6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1896235.0</v>
      </c>
      <c r="C55" s="14">
        <v>46020.904641203706</v>
      </c>
      <c r="D55" s="210" t="s">
        <v>101</v>
      </c>
      <c r="E55" s="211" t="s">
        <v>13777</v>
      </c>
      <c r="F55" s="212"/>
      <c r="G55" s="210" t="s">
        <v>13861</v>
      </c>
      <c r="H55" s="170"/>
      <c r="I55" s="170"/>
      <c r="J55" s="156" t="s">
        <v>6914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IFERROR(__xludf.DUMMYFUNCTION("ifna(VALUE(REGEXEXTRACT(E55,""[0-9.]+[,]+[0-9]+"")))"),61.0)</f>
        <v>61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1896520.0</v>
      </c>
      <c r="C56" s="14">
        <v>46020.93577546296</v>
      </c>
      <c r="D56" s="210" t="s">
        <v>101</v>
      </c>
      <c r="E56" s="211" t="s">
        <v>13862</v>
      </c>
      <c r="F56" s="214"/>
      <c r="G56" s="210" t="s">
        <v>13863</v>
      </c>
      <c r="H56" s="170"/>
      <c r="I56" s="170"/>
      <c r="J56" s="156" t="s">
        <v>12778</v>
      </c>
      <c r="K56" s="156" t="s">
        <v>12666</v>
      </c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IFERROR(__xludf.DUMMYFUNCTION("ifna(VALUE(REGEXEXTRACT(E56,""[0-9.]+[,]+[0-9]+"")))"),1600.0)</f>
        <v>1600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1897272.0</v>
      </c>
      <c r="C57" s="14">
        <v>46021.612175925926</v>
      </c>
      <c r="D57" s="210" t="s">
        <v>101</v>
      </c>
      <c r="E57" s="211" t="s">
        <v>13864</v>
      </c>
      <c r="F57" s="212"/>
      <c r="G57" s="210" t="s">
        <v>13865</v>
      </c>
      <c r="H57" s="170"/>
      <c r="I57" s="170"/>
      <c r="J57" s="156" t="s">
        <v>12818</v>
      </c>
      <c r="K57" s="156"/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"""")"),"Encontrada")</f>
        <v>Encontrada</v>
      </c>
      <c r="N57" s="159">
        <f>IFERROR(__xludf.DUMMYFUNCTION("ifna(VALUE(REGEXEXTRACT(E57,""[0-9.]+[,]+[0-9]+"")))"),4.54)</f>
        <v>4.54</v>
      </c>
      <c r="U57" s="159"/>
      <c r="V57" s="159"/>
      <c r="W57" s="159"/>
    </row>
    <row r="58" ht="14.25" customHeight="1">
      <c r="A58" s="149"/>
      <c r="B58" s="13">
        <v>1897413.0</v>
      </c>
      <c r="C58" s="14">
        <v>46021.654178240744</v>
      </c>
      <c r="D58" s="210" t="s">
        <v>101</v>
      </c>
      <c r="E58" s="211" t="s">
        <v>13866</v>
      </c>
      <c r="F58" s="212"/>
      <c r="G58" s="210" t="s">
        <v>13867</v>
      </c>
      <c r="H58" s="170"/>
      <c r="I58" s="170"/>
      <c r="J58" s="156" t="s">
        <v>13513</v>
      </c>
      <c r="K58" s="156"/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IFERROR(__xludf.DUMMYFUNCTION("ifna(VALUE(REGEXEXTRACT(E58,""[0-9.]+[,]+[0-9]+"")))"),36.45)</f>
        <v>36.45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1897881.0</v>
      </c>
      <c r="C59" s="14">
        <v>46021.74105324074</v>
      </c>
      <c r="D59" s="210" t="s">
        <v>101</v>
      </c>
      <c r="E59" s="211" t="s">
        <v>13561</v>
      </c>
      <c r="F59" s="212"/>
      <c r="G59" s="210" t="s">
        <v>12935</v>
      </c>
      <c r="H59" s="170"/>
      <c r="I59" s="170"/>
      <c r="J59" s="156" t="s">
        <v>12658</v>
      </c>
      <c r="K59" s="156" t="s">
        <v>12666</v>
      </c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IFERROR(__xludf.DUMMYFUNCTION("ifna(VALUE(REGEXEXTRACT(E59,""[0-9.]+[,]+[0-9]+"")))"),3.0)</f>
        <v>3</v>
      </c>
      <c r="O59" s="174" t="s">
        <v>9431</v>
      </c>
      <c r="P59" s="175">
        <v>46017.0</v>
      </c>
      <c r="Q59" s="176" t="s">
        <v>2052</v>
      </c>
      <c r="R59" s="176">
        <v>500.0</v>
      </c>
      <c r="S59" s="177" t="str">
        <f t="shared" ref="S59:S95" si="1">IFERROR(VLOOKUP(Q59, $A$4:$B$11, 2, FALSE), "")</f>
        <v>Josi Ribas</v>
      </c>
      <c r="U59" s="159"/>
      <c r="V59" s="159"/>
      <c r="W59" s="159"/>
    </row>
    <row r="60" ht="14.25" customHeight="1">
      <c r="A60" s="149"/>
      <c r="B60" s="13">
        <v>1898649.0</v>
      </c>
      <c r="C60" s="14">
        <v>46021.91159722222</v>
      </c>
      <c r="D60" s="210" t="s">
        <v>101</v>
      </c>
      <c r="E60" s="211" t="s">
        <v>13870</v>
      </c>
      <c r="F60" s="212"/>
      <c r="G60" s="210" t="s">
        <v>12935</v>
      </c>
      <c r="H60" s="170"/>
      <c r="I60" s="170"/>
      <c r="J60" s="156" t="s">
        <v>12658</v>
      </c>
      <c r="K60" s="156" t="s">
        <v>12666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IFERROR(__xludf.DUMMYFUNCTION("ifna(VALUE(REGEXEXTRACT(E60,""[0-9.]+[,]+[0-9]+"")))"),126.0)</f>
        <v>126</v>
      </c>
      <c r="O60" s="174" t="s">
        <v>9433</v>
      </c>
      <c r="P60" s="175">
        <v>46017.0</v>
      </c>
      <c r="Q60" s="176" t="s">
        <v>6062</v>
      </c>
      <c r="R60" s="176">
        <v>500.0</v>
      </c>
      <c r="S60" s="177" t="str">
        <f t="shared" si="1"/>
        <v>Bruna</v>
      </c>
      <c r="U60" s="159"/>
      <c r="V60" s="159"/>
      <c r="W60" s="159"/>
    </row>
    <row r="61" ht="14.25" customHeight="1">
      <c r="A61" s="149"/>
      <c r="B61" s="13">
        <v>1898653.0</v>
      </c>
      <c r="C61" s="14">
        <v>46021.91237268518</v>
      </c>
      <c r="D61" s="210" t="s">
        <v>101</v>
      </c>
      <c r="E61" s="211" t="s">
        <v>845</v>
      </c>
      <c r="F61" s="212"/>
      <c r="G61" s="210" t="s">
        <v>13439</v>
      </c>
      <c r="H61" s="170"/>
      <c r="I61" s="170"/>
      <c r="J61" s="156" t="s">
        <v>12658</v>
      </c>
      <c r="K61" s="156" t="s">
        <v>12693</v>
      </c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IFERROR(__xludf.DUMMYFUNCTION("ifna(VALUE(REGEXEXTRACT(E61,""[0-9.]+[,]+[0-9]+"")))"),26.0)</f>
        <v>26</v>
      </c>
      <c r="O61" s="174" t="s">
        <v>9440</v>
      </c>
      <c r="P61" s="175">
        <v>46018.0</v>
      </c>
      <c r="Q61" s="174" t="s">
        <v>227</v>
      </c>
      <c r="R61" s="176">
        <v>500.0</v>
      </c>
      <c r="S61" s="177" t="str">
        <f t="shared" si="1"/>
        <v>Rose</v>
      </c>
      <c r="U61" s="159"/>
      <c r="V61" s="159"/>
      <c r="W61" s="159"/>
    </row>
    <row r="62" ht="14.25" customHeight="1">
      <c r="A62" s="149"/>
      <c r="B62" s="13">
        <v>1898854.0</v>
      </c>
      <c r="C62" s="14">
        <v>46021.93</v>
      </c>
      <c r="D62" s="210" t="s">
        <v>101</v>
      </c>
      <c r="E62" s="211" t="s">
        <v>321</v>
      </c>
      <c r="F62" s="212"/>
      <c r="G62" s="210" t="s">
        <v>13845</v>
      </c>
      <c r="H62" s="170"/>
      <c r="I62" s="170"/>
      <c r="J62" s="156" t="s">
        <v>10036</v>
      </c>
      <c r="K62" s="156"/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IFERROR(__xludf.DUMMYFUNCTION("ifna(VALUE(REGEXEXTRACT(E62,""[0-9.]+[,]+[0-9]+"")))"),83.0)</f>
        <v>83</v>
      </c>
      <c r="O62" s="174" t="s">
        <v>9594</v>
      </c>
      <c r="P62" s="175">
        <v>46028.0</v>
      </c>
      <c r="Q62" s="174" t="s">
        <v>117</v>
      </c>
      <c r="R62" s="176">
        <v>500.0</v>
      </c>
      <c r="S62" s="177" t="str">
        <f t="shared" si="1"/>
        <v>Renan</v>
      </c>
      <c r="U62" s="159"/>
      <c r="V62" s="159"/>
      <c r="W62" s="159"/>
    </row>
    <row r="63" ht="14.25" customHeight="1">
      <c r="A63" s="149"/>
      <c r="B63" s="13">
        <v>1898857.0</v>
      </c>
      <c r="C63" s="14">
        <v>46021.930393518516</v>
      </c>
      <c r="D63" s="210" t="s">
        <v>101</v>
      </c>
      <c r="E63" s="211" t="s">
        <v>1290</v>
      </c>
      <c r="F63" s="212"/>
      <c r="G63" s="210" t="s">
        <v>13360</v>
      </c>
      <c r="H63" s="170"/>
      <c r="I63" s="170"/>
      <c r="J63" s="156" t="s">
        <v>6914</v>
      </c>
      <c r="K63" s="156"/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IFERROR(__xludf.DUMMYFUNCTION("ifna(VALUE(REGEXEXTRACT(E63,""[0-9.]+[,]+[0-9]+"")))"),56.0)</f>
        <v>56</v>
      </c>
      <c r="O63" s="174"/>
      <c r="P63" s="175"/>
      <c r="Q63" s="176"/>
      <c r="R63" s="178"/>
      <c r="S63" s="177" t="str">
        <f t="shared" si="1"/>
        <v/>
      </c>
      <c r="U63" s="159"/>
      <c r="V63" s="159"/>
      <c r="W63" s="159"/>
    </row>
    <row r="64" ht="14.25" customHeight="1">
      <c r="A64" s="149"/>
      <c r="B64" s="13">
        <v>1898863.0</v>
      </c>
      <c r="C64" s="14">
        <v>46021.93096064815</v>
      </c>
      <c r="D64" s="210" t="s">
        <v>101</v>
      </c>
      <c r="E64" s="211" t="s">
        <v>13876</v>
      </c>
      <c r="F64" s="212"/>
      <c r="G64" s="210" t="s">
        <v>13877</v>
      </c>
      <c r="H64" s="170"/>
      <c r="I64" s="170"/>
      <c r="J64" s="156" t="s">
        <v>12778</v>
      </c>
      <c r="K64" s="156" t="s">
        <v>12666</v>
      </c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"),"Confirmada")</f>
        <v>Confirmada</v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IFERROR(__xludf.DUMMYFUNCTION("ifna(VALUE(REGEXEXTRACT(E64,""[0-9.]+[,]+[0-9]+"")))"),830.0)</f>
        <v>830</v>
      </c>
      <c r="O64" s="174"/>
      <c r="P64" s="175"/>
      <c r="Q64" s="174"/>
      <c r="R64" s="176"/>
      <c r="S64" s="177" t="str">
        <f t="shared" si="1"/>
        <v/>
      </c>
      <c r="U64" s="159"/>
      <c r="V64" s="159"/>
      <c r="W64" s="159"/>
    </row>
    <row r="65" ht="14.25" customHeight="1">
      <c r="A65" s="149"/>
      <c r="B65" s="13">
        <v>1899442.0</v>
      </c>
      <c r="C65" s="14">
        <v>46022.49965277778</v>
      </c>
      <c r="D65" s="210" t="s">
        <v>101</v>
      </c>
      <c r="E65" s="211" t="s">
        <v>13138</v>
      </c>
      <c r="F65" s="212"/>
      <c r="G65" s="210" t="s">
        <v>13878</v>
      </c>
      <c r="H65" s="170"/>
      <c r="I65" s="170"/>
      <c r="J65" s="156"/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IFERROR(__xludf.DUMMYFUNCTION("ifna(VALUE(REGEXEXTRACT(E65,""[0-9.]+[,]+[0-9]+"")))"),0.01)</f>
        <v>0.01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1899480.0</v>
      </c>
      <c r="C66" s="14">
        <v>46022.522685185184</v>
      </c>
      <c r="D66" s="210" t="s">
        <v>101</v>
      </c>
      <c r="E66" s="211" t="s">
        <v>13138</v>
      </c>
      <c r="F66" s="214"/>
      <c r="G66" s="210" t="s">
        <v>13880</v>
      </c>
      <c r="H66" s="170"/>
      <c r="I66" s="170"/>
      <c r="J66" s="156"/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IFERROR(__xludf.DUMMYFUNCTION("ifna(VALUE(REGEXEXTRACT(E66,""[0-9.]+[,]+[0-9]+"")))"),0.01)</f>
        <v>0.01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1900027.0</v>
      </c>
      <c r="C67" s="14">
        <v>46022.757210648146</v>
      </c>
      <c r="D67" s="210" t="s">
        <v>101</v>
      </c>
      <c r="E67" s="211" t="s">
        <v>804</v>
      </c>
      <c r="F67" s="212"/>
      <c r="G67" s="210" t="s">
        <v>13881</v>
      </c>
      <c r="H67" s="170"/>
      <c r="I67" s="170"/>
      <c r="J67" s="156" t="s">
        <v>12778</v>
      </c>
      <c r="K67" s="156" t="s">
        <v>12666</v>
      </c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"),"Confirmada")</f>
        <v>Confirmada</v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IFERROR(__xludf.DUMMYFUNCTION("ifna(VALUE(REGEXEXTRACT(E67,""[0-9.]+[,]+[0-9]+"")))"),500.0)</f>
        <v>500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1900033.0</v>
      </c>
      <c r="C68" s="14">
        <v>46022.758101851854</v>
      </c>
      <c r="D68" s="210" t="s">
        <v>101</v>
      </c>
      <c r="E68" s="211" t="s">
        <v>13445</v>
      </c>
      <c r="F68" s="214"/>
      <c r="G68" s="210" t="s">
        <v>13040</v>
      </c>
      <c r="H68" s="170"/>
      <c r="I68" s="170"/>
      <c r="J68" s="156" t="s">
        <v>6914</v>
      </c>
      <c r="K68" s="156"/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IFERROR(__xludf.DUMMYFUNCTION("ifna(VALUE(REGEXEXTRACT(E68,""[0-9.]+[,]+[0-9]+"")))"),7.0)</f>
        <v>7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1902010.0</v>
      </c>
      <c r="C69" s="14">
        <v>46024.58188657407</v>
      </c>
      <c r="D69" s="210" t="s">
        <v>101</v>
      </c>
      <c r="E69" s="211" t="s">
        <v>1633</v>
      </c>
      <c r="F69" s="212"/>
      <c r="G69" s="210" t="s">
        <v>12935</v>
      </c>
      <c r="H69" s="170"/>
      <c r="I69" s="170"/>
      <c r="J69" s="156" t="s">
        <v>12658</v>
      </c>
      <c r="K69" s="156" t="s">
        <v>12666</v>
      </c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IFERROR(__xludf.DUMMYFUNCTION("ifna(VALUE(REGEXEXTRACT(E69,""[0-9.]+[,]+[0-9]+"")))"),8.0)</f>
        <v>8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1902093.0</v>
      </c>
      <c r="C70" s="14">
        <v>46024.61547453704</v>
      </c>
      <c r="D70" s="210" t="s">
        <v>101</v>
      </c>
      <c r="E70" s="211" t="s">
        <v>13884</v>
      </c>
      <c r="F70" s="212"/>
      <c r="G70" s="210" t="s">
        <v>13259</v>
      </c>
      <c r="H70" s="170"/>
      <c r="I70" s="170"/>
      <c r="J70" s="156"/>
      <c r="K70" s="156"/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IFERROR(__xludf.DUMMYFUNCTION("ifna(VALUE(REGEXEXTRACT(E70,""[0-9.]+[,]+[0-9]+"")))"),34.22)</f>
        <v>34.22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1902139.0</v>
      </c>
      <c r="C71" s="14">
        <v>46024.62834490741</v>
      </c>
      <c r="D71" s="210" t="s">
        <v>139</v>
      </c>
      <c r="E71" s="211" t="s">
        <v>2126</v>
      </c>
      <c r="F71" s="212"/>
      <c r="G71" s="210" t="s">
        <v>12927</v>
      </c>
      <c r="H71" s="170"/>
      <c r="I71" s="170"/>
      <c r="J71" s="156" t="s">
        <v>12952</v>
      </c>
      <c r="K71" s="156"/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IFERROR(__xludf.DUMMYFUNCTION("ifna(VALUE(REGEXEXTRACT(E71,""[0-9.]+[,]+[0-9]+"")))"),129.0)</f>
        <v>129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1903148.0</v>
      </c>
      <c r="C72" s="14">
        <v>46024.829363425924</v>
      </c>
      <c r="D72" s="210" t="s">
        <v>101</v>
      </c>
      <c r="E72" s="211" t="s">
        <v>799</v>
      </c>
      <c r="F72" s="212"/>
      <c r="G72" s="210" t="s">
        <v>13886</v>
      </c>
      <c r="H72" s="170"/>
      <c r="I72" s="170"/>
      <c r="J72" s="156" t="s">
        <v>12658</v>
      </c>
      <c r="K72" s="156" t="s">
        <v>11866</v>
      </c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IFERROR(__xludf.DUMMYFUNCTION("ifna(VALUE(REGEXEXTRACT(E72,""[0-9.]+[,]+[0-9]+"")))"),75.0)</f>
        <v>75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1903874.0</v>
      </c>
      <c r="C73" s="14">
        <v>46024.942453703705</v>
      </c>
      <c r="D73" s="210" t="s">
        <v>101</v>
      </c>
      <c r="E73" s="211" t="s">
        <v>13888</v>
      </c>
      <c r="F73" s="212"/>
      <c r="G73" s="210" t="s">
        <v>13889</v>
      </c>
      <c r="H73" s="170"/>
      <c r="I73" s="170"/>
      <c r="J73" s="156" t="s">
        <v>12778</v>
      </c>
      <c r="K73" s="156" t="s">
        <v>12666</v>
      </c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"),"Confirmada")</f>
        <v>Confirmada</v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IFERROR(__xludf.DUMMYFUNCTION("ifna(VALUE(REGEXEXTRACT(E73,""[0-9.]+[,]+[0-9]+"")))"),1700.0)</f>
        <v>1700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1903876.0</v>
      </c>
      <c r="C74" s="14">
        <v>46024.942708333336</v>
      </c>
      <c r="D74" s="210" t="s">
        <v>101</v>
      </c>
      <c r="E74" s="211" t="s">
        <v>13890</v>
      </c>
      <c r="F74" s="212"/>
      <c r="G74" s="210" t="s">
        <v>13891</v>
      </c>
      <c r="H74" s="170"/>
      <c r="I74" s="170"/>
      <c r="J74" s="156" t="s">
        <v>6914</v>
      </c>
      <c r="K74" s="156"/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IFERROR(__xludf.DUMMYFUNCTION("ifna(VALUE(REGEXEXTRACT(E74,""[0-9.]+[,]+[0-9]+"")))"),175.0)</f>
        <v>175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1903886.0</v>
      </c>
      <c r="C75" s="14">
        <v>46024.943240740744</v>
      </c>
      <c r="D75" s="210" t="s">
        <v>101</v>
      </c>
      <c r="E75" s="211" t="s">
        <v>13316</v>
      </c>
      <c r="F75" s="212"/>
      <c r="G75" s="210" t="s">
        <v>13845</v>
      </c>
      <c r="H75" s="170"/>
      <c r="I75" s="170"/>
      <c r="J75" s="156" t="s">
        <v>10036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IFERROR(__xludf.DUMMYFUNCTION("ifna(VALUE(REGEXEXTRACT(E75,""[0-9.]+[,]+[0-9]+"")))"),104.0)</f>
        <v>104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1904491.0</v>
      </c>
      <c r="C76" s="14">
        <v>46025.57363425926</v>
      </c>
      <c r="D76" s="210" t="s">
        <v>139</v>
      </c>
      <c r="E76" s="211" t="s">
        <v>237</v>
      </c>
      <c r="F76" s="212"/>
      <c r="G76" s="210" t="s">
        <v>12927</v>
      </c>
      <c r="H76" s="170"/>
      <c r="I76" s="170"/>
      <c r="J76" s="156" t="s">
        <v>12952</v>
      </c>
      <c r="K76" s="156"/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IFERROR(__xludf.DUMMYFUNCTION("ifna(VALUE(REGEXEXTRACT(E76,""[0-9.]+[,]+[0-9]+"")))"),100.0)</f>
        <v>100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1905507.0</v>
      </c>
      <c r="C77" s="14">
        <v>46025.79417824074</v>
      </c>
      <c r="D77" s="210" t="s">
        <v>101</v>
      </c>
      <c r="E77" s="211" t="s">
        <v>13896</v>
      </c>
      <c r="F77" s="212"/>
      <c r="G77" s="210" t="s">
        <v>13854</v>
      </c>
      <c r="H77" s="170"/>
      <c r="I77" s="170"/>
      <c r="J77" s="156" t="s">
        <v>10036</v>
      </c>
      <c r="K77" s="156"/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IFERROR(__xludf.DUMMYFUNCTION("ifna(VALUE(REGEXEXTRACT(E77,""[0-9.]+[,]+[0-9]+"")))"),84.5)</f>
        <v>84.5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1905847.0</v>
      </c>
      <c r="C78" s="14">
        <v>46025.860810185186</v>
      </c>
      <c r="D78" s="210" t="s">
        <v>101</v>
      </c>
      <c r="E78" s="211" t="s">
        <v>13897</v>
      </c>
      <c r="F78" s="214"/>
      <c r="G78" s="210" t="s">
        <v>13898</v>
      </c>
      <c r="H78" s="170"/>
      <c r="I78" s="170"/>
      <c r="J78" s="156" t="s">
        <v>6914</v>
      </c>
      <c r="K78" s="156"/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IFERROR(__xludf.DUMMYFUNCTION("ifna(VALUE(REGEXEXTRACT(E78,""[0-9.]+[,]+[0-9]+"")))"),97.0)</f>
        <v>97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1905854.0</v>
      </c>
      <c r="C79" s="14">
        <v>46025.862175925926</v>
      </c>
      <c r="D79" s="210" t="s">
        <v>101</v>
      </c>
      <c r="E79" s="211" t="s">
        <v>13209</v>
      </c>
      <c r="F79" s="212"/>
      <c r="G79" s="210" t="s">
        <v>13899</v>
      </c>
      <c r="H79" s="170"/>
      <c r="I79" s="170"/>
      <c r="J79" s="156" t="s">
        <v>10036</v>
      </c>
      <c r="K79" s="156"/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59">
        <f>IFERROR(__xludf.DUMMYFUNCTION("ifna(VALUE(REGEXEXTRACT(E79,""[0-9.]+[,]+[0-9]+"")))"),117.0)</f>
        <v>117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1905856.0</v>
      </c>
      <c r="C80" s="14">
        <v>46025.86299768519</v>
      </c>
      <c r="D80" s="210" t="s">
        <v>101</v>
      </c>
      <c r="E80" s="211" t="s">
        <v>786</v>
      </c>
      <c r="F80" s="212"/>
      <c r="G80" s="210" t="s">
        <v>12950</v>
      </c>
      <c r="H80" s="170"/>
      <c r="I80" s="170"/>
      <c r="J80" s="156" t="s">
        <v>10036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IFERROR(__xludf.DUMMYFUNCTION("ifna(VALUE(REGEXEXTRACT(E80,""[0-9.]+[,]+[0-9]+"")))"),130.0)</f>
        <v>130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1905858.0</v>
      </c>
      <c r="C81" s="14">
        <v>46025.86332175926</v>
      </c>
      <c r="D81" s="210" t="s">
        <v>101</v>
      </c>
      <c r="E81" s="211" t="s">
        <v>786</v>
      </c>
      <c r="F81" s="212"/>
      <c r="G81" s="210" t="s">
        <v>13845</v>
      </c>
      <c r="H81" s="170"/>
      <c r="I81" s="170"/>
      <c r="J81" s="156" t="s">
        <v>10036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IFERROR(__xludf.DUMMYFUNCTION("ifna(VALUE(REGEXEXTRACT(E81,""[0-9.]+[,]+[0-9]+"")))"),130.0)</f>
        <v>130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1905865.0</v>
      </c>
      <c r="C82" s="14">
        <v>46025.865011574075</v>
      </c>
      <c r="D82" s="210" t="s">
        <v>101</v>
      </c>
      <c r="E82" s="211" t="s">
        <v>13900</v>
      </c>
      <c r="F82" s="212"/>
      <c r="G82" s="210" t="s">
        <v>13901</v>
      </c>
      <c r="H82" s="170"/>
      <c r="I82" s="170"/>
      <c r="J82" s="156" t="s">
        <v>10036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IFERROR(__xludf.DUMMYFUNCTION("ifna(VALUE(REGEXEXTRACT(E82,""[0-9.]+[,]+[0-9]+"")))"),123.5)</f>
        <v>123.5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1905997.0</v>
      </c>
      <c r="C83" s="14">
        <v>46025.88171296296</v>
      </c>
      <c r="D83" s="210" t="s">
        <v>101</v>
      </c>
      <c r="E83" s="211" t="s">
        <v>473</v>
      </c>
      <c r="F83" s="212"/>
      <c r="G83" s="210" t="s">
        <v>13903</v>
      </c>
      <c r="H83" s="170"/>
      <c r="I83" s="170"/>
      <c r="J83" s="156" t="s">
        <v>6914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IFERROR(__xludf.DUMMYFUNCTION("ifna(VALUE(REGEXEXTRACT(E83,""[0-9.]+[,]+[0-9]+"")))"),15.0)</f>
        <v>15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1906431.0</v>
      </c>
      <c r="C84" s="14">
        <v>46025.92667824074</v>
      </c>
      <c r="D84" s="210" t="s">
        <v>101</v>
      </c>
      <c r="E84" s="211" t="s">
        <v>13530</v>
      </c>
      <c r="F84" s="212"/>
      <c r="G84" s="210" t="s">
        <v>13904</v>
      </c>
      <c r="H84" s="170"/>
      <c r="I84" s="170"/>
      <c r="J84" s="156" t="s">
        <v>12778</v>
      </c>
      <c r="K84" s="156" t="s">
        <v>11866</v>
      </c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"),"Confirmada")</f>
        <v>Confirmada</v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IFERROR(__xludf.DUMMYFUNCTION("ifna(VALUE(REGEXEXTRACT(E84,""[0-9.]+[,]+[0-9]+"")))"),800.0)</f>
        <v>800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1907531.0</v>
      </c>
      <c r="C85" s="14">
        <v>46026.672488425924</v>
      </c>
      <c r="D85" s="210" t="s">
        <v>139</v>
      </c>
      <c r="E85" s="211" t="s">
        <v>12951</v>
      </c>
      <c r="F85" s="212"/>
      <c r="G85" s="210" t="s">
        <v>12927</v>
      </c>
      <c r="H85" s="170"/>
      <c r="I85" s="170"/>
      <c r="J85" s="156" t="s">
        <v>12952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IFERROR(__xludf.DUMMYFUNCTION("ifna(VALUE(REGEXEXTRACT(E85,""[0-9.]+[,]+[0-9]+"")))"),170.0)</f>
        <v>170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1908142.0</v>
      </c>
      <c r="C86" s="14">
        <v>46026.795277777775</v>
      </c>
      <c r="D86" s="210" t="s">
        <v>101</v>
      </c>
      <c r="E86" s="211" t="s">
        <v>13908</v>
      </c>
      <c r="F86" s="212"/>
      <c r="G86" s="210" t="s">
        <v>13909</v>
      </c>
      <c r="H86" s="170"/>
      <c r="I86" s="170"/>
      <c r="J86" s="156" t="s">
        <v>12720</v>
      </c>
      <c r="K86" s="156"/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>
        <f>IFERROR(__xludf.DUMMYFUNCTION("ifna(VALUE(REGEXEXTRACT(E86,""[0-9.]+[,]+[0-9]+"")))"),65.01)</f>
        <v>65.01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1908145.0</v>
      </c>
      <c r="C87" s="14">
        <v>46026.79577546296</v>
      </c>
      <c r="D87" s="210" t="s">
        <v>101</v>
      </c>
      <c r="E87" s="211" t="s">
        <v>13910</v>
      </c>
      <c r="F87" s="212"/>
      <c r="G87" s="210" t="s">
        <v>13911</v>
      </c>
      <c r="H87" s="170"/>
      <c r="I87" s="170"/>
      <c r="J87" s="156" t="s">
        <v>13571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IFERROR(__xludf.DUMMYFUNCTION("ifna(VALUE(REGEXEXTRACT(E87,""[0-9.]+[,]+[0-9]+"")))"),172.56)</f>
        <v>172.56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1908151.0</v>
      </c>
      <c r="C88" s="14">
        <v>46026.79620370371</v>
      </c>
      <c r="D88" s="210" t="s">
        <v>101</v>
      </c>
      <c r="E88" s="211" t="s">
        <v>13914</v>
      </c>
      <c r="F88" s="214"/>
      <c r="G88" s="210" t="s">
        <v>13911</v>
      </c>
      <c r="H88" s="170"/>
      <c r="I88" s="170"/>
      <c r="J88" s="156" t="s">
        <v>13571</v>
      </c>
      <c r="K88" s="156"/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IFERROR(__xludf.DUMMYFUNCTION("ifna(VALUE(REGEXEXTRACT(E88,""[0-9.]+[,]+[0-9]+"")))"),780.0)</f>
        <v>780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1908742.0</v>
      </c>
      <c r="C89" s="14">
        <v>46026.883622685185</v>
      </c>
      <c r="D89" s="210" t="s">
        <v>101</v>
      </c>
      <c r="E89" s="211" t="s">
        <v>13209</v>
      </c>
      <c r="F89" s="212"/>
      <c r="G89" s="210" t="s">
        <v>13915</v>
      </c>
      <c r="H89" s="170"/>
      <c r="I89" s="170"/>
      <c r="J89" s="156" t="s">
        <v>10036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IFERROR(__xludf.DUMMYFUNCTION("ifna(VALUE(REGEXEXTRACT(E89,""[0-9.]+[,]+[0-9]+"")))"),117.0)</f>
        <v>117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1908744.0</v>
      </c>
      <c r="C90" s="14">
        <v>46026.88402777778</v>
      </c>
      <c r="D90" s="210" t="s">
        <v>101</v>
      </c>
      <c r="E90" s="211" t="s">
        <v>13209</v>
      </c>
      <c r="F90" s="212"/>
      <c r="G90" s="210" t="s">
        <v>13845</v>
      </c>
      <c r="H90" s="170"/>
      <c r="I90" s="170"/>
      <c r="J90" s="156" t="s">
        <v>10036</v>
      </c>
      <c r="K90" s="156"/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IFERROR(__xludf.DUMMYFUNCTION("ifna(VALUE(REGEXEXTRACT(E90,""[0-9.]+[,]+[0-9]+"")))"),117.0)</f>
        <v>117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1908748.0</v>
      </c>
      <c r="C91" s="14">
        <v>46026.884675925925</v>
      </c>
      <c r="D91" s="210" t="s">
        <v>101</v>
      </c>
      <c r="E91" s="211" t="s">
        <v>13561</v>
      </c>
      <c r="F91" s="212"/>
      <c r="G91" s="210" t="s">
        <v>12935</v>
      </c>
      <c r="H91" s="170"/>
      <c r="I91" s="170"/>
      <c r="J91" s="156" t="s">
        <v>12658</v>
      </c>
      <c r="K91" s="156" t="s">
        <v>12666</v>
      </c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IFERROR(__xludf.DUMMYFUNCTION("ifna(VALUE(REGEXEXTRACT(E91,""[0-9.]+[,]+[0-9]+"")))"),3.0)</f>
        <v>3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1908779.0</v>
      </c>
      <c r="C92" s="14">
        <v>46026.88792824074</v>
      </c>
      <c r="D92" s="210" t="s">
        <v>101</v>
      </c>
      <c r="E92" s="211" t="s">
        <v>13920</v>
      </c>
      <c r="F92" s="212"/>
      <c r="G92" s="210" t="s">
        <v>13543</v>
      </c>
      <c r="H92" s="170"/>
      <c r="I92" s="170"/>
      <c r="J92" s="156" t="s">
        <v>6914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IFERROR(__xludf.DUMMYFUNCTION("ifna(VALUE(REGEXEXTRACT(E92,""[0-9.]+[,]+[0-9]+"")))"),211.0)</f>
        <v>211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1909235.0</v>
      </c>
      <c r="C93" s="14">
        <v>46026.92864583333</v>
      </c>
      <c r="D93" s="210" t="s">
        <v>101</v>
      </c>
      <c r="E93" s="211" t="s">
        <v>13862</v>
      </c>
      <c r="F93" s="214"/>
      <c r="G93" s="210" t="s">
        <v>13921</v>
      </c>
      <c r="H93" s="170"/>
      <c r="I93" s="170"/>
      <c r="J93" s="156" t="s">
        <v>12778</v>
      </c>
      <c r="K93" s="156" t="s">
        <v>12666</v>
      </c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IFERROR(__xludf.DUMMYFUNCTION("ifna(VALUE(REGEXEXTRACT(E93,""[0-9.]+[,]+[0-9]+"")))"),1600.0)</f>
        <v>1600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217"/>
      <c r="C94" s="218"/>
      <c r="D94" s="219"/>
      <c r="E94" s="220"/>
      <c r="F94" s="219"/>
      <c r="G94" s="219"/>
      <c r="H94" s="170"/>
      <c r="I94" s="170"/>
      <c r="J94" s="156"/>
      <c r="K94" s="156"/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 t="str">
        <f>IFERROR(__xludf.DUMMYFUNCTION("ifna(VALUE(REGEXEXTRACT(E94,""[0-9.]+[,]+[0-9]+"")))"),"")</f>
        <v/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1910753.0</v>
      </c>
      <c r="C95" s="14">
        <v>46027.73113425926</v>
      </c>
      <c r="D95" s="210" t="s">
        <v>101</v>
      </c>
      <c r="E95" s="211" t="s">
        <v>477</v>
      </c>
      <c r="F95" s="212"/>
      <c r="G95" s="210" t="s">
        <v>13854</v>
      </c>
      <c r="H95" s="170"/>
      <c r="I95" s="170"/>
      <c r="J95" s="156" t="s">
        <v>10036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IFERROR(__xludf.DUMMYFUNCTION("ifna(VALUE(REGEXEXTRACT(E95,""[0-9.]+[,]+[0-9]+"")))"),73.0)</f>
        <v>73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1910769.0</v>
      </c>
      <c r="C96" s="14">
        <v>46027.734456018516</v>
      </c>
      <c r="D96" s="210" t="s">
        <v>101</v>
      </c>
      <c r="E96" s="211" t="s">
        <v>921</v>
      </c>
      <c r="F96" s="212"/>
      <c r="G96" s="210" t="s">
        <v>13360</v>
      </c>
      <c r="H96" s="170"/>
      <c r="I96" s="170"/>
      <c r="J96" s="156" t="s">
        <v>6914</v>
      </c>
      <c r="K96" s="156"/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IFERROR(__xludf.DUMMYFUNCTION("ifna(VALUE(REGEXEXTRACT(E96,""[0-9.]+[,]+[0-9]+"")))"),57.0)</f>
        <v>57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1910854.0</v>
      </c>
      <c r="C97" s="14">
        <v>46027.75003472222</v>
      </c>
      <c r="D97" s="210" t="s">
        <v>101</v>
      </c>
      <c r="E97" s="211" t="s">
        <v>13926</v>
      </c>
      <c r="F97" s="212"/>
      <c r="G97" s="210" t="s">
        <v>13927</v>
      </c>
      <c r="H97" s="170"/>
      <c r="I97" s="170"/>
      <c r="J97" s="156" t="s">
        <v>13571</v>
      </c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IFERROR(__xludf.DUMMYFUNCTION("ifna(VALUE(REGEXEXTRACT(E97,""[0-9.]+[,]+[0-9]+"")))"),51.58)</f>
        <v>51.58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1910865.0</v>
      </c>
      <c r="C98" s="14">
        <v>46027.750925925924</v>
      </c>
      <c r="D98" s="210" t="s">
        <v>101</v>
      </c>
      <c r="E98" s="211" t="s">
        <v>252</v>
      </c>
      <c r="F98" s="212"/>
      <c r="G98" s="210" t="s">
        <v>12935</v>
      </c>
      <c r="H98" s="170"/>
      <c r="I98" s="170"/>
      <c r="J98" s="156" t="s">
        <v>12658</v>
      </c>
      <c r="K98" s="156" t="s">
        <v>12666</v>
      </c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IFERROR(__xludf.DUMMYFUNCTION("ifna(VALUE(REGEXEXTRACT(E98,""[0-9.]+[,]+[0-9]+"")))"),5.0)</f>
        <v>5</v>
      </c>
      <c r="O98" s="181" t="s">
        <v>13284</v>
      </c>
      <c r="W98" s="159"/>
    </row>
    <row r="99" ht="14.25" customHeight="1">
      <c r="A99" s="149"/>
      <c r="B99" s="13">
        <v>1911262.0</v>
      </c>
      <c r="C99" s="14">
        <v>46027.851585648146</v>
      </c>
      <c r="D99" s="210" t="s">
        <v>139</v>
      </c>
      <c r="E99" s="211" t="s">
        <v>13929</v>
      </c>
      <c r="F99" s="212"/>
      <c r="G99" s="210" t="s">
        <v>12927</v>
      </c>
      <c r="H99" s="170"/>
      <c r="I99" s="170"/>
      <c r="J99" s="156" t="s">
        <v>12952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IFERROR(__xludf.DUMMYFUNCTION("ifna(VALUE(REGEXEXTRACT(E99,""[0-9.]+[,]+[0-9]+"")))"),325.0)</f>
        <v>325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1911263.0</v>
      </c>
      <c r="C100" s="14">
        <v>46027.85190972222</v>
      </c>
      <c r="D100" s="210" t="s">
        <v>101</v>
      </c>
      <c r="E100" s="211" t="s">
        <v>13209</v>
      </c>
      <c r="F100" s="212"/>
      <c r="G100" s="210" t="s">
        <v>13845</v>
      </c>
      <c r="H100" s="170"/>
      <c r="I100" s="170"/>
      <c r="J100" s="156" t="s">
        <v>10036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IFERROR(__xludf.DUMMYFUNCTION("ifna(VALUE(REGEXEXTRACT(E100,""[0-9.]+[,]+[0-9]+"")))"),117.0)</f>
        <v>117</v>
      </c>
      <c r="O100" s="222"/>
      <c r="P100" s="186"/>
      <c r="Q100" s="185"/>
      <c r="R100" s="187"/>
      <c r="S100" s="185"/>
      <c r="V100" s="185"/>
      <c r="W100" s="159"/>
    </row>
    <row r="101" ht="14.25" customHeight="1">
      <c r="A101" s="149"/>
      <c r="B101" s="13">
        <v>1911283.0</v>
      </c>
      <c r="C101" s="14">
        <v>46027.85917824074</v>
      </c>
      <c r="D101" s="210" t="s">
        <v>101</v>
      </c>
      <c r="E101" s="211" t="s">
        <v>637</v>
      </c>
      <c r="F101" s="212"/>
      <c r="G101" s="210" t="s">
        <v>13930</v>
      </c>
      <c r="H101" s="170"/>
      <c r="I101" s="170"/>
      <c r="J101" s="156" t="s">
        <v>6914</v>
      </c>
      <c r="K101" s="156"/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IFERROR(__xludf.DUMMYFUNCTION("ifna(VALUE(REGEXEXTRACT(E101,""[0-9.]+[,]+[0-9]+"")))"),41.0)</f>
        <v>41</v>
      </c>
      <c r="O101" s="188"/>
      <c r="P101" s="189"/>
      <c r="Q101" s="188"/>
      <c r="R101" s="190"/>
      <c r="S101" s="188"/>
      <c r="V101" s="188"/>
      <c r="W101" s="159"/>
    </row>
    <row r="102" ht="14.25" customHeight="1">
      <c r="A102" s="149"/>
      <c r="B102" s="13">
        <v>1911383.0</v>
      </c>
      <c r="C102" s="14">
        <v>46027.88334490741</v>
      </c>
      <c r="D102" s="210" t="s">
        <v>101</v>
      </c>
      <c r="E102" s="211" t="s">
        <v>252</v>
      </c>
      <c r="F102" s="212"/>
      <c r="G102" s="210" t="s">
        <v>13931</v>
      </c>
      <c r="H102" s="170"/>
      <c r="I102" s="170"/>
      <c r="J102" s="156" t="s">
        <v>12818</v>
      </c>
      <c r="K102" s="156"/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159">
        <f>IFERROR(__xludf.DUMMYFUNCTION("ifna(VALUE(REGEXEXTRACT(E102,""[0-9.]+[,]+[0-9]+"")))"),5.0)</f>
        <v>5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1911543.0</v>
      </c>
      <c r="C103" s="14">
        <v>46027.91071759259</v>
      </c>
      <c r="D103" s="210" t="s">
        <v>101</v>
      </c>
      <c r="E103" s="211" t="s">
        <v>13932</v>
      </c>
      <c r="F103" s="212"/>
      <c r="G103" s="210" t="s">
        <v>13439</v>
      </c>
      <c r="H103" s="170"/>
      <c r="I103" s="170"/>
      <c r="J103" s="156" t="s">
        <v>12658</v>
      </c>
      <c r="K103" s="156" t="s">
        <v>12693</v>
      </c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IFERROR(__xludf.DUMMYFUNCTION("ifna(VALUE(REGEXEXTRACT(E103,""[0-9.]+[,]+[0-9]+"")))"),64.9)</f>
        <v>64.9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1911758.0</v>
      </c>
      <c r="C104" s="14">
        <v>46027.93335648148</v>
      </c>
      <c r="D104" s="210" t="s">
        <v>101</v>
      </c>
      <c r="E104" s="211" t="s">
        <v>13933</v>
      </c>
      <c r="F104" s="214"/>
      <c r="G104" s="210" t="s">
        <v>13934</v>
      </c>
      <c r="H104" s="170"/>
      <c r="I104" s="170"/>
      <c r="J104" s="156" t="s">
        <v>12778</v>
      </c>
      <c r="K104" s="156" t="s">
        <v>12666</v>
      </c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IFERROR(__xludf.DUMMYFUNCTION("ifna(VALUE(REGEXEXTRACT(E104,""[0-9.]+[,]+[0-9]+"")))"),920.0)</f>
        <v>920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1911810.0</v>
      </c>
      <c r="C105" s="14">
        <v>46027.938680555555</v>
      </c>
      <c r="D105" s="210" t="s">
        <v>101</v>
      </c>
      <c r="E105" s="211" t="s">
        <v>473</v>
      </c>
      <c r="F105" s="214"/>
      <c r="G105" s="210" t="s">
        <v>13040</v>
      </c>
      <c r="H105" s="170"/>
      <c r="I105" s="170"/>
      <c r="J105" s="156" t="s">
        <v>6914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IFERROR(__xludf.DUMMYFUNCTION("ifna(VALUE(REGEXEXTRACT(E105,""[0-9.]+[,]+[0-9]+"")))"),15.0)</f>
        <v>15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1912840.0</v>
      </c>
      <c r="C106" s="14">
        <v>46028.737337962964</v>
      </c>
      <c r="D106" s="210" t="s">
        <v>101</v>
      </c>
      <c r="E106" s="211" t="s">
        <v>13138</v>
      </c>
      <c r="F106" s="212"/>
      <c r="G106" s="210" t="s">
        <v>13936</v>
      </c>
      <c r="H106" s="170"/>
      <c r="I106" s="170"/>
      <c r="J106" s="156"/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IFERROR(__xludf.DUMMYFUNCTION("ifna(VALUE(REGEXEXTRACT(E106,""[0-9.]+[,]+[0-9]+"")))"),0.01)</f>
        <v>0.01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1912891.0</v>
      </c>
      <c r="C107" s="14">
        <v>46028.74827546296</v>
      </c>
      <c r="D107" s="210" t="s">
        <v>101</v>
      </c>
      <c r="E107" s="211" t="s">
        <v>201</v>
      </c>
      <c r="F107" s="212"/>
      <c r="G107" s="210" t="s">
        <v>415</v>
      </c>
      <c r="H107" s="170"/>
      <c r="I107" s="170"/>
      <c r="J107" s="156" t="s">
        <v>12818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"""")"),"Encontrada")</f>
        <v>Encontrada</v>
      </c>
      <c r="N107" s="159">
        <f>IFERROR(__xludf.DUMMYFUNCTION("ifna(VALUE(REGEXEXTRACT(E107,""[0-9.]+[,]+[0-9]+"")))"),150.0)</f>
        <v>150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1912900.0</v>
      </c>
      <c r="C108" s="14">
        <v>46028.74996527778</v>
      </c>
      <c r="D108" s="210" t="s">
        <v>101</v>
      </c>
      <c r="E108" s="211" t="s">
        <v>13937</v>
      </c>
      <c r="F108" s="212"/>
      <c r="G108" s="210" t="s">
        <v>2789</v>
      </c>
      <c r="H108" s="170"/>
      <c r="I108" s="170"/>
      <c r="J108" s="156" t="s">
        <v>12818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159">
        <f>IFERROR(__xludf.DUMMYFUNCTION("ifna(VALUE(REGEXEXTRACT(E108,""[0-9.]+[,]+[0-9]+"")))"),69.87)</f>
        <v>69.87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1913686.0</v>
      </c>
      <c r="C109" s="14">
        <v>46028.92912037037</v>
      </c>
      <c r="D109" s="210" t="s">
        <v>101</v>
      </c>
      <c r="E109" s="211" t="s">
        <v>1268</v>
      </c>
      <c r="F109" s="212"/>
      <c r="G109" s="210" t="s">
        <v>13938</v>
      </c>
      <c r="H109" s="170"/>
      <c r="I109" s="170"/>
      <c r="J109" s="156" t="s">
        <v>12778</v>
      </c>
      <c r="K109" s="156" t="s">
        <v>12666</v>
      </c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IFERROR(__xludf.DUMMYFUNCTION("ifna(VALUE(REGEXEXTRACT(E109,""[0-9.]+[,]+[0-9]+"")))"),1150.0)</f>
        <v>1150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1913690.0</v>
      </c>
      <c r="C110" s="14">
        <v>46028.92935185185</v>
      </c>
      <c r="D110" s="210" t="s">
        <v>101</v>
      </c>
      <c r="E110" s="211" t="s">
        <v>12951</v>
      </c>
      <c r="F110" s="214"/>
      <c r="G110" s="210" t="s">
        <v>13464</v>
      </c>
      <c r="H110" s="170"/>
      <c r="I110" s="170"/>
      <c r="J110" s="156" t="s">
        <v>6914</v>
      </c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IFERROR(__xludf.DUMMYFUNCTION("ifna(VALUE(REGEXEXTRACT(E110,""[0-9.]+[,]+[0-9]+"")))"),170.0)</f>
        <v>170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1915003.0</v>
      </c>
      <c r="C111" s="14">
        <v>46029.747928240744</v>
      </c>
      <c r="D111" s="210" t="s">
        <v>139</v>
      </c>
      <c r="E111" s="211" t="s">
        <v>13333</v>
      </c>
      <c r="F111" s="212"/>
      <c r="G111" s="210" t="s">
        <v>12927</v>
      </c>
      <c r="H111" s="170"/>
      <c r="I111" s="170"/>
      <c r="J111" s="156" t="s">
        <v>12952</v>
      </c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IFERROR(__xludf.DUMMYFUNCTION("ifna(VALUE(REGEXEXTRACT(E111,""[0-9.]+[,]+[0-9]+"")))"),110.0)</f>
        <v>110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1915010.0</v>
      </c>
      <c r="C112" s="14">
        <v>46029.74936342592</v>
      </c>
      <c r="D112" s="210" t="s">
        <v>101</v>
      </c>
      <c r="E112" s="211" t="s">
        <v>252</v>
      </c>
      <c r="F112" s="212"/>
      <c r="G112" s="210" t="s">
        <v>12935</v>
      </c>
      <c r="H112" s="170"/>
      <c r="I112" s="170"/>
      <c r="J112" s="156" t="s">
        <v>12658</v>
      </c>
      <c r="K112" s="156" t="s">
        <v>12666</v>
      </c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IFERROR(__xludf.DUMMYFUNCTION("ifna(VALUE(REGEXEXTRACT(E112,""[0-9.]+[,]+[0-9]+"")))"),5.0)</f>
        <v>5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1915011.0</v>
      </c>
      <c r="C113" s="14">
        <v>46029.74966435185</v>
      </c>
      <c r="D113" s="210" t="s">
        <v>101</v>
      </c>
      <c r="E113" s="211" t="s">
        <v>252</v>
      </c>
      <c r="F113" s="212"/>
      <c r="G113" s="210" t="s">
        <v>13886</v>
      </c>
      <c r="H113" s="170"/>
      <c r="I113" s="170"/>
      <c r="J113" s="156" t="s">
        <v>12658</v>
      </c>
      <c r="K113" s="156" t="s">
        <v>11866</v>
      </c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IFERROR(__xludf.DUMMYFUNCTION("ifna(VALUE(REGEXEXTRACT(E113,""[0-9.]+[,]+[0-9]+"")))"),5.0)</f>
        <v>5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1915332.0</v>
      </c>
      <c r="C114" s="14">
        <v>46029.84233796296</v>
      </c>
      <c r="D114" s="210" t="s">
        <v>101</v>
      </c>
      <c r="E114" s="211" t="s">
        <v>13942</v>
      </c>
      <c r="F114" s="212"/>
      <c r="G114" s="210" t="s">
        <v>13340</v>
      </c>
      <c r="H114" s="170"/>
      <c r="I114" s="170"/>
      <c r="J114" s="156" t="s">
        <v>6914</v>
      </c>
      <c r="K114" s="168"/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IFERROR(__xludf.DUMMYFUNCTION("ifna(VALUE(REGEXEXTRACT(E114,""[0-9.]+[,]+[0-9]+"")))"),184.0)</f>
        <v>184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1915776.0</v>
      </c>
      <c r="C115" s="14">
        <v>46029.92105324074</v>
      </c>
      <c r="D115" s="210" t="s">
        <v>101</v>
      </c>
      <c r="E115" s="211" t="s">
        <v>1633</v>
      </c>
      <c r="F115" s="212"/>
      <c r="G115" s="210" t="s">
        <v>12935</v>
      </c>
      <c r="H115" s="170"/>
      <c r="I115" s="170"/>
      <c r="J115" s="156" t="s">
        <v>12658</v>
      </c>
      <c r="K115" s="156" t="s">
        <v>12666</v>
      </c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IFERROR(__xludf.DUMMYFUNCTION("ifna(VALUE(REGEXEXTRACT(E115,""[0-9.]+[,]+[0-9]+"")))"),8.0)</f>
        <v>8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1915842.0</v>
      </c>
      <c r="C116" s="14">
        <v>46029.92597222222</v>
      </c>
      <c r="D116" s="210" t="s">
        <v>101</v>
      </c>
      <c r="E116" s="211" t="s">
        <v>13944</v>
      </c>
      <c r="F116" s="214"/>
      <c r="G116" s="210" t="s">
        <v>13945</v>
      </c>
      <c r="H116" s="170"/>
      <c r="I116" s="170"/>
      <c r="J116" s="156" t="s">
        <v>12778</v>
      </c>
      <c r="K116" s="156" t="s">
        <v>12666</v>
      </c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"),"Confirmada")</f>
        <v>Confirmada</v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IFERROR(__xludf.DUMMYFUNCTION("ifna(VALUE(REGEXEXTRACT(E116,""[0-9.]+[,]+[0-9]+"")))"),1440.0)</f>
        <v>1440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1917503.0</v>
      </c>
      <c r="C117" s="14">
        <v>46030.83298611111</v>
      </c>
      <c r="D117" s="210" t="s">
        <v>101</v>
      </c>
      <c r="E117" s="211" t="s">
        <v>13209</v>
      </c>
      <c r="F117" s="212"/>
      <c r="G117" s="210" t="s">
        <v>13946</v>
      </c>
      <c r="H117" s="170"/>
      <c r="I117" s="170"/>
      <c r="J117" s="156" t="s">
        <v>10036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IFERROR(__xludf.DUMMYFUNCTION("ifna(VALUE(REGEXEXTRACT(E117,""[0-9.]+[,]+[0-9]+"")))"),117.0)</f>
        <v>117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1917507.0</v>
      </c>
      <c r="C118" s="14">
        <v>46030.83347222222</v>
      </c>
      <c r="D118" s="210" t="s">
        <v>101</v>
      </c>
      <c r="E118" s="211" t="s">
        <v>13051</v>
      </c>
      <c r="F118" s="212"/>
      <c r="G118" s="210" t="s">
        <v>13360</v>
      </c>
      <c r="H118" s="170"/>
      <c r="I118" s="170"/>
      <c r="J118" s="156" t="s">
        <v>6914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IFERROR(__xludf.DUMMYFUNCTION("ifna(VALUE(REGEXEXTRACT(E118,""[0-9.]+[,]+[0-9]+"")))"),71.0)</f>
        <v>71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1917755.0</v>
      </c>
      <c r="C119" s="14">
        <v>46030.892743055556</v>
      </c>
      <c r="D119" s="210" t="s">
        <v>101</v>
      </c>
      <c r="E119" s="211" t="s">
        <v>246</v>
      </c>
      <c r="F119" s="212"/>
      <c r="G119" s="210" t="s">
        <v>13747</v>
      </c>
      <c r="H119" s="170"/>
      <c r="I119" s="170"/>
      <c r="J119" s="156" t="s">
        <v>6914</v>
      </c>
      <c r="K119" s="156"/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IFERROR(__xludf.DUMMYFUNCTION("ifna(VALUE(REGEXEXTRACT(E119,""[0-9.]+[,]+[0-9]+"")))"),30.0)</f>
        <v>30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1918067.0</v>
      </c>
      <c r="C120" s="14">
        <v>46030.92716435185</v>
      </c>
      <c r="D120" s="210" t="s">
        <v>101</v>
      </c>
      <c r="E120" s="211" t="s">
        <v>13393</v>
      </c>
      <c r="F120" s="214"/>
      <c r="G120" s="210" t="s">
        <v>13948</v>
      </c>
      <c r="H120" s="153"/>
      <c r="I120" s="170"/>
      <c r="J120" s="156" t="s">
        <v>12778</v>
      </c>
      <c r="K120" s="156" t="s">
        <v>12666</v>
      </c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IFERROR(__xludf.DUMMYFUNCTION("ifna(VALUE(REGEXEXTRACT(E120,""[0-9.]+[,]+[0-9]+"")))"),1100.0)</f>
        <v>1100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1919083.0</v>
      </c>
      <c r="C121" s="14">
        <v>46031.648310185185</v>
      </c>
      <c r="D121" s="210" t="s">
        <v>101</v>
      </c>
      <c r="E121" s="211" t="s">
        <v>13949</v>
      </c>
      <c r="F121" s="212"/>
      <c r="G121" s="210" t="s">
        <v>3109</v>
      </c>
      <c r="H121" s="153"/>
      <c r="I121" s="170"/>
      <c r="J121" s="156" t="s">
        <v>12818</v>
      </c>
      <c r="K121" s="156"/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"""")"),"Encontrada")</f>
        <v>Encontrada</v>
      </c>
      <c r="N121" s="159">
        <f>IFERROR(__xludf.DUMMYFUNCTION("ifna(VALUE(REGEXEXTRACT(E121,""[0-9.]+[,]+[0-9]+"")))"),187.44)</f>
        <v>187.44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1919088.0</v>
      </c>
      <c r="C122" s="14">
        <v>46031.649039351854</v>
      </c>
      <c r="D122" s="210" t="s">
        <v>139</v>
      </c>
      <c r="E122" s="211" t="s">
        <v>13870</v>
      </c>
      <c r="F122" s="212"/>
      <c r="G122" s="210" t="s">
        <v>12927</v>
      </c>
      <c r="H122" s="153"/>
      <c r="I122" s="170"/>
      <c r="J122" s="156" t="s">
        <v>12952</v>
      </c>
      <c r="K122" s="156"/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IFERROR(__xludf.DUMMYFUNCTION("ifna(VALUE(REGEXEXTRACT(E122,""[0-9.]+[,]+[0-9]+"")))"),126.0)</f>
        <v>126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1920015.0</v>
      </c>
      <c r="C123" s="14">
        <v>46031.86393518518</v>
      </c>
      <c r="D123" s="210" t="s">
        <v>101</v>
      </c>
      <c r="E123" s="211" t="s">
        <v>13209</v>
      </c>
      <c r="F123" s="212"/>
      <c r="G123" s="210" t="s">
        <v>13845</v>
      </c>
      <c r="H123" s="153"/>
      <c r="I123" s="170"/>
      <c r="J123" s="156" t="s">
        <v>10036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IFERROR(__xludf.DUMMYFUNCTION("ifna(VALUE(REGEXEXTRACT(E123,""[0-9.]+[,]+[0-9]+"")))"),117.0)</f>
        <v>117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1920016.0</v>
      </c>
      <c r="C124" s="14">
        <v>46031.8644212963</v>
      </c>
      <c r="D124" s="210" t="s">
        <v>101</v>
      </c>
      <c r="E124" s="211" t="s">
        <v>2481</v>
      </c>
      <c r="F124" s="212"/>
      <c r="G124" s="210" t="s">
        <v>13202</v>
      </c>
      <c r="H124" s="153"/>
      <c r="I124" s="170"/>
      <c r="J124" s="156" t="s">
        <v>6914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IFERROR(__xludf.DUMMYFUNCTION("ifna(VALUE(REGEXEXTRACT(E124,""[0-9.]+[,]+[0-9]+"")))"),163.0)</f>
        <v>163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1920300.0</v>
      </c>
      <c r="C125" s="14">
        <v>46031.913877314815</v>
      </c>
      <c r="D125" s="210" t="s">
        <v>101</v>
      </c>
      <c r="E125" s="211" t="s">
        <v>1440</v>
      </c>
      <c r="F125" s="212"/>
      <c r="G125" s="210" t="s">
        <v>13605</v>
      </c>
      <c r="H125" s="153"/>
      <c r="I125" s="170"/>
      <c r="J125" s="156" t="s">
        <v>6914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IFERROR(__xludf.DUMMYFUNCTION("ifna(VALUE(REGEXEXTRACT(E125,""[0-9.]+[,]+[0-9]+"")))"),44.0)</f>
        <v>44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1920412.0</v>
      </c>
      <c r="C126" s="14">
        <v>46031.92392361111</v>
      </c>
      <c r="D126" s="210" t="s">
        <v>101</v>
      </c>
      <c r="E126" s="211" t="s">
        <v>1496</v>
      </c>
      <c r="F126" s="212"/>
      <c r="G126" s="210" t="s">
        <v>13950</v>
      </c>
      <c r="H126" s="153"/>
      <c r="I126" s="170"/>
      <c r="J126" s="156" t="s">
        <v>12778</v>
      </c>
      <c r="K126" s="156" t="s">
        <v>12666</v>
      </c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"),"Confirmada")</f>
        <v>Confirmada</v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IFERROR(__xludf.DUMMYFUNCTION("ifna(VALUE(REGEXEXTRACT(E126,""[0-9.]+[,]+[0-9]+"")))"),950.0)</f>
        <v>950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1920523.0</v>
      </c>
      <c r="C127" s="14">
        <v>46031.93460648148</v>
      </c>
      <c r="D127" s="210" t="s">
        <v>101</v>
      </c>
      <c r="E127" s="211" t="s">
        <v>246</v>
      </c>
      <c r="F127" s="212"/>
      <c r="G127" s="210" t="s">
        <v>13040</v>
      </c>
      <c r="H127" s="153"/>
      <c r="I127" s="170"/>
      <c r="J127" s="156" t="s">
        <v>6914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IFERROR(__xludf.DUMMYFUNCTION("ifna(VALUE(REGEXEXTRACT(E127,""[0-9.]+[,]+[0-9]+"")))"),30.0)</f>
        <v>30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1922056.0</v>
      </c>
      <c r="C128" s="14">
        <v>46032.802465277775</v>
      </c>
      <c r="D128" s="210" t="s">
        <v>101</v>
      </c>
      <c r="E128" s="211" t="s">
        <v>237</v>
      </c>
      <c r="F128" s="212"/>
      <c r="G128" s="210" t="s">
        <v>13951</v>
      </c>
      <c r="H128" s="153"/>
      <c r="I128" s="170"/>
      <c r="J128" s="156" t="s">
        <v>6914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59">
        <f>IFERROR(__xludf.DUMMYFUNCTION("ifna(VALUE(REGEXEXTRACT(E128,""[0-9.]+[,]+[0-9]+"")))"),100.0)</f>
        <v>100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1922320.0</v>
      </c>
      <c r="C129" s="14">
        <v>46032.85601851852</v>
      </c>
      <c r="D129" s="210" t="s">
        <v>101</v>
      </c>
      <c r="E129" s="211" t="s">
        <v>1839</v>
      </c>
      <c r="F129" s="212"/>
      <c r="G129" s="210" t="s">
        <v>13901</v>
      </c>
      <c r="H129" s="153"/>
      <c r="I129" s="170"/>
      <c r="J129" s="156" t="s">
        <v>10036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IFERROR(__xludf.DUMMYFUNCTION("ifna(VALUE(REGEXEXTRACT(E129,""[0-9.]+[,]+[0-9]+"")))"),92.0)</f>
        <v>92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1922323.0</v>
      </c>
      <c r="C130" s="14">
        <v>46032.85619212963</v>
      </c>
      <c r="D130" s="210" t="s">
        <v>101</v>
      </c>
      <c r="E130" s="211" t="s">
        <v>13209</v>
      </c>
      <c r="F130" s="214"/>
      <c r="G130" s="210" t="s">
        <v>13956</v>
      </c>
      <c r="H130" s="170"/>
      <c r="I130" s="170"/>
      <c r="J130" s="156" t="s">
        <v>10036</v>
      </c>
      <c r="K130" s="156"/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IFERROR(__xludf.DUMMYFUNCTION("ifna(VALUE(REGEXEXTRACT(E130,""[0-9.]+[,]+[0-9]+"")))"),117.0)</f>
        <v>117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1922665.0</v>
      </c>
      <c r="C131" s="14">
        <v>46032.90650462963</v>
      </c>
      <c r="D131" s="210" t="s">
        <v>101</v>
      </c>
      <c r="E131" s="211" t="s">
        <v>13959</v>
      </c>
      <c r="F131" s="212"/>
      <c r="G131" s="210" t="s">
        <v>13960</v>
      </c>
      <c r="H131" s="170"/>
      <c r="I131" s="170"/>
      <c r="J131" s="156" t="s">
        <v>12658</v>
      </c>
      <c r="K131" s="156" t="s">
        <v>12666</v>
      </c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IFERROR(__xludf.DUMMYFUNCTION("ifna(VALUE(REGEXEXTRACT(E131,""[0-9.]+[,]+[0-9]+"")))"),25.15)</f>
        <v>25.15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1922740.0</v>
      </c>
      <c r="C132" s="14">
        <v>46032.9140625</v>
      </c>
      <c r="D132" s="210" t="s">
        <v>101</v>
      </c>
      <c r="E132" s="211" t="s">
        <v>223</v>
      </c>
      <c r="F132" s="212"/>
      <c r="G132" s="210" t="s">
        <v>13961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IFERROR(__xludf.DUMMYFUNCTION("ifna(VALUE(REGEXEXTRACT(E132,""[0-9.]+[,]+[0-9]+"")))"),55.0)</f>
        <v>55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1922839.0</v>
      </c>
      <c r="C133" s="14">
        <v>46032.921006944445</v>
      </c>
      <c r="D133" s="210" t="s">
        <v>101</v>
      </c>
      <c r="E133" s="211" t="s">
        <v>804</v>
      </c>
      <c r="F133" s="212"/>
      <c r="G133" s="210" t="s">
        <v>13962</v>
      </c>
      <c r="H133" s="170"/>
      <c r="I133" s="170"/>
      <c r="J133" s="156" t="s">
        <v>12778</v>
      </c>
      <c r="K133" s="156" t="s">
        <v>12666</v>
      </c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IFERROR(__xludf.DUMMYFUNCTION("ifna(VALUE(REGEXEXTRACT(E133,""[0-9.]+[,]+[0-9]+"")))"),500.0)</f>
        <v>500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1923773.0</v>
      </c>
      <c r="C134" s="14">
        <v>46033.60947916667</v>
      </c>
      <c r="D134" s="210" t="s">
        <v>139</v>
      </c>
      <c r="E134" s="211" t="s">
        <v>370</v>
      </c>
      <c r="F134" s="212"/>
      <c r="G134" s="210" t="s">
        <v>12927</v>
      </c>
      <c r="H134" s="170"/>
      <c r="I134" s="170"/>
      <c r="J134" s="156" t="s">
        <v>12952</v>
      </c>
      <c r="K134" s="156"/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IFERROR(__xludf.DUMMYFUNCTION("ifna(VALUE(REGEXEXTRACT(E134,""[0-9.]+[,]+[0-9]+"")))"),244.0)</f>
        <v>244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1924035.0</v>
      </c>
      <c r="C135" s="14">
        <v>46033.67888888889</v>
      </c>
      <c r="D135" s="210" t="s">
        <v>139</v>
      </c>
      <c r="E135" s="211" t="s">
        <v>237</v>
      </c>
      <c r="F135" s="212"/>
      <c r="G135" s="210" t="s">
        <v>12927</v>
      </c>
      <c r="H135" s="170"/>
      <c r="I135" s="170"/>
      <c r="J135" s="156" t="s">
        <v>12952</v>
      </c>
      <c r="K135" s="156"/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IFERROR(__xludf.DUMMYFUNCTION("ifna(VALUE(REGEXEXTRACT(E135,""[0-9.]+[,]+[0-9]+"")))"),100.0)</f>
        <v>100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1925173.0</v>
      </c>
      <c r="C136" s="14">
        <v>46033.86682870371</v>
      </c>
      <c r="D136" s="210" t="s">
        <v>101</v>
      </c>
      <c r="E136" s="211" t="s">
        <v>13851</v>
      </c>
      <c r="F136" s="212"/>
      <c r="G136" s="210" t="s">
        <v>13963</v>
      </c>
      <c r="H136" s="170"/>
      <c r="I136" s="170"/>
      <c r="J136" s="156" t="s">
        <v>6914</v>
      </c>
      <c r="K136" s="156"/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IFERROR(__xludf.DUMMYFUNCTION("ifna(VALUE(REGEXEXTRACT(E136,""[0-9.]+[,]+[0-9]+"")))"),266.0)</f>
        <v>266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1925197.0</v>
      </c>
      <c r="C137" s="14">
        <v>46033.86962962963</v>
      </c>
      <c r="D137" s="210" t="s">
        <v>101</v>
      </c>
      <c r="E137" s="211" t="s">
        <v>786</v>
      </c>
      <c r="F137" s="212"/>
      <c r="G137" s="210" t="s">
        <v>13965</v>
      </c>
      <c r="H137" s="170"/>
      <c r="I137" s="170"/>
      <c r="J137" s="156" t="s">
        <v>10036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IFERROR(__xludf.DUMMYFUNCTION("ifna(VALUE(REGEXEXTRACT(E137,""[0-9.]+[,]+[0-9]+"")))"),130.0)</f>
        <v>130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1925200.0</v>
      </c>
      <c r="C138" s="14">
        <v>46033.869837962964</v>
      </c>
      <c r="D138" s="210" t="s">
        <v>101</v>
      </c>
      <c r="E138" s="211" t="s">
        <v>13209</v>
      </c>
      <c r="F138" s="212"/>
      <c r="G138" s="210" t="s">
        <v>13968</v>
      </c>
      <c r="H138" s="170"/>
      <c r="I138" s="170"/>
      <c r="J138" s="156" t="s">
        <v>10036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IFERROR(__xludf.DUMMYFUNCTION("ifna(VALUE(REGEXEXTRACT(E138,""[0-9.]+[,]+[0-9]+"")))"),117.0)</f>
        <v>117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1925201.0</v>
      </c>
      <c r="C139" s="14">
        <v>46033.870034722226</v>
      </c>
      <c r="D139" s="210" t="s">
        <v>101</v>
      </c>
      <c r="E139" s="211" t="s">
        <v>13209</v>
      </c>
      <c r="F139" s="212"/>
      <c r="G139" s="210" t="s">
        <v>13970</v>
      </c>
      <c r="H139" s="170"/>
      <c r="I139" s="170"/>
      <c r="J139" s="156" t="s">
        <v>10036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IFERROR(__xludf.DUMMYFUNCTION("ifna(VALUE(REGEXEXTRACT(E139,""[0-9.]+[,]+[0-9]+"")))"),117.0)</f>
        <v>117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1925796.0</v>
      </c>
      <c r="C140" s="14">
        <v>46033.925104166665</v>
      </c>
      <c r="D140" s="210" t="s">
        <v>101</v>
      </c>
      <c r="E140" s="211" t="s">
        <v>13862</v>
      </c>
      <c r="F140" s="214"/>
      <c r="G140" s="210" t="s">
        <v>13971</v>
      </c>
      <c r="H140" s="170"/>
      <c r="I140" s="170"/>
      <c r="J140" s="156" t="s">
        <v>12778</v>
      </c>
      <c r="K140" s="156" t="s">
        <v>11866</v>
      </c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"),"Caixa Atendimento")</f>
        <v>Caixa Atendimento</v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IFERROR(__xludf.DUMMYFUNCTION("ifna(VALUE(REGEXEXTRACT(E140,""[0-9.]+[,]+[0-9]+"")))"),1600.0)</f>
        <v>1600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217"/>
      <c r="C141" s="218"/>
      <c r="D141" s="219"/>
      <c r="E141" s="220"/>
      <c r="F141" s="219"/>
      <c r="G141" s="219"/>
      <c r="H141" s="170"/>
      <c r="I141" s="170"/>
      <c r="J141" s="156"/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59" t="str">
        <f>IFERROR(__xludf.DUMMYFUNCTION("ifna(VALUE(REGEXEXTRACT(E141,""[0-9.]+[,]+[0-9]+"")))"),"")</f>
        <v/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1926897.0</v>
      </c>
      <c r="C142" s="14">
        <v>46034.590416666666</v>
      </c>
      <c r="D142" s="210" t="s">
        <v>101</v>
      </c>
      <c r="E142" s="211" t="s">
        <v>13977</v>
      </c>
      <c r="F142" s="212"/>
      <c r="G142" s="210" t="s">
        <v>13978</v>
      </c>
      <c r="H142" s="170"/>
      <c r="I142" s="170"/>
      <c r="J142" s="156" t="s">
        <v>12818</v>
      </c>
      <c r="K142" s="156"/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"""")"),"Encontrada")</f>
        <v>Encontrada</v>
      </c>
      <c r="N142" s="159">
        <f>IFERROR(__xludf.DUMMYFUNCTION("ifna(VALUE(REGEXEXTRACT(E142,""[0-9.]+[,]+[0-9]+"")))"),11.58)</f>
        <v>11.58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1927409.0</v>
      </c>
      <c r="C143" s="14">
        <v>46034.722025462965</v>
      </c>
      <c r="D143" s="210" t="s">
        <v>101</v>
      </c>
      <c r="E143" s="211" t="s">
        <v>582</v>
      </c>
      <c r="F143" s="212"/>
      <c r="G143" s="210" t="s">
        <v>13979</v>
      </c>
      <c r="H143" s="170"/>
      <c r="I143" s="170"/>
      <c r="J143" s="156" t="s">
        <v>13783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IFERROR(__xludf.DUMMYFUNCTION("ifna(VALUE(REGEXEXTRACT(E143,""[0-9.]+[,]+[0-9]+"")))"),151.0)</f>
        <v>151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1927435.0</v>
      </c>
      <c r="C144" s="14">
        <v>46034.72954861111</v>
      </c>
      <c r="D144" s="210" t="s">
        <v>101</v>
      </c>
      <c r="E144" s="211" t="s">
        <v>13980</v>
      </c>
      <c r="F144" s="212"/>
      <c r="G144" s="210" t="s">
        <v>13981</v>
      </c>
      <c r="H144" s="170"/>
      <c r="I144" s="170"/>
      <c r="J144" s="156" t="s">
        <v>13783</v>
      </c>
      <c r="K144" s="156" t="s">
        <v>11866</v>
      </c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IFERROR(__xludf.DUMMYFUNCTION("ifna(VALUE(REGEXEXTRACT(E144,""[0-9.]+[,]+[0-9]+"")))"),467.6)</f>
        <v>467.6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1927470.0</v>
      </c>
      <c r="C145" s="14">
        <v>46034.736550925925</v>
      </c>
      <c r="D145" s="210" t="s">
        <v>139</v>
      </c>
      <c r="E145" s="211" t="s">
        <v>13980</v>
      </c>
      <c r="F145" s="212"/>
      <c r="G145" s="210" t="s">
        <v>13982</v>
      </c>
      <c r="H145" s="170"/>
      <c r="I145" s="170"/>
      <c r="J145" s="156" t="s">
        <v>13783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IFERROR(__xludf.DUMMYFUNCTION("ifna(VALUE(REGEXEXTRACT(E145,""[0-9.]+[,]+[0-9]+"")))"),467.6)</f>
        <v>467.6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1927476.0</v>
      </c>
      <c r="C146" s="14">
        <v>46034.73793981481</v>
      </c>
      <c r="D146" s="210" t="s">
        <v>101</v>
      </c>
      <c r="E146" s="211" t="s">
        <v>13983</v>
      </c>
      <c r="F146" s="212"/>
      <c r="G146" s="210" t="s">
        <v>13981</v>
      </c>
      <c r="H146" s="170"/>
      <c r="I146" s="170"/>
      <c r="J146" s="156" t="s">
        <v>12778</v>
      </c>
      <c r="K146" s="156" t="s">
        <v>11866</v>
      </c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"),"Confirmada")</f>
        <v>Confirmada</v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IFERROR(__xludf.DUMMYFUNCTION("ifna(VALUE(REGEXEXTRACT(E146,""[0-9.]+[,]+[0-9]+"")))"),270.0)</f>
        <v>270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1927631.0</v>
      </c>
      <c r="C147" s="14">
        <v>46034.77300925926</v>
      </c>
      <c r="D147" s="210" t="s">
        <v>101</v>
      </c>
      <c r="E147" s="211" t="s">
        <v>13138</v>
      </c>
      <c r="F147" s="212"/>
      <c r="G147" s="210" t="s">
        <v>13984</v>
      </c>
      <c r="H147" s="170"/>
      <c r="I147" s="170"/>
      <c r="J147" s="156"/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IFERROR(__xludf.DUMMYFUNCTION("ifna(VALUE(REGEXEXTRACT(E147,""[0-9.]+[,]+[0-9]+"")))"),0.01)</f>
        <v>0.01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1928305.0</v>
      </c>
      <c r="C148" s="14">
        <v>46034.922326388885</v>
      </c>
      <c r="D148" s="210" t="s">
        <v>101</v>
      </c>
      <c r="E148" s="211" t="s">
        <v>13985</v>
      </c>
      <c r="F148" s="212"/>
      <c r="G148" s="210" t="s">
        <v>13379</v>
      </c>
      <c r="H148" s="170"/>
      <c r="I148" s="170"/>
      <c r="J148" s="156" t="s">
        <v>6914</v>
      </c>
      <c r="K148" s="156"/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IFERROR(__xludf.DUMMYFUNCTION("ifna(VALUE(REGEXEXTRACT(E148,""[0-9.]+[,]+[0-9]+"")))"),109.0)</f>
        <v>109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1928308.0</v>
      </c>
      <c r="C149" s="14">
        <v>46034.922488425924</v>
      </c>
      <c r="D149" s="210" t="s">
        <v>101</v>
      </c>
      <c r="E149" s="211" t="s">
        <v>377</v>
      </c>
      <c r="F149" s="212"/>
      <c r="G149" s="210" t="s">
        <v>13747</v>
      </c>
      <c r="H149" s="170"/>
      <c r="I149" s="170"/>
      <c r="J149" s="156" t="s">
        <v>6914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IFERROR(__xludf.DUMMYFUNCTION("ifna(VALUE(REGEXEXTRACT(E149,""[0-9.]+[,]+[0-9]+"")))"),33.0)</f>
        <v>33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1928312.0</v>
      </c>
      <c r="C150" s="14">
        <v>46034.9230787037</v>
      </c>
      <c r="D150" s="210" t="s">
        <v>101</v>
      </c>
      <c r="E150" s="211" t="s">
        <v>13209</v>
      </c>
      <c r="F150" s="212"/>
      <c r="G150" s="210" t="s">
        <v>13845</v>
      </c>
      <c r="H150" s="170"/>
      <c r="I150" s="170"/>
      <c r="J150" s="156" t="s">
        <v>10036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IFERROR(__xludf.DUMMYFUNCTION("ifna(VALUE(REGEXEXTRACT(E150,""[0-9.]+[,]+[0-9]+"")))"),117.0)</f>
        <v>117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1928460.0</v>
      </c>
      <c r="C151" s="14">
        <v>46034.93644675926</v>
      </c>
      <c r="D151" s="210" t="s">
        <v>101</v>
      </c>
      <c r="E151" s="211" t="s">
        <v>746</v>
      </c>
      <c r="F151" s="214"/>
      <c r="G151" s="210" t="s">
        <v>13986</v>
      </c>
      <c r="H151" s="170"/>
      <c r="I151" s="170"/>
      <c r="J151" s="156" t="s">
        <v>12778</v>
      </c>
      <c r="K151" s="156" t="s">
        <v>12666</v>
      </c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"),"Confirmada")</f>
        <v>Confirmada</v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IFERROR(__xludf.DUMMYFUNCTION("ifna(VALUE(REGEXEXTRACT(E151,""[0-9.]+[,]+[0-9]+"")))"),350.0)</f>
        <v>350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1928853.0</v>
      </c>
      <c r="C152" s="14">
        <v>46035.52385416667</v>
      </c>
      <c r="D152" s="210" t="s">
        <v>101</v>
      </c>
      <c r="E152" s="211" t="s">
        <v>274</v>
      </c>
      <c r="F152" s="212"/>
      <c r="G152" s="210" t="s">
        <v>13886</v>
      </c>
      <c r="H152" s="170"/>
      <c r="I152" s="170"/>
      <c r="J152" s="156" t="s">
        <v>12658</v>
      </c>
      <c r="K152" s="156" t="s">
        <v>11866</v>
      </c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IFERROR(__xludf.DUMMYFUNCTION("ifna(VALUE(REGEXEXTRACT(E152,""[0-9.]+[,]+[0-9]+"")))"),6.0)</f>
        <v>6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1929436.0</v>
      </c>
      <c r="C153" s="14">
        <v>46035.71090277778</v>
      </c>
      <c r="D153" s="210" t="s">
        <v>101</v>
      </c>
      <c r="E153" s="211" t="s">
        <v>13988</v>
      </c>
      <c r="F153" s="212"/>
      <c r="G153" s="210" t="s">
        <v>13379</v>
      </c>
      <c r="H153" s="170"/>
      <c r="I153" s="170"/>
      <c r="J153" s="156" t="s">
        <v>6914</v>
      </c>
      <c r="K153" s="156"/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IFERROR(__xludf.DUMMYFUNCTION("ifna(VALUE(REGEXEXTRACT(E153,""[0-9.]+[,]+[0-9]+"")))"),88.0)</f>
        <v>88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1929442.0</v>
      </c>
      <c r="C154" s="14">
        <v>46035.71157407408</v>
      </c>
      <c r="D154" s="210" t="s">
        <v>101</v>
      </c>
      <c r="E154" s="211" t="s">
        <v>179</v>
      </c>
      <c r="F154" s="212"/>
      <c r="G154" s="210" t="s">
        <v>13979</v>
      </c>
      <c r="H154" s="170"/>
      <c r="I154" s="170"/>
      <c r="J154" s="156" t="s">
        <v>13783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IFERROR(__xludf.DUMMYFUNCTION("ifna(VALUE(REGEXEXTRACT(E154,""[0-9.]+[,]+[0-9]+"")))"),20.0)</f>
        <v>20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1929463.0</v>
      </c>
      <c r="C155" s="14">
        <v>46035.71600694444</v>
      </c>
      <c r="D155" s="210" t="s">
        <v>139</v>
      </c>
      <c r="E155" s="211" t="s">
        <v>231</v>
      </c>
      <c r="F155" s="212"/>
      <c r="G155" s="210" t="s">
        <v>12927</v>
      </c>
      <c r="H155" s="170"/>
      <c r="I155" s="170"/>
      <c r="J155" s="156" t="s">
        <v>12952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IFERROR(__xludf.DUMMYFUNCTION("ifna(VALUE(REGEXEXTRACT(E155,""[0-9.]+[,]+[0-9]+"")))"),10.0)</f>
        <v>10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1929482.0</v>
      </c>
      <c r="C156" s="14">
        <v>46035.72039351852</v>
      </c>
      <c r="D156" s="210" t="s">
        <v>101</v>
      </c>
      <c r="E156" s="211" t="s">
        <v>364</v>
      </c>
      <c r="F156" s="212"/>
      <c r="G156" s="210" t="s">
        <v>13989</v>
      </c>
      <c r="H156" s="170"/>
      <c r="I156" s="170"/>
      <c r="J156" s="156" t="s">
        <v>12778</v>
      </c>
      <c r="K156" s="156" t="s">
        <v>11866</v>
      </c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IFERROR(__xludf.DUMMYFUNCTION("ifna(VALUE(REGEXEXTRACT(E156,""[0-9.]+[,]+[0-9]+"")))"),600.0)</f>
        <v>600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1930113.0</v>
      </c>
      <c r="C157" s="14">
        <v>46035.88664351852</v>
      </c>
      <c r="D157" s="210" t="s">
        <v>101</v>
      </c>
      <c r="E157" s="211" t="s">
        <v>786</v>
      </c>
      <c r="F157" s="212"/>
      <c r="G157" s="210" t="s">
        <v>13845</v>
      </c>
      <c r="H157" s="170"/>
      <c r="I157" s="170"/>
      <c r="J157" s="156" t="s">
        <v>10036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IFERROR(__xludf.DUMMYFUNCTION("ifna(VALUE(REGEXEXTRACT(E157,""[0-9.]+[,]+[0-9]+"")))"),130.0)</f>
        <v>130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1930115.0</v>
      </c>
      <c r="C158" s="14">
        <v>46035.88693287037</v>
      </c>
      <c r="D158" s="210" t="s">
        <v>101</v>
      </c>
      <c r="E158" s="211" t="s">
        <v>398</v>
      </c>
      <c r="F158" s="212"/>
      <c r="G158" s="210" t="s">
        <v>13283</v>
      </c>
      <c r="H158" s="170"/>
      <c r="I158" s="170"/>
      <c r="J158" s="156" t="s">
        <v>6914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IFERROR(__xludf.DUMMYFUNCTION("ifna(VALUE(REGEXEXTRACT(E158,""[0-9.]+[,]+[0-9]+"")))"),12.0)</f>
        <v>12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1930378.0</v>
      </c>
      <c r="C159" s="14">
        <v>46035.9230787037</v>
      </c>
      <c r="D159" s="210" t="s">
        <v>101</v>
      </c>
      <c r="E159" s="211" t="s">
        <v>2133</v>
      </c>
      <c r="F159" s="214"/>
      <c r="G159" s="210" t="s">
        <v>13992</v>
      </c>
      <c r="H159" s="170"/>
      <c r="I159" s="170"/>
      <c r="J159" s="156" t="s">
        <v>12778</v>
      </c>
      <c r="K159" s="156" t="s">
        <v>12666</v>
      </c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"),"Confirmada")</f>
        <v>Confirmada</v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IFERROR(__xludf.DUMMYFUNCTION("ifna(VALUE(REGEXEXTRACT(E159,""[0-9.]+[,]+[0-9]+"")))"),750.0)</f>
        <v>750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1931374.0</v>
      </c>
      <c r="C160" s="14">
        <v>46036.70675925926</v>
      </c>
      <c r="D160" s="210" t="s">
        <v>101</v>
      </c>
      <c r="E160" s="211" t="s">
        <v>937</v>
      </c>
      <c r="F160" s="212"/>
      <c r="G160" s="210" t="s">
        <v>13040</v>
      </c>
      <c r="H160" s="170"/>
      <c r="I160" s="170"/>
      <c r="J160" s="156" t="s">
        <v>6914</v>
      </c>
      <c r="K160" s="156"/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IFERROR(__xludf.DUMMYFUNCTION("ifna(VALUE(REGEXEXTRACT(E160,""[0-9.]+[,]+[0-9]+"")))"),105.0)</f>
        <v>105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1931383.0</v>
      </c>
      <c r="C161" s="14">
        <v>46036.70853009259</v>
      </c>
      <c r="D161" s="210" t="s">
        <v>101</v>
      </c>
      <c r="E161" s="211" t="s">
        <v>398</v>
      </c>
      <c r="F161" s="212"/>
      <c r="G161" s="210" t="s">
        <v>13979</v>
      </c>
      <c r="H161" s="170"/>
      <c r="I161" s="170"/>
      <c r="J161" s="156" t="s">
        <v>13783</v>
      </c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IFERROR(__xludf.DUMMYFUNCTION("ifna(VALUE(REGEXEXTRACT(E161,""[0-9.]+[,]+[0-9]+"")))"),12.0)</f>
        <v>12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1931397.0</v>
      </c>
      <c r="C162" s="14">
        <v>46036.71144675926</v>
      </c>
      <c r="D162" s="210" t="s">
        <v>139</v>
      </c>
      <c r="E162" s="211" t="s">
        <v>398</v>
      </c>
      <c r="F162" s="212"/>
      <c r="G162" s="210" t="s">
        <v>12927</v>
      </c>
      <c r="H162" s="170"/>
      <c r="I162" s="170"/>
      <c r="J162" s="156" t="s">
        <v>12952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IFERROR(__xludf.DUMMYFUNCTION("ifna(VALUE(REGEXEXTRACT(E162,""[0-9.]+[,]+[0-9]+"")))"),12.0)</f>
        <v>12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1931410.0</v>
      </c>
      <c r="C163" s="14">
        <v>46036.71381944444</v>
      </c>
      <c r="D163" s="210" t="s">
        <v>101</v>
      </c>
      <c r="E163" s="211" t="s">
        <v>1097</v>
      </c>
      <c r="F163" s="212"/>
      <c r="G163" s="210" t="s">
        <v>13996</v>
      </c>
      <c r="H163" s="170"/>
      <c r="I163" s="170"/>
      <c r="J163" s="156" t="s">
        <v>12778</v>
      </c>
      <c r="K163" s="156" t="s">
        <v>11866</v>
      </c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"),"Confirmada")</f>
        <v>Confirmada</v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IFERROR(__xludf.DUMMYFUNCTION("ifna(VALUE(REGEXEXTRACT(E163,""[0-9.]+[,]+[0-9]+"")))"),450.0)</f>
        <v>450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1932101.0</v>
      </c>
      <c r="C164" s="14">
        <v>46036.89875</v>
      </c>
      <c r="D164" s="210" t="s">
        <v>101</v>
      </c>
      <c r="E164" s="211" t="s">
        <v>179</v>
      </c>
      <c r="F164" s="212"/>
      <c r="G164" s="210" t="s">
        <v>13541</v>
      </c>
      <c r="H164" s="170"/>
      <c r="I164" s="170"/>
      <c r="J164" s="156" t="s">
        <v>6914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IFERROR(__xludf.DUMMYFUNCTION("ifna(VALUE(REGEXEXTRACT(E164,""[0-9.]+[,]+[0-9]+"")))"),20.0)</f>
        <v>20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1932113.0</v>
      </c>
      <c r="C165" s="14">
        <v>46036.90130787037</v>
      </c>
      <c r="D165" s="210" t="s">
        <v>101</v>
      </c>
      <c r="E165" s="211" t="s">
        <v>13997</v>
      </c>
      <c r="F165" s="212"/>
      <c r="G165" s="210" t="s">
        <v>13998</v>
      </c>
      <c r="H165" s="170"/>
      <c r="I165" s="170"/>
      <c r="J165" s="156" t="s">
        <v>13571</v>
      </c>
      <c r="K165" s="156"/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IFERROR(__xludf.DUMMYFUNCTION("ifna(VALUE(REGEXEXTRACT(E165,""[0-9.]+[,]+[0-9]+"")))"),47.01)</f>
        <v>47.01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1932116.0</v>
      </c>
      <c r="C166" s="14">
        <v>46036.901655092595</v>
      </c>
      <c r="D166" s="210" t="s">
        <v>101</v>
      </c>
      <c r="E166" s="211" t="s">
        <v>786</v>
      </c>
      <c r="F166" s="212"/>
      <c r="G166" s="210" t="s">
        <v>13845</v>
      </c>
      <c r="H166" s="170"/>
      <c r="I166" s="170"/>
      <c r="J166" s="156" t="s">
        <v>10036</v>
      </c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IFERROR(__xludf.DUMMYFUNCTION("ifna(VALUE(REGEXEXTRACT(E166,""[0-9.]+[,]+[0-9]+"")))"),130.0)</f>
        <v>130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1932311.0</v>
      </c>
      <c r="C167" s="14">
        <v>46036.92497685185</v>
      </c>
      <c r="D167" s="210" t="s">
        <v>101</v>
      </c>
      <c r="E167" s="211" t="s">
        <v>13772</v>
      </c>
      <c r="F167" s="212"/>
      <c r="G167" s="210" t="s">
        <v>14000</v>
      </c>
      <c r="H167" s="170"/>
      <c r="I167" s="170"/>
      <c r="J167" s="156" t="s">
        <v>12778</v>
      </c>
      <c r="K167" s="156" t="s">
        <v>12666</v>
      </c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IFERROR(__xludf.DUMMYFUNCTION("ifna(VALUE(REGEXEXTRACT(E167,""[0-9.]+[,]+[0-9]+"")))"),850.0)</f>
        <v>850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1932861.0</v>
      </c>
      <c r="C168" s="14">
        <v>46037.536574074074</v>
      </c>
      <c r="D168" s="210" t="s">
        <v>101</v>
      </c>
      <c r="E168" s="211" t="s">
        <v>1687</v>
      </c>
      <c r="F168" s="212"/>
      <c r="G168" s="210" t="s">
        <v>13886</v>
      </c>
      <c r="H168" s="170"/>
      <c r="I168" s="170"/>
      <c r="J168" s="156" t="s">
        <v>12658</v>
      </c>
      <c r="K168" s="156" t="s">
        <v>11866</v>
      </c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IFERROR(__xludf.DUMMYFUNCTION("ifna(VALUE(REGEXEXTRACT(E168,""[0-9.]+[,]+[0-9]+"")))"),19.0)</f>
        <v>19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1932986.0</v>
      </c>
      <c r="C169" s="14">
        <v>46037.59028935185</v>
      </c>
      <c r="D169" s="210" t="s">
        <v>101</v>
      </c>
      <c r="E169" s="211" t="s">
        <v>14002</v>
      </c>
      <c r="F169" s="214"/>
      <c r="G169" s="210" t="s">
        <v>14003</v>
      </c>
      <c r="H169" s="170"/>
      <c r="I169" s="170"/>
      <c r="J169" s="156" t="s">
        <v>12818</v>
      </c>
      <c r="K169" s="156"/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159">
        <f>IFERROR(__xludf.DUMMYFUNCTION("ifna(VALUE(REGEXEXTRACT(E169,""[0-9.]+[,]+[0-9]+"")))"),37.75)</f>
        <v>37.75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1933243.0</v>
      </c>
      <c r="C170" s="14">
        <v>46037.6759375</v>
      </c>
      <c r="D170" s="210" t="s">
        <v>101</v>
      </c>
      <c r="E170" s="211" t="s">
        <v>473</v>
      </c>
      <c r="F170" s="212"/>
      <c r="G170" s="210" t="s">
        <v>14004</v>
      </c>
      <c r="H170" s="170"/>
      <c r="I170" s="170"/>
      <c r="J170" s="156" t="s">
        <v>13513</v>
      </c>
      <c r="K170" s="156"/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IFERROR(__xludf.DUMMYFUNCTION("ifna(VALUE(REGEXEXTRACT(E170,""[0-9.]+[,]+[0-9]+"")))"),15.0)</f>
        <v>15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1933407.0</v>
      </c>
      <c r="C171" s="14">
        <v>46037.7115625</v>
      </c>
      <c r="D171" s="210" t="s">
        <v>139</v>
      </c>
      <c r="E171" s="211" t="s">
        <v>14005</v>
      </c>
      <c r="F171" s="212"/>
      <c r="G171" s="210" t="s">
        <v>12927</v>
      </c>
      <c r="H171" s="170"/>
      <c r="I171" s="170"/>
      <c r="J171" s="156" t="s">
        <v>12952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IFERROR(__xludf.DUMMYFUNCTION("ifna(VALUE(REGEXEXTRACT(E171,""[0-9.]+[,]+[0-9]+"")))"),80.5)</f>
        <v>80.5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1933457.0</v>
      </c>
      <c r="C172" s="14">
        <v>46037.72145833333</v>
      </c>
      <c r="D172" s="210" t="s">
        <v>101</v>
      </c>
      <c r="E172" s="211" t="s">
        <v>1268</v>
      </c>
      <c r="F172" s="212"/>
      <c r="G172" s="210" t="s">
        <v>14006</v>
      </c>
      <c r="H172" s="170"/>
      <c r="I172" s="170"/>
      <c r="J172" s="156" t="s">
        <v>12778</v>
      </c>
      <c r="K172" s="156" t="s">
        <v>11866</v>
      </c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"),"Confirmada")</f>
        <v>Confirmada</v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IFERROR(__xludf.DUMMYFUNCTION("ifna(VALUE(REGEXEXTRACT(E172,""[0-9.]+[,]+[0-9]+"")))"),1150.0)</f>
        <v>1150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1933459.0</v>
      </c>
      <c r="C173" s="14">
        <v>46037.72185185185</v>
      </c>
      <c r="D173" s="210" t="s">
        <v>101</v>
      </c>
      <c r="E173" s="211" t="s">
        <v>2425</v>
      </c>
      <c r="F173" s="212"/>
      <c r="G173" s="210" t="s">
        <v>13979</v>
      </c>
      <c r="H173" s="170"/>
      <c r="I173" s="170"/>
      <c r="J173" s="156" t="s">
        <v>13783</v>
      </c>
      <c r="K173" s="156"/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IFERROR(__xludf.DUMMYFUNCTION("ifna(VALUE(REGEXEXTRACT(E173,""[0-9.]+[,]+[0-9]+"")))"),95.0)</f>
        <v>95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1933461.0</v>
      </c>
      <c r="C174" s="14">
        <v>46037.72207175926</v>
      </c>
      <c r="D174" s="210" t="s">
        <v>139</v>
      </c>
      <c r="E174" s="211" t="s">
        <v>2425</v>
      </c>
      <c r="F174" s="212"/>
      <c r="G174" s="210" t="s">
        <v>12927</v>
      </c>
      <c r="H174" s="170"/>
      <c r="I174" s="170"/>
      <c r="J174" s="156" t="s">
        <v>12952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IFERROR(__xludf.DUMMYFUNCTION("ifna(VALUE(REGEXEXTRACT(E174,""[0-9.]+[,]+[0-9]+"")))"),95.0)</f>
        <v>95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1933496.0</v>
      </c>
      <c r="C175" s="14">
        <v>46037.72886574074</v>
      </c>
      <c r="D175" s="210" t="s">
        <v>139</v>
      </c>
      <c r="E175" s="211" t="s">
        <v>121</v>
      </c>
      <c r="F175" s="212"/>
      <c r="G175" s="210" t="s">
        <v>12927</v>
      </c>
      <c r="H175" s="170"/>
      <c r="I175" s="170"/>
      <c r="J175" s="156" t="s">
        <v>12952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IFERROR(__xludf.DUMMYFUNCTION("ifna(VALUE(REGEXEXTRACT(E175,""[0-9.]+[,]+[0-9]+"")))"),135.0)</f>
        <v>135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1934317.0</v>
      </c>
      <c r="C176" s="14">
        <v>46037.91762731481</v>
      </c>
      <c r="D176" s="210" t="s">
        <v>101</v>
      </c>
      <c r="E176" s="211" t="s">
        <v>13426</v>
      </c>
      <c r="F176" s="212"/>
      <c r="G176" s="210" t="s">
        <v>13747</v>
      </c>
      <c r="H176" s="170"/>
      <c r="I176" s="170"/>
      <c r="J176" s="156" t="s">
        <v>6914</v>
      </c>
      <c r="K176" s="156"/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IFERROR(__xludf.DUMMYFUNCTION("ifna(VALUE(REGEXEXTRACT(E176,""[0-9.]+[,]+[0-9]+"")))"),36.0)</f>
        <v>36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1934322.0</v>
      </c>
      <c r="C177" s="14">
        <v>46037.9178125</v>
      </c>
      <c r="D177" s="210" t="s">
        <v>101</v>
      </c>
      <c r="E177" s="211" t="s">
        <v>14007</v>
      </c>
      <c r="F177" s="212"/>
      <c r="G177" s="210" t="s">
        <v>13379</v>
      </c>
      <c r="H177" s="170"/>
      <c r="I177" s="170"/>
      <c r="J177" s="156" t="s">
        <v>6914</v>
      </c>
      <c r="K177" s="156"/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IFERROR(__xludf.DUMMYFUNCTION("ifna(VALUE(REGEXEXTRACT(E177,""[0-9.]+[,]+[0-9]+"")))"),206.0)</f>
        <v>206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1934532.0</v>
      </c>
      <c r="C178" s="14">
        <v>46037.94495370371</v>
      </c>
      <c r="D178" s="210" t="s">
        <v>101</v>
      </c>
      <c r="E178" s="211" t="s">
        <v>12773</v>
      </c>
      <c r="F178" s="214"/>
      <c r="G178" s="210" t="s">
        <v>14009</v>
      </c>
      <c r="H178" s="170"/>
      <c r="I178" s="170"/>
      <c r="J178" s="156" t="s">
        <v>12778</v>
      </c>
      <c r="K178" s="156" t="s">
        <v>12666</v>
      </c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"),"Confirmada")</f>
        <v>Confirmada</v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IFERROR(__xludf.DUMMYFUNCTION("ifna(VALUE(REGEXEXTRACT(E178,""[0-9.]+[,]+[0-9]+"")))"),700.0)</f>
        <v>700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1934976.0</v>
      </c>
      <c r="C179" s="14">
        <v>46038.57540509259</v>
      </c>
      <c r="D179" s="210" t="s">
        <v>101</v>
      </c>
      <c r="E179" s="211" t="s">
        <v>14011</v>
      </c>
      <c r="F179" s="212"/>
      <c r="G179" s="210" t="s">
        <v>13259</v>
      </c>
      <c r="H179" s="170"/>
      <c r="I179" s="170"/>
      <c r="J179" s="156"/>
      <c r="K179" s="156"/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IFERROR(__xludf.DUMMYFUNCTION("ifna(VALUE(REGEXEXTRACT(E179,""[0-9.]+[,]+[0-9]+"")))"),0.03)</f>
        <v>0.03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1934978.0</v>
      </c>
      <c r="C180" s="14">
        <v>46038.57576388889</v>
      </c>
      <c r="D180" s="210" t="s">
        <v>101</v>
      </c>
      <c r="E180" s="211" t="s">
        <v>13561</v>
      </c>
      <c r="F180" s="212"/>
      <c r="G180" s="210" t="s">
        <v>14012</v>
      </c>
      <c r="H180" s="170"/>
      <c r="I180" s="170"/>
      <c r="J180" s="156" t="s">
        <v>12658</v>
      </c>
      <c r="K180" s="156" t="s">
        <v>11866</v>
      </c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59">
        <f>IFERROR(__xludf.DUMMYFUNCTION("ifna(VALUE(REGEXEXTRACT(E180,""[0-9.]+[,]+[0-9]+"")))"),3.0)</f>
        <v>3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1935147.0</v>
      </c>
      <c r="C181" s="14">
        <v>46038.62987268518</v>
      </c>
      <c r="D181" s="210" t="s">
        <v>101</v>
      </c>
      <c r="E181" s="211" t="s">
        <v>14013</v>
      </c>
      <c r="F181" s="212"/>
      <c r="G181" s="210" t="s">
        <v>3109</v>
      </c>
      <c r="H181" s="170"/>
      <c r="I181" s="170"/>
      <c r="J181" s="156" t="s">
        <v>12818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59">
        <f>IFERROR(__xludf.DUMMYFUNCTION("ifna(VALUE(REGEXEXTRACT(E181,""[0-9.]+[,]+[0-9]+"")))"),91.6)</f>
        <v>91.6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1935236.0</v>
      </c>
      <c r="C182" s="14">
        <v>46038.65258101852</v>
      </c>
      <c r="D182" s="210" t="s">
        <v>139</v>
      </c>
      <c r="E182" s="211" t="s">
        <v>786</v>
      </c>
      <c r="F182" s="212"/>
      <c r="G182" s="210" t="s">
        <v>14014</v>
      </c>
      <c r="H182" s="170"/>
      <c r="I182" s="170"/>
      <c r="J182" s="156" t="s">
        <v>12952</v>
      </c>
      <c r="K182" s="156"/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IFERROR(__xludf.DUMMYFUNCTION("ifna(VALUE(REGEXEXTRACT(E182,""[0-9.]+[,]+[0-9]+"")))"),130.0)</f>
        <v>130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1935436.0</v>
      </c>
      <c r="C183" s="14">
        <v>46038.691828703704</v>
      </c>
      <c r="D183" s="210" t="s">
        <v>101</v>
      </c>
      <c r="E183" s="211" t="s">
        <v>14015</v>
      </c>
      <c r="F183" s="212"/>
      <c r="G183" s="210" t="s">
        <v>14016</v>
      </c>
      <c r="H183" s="170"/>
      <c r="I183" s="170"/>
      <c r="J183" s="156" t="s">
        <v>12818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"""")"),"Encontrada")</f>
        <v>Encontrada</v>
      </c>
      <c r="N183" s="159">
        <f>IFERROR(__xludf.DUMMYFUNCTION("ifna(VALUE(REGEXEXTRACT(E183,""[0-9.]+[,]+[0-9]+"")))"),47.88)</f>
        <v>47.88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1935437.0</v>
      </c>
      <c r="C184" s="14">
        <v>46038.692037037035</v>
      </c>
      <c r="D184" s="210" t="s">
        <v>139</v>
      </c>
      <c r="E184" s="211" t="s">
        <v>13862</v>
      </c>
      <c r="F184" s="212"/>
      <c r="G184" s="210" t="s">
        <v>14021</v>
      </c>
      <c r="H184" s="170"/>
      <c r="I184" s="170"/>
      <c r="J184" s="156" t="s">
        <v>12778</v>
      </c>
      <c r="K184" s="156" t="s">
        <v>11866</v>
      </c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IFERROR(__xludf.DUMMYFUNCTION("ifna(VALUE(REGEXEXTRACT(E184,""[0-9.]+[,]+[0-9]+"")))"),1600.0)</f>
        <v>1600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1935510.0</v>
      </c>
      <c r="C185" s="14">
        <v>46038.70715277778</v>
      </c>
      <c r="D185" s="210" t="s">
        <v>101</v>
      </c>
      <c r="E185" s="211" t="s">
        <v>586</v>
      </c>
      <c r="F185" s="212"/>
      <c r="G185" s="210" t="s">
        <v>14024</v>
      </c>
      <c r="H185" s="170"/>
      <c r="I185" s="170"/>
      <c r="J185" s="156" t="s">
        <v>12818</v>
      </c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159">
        <f>IFERROR(__xludf.DUMMYFUNCTION("ifna(VALUE(REGEXEXTRACT(E185,""[0-9.]+[,]+[0-9]+"")))"),120.0)</f>
        <v>120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1935586.0</v>
      </c>
      <c r="C186" s="14">
        <v>46038.720034722224</v>
      </c>
      <c r="D186" s="210" t="s">
        <v>101</v>
      </c>
      <c r="E186" s="211" t="s">
        <v>13862</v>
      </c>
      <c r="F186" s="212"/>
      <c r="G186" s="210" t="s">
        <v>14026</v>
      </c>
      <c r="H186" s="170"/>
      <c r="I186" s="170"/>
      <c r="J186" s="156" t="s">
        <v>12952</v>
      </c>
      <c r="K186" s="156"/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IFERROR(__xludf.DUMMYFUNCTION("ifna(VALUE(REGEXEXTRACT(E186,""[0-9.]+[,]+[0-9]+"")))"),1600.0)</f>
        <v>1600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1935596.0</v>
      </c>
      <c r="C187" s="14">
        <v>46038.722592592596</v>
      </c>
      <c r="D187" s="210" t="s">
        <v>101</v>
      </c>
      <c r="E187" s="211" t="s">
        <v>256</v>
      </c>
      <c r="F187" s="212"/>
      <c r="G187" s="210" t="s">
        <v>14028</v>
      </c>
      <c r="H187" s="170"/>
      <c r="I187" s="170"/>
      <c r="J187" s="156" t="s">
        <v>12778</v>
      </c>
      <c r="K187" s="156" t="s">
        <v>11866</v>
      </c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"),"Confirmada")</f>
        <v>Confirmada</v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IFERROR(__xludf.DUMMYFUNCTION("ifna(VALUE(REGEXEXTRACT(E187,""[0-9.]+[,]+[0-9]+"")))"),300.0)</f>
        <v>300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1935599.0</v>
      </c>
      <c r="C188" s="14">
        <v>46038.72310185185</v>
      </c>
      <c r="D188" s="210" t="s">
        <v>101</v>
      </c>
      <c r="E188" s="211" t="s">
        <v>237</v>
      </c>
      <c r="F188" s="214"/>
      <c r="G188" s="210" t="s">
        <v>14026</v>
      </c>
      <c r="H188" s="170"/>
      <c r="I188" s="170"/>
      <c r="J188" s="156" t="s">
        <v>12952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IFERROR(__xludf.DUMMYFUNCTION("ifna(VALUE(REGEXEXTRACT(E188,""[0-9.]+[,]+[0-9]+"")))"),100.0)</f>
        <v>100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1936066.0</v>
      </c>
      <c r="C189" s="14">
        <v>46038.84652777778</v>
      </c>
      <c r="D189" s="210" t="s">
        <v>101</v>
      </c>
      <c r="E189" s="211" t="s">
        <v>201</v>
      </c>
      <c r="F189" s="212"/>
      <c r="G189" s="210" t="s">
        <v>14031</v>
      </c>
      <c r="H189" s="170"/>
      <c r="I189" s="170"/>
      <c r="J189" s="156" t="s">
        <v>6914</v>
      </c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IFERROR(__xludf.DUMMYFUNCTION("ifna(VALUE(REGEXEXTRACT(E189,""[0-9.]+[,]+[0-9]+"")))"),150.0)</f>
        <v>150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1936068.0</v>
      </c>
      <c r="C190" s="14">
        <v>46038.84699074074</v>
      </c>
      <c r="D190" s="210" t="s">
        <v>101</v>
      </c>
      <c r="E190" s="211" t="s">
        <v>392</v>
      </c>
      <c r="F190" s="212"/>
      <c r="G190" s="210" t="s">
        <v>14033</v>
      </c>
      <c r="H190" s="170"/>
      <c r="I190" s="170"/>
      <c r="J190" s="156" t="s">
        <v>12658</v>
      </c>
      <c r="K190" s="156" t="s">
        <v>11866</v>
      </c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IFERROR(__xludf.DUMMYFUNCTION("ifna(VALUE(REGEXEXTRACT(E190,""[0-9.]+[,]+[0-9]+"")))"),27.0)</f>
        <v>27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1936507.0</v>
      </c>
      <c r="C191" s="14">
        <v>46038.92259259259</v>
      </c>
      <c r="D191" s="210" t="s">
        <v>101</v>
      </c>
      <c r="E191" s="211" t="s">
        <v>13988</v>
      </c>
      <c r="F191" s="212"/>
      <c r="G191" s="210" t="s">
        <v>13747</v>
      </c>
      <c r="H191" s="170"/>
      <c r="I191" s="170"/>
      <c r="J191" s="156" t="s">
        <v>6914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IFERROR(__xludf.DUMMYFUNCTION("ifna(VALUE(REGEXEXTRACT(E191,""[0-9.]+[,]+[0-9]+"")))"),88.0)</f>
        <v>88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1936628.0</v>
      </c>
      <c r="C192" s="14">
        <v>46038.93640046296</v>
      </c>
      <c r="D192" s="210" t="s">
        <v>101</v>
      </c>
      <c r="E192" s="211" t="s">
        <v>465</v>
      </c>
      <c r="F192" s="212"/>
      <c r="G192" s="210" t="s">
        <v>14038</v>
      </c>
      <c r="H192" s="170"/>
      <c r="I192" s="170"/>
      <c r="J192" s="156" t="s">
        <v>12778</v>
      </c>
      <c r="K192" s="156" t="s">
        <v>12666</v>
      </c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"),"Confirmada")</f>
        <v>Confirmada</v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IFERROR(__xludf.DUMMYFUNCTION("ifna(VALUE(REGEXEXTRACT(E192,""[0-9.]+[,]+[0-9]+"")))"),550.0)</f>
        <v>550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1937585.0</v>
      </c>
      <c r="C193" s="14">
        <v>46039.6821412037</v>
      </c>
      <c r="D193" s="210" t="s">
        <v>101</v>
      </c>
      <c r="E193" s="211" t="s">
        <v>14039</v>
      </c>
      <c r="F193" s="212"/>
      <c r="G193" s="210" t="s">
        <v>14040</v>
      </c>
      <c r="H193" s="170"/>
      <c r="I193" s="170"/>
      <c r="J193" s="156" t="s">
        <v>12818</v>
      </c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159">
        <f>IFERROR(__xludf.DUMMYFUNCTION("ifna(VALUE(REGEXEXTRACT(E193,""[0-9.]+[,]+[0-9]+"")))"),212.19)</f>
        <v>212.19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1938295.0</v>
      </c>
      <c r="C194" s="14">
        <v>46039.82931712963</v>
      </c>
      <c r="D194" s="210" t="s">
        <v>101</v>
      </c>
      <c r="E194" s="211" t="s">
        <v>13777</v>
      </c>
      <c r="F194" s="212"/>
      <c r="G194" s="210" t="s">
        <v>14042</v>
      </c>
      <c r="H194" s="170"/>
      <c r="I194" s="170"/>
      <c r="J194" s="156" t="s">
        <v>6914</v>
      </c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IFERROR(__xludf.DUMMYFUNCTION("ifna(VALUE(REGEXEXTRACT(E194,""[0-9.]+[,]+[0-9]+"")))"),61.0)</f>
        <v>61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1938425.0</v>
      </c>
      <c r="C195" s="14">
        <v>46039.854155092595</v>
      </c>
      <c r="D195" s="210" t="s">
        <v>101</v>
      </c>
      <c r="E195" s="211" t="s">
        <v>141</v>
      </c>
      <c r="F195" s="212"/>
      <c r="G195" s="210" t="s">
        <v>14043</v>
      </c>
      <c r="H195" s="170"/>
      <c r="I195" s="170"/>
      <c r="J195" s="156" t="s">
        <v>12720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IFERROR(__xludf.DUMMYFUNCTION("ifna(VALUE(REGEXEXTRACT(E195,""[0-9.]+[,]+[0-9]+"")))"),50.0)</f>
        <v>50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1938429.0</v>
      </c>
      <c r="C196" s="14">
        <v>46039.85497685185</v>
      </c>
      <c r="D196" s="210" t="s">
        <v>101</v>
      </c>
      <c r="E196" s="211" t="s">
        <v>13935</v>
      </c>
      <c r="F196" s="212"/>
      <c r="G196" s="210" t="s">
        <v>13845</v>
      </c>
      <c r="H196" s="170"/>
      <c r="I196" s="170"/>
      <c r="J196" s="156" t="s">
        <v>10036</v>
      </c>
      <c r="K196" s="156"/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IFERROR(__xludf.DUMMYFUNCTION("ifna(VALUE(REGEXEXTRACT(E196,""[0-9.]+[,]+[0-9]+"")))"),93.0)</f>
        <v>93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1938432.0</v>
      </c>
      <c r="C197" s="14">
        <v>46039.85525462963</v>
      </c>
      <c r="D197" s="210" t="s">
        <v>101</v>
      </c>
      <c r="E197" s="211" t="s">
        <v>13209</v>
      </c>
      <c r="F197" s="212"/>
      <c r="G197" s="210" t="s">
        <v>13956</v>
      </c>
      <c r="H197" s="170"/>
      <c r="I197" s="170"/>
      <c r="J197" s="156" t="s">
        <v>10036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IFERROR(__xludf.DUMMYFUNCTION("ifna(VALUE(REGEXEXTRACT(E197,""[0-9.]+[,]+[0-9]+"")))"),117.0)</f>
        <v>117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1938487.0</v>
      </c>
      <c r="C198" s="14">
        <v>46039.86517361111</v>
      </c>
      <c r="D198" s="210" t="s">
        <v>101</v>
      </c>
      <c r="E198" s="211" t="s">
        <v>2025</v>
      </c>
      <c r="F198" s="214"/>
      <c r="G198" s="210" t="s">
        <v>14044</v>
      </c>
      <c r="H198" s="170"/>
      <c r="I198" s="170"/>
      <c r="J198" s="156" t="s">
        <v>6914</v>
      </c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IFERROR(__xludf.DUMMYFUNCTION("ifna(VALUE(REGEXEXTRACT(E198,""[0-9.]+[,]+[0-9]+"")))"),43.0)</f>
        <v>43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1938558.0</v>
      </c>
      <c r="C199" s="14">
        <v>46039.87925925926</v>
      </c>
      <c r="D199" s="210" t="s">
        <v>101</v>
      </c>
      <c r="E199" s="211" t="s">
        <v>231</v>
      </c>
      <c r="F199" s="212"/>
      <c r="G199" s="210" t="s">
        <v>13747</v>
      </c>
      <c r="H199" s="170"/>
      <c r="I199" s="170"/>
      <c r="J199" s="156" t="s">
        <v>6914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IFERROR(__xludf.DUMMYFUNCTION("ifna(VALUE(REGEXEXTRACT(E199,""[0-9.]+[,]+[0-9]+"")))"),10.0)</f>
        <v>10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1938777.0</v>
      </c>
      <c r="C200" s="14">
        <v>46039.91006944444</v>
      </c>
      <c r="D200" s="210" t="s">
        <v>101</v>
      </c>
      <c r="E200" s="211" t="s">
        <v>191</v>
      </c>
      <c r="F200" s="212"/>
      <c r="G200" s="210" t="s">
        <v>14045</v>
      </c>
      <c r="H200" s="170"/>
      <c r="I200" s="170"/>
      <c r="J200" s="156" t="s">
        <v>12658</v>
      </c>
      <c r="K200" s="156" t="s">
        <v>12693</v>
      </c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>
        <f>IFERROR(__xludf.DUMMYFUNCTION("ifna(VALUE(REGEXEXTRACT(E200,""[0-9.]+[,]+[0-9]+"")))"),39.0)</f>
        <v>39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1939009.0</v>
      </c>
      <c r="C201" s="14">
        <v>46039.92502314815</v>
      </c>
      <c r="D201" s="210" t="s">
        <v>101</v>
      </c>
      <c r="E201" s="211" t="s">
        <v>746</v>
      </c>
      <c r="F201" s="212"/>
      <c r="G201" s="210" t="s">
        <v>14046</v>
      </c>
      <c r="H201" s="170"/>
      <c r="I201" s="170"/>
      <c r="J201" s="156" t="s">
        <v>12778</v>
      </c>
      <c r="K201" s="156" t="s">
        <v>12666</v>
      </c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"),"Confirmada")</f>
        <v>Confirmada</v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>
        <f>IFERROR(__xludf.DUMMYFUNCTION("ifna(VALUE(REGEXEXTRACT(E201,""[0-9.]+[,]+[0-9]+"")))"),350.0)</f>
        <v>350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1939012.0</v>
      </c>
      <c r="C202" s="14">
        <v>46039.925208333334</v>
      </c>
      <c r="D202" s="210" t="s">
        <v>139</v>
      </c>
      <c r="E202" s="211" t="s">
        <v>201</v>
      </c>
      <c r="F202" s="212"/>
      <c r="G202" s="210" t="s">
        <v>12927</v>
      </c>
      <c r="H202" s="170"/>
      <c r="I202" s="170"/>
      <c r="J202" s="156" t="s">
        <v>12952</v>
      </c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IFERROR(__xludf.DUMMYFUNCTION("ifna(VALUE(REGEXEXTRACT(E202,""[0-9.]+[,]+[0-9]+"")))"),150.0)</f>
        <v>150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1939747.0</v>
      </c>
      <c r="C203" s="14">
        <v>46040.551724537036</v>
      </c>
      <c r="D203" s="210" t="s">
        <v>101</v>
      </c>
      <c r="E203" s="211" t="s">
        <v>288</v>
      </c>
      <c r="F203" s="212"/>
      <c r="G203" s="210" t="s">
        <v>14047</v>
      </c>
      <c r="H203" s="170"/>
      <c r="I203" s="170"/>
      <c r="J203" s="156" t="s">
        <v>10036</v>
      </c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>
        <f>IFERROR(__xludf.DUMMYFUNCTION("ifna(VALUE(REGEXEXTRACT(E203,""[0-9.]+[,]+[0-9]+"")))"),23.0)</f>
        <v>23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>
        <v>1939858.0</v>
      </c>
      <c r="C204" s="14">
        <v>46040.60901620371</v>
      </c>
      <c r="D204" s="210" t="s">
        <v>101</v>
      </c>
      <c r="E204" s="211" t="s">
        <v>260</v>
      </c>
      <c r="F204" s="212"/>
      <c r="G204" s="210" t="s">
        <v>14048</v>
      </c>
      <c r="H204" s="170"/>
      <c r="I204" s="170"/>
      <c r="J204" s="156"/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>
        <f>IFERROR(__xludf.DUMMYFUNCTION("ifna(VALUE(REGEXEXTRACT(E204,""[0-9.]+[,]+[0-9]+"")))"),13.0)</f>
        <v>13</v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>
        <v>1939946.0</v>
      </c>
      <c r="C205" s="14">
        <v>46040.63841435185</v>
      </c>
      <c r="D205" s="210" t="s">
        <v>139</v>
      </c>
      <c r="E205" s="211" t="s">
        <v>256</v>
      </c>
      <c r="F205" s="212"/>
      <c r="G205" s="210" t="s">
        <v>12927</v>
      </c>
      <c r="H205" s="170"/>
      <c r="I205" s="170"/>
      <c r="J205" s="156" t="s">
        <v>12952</v>
      </c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>
        <f>IFERROR(__xludf.DUMMYFUNCTION("ifna(VALUE(REGEXEXTRACT(E205,""[0-9.]+[,]+[0-9]+"")))"),300.0)</f>
        <v>300</v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>
        <v>1939960.0</v>
      </c>
      <c r="C206" s="14">
        <v>46040.64332175926</v>
      </c>
      <c r="D206" s="210" t="s">
        <v>101</v>
      </c>
      <c r="E206" s="211" t="s">
        <v>252</v>
      </c>
      <c r="F206" s="212"/>
      <c r="G206" s="210" t="s">
        <v>14050</v>
      </c>
      <c r="H206" s="170"/>
      <c r="I206" s="170"/>
      <c r="J206" s="156"/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>
        <f>IFERROR(__xludf.DUMMYFUNCTION("ifna(VALUE(REGEXEXTRACT(E206,""[0-9.]+[,]+[0-9]+"")))"),5.0)</f>
        <v>5</v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>
        <v>1940991.0</v>
      </c>
      <c r="C207" s="14">
        <v>46040.84809027778</v>
      </c>
      <c r="D207" s="210" t="s">
        <v>101</v>
      </c>
      <c r="E207" s="211" t="s">
        <v>14052</v>
      </c>
      <c r="F207" s="212"/>
      <c r="G207" s="210" t="s">
        <v>14054</v>
      </c>
      <c r="H207" s="170"/>
      <c r="I207" s="170"/>
      <c r="J207" s="156" t="s">
        <v>12720</v>
      </c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>
        <f>IFERROR(__xludf.DUMMYFUNCTION("ifna(VALUE(REGEXEXTRACT(E207,""[0-9.]+[,]+[0-9]+"")))"),53.79)</f>
        <v>53.79</v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>
        <v>1941179.0</v>
      </c>
      <c r="C208" s="14">
        <v>46040.875</v>
      </c>
      <c r="D208" s="210" t="s">
        <v>101</v>
      </c>
      <c r="E208" s="211" t="s">
        <v>14055</v>
      </c>
      <c r="F208" s="214"/>
      <c r="G208" s="210" t="s">
        <v>14056</v>
      </c>
      <c r="H208" s="170"/>
      <c r="I208" s="170"/>
      <c r="J208" s="156" t="s">
        <v>6914</v>
      </c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>
        <f>IFERROR(__xludf.DUMMYFUNCTION("ifna(VALUE(REGEXEXTRACT(E208,""[0-9.]+[,]+[0-9]+"")))"),284.0)</f>
        <v>284</v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>
        <v>1941186.0</v>
      </c>
      <c r="C209" s="14">
        <v>46040.87583333333</v>
      </c>
      <c r="D209" s="210" t="s">
        <v>101</v>
      </c>
      <c r="E209" s="211" t="s">
        <v>13209</v>
      </c>
      <c r="F209" s="212"/>
      <c r="G209" s="210" t="s">
        <v>14057</v>
      </c>
      <c r="H209" s="170"/>
      <c r="I209" s="170"/>
      <c r="J209" s="156" t="s">
        <v>10036</v>
      </c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>
        <f>IFERROR(__xludf.DUMMYFUNCTION("ifna(VALUE(REGEXEXTRACT(E209,""[0-9.]+[,]+[0-9]+"")))"),117.0)</f>
        <v>117</v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>
        <v>1941461.0</v>
      </c>
      <c r="C210" s="14">
        <v>46040.90561342592</v>
      </c>
      <c r="D210" s="210" t="s">
        <v>101</v>
      </c>
      <c r="E210" s="211" t="s">
        <v>14059</v>
      </c>
      <c r="F210" s="212"/>
      <c r="G210" s="210" t="s">
        <v>13886</v>
      </c>
      <c r="H210" s="170"/>
      <c r="I210" s="170"/>
      <c r="J210" s="156" t="s">
        <v>12658</v>
      </c>
      <c r="K210" s="156" t="s">
        <v>11866</v>
      </c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>
        <f>IFERROR(__xludf.DUMMYFUNCTION("ifna(VALUE(REGEXEXTRACT(E210,""[0-9.]+[,]+[0-9]+"")))"),59.66)</f>
        <v>59.66</v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>
        <v>1941692.0</v>
      </c>
      <c r="C211" s="14">
        <v>46040.9221412037</v>
      </c>
      <c r="D211" s="210" t="s">
        <v>101</v>
      </c>
      <c r="E211" s="211" t="s">
        <v>14060</v>
      </c>
      <c r="F211" s="212"/>
      <c r="G211" s="210" t="s">
        <v>14061</v>
      </c>
      <c r="H211" s="170"/>
      <c r="I211" s="170"/>
      <c r="J211" s="156" t="s">
        <v>10036</v>
      </c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>
        <f>IFERROR(__xludf.DUMMYFUNCTION("ifna(VALUE(REGEXEXTRACT(E211,""[0-9.]+[,]+[0-9]+"")))"),94.0)</f>
        <v>94</v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>
        <v>1941705.0</v>
      </c>
      <c r="C212" s="14">
        <v>46040.92291666667</v>
      </c>
      <c r="D212" s="210" t="s">
        <v>101</v>
      </c>
      <c r="E212" s="211" t="s">
        <v>312</v>
      </c>
      <c r="F212" s="214"/>
      <c r="G212" s="210" t="s">
        <v>14063</v>
      </c>
      <c r="H212" s="170"/>
      <c r="I212" s="170"/>
      <c r="J212" s="156" t="s">
        <v>12778</v>
      </c>
      <c r="K212" s="156" t="s">
        <v>11866</v>
      </c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"),"Confirmada")</f>
        <v>Confirmada</v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>
        <f>IFERROR(__xludf.DUMMYFUNCTION("ifna(VALUE(REGEXEXTRACT(E212,""[0-9.]+[,]+[0-9]+"")))"),1000.0)</f>
        <v>1000</v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>
        <v>1942618.0</v>
      </c>
      <c r="C213" s="14">
        <v>46041.55506944445</v>
      </c>
      <c r="D213" s="210" t="s">
        <v>101</v>
      </c>
      <c r="E213" s="211" t="s">
        <v>14065</v>
      </c>
      <c r="F213" s="212"/>
      <c r="G213" s="210" t="s">
        <v>14047</v>
      </c>
      <c r="H213" s="170"/>
      <c r="I213" s="170"/>
      <c r="J213" s="156" t="s">
        <v>10036</v>
      </c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>
        <f>IFERROR(__xludf.DUMMYFUNCTION("ifna(VALUE(REGEXEXTRACT(E213,""[0-9.]+[,]+[0-9]+"")))"),37.5)</f>
        <v>37.5</v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>
        <v>1943173.0</v>
      </c>
      <c r="C214" s="14">
        <v>46041.716898148145</v>
      </c>
      <c r="D214" s="210" t="s">
        <v>101</v>
      </c>
      <c r="E214" s="211" t="s">
        <v>718</v>
      </c>
      <c r="F214" s="212"/>
      <c r="G214" s="210" t="s">
        <v>14066</v>
      </c>
      <c r="H214" s="170"/>
      <c r="I214" s="170"/>
      <c r="J214" s="156" t="s">
        <v>6914</v>
      </c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>
        <f>IFERROR(__xludf.DUMMYFUNCTION("ifna(VALUE(REGEXEXTRACT(E214,""[0-9.]+[,]+[0-9]+"")))"),32.0)</f>
        <v>32</v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>
        <v>1943208.0</v>
      </c>
      <c r="C215" s="14">
        <v>46041.72519675926</v>
      </c>
      <c r="D215" s="210" t="s">
        <v>101</v>
      </c>
      <c r="E215" s="211" t="s">
        <v>201</v>
      </c>
      <c r="F215" s="212"/>
      <c r="G215" s="210" t="s">
        <v>14067</v>
      </c>
      <c r="H215" s="170"/>
      <c r="I215" s="170"/>
      <c r="J215" s="156" t="s">
        <v>12778</v>
      </c>
      <c r="K215" s="156" t="s">
        <v>11866</v>
      </c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"),"Confirmada")</f>
        <v>Confirmada</v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>
        <f>IFERROR(__xludf.DUMMYFUNCTION("ifna(VALUE(REGEXEXTRACT(E215,""[0-9.]+[,]+[0-9]+"")))"),150.0)</f>
        <v>150</v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>
        <v>1943288.0</v>
      </c>
      <c r="C216" s="14">
        <v>46041.7440625</v>
      </c>
      <c r="D216" s="210" t="s">
        <v>139</v>
      </c>
      <c r="E216" s="211" t="s">
        <v>14068</v>
      </c>
      <c r="F216" s="212"/>
      <c r="G216" s="210" t="s">
        <v>14069</v>
      </c>
      <c r="H216" s="170"/>
      <c r="I216" s="170"/>
      <c r="J216" s="156"/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>
        <f>IFERROR(__xludf.DUMMYFUNCTION("ifna(VALUE(REGEXEXTRACT(E216,""[0-9.]+[,]+[0-9]+"")))"),538.95)</f>
        <v>538.95</v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>
        <v>1943289.0</v>
      </c>
      <c r="C217" s="14">
        <v>46041.74420138889</v>
      </c>
      <c r="D217" s="210" t="s">
        <v>101</v>
      </c>
      <c r="E217" s="211" t="s">
        <v>14068</v>
      </c>
      <c r="F217" s="212"/>
      <c r="G217" s="210" t="s">
        <v>12928</v>
      </c>
      <c r="H217" s="170"/>
      <c r="I217" s="170"/>
      <c r="J217" s="156" t="s">
        <v>12952</v>
      </c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>
        <f>IFERROR(__xludf.DUMMYFUNCTION("ifna(VALUE(REGEXEXTRACT(E217,""[0-9.]+[,]+[0-9]+"")))"),538.95)</f>
        <v>538.95</v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>
        <v>1943634.0</v>
      </c>
      <c r="C218" s="14">
        <v>46041.852858796294</v>
      </c>
      <c r="D218" s="210" t="s">
        <v>101</v>
      </c>
      <c r="E218" s="211" t="s">
        <v>13988</v>
      </c>
      <c r="F218" s="212"/>
      <c r="G218" s="210" t="s">
        <v>13946</v>
      </c>
      <c r="H218" s="170"/>
      <c r="I218" s="170"/>
      <c r="J218" s="156" t="s">
        <v>10036</v>
      </c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>
        <f>IFERROR(__xludf.DUMMYFUNCTION("ifna(VALUE(REGEXEXTRACT(E218,""[0-9.]+[,]+[0-9]+"")))"),88.0)</f>
        <v>88</v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>
        <v>1943794.0</v>
      </c>
      <c r="C219" s="14">
        <v>46041.88959490741</v>
      </c>
      <c r="D219" s="210" t="s">
        <v>101</v>
      </c>
      <c r="E219" s="211" t="s">
        <v>13138</v>
      </c>
      <c r="F219" s="212"/>
      <c r="G219" s="210" t="s">
        <v>14070</v>
      </c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>
        <f>IFERROR(__xludf.DUMMYFUNCTION("ifna(VALUE(REGEXEXTRACT(E219,""[0-9.]+[,]+[0-9]+"")))"),0.01)</f>
        <v>0.01</v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>
        <v>1943915.0</v>
      </c>
      <c r="C220" s="14">
        <v>46041.9112962963</v>
      </c>
      <c r="D220" s="210" t="s">
        <v>101</v>
      </c>
      <c r="E220" s="211" t="s">
        <v>13138</v>
      </c>
      <c r="F220" s="212"/>
      <c r="G220" s="210" t="s">
        <v>14071</v>
      </c>
      <c r="H220" s="170"/>
      <c r="I220" s="170"/>
      <c r="J220" s="156"/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>
        <f>IFERROR(__xludf.DUMMYFUNCTION("ifna(VALUE(REGEXEXTRACT(E220,""[0-9.]+[,]+[0-9]+"")))"),0.01)</f>
        <v>0.01</v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>
        <v>1943918.0</v>
      </c>
      <c r="C221" s="14">
        <v>46041.91179398148</v>
      </c>
      <c r="D221" s="210" t="s">
        <v>101</v>
      </c>
      <c r="E221" s="211" t="s">
        <v>13138</v>
      </c>
      <c r="F221" s="212"/>
      <c r="G221" s="210" t="s">
        <v>14073</v>
      </c>
      <c r="H221" s="170"/>
      <c r="I221" s="170"/>
      <c r="J221" s="156"/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>
        <f>IFERROR(__xludf.DUMMYFUNCTION("ifna(VALUE(REGEXEXTRACT(E221,""[0-9.]+[,]+[0-9]+"")))"),0.01)</f>
        <v>0.01</v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>
        <v>1943940.0</v>
      </c>
      <c r="C222" s="14">
        <v>46041.91443287037</v>
      </c>
      <c r="D222" s="210" t="s">
        <v>101</v>
      </c>
      <c r="E222" s="211" t="s">
        <v>599</v>
      </c>
      <c r="F222" s="214"/>
      <c r="G222" s="210" t="s">
        <v>13455</v>
      </c>
      <c r="H222" s="170"/>
      <c r="I222" s="170"/>
      <c r="J222" s="156" t="s">
        <v>6914</v>
      </c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>
        <f>IFERROR(__xludf.DUMMYFUNCTION("ifna(VALUE(REGEXEXTRACT(E222,""[0-9.]+[,]+[0-9]+"")))"),11.0)</f>
        <v>11</v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>
        <v>1944061.0</v>
      </c>
      <c r="C223" s="14">
        <v>46041.92502314815</v>
      </c>
      <c r="D223" s="210" t="s">
        <v>101</v>
      </c>
      <c r="E223" s="211" t="s">
        <v>237</v>
      </c>
      <c r="F223" s="212"/>
      <c r="G223" s="210" t="s">
        <v>14076</v>
      </c>
      <c r="H223" s="170"/>
      <c r="I223" s="170"/>
      <c r="J223" s="156" t="s">
        <v>12778</v>
      </c>
      <c r="K223" s="156" t="s">
        <v>12666</v>
      </c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"),"Confirmada")</f>
        <v>Confirmada</v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>
        <f>IFERROR(__xludf.DUMMYFUNCTION("ifna(VALUE(REGEXEXTRACT(E223,""[0-9.]+[,]+[0-9]+"")))"),100.0)</f>
        <v>100</v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>
        <v>1944604.0</v>
      </c>
      <c r="C224" s="14">
        <v>46042.59137731481</v>
      </c>
      <c r="D224" s="210" t="s">
        <v>101</v>
      </c>
      <c r="E224" s="211" t="s">
        <v>14065</v>
      </c>
      <c r="F224" s="212"/>
      <c r="G224" s="210" t="s">
        <v>14077</v>
      </c>
      <c r="H224" s="170"/>
      <c r="I224" s="170"/>
      <c r="J224" s="156" t="s">
        <v>10036</v>
      </c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>
        <f>IFERROR(__xludf.DUMMYFUNCTION("ifna(VALUE(REGEXEXTRACT(E224,""[0-9.]+[,]+[0-9]+"")))"),37.5)</f>
        <v>37.5</v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>
        <v>1944609.0</v>
      </c>
      <c r="C225" s="14">
        <v>46042.59247685185</v>
      </c>
      <c r="D225" s="210" t="s">
        <v>139</v>
      </c>
      <c r="E225" s="211" t="s">
        <v>237</v>
      </c>
      <c r="F225" s="212"/>
      <c r="G225" s="210" t="s">
        <v>12927</v>
      </c>
      <c r="H225" s="170"/>
      <c r="I225" s="170"/>
      <c r="J225" s="156" t="s">
        <v>12952</v>
      </c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>
        <f>IFERROR(__xludf.DUMMYFUNCTION("ifna(VALUE(REGEXEXTRACT(E225,""[0-9.]+[,]+[0-9]+"")))"),100.0)</f>
        <v>100</v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>
        <v>1945108.0</v>
      </c>
      <c r="C226" s="14">
        <v>46042.723912037036</v>
      </c>
      <c r="D226" s="210" t="s">
        <v>101</v>
      </c>
      <c r="E226" s="211" t="s">
        <v>1496</v>
      </c>
      <c r="F226" s="212"/>
      <c r="G226" s="210" t="s">
        <v>14078</v>
      </c>
      <c r="H226" s="170"/>
      <c r="I226" s="170"/>
      <c r="J226" s="156" t="s">
        <v>12778</v>
      </c>
      <c r="K226" s="156" t="s">
        <v>11866</v>
      </c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"),"Caixa Sangria")</f>
        <v>Caixa Sangria</v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>
        <f>IFERROR(__xludf.DUMMYFUNCTION("ifna(VALUE(REGEXEXTRACT(E226,""[0-9.]+[,]+[0-9]+"")))"),950.0)</f>
        <v>950</v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>
        <v>1945240.0</v>
      </c>
      <c r="C227" s="14">
        <v>46042.75402777778</v>
      </c>
      <c r="D227" s="210" t="s">
        <v>101</v>
      </c>
      <c r="E227" s="211" t="s">
        <v>252</v>
      </c>
      <c r="F227" s="212"/>
      <c r="G227" s="210" t="s">
        <v>13886</v>
      </c>
      <c r="H227" s="170"/>
      <c r="I227" s="170"/>
      <c r="J227" s="156" t="s">
        <v>12658</v>
      </c>
      <c r="K227" s="156" t="s">
        <v>11866</v>
      </c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>
        <f>IFERROR(__xludf.DUMMYFUNCTION("ifna(VALUE(REGEXEXTRACT(E227,""[0-9.]+[,]+[0-9]+"")))"),5.0)</f>
        <v>5</v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>
        <v>1945578.0</v>
      </c>
      <c r="C228" s="14">
        <v>46042.87521990741</v>
      </c>
      <c r="D228" s="210" t="s">
        <v>101</v>
      </c>
      <c r="E228" s="211" t="s">
        <v>582</v>
      </c>
      <c r="F228" s="212"/>
      <c r="G228" s="210" t="s">
        <v>13202</v>
      </c>
      <c r="H228" s="170"/>
      <c r="I228" s="170"/>
      <c r="J228" s="156" t="s">
        <v>6914</v>
      </c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>
        <f>IFERROR(__xludf.DUMMYFUNCTION("ifna(VALUE(REGEXEXTRACT(E228,""[0-9.]+[,]+[0-9]+"")))"),151.0)</f>
        <v>151</v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>
        <v>1945776.0</v>
      </c>
      <c r="C229" s="14">
        <v>46042.91103009259</v>
      </c>
      <c r="D229" s="210" t="s">
        <v>101</v>
      </c>
      <c r="E229" s="211" t="s">
        <v>2014</v>
      </c>
      <c r="F229" s="212"/>
      <c r="G229" s="210" t="s">
        <v>13845</v>
      </c>
      <c r="H229" s="170"/>
      <c r="I229" s="170"/>
      <c r="J229" s="156" t="s">
        <v>10036</v>
      </c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>
        <f>IFERROR(__xludf.DUMMYFUNCTION("ifna(VALUE(REGEXEXTRACT(E229,""[0-9.]+[,]+[0-9]+"")))"),80.0)</f>
        <v>80</v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>
        <v>1945778.0</v>
      </c>
      <c r="C230" s="14">
        <v>46042.91127314815</v>
      </c>
      <c r="D230" s="210" t="s">
        <v>101</v>
      </c>
      <c r="E230" s="211" t="s">
        <v>13138</v>
      </c>
      <c r="F230" s="212"/>
      <c r="G230" s="210" t="s">
        <v>14079</v>
      </c>
      <c r="H230" s="170"/>
      <c r="I230" s="170"/>
      <c r="J230" s="156"/>
      <c r="K230" s="156"/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>
        <f>IFERROR(__xludf.DUMMYFUNCTION("ifna(VALUE(REGEXEXTRACT(E230,""[0-9.]+[,]+[0-9]+"")))"),0.01)</f>
        <v>0.01</v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>
        <v>1945929.0</v>
      </c>
      <c r="C231" s="14">
        <v>46042.925787037035</v>
      </c>
      <c r="D231" s="210" t="s">
        <v>101</v>
      </c>
      <c r="E231" s="211" t="s">
        <v>237</v>
      </c>
      <c r="F231" s="212"/>
      <c r="G231" s="210" t="s">
        <v>14080</v>
      </c>
      <c r="H231" s="170"/>
      <c r="I231" s="170"/>
      <c r="J231" s="156" t="s">
        <v>12778</v>
      </c>
      <c r="K231" s="156" t="s">
        <v>12666</v>
      </c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"),"Confirmada")</f>
        <v>Confirmada</v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>
        <f>IFERROR(__xludf.DUMMYFUNCTION("ifna(VALUE(REGEXEXTRACT(E231,""[0-9.]+[,]+[0-9]+"")))"),100.0)</f>
        <v>100</v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>
        <v>1946444.0</v>
      </c>
      <c r="C232" s="14">
        <v>46043.56972222222</v>
      </c>
      <c r="D232" s="210" t="s">
        <v>101</v>
      </c>
      <c r="E232" s="211" t="s">
        <v>14065</v>
      </c>
      <c r="F232" s="214"/>
      <c r="G232" s="210" t="s">
        <v>14047</v>
      </c>
      <c r="H232" s="170"/>
      <c r="I232" s="170"/>
      <c r="J232" s="156" t="s">
        <v>10036</v>
      </c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>
        <f>IFERROR(__xludf.DUMMYFUNCTION("ifna(VALUE(REGEXEXTRACT(E232,""[0-9.]+[,]+[0-9]+"")))"),37.5)</f>
        <v>37.5</v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>
        <v>1946912.0</v>
      </c>
      <c r="C233" s="14">
        <v>46043.714004629626</v>
      </c>
      <c r="D233" s="210" t="s">
        <v>139</v>
      </c>
      <c r="E233" s="211" t="s">
        <v>231</v>
      </c>
      <c r="F233" s="212"/>
      <c r="G233" s="210" t="s">
        <v>12927</v>
      </c>
      <c r="H233" s="170"/>
      <c r="I233" s="170"/>
      <c r="J233" s="156" t="s">
        <v>12952</v>
      </c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>
        <f>IFERROR(__xludf.DUMMYFUNCTION("ifna(VALUE(REGEXEXTRACT(E233,""[0-9.]+[,]+[0-9]+"")))"),10.0)</f>
        <v>10</v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>
        <v>1946951.0</v>
      </c>
      <c r="C234" s="14">
        <v>46043.72309027778</v>
      </c>
      <c r="D234" s="210" t="s">
        <v>101</v>
      </c>
      <c r="E234" s="211" t="s">
        <v>14084</v>
      </c>
      <c r="F234" s="212"/>
      <c r="G234" s="210" t="s">
        <v>14085</v>
      </c>
      <c r="H234" s="170"/>
      <c r="I234" s="170"/>
      <c r="J234" s="156" t="s">
        <v>12818</v>
      </c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59">
        <f>IFERROR(__xludf.DUMMYFUNCTION("ifna(VALUE(REGEXEXTRACT(E234,""[0-9.]+[,]+[0-9]+"")))"),10.85)</f>
        <v>10.85</v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>
        <v>1946974.0</v>
      </c>
      <c r="C235" s="14">
        <v>46043.72935185185</v>
      </c>
      <c r="D235" s="210" t="s">
        <v>101</v>
      </c>
      <c r="E235" s="211" t="s">
        <v>12773</v>
      </c>
      <c r="F235" s="212"/>
      <c r="G235" s="210" t="s">
        <v>14087</v>
      </c>
      <c r="H235" s="170"/>
      <c r="I235" s="170"/>
      <c r="J235" s="156" t="s">
        <v>12778</v>
      </c>
      <c r="K235" s="156" t="s">
        <v>11866</v>
      </c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"),"Confirmada")</f>
        <v>Confirmada</v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>
        <f>IFERROR(__xludf.DUMMYFUNCTION("ifna(VALUE(REGEXEXTRACT(E235,""[0-9.]+[,]+[0-9]+"")))"),700.0)</f>
        <v>700</v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>
        <v>1946986.0</v>
      </c>
      <c r="C236" s="14">
        <v>46043.73082175926</v>
      </c>
      <c r="D236" s="210" t="s">
        <v>101</v>
      </c>
      <c r="E236" s="211" t="s">
        <v>2421</v>
      </c>
      <c r="F236" s="212"/>
      <c r="G236" s="210" t="s">
        <v>13379</v>
      </c>
      <c r="H236" s="170"/>
      <c r="I236" s="170"/>
      <c r="J236" s="156" t="s">
        <v>6914</v>
      </c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>
        <f>IFERROR(__xludf.DUMMYFUNCTION("ifna(VALUE(REGEXEXTRACT(E236,""[0-9.]+[,]+[0-9]+"")))"),82.0)</f>
        <v>82</v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3">
        <v>1947405.0</v>
      </c>
      <c r="C237" s="14">
        <v>46043.867789351854</v>
      </c>
      <c r="D237" s="210" t="s">
        <v>101</v>
      </c>
      <c r="E237" s="211" t="s">
        <v>398</v>
      </c>
      <c r="F237" s="212"/>
      <c r="G237" s="210" t="s">
        <v>14090</v>
      </c>
      <c r="H237" s="170"/>
      <c r="I237" s="170"/>
      <c r="J237" s="156" t="s">
        <v>6914</v>
      </c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>
        <f>IFERROR(__xludf.DUMMYFUNCTION("ifna(VALUE(REGEXEXTRACT(E237,""[0-9.]+[,]+[0-9]+"")))"),12.0)</f>
        <v>12</v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3">
        <v>1947475.0</v>
      </c>
      <c r="C238" s="14">
        <v>46043.8896875</v>
      </c>
      <c r="D238" s="210" t="s">
        <v>101</v>
      </c>
      <c r="E238" s="211" t="s">
        <v>799</v>
      </c>
      <c r="F238" s="212"/>
      <c r="G238" s="210" t="s">
        <v>13845</v>
      </c>
      <c r="H238" s="170"/>
      <c r="I238" s="170"/>
      <c r="J238" s="156" t="s">
        <v>10036</v>
      </c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>
        <f>IFERROR(__xludf.DUMMYFUNCTION("ifna(VALUE(REGEXEXTRACT(E238,""[0-9.]+[,]+[0-9]+"")))"),75.0)</f>
        <v>75</v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3">
        <v>1947768.0</v>
      </c>
      <c r="C239" s="14">
        <v>46043.92996527778</v>
      </c>
      <c r="D239" s="210" t="s">
        <v>101</v>
      </c>
      <c r="E239" s="211" t="s">
        <v>201</v>
      </c>
      <c r="F239" s="212"/>
      <c r="G239" s="210" t="s">
        <v>14094</v>
      </c>
      <c r="H239" s="170"/>
      <c r="I239" s="170"/>
      <c r="J239" s="156" t="s">
        <v>12778</v>
      </c>
      <c r="K239" s="156" t="s">
        <v>12666</v>
      </c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"),"Confirmada")</f>
        <v>Confirmada</v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>
        <f>IFERROR(__xludf.DUMMYFUNCTION("ifna(VALUE(REGEXEXTRACT(E239,""[0-9.]+[,]+[0-9]+"")))"),150.0)</f>
        <v>150</v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3">
        <v>1948154.0</v>
      </c>
      <c r="C240" s="14">
        <v>46044.54157407407</v>
      </c>
      <c r="D240" s="210" t="s">
        <v>101</v>
      </c>
      <c r="E240" s="211" t="s">
        <v>288</v>
      </c>
      <c r="F240" s="212"/>
      <c r="G240" s="210" t="s">
        <v>14095</v>
      </c>
      <c r="H240" s="170"/>
      <c r="I240" s="170"/>
      <c r="J240" s="156" t="s">
        <v>10036</v>
      </c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>
        <f>IFERROR(__xludf.DUMMYFUNCTION("ifna(VALUE(REGEXEXTRACT(E240,""[0-9.]+[,]+[0-9]+"")))"),23.0)</f>
        <v>23</v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3">
        <v>1948318.0</v>
      </c>
      <c r="C241" s="14">
        <v>46044.62170138889</v>
      </c>
      <c r="D241" s="210" t="s">
        <v>139</v>
      </c>
      <c r="E241" s="211" t="s">
        <v>14096</v>
      </c>
      <c r="F241" s="214"/>
      <c r="G241" s="210" t="s">
        <v>14097</v>
      </c>
      <c r="H241" s="170"/>
      <c r="I241" s="170"/>
      <c r="J241" s="156" t="s">
        <v>12952</v>
      </c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>
        <f>IFERROR(__xludf.DUMMYFUNCTION("ifna(VALUE(REGEXEXTRACT(E241,""[0-9.]+[,]+[0-9]+"")))"),542.8)</f>
        <v>542.8</v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3">
        <v>1948319.0</v>
      </c>
      <c r="C242" s="14">
        <v>46044.62190972222</v>
      </c>
      <c r="D242" s="210" t="s">
        <v>101</v>
      </c>
      <c r="E242" s="211" t="s">
        <v>14096</v>
      </c>
      <c r="F242" s="212"/>
      <c r="G242" s="210" t="s">
        <v>12928</v>
      </c>
      <c r="H242" s="170"/>
      <c r="I242" s="170"/>
      <c r="J242" s="156" t="s">
        <v>12952</v>
      </c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>
        <f>IFERROR(__xludf.DUMMYFUNCTION("ifna(VALUE(REGEXEXTRACT(E242,""[0-9.]+[,]+[0-9]+"")))"),542.8)</f>
        <v>542.8</v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3">
        <v>1948618.0</v>
      </c>
      <c r="C243" s="14">
        <v>46044.70983796296</v>
      </c>
      <c r="D243" s="210" t="s">
        <v>139</v>
      </c>
      <c r="E243" s="211" t="s">
        <v>401</v>
      </c>
      <c r="F243" s="212"/>
      <c r="G243" s="210" t="s">
        <v>12927</v>
      </c>
      <c r="H243" s="170"/>
      <c r="I243" s="170"/>
      <c r="J243" s="156" t="s">
        <v>12952</v>
      </c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>
        <f>IFERROR(__xludf.DUMMYFUNCTION("ifna(VALUE(REGEXEXTRACT(E243,""[0-9.]+[,]+[0-9]+"")))"),65.0)</f>
        <v>65</v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3">
        <v>1948623.0</v>
      </c>
      <c r="C244" s="14">
        <v>46044.710127314815</v>
      </c>
      <c r="D244" s="210" t="s">
        <v>139</v>
      </c>
      <c r="E244" s="211" t="s">
        <v>401</v>
      </c>
      <c r="F244" s="212"/>
      <c r="G244" s="210" t="s">
        <v>13979</v>
      </c>
      <c r="H244" s="170"/>
      <c r="I244" s="170"/>
      <c r="J244" s="156" t="s">
        <v>13783</v>
      </c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>
        <f>IFERROR(__xludf.DUMMYFUNCTION("ifna(VALUE(REGEXEXTRACT(E244,""[0-9.]+[,]+[0-9]+"")))"),65.0)</f>
        <v>65</v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3">
        <v>1948748.0</v>
      </c>
      <c r="C245" s="14">
        <v>46044.73747685185</v>
      </c>
      <c r="D245" s="210" t="s">
        <v>101</v>
      </c>
      <c r="E245" s="211" t="s">
        <v>1514</v>
      </c>
      <c r="F245" s="212"/>
      <c r="G245" s="210" t="s">
        <v>14066</v>
      </c>
      <c r="H245" s="170"/>
      <c r="I245" s="170"/>
      <c r="J245" s="156" t="s">
        <v>6914</v>
      </c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>
        <f>IFERROR(__xludf.DUMMYFUNCTION("ifna(VALUE(REGEXEXTRACT(E245,""[0-9.]+[,]+[0-9]+"")))"),51.0)</f>
        <v>51</v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3">
        <v>1948761.0</v>
      </c>
      <c r="C246" s="14">
        <v>46044.74086805555</v>
      </c>
      <c r="D246" s="210" t="s">
        <v>101</v>
      </c>
      <c r="E246" s="211" t="s">
        <v>291</v>
      </c>
      <c r="F246" s="212"/>
      <c r="G246" s="210" t="s">
        <v>14098</v>
      </c>
      <c r="H246" s="170"/>
      <c r="I246" s="170"/>
      <c r="J246" s="156" t="s">
        <v>12778</v>
      </c>
      <c r="K246" s="156" t="s">
        <v>11866</v>
      </c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"),"Confirmada")</f>
        <v>Confirmada</v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>
        <f>IFERROR(__xludf.DUMMYFUNCTION("ifna(VALUE(REGEXEXTRACT(E246,""[0-9.]+[,]+[0-9]+"")))"),250.0)</f>
        <v>250</v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3">
        <v>1948975.0</v>
      </c>
      <c r="C247" s="14">
        <v>46044.817708333336</v>
      </c>
      <c r="D247" s="210" t="s">
        <v>101</v>
      </c>
      <c r="E247" s="211" t="s">
        <v>13138</v>
      </c>
      <c r="F247" s="212"/>
      <c r="G247" s="210" t="s">
        <v>14099</v>
      </c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>
        <f>IFERROR(__xludf.DUMMYFUNCTION("ifna(VALUE(REGEXEXTRACT(E247,""[0-9.]+[,]+[0-9]+"")))"),0.01)</f>
        <v>0.01</v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3">
        <v>1949276.0</v>
      </c>
      <c r="C248" s="14">
        <v>46044.91238425926</v>
      </c>
      <c r="D248" s="210" t="s">
        <v>101</v>
      </c>
      <c r="E248" s="211" t="s">
        <v>14060</v>
      </c>
      <c r="F248" s="212"/>
      <c r="G248" s="210" t="s">
        <v>13845</v>
      </c>
      <c r="H248" s="170"/>
      <c r="I248" s="170"/>
      <c r="J248" s="156" t="s">
        <v>10036</v>
      </c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>
        <f>IFERROR(__xludf.DUMMYFUNCTION("ifna(VALUE(REGEXEXTRACT(E248,""[0-9.]+[,]+[0-9]+"")))"),94.0)</f>
        <v>94</v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3">
        <v>1949286.0</v>
      </c>
      <c r="C249" s="14">
        <v>46044.91328703704</v>
      </c>
      <c r="D249" s="210" t="s">
        <v>101</v>
      </c>
      <c r="E249" s="211" t="s">
        <v>13545</v>
      </c>
      <c r="F249" s="212"/>
      <c r="G249" s="210" t="s">
        <v>13685</v>
      </c>
      <c r="H249" s="170"/>
      <c r="I249" s="170"/>
      <c r="J249" s="156" t="s">
        <v>6914</v>
      </c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>
        <f>IFERROR(__xludf.DUMMYFUNCTION("ifna(VALUE(REGEXEXTRACT(E249,""[0-9.]+[,]+[0-9]+"")))"),67.0)</f>
        <v>67</v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3">
        <v>1949378.0</v>
      </c>
      <c r="C250" s="14">
        <v>46044.92289351852</v>
      </c>
      <c r="D250" s="210" t="s">
        <v>101</v>
      </c>
      <c r="E250" s="211" t="s">
        <v>746</v>
      </c>
      <c r="F250" s="214"/>
      <c r="G250" s="210" t="s">
        <v>14103</v>
      </c>
      <c r="H250" s="170"/>
      <c r="I250" s="170"/>
      <c r="J250" s="156" t="s">
        <v>12778</v>
      </c>
      <c r="K250" s="156" t="s">
        <v>12666</v>
      </c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"),"Confirmada")</f>
        <v>Confirmada</v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>
        <f>IFERROR(__xludf.DUMMYFUNCTION("ifna(VALUE(REGEXEXTRACT(E250,""[0-9.]+[,]+[0-9]+"")))"),350.0)</f>
        <v>350</v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3">
        <v>1950783.0</v>
      </c>
      <c r="C251" s="14">
        <v>46045.80165509259</v>
      </c>
      <c r="D251" s="210" t="s">
        <v>101</v>
      </c>
      <c r="E251" s="211" t="s">
        <v>14104</v>
      </c>
      <c r="F251" s="212"/>
      <c r="G251" s="210" t="s">
        <v>14105</v>
      </c>
      <c r="H251" s="170"/>
      <c r="I251" s="170"/>
      <c r="J251" s="156" t="s">
        <v>12818</v>
      </c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"""")"),"Encontrada")</f>
        <v>Encontrada</v>
      </c>
      <c r="N251" s="159">
        <f>IFERROR(__xludf.DUMMYFUNCTION("ifna(VALUE(REGEXEXTRACT(E251,""[0-9.]+[,]+[0-9]+"")))"),126.54)</f>
        <v>126.54</v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3">
        <v>1950786.0</v>
      </c>
      <c r="C252" s="14">
        <v>46045.804560185185</v>
      </c>
      <c r="D252" s="210" t="s">
        <v>101</v>
      </c>
      <c r="E252" s="211" t="s">
        <v>1857</v>
      </c>
      <c r="F252" s="212"/>
      <c r="G252" s="210" t="s">
        <v>14066</v>
      </c>
      <c r="H252" s="170"/>
      <c r="I252" s="170"/>
      <c r="J252" s="156" t="s">
        <v>6914</v>
      </c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>
        <f>IFERROR(__xludf.DUMMYFUNCTION("ifna(VALUE(REGEXEXTRACT(E252,""[0-9.]+[,]+[0-9]+"")))"),59.0)</f>
        <v>59</v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3">
        <v>1950804.0</v>
      </c>
      <c r="C253" s="14">
        <v>46045.810636574075</v>
      </c>
      <c r="D253" s="210" t="s">
        <v>101</v>
      </c>
      <c r="E253" s="211" t="s">
        <v>256</v>
      </c>
      <c r="F253" s="212"/>
      <c r="G253" s="210" t="s">
        <v>14106</v>
      </c>
      <c r="H253" s="170"/>
      <c r="I253" s="170"/>
      <c r="J253" s="156" t="s">
        <v>12778</v>
      </c>
      <c r="K253" s="156" t="s">
        <v>11866</v>
      </c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"),"Caixa Sangria")</f>
        <v>Caixa Sangria</v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>
        <f>IFERROR(__xludf.DUMMYFUNCTION("ifna(VALUE(REGEXEXTRACT(E253,""[0-9.]+[,]+[0-9]+"")))"),300.0)</f>
        <v>300</v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3">
        <v>1951087.0</v>
      </c>
      <c r="C254" s="14">
        <v>46045.89405092593</v>
      </c>
      <c r="D254" s="210" t="s">
        <v>101</v>
      </c>
      <c r="E254" s="211" t="s">
        <v>398</v>
      </c>
      <c r="F254" s="212"/>
      <c r="G254" s="210" t="s">
        <v>13747</v>
      </c>
      <c r="H254" s="170"/>
      <c r="I254" s="170"/>
      <c r="J254" s="156" t="s">
        <v>6914</v>
      </c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>
        <f>IFERROR(__xludf.DUMMYFUNCTION("ifna(VALUE(REGEXEXTRACT(E254,""[0-9.]+[,]+[0-9]+"")))"),12.0)</f>
        <v>12</v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3">
        <v>1951091.0</v>
      </c>
      <c r="C255" s="14">
        <v>46045.894837962966</v>
      </c>
      <c r="D255" s="210" t="s">
        <v>101</v>
      </c>
      <c r="E255" s="211" t="s">
        <v>14108</v>
      </c>
      <c r="F255" s="212"/>
      <c r="G255" s="210" t="s">
        <v>13901</v>
      </c>
      <c r="H255" s="170"/>
      <c r="I255" s="170"/>
      <c r="J255" s="156" t="s">
        <v>10036</v>
      </c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>
        <f>IFERROR(__xludf.DUMMYFUNCTION("ifna(VALUE(REGEXEXTRACT(E255,""[0-9.]+[,]+[0-9]+"")))"),123.0)</f>
        <v>123</v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3">
        <v>1951326.0</v>
      </c>
      <c r="C256" s="14">
        <v>46045.92438657407</v>
      </c>
      <c r="D256" s="210" t="s">
        <v>101</v>
      </c>
      <c r="E256" s="211" t="s">
        <v>1219</v>
      </c>
      <c r="F256" s="212"/>
      <c r="G256" s="210" t="s">
        <v>14109</v>
      </c>
      <c r="H256" s="170"/>
      <c r="I256" s="170"/>
      <c r="J256" s="156" t="s">
        <v>12778</v>
      </c>
      <c r="K256" s="156" t="s">
        <v>12666</v>
      </c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"),"Confirmada")</f>
        <v>Confirmada</v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>
        <f>IFERROR(__xludf.DUMMYFUNCTION("ifna(VALUE(REGEXEXTRACT(E256,""[0-9.]+[,]+[0-9]+"")))"),400.0)</f>
        <v>400</v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3">
        <v>1952095.0</v>
      </c>
      <c r="C257" s="14">
        <v>46046.62998842593</v>
      </c>
      <c r="D257" s="210" t="s">
        <v>101</v>
      </c>
      <c r="E257" s="211" t="s">
        <v>13138</v>
      </c>
      <c r="F257" s="212"/>
      <c r="G257" s="210" t="s">
        <v>14110</v>
      </c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>
        <f>IFERROR(__xludf.DUMMYFUNCTION("ifna(VALUE(REGEXEXTRACT(E257,""[0-9.]+[,]+[0-9]+"")))"),0.01)</f>
        <v>0.01</v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3">
        <v>1952122.0</v>
      </c>
      <c r="C258" s="14">
        <v>46046.63940972222</v>
      </c>
      <c r="D258" s="210" t="s">
        <v>139</v>
      </c>
      <c r="E258" s="211" t="s">
        <v>237</v>
      </c>
      <c r="F258" s="212"/>
      <c r="G258" s="210" t="s">
        <v>12927</v>
      </c>
      <c r="H258" s="170"/>
      <c r="I258" s="170"/>
      <c r="J258" s="156" t="s">
        <v>12952</v>
      </c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>
        <f>IFERROR(__xludf.DUMMYFUNCTION("ifna(VALUE(REGEXEXTRACT(E258,""[0-9.]+[,]+[0-9]+"")))"),100.0)</f>
        <v>100</v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3">
        <v>1952584.0</v>
      </c>
      <c r="C259" s="14">
        <v>46046.75446759259</v>
      </c>
      <c r="D259" s="210" t="s">
        <v>101</v>
      </c>
      <c r="E259" s="211" t="s">
        <v>13138</v>
      </c>
      <c r="F259" s="212"/>
      <c r="G259" s="210" t="s">
        <v>14079</v>
      </c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>
        <f>IFERROR(__xludf.DUMMYFUNCTION("ifna(VALUE(REGEXEXTRACT(E259,""[0-9.]+[,]+[0-9]+"")))"),0.01)</f>
        <v>0.01</v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3">
        <v>1952974.0</v>
      </c>
      <c r="C260" s="14">
        <v>46046.83872685185</v>
      </c>
      <c r="D260" s="210" t="s">
        <v>101</v>
      </c>
      <c r="E260" s="211" t="s">
        <v>13007</v>
      </c>
      <c r="F260" s="214"/>
      <c r="G260" s="210" t="s">
        <v>12891</v>
      </c>
      <c r="H260" s="170"/>
      <c r="I260" s="170"/>
      <c r="J260" s="156" t="s">
        <v>6914</v>
      </c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>
        <f>IFERROR(__xludf.DUMMYFUNCTION("ifna(VALUE(REGEXEXTRACT(E260,""[0-9.]+[,]+[0-9]+"")))"),70.0)</f>
        <v>70</v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3">
        <v>1953051.0</v>
      </c>
      <c r="C261" s="14">
        <v>46046.853171296294</v>
      </c>
      <c r="D261" s="210" t="s">
        <v>101</v>
      </c>
      <c r="E261" s="211" t="s">
        <v>13209</v>
      </c>
      <c r="F261" s="212"/>
      <c r="G261" s="210" t="s">
        <v>13956</v>
      </c>
      <c r="H261" s="170"/>
      <c r="I261" s="170"/>
      <c r="J261" s="156" t="s">
        <v>10036</v>
      </c>
      <c r="K261" s="169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>
        <f>IFERROR(__xludf.DUMMYFUNCTION("ifna(VALUE(REGEXEXTRACT(E261,""[0-9.]+[,]+[0-9]+"")))"),117.0)</f>
        <v>117</v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3">
        <v>1953052.0</v>
      </c>
      <c r="C262" s="14">
        <v>46046.85337962963</v>
      </c>
      <c r="D262" s="210" t="s">
        <v>101</v>
      </c>
      <c r="E262" s="211" t="s">
        <v>786</v>
      </c>
      <c r="F262" s="212"/>
      <c r="G262" s="210" t="s">
        <v>12950</v>
      </c>
      <c r="H262" s="170"/>
      <c r="I262" s="170"/>
      <c r="J262" s="156" t="s">
        <v>10036</v>
      </c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>
        <f>IFERROR(__xludf.DUMMYFUNCTION("ifna(VALUE(REGEXEXTRACT(E262,""[0-9.]+[,]+[0-9]+"")))"),130.0)</f>
        <v>130</v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3">
        <v>1953054.0</v>
      </c>
      <c r="C263" s="14">
        <v>46046.853541666664</v>
      </c>
      <c r="D263" s="210" t="s">
        <v>101</v>
      </c>
      <c r="E263" s="211" t="s">
        <v>786</v>
      </c>
      <c r="F263" s="212"/>
      <c r="G263" s="210" t="s">
        <v>13845</v>
      </c>
      <c r="H263" s="170"/>
      <c r="I263" s="170"/>
      <c r="J263" s="156" t="s">
        <v>10036</v>
      </c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>
        <f>IFERROR(__xludf.DUMMYFUNCTION("ifna(VALUE(REGEXEXTRACT(E263,""[0-9.]+[,]+[0-9]+"")))"),130.0)</f>
        <v>130</v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3">
        <v>1953231.0</v>
      </c>
      <c r="C264" s="14">
        <v>46046.88759259259</v>
      </c>
      <c r="D264" s="210" t="s">
        <v>101</v>
      </c>
      <c r="E264" s="211" t="s">
        <v>231</v>
      </c>
      <c r="F264" s="212"/>
      <c r="G264" s="210" t="s">
        <v>14111</v>
      </c>
      <c r="H264" s="170"/>
      <c r="I264" s="170"/>
      <c r="J264" s="156" t="s">
        <v>6914</v>
      </c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>
        <f>IFERROR(__xludf.DUMMYFUNCTION("ifna(VALUE(REGEXEXTRACT(E264,""[0-9.]+[,]+[0-9]+"")))"),10.0)</f>
        <v>10</v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3">
        <v>1953577.0</v>
      </c>
      <c r="C265" s="14">
        <v>46046.923530092594</v>
      </c>
      <c r="D265" s="210" t="s">
        <v>101</v>
      </c>
      <c r="E265" s="211" t="s">
        <v>2116</v>
      </c>
      <c r="F265" s="212"/>
      <c r="G265" s="210" t="s">
        <v>14112</v>
      </c>
      <c r="H265" s="170"/>
      <c r="I265" s="170"/>
      <c r="J265" s="156" t="s">
        <v>12778</v>
      </c>
      <c r="K265" s="156" t="s">
        <v>12666</v>
      </c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"),"Confirmada")</f>
        <v>Confirmada</v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>
        <f>IFERROR(__xludf.DUMMYFUNCTION("ifna(VALUE(REGEXEXTRACT(E265,""[0-9.]+[,]+[0-9]+"")))"),1250.0)</f>
        <v>1250</v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3">
        <v>1955725.0</v>
      </c>
      <c r="C266" s="14">
        <v>46047.85077546296</v>
      </c>
      <c r="D266" s="210" t="s">
        <v>101</v>
      </c>
      <c r="E266" s="211" t="s">
        <v>14113</v>
      </c>
      <c r="F266" s="212"/>
      <c r="G266" s="210" t="s">
        <v>14114</v>
      </c>
      <c r="H266" s="170"/>
      <c r="I266" s="170"/>
      <c r="J266" s="156" t="s">
        <v>12720</v>
      </c>
      <c r="K266" s="169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>
        <f>IFERROR(__xludf.DUMMYFUNCTION("ifna(VALUE(REGEXEXTRACT(E266,""[0-9.]+[,]+[0-9]+"")))"),32.7)</f>
        <v>32.7</v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3">
        <v>1955999.0</v>
      </c>
      <c r="C267" s="14">
        <v>46047.88880787037</v>
      </c>
      <c r="D267" s="210" t="s">
        <v>101</v>
      </c>
      <c r="E267" s="211" t="s">
        <v>13333</v>
      </c>
      <c r="F267" s="212"/>
      <c r="G267" s="210" t="s">
        <v>14116</v>
      </c>
      <c r="H267" s="170"/>
      <c r="I267" s="170"/>
      <c r="J267" s="156" t="s">
        <v>6914</v>
      </c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>
        <f>IFERROR(__xludf.DUMMYFUNCTION("ifna(VALUE(REGEXEXTRACT(E267,""[0-9.]+[,]+[0-9]+"")))"),110.0)</f>
        <v>110</v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3">
        <v>1956045.0</v>
      </c>
      <c r="C268" s="14">
        <v>46047.89476851852</v>
      </c>
      <c r="D268" s="210" t="s">
        <v>101</v>
      </c>
      <c r="E268" s="211" t="s">
        <v>786</v>
      </c>
      <c r="F268" s="212"/>
      <c r="G268" s="210" t="s">
        <v>13845</v>
      </c>
      <c r="H268" s="170"/>
      <c r="I268" s="170"/>
      <c r="J268" s="156" t="s">
        <v>10036</v>
      </c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>
        <f>IFERROR(__xludf.DUMMYFUNCTION("ifna(VALUE(REGEXEXTRACT(E268,""[0-9.]+[,]+[0-9]+"")))"),130.0)</f>
        <v>130</v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3">
        <v>1956054.0</v>
      </c>
      <c r="C269" s="14">
        <v>46047.896574074075</v>
      </c>
      <c r="D269" s="210" t="s">
        <v>101</v>
      </c>
      <c r="E269" s="211" t="s">
        <v>13209</v>
      </c>
      <c r="F269" s="212"/>
      <c r="G269" s="210" t="s">
        <v>13956</v>
      </c>
      <c r="H269" s="170"/>
      <c r="I269" s="170"/>
      <c r="J269" s="156" t="s">
        <v>10036</v>
      </c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>
        <f>IFERROR(__xludf.DUMMYFUNCTION("ifna(VALUE(REGEXEXTRACT(E269,""[0-9.]+[,]+[0-9]+"")))"),117.0)</f>
        <v>117</v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3">
        <v>1956396.0</v>
      </c>
      <c r="C270" s="14">
        <v>46047.92151620371</v>
      </c>
      <c r="D270" s="210" t="s">
        <v>101</v>
      </c>
      <c r="E270" s="211" t="s">
        <v>14117</v>
      </c>
      <c r="F270" s="214"/>
      <c r="G270" s="210" t="s">
        <v>14119</v>
      </c>
      <c r="H270" s="170"/>
      <c r="I270" s="170"/>
      <c r="J270" s="156" t="s">
        <v>12778</v>
      </c>
      <c r="K270" s="156" t="s">
        <v>11866</v>
      </c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"),"Caixa Sangria")</f>
        <v>Caixa Sangria</v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>
        <f>IFERROR(__xludf.DUMMYFUNCTION("ifna(VALUE(REGEXEXTRACT(E270,""[0-9.]+[,]+[0-9]+"")))"),1950.0)</f>
        <v>1950</v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3">
        <v>1956492.0</v>
      </c>
      <c r="C271" s="14">
        <v>46047.92621527778</v>
      </c>
      <c r="D271" s="210" t="s">
        <v>139</v>
      </c>
      <c r="E271" s="211" t="s">
        <v>201</v>
      </c>
      <c r="F271" s="214"/>
      <c r="G271" s="210" t="s">
        <v>12927</v>
      </c>
      <c r="H271" s="170"/>
      <c r="I271" s="170"/>
      <c r="J271" s="156" t="s">
        <v>12952</v>
      </c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>
        <f>IFERROR(__xludf.DUMMYFUNCTION("ifna(VALUE(REGEXEXTRACT(E271,""[0-9.]+[,]+[0-9]+"")))"),150.0)</f>
        <v>150</v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51"/>
      <c r="C272" s="152"/>
      <c r="D272" s="153"/>
      <c r="E272" s="154"/>
      <c r="F272" s="155"/>
      <c r="G272" s="153"/>
      <c r="H272" s="170"/>
      <c r="I272" s="170"/>
      <c r="J272" s="156"/>
      <c r="K272" s="169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51"/>
      <c r="C273" s="152"/>
      <c r="D273" s="153"/>
      <c r="E273" s="154"/>
      <c r="F273" s="155"/>
      <c r="G273" s="153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51"/>
      <c r="C274" s="152"/>
      <c r="D274" s="153"/>
      <c r="E274" s="154"/>
      <c r="F274" s="155"/>
      <c r="G274" s="153"/>
      <c r="H274" s="170"/>
      <c r="I274" s="170"/>
      <c r="J274" s="156"/>
      <c r="K274" s="169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51"/>
      <c r="C275" s="152"/>
      <c r="D275" s="153"/>
      <c r="E275" s="154"/>
      <c r="F275" s="155"/>
      <c r="G275" s="153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51"/>
      <c r="C276" s="152"/>
      <c r="D276" s="153"/>
      <c r="E276" s="154"/>
      <c r="F276" s="155"/>
      <c r="G276" s="153"/>
      <c r="H276" s="170"/>
      <c r="I276" s="170"/>
      <c r="J276" s="156"/>
      <c r="K276" s="169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51"/>
      <c r="C277" s="152"/>
      <c r="D277" s="153"/>
      <c r="E277" s="154"/>
      <c r="F277" s="165"/>
      <c r="G277" s="153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51"/>
      <c r="C278" s="152"/>
      <c r="D278" s="153"/>
      <c r="E278" s="154"/>
      <c r="F278" s="155"/>
      <c r="G278" s="153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51"/>
      <c r="C279" s="152"/>
      <c r="D279" s="153"/>
      <c r="E279" s="154"/>
      <c r="F279" s="155"/>
      <c r="G279" s="153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51"/>
      <c r="C280" s="152"/>
      <c r="D280" s="153"/>
      <c r="E280" s="154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51"/>
      <c r="C281" s="152"/>
      <c r="D281" s="153"/>
      <c r="E281" s="154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51"/>
      <c r="C282" s="152"/>
      <c r="D282" s="153"/>
      <c r="E282" s="154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51"/>
      <c r="C283" s="152"/>
      <c r="D283" s="153"/>
      <c r="E283" s="154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51"/>
      <c r="C284" s="152"/>
      <c r="D284" s="153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51"/>
      <c r="C285" s="152"/>
      <c r="D285" s="153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51"/>
      <c r="C286" s="152"/>
      <c r="D286" s="153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51"/>
      <c r="C287" s="152"/>
      <c r="D287" s="153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51"/>
      <c r="C288" s="152"/>
      <c r="D288" s="153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51"/>
      <c r="C289" s="152"/>
      <c r="D289" s="153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51"/>
      <c r="C290" s="152"/>
      <c r="D290" s="153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51"/>
      <c r="C291" s="152"/>
      <c r="D291" s="153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51"/>
      <c r="C292" s="152"/>
      <c r="D292" s="153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51"/>
      <c r="C293" s="152"/>
      <c r="D293" s="153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51"/>
      <c r="C294" s="152"/>
      <c r="D294" s="153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51"/>
      <c r="C295" s="152"/>
      <c r="D295" s="153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153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J22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113 K115:K500">
      <formula1>'JANEIRO 2026'!$B$4:$B$10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/>
      </c>
      <c r="D3" s="40"/>
      <c r="E3" s="41" t="str">
        <f>B5</f>
        <v>Renan</v>
      </c>
      <c r="F3" s="40"/>
      <c r="G3" s="41" t="str">
        <f>B6</f>
        <v/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/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/>
      <c r="B4" s="47"/>
      <c r="C4" s="48" t="s">
        <v>1329</v>
      </c>
      <c r="D4" s="49">
        <f>SUMIFS(N22:N500,J22:J500,C4,K22:K500,C3)+SUMIF(Q59:Q95,A4,R59:R122)+D9</f>
        <v>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0</v>
      </c>
      <c r="E5" s="50" t="s">
        <v>12658</v>
      </c>
      <c r="F5" s="49">
        <f>SUMIFS(N22:N500,J22:J500,C5,K22:K500,E3)</f>
        <v>214.64</v>
      </c>
      <c r="G5" s="50" t="s">
        <v>12658</v>
      </c>
      <c r="H5" s="49">
        <f>SUMIFS(N22:N500,J22:J500,C5,K22:K500,G3)</f>
        <v>0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110.97</v>
      </c>
      <c r="M5" s="33"/>
      <c r="N5" s="33"/>
      <c r="O5" s="57"/>
      <c r="P5" s="58"/>
      <c r="Q5" s="58"/>
      <c r="R5" s="59"/>
      <c r="S5" s="33"/>
      <c r="T5" s="202">
        <f>IFERROR(__xludf.DUMMYFUNCTION("""COMPUTED_VALUE"""),46048.86513888889)</f>
        <v>46048.86514</v>
      </c>
      <c r="U5" s="58" t="str">
        <f>IFERROR(__xludf.DUMMYFUNCTION("""COMPUTED_VALUE"""),"R$ 49,00")</f>
        <v>R$ 49,00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/>
      <c r="B6" s="56"/>
      <c r="C6" s="48" t="s">
        <v>12669</v>
      </c>
      <c r="D6" s="49">
        <f>D5*0.8</f>
        <v>0</v>
      </c>
      <c r="E6" s="50" t="s">
        <v>12669</v>
      </c>
      <c r="F6" s="49">
        <f>F5*0.8</f>
        <v>171.712</v>
      </c>
      <c r="G6" s="50" t="s">
        <v>12669</v>
      </c>
      <c r="H6" s="49">
        <f>H5*0.8</f>
        <v>0</v>
      </c>
      <c r="I6" s="50" t="s">
        <v>12669</v>
      </c>
      <c r="J6" s="49">
        <f>J5*0.8</f>
        <v>0</v>
      </c>
      <c r="K6" s="60" t="s">
        <v>12669</v>
      </c>
      <c r="L6" s="51">
        <f>L5*0.8</f>
        <v>88.776</v>
      </c>
      <c r="M6" s="33"/>
      <c r="N6" s="33"/>
      <c r="O6" s="57"/>
      <c r="P6" s="58"/>
      <c r="Q6" s="58"/>
      <c r="R6" s="59"/>
      <c r="S6" s="33"/>
      <c r="T6" s="202">
        <f>IFERROR(__xludf.DUMMYFUNCTION("""COMPUTED_VALUE"""),46049.56655092593)</f>
        <v>46049.56655</v>
      </c>
      <c r="U6" s="58" t="str">
        <f>IFERROR(__xludf.DUMMYFUNCTION("""COMPUTED_VALUE"""),"R$ 3,00")</f>
        <v>R$ 3,00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203">
        <f>IFERROR(__xludf.DUMMYFUNCTION("""COMPUTED_VALUE"""),46050.75592592593)</f>
        <v>46050.75593</v>
      </c>
      <c r="U7" s="67" t="str">
        <f>IFERROR(__xludf.DUMMYFUNCTION("""COMPUTED_VALUE"""),"R$ 23,00")</f>
        <v>R$ 23,00</v>
      </c>
      <c r="V7" s="67" t="str">
        <f>IFERROR(__xludf.DUMMYFUNCTION("""COMPUTED_VALUE"""),"Consumo")</f>
        <v>Consumo</v>
      </c>
      <c r="W7" s="68" t="str">
        <f>IFERROR(__xludf.DUMMYFUNCTION("""COMPUTED_VALUE"""),"Renan")</f>
        <v>Renan</v>
      </c>
    </row>
    <row r="8" ht="14.25" customHeight="1">
      <c r="A8" s="55" t="s">
        <v>227</v>
      </c>
      <c r="B8" s="56" t="s">
        <v>12693</v>
      </c>
      <c r="C8" s="69" t="s">
        <v>12695</v>
      </c>
      <c r="D8" s="70"/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203">
        <f>IFERROR(__xludf.DUMMYFUNCTION("""COMPUTED_VALUE"""),46052.837384259255)</f>
        <v>46052.83738</v>
      </c>
      <c r="U8" s="67" t="str">
        <f>IFERROR(__xludf.DUMMYFUNCTION("""COMPUTED_VALUE"""),"R$ 5,00")</f>
        <v>R$ 5,00</v>
      </c>
      <c r="V8" s="67" t="str">
        <f>IFERROR(__xludf.DUMMYFUNCTION("""COMPUTED_VALUE"""),"Consumo")</f>
        <v>Consumo</v>
      </c>
      <c r="W8" s="68" t="str">
        <f>IFERROR(__xludf.DUMMYFUNCTION("""COMPUTED_VALUE"""),"Renan")</f>
        <v>Renan</v>
      </c>
    </row>
    <row r="9" ht="15.75" customHeight="1">
      <c r="A9" s="55" t="s">
        <v>336</v>
      </c>
      <c r="B9" s="56" t="s">
        <v>13760</v>
      </c>
      <c r="C9" s="75" t="s">
        <v>17</v>
      </c>
      <c r="D9" s="76"/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203">
        <f>IFERROR(__xludf.DUMMYFUNCTION("""COMPUTED_VALUE"""),46055.65577546296)</f>
        <v>46055.65578</v>
      </c>
      <c r="U9" s="67" t="str">
        <f>IFERROR(__xludf.DUMMYFUNCTION("""COMPUTED_VALUE"""),"R$ 66,92")</f>
        <v>R$ 66,92</v>
      </c>
      <c r="V9" s="67" t="str">
        <f>IFERROR(__xludf.DUMMYFUNCTION("""COMPUTED_VALUE"""),"Consumo")</f>
        <v>Consumo</v>
      </c>
      <c r="W9" s="68" t="str">
        <f>IFERROR(__xludf.DUMMYFUNCTION("""COMPUTED_VALUE"""),"Renan")</f>
        <v>Renan</v>
      </c>
    </row>
    <row r="10">
      <c r="A10" s="55" t="s">
        <v>218</v>
      </c>
      <c r="B10" s="56" t="s">
        <v>13763</v>
      </c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202">
        <f>IFERROR(__xludf.DUMMYFUNCTION("""COMPUTED_VALUE"""),46055.71133101852)</f>
        <v>46055.71133</v>
      </c>
      <c r="U10" s="82" t="str">
        <f>IFERROR(__xludf.DUMMYFUNCTION("""COMPUTED_VALUE"""),"R$ 5,00")</f>
        <v>R$ 5,00</v>
      </c>
      <c r="V10" s="82" t="str">
        <f>IFERROR(__xludf.DUMMYFUNCTION("""COMPUTED_VALUE"""),"Consumo")</f>
        <v>Consumo</v>
      </c>
      <c r="W10" s="83" t="str">
        <f>IFERROR(__xludf.DUMMYFUNCTION("""COMPUTED_VALUE"""),"Renan")</f>
        <v>Renan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202">
        <f>IFERROR(__xludf.DUMMYFUNCTION("""COMPUTED_VALUE"""),46055.75344907407)</f>
        <v>46055.75345</v>
      </c>
      <c r="U11" s="82" t="str">
        <f>IFERROR(__xludf.DUMMYFUNCTION("""COMPUTED_VALUE"""),"R$ 5,00")</f>
        <v>R$ 5,00</v>
      </c>
      <c r="V11" s="82" t="str">
        <f>IFERROR(__xludf.DUMMYFUNCTION("""COMPUTED_VALUE"""),"Consumo")</f>
        <v>Consumo</v>
      </c>
      <c r="W11" s="83" t="str">
        <f>IFERROR(__xludf.DUMMYFUNCTION("""COMPUTED_VALUE"""),"Renan")</f>
        <v>Renan</v>
      </c>
    </row>
    <row r="12">
      <c r="A12" s="31"/>
      <c r="B12" s="31"/>
      <c r="C12" s="88" t="str">
        <f>B9</f>
        <v>Regiane</v>
      </c>
      <c r="D12" s="89"/>
      <c r="E12" s="88" t="str">
        <f>B10</f>
        <v>Ramon Dutra</v>
      </c>
      <c r="F12" s="90"/>
      <c r="G12" s="91" t="s">
        <v>12714</v>
      </c>
      <c r="H12" s="92">
        <f>SUMIF(L22:L495,G12,N22:N495)</f>
        <v>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202">
        <f>IFERROR(__xludf.DUMMYFUNCTION("""COMPUTED_VALUE"""),46057.5218287037)</f>
        <v>46057.52183</v>
      </c>
      <c r="U12" s="82" t="str">
        <f>IFERROR(__xludf.DUMMYFUNCTION("""COMPUTED_VALUE"""),"R$ 5,00")</f>
        <v>R$ 5,00</v>
      </c>
      <c r="V12" s="82" t="str">
        <f>IFERROR(__xludf.DUMMYFUNCTION("""COMPUTED_VALUE"""),"Consumo")</f>
        <v>Consumo</v>
      </c>
      <c r="W12" s="83" t="str">
        <f>IFERROR(__xludf.DUMMYFUNCTION("""COMPUTED_VALUE"""),"Renan")</f>
        <v>Renan</v>
      </c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168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202">
        <f>IFERROR(__xludf.DUMMYFUNCTION("""COMPUTED_VALUE"""),46057.753125)</f>
        <v>46057.75313</v>
      </c>
      <c r="U13" s="82" t="str">
        <f>IFERROR(__xludf.DUMMYFUNCTION("""COMPUTED_VALUE"""),"R$ 15,72")</f>
        <v>R$ 15,72</v>
      </c>
      <c r="V13" s="82" t="str">
        <f>IFERROR(__xludf.DUMMYFUNCTION("""COMPUTED_VALUE"""),"Consumo")</f>
        <v>Consumo</v>
      </c>
      <c r="W13" s="83" t="str">
        <f>IFERROR(__xludf.DUMMYFUNCTION("""COMPUTED_VALUE"""),"Renan")</f>
        <v>Renan</v>
      </c>
    </row>
    <row r="14" ht="14.25" customHeight="1">
      <c r="A14" s="105"/>
      <c r="B14" s="105"/>
      <c r="C14" s="97" t="s">
        <v>12658</v>
      </c>
      <c r="D14" s="51">
        <f>SUMIFS(N22:N500,J22:J500,C5,K22:K500,C12)</f>
        <v>99.31</v>
      </c>
      <c r="E14" s="97" t="s">
        <v>12658</v>
      </c>
      <c r="F14" s="106">
        <f>SUMIFS(N22:N500,J22:J500,C5,K22:K500,E12)</f>
        <v>153.22</v>
      </c>
      <c r="G14" s="50" t="s">
        <v>12744</v>
      </c>
      <c r="H14" s="51">
        <f>SUMIFS(N22:N500,D22:D500,"Saída",J22:J500,"Sangria")</f>
        <v>27840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202">
        <f>IFERROR(__xludf.DUMMYFUNCTION("""COMPUTED_VALUE"""),46059.83809027778)</f>
        <v>46059.83809</v>
      </c>
      <c r="U14" s="82" t="str">
        <f>IFERROR(__xludf.DUMMYFUNCTION("""COMPUTED_VALUE"""),"R$ 5,00")</f>
        <v>R$ 5,00</v>
      </c>
      <c r="V14" s="82" t="str">
        <f>IFERROR(__xludf.DUMMYFUNCTION("""COMPUTED_VALUE"""),"Consumo")</f>
        <v>Consumo</v>
      </c>
      <c r="W14" s="83" t="str">
        <f>IFERROR(__xludf.DUMMYFUNCTION("""COMPUTED_VALUE"""),"Renan")</f>
        <v>Renan</v>
      </c>
    </row>
    <row r="15">
      <c r="A15" s="105"/>
      <c r="B15" s="105"/>
      <c r="C15" s="109" t="s">
        <v>12669</v>
      </c>
      <c r="D15" s="51">
        <f>D14*0.8</f>
        <v>79.448</v>
      </c>
      <c r="E15" s="109" t="s">
        <v>12669</v>
      </c>
      <c r="F15" s="110">
        <f>F14*0.8</f>
        <v>122.576</v>
      </c>
      <c r="G15" s="111" t="s">
        <v>12749</v>
      </c>
      <c r="H15" s="112">
        <f>SUMIFS(N22:N500,D22:D500,"Entrada",J22:J500,"Sangria")</f>
        <v>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202">
        <f>IFERROR(__xludf.DUMMYFUNCTION("""COMPUTED_VALUE"""),46063.75425925926)</f>
        <v>46063.75426</v>
      </c>
      <c r="U15" s="82" t="str">
        <f>IFERROR(__xludf.DUMMYFUNCTION("""COMPUTED_VALUE"""),"R$ 5,00")</f>
        <v>R$ 5,00</v>
      </c>
      <c r="V15" s="82" t="str">
        <f>IFERROR(__xludf.DUMMYFUNCTION("""COMPUTED_VALUE"""),"Consumo")</f>
        <v>Consumo</v>
      </c>
      <c r="W15" s="83" t="str">
        <f>IFERROR(__xludf.DUMMYFUNCTION("""COMPUTED_VALUE"""),"Renan")</f>
        <v>Renan</v>
      </c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202">
        <f>IFERROR(__xludf.DUMMYFUNCTION("""COMPUTED_VALUE"""),46064.841458333336)</f>
        <v>46064.84146</v>
      </c>
      <c r="U16" s="82" t="str">
        <f>IFERROR(__xludf.DUMMYFUNCTION("""COMPUTED_VALUE"""),"R$ 6,00")</f>
        <v>R$ 6,00</v>
      </c>
      <c r="V16" s="82" t="str">
        <f>IFERROR(__xludf.DUMMYFUNCTION("""COMPUTED_VALUE"""),"Consumo")</f>
        <v>Consumo</v>
      </c>
      <c r="W16" s="83" t="str">
        <f>IFERROR(__xludf.DUMMYFUNCTION("""COMPUTED_VALUE"""),"Renan")</f>
        <v>Renan</v>
      </c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2500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202">
        <f>IFERROR(__xludf.DUMMYFUNCTION("""COMPUTED_VALUE"""),46067.69866898148)</f>
        <v>46067.69867</v>
      </c>
      <c r="U17" s="82" t="str">
        <f>IFERROR(__xludf.DUMMYFUNCTION("""COMPUTED_VALUE"""),"R$ 21,00")</f>
        <v>R$ 21,00</v>
      </c>
      <c r="V17" s="82" t="str">
        <f>IFERROR(__xludf.DUMMYFUNCTION("""COMPUTED_VALUE"""),"Consumo")</f>
        <v>Consumo</v>
      </c>
      <c r="W17" s="83" t="str">
        <f>IFERROR(__xludf.DUMMYFUNCTION("""COMPUTED_VALUE"""),"Renan")</f>
        <v>Renan</v>
      </c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/>
      </c>
      <c r="S21" s="138"/>
      <c r="T21" s="148" t="str">
        <f>B7</f>
        <v>Josi Ribas</v>
      </c>
    </row>
    <row r="22">
      <c r="A22" s="149"/>
      <c r="B22" s="13">
        <v>1957237.0</v>
      </c>
      <c r="C22" s="14">
        <v>46048.51704861111</v>
      </c>
      <c r="D22" s="210" t="s">
        <v>139</v>
      </c>
      <c r="E22" s="211" t="s">
        <v>13445</v>
      </c>
      <c r="F22" s="212"/>
      <c r="G22" s="210" t="s">
        <v>14128</v>
      </c>
      <c r="H22" s="155"/>
      <c r="I22" s="155"/>
      <c r="J22" s="156" t="s">
        <v>12952</v>
      </c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>
        <f>IFERROR(__xludf.DUMMYFUNCTION("ifna(VALUE(REGEXEXTRACT(E22,""[0-9.]+[,]+[0-9]+"")))"),7.0)</f>
        <v>7</v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1957583.0</v>
      </c>
      <c r="C23" s="14">
        <v>46048.659317129626</v>
      </c>
      <c r="D23" s="210" t="s">
        <v>101</v>
      </c>
      <c r="E23" s="211" t="s">
        <v>1555</v>
      </c>
      <c r="F23" s="212"/>
      <c r="G23" s="210" t="s">
        <v>14131</v>
      </c>
      <c r="H23" s="161"/>
      <c r="I23" s="161"/>
      <c r="J23" s="156" t="s">
        <v>12818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"""")"),"Encontrada")</f>
        <v>Encontrada</v>
      </c>
      <c r="N23" s="159">
        <f>IFERROR(__xludf.DUMMYFUNCTION("ifna(VALUE(REGEXEXTRACT(E23,""[0-9.]+[,]+[0-9]+"")))"),16.0)</f>
        <v>16</v>
      </c>
      <c r="O23" s="58"/>
      <c r="P23" s="58"/>
      <c r="Q23" s="58"/>
      <c r="R23" s="58"/>
      <c r="S23" s="159"/>
      <c r="T23" s="58"/>
      <c r="U23" s="58"/>
      <c r="V23" s="58"/>
      <c r="W23" s="58"/>
    </row>
    <row r="24" ht="14.25" customHeight="1">
      <c r="A24" s="149"/>
      <c r="B24" s="13">
        <v>1957588.0</v>
      </c>
      <c r="C24" s="14">
        <v>46048.659953703704</v>
      </c>
      <c r="D24" s="210" t="s">
        <v>101</v>
      </c>
      <c r="E24" s="211" t="s">
        <v>14132</v>
      </c>
      <c r="F24" s="212"/>
      <c r="G24" s="210" t="s">
        <v>14133</v>
      </c>
      <c r="H24" s="161"/>
      <c r="I24" s="161"/>
      <c r="J24" s="156" t="s">
        <v>12818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"""")"),"Encontrada")</f>
        <v>Encontrada</v>
      </c>
      <c r="N24" s="159">
        <f>IFERROR(__xludf.DUMMYFUNCTION("ifna(VALUE(REGEXEXTRACT(E24,""[0-9.]+[,]+[0-9]+"")))"),44.86)</f>
        <v>44.86</v>
      </c>
      <c r="O24" s="58"/>
      <c r="P24" s="58"/>
      <c r="Q24" s="58"/>
      <c r="R24" s="58"/>
      <c r="S24" s="159"/>
      <c r="T24" s="58"/>
      <c r="U24" s="58"/>
      <c r="V24" s="58"/>
      <c r="W24" s="58"/>
    </row>
    <row r="25" ht="14.25" customHeight="1">
      <c r="A25" s="149"/>
      <c r="B25" s="13">
        <v>1957820.0</v>
      </c>
      <c r="C25" s="14">
        <v>46048.70731481481</v>
      </c>
      <c r="D25" s="210" t="s">
        <v>101</v>
      </c>
      <c r="E25" s="211" t="s">
        <v>14134</v>
      </c>
      <c r="F25" s="212"/>
      <c r="G25" s="210" t="s">
        <v>13259</v>
      </c>
      <c r="H25" s="161"/>
      <c r="I25" s="161"/>
      <c r="J25" s="156" t="s">
        <v>12818</v>
      </c>
      <c r="K25" s="156"/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"""")"),"Encontrada")</f>
        <v>Encontrada</v>
      </c>
      <c r="N25" s="159">
        <f>IFERROR(__xludf.DUMMYFUNCTION("ifna(VALUE(REGEXEXTRACT(E25,""[0-9.]+[,]+[0-9]+"")))"),12.35)</f>
        <v>12.35</v>
      </c>
      <c r="O25" s="67"/>
      <c r="P25" s="67"/>
      <c r="Q25" s="67"/>
      <c r="R25" s="67"/>
      <c r="S25" s="159"/>
      <c r="T25" s="67"/>
      <c r="U25" s="67"/>
      <c r="V25" s="67"/>
      <c r="W25" s="67"/>
    </row>
    <row r="26" ht="14.25" customHeight="1">
      <c r="A26" s="149"/>
      <c r="B26" s="13">
        <v>1957827.0</v>
      </c>
      <c r="C26" s="14">
        <v>46048.70854166667</v>
      </c>
      <c r="D26" s="210" t="s">
        <v>101</v>
      </c>
      <c r="E26" s="211" t="s">
        <v>13138</v>
      </c>
      <c r="F26" s="212"/>
      <c r="G26" s="210" t="s">
        <v>14135</v>
      </c>
      <c r="H26" s="161"/>
      <c r="I26" s="161"/>
      <c r="J26" s="156"/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IFERROR(__xludf.DUMMYFUNCTION("ifna(VALUE(REGEXEXTRACT(E26,""[0-9.]+[,]+[0-9]+"")))"),0.01)</f>
        <v>0.01</v>
      </c>
      <c r="O26" s="67"/>
      <c r="P26" s="67"/>
      <c r="Q26" s="67"/>
      <c r="R26" s="67"/>
      <c r="S26" s="159"/>
      <c r="T26" s="67"/>
      <c r="U26" s="67"/>
      <c r="V26" s="67"/>
      <c r="W26" s="67"/>
    </row>
    <row r="27" ht="14.25" customHeight="1">
      <c r="A27" s="149"/>
      <c r="B27" s="13">
        <v>1958374.0</v>
      </c>
      <c r="C27" s="14">
        <v>46048.85460648148</v>
      </c>
      <c r="D27" s="210" t="s">
        <v>101</v>
      </c>
      <c r="E27" s="211" t="s">
        <v>1440</v>
      </c>
      <c r="F27" s="212"/>
      <c r="G27" s="210" t="s">
        <v>13259</v>
      </c>
      <c r="H27" s="161"/>
      <c r="I27" s="161"/>
      <c r="J27" s="156" t="s">
        <v>6914</v>
      </c>
      <c r="K27" s="156"/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IFERROR(__xludf.DUMMYFUNCTION("ifna(VALUE(REGEXEXTRACT(E27,""[0-9.]+[,]+[0-9]+"")))"),44.0)</f>
        <v>44</v>
      </c>
      <c r="O27" s="67"/>
      <c r="P27" s="67"/>
      <c r="Q27" s="67"/>
      <c r="R27" s="67"/>
      <c r="S27" s="159"/>
      <c r="T27" s="67"/>
      <c r="U27" s="67"/>
      <c r="V27" s="67"/>
      <c r="W27" s="67"/>
    </row>
    <row r="28" ht="14.25" customHeight="1">
      <c r="A28" s="149"/>
      <c r="B28" s="13">
        <v>1958381.0</v>
      </c>
      <c r="C28" s="14">
        <v>46048.85564814815</v>
      </c>
      <c r="D28" s="210" t="s">
        <v>101</v>
      </c>
      <c r="E28" s="211" t="s">
        <v>13138</v>
      </c>
      <c r="F28" s="212"/>
      <c r="G28" s="210" t="s">
        <v>14136</v>
      </c>
      <c r="H28" s="161"/>
      <c r="I28" s="161"/>
      <c r="J28" s="156"/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IFERROR(__xludf.DUMMYFUNCTION("ifna(VALUE(REGEXEXTRACT(E28,""[0-9.]+[,]+[0-9]+"")))"),0.01)</f>
        <v>0.01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3">
        <v>1958410.0</v>
      </c>
      <c r="C29" s="14">
        <v>46048.86513888889</v>
      </c>
      <c r="D29" s="210" t="s">
        <v>101</v>
      </c>
      <c r="E29" s="211" t="s">
        <v>1462</v>
      </c>
      <c r="F29" s="212"/>
      <c r="G29" s="210" t="s">
        <v>14138</v>
      </c>
      <c r="H29" s="161"/>
      <c r="I29" s="161"/>
      <c r="J29" s="156" t="s">
        <v>12658</v>
      </c>
      <c r="K29" s="156" t="s">
        <v>11866</v>
      </c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IFERROR(__xludf.DUMMYFUNCTION("ifna(VALUE(REGEXEXTRACT(E29,""[0-9.]+[,]+[0-9]+"")))"),49.0)</f>
        <v>49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3">
        <v>1958447.0</v>
      </c>
      <c r="C30" s="14">
        <v>46048.87363425926</v>
      </c>
      <c r="D30" s="210" t="s">
        <v>139</v>
      </c>
      <c r="E30" s="211" t="s">
        <v>799</v>
      </c>
      <c r="F30" s="212"/>
      <c r="G30" s="210" t="s">
        <v>788</v>
      </c>
      <c r="H30" s="161"/>
      <c r="I30" s="161"/>
      <c r="J30" s="156" t="s">
        <v>12952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IFERROR(__xludf.DUMMYFUNCTION("ifna(VALUE(REGEXEXTRACT(E30,""[0-9.]+[,]+[0-9]+"")))"),75.0)</f>
        <v>75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3">
        <v>1958529.0</v>
      </c>
      <c r="C31" s="14">
        <v>46048.8909375</v>
      </c>
      <c r="D31" s="210" t="s">
        <v>101</v>
      </c>
      <c r="E31" s="211" t="s">
        <v>2025</v>
      </c>
      <c r="F31" s="214"/>
      <c r="G31" s="210" t="s">
        <v>14141</v>
      </c>
      <c r="H31" s="161"/>
      <c r="I31" s="161"/>
      <c r="J31" s="156" t="s">
        <v>6914</v>
      </c>
      <c r="K31" s="156"/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IFERROR(__xludf.DUMMYFUNCTION("ifna(VALUE(REGEXEXTRACT(E31,""[0-9.]+[,]+[0-9]+"")))"),43.0)</f>
        <v>43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3">
        <v>1958855.0</v>
      </c>
      <c r="C32" s="14">
        <v>46048.93201388889</v>
      </c>
      <c r="D32" s="210" t="s">
        <v>101</v>
      </c>
      <c r="E32" s="211" t="s">
        <v>1496</v>
      </c>
      <c r="F32" s="212"/>
      <c r="G32" s="210" t="s">
        <v>12778</v>
      </c>
      <c r="H32" s="161"/>
      <c r="I32" s="161"/>
      <c r="J32" s="156" t="s">
        <v>12778</v>
      </c>
      <c r="K32" s="156" t="s">
        <v>13763</v>
      </c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"),"Confirmada")</f>
        <v>Confirmada</v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IFERROR(__xludf.DUMMYFUNCTION("ifna(VALUE(REGEXEXTRACT(E32,""[0-9.]+[,]+[0-9]+"")))"),950.0)</f>
        <v>950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3">
        <v>1958924.0</v>
      </c>
      <c r="C33" s="14">
        <v>46048.941296296296</v>
      </c>
      <c r="D33" s="210" t="s">
        <v>101</v>
      </c>
      <c r="E33" s="211" t="s">
        <v>473</v>
      </c>
      <c r="F33" s="214"/>
      <c r="G33" s="210" t="s">
        <v>14142</v>
      </c>
      <c r="H33" s="161"/>
      <c r="I33" s="161"/>
      <c r="J33" s="156" t="s">
        <v>6914</v>
      </c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IFERROR(__xludf.DUMMYFUNCTION("ifna(VALUE(REGEXEXTRACT(E33,""[0-9.]+[,]+[0-9]+"")))"),15.0)</f>
        <v>15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1959338.0</v>
      </c>
      <c r="C34" s="14">
        <v>46049.56655092593</v>
      </c>
      <c r="D34" s="210" t="s">
        <v>101</v>
      </c>
      <c r="E34" s="211" t="s">
        <v>13561</v>
      </c>
      <c r="F34" s="212"/>
      <c r="G34" s="210" t="s">
        <v>13886</v>
      </c>
      <c r="H34" s="161"/>
      <c r="I34" s="161"/>
      <c r="J34" s="156" t="s">
        <v>12658</v>
      </c>
      <c r="K34" s="156" t="s">
        <v>11866</v>
      </c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IFERROR(__xludf.DUMMYFUNCTION("ifna(VALUE(REGEXEXTRACT(E34,""[0-9.]+[,]+[0-9]+"")))"),3.0)</f>
        <v>3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1959409.0</v>
      </c>
      <c r="C35" s="14">
        <v>46049.5987962963</v>
      </c>
      <c r="D35" s="210" t="s">
        <v>101</v>
      </c>
      <c r="E35" s="211" t="s">
        <v>14144</v>
      </c>
      <c r="F35" s="212"/>
      <c r="G35" s="210" t="s">
        <v>13259</v>
      </c>
      <c r="H35" s="161"/>
      <c r="I35" s="161"/>
      <c r="J35" s="156" t="s">
        <v>12818</v>
      </c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"""")"),"Não Encontrada")</f>
        <v>Não Encontrada</v>
      </c>
      <c r="N35" s="159">
        <f>IFERROR(__xludf.DUMMYFUNCTION("ifna(VALUE(REGEXEXTRACT(E35,""[0-9.]+[,]+[0-9]+"")))"),29.26)</f>
        <v>29.26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1959413.0</v>
      </c>
      <c r="C36" s="14">
        <v>46049.59957175926</v>
      </c>
      <c r="D36" s="210" t="s">
        <v>101</v>
      </c>
      <c r="E36" s="211" t="s">
        <v>14145</v>
      </c>
      <c r="F36" s="212"/>
      <c r="G36" s="210" t="s">
        <v>12935</v>
      </c>
      <c r="H36" s="169"/>
      <c r="I36" s="169"/>
      <c r="J36" s="156" t="s">
        <v>12658</v>
      </c>
      <c r="K36" s="156" t="s">
        <v>12666</v>
      </c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IFERROR(__xludf.DUMMYFUNCTION("ifna(VALUE(REGEXEXTRACT(E36,""[0-9.]+[,]+[0-9]+"")))"),94.64)</f>
        <v>94.64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1959822.0</v>
      </c>
      <c r="C37" s="14">
        <v>46049.70927083334</v>
      </c>
      <c r="D37" s="210" t="s">
        <v>101</v>
      </c>
      <c r="E37" s="211" t="s">
        <v>14147</v>
      </c>
      <c r="F37" s="212"/>
      <c r="G37" s="210" t="s">
        <v>14114</v>
      </c>
      <c r="H37" s="169"/>
      <c r="I37" s="169"/>
      <c r="J37" s="156" t="s">
        <v>12720</v>
      </c>
      <c r="K37" s="156"/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IFERROR(__xludf.DUMMYFUNCTION("ifna(VALUE(REGEXEXTRACT(E37,""[0-9.]+[,]+[0-9]+"")))"),20.88)</f>
        <v>20.88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1959916.0</v>
      </c>
      <c r="C38" s="14">
        <v>46049.72655092592</v>
      </c>
      <c r="D38" s="210" t="s">
        <v>139</v>
      </c>
      <c r="E38" s="211" t="s">
        <v>14149</v>
      </c>
      <c r="F38" s="212"/>
      <c r="G38" s="210" t="s">
        <v>14150</v>
      </c>
      <c r="H38" s="170"/>
      <c r="I38" s="170"/>
      <c r="J38" s="156"/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IFERROR(__xludf.DUMMYFUNCTION("ifna(VALUE(REGEXEXTRACT(E38,""[0-9.]+[,]+[0-9]+"")))"),50.32)</f>
        <v>50.32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1959917.0</v>
      </c>
      <c r="C39" s="14">
        <v>46049.72681712963</v>
      </c>
      <c r="D39" s="210" t="s">
        <v>101</v>
      </c>
      <c r="E39" s="211" t="s">
        <v>14149</v>
      </c>
      <c r="F39" s="212"/>
      <c r="G39" s="210" t="s">
        <v>14150</v>
      </c>
      <c r="H39" s="170"/>
      <c r="I39" s="170"/>
      <c r="J39" s="156" t="s">
        <v>12720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IFERROR(__xludf.DUMMYFUNCTION("ifna(VALUE(REGEXEXTRACT(E39,""[0-9.]+[,]+[0-9]+"")))"),50.32)</f>
        <v>50.32</v>
      </c>
      <c r="O39" s="171" t="str">
        <f>B8</f>
        <v>Rose</v>
      </c>
      <c r="S39" s="159"/>
      <c r="T39" s="148" t="str">
        <f>B9</f>
        <v>Regiane</v>
      </c>
    </row>
    <row r="40" ht="14.25" customHeight="1">
      <c r="A40" s="149"/>
      <c r="B40" s="13">
        <v>1959942.0</v>
      </c>
      <c r="C40" s="14">
        <v>46049.73241898148</v>
      </c>
      <c r="D40" s="210" t="s">
        <v>101</v>
      </c>
      <c r="E40" s="211" t="s">
        <v>12773</v>
      </c>
      <c r="F40" s="214"/>
      <c r="G40" s="210" t="s">
        <v>14151</v>
      </c>
      <c r="H40" s="170"/>
      <c r="I40" s="170"/>
      <c r="J40" s="156" t="s">
        <v>12778</v>
      </c>
      <c r="K40" s="156" t="s">
        <v>11866</v>
      </c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"),"Confirmada")</f>
        <v>Confirmada</v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IFERROR(__xludf.DUMMYFUNCTION("ifna(VALUE(REGEXEXTRACT(E40,""[0-9.]+[,]+[0-9]+"")))"),700.0)</f>
        <v>700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1960171.0</v>
      </c>
      <c r="C41" s="14">
        <v>46049.78634259259</v>
      </c>
      <c r="D41" s="210" t="s">
        <v>101</v>
      </c>
      <c r="E41" s="211" t="s">
        <v>13138</v>
      </c>
      <c r="F41" s="212"/>
      <c r="G41" s="210" t="s">
        <v>14153</v>
      </c>
      <c r="H41" s="170"/>
      <c r="I41" s="170"/>
      <c r="J41" s="156" t="s">
        <v>12658</v>
      </c>
      <c r="K41" s="156" t="s">
        <v>12666</v>
      </c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IFERROR(__xludf.DUMMYFUNCTION("ifna(VALUE(REGEXEXTRACT(E41,""[0-9.]+[,]+[0-9]+"")))"),0.01)</f>
        <v>0.01</v>
      </c>
      <c r="O41" s="206">
        <f>IFERROR(__xludf.DUMMYFUNCTION("""COMPUTED_VALUE"""),46050.385601851856)</f>
        <v>46050.3856</v>
      </c>
      <c r="P41" s="58" t="str">
        <f>IFERROR(__xludf.DUMMYFUNCTION("""COMPUTED_VALUE"""),"R$ 50,00")</f>
        <v>R$ 50,00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1960490.0</v>
      </c>
      <c r="C42" s="14">
        <v>46049.88936342593</v>
      </c>
      <c r="D42" s="210" t="s">
        <v>101</v>
      </c>
      <c r="E42" s="211" t="s">
        <v>14155</v>
      </c>
      <c r="F42" s="212"/>
      <c r="G42" s="210" t="s">
        <v>13379</v>
      </c>
      <c r="H42" s="170"/>
      <c r="I42" s="170"/>
      <c r="J42" s="156" t="s">
        <v>6914</v>
      </c>
      <c r="K42" s="156"/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IFERROR(__xludf.DUMMYFUNCTION("ifna(VALUE(REGEXEXTRACT(E42,""[0-9.]+[,]+[0-9]+"")))"),160.0)</f>
        <v>160</v>
      </c>
      <c r="O42" s="206">
        <f>IFERROR(__xludf.DUMMYFUNCTION("""COMPUTED_VALUE"""),46053.91380787037)</f>
        <v>46053.91381</v>
      </c>
      <c r="P42" s="58" t="str">
        <f>IFERROR(__xludf.DUMMYFUNCTION("""COMPUTED_VALUE"""),"R$ 0,01")</f>
        <v>R$ 0,01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226">
        <v>1960582.0</v>
      </c>
      <c r="C43" s="227">
        <v>46050.385300925926</v>
      </c>
      <c r="D43" s="191" t="s">
        <v>101</v>
      </c>
      <c r="E43" s="221" t="s">
        <v>141</v>
      </c>
      <c r="F43" s="228"/>
      <c r="G43" s="191" t="s">
        <v>14156</v>
      </c>
      <c r="H43" s="170"/>
      <c r="I43" s="170"/>
      <c r="J43" s="156"/>
      <c r="K43" s="156"/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IFERROR(__xludf.DUMMYFUNCTION("ifna(VALUE(REGEXEXTRACT(E43,""[0-9.]+[,]+[0-9]+"")))"),50.0)</f>
        <v>50</v>
      </c>
      <c r="O43" s="208">
        <f>IFERROR(__xludf.DUMMYFUNCTION("""COMPUTED_VALUE"""),46061.8746412037)</f>
        <v>46061.87464</v>
      </c>
      <c r="P43" s="67" t="str">
        <f>IFERROR(__xludf.DUMMYFUNCTION("""COMPUTED_VALUE"""),"R$ 16,96")</f>
        <v>R$ 16,96</v>
      </c>
      <c r="Q43" s="67" t="str">
        <f>IFERROR(__xludf.DUMMYFUNCTION("""COMPUTED_VALUE"""),"Consumo")</f>
        <v>Consumo</v>
      </c>
      <c r="R43" s="67" t="str">
        <f>IFERROR(__xludf.DUMMYFUNCTION("""COMPUTED_VALUE"""),"Rose")</f>
        <v>Rose</v>
      </c>
      <c r="S43" s="159"/>
      <c r="T43" s="67"/>
      <c r="U43" s="67"/>
      <c r="V43" s="67"/>
      <c r="W43" s="67"/>
    </row>
    <row r="44" ht="14.25" customHeight="1">
      <c r="A44" s="149"/>
      <c r="B44" s="226">
        <v>1960583.0</v>
      </c>
      <c r="C44" s="227">
        <v>46050.385300925926</v>
      </c>
      <c r="D44" s="191" t="s">
        <v>101</v>
      </c>
      <c r="E44" s="221" t="s">
        <v>141</v>
      </c>
      <c r="F44" s="228"/>
      <c r="G44" s="191" t="s">
        <v>14158</v>
      </c>
      <c r="H44" s="170"/>
      <c r="I44" s="170"/>
      <c r="J44" s="156"/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IFERROR(__xludf.DUMMYFUNCTION("ifna(VALUE(REGEXEXTRACT(E44,""[0-9.]+[,]+[0-9]+"")))"),50.0)</f>
        <v>50</v>
      </c>
      <c r="O44" s="208">
        <f>IFERROR(__xludf.DUMMYFUNCTION("""COMPUTED_VALUE"""),46077.896157407406)</f>
        <v>46077.89616</v>
      </c>
      <c r="P44" s="67" t="str">
        <f>IFERROR(__xludf.DUMMYFUNCTION("""COMPUTED_VALUE"""),"R$ 44,00")</f>
        <v>R$ 44,00</v>
      </c>
      <c r="Q44" s="67" t="str">
        <f>IFERROR(__xludf.DUMMYFUNCTION("""COMPUTED_VALUE"""),"Consumo")</f>
        <v>Consumo</v>
      </c>
      <c r="R44" s="67" t="str">
        <f>IFERROR(__xludf.DUMMYFUNCTION("""COMPUTED_VALUE"""),"Rose")</f>
        <v>Rose</v>
      </c>
      <c r="S44" s="159"/>
      <c r="T44" s="67"/>
      <c r="U44" s="67"/>
      <c r="V44" s="67"/>
      <c r="W44" s="67"/>
    </row>
    <row r="45" ht="14.25" customHeight="1">
      <c r="A45" s="149"/>
      <c r="B45" s="226">
        <v>1960584.0</v>
      </c>
      <c r="C45" s="227">
        <v>46050.385300925926</v>
      </c>
      <c r="D45" s="191" t="s">
        <v>101</v>
      </c>
      <c r="E45" s="221" t="s">
        <v>141</v>
      </c>
      <c r="F45" s="228"/>
      <c r="G45" s="191" t="s">
        <v>13439</v>
      </c>
      <c r="H45" s="170"/>
      <c r="I45" s="170"/>
      <c r="J45" s="156"/>
      <c r="K45" s="156"/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IFERROR(__xludf.DUMMYFUNCTION("ifna(VALUE(REGEXEXTRACT(E45,""[0-9.]+[,]+[0-9]+"")))"),50.0)</f>
        <v>50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226">
        <v>1960585.0</v>
      </c>
      <c r="C46" s="227">
        <v>46050.385300925926</v>
      </c>
      <c r="D46" s="191" t="s">
        <v>101</v>
      </c>
      <c r="E46" s="221" t="s">
        <v>141</v>
      </c>
      <c r="F46" s="228"/>
      <c r="G46" s="191" t="s">
        <v>12935</v>
      </c>
      <c r="H46" s="170"/>
      <c r="I46" s="170"/>
      <c r="J46" s="156"/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IFERROR(__xludf.DUMMYFUNCTION("ifna(VALUE(REGEXEXTRACT(E46,""[0-9.]+[,]+[0-9]+"")))"),50.0)</f>
        <v>50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226">
        <v>1960586.0</v>
      </c>
      <c r="C47" s="227">
        <v>46050.385300925926</v>
      </c>
      <c r="D47" s="191" t="s">
        <v>101</v>
      </c>
      <c r="E47" s="221" t="s">
        <v>141</v>
      </c>
      <c r="F47" s="228"/>
      <c r="G47" s="191" t="s">
        <v>14158</v>
      </c>
      <c r="H47" s="170"/>
      <c r="I47" s="170"/>
      <c r="J47" s="156"/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IFERROR(__xludf.DUMMYFUNCTION("ifna(VALUE(REGEXEXTRACT(E47,""[0-9.]+[,]+[0-9]+"")))"),50.0)</f>
        <v>50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226">
        <v>1960587.0</v>
      </c>
      <c r="C48" s="227">
        <v>46050.385300925926</v>
      </c>
      <c r="D48" s="191" t="s">
        <v>101</v>
      </c>
      <c r="E48" s="221" t="s">
        <v>141</v>
      </c>
      <c r="F48" s="228"/>
      <c r="G48" s="191" t="s">
        <v>12935</v>
      </c>
      <c r="H48" s="170"/>
      <c r="I48" s="170"/>
      <c r="J48" s="156"/>
      <c r="K48" s="156"/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IFERROR(__xludf.DUMMYFUNCTION("ifna(VALUE(REGEXEXTRACT(E48,""[0-9.]+[,]+[0-9]+"")))"),50.0)</f>
        <v>50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226">
        <v>1960588.0</v>
      </c>
      <c r="C49" s="227">
        <v>46050.385300925926</v>
      </c>
      <c r="D49" s="191" t="s">
        <v>101</v>
      </c>
      <c r="E49" s="221" t="s">
        <v>141</v>
      </c>
      <c r="F49" s="228"/>
      <c r="G49" s="191" t="s">
        <v>13259</v>
      </c>
      <c r="H49" s="170"/>
      <c r="I49" s="170"/>
      <c r="J49" s="156"/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IFERROR(__xludf.DUMMYFUNCTION("ifna(VALUE(REGEXEXTRACT(E49,""[0-9.]+[,]+[0-9]+"")))"),50.0)</f>
        <v>50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1960589.0</v>
      </c>
      <c r="C50" s="14">
        <v>46050.3853125</v>
      </c>
      <c r="D50" s="210" t="s">
        <v>101</v>
      </c>
      <c r="E50" s="211" t="s">
        <v>141</v>
      </c>
      <c r="F50" s="212"/>
      <c r="G50" s="210" t="s">
        <v>14156</v>
      </c>
      <c r="H50" s="170"/>
      <c r="I50" s="170"/>
      <c r="J50" s="156" t="s">
        <v>12658</v>
      </c>
      <c r="K50" s="156" t="s">
        <v>12666</v>
      </c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IFERROR(__xludf.DUMMYFUNCTION("ifna(VALUE(REGEXEXTRACT(E50,""[0-9.]+[,]+[0-9]+"")))"),50.0)</f>
        <v>50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1960590.0</v>
      </c>
      <c r="C51" s="14">
        <v>46050.38560185185</v>
      </c>
      <c r="D51" s="210" t="s">
        <v>101</v>
      </c>
      <c r="E51" s="211" t="s">
        <v>141</v>
      </c>
      <c r="F51" s="212"/>
      <c r="G51" s="210" t="s">
        <v>14168</v>
      </c>
      <c r="H51" s="170"/>
      <c r="I51" s="170"/>
      <c r="J51" s="156" t="s">
        <v>12658</v>
      </c>
      <c r="K51" s="156" t="s">
        <v>12693</v>
      </c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IFERROR(__xludf.DUMMYFUNCTION("ifna(VALUE(REGEXEXTRACT(E51,""[0-9.]+[,]+[0-9]+"")))"),50.0)</f>
        <v>50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1960600.0</v>
      </c>
      <c r="C52" s="14">
        <v>46050.39666666667</v>
      </c>
      <c r="D52" s="210" t="s">
        <v>101</v>
      </c>
      <c r="E52" s="211" t="s">
        <v>12773</v>
      </c>
      <c r="F52" s="212"/>
      <c r="G52" s="210" t="s">
        <v>14169</v>
      </c>
      <c r="H52" s="170"/>
      <c r="I52" s="170"/>
      <c r="J52" s="156" t="s">
        <v>12778</v>
      </c>
      <c r="K52" s="156" t="s">
        <v>12666</v>
      </c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"),"Confirmada")</f>
        <v>Confirmada</v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IFERROR(__xludf.DUMMYFUNCTION("ifna(VALUE(REGEXEXTRACT(E52,""[0-9.]+[,]+[0-9]+"")))"),700.0)</f>
        <v>700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1960602.0</v>
      </c>
      <c r="C53" s="14">
        <v>46050.403032407405</v>
      </c>
      <c r="D53" s="210" t="s">
        <v>101</v>
      </c>
      <c r="E53" s="211" t="s">
        <v>13138</v>
      </c>
      <c r="F53" s="214"/>
      <c r="G53" s="191" t="s">
        <v>14171</v>
      </c>
      <c r="H53" s="170"/>
      <c r="I53" s="170"/>
      <c r="J53" s="156"/>
      <c r="K53" s="156"/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IFERROR(__xludf.DUMMYFUNCTION("ifna(VALUE(REGEXEXTRACT(E53,""[0-9.]+[,]+[0-9]+"")))"),0.01)</f>
        <v>0.01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1962211.0</v>
      </c>
      <c r="C54" s="14">
        <v>46050.6199537037</v>
      </c>
      <c r="D54" s="210" t="s">
        <v>101</v>
      </c>
      <c r="E54" s="211" t="s">
        <v>14172</v>
      </c>
      <c r="F54" s="212"/>
      <c r="G54" s="210" t="s">
        <v>14173</v>
      </c>
      <c r="H54" s="170"/>
      <c r="I54" s="170"/>
      <c r="J54" s="156" t="s">
        <v>12818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"""")"),"Encontrada")</f>
        <v>Encontrada</v>
      </c>
      <c r="N54" s="159">
        <f>IFERROR(__xludf.DUMMYFUNCTION("ifna(VALUE(REGEXEXTRACT(E54,""[0-9.]+[,]+[0-9]+"")))"),68.42)</f>
        <v>68.42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1962662.0</v>
      </c>
      <c r="C55" s="14">
        <v>46050.728055555555</v>
      </c>
      <c r="D55" s="210" t="s">
        <v>101</v>
      </c>
      <c r="E55" s="211" t="s">
        <v>13409</v>
      </c>
      <c r="F55" s="212"/>
      <c r="G55" s="210" t="s">
        <v>14066</v>
      </c>
      <c r="H55" s="170"/>
      <c r="I55" s="170"/>
      <c r="J55" s="156" t="s">
        <v>6914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IFERROR(__xludf.DUMMYFUNCTION("ifna(VALUE(REGEXEXTRACT(E55,""[0-9.]+[,]+[0-9]+"")))"),79.0)</f>
        <v>79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1962706.0</v>
      </c>
      <c r="C56" s="14">
        <v>46050.73457175926</v>
      </c>
      <c r="D56" s="210" t="s">
        <v>101</v>
      </c>
      <c r="E56" s="211" t="s">
        <v>213</v>
      </c>
      <c r="F56" s="212"/>
      <c r="G56" s="210" t="s">
        <v>14176</v>
      </c>
      <c r="H56" s="170"/>
      <c r="I56" s="170"/>
      <c r="J56" s="156" t="s">
        <v>12778</v>
      </c>
      <c r="K56" s="156" t="s">
        <v>11866</v>
      </c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IFERROR(__xludf.DUMMYFUNCTION("ifna(VALUE(REGEXEXTRACT(E56,""[0-9.]+[,]+[0-9]+"")))"),200.0)</f>
        <v>200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1962800.0</v>
      </c>
      <c r="C57" s="14">
        <v>46050.75592592593</v>
      </c>
      <c r="D57" s="210" t="s">
        <v>101</v>
      </c>
      <c r="E57" s="211" t="s">
        <v>288</v>
      </c>
      <c r="F57" s="212"/>
      <c r="G57" s="210" t="s">
        <v>14146</v>
      </c>
      <c r="H57" s="170"/>
      <c r="I57" s="170"/>
      <c r="J57" s="156" t="s">
        <v>12658</v>
      </c>
      <c r="K57" s="156" t="s">
        <v>11866</v>
      </c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IFERROR(__xludf.DUMMYFUNCTION("ifna(VALUE(REGEXEXTRACT(E57,""[0-9.]+[,]+[0-9]+"")))"),23.0)</f>
        <v>23</v>
      </c>
      <c r="U57" s="159"/>
      <c r="V57" s="159"/>
      <c r="W57" s="159"/>
    </row>
    <row r="58" ht="14.25" customHeight="1">
      <c r="A58" s="149"/>
      <c r="B58" s="13">
        <v>1962884.0</v>
      </c>
      <c r="C58" s="14">
        <v>46050.77861111111</v>
      </c>
      <c r="D58" s="210" t="s">
        <v>139</v>
      </c>
      <c r="E58" s="211" t="s">
        <v>223</v>
      </c>
      <c r="F58" s="212"/>
      <c r="G58" s="210" t="s">
        <v>12927</v>
      </c>
      <c r="H58" s="170"/>
      <c r="I58" s="170"/>
      <c r="J58" s="156" t="s">
        <v>13783</v>
      </c>
      <c r="K58" s="156"/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IFERROR(__xludf.DUMMYFUNCTION("ifna(VALUE(REGEXEXTRACT(E58,""[0-9.]+[,]+[0-9]+"")))"),55.0)</f>
        <v>55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1963307.0</v>
      </c>
      <c r="C59" s="14">
        <v>46050.907534722224</v>
      </c>
      <c r="D59" s="210" t="s">
        <v>101</v>
      </c>
      <c r="E59" s="211" t="s">
        <v>599</v>
      </c>
      <c r="F59" s="214"/>
      <c r="G59" s="210" t="s">
        <v>14178</v>
      </c>
      <c r="H59" s="170"/>
      <c r="I59" s="170"/>
      <c r="J59" s="156" t="s">
        <v>6914</v>
      </c>
      <c r="K59" s="156"/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IFERROR(__xludf.DUMMYFUNCTION("ifna(VALUE(REGEXEXTRACT(E59,""[0-9.]+[,]+[0-9]+"")))"),11.0)</f>
        <v>11</v>
      </c>
      <c r="O59" s="174" t="s">
        <v>9768</v>
      </c>
      <c r="P59" s="175">
        <v>46048.0</v>
      </c>
      <c r="Q59" s="176" t="s">
        <v>227</v>
      </c>
      <c r="R59" s="176">
        <v>500.0</v>
      </c>
      <c r="S59" s="177" t="str">
        <f t="shared" ref="S59:S95" si="1">IFERROR(VLOOKUP(Q59, $A$4:$B$11, 2, FALSE), "")</f>
        <v>Rose</v>
      </c>
      <c r="U59" s="159"/>
      <c r="V59" s="159"/>
      <c r="W59" s="159"/>
    </row>
    <row r="60" ht="14.25" customHeight="1">
      <c r="A60" s="149"/>
      <c r="B60" s="13">
        <v>1963576.0</v>
      </c>
      <c r="C60" s="14">
        <v>46050.936111111114</v>
      </c>
      <c r="D60" s="210" t="s">
        <v>101</v>
      </c>
      <c r="E60" s="211" t="s">
        <v>256</v>
      </c>
      <c r="F60" s="212"/>
      <c r="G60" s="210" t="s">
        <v>14179</v>
      </c>
      <c r="H60" s="170"/>
      <c r="I60" s="170"/>
      <c r="J60" s="156" t="s">
        <v>12778</v>
      </c>
      <c r="K60" s="156" t="s">
        <v>13763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"),"Confirmada")</f>
        <v>Confirmada</v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IFERROR(__xludf.DUMMYFUNCTION("ifna(VALUE(REGEXEXTRACT(E60,""[0-9.]+[,]+[0-9]+"")))"),300.0)</f>
        <v>300</v>
      </c>
      <c r="O60" s="174" t="s">
        <v>9770</v>
      </c>
      <c r="P60" s="175">
        <v>46048.0</v>
      </c>
      <c r="Q60" s="174" t="s">
        <v>2052</v>
      </c>
      <c r="R60" s="176">
        <v>500.0</v>
      </c>
      <c r="S60" s="177" t="str">
        <f t="shared" si="1"/>
        <v>Josi Ribas</v>
      </c>
      <c r="U60" s="159"/>
      <c r="V60" s="159"/>
      <c r="W60" s="159"/>
    </row>
    <row r="61" ht="14.25" customHeight="1">
      <c r="A61" s="149"/>
      <c r="B61" s="13">
        <v>1964683.0</v>
      </c>
      <c r="C61" s="14">
        <v>46051.72418981481</v>
      </c>
      <c r="D61" s="210" t="s">
        <v>139</v>
      </c>
      <c r="E61" s="211" t="s">
        <v>161</v>
      </c>
      <c r="F61" s="212"/>
      <c r="G61" s="210" t="s">
        <v>12927</v>
      </c>
      <c r="H61" s="170"/>
      <c r="I61" s="170"/>
      <c r="J61" s="156" t="s">
        <v>13783</v>
      </c>
      <c r="K61" s="156"/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IFERROR(__xludf.DUMMYFUNCTION("ifna(VALUE(REGEXEXTRACT(E61,""[0-9.]+[,]+[0-9]+"")))"),60.0)</f>
        <v>60</v>
      </c>
      <c r="O61" s="174" t="s">
        <v>9773</v>
      </c>
      <c r="P61" s="175">
        <v>46048.0</v>
      </c>
      <c r="Q61" s="174" t="s">
        <v>117</v>
      </c>
      <c r="R61" s="176">
        <v>500.0</v>
      </c>
      <c r="S61" s="177" t="str">
        <f t="shared" si="1"/>
        <v>Renan</v>
      </c>
      <c r="U61" s="159"/>
      <c r="V61" s="159"/>
      <c r="W61" s="159"/>
    </row>
    <row r="62" ht="14.25" customHeight="1">
      <c r="A62" s="149"/>
      <c r="B62" s="13">
        <v>1964729.0</v>
      </c>
      <c r="C62" s="14">
        <v>46051.73274305555</v>
      </c>
      <c r="D62" s="210" t="s">
        <v>101</v>
      </c>
      <c r="E62" s="211" t="s">
        <v>260</v>
      </c>
      <c r="F62" s="212"/>
      <c r="G62" s="210" t="s">
        <v>14180</v>
      </c>
      <c r="H62" s="170"/>
      <c r="I62" s="170"/>
      <c r="J62" s="156" t="s">
        <v>12818</v>
      </c>
      <c r="K62" s="156"/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"""")"),"Não Encontrada")</f>
        <v>Não Encontrada</v>
      </c>
      <c r="N62" s="159">
        <f>IFERROR(__xludf.DUMMYFUNCTION("ifna(VALUE(REGEXEXTRACT(E62,""[0-9.]+[,]+[0-9]+"")))"),13.0)</f>
        <v>13</v>
      </c>
      <c r="O62" s="174"/>
      <c r="P62" s="175"/>
      <c r="Q62" s="174"/>
      <c r="R62" s="176"/>
      <c r="S62" s="177" t="str">
        <f t="shared" si="1"/>
        <v/>
      </c>
      <c r="U62" s="159"/>
      <c r="V62" s="159"/>
      <c r="W62" s="159"/>
    </row>
    <row r="63" ht="14.25" customHeight="1">
      <c r="A63" s="149"/>
      <c r="B63" s="13">
        <v>1964732.0</v>
      </c>
      <c r="C63" s="14">
        <v>46051.73302083334</v>
      </c>
      <c r="D63" s="210" t="s">
        <v>101</v>
      </c>
      <c r="E63" s="211" t="s">
        <v>256</v>
      </c>
      <c r="F63" s="212"/>
      <c r="G63" s="210" t="s">
        <v>14181</v>
      </c>
      <c r="H63" s="170"/>
      <c r="I63" s="170"/>
      <c r="J63" s="156" t="s">
        <v>12778</v>
      </c>
      <c r="K63" s="156" t="s">
        <v>11866</v>
      </c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"),"Confirmada")</f>
        <v>Confirmada</v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IFERROR(__xludf.DUMMYFUNCTION("ifna(VALUE(REGEXEXTRACT(E63,""[0-9.]+[,]+[0-9]+"")))"),300.0)</f>
        <v>300</v>
      </c>
      <c r="O63" s="174"/>
      <c r="P63" s="175"/>
      <c r="Q63" s="176"/>
      <c r="R63" s="178"/>
      <c r="S63" s="177" t="str">
        <f t="shared" si="1"/>
        <v/>
      </c>
      <c r="U63" s="159"/>
      <c r="V63" s="159"/>
      <c r="W63" s="159"/>
    </row>
    <row r="64" ht="14.25" customHeight="1">
      <c r="A64" s="149"/>
      <c r="B64" s="13">
        <v>1964751.0</v>
      </c>
      <c r="C64" s="14">
        <v>46051.73789351852</v>
      </c>
      <c r="D64" s="210" t="s">
        <v>101</v>
      </c>
      <c r="E64" s="211" t="s">
        <v>270</v>
      </c>
      <c r="F64" s="212"/>
      <c r="G64" s="210" t="s">
        <v>14066</v>
      </c>
      <c r="H64" s="170"/>
      <c r="I64" s="170"/>
      <c r="J64" s="156" t="s">
        <v>6914</v>
      </c>
      <c r="K64" s="156"/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IFERROR(__xludf.DUMMYFUNCTION("ifna(VALUE(REGEXEXTRACT(E64,""[0-9.]+[,]+[0-9]+"")))"),62.0)</f>
        <v>62</v>
      </c>
      <c r="O64" s="174"/>
      <c r="P64" s="175"/>
      <c r="Q64" s="174"/>
      <c r="R64" s="176"/>
      <c r="S64" s="177" t="str">
        <f t="shared" si="1"/>
        <v/>
      </c>
      <c r="U64" s="159"/>
      <c r="V64" s="159"/>
      <c r="W64" s="159"/>
    </row>
    <row r="65" ht="14.25" customHeight="1">
      <c r="A65" s="149"/>
      <c r="B65" s="13">
        <v>1965483.0</v>
      </c>
      <c r="C65" s="14">
        <v>46051.929560185185</v>
      </c>
      <c r="D65" s="210" t="s">
        <v>101</v>
      </c>
      <c r="E65" s="211" t="s">
        <v>473</v>
      </c>
      <c r="F65" s="212"/>
      <c r="G65" s="210" t="s">
        <v>14182</v>
      </c>
      <c r="H65" s="170"/>
      <c r="I65" s="170"/>
      <c r="J65" s="156" t="s">
        <v>6914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IFERROR(__xludf.DUMMYFUNCTION("ifna(VALUE(REGEXEXTRACT(E65,""[0-9.]+[,]+[0-9]+"")))"),15.0)</f>
        <v>15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1965490.0</v>
      </c>
      <c r="C66" s="14">
        <v>46051.929814814815</v>
      </c>
      <c r="D66" s="210" t="s">
        <v>101</v>
      </c>
      <c r="E66" s="211" t="s">
        <v>1440</v>
      </c>
      <c r="F66" s="212"/>
      <c r="G66" s="210" t="s">
        <v>11818</v>
      </c>
      <c r="H66" s="170"/>
      <c r="I66" s="170"/>
      <c r="J66" s="156" t="s">
        <v>12818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159">
        <f>IFERROR(__xludf.DUMMYFUNCTION("ifna(VALUE(REGEXEXTRACT(E66,""[0-9.]+[,]+[0-9]+"")))"),44.0)</f>
        <v>44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1965493.0</v>
      </c>
      <c r="C67" s="14">
        <v>46051.92996527778</v>
      </c>
      <c r="D67" s="210" t="s">
        <v>101</v>
      </c>
      <c r="E67" s="211" t="s">
        <v>1440</v>
      </c>
      <c r="F67" s="212"/>
      <c r="G67" s="210" t="s">
        <v>11822</v>
      </c>
      <c r="H67" s="170"/>
      <c r="I67" s="170"/>
      <c r="J67" s="156" t="s">
        <v>12818</v>
      </c>
      <c r="K67" s="156"/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"""")"),"Encontrada")</f>
        <v>Encontrada</v>
      </c>
      <c r="N67" s="159">
        <f>IFERROR(__xludf.DUMMYFUNCTION("ifna(VALUE(REGEXEXTRACT(E67,""[0-9.]+[,]+[0-9]+"")))"),44.0)</f>
        <v>44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1965503.0</v>
      </c>
      <c r="C68" s="14">
        <v>46051.93103009259</v>
      </c>
      <c r="D68" s="210" t="s">
        <v>101</v>
      </c>
      <c r="E68" s="211" t="s">
        <v>213</v>
      </c>
      <c r="F68" s="212"/>
      <c r="G68" s="210" t="s">
        <v>14179</v>
      </c>
      <c r="H68" s="170"/>
      <c r="I68" s="170"/>
      <c r="J68" s="156" t="s">
        <v>12778</v>
      </c>
      <c r="K68" s="156" t="s">
        <v>13763</v>
      </c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"),"Confirmada")</f>
        <v>Confirmada</v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IFERROR(__xludf.DUMMYFUNCTION("ifna(VALUE(REGEXEXTRACT(E68,""[0-9.]+[,]+[0-9]+"")))"),200.0)</f>
        <v>200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1966128.0</v>
      </c>
      <c r="C69" s="14">
        <v>46052.60623842593</v>
      </c>
      <c r="D69" s="210" t="s">
        <v>101</v>
      </c>
      <c r="E69" s="211" t="s">
        <v>14186</v>
      </c>
      <c r="F69" s="214"/>
      <c r="G69" s="210" t="s">
        <v>14114</v>
      </c>
      <c r="H69" s="170"/>
      <c r="I69" s="170"/>
      <c r="J69" s="156" t="s">
        <v>12720</v>
      </c>
      <c r="K69" s="156"/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IFERROR(__xludf.DUMMYFUNCTION("ifna(VALUE(REGEXEXTRACT(E69,""[0-9.]+[,]+[0-9]+"")))"),50.63)</f>
        <v>50.63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1966273.0</v>
      </c>
      <c r="C70" s="14">
        <v>46052.64915509259</v>
      </c>
      <c r="D70" s="210" t="s">
        <v>101</v>
      </c>
      <c r="E70" s="211" t="s">
        <v>2014</v>
      </c>
      <c r="F70" s="212"/>
      <c r="G70" s="210" t="s">
        <v>147</v>
      </c>
      <c r="H70" s="170"/>
      <c r="I70" s="170"/>
      <c r="J70" s="156" t="s">
        <v>12818</v>
      </c>
      <c r="K70" s="156"/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"""")"),"Encontrada")</f>
        <v>Encontrada</v>
      </c>
      <c r="N70" s="159">
        <f>IFERROR(__xludf.DUMMYFUNCTION("ifna(VALUE(REGEXEXTRACT(E70,""[0-9.]+[,]+[0-9]+"")))"),80.0)</f>
        <v>80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1966885.0</v>
      </c>
      <c r="C71" s="14">
        <v>46052.79634259259</v>
      </c>
      <c r="D71" s="210" t="s">
        <v>101</v>
      </c>
      <c r="E71" s="211" t="s">
        <v>1349</v>
      </c>
      <c r="F71" s="212"/>
      <c r="G71" s="210" t="s">
        <v>14066</v>
      </c>
      <c r="H71" s="170"/>
      <c r="I71" s="170"/>
      <c r="J71" s="156" t="s">
        <v>6914</v>
      </c>
      <c r="K71" s="156"/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IFERROR(__xludf.DUMMYFUNCTION("ifna(VALUE(REGEXEXTRACT(E71,""[0-9.]+[,]+[0-9]+"")))"),64.0)</f>
        <v>64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1966889.0</v>
      </c>
      <c r="C72" s="14">
        <v>46052.797638888886</v>
      </c>
      <c r="D72" s="210" t="s">
        <v>101</v>
      </c>
      <c r="E72" s="211" t="s">
        <v>14193</v>
      </c>
      <c r="F72" s="212"/>
      <c r="G72" s="210" t="s">
        <v>14194</v>
      </c>
      <c r="H72" s="170"/>
      <c r="I72" s="170"/>
      <c r="J72" s="156" t="s">
        <v>12818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159">
        <f>IFERROR(__xludf.DUMMYFUNCTION("ifna(VALUE(REGEXEXTRACT(E72,""[0-9.]+[,]+[0-9]+"")))"),61.39)</f>
        <v>61.39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1966892.0</v>
      </c>
      <c r="C73" s="14">
        <v>46052.79825231482</v>
      </c>
      <c r="D73" s="210" t="s">
        <v>101</v>
      </c>
      <c r="E73" s="211" t="s">
        <v>14196</v>
      </c>
      <c r="F73" s="212"/>
      <c r="G73" s="210" t="s">
        <v>14105</v>
      </c>
      <c r="H73" s="170"/>
      <c r="I73" s="170"/>
      <c r="J73" s="156" t="s">
        <v>12818</v>
      </c>
      <c r="K73" s="156"/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159">
        <f>IFERROR(__xludf.DUMMYFUNCTION("ifna(VALUE(REGEXEXTRACT(E73,""[0-9.]+[,]+[0-9]+"")))"),56.3)</f>
        <v>56.3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1966897.0</v>
      </c>
      <c r="C74" s="14">
        <v>46052.79887731482</v>
      </c>
      <c r="D74" s="210" t="s">
        <v>101</v>
      </c>
      <c r="E74" s="211" t="s">
        <v>14198</v>
      </c>
      <c r="F74" s="212"/>
      <c r="G74" s="210" t="s">
        <v>634</v>
      </c>
      <c r="H74" s="170"/>
      <c r="I74" s="170"/>
      <c r="J74" s="156" t="s">
        <v>12818</v>
      </c>
      <c r="K74" s="156"/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159">
        <f>IFERROR(__xludf.DUMMYFUNCTION("ifna(VALUE(REGEXEXTRACT(E74,""[0-9.]+[,]+[0-9]+"")))"),68.95)</f>
        <v>68.95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1966903.0</v>
      </c>
      <c r="C75" s="14">
        <v>46052.801087962966</v>
      </c>
      <c r="D75" s="210" t="s">
        <v>139</v>
      </c>
      <c r="E75" s="211" t="s">
        <v>210</v>
      </c>
      <c r="F75" s="212"/>
      <c r="G75" s="210" t="s">
        <v>12927</v>
      </c>
      <c r="H75" s="170"/>
      <c r="I75" s="170"/>
      <c r="J75" s="156" t="s">
        <v>13783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IFERROR(__xludf.DUMMYFUNCTION("ifna(VALUE(REGEXEXTRACT(E75,""[0-9.]+[,]+[0-9]+"")))"),40.0)</f>
        <v>40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1966920.0</v>
      </c>
      <c r="C76" s="14">
        <v>46052.808020833334</v>
      </c>
      <c r="D76" s="210" t="s">
        <v>101</v>
      </c>
      <c r="E76" s="211" t="s">
        <v>13530</v>
      </c>
      <c r="F76" s="212"/>
      <c r="G76" s="210" t="s">
        <v>14201</v>
      </c>
      <c r="H76" s="170"/>
      <c r="I76" s="170"/>
      <c r="J76" s="156" t="s">
        <v>12778</v>
      </c>
      <c r="K76" s="156" t="s">
        <v>11866</v>
      </c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IFERROR(__xludf.DUMMYFUNCTION("ifna(VALUE(REGEXEXTRACT(E76,""[0-9.]+[,]+[0-9]+"")))"),800.0)</f>
        <v>800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1967019.0</v>
      </c>
      <c r="C77" s="14">
        <v>46052.83738425926</v>
      </c>
      <c r="D77" s="210" t="s">
        <v>101</v>
      </c>
      <c r="E77" s="211" t="s">
        <v>252</v>
      </c>
      <c r="F77" s="212"/>
      <c r="G77" s="210" t="s">
        <v>13886</v>
      </c>
      <c r="H77" s="170"/>
      <c r="I77" s="170"/>
      <c r="J77" s="156" t="s">
        <v>12658</v>
      </c>
      <c r="K77" s="156" t="s">
        <v>11866</v>
      </c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IFERROR(__xludf.DUMMYFUNCTION("ifna(VALUE(REGEXEXTRACT(E77,""[0-9.]+[,]+[0-9]+"")))"),5.0)</f>
        <v>5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1967233.0</v>
      </c>
      <c r="C78" s="14">
        <v>46052.9012037037</v>
      </c>
      <c r="D78" s="210" t="s">
        <v>101</v>
      </c>
      <c r="E78" s="211" t="s">
        <v>1783</v>
      </c>
      <c r="F78" s="212"/>
      <c r="G78" s="210" t="s">
        <v>14204</v>
      </c>
      <c r="H78" s="170"/>
      <c r="I78" s="170"/>
      <c r="J78" s="156" t="s">
        <v>6914</v>
      </c>
      <c r="K78" s="156"/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IFERROR(__xludf.DUMMYFUNCTION("ifna(VALUE(REGEXEXTRACT(E78,""[0-9.]+[,]+[0-9]+"")))"),38.0)</f>
        <v>38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1967566.0</v>
      </c>
      <c r="C79" s="14">
        <v>46052.932916666665</v>
      </c>
      <c r="D79" s="210" t="s">
        <v>101</v>
      </c>
      <c r="E79" s="211" t="s">
        <v>14206</v>
      </c>
      <c r="F79" s="212"/>
      <c r="G79" s="210" t="s">
        <v>14179</v>
      </c>
      <c r="H79" s="170"/>
      <c r="I79" s="170"/>
      <c r="J79" s="156" t="s">
        <v>12778</v>
      </c>
      <c r="K79" s="156" t="s">
        <v>13763</v>
      </c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"),"Confirmada")</f>
        <v>Confirmada</v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59">
        <f>IFERROR(__xludf.DUMMYFUNCTION("ifna(VALUE(REGEXEXTRACT(E79,""[0-9.]+[,]+[0-9]+"")))"),390.0)</f>
        <v>390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1968099.0</v>
      </c>
      <c r="C80" s="14">
        <v>46053.558541666665</v>
      </c>
      <c r="D80" s="210" t="s">
        <v>139</v>
      </c>
      <c r="E80" s="211" t="s">
        <v>161</v>
      </c>
      <c r="F80" s="212"/>
      <c r="G80" s="210" t="s">
        <v>12927</v>
      </c>
      <c r="H80" s="170"/>
      <c r="I80" s="170"/>
      <c r="J80" s="156" t="s">
        <v>13783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IFERROR(__xludf.DUMMYFUNCTION("ifna(VALUE(REGEXEXTRACT(E80,""[0-9.]+[,]+[0-9]+"")))"),60.0)</f>
        <v>60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1968559.0</v>
      </c>
      <c r="C81" s="14">
        <v>46053.70041666667</v>
      </c>
      <c r="D81" s="210" t="s">
        <v>139</v>
      </c>
      <c r="E81" s="211" t="s">
        <v>161</v>
      </c>
      <c r="F81" s="212"/>
      <c r="G81" s="210" t="s">
        <v>12927</v>
      </c>
      <c r="H81" s="170"/>
      <c r="I81" s="170"/>
      <c r="J81" s="156" t="s">
        <v>13783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IFERROR(__xludf.DUMMYFUNCTION("ifna(VALUE(REGEXEXTRACT(E81,""[0-9.]+[,]+[0-9]+"")))"),60.0)</f>
        <v>60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1968792.0</v>
      </c>
      <c r="C82" s="14">
        <v>46053.75100694445</v>
      </c>
      <c r="D82" s="210" t="s">
        <v>101</v>
      </c>
      <c r="E82" s="211" t="s">
        <v>473</v>
      </c>
      <c r="F82" s="212"/>
      <c r="G82" s="210" t="s">
        <v>14212</v>
      </c>
      <c r="H82" s="170"/>
      <c r="I82" s="170"/>
      <c r="J82" s="156" t="s">
        <v>13513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IFERROR(__xludf.DUMMYFUNCTION("ifna(VALUE(REGEXEXTRACT(E82,""[0-9.]+[,]+[0-9]+"")))"),15.0)</f>
        <v>15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1968829.0</v>
      </c>
      <c r="C83" s="14">
        <v>46053.759039351855</v>
      </c>
      <c r="D83" s="210" t="s">
        <v>139</v>
      </c>
      <c r="E83" s="211" t="s">
        <v>1488</v>
      </c>
      <c r="F83" s="212"/>
      <c r="G83" s="210" t="s">
        <v>12927</v>
      </c>
      <c r="H83" s="170"/>
      <c r="I83" s="170"/>
      <c r="J83" s="156" t="s">
        <v>13783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IFERROR(__xludf.DUMMYFUNCTION("ifna(VALUE(REGEXEXTRACT(E83,""[0-9.]+[,]+[0-9]+"")))"),90.0)</f>
        <v>90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1968948.0</v>
      </c>
      <c r="C84" s="14">
        <v>46053.78350694444</v>
      </c>
      <c r="D84" s="210" t="s">
        <v>101</v>
      </c>
      <c r="E84" s="211" t="s">
        <v>14215</v>
      </c>
      <c r="F84" s="212"/>
      <c r="G84" s="210" t="s">
        <v>14066</v>
      </c>
      <c r="H84" s="170"/>
      <c r="I84" s="170"/>
      <c r="J84" s="156" t="s">
        <v>6914</v>
      </c>
      <c r="K84" s="156"/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IFERROR(__xludf.DUMMYFUNCTION("ifna(VALUE(REGEXEXTRACT(E84,""[0-9.]+[,]+[0-9]+"")))"),176.0)</f>
        <v>176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1969301.0</v>
      </c>
      <c r="C85" s="14">
        <v>46053.85826388889</v>
      </c>
      <c r="D85" s="210" t="s">
        <v>101</v>
      </c>
      <c r="E85" s="211" t="s">
        <v>14216</v>
      </c>
      <c r="F85" s="212"/>
      <c r="G85" s="210" t="s">
        <v>14217</v>
      </c>
      <c r="H85" s="170"/>
      <c r="I85" s="170"/>
      <c r="J85" s="156" t="s">
        <v>12818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159">
        <f>IFERROR(__xludf.DUMMYFUNCTION("ifna(VALUE(REGEXEXTRACT(E85,""[0-9.]+[,]+[0-9]+"")))"),35.47)</f>
        <v>35.47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1969303.0</v>
      </c>
      <c r="C86" s="14">
        <v>46053.85855324074</v>
      </c>
      <c r="D86" s="210" t="s">
        <v>101</v>
      </c>
      <c r="E86" s="211" t="s">
        <v>14219</v>
      </c>
      <c r="F86" s="212"/>
      <c r="G86" s="210" t="s">
        <v>14217</v>
      </c>
      <c r="H86" s="170"/>
      <c r="I86" s="170"/>
      <c r="J86" s="156" t="s">
        <v>12818</v>
      </c>
      <c r="K86" s="156"/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59">
        <f>IFERROR(__xludf.DUMMYFUNCTION("ifna(VALUE(REGEXEXTRACT(E86,""[0-9.]+[,]+[0-9]+"")))"),7.69)</f>
        <v>7.69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1969645.0</v>
      </c>
      <c r="C87" s="14">
        <v>46053.91354166667</v>
      </c>
      <c r="D87" s="210" t="s">
        <v>101</v>
      </c>
      <c r="E87" s="211" t="s">
        <v>13138</v>
      </c>
      <c r="F87" s="212"/>
      <c r="G87" s="210" t="s">
        <v>14220</v>
      </c>
      <c r="H87" s="170"/>
      <c r="I87" s="170"/>
      <c r="J87" s="156" t="s">
        <v>12658</v>
      </c>
      <c r="K87" s="156" t="s">
        <v>13763</v>
      </c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IFERROR(__xludf.DUMMYFUNCTION("ifna(VALUE(REGEXEXTRACT(E87,""[0-9.]+[,]+[0-9]+"")))"),0.01)</f>
        <v>0.01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1969649.0</v>
      </c>
      <c r="C88" s="14">
        <v>46053.91380787037</v>
      </c>
      <c r="D88" s="210" t="s">
        <v>101</v>
      </c>
      <c r="E88" s="211" t="s">
        <v>13138</v>
      </c>
      <c r="F88" s="212"/>
      <c r="G88" s="210" t="s">
        <v>14222</v>
      </c>
      <c r="H88" s="170"/>
      <c r="I88" s="170"/>
      <c r="J88" s="156" t="s">
        <v>12658</v>
      </c>
      <c r="K88" s="156" t="s">
        <v>12693</v>
      </c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IFERROR(__xludf.DUMMYFUNCTION("ifna(VALUE(REGEXEXTRACT(E88,""[0-9.]+[,]+[0-9]+"")))"),0.01)</f>
        <v>0.01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969656.0</v>
      </c>
      <c r="C89" s="14">
        <v>46053.914560185185</v>
      </c>
      <c r="D89" s="210" t="s">
        <v>101</v>
      </c>
      <c r="E89" s="211" t="s">
        <v>13316</v>
      </c>
      <c r="F89" s="212"/>
      <c r="G89" s="210" t="s">
        <v>14223</v>
      </c>
      <c r="H89" s="170"/>
      <c r="I89" s="170"/>
      <c r="J89" s="156" t="s">
        <v>6914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IFERROR(__xludf.DUMMYFUNCTION("ifna(VALUE(REGEXEXTRACT(E89,""[0-9.]+[,]+[0-9]+"")))"),104.0)</f>
        <v>104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1969842.0</v>
      </c>
      <c r="C90" s="14">
        <v>46053.929814814815</v>
      </c>
      <c r="D90" s="210" t="s">
        <v>101</v>
      </c>
      <c r="E90" s="211" t="s">
        <v>1252</v>
      </c>
      <c r="F90" s="212"/>
      <c r="G90" s="210" t="s">
        <v>14225</v>
      </c>
      <c r="H90" s="170"/>
      <c r="I90" s="170"/>
      <c r="J90" s="156" t="s">
        <v>12778</v>
      </c>
      <c r="K90" s="156" t="s">
        <v>13760</v>
      </c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"),"Confirmada")</f>
        <v>Confirmada</v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IFERROR(__xludf.DUMMYFUNCTION("ifna(VALUE(REGEXEXTRACT(E90,""[0-9.]+[,]+[0-9]+"")))"),1050.0)</f>
        <v>1050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1969867.0</v>
      </c>
      <c r="C91" s="14">
        <v>46053.93195601852</v>
      </c>
      <c r="D91" s="210" t="s">
        <v>139</v>
      </c>
      <c r="E91" s="211" t="s">
        <v>231</v>
      </c>
      <c r="F91" s="212"/>
      <c r="G91" s="210" t="s">
        <v>12927</v>
      </c>
      <c r="H91" s="170"/>
      <c r="I91" s="170"/>
      <c r="J91" s="156" t="s">
        <v>13783</v>
      </c>
      <c r="K91" s="156"/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IFERROR(__xludf.DUMMYFUNCTION("ifna(VALUE(REGEXEXTRACT(E91,""[0-9.]+[,]+[0-9]+"")))"),10.0)</f>
        <v>10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1971716.0</v>
      </c>
      <c r="C92" s="14">
        <v>46054.827465277776</v>
      </c>
      <c r="D92" s="210" t="s">
        <v>139</v>
      </c>
      <c r="E92" s="211" t="s">
        <v>328</v>
      </c>
      <c r="F92" s="212"/>
      <c r="G92" s="210" t="s">
        <v>788</v>
      </c>
      <c r="H92" s="170"/>
      <c r="I92" s="170"/>
      <c r="J92" s="156" t="s">
        <v>13783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IFERROR(__xludf.DUMMYFUNCTION("ifna(VALUE(REGEXEXTRACT(E92,""[0-9.]+[,]+[0-9]+"")))"),48.0)</f>
        <v>48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1972707.0</v>
      </c>
      <c r="C93" s="14">
        <v>46054.93393518519</v>
      </c>
      <c r="D93" s="210" t="s">
        <v>101</v>
      </c>
      <c r="E93" s="211" t="s">
        <v>13495</v>
      </c>
      <c r="F93" s="212"/>
      <c r="G93" s="210" t="s">
        <v>14230</v>
      </c>
      <c r="H93" s="170"/>
      <c r="I93" s="170"/>
      <c r="J93" s="156" t="s">
        <v>12778</v>
      </c>
      <c r="K93" s="156" t="s">
        <v>12666</v>
      </c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IFERROR(__xludf.DUMMYFUNCTION("ifna(VALUE(REGEXEXTRACT(E93,""[0-9.]+[,]+[0-9]+"")))"),1370.0)</f>
        <v>1370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1972712.0</v>
      </c>
      <c r="C94" s="14">
        <v>46054.93415509259</v>
      </c>
      <c r="D94" s="210" t="s">
        <v>101</v>
      </c>
      <c r="E94" s="211" t="s">
        <v>14231</v>
      </c>
      <c r="F94" s="212"/>
      <c r="G94" s="210" t="s">
        <v>14233</v>
      </c>
      <c r="H94" s="170"/>
      <c r="I94" s="170"/>
      <c r="J94" s="156" t="s">
        <v>6914</v>
      </c>
      <c r="K94" s="156"/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IFERROR(__xludf.DUMMYFUNCTION("ifna(VALUE(REGEXEXTRACT(E94,""[0-9.]+[,]+[0-9]+"")))"),411.0)</f>
        <v>411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1972716.0</v>
      </c>
      <c r="C95" s="14">
        <v>46054.934328703705</v>
      </c>
      <c r="D95" s="210" t="s">
        <v>101</v>
      </c>
      <c r="E95" s="211" t="s">
        <v>13209</v>
      </c>
      <c r="F95" s="212"/>
      <c r="G95" s="210" t="s">
        <v>13956</v>
      </c>
      <c r="H95" s="170"/>
      <c r="I95" s="170"/>
      <c r="J95" s="156" t="s">
        <v>10036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IFERROR(__xludf.DUMMYFUNCTION("ifna(VALUE(REGEXEXTRACT(E95,""[0-9.]+[,]+[0-9]+"")))"),117.0)</f>
        <v>117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1973329.0</v>
      </c>
      <c r="C96" s="14">
        <v>46055.509571759256</v>
      </c>
      <c r="D96" s="210" t="s">
        <v>101</v>
      </c>
      <c r="E96" s="211" t="s">
        <v>13138</v>
      </c>
      <c r="F96" s="212"/>
      <c r="G96" s="210" t="s">
        <v>14235</v>
      </c>
      <c r="H96" s="170"/>
      <c r="I96" s="170"/>
      <c r="J96" s="156"/>
      <c r="K96" s="156"/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IFERROR(__xludf.DUMMYFUNCTION("ifna(VALUE(REGEXEXTRACT(E96,""[0-9.]+[,]+[0-9]+"")))"),0.01)</f>
        <v>0.01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1973330.0</v>
      </c>
      <c r="C97" s="14">
        <v>46055.50981481482</v>
      </c>
      <c r="D97" s="210" t="s">
        <v>101</v>
      </c>
      <c r="E97" s="211" t="s">
        <v>252</v>
      </c>
      <c r="F97" s="212"/>
      <c r="G97" s="191" t="s">
        <v>14237</v>
      </c>
      <c r="H97" s="170"/>
      <c r="I97" s="170"/>
      <c r="J97" s="156"/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IFERROR(__xludf.DUMMYFUNCTION("ifna(VALUE(REGEXEXTRACT(E97,""[0-9.]+[,]+[0-9]+"")))"),5.0)</f>
        <v>5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1973675.0</v>
      </c>
      <c r="C98" s="14">
        <v>46055.65577546296</v>
      </c>
      <c r="D98" s="210" t="s">
        <v>101</v>
      </c>
      <c r="E98" s="211" t="s">
        <v>14238</v>
      </c>
      <c r="F98" s="212"/>
      <c r="G98" s="210" t="s">
        <v>13886</v>
      </c>
      <c r="H98" s="170"/>
      <c r="I98" s="170"/>
      <c r="J98" s="156" t="s">
        <v>12658</v>
      </c>
      <c r="K98" s="156" t="s">
        <v>11866</v>
      </c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IFERROR(__xludf.DUMMYFUNCTION("ifna(VALUE(REGEXEXTRACT(E98,""[0-9.]+[,]+[0-9]+"")))"),66.92)</f>
        <v>66.92</v>
      </c>
      <c r="O98" s="181" t="s">
        <v>13284</v>
      </c>
      <c r="W98" s="159"/>
    </row>
    <row r="99" ht="14.25" customHeight="1">
      <c r="A99" s="149"/>
      <c r="B99" s="13">
        <v>1973877.0</v>
      </c>
      <c r="C99" s="14">
        <v>46055.711331018516</v>
      </c>
      <c r="D99" s="210" t="s">
        <v>101</v>
      </c>
      <c r="E99" s="211" t="s">
        <v>252</v>
      </c>
      <c r="F99" s="212"/>
      <c r="G99" s="210" t="s">
        <v>13886</v>
      </c>
      <c r="H99" s="170"/>
      <c r="I99" s="170"/>
      <c r="J99" s="156" t="s">
        <v>12658</v>
      </c>
      <c r="K99" s="156" t="s">
        <v>11866</v>
      </c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IFERROR(__xludf.DUMMYFUNCTION("ifna(VALUE(REGEXEXTRACT(E99,""[0-9.]+[,]+[0-9]+"")))"),5.0)</f>
        <v>5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1973976.0</v>
      </c>
      <c r="C100" s="14">
        <v>46055.7349537037</v>
      </c>
      <c r="D100" s="210" t="s">
        <v>101</v>
      </c>
      <c r="E100" s="211" t="s">
        <v>328</v>
      </c>
      <c r="F100" s="212"/>
      <c r="G100" s="210" t="s">
        <v>14066</v>
      </c>
      <c r="H100" s="170"/>
      <c r="I100" s="170"/>
      <c r="J100" s="156" t="s">
        <v>6914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IFERROR(__xludf.DUMMYFUNCTION("ifna(VALUE(REGEXEXTRACT(E100,""[0-9.]+[,]+[0-9]+"")))"),48.0)</f>
        <v>48</v>
      </c>
      <c r="O100" s="222">
        <f>IFERROR(__xludf.DUMMYFUNCTION("""COMPUTED_VALUE"""),1959409.0)</f>
        <v>1959409</v>
      </c>
      <c r="P100" s="186">
        <f>IFERROR(__xludf.DUMMYFUNCTION("""COMPUTED_VALUE"""),46049.5987962963)</f>
        <v>46049.5988</v>
      </c>
      <c r="Q100" s="185" t="str">
        <f>IFERROR(__xludf.DUMMYFUNCTION("""COMPUTED_VALUE"""),"Saída")</f>
        <v>Saída</v>
      </c>
      <c r="R100" s="187" t="str">
        <f>IFERROR(__xludf.DUMMYFUNCTION("""COMPUTED_VALUE"""),"R$ 29,26")</f>
        <v>R$ 29,26</v>
      </c>
      <c r="S100" s="185" t="str">
        <f>IFERROR(__xludf.DUMMYFUNCTION("""COMPUTED_VALUE"""),"Outros")</f>
        <v>Outros</v>
      </c>
      <c r="V100" s="185" t="str">
        <f>IFERROR(__xludf.DUMMYFUNCTION("""COMPUTED_VALUE"""),"Não Encontrada")</f>
        <v>Não Encontrada</v>
      </c>
      <c r="W100" s="159"/>
    </row>
    <row r="101" ht="14.25" customHeight="1">
      <c r="A101" s="149"/>
      <c r="B101" s="13">
        <v>1974017.0</v>
      </c>
      <c r="C101" s="14">
        <v>46055.74215277778</v>
      </c>
      <c r="D101" s="210" t="s">
        <v>101</v>
      </c>
      <c r="E101" s="211" t="s">
        <v>13530</v>
      </c>
      <c r="F101" s="212"/>
      <c r="G101" s="210" t="s">
        <v>14244</v>
      </c>
      <c r="H101" s="170"/>
      <c r="I101" s="170"/>
      <c r="J101" s="156" t="s">
        <v>12778</v>
      </c>
      <c r="K101" s="156" t="s">
        <v>11866</v>
      </c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"),"Confirmada")</f>
        <v>Confirmada</v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IFERROR(__xludf.DUMMYFUNCTION("ifna(VALUE(REGEXEXTRACT(E101,""[0-9.]+[,]+[0-9]+"")))"),800.0)</f>
        <v>800</v>
      </c>
      <c r="O101" s="188">
        <f>IFERROR(__xludf.DUMMYFUNCTION("""COMPUTED_VALUE"""),1964729.0)</f>
        <v>1964729</v>
      </c>
      <c r="P101" s="189">
        <f>IFERROR(__xludf.DUMMYFUNCTION("""COMPUTED_VALUE"""),46051.73274305556)</f>
        <v>46051.73274</v>
      </c>
      <c r="Q101" s="188" t="str">
        <f>IFERROR(__xludf.DUMMYFUNCTION("""COMPUTED_VALUE"""),"Saída")</f>
        <v>Saída</v>
      </c>
      <c r="R101" s="190" t="str">
        <f>IFERROR(__xludf.DUMMYFUNCTION("""COMPUTED_VALUE"""),"R$ 13,00")</f>
        <v>R$ 13,00</v>
      </c>
      <c r="S101" s="188" t="str">
        <f>IFERROR(__xludf.DUMMYFUNCTION("""COMPUTED_VALUE"""),"exame hemograma renan")</f>
        <v>exame hemograma renan</v>
      </c>
      <c r="V101" s="188" t="str">
        <f>IFERROR(__xludf.DUMMYFUNCTION("""COMPUTED_VALUE"""),"Não Encontrada")</f>
        <v>Não Encontrada</v>
      </c>
      <c r="W101" s="159"/>
    </row>
    <row r="102" ht="14.25" customHeight="1">
      <c r="A102" s="149"/>
      <c r="B102" s="13">
        <v>1974071.0</v>
      </c>
      <c r="C102" s="14">
        <v>46055.75344907407</v>
      </c>
      <c r="D102" s="210" t="s">
        <v>101</v>
      </c>
      <c r="E102" s="211" t="s">
        <v>252</v>
      </c>
      <c r="F102" s="212"/>
      <c r="G102" s="210" t="s">
        <v>14138</v>
      </c>
      <c r="H102" s="170"/>
      <c r="I102" s="170"/>
      <c r="J102" s="156" t="s">
        <v>12658</v>
      </c>
      <c r="K102" s="156" t="s">
        <v>11866</v>
      </c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IFERROR(__xludf.DUMMYFUNCTION("ifna(VALUE(REGEXEXTRACT(E102,""[0-9.]+[,]+[0-9]+"")))"),5.0)</f>
        <v>5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1974521.0</v>
      </c>
      <c r="C103" s="14">
        <v>46055.87831018519</v>
      </c>
      <c r="D103" s="210" t="s">
        <v>101</v>
      </c>
      <c r="E103" s="211" t="s">
        <v>12941</v>
      </c>
      <c r="F103" s="212"/>
      <c r="G103" s="210" t="s">
        <v>14141</v>
      </c>
      <c r="H103" s="170"/>
      <c r="I103" s="170"/>
      <c r="J103" s="156" t="s">
        <v>6914</v>
      </c>
      <c r="K103" s="156"/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IFERROR(__xludf.DUMMYFUNCTION("ifna(VALUE(REGEXEXTRACT(E103,""[0-9.]+[,]+[0-9]+"")))"),46.0)</f>
        <v>46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1974797.0</v>
      </c>
      <c r="C104" s="14">
        <v>46055.922118055554</v>
      </c>
      <c r="D104" s="210" t="s">
        <v>101</v>
      </c>
      <c r="E104" s="211" t="s">
        <v>231</v>
      </c>
      <c r="F104" s="212"/>
      <c r="G104" s="210" t="s">
        <v>14141</v>
      </c>
      <c r="H104" s="170"/>
      <c r="I104" s="170"/>
      <c r="J104" s="156" t="s">
        <v>6914</v>
      </c>
      <c r="K104" s="156"/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IFERROR(__xludf.DUMMYFUNCTION("ifna(VALUE(REGEXEXTRACT(E104,""[0-9.]+[,]+[0-9]+"")))"),10.0)</f>
        <v>10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1974874.0</v>
      </c>
      <c r="C105" s="14">
        <v>46055.929664351854</v>
      </c>
      <c r="D105" s="210" t="s">
        <v>101</v>
      </c>
      <c r="E105" s="211" t="s">
        <v>804</v>
      </c>
      <c r="F105" s="214"/>
      <c r="G105" s="210" t="s">
        <v>14250</v>
      </c>
      <c r="H105" s="170"/>
      <c r="I105" s="170"/>
      <c r="J105" s="156" t="s">
        <v>12778</v>
      </c>
      <c r="K105" s="156" t="s">
        <v>13763</v>
      </c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"),"Confirmada")</f>
        <v>Confirmada</v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IFERROR(__xludf.DUMMYFUNCTION("ifna(VALUE(REGEXEXTRACT(E105,""[0-9.]+[,]+[0-9]+"")))"),500.0)</f>
        <v>500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1975644.0</v>
      </c>
      <c r="C106" s="14">
        <v>46056.67434027778</v>
      </c>
      <c r="D106" s="210" t="s">
        <v>101</v>
      </c>
      <c r="E106" s="211" t="s">
        <v>1697</v>
      </c>
      <c r="F106" s="212"/>
      <c r="G106" s="210" t="s">
        <v>14252</v>
      </c>
      <c r="H106" s="170"/>
      <c r="I106" s="170"/>
      <c r="J106" s="156" t="s">
        <v>6914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IFERROR(__xludf.DUMMYFUNCTION("ifna(VALUE(REGEXEXTRACT(E106,""[0-9.]+[,]+[0-9]+"")))"),63.0)</f>
        <v>63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1975871.0</v>
      </c>
      <c r="C107" s="14">
        <v>46056.73693287037</v>
      </c>
      <c r="D107" s="210" t="s">
        <v>101</v>
      </c>
      <c r="E107" s="211" t="s">
        <v>256</v>
      </c>
      <c r="F107" s="214"/>
      <c r="G107" s="210" t="s">
        <v>14254</v>
      </c>
      <c r="H107" s="170"/>
      <c r="I107" s="170"/>
      <c r="J107" s="156" t="s">
        <v>12778</v>
      </c>
      <c r="K107" s="156" t="s">
        <v>11866</v>
      </c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"),"Confirmada")</f>
        <v>Confirmada</v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IFERROR(__xludf.DUMMYFUNCTION("ifna(VALUE(REGEXEXTRACT(E107,""[0-9.]+[,]+[0-9]+"")))"),300.0)</f>
        <v>300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1975872.0</v>
      </c>
      <c r="C108" s="14">
        <v>46056.73738425926</v>
      </c>
      <c r="D108" s="210" t="s">
        <v>139</v>
      </c>
      <c r="E108" s="211" t="s">
        <v>223</v>
      </c>
      <c r="F108" s="212"/>
      <c r="G108" s="210" t="s">
        <v>14229</v>
      </c>
      <c r="H108" s="170"/>
      <c r="I108" s="170"/>
      <c r="J108" s="156" t="s">
        <v>13783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IFERROR(__xludf.DUMMYFUNCTION("ifna(VALUE(REGEXEXTRACT(E108,""[0-9.]+[,]+[0-9]+"")))"),55.0)</f>
        <v>55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1976433.0</v>
      </c>
      <c r="C109" s="14">
        <v>46056.912210648145</v>
      </c>
      <c r="D109" s="210" t="s">
        <v>101</v>
      </c>
      <c r="E109" s="211" t="s">
        <v>237</v>
      </c>
      <c r="F109" s="212"/>
      <c r="G109" s="210" t="s">
        <v>14258</v>
      </c>
      <c r="H109" s="170"/>
      <c r="I109" s="170"/>
      <c r="J109" s="156" t="s">
        <v>12778</v>
      </c>
      <c r="K109" s="156" t="s">
        <v>13763</v>
      </c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IFERROR(__xludf.DUMMYFUNCTION("ifna(VALUE(REGEXEXTRACT(E109,""[0-9.]+[,]+[0-9]+"")))"),100.0)</f>
        <v>100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1976579.0</v>
      </c>
      <c r="C110" s="14">
        <v>46056.926354166666</v>
      </c>
      <c r="D110" s="210" t="s">
        <v>101</v>
      </c>
      <c r="E110" s="211" t="s">
        <v>231</v>
      </c>
      <c r="F110" s="212"/>
      <c r="G110" s="210" t="s">
        <v>14260</v>
      </c>
      <c r="H110" s="170"/>
      <c r="I110" s="170"/>
      <c r="J110" s="156" t="s">
        <v>6914</v>
      </c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IFERROR(__xludf.DUMMYFUNCTION("ifna(VALUE(REGEXEXTRACT(E110,""[0-9.]+[,]+[0-9]+"")))"),10.0)</f>
        <v>10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1976581.0</v>
      </c>
      <c r="C111" s="14">
        <v>46056.926620370374</v>
      </c>
      <c r="D111" s="210" t="s">
        <v>101</v>
      </c>
      <c r="E111" s="211" t="s">
        <v>13138</v>
      </c>
      <c r="F111" s="212"/>
      <c r="G111" s="210" t="s">
        <v>14262</v>
      </c>
      <c r="H111" s="170"/>
      <c r="I111" s="170"/>
      <c r="J111" s="156"/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IFERROR(__xludf.DUMMYFUNCTION("ifna(VALUE(REGEXEXTRACT(E111,""[0-9.]+[,]+[0-9]+"")))"),0.01)</f>
        <v>0.01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1976988.0</v>
      </c>
      <c r="C112" s="14">
        <v>46057.521828703706</v>
      </c>
      <c r="D112" s="210" t="s">
        <v>101</v>
      </c>
      <c r="E112" s="211" t="s">
        <v>252</v>
      </c>
      <c r="F112" s="212"/>
      <c r="G112" s="210" t="s">
        <v>13886</v>
      </c>
      <c r="H112" s="170"/>
      <c r="I112" s="170"/>
      <c r="J112" s="156" t="s">
        <v>12658</v>
      </c>
      <c r="K112" s="156" t="s">
        <v>11866</v>
      </c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IFERROR(__xludf.DUMMYFUNCTION("ifna(VALUE(REGEXEXTRACT(E112,""[0-9.]+[,]+[0-9]+"")))"),5.0)</f>
        <v>5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1977573.0</v>
      </c>
      <c r="C113" s="14">
        <v>46057.72476851852</v>
      </c>
      <c r="D113" s="210" t="s">
        <v>101</v>
      </c>
      <c r="E113" s="211" t="s">
        <v>210</v>
      </c>
      <c r="F113" s="214"/>
      <c r="G113" s="210" t="s">
        <v>14066</v>
      </c>
      <c r="H113" s="170"/>
      <c r="I113" s="170"/>
      <c r="J113" s="156" t="s">
        <v>6914</v>
      </c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IFERROR(__xludf.DUMMYFUNCTION("ifna(VALUE(REGEXEXTRACT(E113,""[0-9.]+[,]+[0-9]+"")))"),40.0)</f>
        <v>40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1977598.0</v>
      </c>
      <c r="C114" s="14">
        <v>46057.73024305556</v>
      </c>
      <c r="D114" s="210" t="s">
        <v>101</v>
      </c>
      <c r="E114" s="211" t="s">
        <v>364</v>
      </c>
      <c r="F114" s="212"/>
      <c r="G114" s="210" t="s">
        <v>14266</v>
      </c>
      <c r="H114" s="170"/>
      <c r="I114" s="170"/>
      <c r="J114" s="156" t="s">
        <v>12778</v>
      </c>
      <c r="K114" s="156" t="s">
        <v>11866</v>
      </c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"),"Confirmada")</f>
        <v>Confirmada</v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IFERROR(__xludf.DUMMYFUNCTION("ifna(VALUE(REGEXEXTRACT(E114,""[0-9.]+[,]+[0-9]+"")))"),600.0)</f>
        <v>600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1977702.0</v>
      </c>
      <c r="C115" s="14">
        <v>46057.753125</v>
      </c>
      <c r="D115" s="210" t="s">
        <v>101</v>
      </c>
      <c r="E115" s="211" t="s">
        <v>14267</v>
      </c>
      <c r="F115" s="212"/>
      <c r="G115" s="210" t="s">
        <v>14138</v>
      </c>
      <c r="H115" s="170"/>
      <c r="I115" s="170"/>
      <c r="J115" s="156" t="s">
        <v>12658</v>
      </c>
      <c r="K115" s="156" t="s">
        <v>11866</v>
      </c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IFERROR(__xludf.DUMMYFUNCTION("ifna(VALUE(REGEXEXTRACT(E115,""[0-9.]+[,]+[0-9]+"")))"),15.72)</f>
        <v>15.72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1977730.0</v>
      </c>
      <c r="C116" s="14">
        <v>46057.75938657407</v>
      </c>
      <c r="D116" s="210" t="s">
        <v>139</v>
      </c>
      <c r="E116" s="211" t="s">
        <v>799</v>
      </c>
      <c r="F116" s="212"/>
      <c r="G116" s="210" t="s">
        <v>12927</v>
      </c>
      <c r="H116" s="170"/>
      <c r="I116" s="170"/>
      <c r="J116" s="156" t="s">
        <v>13783</v>
      </c>
      <c r="K116" s="156"/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IFERROR(__xludf.DUMMYFUNCTION("ifna(VALUE(REGEXEXTRACT(E116,""[0-9.]+[,]+[0-9]+"")))"),75.0)</f>
        <v>75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1978493.0</v>
      </c>
      <c r="C117" s="14">
        <v>46057.93653935185</v>
      </c>
      <c r="D117" s="210" t="s">
        <v>101</v>
      </c>
      <c r="E117" s="211" t="s">
        <v>213</v>
      </c>
      <c r="F117" s="212"/>
      <c r="G117" s="210" t="s">
        <v>14179</v>
      </c>
      <c r="H117" s="170"/>
      <c r="I117" s="170"/>
      <c r="J117" s="156" t="s">
        <v>12778</v>
      </c>
      <c r="K117" s="156" t="s">
        <v>13763</v>
      </c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"),"Confirmada")</f>
        <v>Confirmada</v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IFERROR(__xludf.DUMMYFUNCTION("ifna(VALUE(REGEXEXTRACT(E117,""[0-9.]+[,]+[0-9]+"")))"),200.0)</f>
        <v>200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1978938.0</v>
      </c>
      <c r="C118" s="14">
        <v>46058.58542824074</v>
      </c>
      <c r="D118" s="210" t="s">
        <v>101</v>
      </c>
      <c r="E118" s="211" t="s">
        <v>501</v>
      </c>
      <c r="F118" s="212"/>
      <c r="G118" s="210" t="s">
        <v>14047</v>
      </c>
      <c r="H118" s="170"/>
      <c r="I118" s="170"/>
      <c r="J118" s="156" t="s">
        <v>10036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IFERROR(__xludf.DUMMYFUNCTION("ifna(VALUE(REGEXEXTRACT(E118,""[0-9.]+[,]+[0-9]+"")))"),25.0)</f>
        <v>25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1979193.0</v>
      </c>
      <c r="C119" s="14">
        <v>46058.666400462964</v>
      </c>
      <c r="D119" s="210" t="s">
        <v>101</v>
      </c>
      <c r="E119" s="211" t="s">
        <v>201</v>
      </c>
      <c r="F119" s="212"/>
      <c r="G119" s="210" t="s">
        <v>14269</v>
      </c>
      <c r="H119" s="170"/>
      <c r="I119" s="170"/>
      <c r="J119" s="156" t="s">
        <v>12818</v>
      </c>
      <c r="K119" s="156"/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"""")"),"Encontrada")</f>
        <v>Encontrada</v>
      </c>
      <c r="N119" s="159">
        <f>IFERROR(__xludf.DUMMYFUNCTION("ifna(VALUE(REGEXEXTRACT(E119,""[0-9.]+[,]+[0-9]+"")))"),150.0)</f>
        <v>150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1979413.0</v>
      </c>
      <c r="C120" s="14">
        <v>46058.723449074074</v>
      </c>
      <c r="D120" s="210" t="s">
        <v>101</v>
      </c>
      <c r="E120" s="211" t="s">
        <v>13007</v>
      </c>
      <c r="F120" s="214"/>
      <c r="G120" s="210" t="s">
        <v>14066</v>
      </c>
      <c r="H120" s="153"/>
      <c r="I120" s="170"/>
      <c r="J120" s="156" t="s">
        <v>6914</v>
      </c>
      <c r="K120" s="156"/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IFERROR(__xludf.DUMMYFUNCTION("ifna(VALUE(REGEXEXTRACT(E120,""[0-9.]+[,]+[0-9]+"")))"),70.0)</f>
        <v>70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1979419.0</v>
      </c>
      <c r="C121" s="14">
        <v>46058.72478009259</v>
      </c>
      <c r="D121" s="210" t="s">
        <v>101</v>
      </c>
      <c r="E121" s="211" t="s">
        <v>260</v>
      </c>
      <c r="F121" s="212"/>
      <c r="G121" s="210" t="s">
        <v>14048</v>
      </c>
      <c r="H121" s="153"/>
      <c r="I121" s="170"/>
      <c r="J121" s="156" t="s">
        <v>10036</v>
      </c>
      <c r="K121" s="156"/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IFERROR(__xludf.DUMMYFUNCTION("ifna(VALUE(REGEXEXTRACT(E121,""[0-9.]+[,]+[0-9]+"")))"),13.0)</f>
        <v>13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1979455.0</v>
      </c>
      <c r="C122" s="14">
        <v>46058.728993055556</v>
      </c>
      <c r="D122" s="210" t="s">
        <v>101</v>
      </c>
      <c r="E122" s="211" t="s">
        <v>746</v>
      </c>
      <c r="F122" s="212"/>
      <c r="G122" s="210" t="s">
        <v>14272</v>
      </c>
      <c r="H122" s="153"/>
      <c r="I122" s="170"/>
      <c r="J122" s="156" t="s">
        <v>12778</v>
      </c>
      <c r="K122" s="156" t="s">
        <v>11866</v>
      </c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"),"Caixa Atendimento")</f>
        <v>Caixa Atendimento</v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IFERROR(__xludf.DUMMYFUNCTION("ifna(VALUE(REGEXEXTRACT(E122,""[0-9.]+[,]+[0-9]+"")))"),350.0)</f>
        <v>350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1980122.0</v>
      </c>
      <c r="C123" s="14">
        <v>46058.91474537037</v>
      </c>
      <c r="D123" s="210" t="s">
        <v>101</v>
      </c>
      <c r="E123" s="211" t="s">
        <v>746</v>
      </c>
      <c r="F123" s="212"/>
      <c r="G123" s="210" t="s">
        <v>14179</v>
      </c>
      <c r="H123" s="153"/>
      <c r="I123" s="170"/>
      <c r="J123" s="156" t="s">
        <v>12778</v>
      </c>
      <c r="K123" s="156" t="s">
        <v>13763</v>
      </c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IFERROR(__xludf.DUMMYFUNCTION("ifna(VALUE(REGEXEXTRACT(E123,""[0-9.]+[,]+[0-9]+"")))"),350.0)</f>
        <v>350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1980341.0</v>
      </c>
      <c r="C124" s="14">
        <v>46058.93717592592</v>
      </c>
      <c r="D124" s="210" t="s">
        <v>101</v>
      </c>
      <c r="E124" s="211" t="s">
        <v>985</v>
      </c>
      <c r="F124" s="212"/>
      <c r="G124" s="210" t="s">
        <v>14274</v>
      </c>
      <c r="H124" s="153"/>
      <c r="I124" s="170"/>
      <c r="J124" s="156" t="s">
        <v>6914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IFERROR(__xludf.DUMMYFUNCTION("ifna(VALUE(REGEXEXTRACT(E124,""[0-9.]+[,]+[0-9]+"")))"),47.0)</f>
        <v>47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1980343.0</v>
      </c>
      <c r="C125" s="14">
        <v>46058.93755787037</v>
      </c>
      <c r="D125" s="210" t="s">
        <v>101</v>
      </c>
      <c r="E125" s="211" t="s">
        <v>13409</v>
      </c>
      <c r="F125" s="212"/>
      <c r="G125" s="210" t="s">
        <v>14276</v>
      </c>
      <c r="H125" s="153"/>
      <c r="I125" s="170"/>
      <c r="J125" s="156" t="s">
        <v>10036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IFERROR(__xludf.DUMMYFUNCTION("ifna(VALUE(REGEXEXTRACT(E125,""[0-9.]+[,]+[0-9]+"")))"),79.0)</f>
        <v>79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1981350.0</v>
      </c>
      <c r="C126" s="14">
        <v>46059.681284722225</v>
      </c>
      <c r="D126" s="210" t="s">
        <v>101</v>
      </c>
      <c r="E126" s="211" t="s">
        <v>14278</v>
      </c>
      <c r="F126" s="212"/>
      <c r="G126" s="210" t="s">
        <v>14279</v>
      </c>
      <c r="H126" s="153"/>
      <c r="I126" s="170"/>
      <c r="J126" s="156" t="s">
        <v>12720</v>
      </c>
      <c r="K126" s="156"/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IFERROR(__xludf.DUMMYFUNCTION("ifna(VALUE(REGEXEXTRACT(E126,""[0-9.]+[,]+[0-9]+"")))"),46.17)</f>
        <v>46.17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1981748.0</v>
      </c>
      <c r="C127" s="14">
        <v>46059.74974537037</v>
      </c>
      <c r="D127" s="210" t="s">
        <v>139</v>
      </c>
      <c r="E127" s="211" t="s">
        <v>14280</v>
      </c>
      <c r="F127" s="212"/>
      <c r="G127" s="210" t="s">
        <v>12927</v>
      </c>
      <c r="H127" s="153"/>
      <c r="I127" s="170"/>
      <c r="J127" s="156" t="s">
        <v>13783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IFERROR(__xludf.DUMMYFUNCTION("ifna(VALUE(REGEXEXTRACT(E127,""[0-9.]+[,]+[0-9]+"")))"),87.5)</f>
        <v>87.5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1981755.0</v>
      </c>
      <c r="C128" s="14">
        <v>46059.75085648148</v>
      </c>
      <c r="D128" s="210" t="s">
        <v>101</v>
      </c>
      <c r="E128" s="211" t="s">
        <v>14282</v>
      </c>
      <c r="F128" s="212"/>
      <c r="G128" s="210" t="s">
        <v>14283</v>
      </c>
      <c r="H128" s="153"/>
      <c r="I128" s="170"/>
      <c r="J128" s="156" t="s">
        <v>12818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59">
        <f>IFERROR(__xludf.DUMMYFUNCTION("ifna(VALUE(REGEXEXTRACT(E128,""[0-9.]+[,]+[0-9]+"")))"),149.8)</f>
        <v>149.8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1981765.0</v>
      </c>
      <c r="C129" s="14">
        <v>46059.751909722225</v>
      </c>
      <c r="D129" s="210" t="s">
        <v>101</v>
      </c>
      <c r="E129" s="211" t="s">
        <v>14284</v>
      </c>
      <c r="F129" s="212"/>
      <c r="G129" s="210" t="s">
        <v>14285</v>
      </c>
      <c r="H129" s="153"/>
      <c r="I129" s="170"/>
      <c r="J129" s="156" t="s">
        <v>12818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159">
        <f>IFERROR(__xludf.DUMMYFUNCTION("ifna(VALUE(REGEXEXTRACT(E129,""[0-9.]+[,]+[0-9]+"")))"),4.95)</f>
        <v>4.95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1981769.0</v>
      </c>
      <c r="C130" s="14">
        <v>46059.7528125</v>
      </c>
      <c r="D130" s="210" t="s">
        <v>101</v>
      </c>
      <c r="E130" s="211" t="s">
        <v>14286</v>
      </c>
      <c r="F130" s="212"/>
      <c r="G130" s="210" t="s">
        <v>14287</v>
      </c>
      <c r="H130" s="170"/>
      <c r="I130" s="170"/>
      <c r="J130" s="156" t="s">
        <v>12818</v>
      </c>
      <c r="K130" s="156"/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159">
        <f>IFERROR(__xludf.DUMMYFUNCTION("ifna(VALUE(REGEXEXTRACT(E130,""[0-9.]+[,]+[0-9]+"")))"),43.7)</f>
        <v>43.7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1981812.0</v>
      </c>
      <c r="C131" s="14">
        <v>46059.76210648148</v>
      </c>
      <c r="D131" s="210" t="s">
        <v>139</v>
      </c>
      <c r="E131" s="211" t="s">
        <v>321</v>
      </c>
      <c r="F131" s="212"/>
      <c r="G131" s="210" t="s">
        <v>272</v>
      </c>
      <c r="H131" s="170"/>
      <c r="I131" s="170"/>
      <c r="J131" s="156" t="s">
        <v>13783</v>
      </c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IFERROR(__xludf.DUMMYFUNCTION("ifna(VALUE(REGEXEXTRACT(E131,""[0-9.]+[,]+[0-9]+"")))"),83.0)</f>
        <v>83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1981910.0</v>
      </c>
      <c r="C132" s="14">
        <v>46059.787152777775</v>
      </c>
      <c r="D132" s="210" t="s">
        <v>101</v>
      </c>
      <c r="E132" s="211" t="s">
        <v>14290</v>
      </c>
      <c r="F132" s="212"/>
      <c r="G132" s="210" t="s">
        <v>14066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IFERROR(__xludf.DUMMYFUNCTION("ifna(VALUE(REGEXEXTRACT(E132,""[0-9.]+[,]+[0-9]+"")))"),122.0)</f>
        <v>122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1981950.0</v>
      </c>
      <c r="C133" s="14">
        <v>46059.79525462963</v>
      </c>
      <c r="D133" s="210" t="s">
        <v>101</v>
      </c>
      <c r="E133" s="211" t="s">
        <v>1496</v>
      </c>
      <c r="F133" s="212"/>
      <c r="G133" s="210" t="s">
        <v>14292</v>
      </c>
      <c r="H133" s="170"/>
      <c r="I133" s="170"/>
      <c r="J133" s="156" t="s">
        <v>12778</v>
      </c>
      <c r="K133" s="156" t="s">
        <v>11866</v>
      </c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IFERROR(__xludf.DUMMYFUNCTION("ifna(VALUE(REGEXEXTRACT(E133,""[0-9.]+[,]+[0-9]+"")))"),950.0)</f>
        <v>950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1982102.0</v>
      </c>
      <c r="C134" s="14">
        <v>46059.83809027778</v>
      </c>
      <c r="D134" s="210" t="s">
        <v>101</v>
      </c>
      <c r="E134" s="211" t="s">
        <v>252</v>
      </c>
      <c r="F134" s="212"/>
      <c r="G134" s="210" t="s">
        <v>325</v>
      </c>
      <c r="H134" s="170"/>
      <c r="I134" s="170"/>
      <c r="J134" s="156" t="s">
        <v>12658</v>
      </c>
      <c r="K134" s="156" t="s">
        <v>11866</v>
      </c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IFERROR(__xludf.DUMMYFUNCTION("ifna(VALUE(REGEXEXTRACT(E134,""[0-9.]+[,]+[0-9]+"")))"),5.0)</f>
        <v>5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1982647.0</v>
      </c>
      <c r="C135" s="14">
        <v>46059.925162037034</v>
      </c>
      <c r="D135" s="210" t="s">
        <v>101</v>
      </c>
      <c r="E135" s="211" t="s">
        <v>14294</v>
      </c>
      <c r="F135" s="212"/>
      <c r="G135" s="210" t="s">
        <v>574</v>
      </c>
      <c r="H135" s="170"/>
      <c r="I135" s="170"/>
      <c r="J135" s="156" t="s">
        <v>12658</v>
      </c>
      <c r="K135" s="156" t="s">
        <v>13763</v>
      </c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IFERROR(__xludf.DUMMYFUNCTION("ifna(VALUE(REGEXEXTRACT(E135,""[0-9.]+[,]+[0-9]+"")))"),56.21)</f>
        <v>56.21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1982776.0</v>
      </c>
      <c r="C136" s="14">
        <v>46059.93809027778</v>
      </c>
      <c r="D136" s="210" t="s">
        <v>101</v>
      </c>
      <c r="E136" s="211" t="s">
        <v>191</v>
      </c>
      <c r="F136" s="212"/>
      <c r="G136" s="210" t="s">
        <v>14154</v>
      </c>
      <c r="H136" s="170"/>
      <c r="I136" s="170"/>
      <c r="J136" s="156" t="s">
        <v>6914</v>
      </c>
      <c r="K136" s="156"/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IFERROR(__xludf.DUMMYFUNCTION("ifna(VALUE(REGEXEXTRACT(E136,""[0-9.]+[,]+[0-9]+"")))"),39.0)</f>
        <v>39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1982784.0</v>
      </c>
      <c r="C137" s="14">
        <v>46059.93880787037</v>
      </c>
      <c r="D137" s="210" t="s">
        <v>101</v>
      </c>
      <c r="E137" s="211" t="s">
        <v>1097</v>
      </c>
      <c r="F137" s="212"/>
      <c r="G137" s="210" t="s">
        <v>239</v>
      </c>
      <c r="H137" s="170"/>
      <c r="I137" s="170"/>
      <c r="J137" s="156" t="s">
        <v>12778</v>
      </c>
      <c r="K137" s="156" t="s">
        <v>13763</v>
      </c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"),"Confirmada")</f>
        <v>Confirmada</v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IFERROR(__xludf.DUMMYFUNCTION("ifna(VALUE(REGEXEXTRACT(E137,""[0-9.]+[,]+[0-9]+"")))"),450.0)</f>
        <v>450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1983381.0</v>
      </c>
      <c r="C138" s="14">
        <v>46060.58354166667</v>
      </c>
      <c r="D138" s="210" t="s">
        <v>101</v>
      </c>
      <c r="E138" s="211" t="s">
        <v>260</v>
      </c>
      <c r="F138" s="212"/>
      <c r="G138" s="210" t="s">
        <v>14295</v>
      </c>
      <c r="H138" s="170"/>
      <c r="I138" s="170"/>
      <c r="J138" s="156" t="s">
        <v>10036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IFERROR(__xludf.DUMMYFUNCTION("ifna(VALUE(REGEXEXTRACT(E138,""[0-9.]+[,]+[0-9]+"")))"),13.0)</f>
        <v>13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1984684.0</v>
      </c>
      <c r="C139" s="14">
        <v>46060.89929398148</v>
      </c>
      <c r="D139" s="210" t="s">
        <v>101</v>
      </c>
      <c r="E139" s="211" t="s">
        <v>14298</v>
      </c>
      <c r="F139" s="212"/>
      <c r="G139" s="210" t="s">
        <v>14291</v>
      </c>
      <c r="H139" s="170"/>
      <c r="I139" s="170"/>
      <c r="J139" s="156" t="s">
        <v>10036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IFERROR(__xludf.DUMMYFUNCTION("ifna(VALUE(REGEXEXTRACT(E139,""[0-9.]+[,]+[0-9]+"")))"),75.55)</f>
        <v>75.55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1984685.0</v>
      </c>
      <c r="C140" s="14">
        <v>46060.89947916667</v>
      </c>
      <c r="D140" s="210" t="s">
        <v>101</v>
      </c>
      <c r="E140" s="211" t="s">
        <v>14302</v>
      </c>
      <c r="F140" s="212"/>
      <c r="G140" s="210" t="s">
        <v>14303</v>
      </c>
      <c r="H140" s="170"/>
      <c r="I140" s="170"/>
      <c r="J140" s="156" t="s">
        <v>10036</v>
      </c>
      <c r="K140" s="156"/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IFERROR(__xludf.DUMMYFUNCTION("ifna(VALUE(REGEXEXTRACT(E140,""[0-9.]+[,]+[0-9]+"")))"),127.0)</f>
        <v>127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1984690.0</v>
      </c>
      <c r="C141" s="14">
        <v>46060.89988425926</v>
      </c>
      <c r="D141" s="210" t="s">
        <v>101</v>
      </c>
      <c r="E141" s="211" t="s">
        <v>13209</v>
      </c>
      <c r="F141" s="212"/>
      <c r="G141" s="210" t="s">
        <v>124</v>
      </c>
      <c r="H141" s="170"/>
      <c r="I141" s="170"/>
      <c r="J141" s="156" t="s">
        <v>10036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59">
        <f>IFERROR(__xludf.DUMMYFUNCTION("ifna(VALUE(REGEXEXTRACT(E141,""[0-9.]+[,]+[0-9]+"")))"),117.0)</f>
        <v>117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1984896.0</v>
      </c>
      <c r="C142" s="14">
        <v>46060.91984953704</v>
      </c>
      <c r="D142" s="210" t="s">
        <v>101</v>
      </c>
      <c r="E142" s="211" t="s">
        <v>213</v>
      </c>
      <c r="F142" s="212"/>
      <c r="G142" s="210" t="s">
        <v>14304</v>
      </c>
      <c r="H142" s="170"/>
      <c r="I142" s="170"/>
      <c r="J142" s="156" t="s">
        <v>12778</v>
      </c>
      <c r="K142" s="156" t="s">
        <v>11866</v>
      </c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IFERROR(__xludf.DUMMYFUNCTION("ifna(VALUE(REGEXEXTRACT(E142,""[0-9.]+[,]+[0-9]+"")))"),200.0)</f>
        <v>200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1984911.0</v>
      </c>
      <c r="C143" s="14">
        <v>46060.92076388889</v>
      </c>
      <c r="D143" s="210" t="s">
        <v>101</v>
      </c>
      <c r="E143" s="211" t="s">
        <v>377</v>
      </c>
      <c r="F143" s="212"/>
      <c r="G143" s="210" t="s">
        <v>14289</v>
      </c>
      <c r="H143" s="170"/>
      <c r="I143" s="170"/>
      <c r="J143" s="156" t="s">
        <v>6914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IFERROR(__xludf.DUMMYFUNCTION("ifna(VALUE(REGEXEXTRACT(E143,""[0-9.]+[,]+[0-9]+"")))"),33.0)</f>
        <v>33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1984915.0</v>
      </c>
      <c r="C144" s="14">
        <v>46060.92114583333</v>
      </c>
      <c r="D144" s="210" t="s">
        <v>101</v>
      </c>
      <c r="E144" s="211" t="s">
        <v>2481</v>
      </c>
      <c r="F144" s="212"/>
      <c r="G144" s="210" t="s">
        <v>133</v>
      </c>
      <c r="H144" s="170"/>
      <c r="I144" s="170"/>
      <c r="J144" s="156" t="s">
        <v>6914</v>
      </c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IFERROR(__xludf.DUMMYFUNCTION("ifna(VALUE(REGEXEXTRACT(E144,""[0-9.]+[,]+[0-9]+"")))"),163.0)</f>
        <v>163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1985915.0</v>
      </c>
      <c r="C145" s="14">
        <v>46061.635104166664</v>
      </c>
      <c r="D145" s="210" t="s">
        <v>101</v>
      </c>
      <c r="E145" s="211" t="s">
        <v>14306</v>
      </c>
      <c r="F145" s="212"/>
      <c r="G145" s="210" t="s">
        <v>14133</v>
      </c>
      <c r="H145" s="170"/>
      <c r="I145" s="170"/>
      <c r="J145" s="156" t="s">
        <v>12818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"""")"),"Encontrada")</f>
        <v>Encontrada</v>
      </c>
      <c r="N145" s="159">
        <f>IFERROR(__xludf.DUMMYFUNCTION("ifna(VALUE(REGEXEXTRACT(E145,""[0-9.]+[,]+[0-9]+"")))"),8.88)</f>
        <v>8.88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1987241.0</v>
      </c>
      <c r="C146" s="14">
        <v>46061.87464120371</v>
      </c>
      <c r="D146" s="210" t="s">
        <v>101</v>
      </c>
      <c r="E146" s="211" t="s">
        <v>14307</v>
      </c>
      <c r="F146" s="212"/>
      <c r="G146" s="210" t="s">
        <v>13439</v>
      </c>
      <c r="H146" s="170"/>
      <c r="I146" s="170"/>
      <c r="J146" s="156" t="s">
        <v>12658</v>
      </c>
      <c r="K146" s="156" t="s">
        <v>12693</v>
      </c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IFERROR(__xludf.DUMMYFUNCTION("ifna(VALUE(REGEXEXTRACT(E146,""[0-9.]+[,]+[0-9]+"")))"),16.96)</f>
        <v>16.96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1987548.0</v>
      </c>
      <c r="C147" s="14">
        <v>46061.91149305556</v>
      </c>
      <c r="D147" s="210" t="s">
        <v>101</v>
      </c>
      <c r="E147" s="211" t="s">
        <v>13354</v>
      </c>
      <c r="F147" s="212"/>
      <c r="G147" s="210" t="s">
        <v>14309</v>
      </c>
      <c r="H147" s="170"/>
      <c r="I147" s="170"/>
      <c r="J147" s="156" t="s">
        <v>6914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IFERROR(__xludf.DUMMYFUNCTION("ifna(VALUE(REGEXEXTRACT(E147,""[0-9.]+[,]+[0-9]+"")))"),335.0)</f>
        <v>335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1987693.0</v>
      </c>
      <c r="C148" s="14">
        <v>46061.920590277776</v>
      </c>
      <c r="D148" s="210" t="s">
        <v>101</v>
      </c>
      <c r="E148" s="211" t="s">
        <v>13209</v>
      </c>
      <c r="F148" s="212"/>
      <c r="G148" s="210" t="s">
        <v>14310</v>
      </c>
      <c r="H148" s="170"/>
      <c r="I148" s="170"/>
      <c r="J148" s="156" t="s">
        <v>10036</v>
      </c>
      <c r="K148" s="156"/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IFERROR(__xludf.DUMMYFUNCTION("ifna(VALUE(REGEXEXTRACT(E148,""[0-9.]+[,]+[0-9]+"")))"),117.0)</f>
        <v>117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1987702.0</v>
      </c>
      <c r="C149" s="14">
        <v>46061.92099537037</v>
      </c>
      <c r="D149" s="210" t="s">
        <v>101</v>
      </c>
      <c r="E149" s="211" t="s">
        <v>252</v>
      </c>
      <c r="F149" s="212"/>
      <c r="G149" s="210" t="s">
        <v>14312</v>
      </c>
      <c r="H149" s="170"/>
      <c r="I149" s="170"/>
      <c r="J149" s="156" t="s">
        <v>10036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IFERROR(__xludf.DUMMYFUNCTION("ifna(VALUE(REGEXEXTRACT(E149,""[0-9.]+[,]+[0-9]+"")))"),5.0)</f>
        <v>5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1987766.0</v>
      </c>
      <c r="C150" s="14">
        <v>46061.92534722222</v>
      </c>
      <c r="D150" s="210" t="s">
        <v>139</v>
      </c>
      <c r="E150" s="211" t="s">
        <v>2014</v>
      </c>
      <c r="F150" s="212"/>
      <c r="G150" s="210" t="s">
        <v>12927</v>
      </c>
      <c r="H150" s="170"/>
      <c r="I150" s="170"/>
      <c r="J150" s="156" t="s">
        <v>13783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IFERROR(__xludf.DUMMYFUNCTION("ifna(VALUE(REGEXEXTRACT(E150,""[0-9.]+[,]+[0-9]+"")))"),80.0)</f>
        <v>80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1987813.0</v>
      </c>
      <c r="C151" s="14">
        <v>46061.927766203706</v>
      </c>
      <c r="D151" s="210" t="s">
        <v>101</v>
      </c>
      <c r="E151" s="211" t="s">
        <v>2285</v>
      </c>
      <c r="F151" s="212"/>
      <c r="G151" s="210" t="s">
        <v>14314</v>
      </c>
      <c r="H151" s="170"/>
      <c r="I151" s="170"/>
      <c r="J151" s="156" t="s">
        <v>12778</v>
      </c>
      <c r="K151" s="156" t="s">
        <v>13760</v>
      </c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"),"Confirmada")</f>
        <v>Confirmada</v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IFERROR(__xludf.DUMMYFUNCTION("ifna(VALUE(REGEXEXTRACT(E151,""[0-9.]+[,]+[0-9]+"")))"),1900.0)</f>
        <v>1900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1988838.0</v>
      </c>
      <c r="C152" s="14">
        <v>46062.64996527778</v>
      </c>
      <c r="D152" s="210" t="s">
        <v>139</v>
      </c>
      <c r="E152" s="211" t="s">
        <v>746</v>
      </c>
      <c r="F152" s="212"/>
      <c r="G152" s="210" t="s">
        <v>14315</v>
      </c>
      <c r="H152" s="170"/>
      <c r="I152" s="170"/>
      <c r="J152" s="156" t="s">
        <v>13783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IFERROR(__xludf.DUMMYFUNCTION("ifna(VALUE(REGEXEXTRACT(E152,""[0-9.]+[,]+[0-9]+"")))"),350.0)</f>
        <v>350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1988989.0</v>
      </c>
      <c r="C153" s="14">
        <v>46062.69783564815</v>
      </c>
      <c r="D153" s="210" t="s">
        <v>101</v>
      </c>
      <c r="E153" s="211" t="s">
        <v>14316</v>
      </c>
      <c r="F153" s="212"/>
      <c r="G153" s="210" t="s">
        <v>14317</v>
      </c>
      <c r="H153" s="170"/>
      <c r="I153" s="170"/>
      <c r="J153" s="156" t="s">
        <v>12818</v>
      </c>
      <c r="K153" s="156"/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"""")"),"Encontrada")</f>
        <v>Encontrada</v>
      </c>
      <c r="N153" s="159">
        <f>IFERROR(__xludf.DUMMYFUNCTION("ifna(VALUE(REGEXEXTRACT(E153,""[0-9.]+[,]+[0-9]+"")))"),205.28)</f>
        <v>205.28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1989119.0</v>
      </c>
      <c r="C154" s="14">
        <v>46062.730671296296</v>
      </c>
      <c r="D154" s="210" t="s">
        <v>101</v>
      </c>
      <c r="E154" s="211" t="s">
        <v>231</v>
      </c>
      <c r="F154" s="212"/>
      <c r="G154" s="210" t="s">
        <v>14319</v>
      </c>
      <c r="H154" s="170"/>
      <c r="I154" s="170"/>
      <c r="J154" s="156" t="s">
        <v>13513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IFERROR(__xludf.DUMMYFUNCTION("ifna(VALUE(REGEXEXTRACT(E154,""[0-9.]+[,]+[0-9]+"")))"),10.0)</f>
        <v>10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1989138.0</v>
      </c>
      <c r="C155" s="14">
        <v>46062.73396990741</v>
      </c>
      <c r="D155" s="210" t="s">
        <v>101</v>
      </c>
      <c r="E155" s="211" t="s">
        <v>1808</v>
      </c>
      <c r="F155" s="212"/>
      <c r="G155" s="210" t="s">
        <v>629</v>
      </c>
      <c r="H155" s="170"/>
      <c r="I155" s="170"/>
      <c r="J155" s="156" t="s">
        <v>6914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IFERROR(__xludf.DUMMYFUNCTION("ifna(VALUE(REGEXEXTRACT(E155,""[0-9.]+[,]+[0-9]+"")))"),72.0)</f>
        <v>72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1989170.0</v>
      </c>
      <c r="C156" s="14">
        <v>46062.74199074074</v>
      </c>
      <c r="D156" s="210" t="s">
        <v>101</v>
      </c>
      <c r="E156" s="211" t="s">
        <v>1496</v>
      </c>
      <c r="F156" s="212"/>
      <c r="G156" s="210" t="s">
        <v>14322</v>
      </c>
      <c r="H156" s="170"/>
      <c r="I156" s="170"/>
      <c r="J156" s="156" t="s">
        <v>12778</v>
      </c>
      <c r="K156" s="156" t="s">
        <v>11866</v>
      </c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IFERROR(__xludf.DUMMYFUNCTION("ifna(VALUE(REGEXEXTRACT(E156,""[0-9.]+[,]+[0-9]+"")))"),950.0)</f>
        <v>950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1989277.0</v>
      </c>
      <c r="C157" s="14">
        <v>46062.764386574076</v>
      </c>
      <c r="D157" s="210" t="s">
        <v>101</v>
      </c>
      <c r="E157" s="211" t="s">
        <v>1633</v>
      </c>
      <c r="F157" s="212"/>
      <c r="G157" s="210" t="s">
        <v>334</v>
      </c>
      <c r="H157" s="170"/>
      <c r="I157" s="170"/>
      <c r="J157" s="156" t="s">
        <v>12658</v>
      </c>
      <c r="K157" s="156" t="s">
        <v>13760</v>
      </c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IFERROR(__xludf.DUMMYFUNCTION("ifna(VALUE(REGEXEXTRACT(E157,""[0-9.]+[,]+[0-9]+"")))"),8.0)</f>
        <v>8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1989781.0</v>
      </c>
      <c r="C158" s="14">
        <v>46062.90511574074</v>
      </c>
      <c r="D158" s="210" t="s">
        <v>101</v>
      </c>
      <c r="E158" s="211" t="s">
        <v>1783</v>
      </c>
      <c r="F158" s="212"/>
      <c r="G158" s="210" t="s">
        <v>14323</v>
      </c>
      <c r="H158" s="170"/>
      <c r="I158" s="170"/>
      <c r="J158" s="156" t="s">
        <v>12658</v>
      </c>
      <c r="K158" s="156" t="s">
        <v>13763</v>
      </c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IFERROR(__xludf.DUMMYFUNCTION("ifna(VALUE(REGEXEXTRACT(E158,""[0-9.]+[,]+[0-9]+"")))"),38.0)</f>
        <v>38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1989802.0</v>
      </c>
      <c r="C159" s="14">
        <v>46062.90769675926</v>
      </c>
      <c r="D159" s="210" t="s">
        <v>101</v>
      </c>
      <c r="E159" s="211" t="s">
        <v>179</v>
      </c>
      <c r="F159" s="212"/>
      <c r="G159" s="210" t="s">
        <v>14154</v>
      </c>
      <c r="H159" s="170"/>
      <c r="I159" s="170"/>
      <c r="J159" s="156" t="s">
        <v>6914</v>
      </c>
      <c r="K159" s="156"/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IFERROR(__xludf.DUMMYFUNCTION("ifna(VALUE(REGEXEXTRACT(E159,""[0-9.]+[,]+[0-9]+"")))"),20.0)</f>
        <v>20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1990050.0</v>
      </c>
      <c r="C160" s="14">
        <v>46062.938055555554</v>
      </c>
      <c r="D160" s="210" t="s">
        <v>101</v>
      </c>
      <c r="E160" s="211" t="s">
        <v>746</v>
      </c>
      <c r="F160" s="212"/>
      <c r="G160" s="210" t="s">
        <v>239</v>
      </c>
      <c r="H160" s="170"/>
      <c r="I160" s="170"/>
      <c r="J160" s="156" t="s">
        <v>12778</v>
      </c>
      <c r="K160" s="156" t="s">
        <v>13763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"),"Confirmada")</f>
        <v>Confirmada</v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IFERROR(__xludf.DUMMYFUNCTION("ifna(VALUE(REGEXEXTRACT(E160,""[0-9.]+[,]+[0-9]+"")))"),350.0)</f>
        <v>350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1990850.0</v>
      </c>
      <c r="C161" s="14">
        <v>46063.69850694444</v>
      </c>
      <c r="D161" s="210" t="s">
        <v>101</v>
      </c>
      <c r="E161" s="211" t="s">
        <v>1633</v>
      </c>
      <c r="F161" s="212"/>
      <c r="G161" s="210" t="s">
        <v>14327</v>
      </c>
      <c r="H161" s="170"/>
      <c r="I161" s="170"/>
      <c r="J161" s="156" t="s">
        <v>12818</v>
      </c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159">
        <f>IFERROR(__xludf.DUMMYFUNCTION("ifna(VALUE(REGEXEXTRACT(E161,""[0-9.]+[,]+[0-9]+"")))"),8.0)</f>
        <v>8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1990914.0</v>
      </c>
      <c r="C162" s="14">
        <v>46063.712326388886</v>
      </c>
      <c r="D162" s="210" t="s">
        <v>101</v>
      </c>
      <c r="E162" s="211" t="s">
        <v>14328</v>
      </c>
      <c r="F162" s="212"/>
      <c r="G162" s="210" t="s">
        <v>14066</v>
      </c>
      <c r="H162" s="170"/>
      <c r="I162" s="170"/>
      <c r="J162" s="156" t="s">
        <v>6914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IFERROR(__xludf.DUMMYFUNCTION("ifna(VALUE(REGEXEXTRACT(E162,""[0-9.]+[,]+[0-9]+"")))"),99.0)</f>
        <v>99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1991013.0</v>
      </c>
      <c r="C163" s="14">
        <v>46063.733611111114</v>
      </c>
      <c r="D163" s="210" t="s">
        <v>139</v>
      </c>
      <c r="E163" s="211" t="s">
        <v>141</v>
      </c>
      <c r="F163" s="212"/>
      <c r="G163" s="210" t="s">
        <v>272</v>
      </c>
      <c r="H163" s="170"/>
      <c r="I163" s="170"/>
      <c r="J163" s="156" t="s">
        <v>13783</v>
      </c>
      <c r="K163" s="156"/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IFERROR(__xludf.DUMMYFUNCTION("ifna(VALUE(REGEXEXTRACT(E163,""[0-9.]+[,]+[0-9]+"")))"),50.0)</f>
        <v>50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1991020.0</v>
      </c>
      <c r="C164" s="14">
        <v>46063.73474537037</v>
      </c>
      <c r="D164" s="210" t="s">
        <v>101</v>
      </c>
      <c r="E164" s="211" t="s">
        <v>12773</v>
      </c>
      <c r="F164" s="212"/>
      <c r="G164" s="210" t="s">
        <v>14330</v>
      </c>
      <c r="H164" s="170"/>
      <c r="I164" s="170"/>
      <c r="J164" s="156" t="s">
        <v>12778</v>
      </c>
      <c r="K164" s="156" t="s">
        <v>11866</v>
      </c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"),"Confirmada")</f>
        <v>Confirmada</v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IFERROR(__xludf.DUMMYFUNCTION("ifna(VALUE(REGEXEXTRACT(E164,""[0-9.]+[,]+[0-9]+"")))"),700.0)</f>
        <v>700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1991118.0</v>
      </c>
      <c r="C165" s="14">
        <v>46063.75425925926</v>
      </c>
      <c r="D165" s="210" t="s">
        <v>101</v>
      </c>
      <c r="E165" s="211" t="s">
        <v>252</v>
      </c>
      <c r="F165" s="212"/>
      <c r="G165" s="210" t="s">
        <v>325</v>
      </c>
      <c r="H165" s="170"/>
      <c r="I165" s="170"/>
      <c r="J165" s="156" t="s">
        <v>12658</v>
      </c>
      <c r="K165" s="156" t="s">
        <v>11866</v>
      </c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IFERROR(__xludf.DUMMYFUNCTION("ifna(VALUE(REGEXEXTRACT(E165,""[0-9.]+[,]+[0-9]+"")))"),5.0)</f>
        <v>5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1991369.0</v>
      </c>
      <c r="C166" s="14">
        <v>46063.84645833333</v>
      </c>
      <c r="D166" s="210" t="s">
        <v>101</v>
      </c>
      <c r="E166" s="211" t="s">
        <v>260</v>
      </c>
      <c r="F166" s="212"/>
      <c r="G166" s="210" t="s">
        <v>574</v>
      </c>
      <c r="H166" s="170"/>
      <c r="I166" s="170"/>
      <c r="J166" s="156" t="s">
        <v>12658</v>
      </c>
      <c r="K166" s="156" t="s">
        <v>13763</v>
      </c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IFERROR(__xludf.DUMMYFUNCTION("ifna(VALUE(REGEXEXTRACT(E166,""[0-9.]+[,]+[0-9]+"")))"),13.0)</f>
        <v>13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1991616.0</v>
      </c>
      <c r="C167" s="14">
        <v>46063.91103009259</v>
      </c>
      <c r="D167" s="210" t="s">
        <v>101</v>
      </c>
      <c r="E167" s="211" t="s">
        <v>13777</v>
      </c>
      <c r="F167" s="212"/>
      <c r="G167" s="210" t="s">
        <v>512</v>
      </c>
      <c r="H167" s="170"/>
      <c r="I167" s="170"/>
      <c r="J167" s="156" t="s">
        <v>6914</v>
      </c>
      <c r="K167" s="156"/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IFERROR(__xludf.DUMMYFUNCTION("ifna(VALUE(REGEXEXTRACT(E167,""[0-9.]+[,]+[0-9]+"")))"),61.0)</f>
        <v>61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1991682.0</v>
      </c>
      <c r="C168" s="14">
        <v>46063.91773148148</v>
      </c>
      <c r="D168" s="210" t="s">
        <v>101</v>
      </c>
      <c r="E168" s="211" t="s">
        <v>291</v>
      </c>
      <c r="F168" s="214"/>
      <c r="G168" s="210" t="s">
        <v>14333</v>
      </c>
      <c r="H168" s="170"/>
      <c r="I168" s="170"/>
      <c r="J168" s="156" t="s">
        <v>12778</v>
      </c>
      <c r="K168" s="156" t="s">
        <v>13763</v>
      </c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"),"Confirmada")</f>
        <v>Confirmada</v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IFERROR(__xludf.DUMMYFUNCTION("ifna(VALUE(REGEXEXTRACT(E168,""[0-9.]+[,]+[0-9]+"")))"),250.0)</f>
        <v>250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1992919.0</v>
      </c>
      <c r="C169" s="14">
        <v>46064.736805555556</v>
      </c>
      <c r="D169" s="210" t="s">
        <v>101</v>
      </c>
      <c r="E169" s="211" t="s">
        <v>2481</v>
      </c>
      <c r="F169" s="214"/>
      <c r="G169" s="210" t="s">
        <v>14066</v>
      </c>
      <c r="H169" s="170"/>
      <c r="I169" s="170"/>
      <c r="J169" s="156" t="s">
        <v>6914</v>
      </c>
      <c r="K169" s="156"/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IFERROR(__xludf.DUMMYFUNCTION("ifna(VALUE(REGEXEXTRACT(E169,""[0-9.]+[,]+[0-9]+"")))"),163.0)</f>
        <v>163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1992944.0</v>
      </c>
      <c r="C170" s="14">
        <v>46064.7419212963</v>
      </c>
      <c r="D170" s="210" t="s">
        <v>101</v>
      </c>
      <c r="E170" s="211" t="s">
        <v>2075</v>
      </c>
      <c r="F170" s="212"/>
      <c r="G170" s="210" t="s">
        <v>14330</v>
      </c>
      <c r="H170" s="170"/>
      <c r="I170" s="170"/>
      <c r="J170" s="156" t="s">
        <v>12778</v>
      </c>
      <c r="K170" s="156" t="s">
        <v>11866</v>
      </c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"),"Confirmada")</f>
        <v>Confirmada</v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IFERROR(__xludf.DUMMYFUNCTION("ifna(VALUE(REGEXEXTRACT(E170,""[0-9.]+[,]+[0-9]+"")))"),900.0)</f>
        <v>900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1993272.0</v>
      </c>
      <c r="C171" s="14">
        <v>46064.841458333336</v>
      </c>
      <c r="D171" s="210" t="s">
        <v>101</v>
      </c>
      <c r="E171" s="211" t="s">
        <v>274</v>
      </c>
      <c r="F171" s="212"/>
      <c r="G171" s="210" t="s">
        <v>325</v>
      </c>
      <c r="H171" s="170"/>
      <c r="I171" s="170"/>
      <c r="J171" s="156" t="s">
        <v>12658</v>
      </c>
      <c r="K171" s="156" t="s">
        <v>11866</v>
      </c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IFERROR(__xludf.DUMMYFUNCTION("ifna(VALUE(REGEXEXTRACT(E171,""[0-9.]+[,]+[0-9]+"")))"),6.0)</f>
        <v>6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1993362.0</v>
      </c>
      <c r="C172" s="14">
        <v>46064.8774537037</v>
      </c>
      <c r="D172" s="210" t="s">
        <v>139</v>
      </c>
      <c r="E172" s="211" t="s">
        <v>179</v>
      </c>
      <c r="F172" s="212"/>
      <c r="G172" s="210" t="s">
        <v>142</v>
      </c>
      <c r="H172" s="170"/>
      <c r="I172" s="170"/>
      <c r="J172" s="156" t="s">
        <v>13783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IFERROR(__xludf.DUMMYFUNCTION("ifna(VALUE(REGEXEXTRACT(E172,""[0-9.]+[,]+[0-9]+"")))"),20.0)</f>
        <v>20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1993778.0</v>
      </c>
      <c r="C173" s="14">
        <v>46064.93597222222</v>
      </c>
      <c r="D173" s="210" t="s">
        <v>101</v>
      </c>
      <c r="E173" s="211" t="s">
        <v>1097</v>
      </c>
      <c r="F173" s="212"/>
      <c r="G173" s="210" t="s">
        <v>239</v>
      </c>
      <c r="H173" s="170"/>
      <c r="I173" s="170"/>
      <c r="J173" s="156" t="s">
        <v>12778</v>
      </c>
      <c r="K173" s="156" t="s">
        <v>13763</v>
      </c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"),"Confirmada")</f>
        <v>Confirmada</v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IFERROR(__xludf.DUMMYFUNCTION("ifna(VALUE(REGEXEXTRACT(E173,""[0-9.]+[,]+[0-9]+"")))"),450.0)</f>
        <v>450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1993790.0</v>
      </c>
      <c r="C174" s="14">
        <v>46064.937210648146</v>
      </c>
      <c r="D174" s="210" t="s">
        <v>101</v>
      </c>
      <c r="E174" s="211" t="s">
        <v>1389</v>
      </c>
      <c r="F174" s="212"/>
      <c r="G174" s="210" t="s">
        <v>14154</v>
      </c>
      <c r="H174" s="170"/>
      <c r="I174" s="170"/>
      <c r="J174" s="156" t="s">
        <v>6914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IFERROR(__xludf.DUMMYFUNCTION("ifna(VALUE(REGEXEXTRACT(E174,""[0-9.]+[,]+[0-9]+"")))"),34.0)</f>
        <v>34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1993792.0</v>
      </c>
      <c r="C175" s="14">
        <v>46064.93744212963</v>
      </c>
      <c r="D175" s="210" t="s">
        <v>101</v>
      </c>
      <c r="E175" s="211" t="s">
        <v>428</v>
      </c>
      <c r="F175" s="212"/>
      <c r="G175" s="210" t="s">
        <v>14337</v>
      </c>
      <c r="H175" s="170"/>
      <c r="I175" s="170"/>
      <c r="J175" s="156" t="s">
        <v>6914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IFERROR(__xludf.DUMMYFUNCTION("ifna(VALUE(REGEXEXTRACT(E175,""[0-9.]+[,]+[0-9]+"")))"),35.0)</f>
        <v>35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1994335.0</v>
      </c>
      <c r="C176" s="14">
        <v>46065.59523148148</v>
      </c>
      <c r="D176" s="210" t="s">
        <v>139</v>
      </c>
      <c r="E176" s="211" t="s">
        <v>161</v>
      </c>
      <c r="F176" s="212"/>
      <c r="G176" s="210" t="s">
        <v>12927</v>
      </c>
      <c r="H176" s="170"/>
      <c r="I176" s="170"/>
      <c r="J176" s="156" t="s">
        <v>13783</v>
      </c>
      <c r="K176" s="156"/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IFERROR(__xludf.DUMMYFUNCTION("ifna(VALUE(REGEXEXTRACT(E176,""[0-9.]+[,]+[0-9]+"")))"),60.0)</f>
        <v>60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1994853.0</v>
      </c>
      <c r="C177" s="14">
        <v>46065.74005787037</v>
      </c>
      <c r="D177" s="210" t="s">
        <v>101</v>
      </c>
      <c r="E177" s="211" t="s">
        <v>1252</v>
      </c>
      <c r="F177" s="212"/>
      <c r="G177" s="210" t="s">
        <v>14338</v>
      </c>
      <c r="H177" s="170"/>
      <c r="I177" s="170"/>
      <c r="J177" s="156" t="s">
        <v>12778</v>
      </c>
      <c r="K177" s="156" t="s">
        <v>11866</v>
      </c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"),"Confirmada")</f>
        <v>Confirmada</v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IFERROR(__xludf.DUMMYFUNCTION("ifna(VALUE(REGEXEXTRACT(E177,""[0-9.]+[,]+[0-9]+"")))"),1050.0)</f>
        <v>1050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1994856.0</v>
      </c>
      <c r="C178" s="14">
        <v>46065.74045138889</v>
      </c>
      <c r="D178" s="210" t="s">
        <v>101</v>
      </c>
      <c r="E178" s="211" t="s">
        <v>14249</v>
      </c>
      <c r="F178" s="212"/>
      <c r="G178" s="210" t="s">
        <v>14066</v>
      </c>
      <c r="H178" s="170"/>
      <c r="I178" s="170"/>
      <c r="J178" s="156" t="s">
        <v>6914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IFERROR(__xludf.DUMMYFUNCTION("ifna(VALUE(REGEXEXTRACT(E178,""[0-9.]+[,]+[0-9]+"")))"),133.0)</f>
        <v>133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1995477.0</v>
      </c>
      <c r="C179" s="14">
        <v>46065.909467592595</v>
      </c>
      <c r="D179" s="210" t="s">
        <v>101</v>
      </c>
      <c r="E179" s="211" t="s">
        <v>12941</v>
      </c>
      <c r="F179" s="212"/>
      <c r="G179" s="210" t="s">
        <v>574</v>
      </c>
      <c r="H179" s="170"/>
      <c r="I179" s="170"/>
      <c r="J179" s="156" t="s">
        <v>12658</v>
      </c>
      <c r="K179" s="156" t="s">
        <v>13763</v>
      </c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IFERROR(__xludf.DUMMYFUNCTION("ifna(VALUE(REGEXEXTRACT(E179,""[0-9.]+[,]+[0-9]+"")))"),46.0)</f>
        <v>46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1995560.0</v>
      </c>
      <c r="C180" s="14">
        <v>46065.918657407405</v>
      </c>
      <c r="D180" s="210" t="s">
        <v>101</v>
      </c>
      <c r="E180" s="211" t="s">
        <v>339</v>
      </c>
      <c r="F180" s="212"/>
      <c r="G180" s="210" t="s">
        <v>14154</v>
      </c>
      <c r="H180" s="170"/>
      <c r="I180" s="170"/>
      <c r="J180" s="156" t="s">
        <v>6914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59">
        <f>IFERROR(__xludf.DUMMYFUNCTION("ifna(VALUE(REGEXEXTRACT(E180,""[0-9.]+[,]+[0-9]+"")))"),31.0)</f>
        <v>31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1995569.0</v>
      </c>
      <c r="C181" s="14">
        <v>46065.919652777775</v>
      </c>
      <c r="D181" s="210" t="s">
        <v>101</v>
      </c>
      <c r="E181" s="211" t="s">
        <v>291</v>
      </c>
      <c r="F181" s="214"/>
      <c r="G181" s="210" t="s">
        <v>239</v>
      </c>
      <c r="H181" s="170"/>
      <c r="I181" s="170"/>
      <c r="J181" s="156" t="s">
        <v>12778</v>
      </c>
      <c r="K181" s="156" t="s">
        <v>13763</v>
      </c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"),"Confirmada")</f>
        <v>Confirmada</v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IFERROR(__xludf.DUMMYFUNCTION("ifna(VALUE(REGEXEXTRACT(E181,""[0-9.]+[,]+[0-9]+"")))"),250.0)</f>
        <v>250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1996326.0</v>
      </c>
      <c r="C182" s="14">
        <v>46066.607881944445</v>
      </c>
      <c r="D182" s="210" t="s">
        <v>101</v>
      </c>
      <c r="E182" s="211" t="s">
        <v>14350</v>
      </c>
      <c r="F182" s="212"/>
      <c r="G182" s="210" t="s">
        <v>14351</v>
      </c>
      <c r="H182" s="170"/>
      <c r="I182" s="170"/>
      <c r="J182" s="156" t="s">
        <v>12818</v>
      </c>
      <c r="K182" s="156"/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"""")"),"Encontrada")</f>
        <v>Encontrada</v>
      </c>
      <c r="N182" s="159">
        <f>IFERROR(__xludf.DUMMYFUNCTION("ifna(VALUE(REGEXEXTRACT(E182,""[0-9.]+[,]+[0-9]+"")))"),91.17)</f>
        <v>91.17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1997178.0</v>
      </c>
      <c r="C183" s="14">
        <v>46066.82175925926</v>
      </c>
      <c r="D183" s="210" t="s">
        <v>101</v>
      </c>
      <c r="E183" s="211" t="s">
        <v>14352</v>
      </c>
      <c r="F183" s="214"/>
      <c r="G183" s="191" t="s">
        <v>14353</v>
      </c>
      <c r="H183" s="170"/>
      <c r="I183" s="170"/>
      <c r="J183" s="156"/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IFERROR(__xludf.DUMMYFUNCTION("ifna(VALUE(REGEXEXTRACT(E183,""[0-9.]+[,]+[0-9]+"")))"),324.92)</f>
        <v>324.92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1997181.0</v>
      </c>
      <c r="C184" s="14">
        <v>46066.82251157407</v>
      </c>
      <c r="D184" s="210" t="s">
        <v>101</v>
      </c>
      <c r="E184" s="211" t="s">
        <v>14355</v>
      </c>
      <c r="F184" s="212"/>
      <c r="G184" s="210" t="s">
        <v>14356</v>
      </c>
      <c r="H184" s="170"/>
      <c r="I184" s="170"/>
      <c r="J184" s="156" t="s">
        <v>12778</v>
      </c>
      <c r="K184" s="156" t="s">
        <v>11866</v>
      </c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"),"Confirmada")</f>
        <v>Confirmada</v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IFERROR(__xludf.DUMMYFUNCTION("ifna(VALUE(REGEXEXTRACT(E184,""[0-9.]+[,]+[0-9]+"")))"),730.0)</f>
        <v>730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1997235.0</v>
      </c>
      <c r="C185" s="14">
        <v>46066.841875</v>
      </c>
      <c r="D185" s="210" t="s">
        <v>139</v>
      </c>
      <c r="E185" s="211" t="s">
        <v>2014</v>
      </c>
      <c r="F185" s="212"/>
      <c r="G185" s="210" t="s">
        <v>142</v>
      </c>
      <c r="H185" s="170"/>
      <c r="I185" s="170"/>
      <c r="J185" s="156" t="s">
        <v>13783</v>
      </c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IFERROR(__xludf.DUMMYFUNCTION("ifna(VALUE(REGEXEXTRACT(E185,""[0-9.]+[,]+[0-9]+"")))"),80.0)</f>
        <v>80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1997641.0</v>
      </c>
      <c r="C186" s="14">
        <v>46066.92053240741</v>
      </c>
      <c r="D186" s="210" t="s">
        <v>101</v>
      </c>
      <c r="E186" s="211" t="s">
        <v>14361</v>
      </c>
      <c r="F186" s="212"/>
      <c r="G186" s="191" t="s">
        <v>14362</v>
      </c>
      <c r="H186" s="170"/>
      <c r="I186" s="170"/>
      <c r="J186" s="156"/>
      <c r="K186" s="156"/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IFERROR(__xludf.DUMMYFUNCTION("ifna(VALUE(REGEXEXTRACT(E186,""[0-9.]+[,]+[0-9]+"")))"),71.31)</f>
        <v>71.31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1997656.0</v>
      </c>
      <c r="C187" s="14">
        <v>46066.92150462963</v>
      </c>
      <c r="D187" s="210" t="s">
        <v>101</v>
      </c>
      <c r="E187" s="211" t="s">
        <v>14364</v>
      </c>
      <c r="F187" s="212"/>
      <c r="G187" s="210" t="s">
        <v>512</v>
      </c>
      <c r="H187" s="170"/>
      <c r="I187" s="170"/>
      <c r="J187" s="156" t="s">
        <v>6914</v>
      </c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IFERROR(__xludf.DUMMYFUNCTION("ifna(VALUE(REGEXEXTRACT(E187,""[0-9.]+[,]+[0-9]+"")))"),139.0)</f>
        <v>139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1997730.0</v>
      </c>
      <c r="C188" s="14">
        <v>46066.927453703705</v>
      </c>
      <c r="D188" s="210" t="s">
        <v>101</v>
      </c>
      <c r="E188" s="211" t="s">
        <v>13138</v>
      </c>
      <c r="F188" s="212"/>
      <c r="G188" s="210" t="s">
        <v>14365</v>
      </c>
      <c r="H188" s="170"/>
      <c r="I188" s="170"/>
      <c r="J188" s="156"/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IFERROR(__xludf.DUMMYFUNCTION("ifna(VALUE(REGEXEXTRACT(E188,""[0-9.]+[,]+[0-9]+"")))"),0.01)</f>
        <v>0.01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1998738.0</v>
      </c>
      <c r="C189" s="14">
        <v>46067.69866898148</v>
      </c>
      <c r="D189" s="210" t="s">
        <v>101</v>
      </c>
      <c r="E189" s="211" t="s">
        <v>526</v>
      </c>
      <c r="F189" s="212"/>
      <c r="G189" s="210" t="s">
        <v>13886</v>
      </c>
      <c r="H189" s="170"/>
      <c r="I189" s="170"/>
      <c r="J189" s="156" t="s">
        <v>12658</v>
      </c>
      <c r="K189" s="156" t="s">
        <v>11866</v>
      </c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IFERROR(__xludf.DUMMYFUNCTION("ifna(VALUE(REGEXEXTRACT(E189,""[0-9.]+[,]+[0-9]+"")))"),21.0)</f>
        <v>21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1999010.0</v>
      </c>
      <c r="C190" s="14">
        <v>46067.753645833334</v>
      </c>
      <c r="D190" s="210" t="s">
        <v>101</v>
      </c>
      <c r="E190" s="211" t="s">
        <v>2014</v>
      </c>
      <c r="F190" s="212"/>
      <c r="G190" s="210" t="s">
        <v>14066</v>
      </c>
      <c r="H190" s="170"/>
      <c r="I190" s="170"/>
      <c r="J190" s="156" t="s">
        <v>6914</v>
      </c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IFERROR(__xludf.DUMMYFUNCTION("ifna(VALUE(REGEXEXTRACT(E190,""[0-9.]+[,]+[0-9]+"")))"),80.0)</f>
        <v>80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1999556.0</v>
      </c>
      <c r="C191" s="14">
        <v>46067.87157407407</v>
      </c>
      <c r="D191" s="210" t="s">
        <v>101</v>
      </c>
      <c r="E191" s="211" t="s">
        <v>13209</v>
      </c>
      <c r="F191" s="212"/>
      <c r="G191" s="210" t="s">
        <v>13956</v>
      </c>
      <c r="H191" s="170"/>
      <c r="I191" s="170"/>
      <c r="J191" s="156" t="s">
        <v>10036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IFERROR(__xludf.DUMMYFUNCTION("ifna(VALUE(REGEXEXTRACT(E191,""[0-9.]+[,]+[0-9]+"")))"),117.0)</f>
        <v>117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1999562.0</v>
      </c>
      <c r="C192" s="14">
        <v>46067.872245370374</v>
      </c>
      <c r="D192" s="210" t="s">
        <v>101</v>
      </c>
      <c r="E192" s="211" t="s">
        <v>786</v>
      </c>
      <c r="F192" s="212"/>
      <c r="G192" s="210" t="s">
        <v>13882</v>
      </c>
      <c r="H192" s="170"/>
      <c r="I192" s="170"/>
      <c r="J192" s="156" t="s">
        <v>10036</v>
      </c>
      <c r="K192" s="156"/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IFERROR(__xludf.DUMMYFUNCTION("ifna(VALUE(REGEXEXTRACT(E192,""[0-9.]+[,]+[0-9]+"")))"),130.0)</f>
        <v>130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1999744.0</v>
      </c>
      <c r="C193" s="14">
        <v>46067.90078703704</v>
      </c>
      <c r="D193" s="210" t="s">
        <v>101</v>
      </c>
      <c r="E193" s="211" t="s">
        <v>339</v>
      </c>
      <c r="F193" s="212"/>
      <c r="G193" s="210" t="s">
        <v>13747</v>
      </c>
      <c r="H193" s="170"/>
      <c r="I193" s="170"/>
      <c r="J193" s="156" t="s">
        <v>6914</v>
      </c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IFERROR(__xludf.DUMMYFUNCTION("ifna(VALUE(REGEXEXTRACT(E193,""[0-9.]+[,]+[0-9]+"")))"),31.0)</f>
        <v>31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1999813.0</v>
      </c>
      <c r="C194" s="14">
        <v>46067.9093287037</v>
      </c>
      <c r="D194" s="210" t="s">
        <v>101</v>
      </c>
      <c r="E194" s="211" t="s">
        <v>213</v>
      </c>
      <c r="F194" s="212"/>
      <c r="G194" s="210" t="s">
        <v>14371</v>
      </c>
      <c r="H194" s="170"/>
      <c r="I194" s="170"/>
      <c r="J194" s="156" t="s">
        <v>12778</v>
      </c>
      <c r="K194" s="156" t="s">
        <v>11866</v>
      </c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"),"Confirmada")</f>
        <v>Confirmada</v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IFERROR(__xludf.DUMMYFUNCTION("ifna(VALUE(REGEXEXTRACT(E194,""[0-9.]+[,]+[0-9]+"")))"),200.0)</f>
        <v>200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2000793.0</v>
      </c>
      <c r="C195" s="14">
        <v>46068.55153935185</v>
      </c>
      <c r="D195" s="210" t="s">
        <v>101</v>
      </c>
      <c r="E195" s="211" t="s">
        <v>14373</v>
      </c>
      <c r="F195" s="212"/>
      <c r="G195" s="210" t="s">
        <v>14374</v>
      </c>
      <c r="H195" s="170"/>
      <c r="I195" s="170"/>
      <c r="J195" s="156" t="s">
        <v>10036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IFERROR(__xludf.DUMMYFUNCTION("ifna(VALUE(REGEXEXTRACT(E195,""[0-9.]+[,]+[0-9]+"")))"),13.5)</f>
        <v>13.5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2002474.0</v>
      </c>
      <c r="C196" s="14">
        <v>46068.900300925925</v>
      </c>
      <c r="D196" s="210" t="s">
        <v>139</v>
      </c>
      <c r="E196" s="211" t="s">
        <v>2014</v>
      </c>
      <c r="F196" s="212"/>
      <c r="G196" s="210" t="s">
        <v>788</v>
      </c>
      <c r="H196" s="170"/>
      <c r="I196" s="170"/>
      <c r="J196" s="156" t="s">
        <v>13783</v>
      </c>
      <c r="K196" s="156"/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IFERROR(__xludf.DUMMYFUNCTION("ifna(VALUE(REGEXEXTRACT(E196,""[0-9.]+[,]+[0-9]+"")))"),80.0)</f>
        <v>80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2002655.0</v>
      </c>
      <c r="C197" s="14">
        <v>46068.91519675926</v>
      </c>
      <c r="D197" s="210" t="s">
        <v>101</v>
      </c>
      <c r="E197" s="211" t="s">
        <v>14377</v>
      </c>
      <c r="F197" s="212"/>
      <c r="G197" s="210" t="s">
        <v>14199</v>
      </c>
      <c r="H197" s="170"/>
      <c r="I197" s="170"/>
      <c r="J197" s="156" t="s">
        <v>6914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IFERROR(__xludf.DUMMYFUNCTION("ifna(VALUE(REGEXEXTRACT(E197,""[0-9.]+[,]+[0-9]+"")))"),196.0)</f>
        <v>196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2002664.0</v>
      </c>
      <c r="C198" s="14">
        <v>46068.91579861111</v>
      </c>
      <c r="D198" s="210" t="s">
        <v>101</v>
      </c>
      <c r="E198" s="211" t="s">
        <v>398</v>
      </c>
      <c r="F198" s="212"/>
      <c r="G198" s="210" t="s">
        <v>14380</v>
      </c>
      <c r="H198" s="170"/>
      <c r="I198" s="170"/>
      <c r="J198" s="156" t="s">
        <v>6914</v>
      </c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IFERROR(__xludf.DUMMYFUNCTION("ifna(VALUE(REGEXEXTRACT(E198,""[0-9.]+[,]+[0-9]+"")))"),12.0)</f>
        <v>12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2002678.0</v>
      </c>
      <c r="C199" s="14">
        <v>46068.916712962964</v>
      </c>
      <c r="D199" s="210" t="s">
        <v>101</v>
      </c>
      <c r="E199" s="211" t="s">
        <v>13209</v>
      </c>
      <c r="F199" s="212"/>
      <c r="G199" s="210" t="s">
        <v>14383</v>
      </c>
      <c r="H199" s="170"/>
      <c r="I199" s="170"/>
      <c r="J199" s="156" t="s">
        <v>10036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IFERROR(__xludf.DUMMYFUNCTION("ifna(VALUE(REGEXEXTRACT(E199,""[0-9.]+[,]+[0-9]+"")))"),117.0)</f>
        <v>117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2002874.0</v>
      </c>
      <c r="C200" s="14">
        <v>46068.92638888889</v>
      </c>
      <c r="D200" s="210" t="s">
        <v>101</v>
      </c>
      <c r="E200" s="211" t="s">
        <v>306</v>
      </c>
      <c r="F200" s="212"/>
      <c r="G200" s="210" t="s">
        <v>14385</v>
      </c>
      <c r="H200" s="170"/>
      <c r="I200" s="170"/>
      <c r="J200" s="156" t="s">
        <v>10036</v>
      </c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>
        <f>IFERROR(__xludf.DUMMYFUNCTION("ifna(VALUE(REGEXEXTRACT(E200,""[0-9.]+[,]+[0-9]+"")))"),22.0)</f>
        <v>22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2002884.0</v>
      </c>
      <c r="C201" s="14">
        <v>46068.926782407405</v>
      </c>
      <c r="D201" s="210" t="s">
        <v>101</v>
      </c>
      <c r="E201" s="211" t="s">
        <v>14387</v>
      </c>
      <c r="F201" s="212"/>
      <c r="G201" s="210" t="s">
        <v>14276</v>
      </c>
      <c r="H201" s="170"/>
      <c r="I201" s="170"/>
      <c r="J201" s="156" t="s">
        <v>10036</v>
      </c>
      <c r="K201" s="156"/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>
        <f>IFERROR(__xludf.DUMMYFUNCTION("ifna(VALUE(REGEXEXTRACT(E201,""[0-9.]+[,]+[0-9]+"")))"),94.5)</f>
        <v>94.5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2002894.0</v>
      </c>
      <c r="C202" s="14">
        <v>46068.92731481481</v>
      </c>
      <c r="D202" s="210" t="s">
        <v>101</v>
      </c>
      <c r="E202" s="211" t="s">
        <v>13328</v>
      </c>
      <c r="F202" s="214"/>
      <c r="G202" s="210" t="s">
        <v>14389</v>
      </c>
      <c r="H202" s="170"/>
      <c r="I202" s="170"/>
      <c r="J202" s="156" t="s">
        <v>12778</v>
      </c>
      <c r="K202" s="156" t="s">
        <v>13760</v>
      </c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"),"Confirmada")</f>
        <v>Confirmada</v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IFERROR(__xludf.DUMMYFUNCTION("ifna(VALUE(REGEXEXTRACT(E202,""[0-9.]+[,]+[0-9]+"")))"),1350.0)</f>
        <v>1350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2004519.0</v>
      </c>
      <c r="C203" s="14">
        <v>46069.72508101852</v>
      </c>
      <c r="D203" s="210" t="s">
        <v>101</v>
      </c>
      <c r="E203" s="211" t="s">
        <v>1274</v>
      </c>
      <c r="F203" s="212"/>
      <c r="G203" s="210" t="s">
        <v>13379</v>
      </c>
      <c r="H203" s="170"/>
      <c r="I203" s="170"/>
      <c r="J203" s="156" t="s">
        <v>6914</v>
      </c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>
        <f>IFERROR(__xludf.DUMMYFUNCTION("ifna(VALUE(REGEXEXTRACT(E203,""[0-9.]+[,]+[0-9]+"")))"),66.0)</f>
        <v>66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>
        <v>2004541.0</v>
      </c>
      <c r="C204" s="14">
        <v>46069.72744212963</v>
      </c>
      <c r="D204" s="210" t="s">
        <v>101</v>
      </c>
      <c r="E204" s="211" t="s">
        <v>13209</v>
      </c>
      <c r="F204" s="212"/>
      <c r="G204" s="210" t="s">
        <v>88</v>
      </c>
      <c r="H204" s="170"/>
      <c r="I204" s="170"/>
      <c r="J204" s="156" t="s">
        <v>12818</v>
      </c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"""")"),"Encontrada")</f>
        <v>Encontrada</v>
      </c>
      <c r="N204" s="159">
        <f>IFERROR(__xludf.DUMMYFUNCTION("ifna(VALUE(REGEXEXTRACT(E204,""[0-9.]+[,]+[0-9]+"")))"),117.0)</f>
        <v>117</v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>
        <v>2004595.0</v>
      </c>
      <c r="C205" s="14">
        <v>46069.735</v>
      </c>
      <c r="D205" s="210" t="s">
        <v>139</v>
      </c>
      <c r="E205" s="211" t="s">
        <v>2014</v>
      </c>
      <c r="F205" s="212"/>
      <c r="G205" s="210" t="s">
        <v>272</v>
      </c>
      <c r="H205" s="170"/>
      <c r="I205" s="170"/>
      <c r="J205" s="156" t="s">
        <v>13783</v>
      </c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>
        <f>IFERROR(__xludf.DUMMYFUNCTION("ifna(VALUE(REGEXEXTRACT(E205,""[0-9.]+[,]+[0-9]+"")))"),80.0)</f>
        <v>80</v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>
        <v>2004606.0</v>
      </c>
      <c r="C206" s="14">
        <v>46069.736030092594</v>
      </c>
      <c r="D206" s="210" t="s">
        <v>101</v>
      </c>
      <c r="E206" s="211" t="s">
        <v>804</v>
      </c>
      <c r="F206" s="212"/>
      <c r="G206" s="210" t="s">
        <v>14395</v>
      </c>
      <c r="H206" s="170"/>
      <c r="I206" s="170"/>
      <c r="J206" s="156" t="s">
        <v>12778</v>
      </c>
      <c r="K206" s="156" t="s">
        <v>11866</v>
      </c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"),"Caixa Atendimento")</f>
        <v>Caixa Atendimento</v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>
        <f>IFERROR(__xludf.DUMMYFUNCTION("ifna(VALUE(REGEXEXTRACT(E206,""[0-9.]+[,]+[0-9]+"")))"),500.0)</f>
        <v>500</v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>
        <v>2005476.0</v>
      </c>
      <c r="C207" s="14">
        <v>46069.90519675926</v>
      </c>
      <c r="D207" s="210" t="s">
        <v>101</v>
      </c>
      <c r="E207" s="211" t="s">
        <v>2014</v>
      </c>
      <c r="F207" s="212"/>
      <c r="G207" s="210" t="s">
        <v>14396</v>
      </c>
      <c r="H207" s="170"/>
      <c r="I207" s="170"/>
      <c r="J207" s="156" t="s">
        <v>6914</v>
      </c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>
        <f>IFERROR(__xludf.DUMMYFUNCTION("ifna(VALUE(REGEXEXTRACT(E207,""[0-9.]+[,]+[0-9]+"")))"),80.0)</f>
        <v>80</v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>
        <v>2005510.0</v>
      </c>
      <c r="C208" s="14">
        <v>46069.90928240741</v>
      </c>
      <c r="D208" s="210" t="s">
        <v>101</v>
      </c>
      <c r="E208" s="211" t="s">
        <v>14399</v>
      </c>
      <c r="F208" s="212"/>
      <c r="G208" s="210" t="s">
        <v>334</v>
      </c>
      <c r="H208" s="170"/>
      <c r="I208" s="170"/>
      <c r="J208" s="156" t="s">
        <v>12658</v>
      </c>
      <c r="K208" s="156" t="s">
        <v>13760</v>
      </c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>
        <f>IFERROR(__xludf.DUMMYFUNCTION("ifna(VALUE(REGEXEXTRACT(E208,""[0-9.]+[,]+[0-9]+"")))"),36.46)</f>
        <v>36.46</v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>
        <v>2005625.0</v>
      </c>
      <c r="C209" s="14">
        <v>46069.922638888886</v>
      </c>
      <c r="D209" s="210" t="s">
        <v>101</v>
      </c>
      <c r="E209" s="211" t="s">
        <v>256</v>
      </c>
      <c r="F209" s="212"/>
      <c r="G209" s="210" t="s">
        <v>14402</v>
      </c>
      <c r="H209" s="170"/>
      <c r="I209" s="170"/>
      <c r="J209" s="156" t="s">
        <v>12778</v>
      </c>
      <c r="K209" s="156" t="s">
        <v>13763</v>
      </c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"),"Caixa Atendimento")</f>
        <v>Caixa Atendimento</v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>
        <f>IFERROR(__xludf.DUMMYFUNCTION("ifna(VALUE(REGEXEXTRACT(E209,""[0-9.]+[,]+[0-9]+"")))"),300.0)</f>
        <v>300</v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>
        <v>2005669.0</v>
      </c>
      <c r="C210" s="14">
        <v>46069.925717592596</v>
      </c>
      <c r="D210" s="210" t="s">
        <v>101</v>
      </c>
      <c r="E210" s="211" t="s">
        <v>14407</v>
      </c>
      <c r="F210" s="214"/>
      <c r="G210" s="191" t="s">
        <v>14410</v>
      </c>
      <c r="H210" s="170"/>
      <c r="I210" s="170"/>
      <c r="J210" s="156"/>
      <c r="K210" s="156"/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>
        <f>IFERROR(__xludf.DUMMYFUNCTION("ifna(VALUE(REGEXEXTRACT(E210,""[0-9.]+[,]+[0-9]+"")))"),175.82)</f>
        <v>175.82</v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>
        <v>2006925.0</v>
      </c>
      <c r="C211" s="14">
        <v>46070.70657407407</v>
      </c>
      <c r="D211" s="210" t="s">
        <v>139</v>
      </c>
      <c r="E211" s="211" t="s">
        <v>428</v>
      </c>
      <c r="F211" s="212"/>
      <c r="G211" s="210" t="s">
        <v>12927</v>
      </c>
      <c r="H211" s="170"/>
      <c r="I211" s="170"/>
      <c r="J211" s="156" t="s">
        <v>13783</v>
      </c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>
        <f>IFERROR(__xludf.DUMMYFUNCTION("ifna(VALUE(REGEXEXTRACT(E211,""[0-9.]+[,]+[0-9]+"")))"),35.0)</f>
        <v>35</v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>
        <v>2006937.0</v>
      </c>
      <c r="C212" s="14">
        <v>46070.708090277774</v>
      </c>
      <c r="D212" s="210" t="s">
        <v>139</v>
      </c>
      <c r="E212" s="211" t="s">
        <v>161</v>
      </c>
      <c r="F212" s="212"/>
      <c r="G212" s="210" t="s">
        <v>142</v>
      </c>
      <c r="H212" s="170"/>
      <c r="I212" s="170"/>
      <c r="J212" s="156" t="s">
        <v>13783</v>
      </c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>
        <f>IFERROR(__xludf.DUMMYFUNCTION("ifna(VALUE(REGEXEXTRACT(E212,""[0-9.]+[,]+[0-9]+"")))"),60.0)</f>
        <v>60</v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>
        <v>2007111.0</v>
      </c>
      <c r="C213" s="14">
        <v>46070.73673611111</v>
      </c>
      <c r="D213" s="210" t="s">
        <v>101</v>
      </c>
      <c r="E213" s="211" t="s">
        <v>14414</v>
      </c>
      <c r="F213" s="212"/>
      <c r="G213" s="210" t="s">
        <v>14066</v>
      </c>
      <c r="H213" s="170"/>
      <c r="I213" s="170"/>
      <c r="J213" s="156" t="s">
        <v>6914</v>
      </c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>
        <f>IFERROR(__xludf.DUMMYFUNCTION("ifna(VALUE(REGEXEXTRACT(E213,""[0-9.]+[,]+[0-9]+"")))"),305.0)</f>
        <v>305</v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>
        <v>2007127.0</v>
      </c>
      <c r="C214" s="14">
        <v>46070.739907407406</v>
      </c>
      <c r="D214" s="210" t="s">
        <v>101</v>
      </c>
      <c r="E214" s="211" t="s">
        <v>804</v>
      </c>
      <c r="F214" s="212"/>
      <c r="G214" s="210" t="s">
        <v>14416</v>
      </c>
      <c r="H214" s="170"/>
      <c r="I214" s="170"/>
      <c r="J214" s="156" t="s">
        <v>12778</v>
      </c>
      <c r="K214" s="156" t="s">
        <v>11866</v>
      </c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"),"Caixa Atendimento")</f>
        <v>Caixa Atendimento</v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>
        <f>IFERROR(__xludf.DUMMYFUNCTION("ifna(VALUE(REGEXEXTRACT(E214,""[0-9.]+[,]+[0-9]+"")))"),500.0)</f>
        <v>500</v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>
        <v>2007215.0</v>
      </c>
      <c r="C215" s="14">
        <v>46070.75344907407</v>
      </c>
      <c r="D215" s="210" t="s">
        <v>101</v>
      </c>
      <c r="E215" s="211" t="s">
        <v>13138</v>
      </c>
      <c r="F215" s="212"/>
      <c r="G215" s="210" t="s">
        <v>14419</v>
      </c>
      <c r="H215" s="170"/>
      <c r="I215" s="170"/>
      <c r="J215" s="156"/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>
        <f>IFERROR(__xludf.DUMMYFUNCTION("ifna(VALUE(REGEXEXTRACT(E215,""[0-9.]+[,]+[0-9]+"")))"),0.01)</f>
        <v>0.01</v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>
        <v>2008076.0</v>
      </c>
      <c r="C216" s="14">
        <v>46070.91255787037</v>
      </c>
      <c r="D216" s="210" t="s">
        <v>101</v>
      </c>
      <c r="E216" s="211" t="s">
        <v>281</v>
      </c>
      <c r="F216" s="212"/>
      <c r="G216" s="210" t="s">
        <v>512</v>
      </c>
      <c r="H216" s="170"/>
      <c r="I216" s="170"/>
      <c r="J216" s="156" t="s">
        <v>6914</v>
      </c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>
        <f>IFERROR(__xludf.DUMMYFUNCTION("ifna(VALUE(REGEXEXTRACT(E216,""[0-9.]+[,]+[0-9]+"")))"),42.0)</f>
        <v>42</v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>
        <v>2008082.0</v>
      </c>
      <c r="C217" s="14">
        <v>46070.912986111114</v>
      </c>
      <c r="D217" s="210" t="s">
        <v>101</v>
      </c>
      <c r="E217" s="211" t="s">
        <v>14422</v>
      </c>
      <c r="F217" s="212"/>
      <c r="G217" s="191" t="s">
        <v>14423</v>
      </c>
      <c r="H217" s="170"/>
      <c r="I217" s="170"/>
      <c r="J217" s="156"/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>
        <f>IFERROR(__xludf.DUMMYFUNCTION("ifna(VALUE(REGEXEXTRACT(E217,""[0-9.]+[,]+[0-9]+"")))"),118.15)</f>
        <v>118.15</v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>
        <v>2008128.0</v>
      </c>
      <c r="C218" s="14">
        <v>46070.916909722226</v>
      </c>
      <c r="D218" s="210" t="s">
        <v>101</v>
      </c>
      <c r="E218" s="211" t="s">
        <v>213</v>
      </c>
      <c r="F218" s="214"/>
      <c r="G218" s="210" t="s">
        <v>14425</v>
      </c>
      <c r="H218" s="170"/>
      <c r="I218" s="170"/>
      <c r="J218" s="156" t="s">
        <v>12778</v>
      </c>
      <c r="K218" s="156" t="s">
        <v>13763</v>
      </c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"),"Caixa Atendimento")</f>
        <v>Caixa Atendimento</v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>
        <f>IFERROR(__xludf.DUMMYFUNCTION("ifna(VALUE(REGEXEXTRACT(E218,""[0-9.]+[,]+[0-9]+"")))"),200.0)</f>
        <v>200</v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>
        <v>2008911.0</v>
      </c>
      <c r="C219" s="14">
        <v>46071.527650462966</v>
      </c>
      <c r="D219" s="210" t="s">
        <v>101</v>
      </c>
      <c r="E219" s="211" t="s">
        <v>13138</v>
      </c>
      <c r="F219" s="212"/>
      <c r="G219" s="210" t="s">
        <v>14426</v>
      </c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>
        <f>IFERROR(__xludf.DUMMYFUNCTION("ifna(VALUE(REGEXEXTRACT(E219,""[0-9.]+[,]+[0-9]+"")))"),0.01)</f>
        <v>0.01</v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>
        <v>2008926.0</v>
      </c>
      <c r="C220" s="14">
        <v>46071.53304398148</v>
      </c>
      <c r="D220" s="210" t="s">
        <v>139</v>
      </c>
      <c r="E220" s="211" t="s">
        <v>213</v>
      </c>
      <c r="F220" s="212"/>
      <c r="G220" s="210" t="s">
        <v>14427</v>
      </c>
      <c r="H220" s="170"/>
      <c r="I220" s="170"/>
      <c r="J220" s="156" t="s">
        <v>13783</v>
      </c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>
        <f>IFERROR(__xludf.DUMMYFUNCTION("ifna(VALUE(REGEXEXTRACT(E220,""[0-9.]+[,]+[0-9]+"")))"),200.0)</f>
        <v>200</v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>
        <v>2008927.0</v>
      </c>
      <c r="C221" s="14">
        <v>46071.53331018519</v>
      </c>
      <c r="D221" s="210" t="s">
        <v>139</v>
      </c>
      <c r="E221" s="211" t="s">
        <v>256</v>
      </c>
      <c r="F221" s="212"/>
      <c r="G221" s="210" t="s">
        <v>14430</v>
      </c>
      <c r="H221" s="170"/>
      <c r="I221" s="170"/>
      <c r="J221" s="156" t="s">
        <v>13783</v>
      </c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>
        <f>IFERROR(__xludf.DUMMYFUNCTION("ifna(VALUE(REGEXEXTRACT(E221,""[0-9.]+[,]+[0-9]+"")))"),300.0)</f>
        <v>300</v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>
        <v>2008928.0</v>
      </c>
      <c r="C222" s="14">
        <v>46071.53351851852</v>
      </c>
      <c r="D222" s="210" t="s">
        <v>139</v>
      </c>
      <c r="E222" s="211" t="s">
        <v>804</v>
      </c>
      <c r="F222" s="212"/>
      <c r="G222" s="210" t="s">
        <v>14416</v>
      </c>
      <c r="H222" s="170"/>
      <c r="I222" s="170"/>
      <c r="J222" s="156" t="s">
        <v>13783</v>
      </c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>
        <f>IFERROR(__xludf.DUMMYFUNCTION("ifna(VALUE(REGEXEXTRACT(E222,""[0-9.]+[,]+[0-9]+"")))"),500.0)</f>
        <v>500</v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>
        <v>2008929.0</v>
      </c>
      <c r="C223" s="14">
        <v>46071.53371527778</v>
      </c>
      <c r="D223" s="210" t="s">
        <v>101</v>
      </c>
      <c r="E223" s="211" t="s">
        <v>312</v>
      </c>
      <c r="F223" s="212"/>
      <c r="G223" s="210" t="s">
        <v>12927</v>
      </c>
      <c r="H223" s="170"/>
      <c r="I223" s="170"/>
      <c r="J223" s="156" t="s">
        <v>12952</v>
      </c>
      <c r="K223" s="156"/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>
        <f>IFERROR(__xludf.DUMMYFUNCTION("ifna(VALUE(REGEXEXTRACT(E223,""[0-9.]+[,]+[0-9]+"")))"),1000.0)</f>
        <v>1000</v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>
        <v>2008934.0</v>
      </c>
      <c r="C224" s="14">
        <v>46071.535208333335</v>
      </c>
      <c r="D224" s="210" t="s">
        <v>139</v>
      </c>
      <c r="E224" s="211" t="s">
        <v>237</v>
      </c>
      <c r="F224" s="212"/>
      <c r="G224" s="210" t="s">
        <v>12927</v>
      </c>
      <c r="H224" s="170"/>
      <c r="I224" s="170"/>
      <c r="J224" s="156" t="s">
        <v>13783</v>
      </c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>
        <f>IFERROR(__xludf.DUMMYFUNCTION("ifna(VALUE(REGEXEXTRACT(E224,""[0-9.]+[,]+[0-9]+"")))"),100.0)</f>
        <v>100</v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>
        <v>2009062.0</v>
      </c>
      <c r="C225" s="14">
        <v>46071.59532407407</v>
      </c>
      <c r="D225" s="210" t="s">
        <v>139</v>
      </c>
      <c r="E225" s="211" t="s">
        <v>804</v>
      </c>
      <c r="F225" s="212"/>
      <c r="G225" s="210" t="s">
        <v>14395</v>
      </c>
      <c r="H225" s="170"/>
      <c r="I225" s="170"/>
      <c r="J225" s="156" t="s">
        <v>13783</v>
      </c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>
        <f>IFERROR(__xludf.DUMMYFUNCTION("ifna(VALUE(REGEXEXTRACT(E225,""[0-9.]+[,]+[0-9]+"")))"),500.0)</f>
        <v>500</v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>
        <v>2009228.0</v>
      </c>
      <c r="C226" s="14">
        <v>46071.65143518519</v>
      </c>
      <c r="D226" s="210" t="s">
        <v>101</v>
      </c>
      <c r="E226" s="211" t="s">
        <v>746</v>
      </c>
      <c r="F226" s="212"/>
      <c r="G226" s="210" t="s">
        <v>12927</v>
      </c>
      <c r="H226" s="170"/>
      <c r="I226" s="170"/>
      <c r="J226" s="156" t="s">
        <v>12952</v>
      </c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>
        <f>IFERROR(__xludf.DUMMYFUNCTION("ifna(VALUE(REGEXEXTRACT(E226,""[0-9.]+[,]+[0-9]+"")))"),350.0)</f>
        <v>350</v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>
        <v>2009435.0</v>
      </c>
      <c r="C227" s="14">
        <v>46071.70398148148</v>
      </c>
      <c r="D227" s="210" t="s">
        <v>101</v>
      </c>
      <c r="E227" s="211" t="s">
        <v>260</v>
      </c>
      <c r="F227" s="212"/>
      <c r="G227" s="210" t="s">
        <v>14438</v>
      </c>
      <c r="H227" s="170"/>
      <c r="I227" s="170"/>
      <c r="J227" s="156" t="s">
        <v>12818</v>
      </c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"""")"),"Encontrada")</f>
        <v>Encontrada</v>
      </c>
      <c r="N227" s="159">
        <f>IFERROR(__xludf.DUMMYFUNCTION("ifna(VALUE(REGEXEXTRACT(E227,""[0-9.]+[,]+[0-9]+"")))"),13.0)</f>
        <v>13</v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>
        <v>2009441.0</v>
      </c>
      <c r="C228" s="14">
        <v>46071.70431712963</v>
      </c>
      <c r="D228" s="210" t="s">
        <v>101</v>
      </c>
      <c r="E228" s="211" t="s">
        <v>14440</v>
      </c>
      <c r="F228" s="212"/>
      <c r="G228" s="210" t="s">
        <v>2617</v>
      </c>
      <c r="H228" s="170"/>
      <c r="I228" s="170"/>
      <c r="J228" s="156" t="s">
        <v>12818</v>
      </c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"""")"),"Encontrada")</f>
        <v>Encontrada</v>
      </c>
      <c r="N228" s="159">
        <f>IFERROR(__xludf.DUMMYFUNCTION("ifna(VALUE(REGEXEXTRACT(E228,""[0-9.]+[,]+[0-9]+"")))"),4.35)</f>
        <v>4.35</v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>
        <v>2009573.0</v>
      </c>
      <c r="C229" s="14">
        <v>46071.73027777778</v>
      </c>
      <c r="D229" s="210" t="s">
        <v>101</v>
      </c>
      <c r="E229" s="211" t="s">
        <v>586</v>
      </c>
      <c r="F229" s="212"/>
      <c r="G229" s="210" t="s">
        <v>14066</v>
      </c>
      <c r="H229" s="170"/>
      <c r="I229" s="170"/>
      <c r="J229" s="156" t="s">
        <v>6914</v>
      </c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>
        <f>IFERROR(__xludf.DUMMYFUNCTION("ifna(VALUE(REGEXEXTRACT(E229,""[0-9.]+[,]+[0-9]+"")))"),120.0)</f>
        <v>120</v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>
        <v>2009611.0</v>
      </c>
      <c r="C230" s="14">
        <v>46071.73646990741</v>
      </c>
      <c r="D230" s="210" t="s">
        <v>101</v>
      </c>
      <c r="E230" s="211" t="s">
        <v>312</v>
      </c>
      <c r="F230" s="212"/>
      <c r="G230" s="210" t="s">
        <v>14443</v>
      </c>
      <c r="H230" s="170"/>
      <c r="I230" s="170"/>
      <c r="J230" s="156" t="s">
        <v>12778</v>
      </c>
      <c r="K230" s="156" t="s">
        <v>11866</v>
      </c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"),"Confirmada")</f>
        <v>Confirmada</v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>
        <f>IFERROR(__xludf.DUMMYFUNCTION("ifna(VALUE(REGEXEXTRACT(E230,""[0-9.]+[,]+[0-9]+"")))"),1000.0)</f>
        <v>1000</v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>
        <v>2009773.0</v>
      </c>
      <c r="C231" s="14">
        <v>46071.786412037036</v>
      </c>
      <c r="D231" s="210" t="s">
        <v>139</v>
      </c>
      <c r="E231" s="211" t="s">
        <v>237</v>
      </c>
      <c r="F231" s="212"/>
      <c r="G231" s="210" t="s">
        <v>142</v>
      </c>
      <c r="H231" s="170"/>
      <c r="I231" s="170"/>
      <c r="J231" s="156" t="s">
        <v>13783</v>
      </c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>
        <f>IFERROR(__xludf.DUMMYFUNCTION("ifna(VALUE(REGEXEXTRACT(E231,""[0-9.]+[,]+[0-9]+"")))"),100.0)</f>
        <v>100</v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>
        <v>2010286.0</v>
      </c>
      <c r="C232" s="14">
        <v>46071.90934027778</v>
      </c>
      <c r="D232" s="210" t="s">
        <v>101</v>
      </c>
      <c r="E232" s="211" t="s">
        <v>13545</v>
      </c>
      <c r="F232" s="212"/>
      <c r="G232" s="210" t="s">
        <v>14154</v>
      </c>
      <c r="H232" s="170"/>
      <c r="I232" s="170"/>
      <c r="J232" s="156" t="s">
        <v>6914</v>
      </c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>
        <f>IFERROR(__xludf.DUMMYFUNCTION("ifna(VALUE(REGEXEXTRACT(E232,""[0-9.]+[,]+[0-9]+"")))"),67.0)</f>
        <v>67</v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>
        <v>2010404.0</v>
      </c>
      <c r="C233" s="14">
        <v>46071.92157407408</v>
      </c>
      <c r="D233" s="210" t="s">
        <v>101</v>
      </c>
      <c r="E233" s="211" t="s">
        <v>364</v>
      </c>
      <c r="F233" s="212"/>
      <c r="G233" s="210" t="s">
        <v>14446</v>
      </c>
      <c r="H233" s="170"/>
      <c r="I233" s="170"/>
      <c r="J233" s="156" t="s">
        <v>12778</v>
      </c>
      <c r="K233" s="156" t="s">
        <v>13763</v>
      </c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"),"Confirmada")</f>
        <v>Confirmada</v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>
        <f>IFERROR(__xludf.DUMMYFUNCTION("ifna(VALUE(REGEXEXTRACT(E233,""[0-9.]+[,]+[0-9]+"")))"),600.0)</f>
        <v>600</v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>
        <v>2011528.0</v>
      </c>
      <c r="C234" s="14">
        <v>46072.71858796296</v>
      </c>
      <c r="D234" s="210" t="s">
        <v>101</v>
      </c>
      <c r="E234" s="211" t="s">
        <v>14060</v>
      </c>
      <c r="F234" s="212"/>
      <c r="G234" s="210" t="s">
        <v>772</v>
      </c>
      <c r="H234" s="170"/>
      <c r="I234" s="170"/>
      <c r="J234" s="156" t="s">
        <v>12818</v>
      </c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159">
        <f>IFERROR(__xludf.DUMMYFUNCTION("ifna(VALUE(REGEXEXTRACT(E234,""[0-9.]+[,]+[0-9]+"")))"),94.0)</f>
        <v>94</v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>
        <v>2011601.0</v>
      </c>
      <c r="C235" s="14">
        <v>46072.73465277778</v>
      </c>
      <c r="D235" s="210" t="s">
        <v>139</v>
      </c>
      <c r="E235" s="211" t="s">
        <v>14448</v>
      </c>
      <c r="F235" s="212"/>
      <c r="G235" s="210" t="s">
        <v>12927</v>
      </c>
      <c r="H235" s="170"/>
      <c r="I235" s="170"/>
      <c r="J235" s="156" t="s">
        <v>12952</v>
      </c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>
        <f>IFERROR(__xludf.DUMMYFUNCTION("ifna(VALUE(REGEXEXTRACT(E235,""[0-9.]+[,]+[0-9]+"")))"),89.9)</f>
        <v>89.9</v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>
        <v>2011610.0</v>
      </c>
      <c r="C236" s="14">
        <v>46072.7362037037</v>
      </c>
      <c r="D236" s="210" t="s">
        <v>101</v>
      </c>
      <c r="E236" s="211" t="s">
        <v>804</v>
      </c>
      <c r="F236" s="212"/>
      <c r="G236" s="210" t="s">
        <v>14451</v>
      </c>
      <c r="H236" s="170"/>
      <c r="I236" s="170"/>
      <c r="J236" s="156" t="s">
        <v>12778</v>
      </c>
      <c r="K236" s="156" t="s">
        <v>11866</v>
      </c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"),"Confirmada")</f>
        <v>Confirmada</v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>
        <f>IFERROR(__xludf.DUMMYFUNCTION("ifna(VALUE(REGEXEXTRACT(E236,""[0-9.]+[,]+[0-9]+"")))"),500.0)</f>
        <v>500</v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3">
        <v>2011638.0</v>
      </c>
      <c r="C237" s="14">
        <v>46072.74184027778</v>
      </c>
      <c r="D237" s="210" t="s">
        <v>101</v>
      </c>
      <c r="E237" s="211" t="s">
        <v>14453</v>
      </c>
      <c r="F237" s="212"/>
      <c r="G237" s="210" t="s">
        <v>13040</v>
      </c>
      <c r="H237" s="170"/>
      <c r="I237" s="170"/>
      <c r="J237" s="156" t="s">
        <v>6914</v>
      </c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>
        <f>IFERROR(__xludf.DUMMYFUNCTION("ifna(VALUE(REGEXEXTRACT(E237,""[0-9.]+[,]+[0-9]+"")))"),113.0)</f>
        <v>113</v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3">
        <v>2011694.0</v>
      </c>
      <c r="C238" s="14">
        <v>46072.75424768519</v>
      </c>
      <c r="D238" s="210" t="s">
        <v>101</v>
      </c>
      <c r="E238" s="211" t="s">
        <v>13138</v>
      </c>
      <c r="F238" s="212"/>
      <c r="G238" s="210" t="s">
        <v>14455</v>
      </c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>
        <f>IFERROR(__xludf.DUMMYFUNCTION("ifna(VALUE(REGEXEXTRACT(E238,""[0-9.]+[,]+[0-9]+"")))"),0.01)</f>
        <v>0.01</v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3">
        <v>2012565.0</v>
      </c>
      <c r="C239" s="14">
        <v>46072.94950231481</v>
      </c>
      <c r="D239" s="210" t="s">
        <v>101</v>
      </c>
      <c r="E239" s="211" t="s">
        <v>213</v>
      </c>
      <c r="F239" s="212"/>
      <c r="G239" s="210" t="s">
        <v>14458</v>
      </c>
      <c r="H239" s="170"/>
      <c r="I239" s="170"/>
      <c r="J239" s="156" t="s">
        <v>12778</v>
      </c>
      <c r="K239" s="156" t="s">
        <v>13763</v>
      </c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"),"Confirmada")</f>
        <v>Confirmada</v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>
        <f>IFERROR(__xludf.DUMMYFUNCTION("ifna(VALUE(REGEXEXTRACT(E239,""[0-9.]+[,]+[0-9]+"")))"),200.0)</f>
        <v>200</v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3">
        <v>2012570.0</v>
      </c>
      <c r="C240" s="14">
        <v>46072.95006944444</v>
      </c>
      <c r="D240" s="210" t="s">
        <v>101</v>
      </c>
      <c r="E240" s="211" t="s">
        <v>1246</v>
      </c>
      <c r="F240" s="212"/>
      <c r="G240" s="210" t="s">
        <v>14154</v>
      </c>
      <c r="H240" s="170"/>
      <c r="I240" s="170"/>
      <c r="J240" s="156" t="s">
        <v>6914</v>
      </c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>
        <f>IFERROR(__xludf.DUMMYFUNCTION("ifna(VALUE(REGEXEXTRACT(E240,""[0-9.]+[,]+[0-9]+"")))"),114.0)</f>
        <v>114</v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3">
        <v>2013354.0</v>
      </c>
      <c r="C241" s="14">
        <v>46073.68892361111</v>
      </c>
      <c r="D241" s="210" t="s">
        <v>101</v>
      </c>
      <c r="E241" s="211" t="s">
        <v>14462</v>
      </c>
      <c r="F241" s="212"/>
      <c r="G241" s="210" t="s">
        <v>14105</v>
      </c>
      <c r="H241" s="170"/>
      <c r="I241" s="170"/>
      <c r="J241" s="156" t="s">
        <v>12818</v>
      </c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"""")"),"Encontrada")</f>
        <v>Encontrada</v>
      </c>
      <c r="N241" s="159">
        <f>IFERROR(__xludf.DUMMYFUNCTION("ifna(VALUE(REGEXEXTRACT(E241,""[0-9.]+[,]+[0-9]+"")))"),81.5)</f>
        <v>81.5</v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3">
        <v>2013499.0</v>
      </c>
      <c r="C242" s="14">
        <v>46073.72414351852</v>
      </c>
      <c r="D242" s="210" t="s">
        <v>101</v>
      </c>
      <c r="E242" s="211" t="s">
        <v>324</v>
      </c>
      <c r="F242" s="212"/>
      <c r="G242" s="210" t="s">
        <v>13040</v>
      </c>
      <c r="H242" s="170"/>
      <c r="I242" s="170"/>
      <c r="J242" s="156" t="s">
        <v>6914</v>
      </c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>
        <f>IFERROR(__xludf.DUMMYFUNCTION("ifna(VALUE(REGEXEXTRACT(E242,""[0-9.]+[,]+[0-9]+"")))"),45.0)</f>
        <v>45</v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3">
        <v>2013857.0</v>
      </c>
      <c r="C243" s="14">
        <v>46073.81420138889</v>
      </c>
      <c r="D243" s="210" t="s">
        <v>101</v>
      </c>
      <c r="E243" s="211" t="s">
        <v>213</v>
      </c>
      <c r="F243" s="212"/>
      <c r="G243" s="210" t="s">
        <v>14464</v>
      </c>
      <c r="H243" s="170"/>
      <c r="I243" s="170"/>
      <c r="J243" s="156" t="s">
        <v>12778</v>
      </c>
      <c r="K243" s="156" t="s">
        <v>11866</v>
      </c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"),"Confirmada")</f>
        <v>Confirmada</v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>
        <f>IFERROR(__xludf.DUMMYFUNCTION("ifna(VALUE(REGEXEXTRACT(E243,""[0-9.]+[,]+[0-9]+"")))"),200.0)</f>
        <v>200</v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3">
        <v>2014135.0</v>
      </c>
      <c r="C244" s="14">
        <v>46073.89871527778</v>
      </c>
      <c r="D244" s="210" t="s">
        <v>139</v>
      </c>
      <c r="E244" s="211" t="s">
        <v>237</v>
      </c>
      <c r="F244" s="212"/>
      <c r="G244" s="210" t="s">
        <v>272</v>
      </c>
      <c r="H244" s="170"/>
      <c r="I244" s="170"/>
      <c r="J244" s="156" t="s">
        <v>13783</v>
      </c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>
        <f>IFERROR(__xludf.DUMMYFUNCTION("ifna(VALUE(REGEXEXTRACT(E244,""[0-9.]+[,]+[0-9]+"")))"),100.0)</f>
        <v>100</v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3">
        <v>2014207.0</v>
      </c>
      <c r="C245" s="14">
        <v>46073.910104166665</v>
      </c>
      <c r="D245" s="210" t="s">
        <v>101</v>
      </c>
      <c r="E245" s="211" t="s">
        <v>13138</v>
      </c>
      <c r="F245" s="212"/>
      <c r="G245" s="210" t="s">
        <v>14467</v>
      </c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>
        <f>IFERROR(__xludf.DUMMYFUNCTION("ifna(VALUE(REGEXEXTRACT(E245,""[0-9.]+[,]+[0-9]+"")))"),0.01)</f>
        <v>0.01</v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3">
        <v>2014223.0</v>
      </c>
      <c r="C246" s="14">
        <v>46073.91203703704</v>
      </c>
      <c r="D246" s="210" t="s">
        <v>101</v>
      </c>
      <c r="E246" s="211" t="s">
        <v>13138</v>
      </c>
      <c r="F246" s="212"/>
      <c r="G246" s="210" t="s">
        <v>14469</v>
      </c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>
        <f>IFERROR(__xludf.DUMMYFUNCTION("ifna(VALUE(REGEXEXTRACT(E246,""[0-9.]+[,]+[0-9]+"")))"),0.01)</f>
        <v>0.01</v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3">
        <v>2014276.0</v>
      </c>
      <c r="C247" s="14">
        <v>46073.91894675926</v>
      </c>
      <c r="D247" s="210" t="s">
        <v>101</v>
      </c>
      <c r="E247" s="211" t="s">
        <v>13545</v>
      </c>
      <c r="F247" s="212"/>
      <c r="G247" s="210" t="s">
        <v>14154</v>
      </c>
      <c r="H247" s="170"/>
      <c r="I247" s="170"/>
      <c r="J247" s="156" t="s">
        <v>6914</v>
      </c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>
        <f>IFERROR(__xludf.DUMMYFUNCTION("ifna(VALUE(REGEXEXTRACT(E247,""[0-9.]+[,]+[0-9]+"")))"),67.0)</f>
        <v>67</v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3">
        <v>2014364.0</v>
      </c>
      <c r="C248" s="14">
        <v>46073.927199074074</v>
      </c>
      <c r="D248" s="210" t="s">
        <v>101</v>
      </c>
      <c r="E248" s="211" t="s">
        <v>237</v>
      </c>
      <c r="F248" s="214"/>
      <c r="G248" s="210" t="s">
        <v>14470</v>
      </c>
      <c r="H248" s="170"/>
      <c r="I248" s="170"/>
      <c r="J248" s="156" t="s">
        <v>12778</v>
      </c>
      <c r="K248" s="156" t="s">
        <v>13763</v>
      </c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"),"Confirmada")</f>
        <v>Confirmada</v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>
        <f>IFERROR(__xludf.DUMMYFUNCTION("ifna(VALUE(REGEXEXTRACT(E248,""[0-9.]+[,]+[0-9]+"")))"),100.0)</f>
        <v>100</v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3">
        <v>2015802.0</v>
      </c>
      <c r="C249" s="14">
        <v>46074.77710648148</v>
      </c>
      <c r="D249" s="210" t="s">
        <v>101</v>
      </c>
      <c r="E249" s="211" t="s">
        <v>14471</v>
      </c>
      <c r="F249" s="212"/>
      <c r="G249" s="210" t="s">
        <v>1915</v>
      </c>
      <c r="H249" s="170"/>
      <c r="I249" s="170"/>
      <c r="J249" s="156" t="s">
        <v>12818</v>
      </c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159">
        <f>IFERROR(__xludf.DUMMYFUNCTION("ifna(VALUE(REGEXEXTRACT(E249,""[0-9.]+[,]+[0-9]+"")))"),83.77)</f>
        <v>83.77</v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3">
        <v>2015811.0</v>
      </c>
      <c r="C250" s="14">
        <v>46074.77819444444</v>
      </c>
      <c r="D250" s="210" t="s">
        <v>101</v>
      </c>
      <c r="E250" s="211" t="s">
        <v>14472</v>
      </c>
      <c r="F250" s="212"/>
      <c r="G250" s="210" t="s">
        <v>14473</v>
      </c>
      <c r="H250" s="170"/>
      <c r="I250" s="170"/>
      <c r="J250" s="156" t="s">
        <v>12818</v>
      </c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"""")"),"Encontrada")</f>
        <v>Encontrada</v>
      </c>
      <c r="N250" s="159">
        <f>IFERROR(__xludf.DUMMYFUNCTION("ifna(VALUE(REGEXEXTRACT(E250,""[0-9.]+[,]+[0-9]+"")))"),155.97)</f>
        <v>155.97</v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3">
        <v>2015813.0</v>
      </c>
      <c r="C251" s="14">
        <v>46074.77872685185</v>
      </c>
      <c r="D251" s="210" t="s">
        <v>101</v>
      </c>
      <c r="E251" s="211" t="s">
        <v>1389</v>
      </c>
      <c r="F251" s="212"/>
      <c r="G251" s="210" t="s">
        <v>14474</v>
      </c>
      <c r="H251" s="170"/>
      <c r="I251" s="170"/>
      <c r="J251" s="156" t="s">
        <v>12818</v>
      </c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"""")"),"Encontrada")</f>
        <v>Encontrada</v>
      </c>
      <c r="N251" s="159">
        <f>IFERROR(__xludf.DUMMYFUNCTION("ifna(VALUE(REGEXEXTRACT(E251,""[0-9.]+[,]+[0-9]+"")))"),34.0)</f>
        <v>34</v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3">
        <v>2015815.0</v>
      </c>
      <c r="C252" s="14">
        <v>46074.779027777775</v>
      </c>
      <c r="D252" s="210" t="s">
        <v>101</v>
      </c>
      <c r="E252" s="211" t="s">
        <v>14475</v>
      </c>
      <c r="F252" s="212"/>
      <c r="G252" s="210" t="s">
        <v>14476</v>
      </c>
      <c r="H252" s="170"/>
      <c r="I252" s="170"/>
      <c r="J252" s="156" t="s">
        <v>12818</v>
      </c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"""")"),"Encontrada")</f>
        <v>Encontrada</v>
      </c>
      <c r="N252" s="159">
        <f>IFERROR(__xludf.DUMMYFUNCTION("ifna(VALUE(REGEXEXTRACT(E252,""[0-9.]+[,]+[0-9]+"")))"),16.9)</f>
        <v>16.9</v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3">
        <v>2016374.0</v>
      </c>
      <c r="C253" s="14">
        <v>46074.90085648148</v>
      </c>
      <c r="D253" s="210" t="s">
        <v>101</v>
      </c>
      <c r="E253" s="211" t="s">
        <v>14453</v>
      </c>
      <c r="F253" s="212"/>
      <c r="G253" s="210" t="s">
        <v>14199</v>
      </c>
      <c r="H253" s="170"/>
      <c r="I253" s="170"/>
      <c r="J253" s="156" t="s">
        <v>6914</v>
      </c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>
        <f>IFERROR(__xludf.DUMMYFUNCTION("ifna(VALUE(REGEXEXTRACT(E253,""[0-9.]+[,]+[0-9]+"")))"),113.0)</f>
        <v>113</v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3">
        <v>2016430.0</v>
      </c>
      <c r="C254" s="14">
        <v>46074.90898148148</v>
      </c>
      <c r="D254" s="210" t="s">
        <v>101</v>
      </c>
      <c r="E254" s="211" t="s">
        <v>2421</v>
      </c>
      <c r="F254" s="212"/>
      <c r="G254" s="210" t="s">
        <v>14141</v>
      </c>
      <c r="H254" s="170"/>
      <c r="I254" s="170"/>
      <c r="J254" s="156" t="s">
        <v>6914</v>
      </c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>
        <f>IFERROR(__xludf.DUMMYFUNCTION("ifna(VALUE(REGEXEXTRACT(E254,""[0-9.]+[,]+[0-9]+"")))"),82.0)</f>
        <v>82</v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3">
        <v>2016438.0</v>
      </c>
      <c r="C255" s="14">
        <v>46074.90954861111</v>
      </c>
      <c r="D255" s="210" t="s">
        <v>101</v>
      </c>
      <c r="E255" s="211" t="s">
        <v>13209</v>
      </c>
      <c r="F255" s="212"/>
      <c r="G255" s="210" t="s">
        <v>14383</v>
      </c>
      <c r="H255" s="170"/>
      <c r="I255" s="170"/>
      <c r="J255" s="156" t="s">
        <v>10036</v>
      </c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>
        <f>IFERROR(__xludf.DUMMYFUNCTION("ifna(VALUE(REGEXEXTRACT(E255,""[0-9.]+[,]+[0-9]+"")))"),117.0)</f>
        <v>117</v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3">
        <v>2016478.0</v>
      </c>
      <c r="C256" s="14">
        <v>46074.912986111114</v>
      </c>
      <c r="D256" s="210" t="s">
        <v>101</v>
      </c>
      <c r="E256" s="211" t="s">
        <v>746</v>
      </c>
      <c r="F256" s="212"/>
      <c r="G256" s="210" t="s">
        <v>14482</v>
      </c>
      <c r="H256" s="170"/>
      <c r="I256" s="170"/>
      <c r="J256" s="156" t="s">
        <v>12778</v>
      </c>
      <c r="K256" s="156" t="s">
        <v>13760</v>
      </c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"),"Confirmada")</f>
        <v>Confirmada</v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>
        <f>IFERROR(__xludf.DUMMYFUNCTION("ifna(VALUE(REGEXEXTRACT(E256,""[0-9.]+[,]+[0-9]+"")))"),350.0)</f>
        <v>350</v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3">
        <v>2017457.0</v>
      </c>
      <c r="C257" s="14">
        <v>46075.58940972222</v>
      </c>
      <c r="D257" s="210" t="s">
        <v>101</v>
      </c>
      <c r="E257" s="211" t="s">
        <v>14483</v>
      </c>
      <c r="F257" s="212"/>
      <c r="G257" s="210" t="s">
        <v>14484</v>
      </c>
      <c r="H257" s="170"/>
      <c r="I257" s="170"/>
      <c r="J257" s="156" t="s">
        <v>10036</v>
      </c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>
        <f>IFERROR(__xludf.DUMMYFUNCTION("ifna(VALUE(REGEXEXTRACT(E257,""[0-9.]+[,]+[0-9]+"")))"),12.55)</f>
        <v>12.55</v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3">
        <v>2019144.0</v>
      </c>
      <c r="C258" s="14">
        <v>46075.89979166666</v>
      </c>
      <c r="D258" s="210" t="s">
        <v>101</v>
      </c>
      <c r="E258" s="211" t="s">
        <v>14485</v>
      </c>
      <c r="F258" s="214"/>
      <c r="G258" s="210" t="s">
        <v>13747</v>
      </c>
      <c r="H258" s="170"/>
      <c r="I258" s="170"/>
      <c r="J258" s="156" t="s">
        <v>6914</v>
      </c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>
        <f>IFERROR(__xludf.DUMMYFUNCTION("ifna(VALUE(REGEXEXTRACT(E258,""[0-9.]+[,]+[0-9]+"")))"),205.0)</f>
        <v>205</v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3">
        <v>2019156.0</v>
      </c>
      <c r="C259" s="14">
        <v>46075.9018287037</v>
      </c>
      <c r="D259" s="210" t="s">
        <v>101</v>
      </c>
      <c r="E259" s="211" t="s">
        <v>13209</v>
      </c>
      <c r="F259" s="212"/>
      <c r="G259" s="210" t="s">
        <v>13956</v>
      </c>
      <c r="H259" s="170"/>
      <c r="I259" s="170"/>
      <c r="J259" s="156" t="s">
        <v>10036</v>
      </c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>
        <f>IFERROR(__xludf.DUMMYFUNCTION("ifna(VALUE(REGEXEXTRACT(E259,""[0-9.]+[,]+[0-9]+"")))"),117.0)</f>
        <v>117</v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3">
        <v>2019161.0</v>
      </c>
      <c r="C260" s="14">
        <v>46075.902233796296</v>
      </c>
      <c r="D260" s="210" t="s">
        <v>101</v>
      </c>
      <c r="E260" s="211" t="s">
        <v>13209</v>
      </c>
      <c r="F260" s="212"/>
      <c r="G260" s="210" t="s">
        <v>14488</v>
      </c>
      <c r="H260" s="170"/>
      <c r="I260" s="170"/>
      <c r="J260" s="156" t="s">
        <v>10036</v>
      </c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>
        <f>IFERROR(__xludf.DUMMYFUNCTION("ifna(VALUE(REGEXEXTRACT(E260,""[0-9.]+[,]+[0-9]+"")))"),117.0)</f>
        <v>117</v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3">
        <v>2019331.0</v>
      </c>
      <c r="C261" s="14">
        <v>46075.915821759256</v>
      </c>
      <c r="D261" s="210" t="s">
        <v>101</v>
      </c>
      <c r="E261" s="211" t="s">
        <v>2133</v>
      </c>
      <c r="F261" s="212"/>
      <c r="G261" s="210" t="s">
        <v>14489</v>
      </c>
      <c r="H261" s="170"/>
      <c r="I261" s="170"/>
      <c r="J261" s="156" t="s">
        <v>12778</v>
      </c>
      <c r="K261" s="156" t="s">
        <v>11866</v>
      </c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"),"Confirmada")</f>
        <v>Confirmada</v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>
        <f>IFERROR(__xludf.DUMMYFUNCTION("ifna(VALUE(REGEXEXTRACT(E261,""[0-9.]+[,]+[0-9]+"")))"),750.0)</f>
        <v>750</v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3">
        <v>2019381.0</v>
      </c>
      <c r="C262" s="14">
        <v>46075.91813657407</v>
      </c>
      <c r="D262" s="210" t="s">
        <v>101</v>
      </c>
      <c r="E262" s="211" t="s">
        <v>14490</v>
      </c>
      <c r="F262" s="212"/>
      <c r="G262" s="210" t="s">
        <v>13901</v>
      </c>
      <c r="H262" s="170"/>
      <c r="I262" s="170"/>
      <c r="J262" s="156" t="s">
        <v>10036</v>
      </c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>
        <f>IFERROR(__xludf.DUMMYFUNCTION("ifna(VALUE(REGEXEXTRACT(E262,""[0-9.]+[,]+[0-9]+"")))"),120.25)</f>
        <v>120.25</v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3">
        <v>2020720.0</v>
      </c>
      <c r="C263" s="14">
        <v>46076.709386574075</v>
      </c>
      <c r="D263" s="210" t="s">
        <v>139</v>
      </c>
      <c r="E263" s="211" t="s">
        <v>13333</v>
      </c>
      <c r="F263" s="212"/>
      <c r="G263" s="210" t="s">
        <v>272</v>
      </c>
      <c r="H263" s="170"/>
      <c r="I263" s="170"/>
      <c r="J263" s="156" t="s">
        <v>13783</v>
      </c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>
        <f>IFERROR(__xludf.DUMMYFUNCTION("ifna(VALUE(REGEXEXTRACT(E263,""[0-9.]+[,]+[0-9]+"")))"),110.0)</f>
        <v>110</v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3">
        <v>2020783.0</v>
      </c>
      <c r="C264" s="14">
        <v>46076.725648148145</v>
      </c>
      <c r="D264" s="210" t="s">
        <v>101</v>
      </c>
      <c r="E264" s="211" t="s">
        <v>324</v>
      </c>
      <c r="F264" s="212"/>
      <c r="G264" s="210" t="s">
        <v>14066</v>
      </c>
      <c r="H264" s="170"/>
      <c r="I264" s="170"/>
      <c r="J264" s="156" t="s">
        <v>6914</v>
      </c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>
        <f>IFERROR(__xludf.DUMMYFUNCTION("ifna(VALUE(REGEXEXTRACT(E264,""[0-9.]+[,]+[0-9]+"")))"),45.0)</f>
        <v>45</v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3">
        <v>2020839.0</v>
      </c>
      <c r="C265" s="14">
        <v>46076.73962962963</v>
      </c>
      <c r="D265" s="210" t="s">
        <v>101</v>
      </c>
      <c r="E265" s="211" t="s">
        <v>1219</v>
      </c>
      <c r="F265" s="212"/>
      <c r="G265" s="210" t="s">
        <v>14493</v>
      </c>
      <c r="H265" s="170"/>
      <c r="I265" s="170"/>
      <c r="J265" s="156" t="s">
        <v>12778</v>
      </c>
      <c r="K265" s="156" t="s">
        <v>11866</v>
      </c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"),"Caixa Atendimento")</f>
        <v>Caixa Atendimento</v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>
        <f>IFERROR(__xludf.DUMMYFUNCTION("ifna(VALUE(REGEXEXTRACT(E265,""[0-9.]+[,]+[0-9]+"")))"),400.0)</f>
        <v>400</v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3">
        <v>2021404.0</v>
      </c>
      <c r="C266" s="14">
        <v>46076.91306712963</v>
      </c>
      <c r="D266" s="210" t="s">
        <v>101</v>
      </c>
      <c r="E266" s="211" t="s">
        <v>291</v>
      </c>
      <c r="F266" s="212"/>
      <c r="G266" s="210" t="s">
        <v>14494</v>
      </c>
      <c r="H266" s="170"/>
      <c r="I266" s="170"/>
      <c r="J266" s="156" t="s">
        <v>12778</v>
      </c>
      <c r="K266" s="156" t="s">
        <v>13763</v>
      </c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"),"Caixa Atendimento")</f>
        <v>Caixa Atendimento</v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>
        <f>IFERROR(__xludf.DUMMYFUNCTION("ifna(VALUE(REGEXEXTRACT(E266,""[0-9.]+[,]+[0-9]+"")))"),250.0)</f>
        <v>250</v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3">
        <v>2021949.0</v>
      </c>
      <c r="C267" s="14">
        <v>46077.532743055555</v>
      </c>
      <c r="D267" s="210" t="s">
        <v>139</v>
      </c>
      <c r="E267" s="211" t="s">
        <v>1219</v>
      </c>
      <c r="F267" s="212"/>
      <c r="G267" s="210" t="s">
        <v>14495</v>
      </c>
      <c r="H267" s="170"/>
      <c r="I267" s="170"/>
      <c r="J267" s="156" t="s">
        <v>13783</v>
      </c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>
        <f>IFERROR(__xludf.DUMMYFUNCTION("ifna(VALUE(REGEXEXTRACT(E267,""[0-9.]+[,]+[0-9]+"")))"),400.0)</f>
        <v>400</v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3">
        <v>2021950.0</v>
      </c>
      <c r="C268" s="14">
        <v>46077.53292824074</v>
      </c>
      <c r="D268" s="210" t="s">
        <v>139</v>
      </c>
      <c r="E268" s="211" t="s">
        <v>291</v>
      </c>
      <c r="F268" s="212"/>
      <c r="G268" s="210" t="s">
        <v>14497</v>
      </c>
      <c r="H268" s="170"/>
      <c r="I268" s="170"/>
      <c r="J268" s="156" t="s">
        <v>13783</v>
      </c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>
        <f>IFERROR(__xludf.DUMMYFUNCTION("ifna(VALUE(REGEXEXTRACT(E268,""[0-9.]+[,]+[0-9]+"")))"),250.0)</f>
        <v>250</v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3">
        <v>2022336.0</v>
      </c>
      <c r="C269" s="14">
        <v>46077.704513888886</v>
      </c>
      <c r="D269" s="210" t="s">
        <v>101</v>
      </c>
      <c r="E269" s="211" t="s">
        <v>14500</v>
      </c>
      <c r="F269" s="212"/>
      <c r="G269" s="210" t="s">
        <v>2789</v>
      </c>
      <c r="H269" s="170"/>
      <c r="I269" s="170"/>
      <c r="J269" s="156" t="s">
        <v>12818</v>
      </c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"""")"),"Encontrada")</f>
        <v>Encontrada</v>
      </c>
      <c r="N269" s="159">
        <f>IFERROR(__xludf.DUMMYFUNCTION("ifna(VALUE(REGEXEXTRACT(E269,""[0-9.]+[,]+[0-9]+"")))"),131.55)</f>
        <v>131.55</v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3">
        <v>2022401.0</v>
      </c>
      <c r="C270" s="14">
        <v>46077.7234375</v>
      </c>
      <c r="D270" s="210" t="s">
        <v>101</v>
      </c>
      <c r="E270" s="211" t="s">
        <v>12773</v>
      </c>
      <c r="F270" s="212"/>
      <c r="G270" s="210" t="s">
        <v>12928</v>
      </c>
      <c r="H270" s="170"/>
      <c r="I270" s="170"/>
      <c r="J270" s="156" t="s">
        <v>12952</v>
      </c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>
        <f>IFERROR(__xludf.DUMMYFUNCTION("ifna(VALUE(REGEXEXTRACT(E270,""[0-9.]+[,]+[0-9]+"")))"),700.0)</f>
        <v>700</v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3">
        <v>2022407.0</v>
      </c>
      <c r="C271" s="14">
        <v>46077.725497685184</v>
      </c>
      <c r="D271" s="210" t="s">
        <v>139</v>
      </c>
      <c r="E271" s="211" t="s">
        <v>2014</v>
      </c>
      <c r="F271" s="212"/>
      <c r="G271" s="210" t="s">
        <v>142</v>
      </c>
      <c r="H271" s="170"/>
      <c r="I271" s="170"/>
      <c r="J271" s="156" t="s">
        <v>13783</v>
      </c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>
        <f>IFERROR(__xludf.DUMMYFUNCTION("ifna(VALUE(REGEXEXTRACT(E271,""[0-9.]+[,]+[0-9]+"")))"),80.0)</f>
        <v>80</v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3">
        <v>2022422.0</v>
      </c>
      <c r="C272" s="14">
        <v>46077.73008101852</v>
      </c>
      <c r="D272" s="210" t="s">
        <v>101</v>
      </c>
      <c r="E272" s="211" t="s">
        <v>256</v>
      </c>
      <c r="F272" s="212"/>
      <c r="G272" s="210" t="s">
        <v>14504</v>
      </c>
      <c r="H272" s="170"/>
      <c r="I272" s="170"/>
      <c r="J272" s="156" t="s">
        <v>12778</v>
      </c>
      <c r="K272" s="156" t="s">
        <v>11866</v>
      </c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"),"Confirmada")</f>
        <v>Confirmada</v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>
        <f>IFERROR(__xludf.DUMMYFUNCTION("ifna(VALUE(REGEXEXTRACT(E272,""[0-9.]+[,]+[0-9]+"")))"),300.0)</f>
        <v>300</v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3">
        <v>2022430.0</v>
      </c>
      <c r="C273" s="14">
        <v>46077.73174768518</v>
      </c>
      <c r="D273" s="210" t="s">
        <v>101</v>
      </c>
      <c r="E273" s="211" t="s">
        <v>179</v>
      </c>
      <c r="F273" s="212"/>
      <c r="G273" s="210" t="s">
        <v>14066</v>
      </c>
      <c r="H273" s="170"/>
      <c r="I273" s="170"/>
      <c r="J273" s="156" t="s">
        <v>6914</v>
      </c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>
        <f>IFERROR(__xludf.DUMMYFUNCTION("ifna(VALUE(REGEXEXTRACT(E273,""[0-9.]+[,]+[0-9]+"")))"),20.0)</f>
        <v>20</v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3">
        <v>2022908.0</v>
      </c>
      <c r="C274" s="14">
        <v>46077.896157407406</v>
      </c>
      <c r="D274" s="210" t="s">
        <v>101</v>
      </c>
      <c r="E274" s="211" t="s">
        <v>1440</v>
      </c>
      <c r="F274" s="212"/>
      <c r="G274" s="210" t="s">
        <v>1735</v>
      </c>
      <c r="H274" s="170"/>
      <c r="I274" s="170"/>
      <c r="J274" s="156" t="s">
        <v>12658</v>
      </c>
      <c r="K274" s="156" t="s">
        <v>12693</v>
      </c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>
        <f>IFERROR(__xludf.DUMMYFUNCTION("ifna(VALUE(REGEXEXTRACT(E274,""[0-9.]+[,]+[0-9]+"")))"),44.0)</f>
        <v>44</v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3">
        <v>2022964.0</v>
      </c>
      <c r="C275" s="14">
        <v>46077.908125</v>
      </c>
      <c r="D275" s="210" t="s">
        <v>101</v>
      </c>
      <c r="E275" s="211" t="s">
        <v>1514</v>
      </c>
      <c r="F275" s="214"/>
      <c r="G275" s="210" t="s">
        <v>512</v>
      </c>
      <c r="H275" s="170"/>
      <c r="I275" s="170"/>
      <c r="J275" s="156" t="s">
        <v>6914</v>
      </c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>
        <f>IFERROR(__xludf.DUMMYFUNCTION("ifna(VALUE(REGEXEXTRACT(E275,""[0-9.]+[,]+[0-9]+"")))"),51.0)</f>
        <v>51</v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3">
        <v>2023022.0</v>
      </c>
      <c r="C276" s="14">
        <v>46077.91704861111</v>
      </c>
      <c r="D276" s="210" t="s">
        <v>101</v>
      </c>
      <c r="E276" s="211" t="s">
        <v>256</v>
      </c>
      <c r="F276" s="212"/>
      <c r="G276" s="210" t="s">
        <v>14508</v>
      </c>
      <c r="H276" s="170"/>
      <c r="I276" s="170"/>
      <c r="J276" s="156" t="s">
        <v>12778</v>
      </c>
      <c r="K276" s="156" t="s">
        <v>13763</v>
      </c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"),"Confirmada")</f>
        <v>Confirmada</v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>
        <f>IFERROR(__xludf.DUMMYFUNCTION("ifna(VALUE(REGEXEXTRACT(E276,""[0-9.]+[,]+[0-9]+"")))"),300.0)</f>
        <v>300</v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3">
        <v>2023513.0</v>
      </c>
      <c r="C277" s="14">
        <v>46078.518472222226</v>
      </c>
      <c r="D277" s="210" t="s">
        <v>101</v>
      </c>
      <c r="E277" s="211" t="s">
        <v>14510</v>
      </c>
      <c r="F277" s="212"/>
      <c r="G277" s="210" t="s">
        <v>772</v>
      </c>
      <c r="H277" s="170"/>
      <c r="I277" s="170"/>
      <c r="J277" s="156" t="s">
        <v>12818</v>
      </c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"""")"),"Encontrada")</f>
        <v>Encontrada</v>
      </c>
      <c r="N277" s="159">
        <f>IFERROR(__xludf.DUMMYFUNCTION("ifna(VALUE(REGEXEXTRACT(E277,""[0-9.]+[,]+[0-9]+"")))"),29.9)</f>
        <v>29.9</v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3">
        <v>2024030.0</v>
      </c>
      <c r="C278" s="14">
        <v>46078.72304398148</v>
      </c>
      <c r="D278" s="210" t="s">
        <v>101</v>
      </c>
      <c r="E278" s="211" t="s">
        <v>1633</v>
      </c>
      <c r="F278" s="214"/>
      <c r="G278" s="210" t="s">
        <v>14511</v>
      </c>
      <c r="H278" s="170"/>
      <c r="I278" s="170"/>
      <c r="J278" s="156" t="s">
        <v>13513</v>
      </c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>
        <f>IFERROR(__xludf.DUMMYFUNCTION("ifna(VALUE(REGEXEXTRACT(E278,""[0-9.]+[,]+[0-9]+"")))"),8.0)</f>
        <v>8</v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3">
        <v>2024036.0</v>
      </c>
      <c r="C279" s="14">
        <v>46078.72381944444</v>
      </c>
      <c r="D279" s="210" t="s">
        <v>101</v>
      </c>
      <c r="E279" s="211" t="s">
        <v>13287</v>
      </c>
      <c r="F279" s="212"/>
      <c r="G279" s="210" t="s">
        <v>14066</v>
      </c>
      <c r="H279" s="170"/>
      <c r="I279" s="170"/>
      <c r="J279" s="156" t="s">
        <v>6914</v>
      </c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>
        <f>IFERROR(__xludf.DUMMYFUNCTION("ifna(VALUE(REGEXEXTRACT(E279,""[0-9.]+[,]+[0-9]+"")))"),52.0)</f>
        <v>52</v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3">
        <v>2024054.0</v>
      </c>
      <c r="C280" s="14">
        <v>46078.729525462964</v>
      </c>
      <c r="D280" s="210" t="s">
        <v>101</v>
      </c>
      <c r="E280" s="211" t="s">
        <v>14515</v>
      </c>
      <c r="F280" s="212"/>
      <c r="G280" s="210" t="s">
        <v>14516</v>
      </c>
      <c r="H280" s="170"/>
      <c r="I280" s="170"/>
      <c r="J280" s="156" t="s">
        <v>12818</v>
      </c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"""")"),"Encontrada")</f>
        <v>Encontrada</v>
      </c>
      <c r="N280" s="159">
        <f>IFERROR(__xludf.DUMMYFUNCTION("ifna(VALUE(REGEXEXTRACT(E280,""[0-9.]+[,]+[0-9]+"")))"),255.0)</f>
        <v>255</v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3">
        <v>2024651.0</v>
      </c>
      <c r="C281" s="14">
        <v>46078.91795138889</v>
      </c>
      <c r="D281" s="210" t="s">
        <v>101</v>
      </c>
      <c r="E281" s="211" t="s">
        <v>12941</v>
      </c>
      <c r="F281" s="212"/>
      <c r="G281" s="210" t="s">
        <v>14154</v>
      </c>
      <c r="H281" s="170"/>
      <c r="I281" s="170"/>
      <c r="J281" s="156" t="s">
        <v>6914</v>
      </c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>
        <f>IFERROR(__xludf.DUMMYFUNCTION("ifna(VALUE(REGEXEXTRACT(E281,""[0-9.]+[,]+[0-9]+"")))"),46.0)</f>
        <v>46</v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3">
        <v>2024659.0</v>
      </c>
      <c r="C282" s="14">
        <v>46078.918599537035</v>
      </c>
      <c r="D282" s="210" t="s">
        <v>101</v>
      </c>
      <c r="E282" s="211" t="s">
        <v>465</v>
      </c>
      <c r="F282" s="212"/>
      <c r="G282" s="210" t="s">
        <v>14519</v>
      </c>
      <c r="H282" s="170"/>
      <c r="I282" s="170"/>
      <c r="J282" s="156" t="s">
        <v>12778</v>
      </c>
      <c r="K282" s="156" t="s">
        <v>13763</v>
      </c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"),"Confirmada")</f>
        <v>Confirmada</v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>
        <f>IFERROR(__xludf.DUMMYFUNCTION("ifna(VALUE(REGEXEXTRACT(E282,""[0-9.]+[,]+[0-9]+"")))"),550.0)</f>
        <v>550</v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3">
        <v>2024780.0</v>
      </c>
      <c r="C283" s="14">
        <v>46078.93042824074</v>
      </c>
      <c r="D283" s="210" t="s">
        <v>101</v>
      </c>
      <c r="E283" s="211" t="s">
        <v>14520</v>
      </c>
      <c r="F283" s="212"/>
      <c r="G283" s="210" t="s">
        <v>334</v>
      </c>
      <c r="H283" s="170"/>
      <c r="I283" s="170"/>
      <c r="J283" s="156" t="s">
        <v>12658</v>
      </c>
      <c r="K283" s="156" t="s">
        <v>13760</v>
      </c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>
        <f>IFERROR(__xludf.DUMMYFUNCTION("ifna(VALUE(REGEXEXTRACT(E283,""[0-9.]+[,]+[0-9]+"")))"),54.85)</f>
        <v>54.85</v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3"/>
      <c r="C284" s="14"/>
      <c r="D284" s="210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3"/>
      <c r="C285" s="14"/>
      <c r="D285" s="210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3"/>
      <c r="C286" s="14"/>
      <c r="D286" s="210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3"/>
      <c r="C287" s="14"/>
      <c r="D287" s="210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3"/>
      <c r="C288" s="14"/>
      <c r="D288" s="210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3"/>
      <c r="C289" s="14"/>
      <c r="D289" s="210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3"/>
      <c r="C290" s="14"/>
      <c r="D290" s="210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3"/>
      <c r="C291" s="152"/>
      <c r="D291" s="210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3"/>
      <c r="C292" s="152"/>
      <c r="D292" s="210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3"/>
      <c r="C293" s="152"/>
      <c r="D293" s="210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3"/>
      <c r="C294" s="152"/>
      <c r="D294" s="210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3"/>
      <c r="C295" s="152"/>
      <c r="D295" s="210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210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K22:K500">
      <formula1>'FEVEREIRO 2026'!$B$4:$B$10</formula1>
    </dataValidation>
    <dataValidation type="list" allowBlank="1" showErrorMessage="1" sqref="J22:J283 J286:J500">
      <formula1>"Adiantamento,Consumo,Sangria,Compra de Mercadorias,Motoboy,Freelancer,Caixa Troco,Compra de Moedas,Cortesias,Estorno Cliente,Inadimplência,A/F de Caixa,Delivery Cancelado/Errado"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/>
      </c>
      <c r="D3" s="40"/>
      <c r="E3" s="41" t="str">
        <f>B5</f>
        <v>Renan</v>
      </c>
      <c r="F3" s="40"/>
      <c r="G3" s="41" t="str">
        <f>B6</f>
        <v/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/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/>
      <c r="B4" s="47"/>
      <c r="C4" s="48" t="s">
        <v>1329</v>
      </c>
      <c r="D4" s="49">
        <f>SUMIFS(N22:N500,J22:J500,C4,K22:K500,C3)+SUMIF(Q59:Q95,A4,R59:R122)+D9</f>
        <v>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0</v>
      </c>
      <c r="E5" s="50" t="s">
        <v>12658</v>
      </c>
      <c r="F5" s="49">
        <f>SUMIFS(N22:N500,J22:J500,C5,K22:K500,E3)</f>
        <v>254.85</v>
      </c>
      <c r="G5" s="50" t="s">
        <v>12658</v>
      </c>
      <c r="H5" s="49">
        <f>SUMIFS(N22:N500,J22:J500,C5,K22:K500,G3)</f>
        <v>0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65</v>
      </c>
      <c r="M5" s="33"/>
      <c r="N5" s="33"/>
      <c r="O5" s="57"/>
      <c r="P5" s="58"/>
      <c r="Q5" s="58"/>
      <c r="R5" s="59"/>
      <c r="S5" s="33"/>
      <c r="T5" s="202">
        <f>IFERROR(__xludf.DUMMYFUNCTION("""COMPUTED_VALUE"""),46079.61335648148)</f>
        <v>46079.61336</v>
      </c>
      <c r="U5" s="58" t="str">
        <f>IFERROR(__xludf.DUMMYFUNCTION("""COMPUTED_VALUE"""),"R$ 5,00")</f>
        <v>R$ 5,00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/>
      <c r="B6" s="56"/>
      <c r="C6" s="48" t="s">
        <v>12669</v>
      </c>
      <c r="D6" s="49">
        <f>D5*0.8</f>
        <v>0</v>
      </c>
      <c r="E6" s="50" t="s">
        <v>12669</v>
      </c>
      <c r="F6" s="49">
        <f>F5*0.8</f>
        <v>203.88</v>
      </c>
      <c r="G6" s="50" t="s">
        <v>12669</v>
      </c>
      <c r="H6" s="49">
        <f>H5*0.8</f>
        <v>0</v>
      </c>
      <c r="I6" s="50" t="s">
        <v>12669</v>
      </c>
      <c r="J6" s="49">
        <f>J5*0.8</f>
        <v>0</v>
      </c>
      <c r="K6" s="60" t="s">
        <v>12669</v>
      </c>
      <c r="L6" s="51">
        <f>L5*0.8</f>
        <v>52</v>
      </c>
      <c r="M6" s="33"/>
      <c r="N6" s="33"/>
      <c r="O6" s="57"/>
      <c r="P6" s="58"/>
      <c r="Q6" s="58"/>
      <c r="R6" s="59"/>
      <c r="S6" s="33"/>
      <c r="T6" s="202">
        <f>IFERROR(__xludf.DUMMYFUNCTION("""COMPUTED_VALUE"""),46079.80446759259)</f>
        <v>46079.80447</v>
      </c>
      <c r="U6" s="58" t="str">
        <f>IFERROR(__xludf.DUMMYFUNCTION("""COMPUTED_VALUE"""),"R$ 109,95")</f>
        <v>R$ 109,95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203">
        <f>IFERROR(__xludf.DUMMYFUNCTION("""COMPUTED_VALUE"""),46080.83625)</f>
        <v>46080.83625</v>
      </c>
      <c r="U7" s="67" t="str">
        <f>IFERROR(__xludf.DUMMYFUNCTION("""COMPUTED_VALUE"""),"R$ 32,90")</f>
        <v>R$ 32,90</v>
      </c>
      <c r="V7" s="67" t="str">
        <f>IFERROR(__xludf.DUMMYFUNCTION("""COMPUTED_VALUE"""),"Consumo")</f>
        <v>Consumo</v>
      </c>
      <c r="W7" s="68" t="str">
        <f>IFERROR(__xludf.DUMMYFUNCTION("""COMPUTED_VALUE"""),"Renan")</f>
        <v>Renan</v>
      </c>
    </row>
    <row r="8" ht="14.25" customHeight="1">
      <c r="A8" s="55" t="s">
        <v>227</v>
      </c>
      <c r="B8" s="56" t="s">
        <v>12693</v>
      </c>
      <c r="C8" s="69" t="s">
        <v>12695</v>
      </c>
      <c r="D8" s="70"/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203">
        <f>IFERROR(__xludf.DUMMYFUNCTION("""COMPUTED_VALUE"""),46081.889432870375)</f>
        <v>46081.88943</v>
      </c>
      <c r="U8" s="67" t="str">
        <f>IFERROR(__xludf.DUMMYFUNCTION("""COMPUTED_VALUE"""),"R$ 73,00")</f>
        <v>R$ 73,00</v>
      </c>
      <c r="V8" s="67" t="str">
        <f>IFERROR(__xludf.DUMMYFUNCTION("""COMPUTED_VALUE"""),"Consumo")</f>
        <v>Consumo</v>
      </c>
      <c r="W8" s="68" t="str">
        <f>IFERROR(__xludf.DUMMYFUNCTION("""COMPUTED_VALUE"""),"Renan")</f>
        <v>Renan</v>
      </c>
    </row>
    <row r="9" ht="15.75" customHeight="1">
      <c r="A9" s="55" t="s">
        <v>336</v>
      </c>
      <c r="B9" s="56" t="s">
        <v>13760</v>
      </c>
      <c r="C9" s="75" t="s">
        <v>17</v>
      </c>
      <c r="D9" s="76"/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203">
        <f>IFERROR(__xludf.DUMMYFUNCTION("""COMPUTED_VALUE"""),46083.559953703705)</f>
        <v>46083.55995</v>
      </c>
      <c r="U9" s="67" t="str">
        <f>IFERROR(__xludf.DUMMYFUNCTION("""COMPUTED_VALUE"""),"R$ 5,00")</f>
        <v>R$ 5,00</v>
      </c>
      <c r="V9" s="67" t="str">
        <f>IFERROR(__xludf.DUMMYFUNCTION("""COMPUTED_VALUE"""),"Consumo")</f>
        <v>Consumo</v>
      </c>
      <c r="W9" s="68" t="str">
        <f>IFERROR(__xludf.DUMMYFUNCTION("""COMPUTED_VALUE"""),"Renan")</f>
        <v>Renan</v>
      </c>
    </row>
    <row r="10">
      <c r="A10" s="55" t="s">
        <v>218</v>
      </c>
      <c r="B10" s="56" t="s">
        <v>13763</v>
      </c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202">
        <f>IFERROR(__xludf.DUMMYFUNCTION("""COMPUTED_VALUE"""),46089.902592592596)</f>
        <v>46089.90259</v>
      </c>
      <c r="U10" s="82" t="str">
        <f>IFERROR(__xludf.DUMMYFUNCTION("""COMPUTED_VALUE"""),"R$ 29,00")</f>
        <v>R$ 29,00</v>
      </c>
      <c r="V10" s="82" t="str">
        <f>IFERROR(__xludf.DUMMYFUNCTION("""COMPUTED_VALUE"""),"Consumo")</f>
        <v>Consumo</v>
      </c>
      <c r="W10" s="83" t="str">
        <f>IFERROR(__xludf.DUMMYFUNCTION("""COMPUTED_VALUE"""),"Renan")</f>
        <v>Renan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81"/>
      <c r="U11" s="82"/>
      <c r="V11" s="82"/>
      <c r="W11" s="83"/>
    </row>
    <row r="12">
      <c r="A12" s="31"/>
      <c r="B12" s="31"/>
      <c r="C12" s="88" t="str">
        <f>B9</f>
        <v>Regiane</v>
      </c>
      <c r="D12" s="89"/>
      <c r="E12" s="88" t="str">
        <f>B10</f>
        <v>Ramon Dutra</v>
      </c>
      <c r="F12" s="90"/>
      <c r="G12" s="91" t="s">
        <v>12714</v>
      </c>
      <c r="H12" s="92">
        <f>SUMIF(L22:L495,G12,N22:N495)</f>
        <v>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81"/>
      <c r="U12" s="82"/>
      <c r="V12" s="82"/>
      <c r="W12" s="83"/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0</v>
      </c>
      <c r="E13" s="97" t="s">
        <v>1329</v>
      </c>
      <c r="F13" s="98">
        <f>SUMIFS(N22:N500,J22:J500,E4,K22:K500,512)+SUMIF(Q59:Q95,A10,R59:R122)+F18</f>
        <v>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54.1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81"/>
      <c r="U13" s="82"/>
      <c r="V13" s="82"/>
      <c r="W13" s="83"/>
    </row>
    <row r="14" ht="14.25" customHeight="1">
      <c r="A14" s="105"/>
      <c r="B14" s="105"/>
      <c r="C14" s="97" t="s">
        <v>12658</v>
      </c>
      <c r="D14" s="51">
        <f>SUMIFS(N22:N500,J22:J500,C5,K22:K500,C12)</f>
        <v>161.59</v>
      </c>
      <c r="E14" s="97" t="s">
        <v>12658</v>
      </c>
      <c r="F14" s="106">
        <f>SUMIFS(N22:N500,J22:J500,C5,K22:K500,E12)</f>
        <v>90.36</v>
      </c>
      <c r="G14" s="50" t="s">
        <v>12744</v>
      </c>
      <c r="H14" s="51">
        <f>SUMIFS(N22:N500,D22:D500,"Saída",J22:J500,"Sangria")</f>
        <v>21640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81"/>
      <c r="U14" s="82"/>
      <c r="V14" s="82"/>
      <c r="W14" s="83"/>
    </row>
    <row r="15">
      <c r="A15" s="105"/>
      <c r="B15" s="105"/>
      <c r="C15" s="109" t="s">
        <v>12669</v>
      </c>
      <c r="D15" s="51">
        <f>D14*0.8</f>
        <v>129.272</v>
      </c>
      <c r="E15" s="109" t="s">
        <v>12669</v>
      </c>
      <c r="F15" s="110">
        <f>F14*0.8</f>
        <v>72.288</v>
      </c>
      <c r="G15" s="111" t="s">
        <v>12749</v>
      </c>
      <c r="H15" s="112">
        <f>SUMIFS(N22:N500,D22:D500,"Entrada",J22:J500,"Sangria")</f>
        <v>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81"/>
      <c r="U15" s="82"/>
      <c r="V15" s="82"/>
      <c r="W15" s="83"/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81"/>
      <c r="U16" s="82"/>
      <c r="V16" s="82"/>
      <c r="W16" s="83"/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1600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81"/>
      <c r="U17" s="82"/>
      <c r="V17" s="82"/>
      <c r="W17" s="83"/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/>
      </c>
      <c r="S21" s="138"/>
      <c r="T21" s="148" t="str">
        <f>B7</f>
        <v>Josi Ribas</v>
      </c>
    </row>
    <row r="22">
      <c r="A22" s="149"/>
      <c r="B22" s="13"/>
      <c r="C22" s="14"/>
      <c r="D22" s="210"/>
      <c r="E22" s="211"/>
      <c r="F22" s="212"/>
      <c r="G22" s="210"/>
      <c r="H22" s="155"/>
      <c r="I22" s="155"/>
      <c r="J22" s="156"/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 t="str">
        <f>IFERROR(__xludf.DUMMYFUNCTION("ifna(VALUE(REGEXEXTRACT(E22,""[0-9.]+[,]+[0-9]+"")))"),"")</f>
        <v/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2025184.0</v>
      </c>
      <c r="C23" s="14">
        <v>46079.56974537037</v>
      </c>
      <c r="D23" s="210" t="s">
        <v>101</v>
      </c>
      <c r="E23" s="211" t="s">
        <v>14143</v>
      </c>
      <c r="F23" s="212"/>
      <c r="G23" s="210" t="s">
        <v>13978</v>
      </c>
      <c r="H23" s="161"/>
      <c r="I23" s="161"/>
      <c r="J23" s="156" t="s">
        <v>12818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"""")"),"Encontrada")</f>
        <v>Encontrada</v>
      </c>
      <c r="N23" s="159">
        <f>IFERROR(__xludf.DUMMYFUNCTION("ifna(VALUE(REGEXEXTRACT(E23,""[0-9.]+[,]+[0-9]+"")))"),7.35)</f>
        <v>7.35</v>
      </c>
      <c r="O23" s="58"/>
      <c r="P23" s="58"/>
      <c r="Q23" s="58"/>
      <c r="R23" s="58"/>
      <c r="S23" s="159"/>
      <c r="T23" s="58"/>
      <c r="U23" s="58"/>
      <c r="V23" s="58"/>
      <c r="W23" s="58"/>
    </row>
    <row r="24" ht="14.25" customHeight="1">
      <c r="A24" s="149"/>
      <c r="B24" s="13">
        <v>2025272.0</v>
      </c>
      <c r="C24" s="14">
        <v>46079.61335648148</v>
      </c>
      <c r="D24" s="210" t="s">
        <v>101</v>
      </c>
      <c r="E24" s="211" t="s">
        <v>252</v>
      </c>
      <c r="F24" s="212"/>
      <c r="G24" s="210" t="s">
        <v>14146</v>
      </c>
      <c r="H24" s="161"/>
      <c r="I24" s="161"/>
      <c r="J24" s="156" t="s">
        <v>12658</v>
      </c>
      <c r="K24" s="156" t="s">
        <v>11866</v>
      </c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IFERROR(__xludf.DUMMYFUNCTION("ifna(VALUE(REGEXEXTRACT(E24,""[0-9.]+[,]+[0-9]+"")))"),5.0)</f>
        <v>5</v>
      </c>
      <c r="O24" s="58"/>
      <c r="P24" s="58"/>
      <c r="Q24" s="58"/>
      <c r="R24" s="58"/>
      <c r="S24" s="159"/>
      <c r="T24" s="58"/>
      <c r="U24" s="58"/>
      <c r="V24" s="58"/>
      <c r="W24" s="58"/>
    </row>
    <row r="25" ht="14.25" customHeight="1">
      <c r="A25" s="149"/>
      <c r="B25" s="13">
        <v>2025601.0</v>
      </c>
      <c r="C25" s="14">
        <v>46079.73037037037</v>
      </c>
      <c r="D25" s="210" t="s">
        <v>101</v>
      </c>
      <c r="E25" s="211" t="s">
        <v>465</v>
      </c>
      <c r="F25" s="212"/>
      <c r="G25" s="210" t="s">
        <v>14148</v>
      </c>
      <c r="H25" s="161"/>
      <c r="I25" s="161"/>
      <c r="J25" s="156" t="s">
        <v>12778</v>
      </c>
      <c r="K25" s="156" t="s">
        <v>11866</v>
      </c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"),"Confirmada")</f>
        <v>Confirmada</v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IFERROR(__xludf.DUMMYFUNCTION("ifna(VALUE(REGEXEXTRACT(E25,""[0-9.]+[,]+[0-9]+"")))"),550.0)</f>
        <v>550</v>
      </c>
      <c r="O25" s="67"/>
      <c r="P25" s="67"/>
      <c r="Q25" s="67"/>
      <c r="R25" s="67"/>
      <c r="S25" s="159"/>
      <c r="T25" s="67"/>
      <c r="U25" s="67"/>
      <c r="V25" s="67"/>
      <c r="W25" s="67"/>
    </row>
    <row r="26" ht="14.25" customHeight="1">
      <c r="A26" s="149"/>
      <c r="B26" s="13">
        <v>2025603.0</v>
      </c>
      <c r="C26" s="14">
        <v>46079.73069444444</v>
      </c>
      <c r="D26" s="210" t="s">
        <v>101</v>
      </c>
      <c r="E26" s="211" t="s">
        <v>13716</v>
      </c>
      <c r="F26" s="212"/>
      <c r="G26" s="210" t="s">
        <v>14066</v>
      </c>
      <c r="H26" s="161"/>
      <c r="I26" s="161"/>
      <c r="J26" s="156" t="s">
        <v>6914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IFERROR(__xludf.DUMMYFUNCTION("ifna(VALUE(REGEXEXTRACT(E26,""[0-9.]+[,]+[0-9]+"")))"),103.0)</f>
        <v>103</v>
      </c>
      <c r="O26" s="67"/>
      <c r="P26" s="67"/>
      <c r="Q26" s="67"/>
      <c r="R26" s="67"/>
      <c r="S26" s="159"/>
      <c r="T26" s="67"/>
      <c r="U26" s="67"/>
      <c r="V26" s="67"/>
      <c r="W26" s="67"/>
    </row>
    <row r="27" ht="14.25" customHeight="1">
      <c r="A27" s="149"/>
      <c r="B27" s="13">
        <v>2025823.0</v>
      </c>
      <c r="C27" s="14">
        <v>46079.80446759259</v>
      </c>
      <c r="D27" s="210" t="s">
        <v>101</v>
      </c>
      <c r="E27" s="211" t="s">
        <v>14152</v>
      </c>
      <c r="F27" s="212"/>
      <c r="G27" s="210" t="s">
        <v>325</v>
      </c>
      <c r="H27" s="161"/>
      <c r="I27" s="161"/>
      <c r="J27" s="156" t="s">
        <v>12658</v>
      </c>
      <c r="K27" s="156" t="s">
        <v>11866</v>
      </c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IFERROR(__xludf.DUMMYFUNCTION("ifna(VALUE(REGEXEXTRACT(E27,""[0-9.]+[,]+[0-9]+"")))"),109.95)</f>
        <v>109.95</v>
      </c>
      <c r="O27" s="67"/>
      <c r="P27" s="67"/>
      <c r="Q27" s="67"/>
      <c r="R27" s="67"/>
      <c r="S27" s="159"/>
      <c r="T27" s="67"/>
      <c r="U27" s="67"/>
      <c r="V27" s="67"/>
      <c r="W27" s="67"/>
    </row>
    <row r="28" ht="14.25" customHeight="1">
      <c r="A28" s="149"/>
      <c r="B28" s="13">
        <v>2026101.0</v>
      </c>
      <c r="C28" s="14">
        <v>46079.897048611114</v>
      </c>
      <c r="D28" s="210" t="s">
        <v>101</v>
      </c>
      <c r="E28" s="211" t="s">
        <v>637</v>
      </c>
      <c r="F28" s="212"/>
      <c r="G28" s="210" t="s">
        <v>14154</v>
      </c>
      <c r="H28" s="161"/>
      <c r="I28" s="161"/>
      <c r="J28" s="156" t="s">
        <v>6914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IFERROR(__xludf.DUMMYFUNCTION("ifna(VALUE(REGEXEXTRACT(E28,""[0-9.]+[,]+[0-9]+"")))"),41.0)</f>
        <v>41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3">
        <v>2026144.0</v>
      </c>
      <c r="C29" s="14">
        <v>46079.90724537037</v>
      </c>
      <c r="D29" s="210" t="s">
        <v>101</v>
      </c>
      <c r="E29" s="211" t="s">
        <v>398</v>
      </c>
      <c r="F29" s="212"/>
      <c r="G29" s="210" t="s">
        <v>14154</v>
      </c>
      <c r="H29" s="161"/>
      <c r="I29" s="161"/>
      <c r="J29" s="156" t="s">
        <v>6914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IFERROR(__xludf.DUMMYFUNCTION("ifna(VALUE(REGEXEXTRACT(E29,""[0-9.]+[,]+[0-9]+"")))"),12.0)</f>
        <v>12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3">
        <v>2026197.0</v>
      </c>
      <c r="C30" s="14">
        <v>46079.914293981485</v>
      </c>
      <c r="D30" s="210" t="s">
        <v>101</v>
      </c>
      <c r="E30" s="211" t="s">
        <v>615</v>
      </c>
      <c r="F30" s="212"/>
      <c r="G30" s="210" t="s">
        <v>225</v>
      </c>
      <c r="H30" s="161"/>
      <c r="I30" s="161"/>
      <c r="J30" s="156" t="s">
        <v>12658</v>
      </c>
      <c r="K30" s="156" t="s">
        <v>12693</v>
      </c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IFERROR(__xludf.DUMMYFUNCTION("ifna(VALUE(REGEXEXTRACT(E30,""[0-9.]+[,]+[0-9]+"")))"),18.0)</f>
        <v>18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3">
        <v>2026237.0</v>
      </c>
      <c r="C31" s="14">
        <v>46079.91806712963</v>
      </c>
      <c r="D31" s="210" t="s">
        <v>101</v>
      </c>
      <c r="E31" s="211" t="s">
        <v>213</v>
      </c>
      <c r="F31" s="212"/>
      <c r="G31" s="210" t="s">
        <v>14157</v>
      </c>
      <c r="H31" s="161"/>
      <c r="I31" s="161"/>
      <c r="J31" s="156" t="s">
        <v>12778</v>
      </c>
      <c r="K31" s="156" t="s">
        <v>13763</v>
      </c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"),"Confirmada")</f>
        <v>Confirmada</v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IFERROR(__xludf.DUMMYFUNCTION("ifna(VALUE(REGEXEXTRACT(E31,""[0-9.]+[,]+[0-9]+"")))"),200.0)</f>
        <v>200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3">
        <v>2026252.0</v>
      </c>
      <c r="C32" s="14">
        <v>46079.91898148148</v>
      </c>
      <c r="D32" s="210" t="s">
        <v>101</v>
      </c>
      <c r="E32" s="211" t="s">
        <v>746</v>
      </c>
      <c r="F32" s="212"/>
      <c r="G32" s="210" t="s">
        <v>14159</v>
      </c>
      <c r="H32" s="161"/>
      <c r="I32" s="161"/>
      <c r="J32" s="156" t="s">
        <v>12818</v>
      </c>
      <c r="K32" s="156"/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59">
        <f>IFERROR(__xludf.DUMMYFUNCTION("ifna(VALUE(REGEXEXTRACT(E32,""[0-9.]+[,]+[0-9]+"")))"),350.0)</f>
        <v>350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3">
        <v>2027400.0</v>
      </c>
      <c r="C33" s="14">
        <v>46080.73774305556</v>
      </c>
      <c r="D33" s="210" t="s">
        <v>101</v>
      </c>
      <c r="E33" s="211" t="s">
        <v>937</v>
      </c>
      <c r="F33" s="212"/>
      <c r="G33" s="210" t="s">
        <v>14066</v>
      </c>
      <c r="H33" s="161"/>
      <c r="I33" s="161"/>
      <c r="J33" s="156" t="s">
        <v>6914</v>
      </c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IFERROR(__xludf.DUMMYFUNCTION("ifna(VALUE(REGEXEXTRACT(E33,""[0-9.]+[,]+[0-9]+"")))"),105.0)</f>
        <v>105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2027406.0</v>
      </c>
      <c r="C34" s="14">
        <v>46080.739756944444</v>
      </c>
      <c r="D34" s="210" t="s">
        <v>101</v>
      </c>
      <c r="E34" s="211" t="s">
        <v>14160</v>
      </c>
      <c r="F34" s="212"/>
      <c r="G34" s="210" t="s">
        <v>14105</v>
      </c>
      <c r="H34" s="161"/>
      <c r="I34" s="161"/>
      <c r="J34" s="156" t="s">
        <v>12818</v>
      </c>
      <c r="K34" s="156"/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"),"")</f>
        <v/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159">
        <f>IFERROR(__xludf.DUMMYFUNCTION("ifna(VALUE(REGEXEXTRACT(E34,""[0-9.]+[,]+[0-9]+"")))"),95.45)</f>
        <v>95.45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2027408.0</v>
      </c>
      <c r="C35" s="14">
        <v>46080.740115740744</v>
      </c>
      <c r="D35" s="210" t="s">
        <v>101</v>
      </c>
      <c r="E35" s="211" t="s">
        <v>14162</v>
      </c>
      <c r="F35" s="212"/>
      <c r="G35" s="210" t="s">
        <v>14163</v>
      </c>
      <c r="H35" s="161"/>
      <c r="I35" s="161"/>
      <c r="J35" s="156" t="s">
        <v>12818</v>
      </c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159">
        <f>IFERROR(__xludf.DUMMYFUNCTION("ifna(VALUE(REGEXEXTRACT(E35,""[0-9.]+[,]+[0-9]+"")))"),85.65)</f>
        <v>85.65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2027653.0</v>
      </c>
      <c r="C36" s="14">
        <v>46080.82069444445</v>
      </c>
      <c r="D36" s="210" t="s">
        <v>101</v>
      </c>
      <c r="E36" s="211" t="s">
        <v>237</v>
      </c>
      <c r="F36" s="212"/>
      <c r="G36" s="210" t="s">
        <v>14164</v>
      </c>
      <c r="H36" s="169"/>
      <c r="I36" s="169"/>
      <c r="J36" s="156" t="s">
        <v>12778</v>
      </c>
      <c r="K36" s="156" t="s">
        <v>11866</v>
      </c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"),"Confirmada")</f>
        <v>Confirmada</v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IFERROR(__xludf.DUMMYFUNCTION("ifna(VALUE(REGEXEXTRACT(E36,""[0-9.]+[,]+[0-9]+"")))"),100.0)</f>
        <v>100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2027697.0</v>
      </c>
      <c r="C37" s="14">
        <v>46080.83625</v>
      </c>
      <c r="D37" s="210" t="s">
        <v>101</v>
      </c>
      <c r="E37" s="211" t="s">
        <v>14166</v>
      </c>
      <c r="F37" s="212"/>
      <c r="G37" s="210" t="s">
        <v>325</v>
      </c>
      <c r="H37" s="169"/>
      <c r="I37" s="169"/>
      <c r="J37" s="156" t="s">
        <v>12658</v>
      </c>
      <c r="K37" s="156" t="s">
        <v>11866</v>
      </c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IFERROR(__xludf.DUMMYFUNCTION("ifna(VALUE(REGEXEXTRACT(E37,""[0-9.]+[,]+[0-9]+"")))"),32.9)</f>
        <v>32.9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2027916.0</v>
      </c>
      <c r="C38" s="14">
        <v>46080.897199074076</v>
      </c>
      <c r="D38" s="210" t="s">
        <v>139</v>
      </c>
      <c r="E38" s="211" t="s">
        <v>586</v>
      </c>
      <c r="F38" s="212"/>
      <c r="G38" s="210" t="s">
        <v>142</v>
      </c>
      <c r="H38" s="170"/>
      <c r="I38" s="170"/>
      <c r="J38" s="156" t="s">
        <v>13783</v>
      </c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IFERROR(__xludf.DUMMYFUNCTION("ifna(VALUE(REGEXEXTRACT(E38,""[0-9.]+[,]+[0-9]+"")))"),120.0)</f>
        <v>120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2027972.0</v>
      </c>
      <c r="C39" s="14">
        <v>46080.90762731482</v>
      </c>
      <c r="D39" s="210" t="s">
        <v>101</v>
      </c>
      <c r="E39" s="211" t="s">
        <v>1839</v>
      </c>
      <c r="F39" s="214"/>
      <c r="G39" s="210" t="s">
        <v>14154</v>
      </c>
      <c r="H39" s="170"/>
      <c r="I39" s="170"/>
      <c r="J39" s="156" t="s">
        <v>6914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IFERROR(__xludf.DUMMYFUNCTION("ifna(VALUE(REGEXEXTRACT(E39,""[0-9.]+[,]+[0-9]+"")))"),92.0)</f>
        <v>92</v>
      </c>
      <c r="O39" s="171" t="str">
        <f>B8</f>
        <v>Rose</v>
      </c>
      <c r="S39" s="159"/>
      <c r="T39" s="148" t="str">
        <f>B9</f>
        <v>Regiane</v>
      </c>
    </row>
    <row r="40" ht="14.25" customHeight="1">
      <c r="A40" s="149"/>
      <c r="B40" s="13">
        <v>2028985.0</v>
      </c>
      <c r="C40" s="14">
        <v>46081.65940972222</v>
      </c>
      <c r="D40" s="210" t="s">
        <v>101</v>
      </c>
      <c r="E40" s="211" t="s">
        <v>14174</v>
      </c>
      <c r="F40" s="212"/>
      <c r="G40" s="210" t="s">
        <v>14175</v>
      </c>
      <c r="H40" s="170"/>
      <c r="I40" s="170"/>
      <c r="J40" s="156" t="s">
        <v>12658</v>
      </c>
      <c r="K40" s="156" t="s">
        <v>13760</v>
      </c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IFERROR(__xludf.DUMMYFUNCTION("ifna(VALUE(REGEXEXTRACT(E40,""[0-9.]+[,]+[0-9]+"")))"),34.85)</f>
        <v>34.85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2029382.0</v>
      </c>
      <c r="C41" s="14">
        <v>46081.74296296296</v>
      </c>
      <c r="D41" s="210" t="s">
        <v>101</v>
      </c>
      <c r="E41" s="211" t="s">
        <v>13201</v>
      </c>
      <c r="F41" s="212"/>
      <c r="G41" s="210" t="s">
        <v>14177</v>
      </c>
      <c r="H41" s="170"/>
      <c r="I41" s="170"/>
      <c r="J41" s="156" t="s">
        <v>6914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IFERROR(__xludf.DUMMYFUNCTION("ifna(VALUE(REGEXEXTRACT(E41,""[0-9.]+[,]+[0-9]+"")))"),140.0)</f>
        <v>140</v>
      </c>
      <c r="O41" s="206">
        <f>IFERROR(__xludf.DUMMYFUNCTION("""COMPUTED_VALUE"""),46079.91429398148)</f>
        <v>46079.91429</v>
      </c>
      <c r="P41" s="58" t="str">
        <f>IFERROR(__xludf.DUMMYFUNCTION("""COMPUTED_VALUE"""),"R$ 18,00")</f>
        <v>R$ 18,00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2030024.0</v>
      </c>
      <c r="C42" s="14">
        <v>46081.885613425926</v>
      </c>
      <c r="D42" s="210" t="s">
        <v>101</v>
      </c>
      <c r="E42" s="211" t="s">
        <v>985</v>
      </c>
      <c r="F42" s="212"/>
      <c r="G42" s="210" t="s">
        <v>13439</v>
      </c>
      <c r="H42" s="170"/>
      <c r="I42" s="170"/>
      <c r="J42" s="156" t="s">
        <v>12658</v>
      </c>
      <c r="K42" s="156" t="s">
        <v>12693</v>
      </c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IFERROR(__xludf.DUMMYFUNCTION("ifna(VALUE(REGEXEXTRACT(E42,""[0-9.]+[,]+[0-9]+"")))"),47.0)</f>
        <v>47</v>
      </c>
      <c r="O42" s="206">
        <f>IFERROR(__xludf.DUMMYFUNCTION("""COMPUTED_VALUE"""),46081.885613425926)</f>
        <v>46081.88561</v>
      </c>
      <c r="P42" s="58" t="str">
        <f>IFERROR(__xludf.DUMMYFUNCTION("""COMPUTED_VALUE"""),"R$ 47,00")</f>
        <v>R$ 47,00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3">
        <v>2030040.0</v>
      </c>
      <c r="C43" s="14">
        <v>46081.88943287037</v>
      </c>
      <c r="D43" s="210" t="s">
        <v>101</v>
      </c>
      <c r="E43" s="211" t="s">
        <v>477</v>
      </c>
      <c r="F43" s="212"/>
      <c r="G43" s="210" t="s">
        <v>13886</v>
      </c>
      <c r="H43" s="170"/>
      <c r="I43" s="170"/>
      <c r="J43" s="156" t="s">
        <v>12658</v>
      </c>
      <c r="K43" s="156" t="s">
        <v>11866</v>
      </c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IFERROR(__xludf.DUMMYFUNCTION("ifna(VALUE(REGEXEXTRACT(E43,""[0-9.]+[,]+[0-9]+"")))"),73.0)</f>
        <v>73</v>
      </c>
      <c r="O43" s="67"/>
      <c r="P43" s="67"/>
      <c r="Q43" s="67"/>
      <c r="R43" s="67"/>
      <c r="S43" s="159"/>
      <c r="T43" s="67"/>
      <c r="U43" s="67"/>
      <c r="V43" s="67"/>
      <c r="W43" s="67"/>
    </row>
    <row r="44" ht="14.25" customHeight="1">
      <c r="A44" s="149"/>
      <c r="B44" s="13">
        <v>2030112.0</v>
      </c>
      <c r="C44" s="14">
        <v>46081.90070601852</v>
      </c>
      <c r="D44" s="210" t="s">
        <v>139</v>
      </c>
      <c r="E44" s="211" t="s">
        <v>13229</v>
      </c>
      <c r="F44" s="212"/>
      <c r="G44" s="210" t="s">
        <v>12927</v>
      </c>
      <c r="H44" s="170"/>
      <c r="I44" s="170"/>
      <c r="J44" s="156" t="s">
        <v>13783</v>
      </c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IFERROR(__xludf.DUMMYFUNCTION("ifna(VALUE(REGEXEXTRACT(E44,""[0-9.]+[,]+[0-9]+"")))"),155.0)</f>
        <v>155</v>
      </c>
      <c r="O44" s="67"/>
      <c r="P44" s="67"/>
      <c r="Q44" s="67"/>
      <c r="R44" s="67"/>
      <c r="S44" s="159"/>
      <c r="T44" s="67"/>
      <c r="U44" s="67"/>
      <c r="V44" s="67"/>
      <c r="W44" s="67"/>
    </row>
    <row r="45" ht="14.25" customHeight="1">
      <c r="A45" s="149"/>
      <c r="B45" s="13">
        <v>2030139.0</v>
      </c>
      <c r="C45" s="14">
        <v>46081.90377314815</v>
      </c>
      <c r="D45" s="210" t="s">
        <v>101</v>
      </c>
      <c r="E45" s="211" t="s">
        <v>270</v>
      </c>
      <c r="F45" s="212"/>
      <c r="G45" s="210" t="s">
        <v>13747</v>
      </c>
      <c r="H45" s="170"/>
      <c r="I45" s="170"/>
      <c r="J45" s="156" t="s">
        <v>6914</v>
      </c>
      <c r="K45" s="156"/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IFERROR(__xludf.DUMMYFUNCTION("ifna(VALUE(REGEXEXTRACT(E45,""[0-9.]+[,]+[0-9]+"")))"),62.0)</f>
        <v>62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13">
        <v>2030198.0</v>
      </c>
      <c r="C46" s="14">
        <v>46081.91043981481</v>
      </c>
      <c r="D46" s="210" t="s">
        <v>101</v>
      </c>
      <c r="E46" s="211" t="s">
        <v>786</v>
      </c>
      <c r="F46" s="212"/>
      <c r="G46" s="210" t="s">
        <v>13882</v>
      </c>
      <c r="H46" s="170"/>
      <c r="I46" s="170"/>
      <c r="J46" s="156" t="s">
        <v>10036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IFERROR(__xludf.DUMMYFUNCTION("ifna(VALUE(REGEXEXTRACT(E46,""[0-9.]+[,]+[0-9]+"")))"),130.0)</f>
        <v>130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3">
        <v>2030199.0</v>
      </c>
      <c r="C47" s="14">
        <v>46081.91056712963</v>
      </c>
      <c r="D47" s="210" t="s">
        <v>101</v>
      </c>
      <c r="E47" s="211" t="s">
        <v>13900</v>
      </c>
      <c r="F47" s="212"/>
      <c r="G47" s="210" t="s">
        <v>13845</v>
      </c>
      <c r="H47" s="170"/>
      <c r="I47" s="170"/>
      <c r="J47" s="156" t="s">
        <v>10036</v>
      </c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IFERROR(__xludf.DUMMYFUNCTION("ifna(VALUE(REGEXEXTRACT(E47,""[0-9.]+[,]+[0-9]+"")))"),123.5)</f>
        <v>123.5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3">
        <v>2030203.0</v>
      </c>
      <c r="C48" s="14">
        <v>46081.91091435185</v>
      </c>
      <c r="D48" s="210" t="s">
        <v>101</v>
      </c>
      <c r="E48" s="211" t="s">
        <v>13209</v>
      </c>
      <c r="F48" s="212"/>
      <c r="G48" s="210" t="s">
        <v>13956</v>
      </c>
      <c r="H48" s="170"/>
      <c r="I48" s="170"/>
      <c r="J48" s="156" t="s">
        <v>10036</v>
      </c>
      <c r="K48" s="156"/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"),"")</f>
        <v/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IFERROR(__xludf.DUMMYFUNCTION("ifna(VALUE(REGEXEXTRACT(E48,""[0-9.]+[,]+[0-9]+"")))"),117.0)</f>
        <v>117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2030237.0</v>
      </c>
      <c r="C49" s="14">
        <v>46081.91488425926</v>
      </c>
      <c r="D49" s="210" t="s">
        <v>101</v>
      </c>
      <c r="E49" s="211" t="s">
        <v>13714</v>
      </c>
      <c r="F49" s="212"/>
      <c r="G49" s="210" t="s">
        <v>14185</v>
      </c>
      <c r="H49" s="170"/>
      <c r="I49" s="170"/>
      <c r="J49" s="156" t="s">
        <v>12778</v>
      </c>
      <c r="K49" s="156" t="s">
        <v>11866</v>
      </c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"),"Confirmada")</f>
        <v>Confirmada</v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IFERROR(__xludf.DUMMYFUNCTION("ifna(VALUE(REGEXEXTRACT(E49,""[0-9.]+[,]+[0-9]+"")))"),1200.0)</f>
        <v>1200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2031505.0</v>
      </c>
      <c r="C50" s="14">
        <v>46082.68587962963</v>
      </c>
      <c r="D50" s="210" t="s">
        <v>139</v>
      </c>
      <c r="E50" s="211" t="s">
        <v>14187</v>
      </c>
      <c r="F50" s="212"/>
      <c r="G50" s="210" t="s">
        <v>12927</v>
      </c>
      <c r="H50" s="170"/>
      <c r="I50" s="170"/>
      <c r="J50" s="156" t="s">
        <v>13783</v>
      </c>
      <c r="K50" s="156"/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IFERROR(__xludf.DUMMYFUNCTION("ifna(VALUE(REGEXEXTRACT(E50,""[0-9.]+[,]+[0-9]+"")))"),280.0)</f>
        <v>280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2032864.0</v>
      </c>
      <c r="C51" s="14">
        <v>46082.90131944444</v>
      </c>
      <c r="D51" s="210" t="s">
        <v>101</v>
      </c>
      <c r="E51" s="211" t="s">
        <v>14188</v>
      </c>
      <c r="F51" s="212"/>
      <c r="G51" s="210" t="s">
        <v>14189</v>
      </c>
      <c r="H51" s="170"/>
      <c r="I51" s="170"/>
      <c r="J51" s="156" t="s">
        <v>12818</v>
      </c>
      <c r="K51" s="156"/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"""")"),"Encontrada")</f>
        <v>Encontrada</v>
      </c>
      <c r="N51" s="159">
        <f>IFERROR(__xludf.DUMMYFUNCTION("ifna(VALUE(REGEXEXTRACT(E51,""[0-9.]+[,]+[0-9]+"")))"),24.19)</f>
        <v>24.19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2032873.0</v>
      </c>
      <c r="C52" s="14">
        <v>46082.90206018519</v>
      </c>
      <c r="D52" s="210" t="s">
        <v>101</v>
      </c>
      <c r="E52" s="211" t="s">
        <v>14191</v>
      </c>
      <c r="F52" s="212"/>
      <c r="G52" s="210" t="s">
        <v>14192</v>
      </c>
      <c r="H52" s="170"/>
      <c r="I52" s="170"/>
      <c r="J52" s="156" t="s">
        <v>12818</v>
      </c>
      <c r="K52" s="156"/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"""")"),"Encontrada")</f>
        <v>Encontrada</v>
      </c>
      <c r="N52" s="159">
        <f>IFERROR(__xludf.DUMMYFUNCTION("ifna(VALUE(REGEXEXTRACT(E52,""[0-9.]+[,]+[0-9]+"")))"),8.9)</f>
        <v>8.9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2032888.0</v>
      </c>
      <c r="C53" s="14">
        <v>46082.90347222222</v>
      </c>
      <c r="D53" s="210" t="s">
        <v>101</v>
      </c>
      <c r="E53" s="211" t="s">
        <v>13209</v>
      </c>
      <c r="F53" s="212"/>
      <c r="G53" s="210" t="s">
        <v>14195</v>
      </c>
      <c r="H53" s="170"/>
      <c r="I53" s="170"/>
      <c r="J53" s="156" t="s">
        <v>10036</v>
      </c>
      <c r="K53" s="156"/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IFERROR(__xludf.DUMMYFUNCTION("ifna(VALUE(REGEXEXTRACT(E53,""[0-9.]+[,]+[0-9]+"")))"),117.0)</f>
        <v>117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2032890.0</v>
      </c>
      <c r="C54" s="14">
        <v>46082.90368055556</v>
      </c>
      <c r="D54" s="210" t="s">
        <v>101</v>
      </c>
      <c r="E54" s="211" t="s">
        <v>13209</v>
      </c>
      <c r="F54" s="212"/>
      <c r="G54" s="210" t="s">
        <v>14197</v>
      </c>
      <c r="H54" s="170"/>
      <c r="I54" s="170"/>
      <c r="J54" s="156" t="s">
        <v>10036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IFERROR(__xludf.DUMMYFUNCTION("ifna(VALUE(REGEXEXTRACT(E54,""[0-9.]+[,]+[0-9]+"")))"),117.0)</f>
        <v>117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2033038.0</v>
      </c>
      <c r="C55" s="14">
        <v>46082.91631944444</v>
      </c>
      <c r="D55" s="210" t="s">
        <v>101</v>
      </c>
      <c r="E55" s="211" t="s">
        <v>1614</v>
      </c>
      <c r="F55" s="212"/>
      <c r="G55" s="210" t="s">
        <v>14199</v>
      </c>
      <c r="H55" s="170"/>
      <c r="I55" s="170"/>
      <c r="J55" s="156" t="s">
        <v>6914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IFERROR(__xludf.DUMMYFUNCTION("ifna(VALUE(REGEXEXTRACT(E55,""[0-9.]+[,]+[0-9]+"")))"),342.0)</f>
        <v>342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2033218.0</v>
      </c>
      <c r="C56" s="14">
        <v>46082.92493055556</v>
      </c>
      <c r="D56" s="210" t="s">
        <v>101</v>
      </c>
      <c r="E56" s="211" t="s">
        <v>13563</v>
      </c>
      <c r="F56" s="214"/>
      <c r="G56" s="210" t="s">
        <v>14200</v>
      </c>
      <c r="H56" s="170"/>
      <c r="I56" s="170"/>
      <c r="J56" s="156" t="s">
        <v>12778</v>
      </c>
      <c r="K56" s="156" t="s">
        <v>13763</v>
      </c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"),"Confirmada")</f>
        <v>Confirmada</v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IFERROR(__xludf.DUMMYFUNCTION("ifna(VALUE(REGEXEXTRACT(E56,""[0-9.]+[,]+[0-9]+"")))"),1300.0)</f>
        <v>1300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2034062.0</v>
      </c>
      <c r="C57" s="14">
        <v>46083.559953703705</v>
      </c>
      <c r="D57" s="210" t="s">
        <v>101</v>
      </c>
      <c r="E57" s="211" t="s">
        <v>252</v>
      </c>
      <c r="F57" s="212"/>
      <c r="G57" s="210" t="s">
        <v>13886</v>
      </c>
      <c r="H57" s="170"/>
      <c r="I57" s="170"/>
      <c r="J57" s="156" t="s">
        <v>12658</v>
      </c>
      <c r="K57" s="156" t="s">
        <v>11866</v>
      </c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IFERROR(__xludf.DUMMYFUNCTION("ifna(VALUE(REGEXEXTRACT(E57,""[0-9.]+[,]+[0-9]+"")))"),5.0)</f>
        <v>5</v>
      </c>
      <c r="U57" s="159"/>
      <c r="V57" s="159"/>
      <c r="W57" s="159"/>
    </row>
    <row r="58" ht="14.25" customHeight="1">
      <c r="A58" s="149"/>
      <c r="B58" s="13">
        <v>2034608.0</v>
      </c>
      <c r="C58" s="14">
        <v>46083.726643518516</v>
      </c>
      <c r="D58" s="210" t="s">
        <v>101</v>
      </c>
      <c r="E58" s="211" t="s">
        <v>14202</v>
      </c>
      <c r="F58" s="212"/>
      <c r="G58" s="210" t="s">
        <v>14203</v>
      </c>
      <c r="H58" s="170"/>
      <c r="I58" s="170"/>
      <c r="J58" s="156" t="s">
        <v>12818</v>
      </c>
      <c r="K58" s="156"/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"""")"),"Encontrada")</f>
        <v>Encontrada</v>
      </c>
      <c r="N58" s="159">
        <f>IFERROR(__xludf.DUMMYFUNCTION("ifna(VALUE(REGEXEXTRACT(E58,""[0-9.]+[,]+[0-9]+"")))"),78.95)</f>
        <v>78.95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2034633.0</v>
      </c>
      <c r="C59" s="14">
        <v>46083.731620370374</v>
      </c>
      <c r="D59" s="210" t="s">
        <v>101</v>
      </c>
      <c r="E59" s="211" t="s">
        <v>339</v>
      </c>
      <c r="F59" s="212"/>
      <c r="G59" s="210" t="s">
        <v>14066</v>
      </c>
      <c r="H59" s="170"/>
      <c r="I59" s="170"/>
      <c r="J59" s="156" t="s">
        <v>6914</v>
      </c>
      <c r="K59" s="156"/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IFERROR(__xludf.DUMMYFUNCTION("ifna(VALUE(REGEXEXTRACT(E59,""[0-9.]+[,]+[0-9]+"")))"),31.0)</f>
        <v>31</v>
      </c>
      <c r="O59" s="174" t="s">
        <v>9885</v>
      </c>
      <c r="P59" s="175">
        <v>46079.0</v>
      </c>
      <c r="Q59" s="174" t="s">
        <v>2052</v>
      </c>
      <c r="R59" s="176">
        <v>500.0</v>
      </c>
      <c r="S59" s="177" t="str">
        <f t="shared" ref="S59:S95" si="1">IFERROR(VLOOKUP(Q59, $A$4:$B$11, 2, FALSE), "")</f>
        <v>Josi Ribas</v>
      </c>
      <c r="U59" s="159"/>
      <c r="V59" s="159"/>
      <c r="W59" s="159"/>
    </row>
    <row r="60" ht="14.25" customHeight="1">
      <c r="A60" s="149"/>
      <c r="B60" s="13">
        <v>2034665.0</v>
      </c>
      <c r="C60" s="14">
        <v>46083.73841435185</v>
      </c>
      <c r="D60" s="210" t="s">
        <v>101</v>
      </c>
      <c r="E60" s="211" t="s">
        <v>1219</v>
      </c>
      <c r="F60" s="212"/>
      <c r="G60" s="210" t="s">
        <v>14208</v>
      </c>
      <c r="H60" s="170"/>
      <c r="I60" s="170"/>
      <c r="J60" s="156" t="s">
        <v>12778</v>
      </c>
      <c r="K60" s="156" t="s">
        <v>11866</v>
      </c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"),"Caixa Atendimento")</f>
        <v>Caixa Atendimento</v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IFERROR(__xludf.DUMMYFUNCTION("ifna(VALUE(REGEXEXTRACT(E60,""[0-9.]+[,]+[0-9]+"")))"),400.0)</f>
        <v>400</v>
      </c>
      <c r="O60" s="174" t="s">
        <v>9887</v>
      </c>
      <c r="P60" s="175">
        <v>46079.0</v>
      </c>
      <c r="Q60" s="176" t="s">
        <v>117</v>
      </c>
      <c r="R60" s="176">
        <v>500.0</v>
      </c>
      <c r="S60" s="177" t="str">
        <f t="shared" si="1"/>
        <v>Renan</v>
      </c>
      <c r="U60" s="159"/>
      <c r="V60" s="159"/>
      <c r="W60" s="159"/>
    </row>
    <row r="61" ht="14.25" customHeight="1">
      <c r="A61" s="149"/>
      <c r="B61" s="13">
        <v>2035519.0</v>
      </c>
      <c r="C61" s="14">
        <v>46083.92681712963</v>
      </c>
      <c r="D61" s="210" t="s">
        <v>101</v>
      </c>
      <c r="E61" s="211" t="s">
        <v>281</v>
      </c>
      <c r="F61" s="212"/>
      <c r="G61" s="210" t="s">
        <v>14154</v>
      </c>
      <c r="H61" s="170"/>
      <c r="I61" s="170"/>
      <c r="J61" s="156" t="s">
        <v>6914</v>
      </c>
      <c r="K61" s="156"/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IFERROR(__xludf.DUMMYFUNCTION("ifna(VALUE(REGEXEXTRACT(E61,""[0-9.]+[,]+[0-9]+"")))"),42.0)</f>
        <v>42</v>
      </c>
      <c r="O61" s="174" t="s">
        <v>9890</v>
      </c>
      <c r="P61" s="175">
        <v>46080.0</v>
      </c>
      <c r="Q61" s="174" t="s">
        <v>227</v>
      </c>
      <c r="R61" s="176">
        <v>500.0</v>
      </c>
      <c r="S61" s="177" t="str">
        <f t="shared" si="1"/>
        <v>Rose</v>
      </c>
      <c r="U61" s="159"/>
      <c r="V61" s="159"/>
      <c r="W61" s="159"/>
    </row>
    <row r="62" ht="14.25" customHeight="1">
      <c r="A62" s="149"/>
      <c r="B62" s="13">
        <v>2035559.0</v>
      </c>
      <c r="C62" s="14">
        <v>46083.930613425924</v>
      </c>
      <c r="D62" s="210" t="s">
        <v>101</v>
      </c>
      <c r="E62" s="211" t="s">
        <v>237</v>
      </c>
      <c r="F62" s="214"/>
      <c r="G62" s="210" t="s">
        <v>14214</v>
      </c>
      <c r="H62" s="170"/>
      <c r="I62" s="170"/>
      <c r="J62" s="156" t="s">
        <v>12778</v>
      </c>
      <c r="K62" s="156" t="s">
        <v>13763</v>
      </c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"),"Confirmada")</f>
        <v>Confirmada</v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IFERROR(__xludf.DUMMYFUNCTION("ifna(VALUE(REGEXEXTRACT(E62,""[0-9.]+[,]+[0-9]+"")))"),100.0)</f>
        <v>100</v>
      </c>
      <c r="O62" s="174"/>
      <c r="P62" s="175"/>
      <c r="Q62" s="174"/>
      <c r="R62" s="176"/>
      <c r="S62" s="177" t="str">
        <f t="shared" si="1"/>
        <v/>
      </c>
      <c r="U62" s="159"/>
      <c r="V62" s="159"/>
      <c r="W62" s="159"/>
    </row>
    <row r="63" ht="14.25" customHeight="1">
      <c r="A63" s="149"/>
      <c r="B63" s="13">
        <v>2035984.0</v>
      </c>
      <c r="C63" s="14">
        <v>46084.51590277778</v>
      </c>
      <c r="D63" s="210" t="s">
        <v>139</v>
      </c>
      <c r="E63" s="211" t="s">
        <v>1219</v>
      </c>
      <c r="F63" s="212"/>
      <c r="G63" s="210" t="s">
        <v>14208</v>
      </c>
      <c r="H63" s="170"/>
      <c r="I63" s="170"/>
      <c r="J63" s="156" t="s">
        <v>13783</v>
      </c>
      <c r="K63" s="156"/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IFERROR(__xludf.DUMMYFUNCTION("ifna(VALUE(REGEXEXTRACT(E63,""[0-9.]+[,]+[0-9]+"")))"),400.0)</f>
        <v>400</v>
      </c>
      <c r="O63" s="174"/>
      <c r="P63" s="175"/>
      <c r="Q63" s="176"/>
      <c r="R63" s="178"/>
      <c r="S63" s="177" t="str">
        <f t="shared" si="1"/>
        <v/>
      </c>
      <c r="U63" s="159"/>
      <c r="V63" s="159"/>
      <c r="W63" s="159"/>
    </row>
    <row r="64" ht="14.25" customHeight="1">
      <c r="A64" s="149"/>
      <c r="B64" s="13">
        <v>2035985.0</v>
      </c>
      <c r="C64" s="14">
        <v>46084.51603009259</v>
      </c>
      <c r="D64" s="210" t="s">
        <v>101</v>
      </c>
      <c r="E64" s="211" t="s">
        <v>1219</v>
      </c>
      <c r="F64" s="212"/>
      <c r="G64" s="210" t="s">
        <v>12928</v>
      </c>
      <c r="H64" s="170"/>
      <c r="I64" s="170"/>
      <c r="J64" s="156" t="s">
        <v>12952</v>
      </c>
      <c r="K64" s="156"/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IFERROR(__xludf.DUMMYFUNCTION("ifna(VALUE(REGEXEXTRACT(E64,""[0-9.]+[,]+[0-9]+"")))"),400.0)</f>
        <v>400</v>
      </c>
      <c r="O64" s="174"/>
      <c r="P64" s="175"/>
      <c r="Q64" s="174"/>
      <c r="R64" s="176"/>
      <c r="S64" s="177" t="str">
        <f t="shared" si="1"/>
        <v/>
      </c>
      <c r="U64" s="159"/>
      <c r="V64" s="159"/>
      <c r="W64" s="159"/>
    </row>
    <row r="65" ht="14.25" customHeight="1">
      <c r="A65" s="149"/>
      <c r="B65" s="13">
        <v>2036654.0</v>
      </c>
      <c r="C65" s="14">
        <v>46084.73322916667</v>
      </c>
      <c r="D65" s="210" t="s">
        <v>139</v>
      </c>
      <c r="E65" s="211" t="s">
        <v>291</v>
      </c>
      <c r="F65" s="212"/>
      <c r="G65" s="210" t="s">
        <v>272</v>
      </c>
      <c r="H65" s="170"/>
      <c r="I65" s="170"/>
      <c r="J65" s="156" t="s">
        <v>13783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IFERROR(__xludf.DUMMYFUNCTION("ifna(VALUE(REGEXEXTRACT(E65,""[0-9.]+[,]+[0-9]+"")))"),250.0)</f>
        <v>250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2036661.0</v>
      </c>
      <c r="C66" s="14">
        <v>46084.734988425924</v>
      </c>
      <c r="D66" s="210" t="s">
        <v>101</v>
      </c>
      <c r="E66" s="211" t="s">
        <v>2425</v>
      </c>
      <c r="F66" s="212"/>
      <c r="G66" s="210" t="s">
        <v>14066</v>
      </c>
      <c r="H66" s="170"/>
      <c r="I66" s="170"/>
      <c r="J66" s="156" t="s">
        <v>6914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IFERROR(__xludf.DUMMYFUNCTION("ifna(VALUE(REGEXEXTRACT(E66,""[0-9.]+[,]+[0-9]+"")))"),95.0)</f>
        <v>95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2036669.0</v>
      </c>
      <c r="C67" s="14">
        <v>46084.7365625</v>
      </c>
      <c r="D67" s="210" t="s">
        <v>139</v>
      </c>
      <c r="E67" s="211" t="s">
        <v>14221</v>
      </c>
      <c r="F67" s="212"/>
      <c r="G67" s="210" t="s">
        <v>12927</v>
      </c>
      <c r="H67" s="170"/>
      <c r="I67" s="170"/>
      <c r="J67" s="156" t="s">
        <v>13783</v>
      </c>
      <c r="K67" s="156"/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IFERROR(__xludf.DUMMYFUNCTION("ifna(VALUE(REGEXEXTRACT(E67,""[0-9.]+[,]+[0-9]+"")))"),92.5)</f>
        <v>92.5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2036699.0</v>
      </c>
      <c r="C68" s="14">
        <v>46084.744618055556</v>
      </c>
      <c r="D68" s="210" t="s">
        <v>101</v>
      </c>
      <c r="E68" s="211" t="s">
        <v>2133</v>
      </c>
      <c r="F68" s="212"/>
      <c r="G68" s="210" t="s">
        <v>14224</v>
      </c>
      <c r="H68" s="170"/>
      <c r="I68" s="170"/>
      <c r="J68" s="156" t="s">
        <v>12778</v>
      </c>
      <c r="K68" s="156" t="s">
        <v>11866</v>
      </c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"),"Confirmada")</f>
        <v>Confirmada</v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IFERROR(__xludf.DUMMYFUNCTION("ifna(VALUE(REGEXEXTRACT(E68,""[0-9.]+[,]+[0-9]+"")))"),750.0)</f>
        <v>750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2037458.0</v>
      </c>
      <c r="C69" s="14">
        <v>46084.92042824074</v>
      </c>
      <c r="D69" s="210" t="s">
        <v>101</v>
      </c>
      <c r="E69" s="211" t="s">
        <v>1208</v>
      </c>
      <c r="F69" s="212"/>
      <c r="G69" s="210" t="s">
        <v>512</v>
      </c>
      <c r="H69" s="170"/>
      <c r="I69" s="170"/>
      <c r="J69" s="156" t="s">
        <v>6914</v>
      </c>
      <c r="K69" s="156"/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IFERROR(__xludf.DUMMYFUNCTION("ifna(VALUE(REGEXEXTRACT(E69,""[0-9.]+[,]+[0-9]+"")))"),98.0)</f>
        <v>98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2037599.0</v>
      </c>
      <c r="C70" s="14">
        <v>46084.93216435185</v>
      </c>
      <c r="D70" s="210" t="s">
        <v>101</v>
      </c>
      <c r="E70" s="211" t="s">
        <v>201</v>
      </c>
      <c r="F70" s="212"/>
      <c r="G70" s="210" t="s">
        <v>14228</v>
      </c>
      <c r="H70" s="170"/>
      <c r="I70" s="170"/>
      <c r="J70" s="156" t="s">
        <v>12778</v>
      </c>
      <c r="K70" s="156" t="s">
        <v>13763</v>
      </c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"),"Confirmada")</f>
        <v>Confirmada</v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IFERROR(__xludf.DUMMYFUNCTION("ifna(VALUE(REGEXEXTRACT(E70,""[0-9.]+[,]+[0-9]+"")))"),150.0)</f>
        <v>150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2038215.0</v>
      </c>
      <c r="C71" s="14">
        <v>46085.62849537037</v>
      </c>
      <c r="D71" s="210" t="s">
        <v>139</v>
      </c>
      <c r="E71" s="211" t="s">
        <v>201</v>
      </c>
      <c r="F71" s="212"/>
      <c r="G71" s="210" t="s">
        <v>14229</v>
      </c>
      <c r="H71" s="170"/>
      <c r="I71" s="170"/>
      <c r="J71" s="156" t="s">
        <v>13783</v>
      </c>
      <c r="K71" s="156"/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IFERROR(__xludf.DUMMYFUNCTION("ifna(VALUE(REGEXEXTRACT(E71,""[0-9.]+[,]+[0-9]+"")))"),150.0)</f>
        <v>150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2038494.0</v>
      </c>
      <c r="C72" s="14">
        <v>46085.709872685184</v>
      </c>
      <c r="D72" s="210" t="s">
        <v>101</v>
      </c>
      <c r="E72" s="211" t="s">
        <v>321</v>
      </c>
      <c r="F72" s="212"/>
      <c r="G72" s="210" t="s">
        <v>14232</v>
      </c>
      <c r="H72" s="170"/>
      <c r="I72" s="170"/>
      <c r="J72" s="156" t="s">
        <v>6914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IFERROR(__xludf.DUMMYFUNCTION("ifna(VALUE(REGEXEXTRACT(E72,""[0-9.]+[,]+[0-9]+"")))"),83.0)</f>
        <v>83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2038618.0</v>
      </c>
      <c r="C73" s="14">
        <v>46085.73425925926</v>
      </c>
      <c r="D73" s="210" t="s">
        <v>101</v>
      </c>
      <c r="E73" s="211" t="s">
        <v>2075</v>
      </c>
      <c r="F73" s="212"/>
      <c r="G73" s="210" t="s">
        <v>14234</v>
      </c>
      <c r="H73" s="170"/>
      <c r="I73" s="170"/>
      <c r="J73" s="156" t="s">
        <v>12778</v>
      </c>
      <c r="K73" s="156" t="s">
        <v>11866</v>
      </c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"),"Confirmada")</f>
        <v>Confirmada</v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IFERROR(__xludf.DUMMYFUNCTION("ifna(VALUE(REGEXEXTRACT(E73,""[0-9.]+[,]+[0-9]+"")))"),900.0)</f>
        <v>900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2039263.0</v>
      </c>
      <c r="C74" s="14">
        <v>46085.91815972222</v>
      </c>
      <c r="D74" s="210" t="s">
        <v>101</v>
      </c>
      <c r="E74" s="211" t="s">
        <v>13138</v>
      </c>
      <c r="F74" s="212"/>
      <c r="G74" s="210" t="s">
        <v>14236</v>
      </c>
      <c r="H74" s="170"/>
      <c r="I74" s="170"/>
      <c r="J74" s="156"/>
      <c r="K74" s="156"/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IFERROR(__xludf.DUMMYFUNCTION("ifna(VALUE(REGEXEXTRACT(E74,""[0-9.]+[,]+[0-9]+"")))"),0.01)</f>
        <v>0.01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2039403.0</v>
      </c>
      <c r="C75" s="14">
        <v>46085.93138888889</v>
      </c>
      <c r="D75" s="210" t="s">
        <v>101</v>
      </c>
      <c r="E75" s="211" t="s">
        <v>2025</v>
      </c>
      <c r="F75" s="212"/>
      <c r="G75" s="210" t="s">
        <v>14154</v>
      </c>
      <c r="H75" s="170"/>
      <c r="I75" s="170"/>
      <c r="J75" s="156" t="s">
        <v>6914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IFERROR(__xludf.DUMMYFUNCTION("ifna(VALUE(REGEXEXTRACT(E75,""[0-9.]+[,]+[0-9]+"")))"),43.0)</f>
        <v>43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2039417.0</v>
      </c>
      <c r="C76" s="14">
        <v>46085.932754629626</v>
      </c>
      <c r="D76" s="210" t="s">
        <v>101</v>
      </c>
      <c r="E76" s="211" t="s">
        <v>465</v>
      </c>
      <c r="F76" s="214"/>
      <c r="G76" s="210" t="s">
        <v>14239</v>
      </c>
      <c r="H76" s="170"/>
      <c r="I76" s="170"/>
      <c r="J76" s="156" t="s">
        <v>12778</v>
      </c>
      <c r="K76" s="156" t="s">
        <v>13763</v>
      </c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IFERROR(__xludf.DUMMYFUNCTION("ifna(VALUE(REGEXEXTRACT(E76,""[0-9.]+[,]+[0-9]+"")))"),550.0)</f>
        <v>550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2040290.0</v>
      </c>
      <c r="C77" s="14">
        <v>46086.69702546296</v>
      </c>
      <c r="D77" s="210" t="s">
        <v>101</v>
      </c>
      <c r="E77" s="211" t="s">
        <v>14240</v>
      </c>
      <c r="F77" s="212"/>
      <c r="G77" s="210" t="s">
        <v>13978</v>
      </c>
      <c r="H77" s="170"/>
      <c r="I77" s="170"/>
      <c r="J77" s="156" t="s">
        <v>12818</v>
      </c>
      <c r="K77" s="156"/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159">
        <f>IFERROR(__xludf.DUMMYFUNCTION("ifna(VALUE(REGEXEXTRACT(E77,""[0-9.]+[,]+[0-9]+"")))"),6.2)</f>
        <v>6.2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2040295.0</v>
      </c>
      <c r="C78" s="14">
        <v>46086.698379629626</v>
      </c>
      <c r="D78" s="210" t="s">
        <v>101</v>
      </c>
      <c r="E78" s="211" t="s">
        <v>274</v>
      </c>
      <c r="F78" s="212"/>
      <c r="G78" s="210" t="s">
        <v>14241</v>
      </c>
      <c r="H78" s="170"/>
      <c r="I78" s="170"/>
      <c r="J78" s="156" t="s">
        <v>12818</v>
      </c>
      <c r="K78" s="156"/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59">
        <f>IFERROR(__xludf.DUMMYFUNCTION("ifna(VALUE(REGEXEXTRACT(E78,""[0-9.]+[,]+[0-9]+"")))"),6.0)</f>
        <v>6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2040300.0</v>
      </c>
      <c r="C79" s="14">
        <v>46086.69903935185</v>
      </c>
      <c r="D79" s="210" t="s">
        <v>101</v>
      </c>
      <c r="E79" s="211" t="s">
        <v>14242</v>
      </c>
      <c r="F79" s="212"/>
      <c r="G79" s="210" t="s">
        <v>14243</v>
      </c>
      <c r="H79" s="170"/>
      <c r="I79" s="170"/>
      <c r="J79" s="156" t="s">
        <v>12818</v>
      </c>
      <c r="K79" s="156"/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59">
        <f>IFERROR(__xludf.DUMMYFUNCTION("ifna(VALUE(REGEXEXTRACT(E79,""[0-9.]+[,]+[0-9]+"")))"),128.8)</f>
        <v>128.8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2040422.0</v>
      </c>
      <c r="C80" s="14">
        <v>46086.72729166667</v>
      </c>
      <c r="D80" s="210" t="s">
        <v>101</v>
      </c>
      <c r="E80" s="211" t="s">
        <v>256</v>
      </c>
      <c r="F80" s="212"/>
      <c r="G80" s="210" t="s">
        <v>12928</v>
      </c>
      <c r="H80" s="170"/>
      <c r="I80" s="170"/>
      <c r="J80" s="156" t="s">
        <v>12952</v>
      </c>
      <c r="K80" s="156"/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IFERROR(__xludf.DUMMYFUNCTION("ifna(VALUE(REGEXEXTRACT(E80,""[0-9.]+[,]+[0-9]+"")))"),300.0)</f>
        <v>300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2040435.0</v>
      </c>
      <c r="C81" s="14">
        <v>46086.72938657407</v>
      </c>
      <c r="D81" s="210" t="s">
        <v>101</v>
      </c>
      <c r="E81" s="211" t="s">
        <v>14245</v>
      </c>
      <c r="F81" s="212"/>
      <c r="G81" s="210" t="s">
        <v>14246</v>
      </c>
      <c r="H81" s="170"/>
      <c r="I81" s="170"/>
      <c r="J81" s="156" t="s">
        <v>12720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IFERROR(__xludf.DUMMYFUNCTION("ifna(VALUE(REGEXEXTRACT(E81,""[0-9.]+[,]+[0-9]+"")))"),54.1)</f>
        <v>54.1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2040491.0</v>
      </c>
      <c r="C82" s="14">
        <v>46086.73902777778</v>
      </c>
      <c r="D82" s="210" t="s">
        <v>101</v>
      </c>
      <c r="E82" s="211" t="s">
        <v>14247</v>
      </c>
      <c r="F82" s="212"/>
      <c r="G82" s="210" t="s">
        <v>14066</v>
      </c>
      <c r="H82" s="170"/>
      <c r="I82" s="170"/>
      <c r="J82" s="156" t="s">
        <v>6914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IFERROR(__xludf.DUMMYFUNCTION("ifna(VALUE(REGEXEXTRACT(E82,""[0-9.]+[,]+[0-9]+"")))"),138.0)</f>
        <v>138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2041174.0</v>
      </c>
      <c r="C83" s="14">
        <v>46086.913611111115</v>
      </c>
      <c r="D83" s="210" t="s">
        <v>101</v>
      </c>
      <c r="E83" s="211" t="s">
        <v>13007</v>
      </c>
      <c r="F83" s="212"/>
      <c r="G83" s="210" t="s">
        <v>14154</v>
      </c>
      <c r="H83" s="170"/>
      <c r="I83" s="170"/>
      <c r="J83" s="156" t="s">
        <v>6914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IFERROR(__xludf.DUMMYFUNCTION("ifna(VALUE(REGEXEXTRACT(E83,""[0-9.]+[,]+[0-9]+"")))"),70.0)</f>
        <v>70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2041179.0</v>
      </c>
      <c r="C84" s="14">
        <v>46086.91378472222</v>
      </c>
      <c r="D84" s="210" t="s">
        <v>101</v>
      </c>
      <c r="E84" s="211" t="s">
        <v>746</v>
      </c>
      <c r="F84" s="212"/>
      <c r="G84" s="210" t="s">
        <v>14248</v>
      </c>
      <c r="H84" s="170"/>
      <c r="I84" s="170"/>
      <c r="J84" s="156" t="s">
        <v>12778</v>
      </c>
      <c r="K84" s="156" t="s">
        <v>13763</v>
      </c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"),"Confirmada")</f>
        <v>Confirmada</v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IFERROR(__xludf.DUMMYFUNCTION("ifna(VALUE(REGEXEXTRACT(E84,""[0-9.]+[,]+[0-9]+"")))"),350.0)</f>
        <v>350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2042838.0</v>
      </c>
      <c r="C85" s="14">
        <v>46087.79006944445</v>
      </c>
      <c r="D85" s="210" t="s">
        <v>101</v>
      </c>
      <c r="E85" s="211" t="s">
        <v>14249</v>
      </c>
      <c r="F85" s="212"/>
      <c r="G85" s="210" t="s">
        <v>133</v>
      </c>
      <c r="H85" s="170"/>
      <c r="I85" s="170"/>
      <c r="J85" s="156" t="s">
        <v>6914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IFERROR(__xludf.DUMMYFUNCTION("ifna(VALUE(REGEXEXTRACT(E85,""[0-9.]+[,]+[0-9]+"")))"),133.0)</f>
        <v>133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2042873.0</v>
      </c>
      <c r="C86" s="14">
        <v>46087.79917824074</v>
      </c>
      <c r="D86" s="210" t="s">
        <v>101</v>
      </c>
      <c r="E86" s="211" t="s">
        <v>14251</v>
      </c>
      <c r="F86" s="212"/>
      <c r="G86" s="210" t="s">
        <v>452</v>
      </c>
      <c r="H86" s="170"/>
      <c r="I86" s="170"/>
      <c r="J86" s="156" t="s">
        <v>12818</v>
      </c>
      <c r="K86" s="156"/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"""")"),"Encontrada")</f>
        <v>Encontrada</v>
      </c>
      <c r="N86" s="159">
        <f>IFERROR(__xludf.DUMMYFUNCTION("ifna(VALUE(REGEXEXTRACT(E86,""[0-9.]+[,]+[0-9]+"")))"),257.0)</f>
        <v>257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2042885.0</v>
      </c>
      <c r="C87" s="14">
        <v>46087.80740740741</v>
      </c>
      <c r="D87" s="210" t="s">
        <v>101</v>
      </c>
      <c r="E87" s="211" t="s">
        <v>260</v>
      </c>
      <c r="F87" s="212"/>
      <c r="G87" s="210" t="s">
        <v>14253</v>
      </c>
      <c r="H87" s="170"/>
      <c r="I87" s="170"/>
      <c r="J87" s="156" t="s">
        <v>12818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"""")"),"Encontrada")</f>
        <v>Encontrada</v>
      </c>
      <c r="N87" s="159">
        <f>IFERROR(__xludf.DUMMYFUNCTION("ifna(VALUE(REGEXEXTRACT(E87,""[0-9.]+[,]+[0-9]+"")))"),13.0)</f>
        <v>13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2042888.0</v>
      </c>
      <c r="C88" s="14">
        <v>46087.808599537035</v>
      </c>
      <c r="D88" s="210" t="s">
        <v>101</v>
      </c>
      <c r="E88" s="211" t="s">
        <v>14255</v>
      </c>
      <c r="F88" s="212"/>
      <c r="G88" s="210" t="s">
        <v>14256</v>
      </c>
      <c r="H88" s="170"/>
      <c r="I88" s="170"/>
      <c r="J88" s="156" t="s">
        <v>12818</v>
      </c>
      <c r="K88" s="156"/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159">
        <f>IFERROR(__xludf.DUMMYFUNCTION("ifna(VALUE(REGEXEXTRACT(E88,""[0-9.]+[,]+[0-9]+"")))"),134.9)</f>
        <v>134.9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2042890.0</v>
      </c>
      <c r="C89" s="14">
        <v>46087.809699074074</v>
      </c>
      <c r="D89" s="210" t="s">
        <v>101</v>
      </c>
      <c r="E89" s="211" t="s">
        <v>14257</v>
      </c>
      <c r="F89" s="212"/>
      <c r="G89" s="210" t="s">
        <v>537</v>
      </c>
      <c r="H89" s="170"/>
      <c r="I89" s="170"/>
      <c r="J89" s="156" t="s">
        <v>12818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"""")"),"Encontrada")</f>
        <v>Encontrada</v>
      </c>
      <c r="N89" s="159">
        <f>IFERROR(__xludf.DUMMYFUNCTION("ifna(VALUE(REGEXEXTRACT(E89,""[0-9.]+[,]+[0-9]+"")))"),97.75)</f>
        <v>97.75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2042933.0</v>
      </c>
      <c r="C90" s="14">
        <v>46087.82509259259</v>
      </c>
      <c r="D90" s="210" t="s">
        <v>101</v>
      </c>
      <c r="E90" s="211" t="s">
        <v>256</v>
      </c>
      <c r="F90" s="212"/>
      <c r="G90" s="210" t="s">
        <v>14259</v>
      </c>
      <c r="H90" s="170"/>
      <c r="I90" s="170"/>
      <c r="J90" s="156" t="s">
        <v>12778</v>
      </c>
      <c r="K90" s="156" t="s">
        <v>11866</v>
      </c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"),"Confirmada")</f>
        <v>Confirmada</v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IFERROR(__xludf.DUMMYFUNCTION("ifna(VALUE(REGEXEXTRACT(E90,""[0-9.]+[,]+[0-9]+"")))"),300.0)</f>
        <v>300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2042996.0</v>
      </c>
      <c r="C91" s="14">
        <v>46087.83980324074</v>
      </c>
      <c r="D91" s="210" t="s">
        <v>101</v>
      </c>
      <c r="E91" s="211" t="s">
        <v>14261</v>
      </c>
      <c r="F91" s="212"/>
      <c r="G91" s="210" t="s">
        <v>334</v>
      </c>
      <c r="H91" s="170"/>
      <c r="I91" s="170"/>
      <c r="J91" s="156" t="s">
        <v>12658</v>
      </c>
      <c r="K91" s="156" t="s">
        <v>13760</v>
      </c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IFERROR(__xludf.DUMMYFUNCTION("ifna(VALUE(REGEXEXTRACT(E91,""[0-9.]+[,]+[0-9]+"")))"),18.2)</f>
        <v>18.2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2043501.0</v>
      </c>
      <c r="C92" s="14">
        <v>46087.92986111111</v>
      </c>
      <c r="D92" s="210" t="s">
        <v>101</v>
      </c>
      <c r="E92" s="211" t="s">
        <v>213</v>
      </c>
      <c r="F92" s="212"/>
      <c r="G92" s="210" t="s">
        <v>14263</v>
      </c>
      <c r="H92" s="170"/>
      <c r="I92" s="170"/>
      <c r="J92" s="156" t="s">
        <v>12778</v>
      </c>
      <c r="K92" s="156" t="s">
        <v>13763</v>
      </c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"),"Confirmada")</f>
        <v>Confirmada</v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IFERROR(__xludf.DUMMYFUNCTION("ifna(VALUE(REGEXEXTRACT(E92,""[0-9.]+[,]+[0-9]+"")))"),200.0)</f>
        <v>200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2043504.0</v>
      </c>
      <c r="C93" s="14">
        <v>46087.930300925924</v>
      </c>
      <c r="D93" s="210" t="s">
        <v>101</v>
      </c>
      <c r="E93" s="211" t="s">
        <v>14264</v>
      </c>
      <c r="F93" s="212"/>
      <c r="G93" s="210" t="s">
        <v>14154</v>
      </c>
      <c r="H93" s="170"/>
      <c r="I93" s="170"/>
      <c r="J93" s="156" t="s">
        <v>6914</v>
      </c>
      <c r="K93" s="156"/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IFERROR(__xludf.DUMMYFUNCTION("ifna(VALUE(REGEXEXTRACT(E93,""[0-9.]+[,]+[0-9]+"")))"),87.0)</f>
        <v>87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2044128.0</v>
      </c>
      <c r="C94" s="14">
        <v>46088.566087962965</v>
      </c>
      <c r="D94" s="210" t="s">
        <v>101</v>
      </c>
      <c r="E94" s="211" t="s">
        <v>501</v>
      </c>
      <c r="F94" s="214"/>
      <c r="G94" s="210" t="s">
        <v>14265</v>
      </c>
      <c r="H94" s="170"/>
      <c r="I94" s="170"/>
      <c r="J94" s="156" t="s">
        <v>10036</v>
      </c>
      <c r="K94" s="156"/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IFERROR(__xludf.DUMMYFUNCTION("ifna(VALUE(REGEXEXTRACT(E94,""[0-9.]+[,]+[0-9]+"")))"),25.0)</f>
        <v>25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2044140.0</v>
      </c>
      <c r="C95" s="14">
        <v>46088.56940972222</v>
      </c>
      <c r="D95" s="210" t="s">
        <v>139</v>
      </c>
      <c r="E95" s="211" t="s">
        <v>12951</v>
      </c>
      <c r="F95" s="212"/>
      <c r="G95" s="210" t="s">
        <v>142</v>
      </c>
      <c r="H95" s="170"/>
      <c r="I95" s="170"/>
      <c r="J95" s="156" t="s">
        <v>13783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IFERROR(__xludf.DUMMYFUNCTION("ifna(VALUE(REGEXEXTRACT(E95,""[0-9.]+[,]+[0-9]+"")))"),170.0)</f>
        <v>170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2045120.0</v>
      </c>
      <c r="C96" s="14">
        <v>46088.813055555554</v>
      </c>
      <c r="D96" s="210" t="s">
        <v>101</v>
      </c>
      <c r="E96" s="211" t="s">
        <v>14268</v>
      </c>
      <c r="F96" s="212"/>
      <c r="G96" s="210" t="s">
        <v>512</v>
      </c>
      <c r="H96" s="170"/>
      <c r="I96" s="170"/>
      <c r="J96" s="156" t="s">
        <v>6914</v>
      </c>
      <c r="K96" s="156"/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IFERROR(__xludf.DUMMYFUNCTION("ifna(VALUE(REGEXEXTRACT(E96,""[0-9.]+[,]+[0-9]+"")))"),249.0)</f>
        <v>249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2045225.0</v>
      </c>
      <c r="C97" s="14">
        <v>46088.83372685185</v>
      </c>
      <c r="D97" s="210" t="s">
        <v>139</v>
      </c>
      <c r="E97" s="211" t="s">
        <v>13412</v>
      </c>
      <c r="F97" s="212"/>
      <c r="G97" s="210" t="s">
        <v>272</v>
      </c>
      <c r="H97" s="170"/>
      <c r="I97" s="170"/>
      <c r="J97" s="156" t="s">
        <v>13783</v>
      </c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IFERROR(__xludf.DUMMYFUNCTION("ifna(VALUE(REGEXEXTRACT(E97,""[0-9.]+[,]+[0-9]+"")))"),190.0)</f>
        <v>190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2045696.0</v>
      </c>
      <c r="C98" s="14">
        <v>46088.91196759259</v>
      </c>
      <c r="D98" s="210" t="s">
        <v>101</v>
      </c>
      <c r="E98" s="211" t="s">
        <v>165</v>
      </c>
      <c r="F98" s="212"/>
      <c r="G98" s="210" t="s">
        <v>14154</v>
      </c>
      <c r="H98" s="170"/>
      <c r="I98" s="170"/>
      <c r="J98" s="156" t="s">
        <v>6914</v>
      </c>
      <c r="K98" s="156"/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IFERROR(__xludf.DUMMYFUNCTION("ifna(VALUE(REGEXEXTRACT(E98,""[0-9.]+[,]+[0-9]+"")))"),58.0)</f>
        <v>58</v>
      </c>
      <c r="O98" s="181" t="s">
        <v>13284</v>
      </c>
      <c r="W98" s="159"/>
    </row>
    <row r="99" ht="14.25" customHeight="1">
      <c r="A99" s="149"/>
      <c r="B99" s="13">
        <v>2045751.0</v>
      </c>
      <c r="C99" s="14">
        <v>46088.91795138889</v>
      </c>
      <c r="D99" s="210" t="s">
        <v>101</v>
      </c>
      <c r="E99" s="211" t="s">
        <v>14270</v>
      </c>
      <c r="F99" s="212"/>
      <c r="G99" s="210" t="s">
        <v>523</v>
      </c>
      <c r="H99" s="170"/>
      <c r="I99" s="170"/>
      <c r="J99" s="156" t="s">
        <v>12658</v>
      </c>
      <c r="K99" s="156" t="s">
        <v>13760</v>
      </c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IFERROR(__xludf.DUMMYFUNCTION("ifna(VALUE(REGEXEXTRACT(E99,""[0-9.]+[,]+[0-9]+"")))"),56.48)</f>
        <v>56.48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2045850.0</v>
      </c>
      <c r="C100" s="14">
        <v>46088.924479166664</v>
      </c>
      <c r="D100" s="210" t="s">
        <v>101</v>
      </c>
      <c r="E100" s="211" t="s">
        <v>526</v>
      </c>
      <c r="F100" s="212"/>
      <c r="G100" s="210" t="s">
        <v>14271</v>
      </c>
      <c r="H100" s="170"/>
      <c r="I100" s="170"/>
      <c r="J100" s="156" t="s">
        <v>10036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IFERROR(__xludf.DUMMYFUNCTION("ifna(VALUE(REGEXEXTRACT(E100,""[0-9.]+[,]+[0-9]+"")))"),21.0)</f>
        <v>21</v>
      </c>
      <c r="O100" s="222"/>
      <c r="P100" s="186"/>
      <c r="Q100" s="185"/>
      <c r="R100" s="187"/>
      <c r="S100" s="185"/>
      <c r="V100" s="185"/>
      <c r="W100" s="159"/>
    </row>
    <row r="101" ht="14.25" customHeight="1">
      <c r="A101" s="149"/>
      <c r="B101" s="13">
        <v>2045867.0</v>
      </c>
      <c r="C101" s="14">
        <v>46088.92530092593</v>
      </c>
      <c r="D101" s="210" t="s">
        <v>101</v>
      </c>
      <c r="E101" s="211" t="s">
        <v>13051</v>
      </c>
      <c r="F101" s="212"/>
      <c r="G101" s="210" t="s">
        <v>14273</v>
      </c>
      <c r="H101" s="170"/>
      <c r="I101" s="170"/>
      <c r="J101" s="156" t="s">
        <v>10036</v>
      </c>
      <c r="K101" s="156"/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IFERROR(__xludf.DUMMYFUNCTION("ifna(VALUE(REGEXEXTRACT(E101,""[0-9.]+[,]+[0-9]+"")))"),71.0)</f>
        <v>71</v>
      </c>
      <c r="O101" s="188"/>
      <c r="P101" s="189"/>
      <c r="Q101" s="188"/>
      <c r="R101" s="190"/>
      <c r="S101" s="188"/>
      <c r="V101" s="188"/>
      <c r="W101" s="159"/>
    </row>
    <row r="102" ht="14.25" customHeight="1">
      <c r="A102" s="149"/>
      <c r="B102" s="13">
        <v>2045868.0</v>
      </c>
      <c r="C102" s="14">
        <v>46088.92548611111</v>
      </c>
      <c r="D102" s="210" t="s">
        <v>101</v>
      </c>
      <c r="E102" s="211" t="s">
        <v>13209</v>
      </c>
      <c r="F102" s="212"/>
      <c r="G102" s="210" t="s">
        <v>14275</v>
      </c>
      <c r="H102" s="170"/>
      <c r="I102" s="170"/>
      <c r="J102" s="156" t="s">
        <v>10036</v>
      </c>
      <c r="K102" s="156"/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IFERROR(__xludf.DUMMYFUNCTION("ifna(VALUE(REGEXEXTRACT(E102,""[0-9.]+[,]+[0-9]+"")))"),117.0)</f>
        <v>117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2045871.0</v>
      </c>
      <c r="C103" s="14">
        <v>46088.925671296296</v>
      </c>
      <c r="D103" s="210" t="s">
        <v>101</v>
      </c>
      <c r="E103" s="211" t="s">
        <v>13209</v>
      </c>
      <c r="F103" s="212"/>
      <c r="G103" s="210" t="s">
        <v>14277</v>
      </c>
      <c r="H103" s="170"/>
      <c r="I103" s="170"/>
      <c r="J103" s="156" t="s">
        <v>10036</v>
      </c>
      <c r="K103" s="156"/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IFERROR(__xludf.DUMMYFUNCTION("ifna(VALUE(REGEXEXTRACT(E103,""[0-9.]+[,]+[0-9]+"")))"),117.0)</f>
        <v>117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2045972.0</v>
      </c>
      <c r="C104" s="14">
        <v>46088.93362268519</v>
      </c>
      <c r="D104" s="210" t="s">
        <v>101</v>
      </c>
      <c r="E104" s="211" t="s">
        <v>1097</v>
      </c>
      <c r="F104" s="214"/>
      <c r="G104" s="210" t="s">
        <v>14281</v>
      </c>
      <c r="H104" s="170"/>
      <c r="I104" s="170"/>
      <c r="J104" s="156" t="s">
        <v>12778</v>
      </c>
      <c r="K104" s="156" t="s">
        <v>13763</v>
      </c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IFERROR(__xludf.DUMMYFUNCTION("ifna(VALUE(REGEXEXTRACT(E104,""[0-9.]+[,]+[0-9]+"")))"),450.0)</f>
        <v>450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2047692.0</v>
      </c>
      <c r="C105" s="14">
        <v>46089.79207175926</v>
      </c>
      <c r="D105" s="210" t="s">
        <v>101</v>
      </c>
      <c r="E105" s="211" t="s">
        <v>1983</v>
      </c>
      <c r="F105" s="212"/>
      <c r="G105" s="210" t="s">
        <v>1385</v>
      </c>
      <c r="H105" s="170"/>
      <c r="I105" s="170"/>
      <c r="J105" s="156" t="s">
        <v>10036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IFERROR(__xludf.DUMMYFUNCTION("ifna(VALUE(REGEXEXTRACT(E105,""[0-9.]+[,]+[0-9]+"")))"),78.0)</f>
        <v>78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2048160.0</v>
      </c>
      <c r="C106" s="14">
        <v>46089.87608796296</v>
      </c>
      <c r="D106" s="210" t="s">
        <v>101</v>
      </c>
      <c r="E106" s="211" t="s">
        <v>14288</v>
      </c>
      <c r="F106" s="212"/>
      <c r="G106" s="210" t="s">
        <v>14289</v>
      </c>
      <c r="H106" s="170"/>
      <c r="I106" s="170"/>
      <c r="J106" s="156" t="s">
        <v>6914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IFERROR(__xludf.DUMMYFUNCTION("ifna(VALUE(REGEXEXTRACT(E106,""[0-9.]+[,]+[0-9]+"")))"),361.0)</f>
        <v>361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2048288.0</v>
      </c>
      <c r="C107" s="14">
        <v>46089.89108796296</v>
      </c>
      <c r="D107" s="210" t="s">
        <v>101</v>
      </c>
      <c r="E107" s="211" t="s">
        <v>786</v>
      </c>
      <c r="F107" s="212"/>
      <c r="G107" s="210" t="s">
        <v>14291</v>
      </c>
      <c r="H107" s="170"/>
      <c r="I107" s="170"/>
      <c r="J107" s="156" t="s">
        <v>10036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IFERROR(__xludf.DUMMYFUNCTION("ifna(VALUE(REGEXEXTRACT(E107,""[0-9.]+[,]+[0-9]+"")))"),130.0)</f>
        <v>130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2048289.0</v>
      </c>
      <c r="C108" s="14">
        <v>46089.89126157408</v>
      </c>
      <c r="D108" s="210" t="s">
        <v>101</v>
      </c>
      <c r="E108" s="211" t="s">
        <v>13209</v>
      </c>
      <c r="F108" s="212"/>
      <c r="G108" s="210" t="s">
        <v>124</v>
      </c>
      <c r="H108" s="170"/>
      <c r="I108" s="170"/>
      <c r="J108" s="156" t="s">
        <v>10036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IFERROR(__xludf.DUMMYFUNCTION("ifna(VALUE(REGEXEXTRACT(E108,""[0-9.]+[,]+[0-9]+"")))"),117.0)</f>
        <v>117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2048364.0</v>
      </c>
      <c r="C109" s="14">
        <v>46089.90190972222</v>
      </c>
      <c r="D109" s="210" t="s">
        <v>101</v>
      </c>
      <c r="E109" s="211" t="s">
        <v>1268</v>
      </c>
      <c r="F109" s="214"/>
      <c r="G109" s="210" t="s">
        <v>14293</v>
      </c>
      <c r="H109" s="170"/>
      <c r="I109" s="170"/>
      <c r="J109" s="156" t="s">
        <v>12778</v>
      </c>
      <c r="K109" s="156" t="s">
        <v>11866</v>
      </c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"),"Confirmada")</f>
        <v>Confirmada</v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IFERROR(__xludf.DUMMYFUNCTION("ifna(VALUE(REGEXEXTRACT(E109,""[0-9.]+[,]+[0-9]+"")))"),1150.0)</f>
        <v>1150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2048367.0</v>
      </c>
      <c r="C110" s="14">
        <v>46089.902592592596</v>
      </c>
      <c r="D110" s="210" t="s">
        <v>101</v>
      </c>
      <c r="E110" s="211" t="s">
        <v>410</v>
      </c>
      <c r="F110" s="212"/>
      <c r="G110" s="210" t="s">
        <v>109</v>
      </c>
      <c r="H110" s="170"/>
      <c r="I110" s="170"/>
      <c r="J110" s="156" t="s">
        <v>12658</v>
      </c>
      <c r="K110" s="156" t="s">
        <v>11866</v>
      </c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IFERROR(__xludf.DUMMYFUNCTION("ifna(VALUE(REGEXEXTRACT(E110,""[0-9.]+[,]+[0-9]+"")))"),29.0)</f>
        <v>29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2048578.0</v>
      </c>
      <c r="C111" s="14">
        <v>46089.91783564815</v>
      </c>
      <c r="D111" s="210" t="s">
        <v>139</v>
      </c>
      <c r="E111" s="211" t="s">
        <v>141</v>
      </c>
      <c r="F111" s="212"/>
      <c r="G111" s="210" t="s">
        <v>142</v>
      </c>
      <c r="H111" s="170"/>
      <c r="I111" s="170"/>
      <c r="J111" s="156" t="s">
        <v>13783</v>
      </c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IFERROR(__xludf.DUMMYFUNCTION("ifna(VALUE(REGEXEXTRACT(E111,""[0-9.]+[,]+[0-9]+"")))"),50.0)</f>
        <v>50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2049551.0</v>
      </c>
      <c r="C112" s="14">
        <v>46090.526608796295</v>
      </c>
      <c r="D112" s="210" t="s">
        <v>139</v>
      </c>
      <c r="E112" s="211" t="s">
        <v>237</v>
      </c>
      <c r="F112" s="212"/>
      <c r="G112" s="210" t="s">
        <v>142</v>
      </c>
      <c r="H112" s="170"/>
      <c r="I112" s="170"/>
      <c r="J112" s="156" t="s">
        <v>13783</v>
      </c>
      <c r="K112" s="156"/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IFERROR(__xludf.DUMMYFUNCTION("ifna(VALUE(REGEXEXTRACT(E112,""[0-9.]+[,]+[0-9]+"")))"),100.0)</f>
        <v>100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2049997.0</v>
      </c>
      <c r="C113" s="14">
        <v>46090.699224537035</v>
      </c>
      <c r="D113" s="210" t="s">
        <v>101</v>
      </c>
      <c r="E113" s="211" t="s">
        <v>1633</v>
      </c>
      <c r="F113" s="212"/>
      <c r="G113" s="210" t="s">
        <v>14296</v>
      </c>
      <c r="H113" s="170"/>
      <c r="I113" s="170"/>
      <c r="J113" s="156" t="s">
        <v>13513</v>
      </c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IFERROR(__xludf.DUMMYFUNCTION("ifna(VALUE(REGEXEXTRACT(E113,""[0-9.]+[,]+[0-9]+"")))"),8.0)</f>
        <v>8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2050003.0</v>
      </c>
      <c r="C114" s="14">
        <v>46090.70229166667</v>
      </c>
      <c r="D114" s="210" t="s">
        <v>101</v>
      </c>
      <c r="E114" s="211" t="s">
        <v>14297</v>
      </c>
      <c r="F114" s="212"/>
      <c r="G114" s="210" t="s">
        <v>14299</v>
      </c>
      <c r="H114" s="170"/>
      <c r="I114" s="170"/>
      <c r="J114" s="156" t="s">
        <v>12818</v>
      </c>
      <c r="K114" s="156"/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159">
        <f>IFERROR(__xludf.DUMMYFUNCTION("ifna(VALUE(REGEXEXTRACT(E114,""[0-9.]+[,]+[0-9]+"")))"),23.32)</f>
        <v>23.32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2050005.0</v>
      </c>
      <c r="C115" s="14">
        <v>46090.70253472222</v>
      </c>
      <c r="D115" s="210" t="s">
        <v>101</v>
      </c>
      <c r="E115" s="211" t="s">
        <v>14300</v>
      </c>
      <c r="F115" s="212"/>
      <c r="G115" s="210" t="s">
        <v>14301</v>
      </c>
      <c r="H115" s="170"/>
      <c r="I115" s="170"/>
      <c r="J115" s="156" t="s">
        <v>12818</v>
      </c>
      <c r="K115" s="156"/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159">
        <f>IFERROR(__xludf.DUMMYFUNCTION("ifna(VALUE(REGEXEXTRACT(E115,""[0-9.]+[,]+[0-9]+"")))"),67.69)</f>
        <v>67.69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2050037.0</v>
      </c>
      <c r="C116" s="14">
        <v>46090.71105324074</v>
      </c>
      <c r="D116" s="210" t="s">
        <v>101</v>
      </c>
      <c r="E116" s="211" t="s">
        <v>1376</v>
      </c>
      <c r="F116" s="212"/>
      <c r="G116" s="210" t="s">
        <v>425</v>
      </c>
      <c r="H116" s="170"/>
      <c r="I116" s="170"/>
      <c r="J116" s="156" t="s">
        <v>12952</v>
      </c>
      <c r="K116" s="156"/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IFERROR(__xludf.DUMMYFUNCTION("ifna(VALUE(REGEXEXTRACT(E116,""[0-9.]+[,]+[0-9]+"")))"),240.0)</f>
        <v>240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2050089.0</v>
      </c>
      <c r="C117" s="14">
        <v>46090.729375</v>
      </c>
      <c r="D117" s="210" t="s">
        <v>101</v>
      </c>
      <c r="E117" s="211" t="s">
        <v>1349</v>
      </c>
      <c r="F117" s="212"/>
      <c r="G117" s="210" t="s">
        <v>629</v>
      </c>
      <c r="H117" s="170"/>
      <c r="I117" s="170"/>
      <c r="J117" s="156" t="s">
        <v>6914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IFERROR(__xludf.DUMMYFUNCTION("ifna(VALUE(REGEXEXTRACT(E117,""[0-9.]+[,]+[0-9]+"")))"),64.0)</f>
        <v>64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2050724.0</v>
      </c>
      <c r="C118" s="14">
        <v>46090.917395833334</v>
      </c>
      <c r="D118" s="210" t="s">
        <v>101</v>
      </c>
      <c r="E118" s="211" t="s">
        <v>237</v>
      </c>
      <c r="F118" s="212"/>
      <c r="G118" s="210" t="s">
        <v>14305</v>
      </c>
      <c r="H118" s="170"/>
      <c r="I118" s="170"/>
      <c r="J118" s="156" t="s">
        <v>12778</v>
      </c>
      <c r="K118" s="156" t="s">
        <v>13763</v>
      </c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"),"Confirmada")</f>
        <v>Confirmada</v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IFERROR(__xludf.DUMMYFUNCTION("ifna(VALUE(REGEXEXTRACT(E118,""[0-9.]+[,]+[0-9]+"")))"),100.0)</f>
        <v>100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2050726.0</v>
      </c>
      <c r="C119" s="14">
        <v>46090.91755787037</v>
      </c>
      <c r="D119" s="210" t="s">
        <v>101</v>
      </c>
      <c r="E119" s="211" t="s">
        <v>985</v>
      </c>
      <c r="F119" s="214"/>
      <c r="G119" s="210" t="s">
        <v>14154</v>
      </c>
      <c r="H119" s="170"/>
      <c r="I119" s="170"/>
      <c r="J119" s="156" t="s">
        <v>6914</v>
      </c>
      <c r="K119" s="156"/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IFERROR(__xludf.DUMMYFUNCTION("ifna(VALUE(REGEXEXTRACT(E119,""[0-9.]+[,]+[0-9]+"")))"),47.0)</f>
        <v>47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2051195.0</v>
      </c>
      <c r="C120" s="14">
        <v>46091.51642361111</v>
      </c>
      <c r="D120" s="210" t="s">
        <v>139</v>
      </c>
      <c r="E120" s="211" t="s">
        <v>1808</v>
      </c>
      <c r="F120" s="212"/>
      <c r="G120" s="210" t="s">
        <v>142</v>
      </c>
      <c r="H120" s="153"/>
      <c r="I120" s="170"/>
      <c r="J120" s="156" t="s">
        <v>13783</v>
      </c>
      <c r="K120" s="156"/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IFERROR(__xludf.DUMMYFUNCTION("ifna(VALUE(REGEXEXTRACT(E120,""[0-9.]+[,]+[0-9]+"")))"),72.0)</f>
        <v>72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2051268.0</v>
      </c>
      <c r="C121" s="14">
        <v>46091.567245370374</v>
      </c>
      <c r="D121" s="210" t="s">
        <v>101</v>
      </c>
      <c r="E121" s="211" t="s">
        <v>339</v>
      </c>
      <c r="F121" s="212"/>
      <c r="G121" s="210" t="s">
        <v>14308</v>
      </c>
      <c r="H121" s="153"/>
      <c r="I121" s="170"/>
      <c r="J121" s="156" t="s">
        <v>12658</v>
      </c>
      <c r="K121" s="156" t="s">
        <v>13763</v>
      </c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IFERROR(__xludf.DUMMYFUNCTION("ifna(VALUE(REGEXEXTRACT(E121,""[0-9.]+[,]+[0-9]+"")))"),31.0)</f>
        <v>31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2051735.0</v>
      </c>
      <c r="C122" s="14">
        <v>46091.73447916667</v>
      </c>
      <c r="D122" s="210" t="s">
        <v>101</v>
      </c>
      <c r="E122" s="211" t="s">
        <v>13935</v>
      </c>
      <c r="F122" s="212"/>
      <c r="G122" s="210" t="s">
        <v>133</v>
      </c>
      <c r="H122" s="153"/>
      <c r="I122" s="170"/>
      <c r="J122" s="156" t="s">
        <v>6914</v>
      </c>
      <c r="K122" s="156"/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IFERROR(__xludf.DUMMYFUNCTION("ifna(VALUE(REGEXEXTRACT(E122,""[0-9.]+[,]+[0-9]+"")))"),93.0)</f>
        <v>93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2051736.0</v>
      </c>
      <c r="C123" s="14">
        <v>46091.73474537037</v>
      </c>
      <c r="D123" s="210" t="s">
        <v>101</v>
      </c>
      <c r="E123" s="211" t="s">
        <v>1219</v>
      </c>
      <c r="F123" s="212"/>
      <c r="G123" s="210" t="s">
        <v>14311</v>
      </c>
      <c r="H123" s="153"/>
      <c r="I123" s="170"/>
      <c r="J123" s="156" t="s">
        <v>12778</v>
      </c>
      <c r="K123" s="156" t="s">
        <v>11866</v>
      </c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"),"Confirmada")</f>
        <v>Confirmada</v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IFERROR(__xludf.DUMMYFUNCTION("ifna(VALUE(REGEXEXTRACT(E123,""[0-9.]+[,]+[0-9]+"")))"),400.0)</f>
        <v>400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2052257.0</v>
      </c>
      <c r="C124" s="14">
        <v>46091.90787037037</v>
      </c>
      <c r="D124" s="210" t="s">
        <v>101</v>
      </c>
      <c r="E124" s="211" t="s">
        <v>213</v>
      </c>
      <c r="F124" s="212"/>
      <c r="G124" s="210" t="s">
        <v>14313</v>
      </c>
      <c r="H124" s="153"/>
      <c r="I124" s="170"/>
      <c r="J124" s="156" t="s">
        <v>12778</v>
      </c>
      <c r="K124" s="156" t="s">
        <v>13763</v>
      </c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IFERROR(__xludf.DUMMYFUNCTION("ifna(VALUE(REGEXEXTRACT(E124,""[0-9.]+[,]+[0-9]+"")))"),200.0)</f>
        <v>200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2052265.0</v>
      </c>
      <c r="C125" s="14">
        <v>46091.9083912037</v>
      </c>
      <c r="D125" s="210" t="s">
        <v>101</v>
      </c>
      <c r="E125" s="211" t="s">
        <v>823</v>
      </c>
      <c r="F125" s="214"/>
      <c r="G125" s="210" t="s">
        <v>512</v>
      </c>
      <c r="H125" s="153"/>
      <c r="I125" s="170"/>
      <c r="J125" s="156" t="s">
        <v>6914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IFERROR(__xludf.DUMMYFUNCTION("ifna(VALUE(REGEXEXTRACT(E125,""[0-9.]+[,]+[0-9]+"")))"),37.0)</f>
        <v>37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2053136.0</v>
      </c>
      <c r="C126" s="14">
        <v>46092.67273148148</v>
      </c>
      <c r="D126" s="210" t="s">
        <v>139</v>
      </c>
      <c r="E126" s="211" t="s">
        <v>2014</v>
      </c>
      <c r="F126" s="212"/>
      <c r="G126" s="210" t="s">
        <v>142</v>
      </c>
      <c r="H126" s="153"/>
      <c r="I126" s="170"/>
      <c r="J126" s="156" t="s">
        <v>13783</v>
      </c>
      <c r="K126" s="156"/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IFERROR(__xludf.DUMMYFUNCTION("ifna(VALUE(REGEXEXTRACT(E126,""[0-9.]+[,]+[0-9]+"")))"),80.0)</f>
        <v>80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2053339.0</v>
      </c>
      <c r="C127" s="14">
        <v>46092.73034722222</v>
      </c>
      <c r="D127" s="210" t="s">
        <v>101</v>
      </c>
      <c r="E127" s="211" t="s">
        <v>1045</v>
      </c>
      <c r="F127" s="212"/>
      <c r="G127" s="210" t="s">
        <v>133</v>
      </c>
      <c r="H127" s="153"/>
      <c r="I127" s="170"/>
      <c r="J127" s="156" t="s">
        <v>6914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IFERROR(__xludf.DUMMYFUNCTION("ifna(VALUE(REGEXEXTRACT(E127,""[0-9.]+[,]+[0-9]+"")))"),91.0)</f>
        <v>91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2053350.0</v>
      </c>
      <c r="C128" s="14">
        <v>46092.73421296296</v>
      </c>
      <c r="D128" s="210" t="s">
        <v>101</v>
      </c>
      <c r="E128" s="211" t="s">
        <v>288</v>
      </c>
      <c r="F128" s="212"/>
      <c r="G128" s="210" t="s">
        <v>14318</v>
      </c>
      <c r="H128" s="153"/>
      <c r="I128" s="170"/>
      <c r="J128" s="156"/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59">
        <f>IFERROR(__xludf.DUMMYFUNCTION("ifna(VALUE(REGEXEXTRACT(E128,""[0-9.]+[,]+[0-9]+"")))"),23.0)</f>
        <v>23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2053362.0</v>
      </c>
      <c r="C129" s="14">
        <v>46092.738078703704</v>
      </c>
      <c r="D129" s="210" t="s">
        <v>101</v>
      </c>
      <c r="E129" s="211" t="s">
        <v>256</v>
      </c>
      <c r="F129" s="212"/>
      <c r="G129" s="210" t="s">
        <v>14320</v>
      </c>
      <c r="H129" s="153"/>
      <c r="I129" s="170"/>
      <c r="J129" s="156" t="s">
        <v>12778</v>
      </c>
      <c r="K129" s="156" t="s">
        <v>11866</v>
      </c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"),"Confirmada")</f>
        <v>Confirmada</v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IFERROR(__xludf.DUMMYFUNCTION("ifna(VALUE(REGEXEXTRACT(E129,""[0-9.]+[,]+[0-9]+"")))"),300.0)</f>
        <v>300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2053370.0</v>
      </c>
      <c r="C130" s="14">
        <v>46092.74085648148</v>
      </c>
      <c r="D130" s="210" t="s">
        <v>139</v>
      </c>
      <c r="E130" s="211" t="s">
        <v>288</v>
      </c>
      <c r="F130" s="212"/>
      <c r="G130" s="210" t="s">
        <v>14321</v>
      </c>
      <c r="H130" s="170"/>
      <c r="I130" s="170"/>
      <c r="J130" s="156" t="s">
        <v>13783</v>
      </c>
      <c r="K130" s="156"/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IFERROR(__xludf.DUMMYFUNCTION("ifna(VALUE(REGEXEXTRACT(E130,""[0-9.]+[,]+[0-9]+"")))"),23.0)</f>
        <v>23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2053372.0</v>
      </c>
      <c r="C131" s="14">
        <v>46092.74097222222</v>
      </c>
      <c r="D131" s="210" t="s">
        <v>139</v>
      </c>
      <c r="E131" s="211" t="s">
        <v>288</v>
      </c>
      <c r="F131" s="212"/>
      <c r="G131" s="210" t="s">
        <v>142</v>
      </c>
      <c r="H131" s="170"/>
      <c r="I131" s="170"/>
      <c r="J131" s="156" t="s">
        <v>13783</v>
      </c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IFERROR(__xludf.DUMMYFUNCTION("ifna(VALUE(REGEXEXTRACT(E131,""[0-9.]+[,]+[0-9]+"")))"),23.0)</f>
        <v>23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2053840.0</v>
      </c>
      <c r="C132" s="14">
        <v>46092.9071875</v>
      </c>
      <c r="D132" s="210" t="s">
        <v>101</v>
      </c>
      <c r="E132" s="211" t="s">
        <v>1274</v>
      </c>
      <c r="F132" s="212"/>
      <c r="G132" s="210" t="s">
        <v>14154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IFERROR(__xludf.DUMMYFUNCTION("ifna(VALUE(REGEXEXTRACT(E132,""[0-9.]+[,]+[0-9]+"")))"),66.0)</f>
        <v>66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2053965.0</v>
      </c>
      <c r="C133" s="14">
        <v>46092.92277777778</v>
      </c>
      <c r="D133" s="210" t="s">
        <v>101</v>
      </c>
      <c r="E133" s="211" t="s">
        <v>213</v>
      </c>
      <c r="F133" s="212"/>
      <c r="G133" s="210" t="s">
        <v>14324</v>
      </c>
      <c r="H133" s="170"/>
      <c r="I133" s="170"/>
      <c r="J133" s="156" t="s">
        <v>12778</v>
      </c>
      <c r="K133" s="156" t="s">
        <v>13763</v>
      </c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"),"Confirmada")</f>
        <v>Confirmada</v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IFERROR(__xludf.DUMMYFUNCTION("ifna(VALUE(REGEXEXTRACT(E133,""[0-9.]+[,]+[0-9]+"")))"),200.0)</f>
        <v>200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2054833.0</v>
      </c>
      <c r="C134" s="14">
        <v>46093.725069444445</v>
      </c>
      <c r="D134" s="210" t="s">
        <v>101</v>
      </c>
      <c r="E134" s="211" t="s">
        <v>377</v>
      </c>
      <c r="F134" s="212"/>
      <c r="G134" s="210" t="s">
        <v>629</v>
      </c>
      <c r="H134" s="170"/>
      <c r="I134" s="170"/>
      <c r="J134" s="156" t="s">
        <v>6914</v>
      </c>
      <c r="K134" s="156"/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IFERROR(__xludf.DUMMYFUNCTION("ifna(VALUE(REGEXEXTRACT(E134,""[0-9.]+[,]+[0-9]+"")))"),33.0)</f>
        <v>33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2054936.0</v>
      </c>
      <c r="C135" s="14">
        <v>46093.75696759259</v>
      </c>
      <c r="D135" s="210" t="s">
        <v>101</v>
      </c>
      <c r="E135" s="211" t="s">
        <v>14325</v>
      </c>
      <c r="F135" s="212"/>
      <c r="G135" s="210" t="s">
        <v>574</v>
      </c>
      <c r="H135" s="170"/>
      <c r="I135" s="170"/>
      <c r="J135" s="156" t="s">
        <v>12658</v>
      </c>
      <c r="K135" s="156" t="s">
        <v>13763</v>
      </c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IFERROR(__xludf.DUMMYFUNCTION("ifna(VALUE(REGEXEXTRACT(E135,""[0-9.]+[,]+[0-9]+"")))"),15.45)</f>
        <v>15.45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2055349.0</v>
      </c>
      <c r="C136" s="14">
        <v>46093.904861111114</v>
      </c>
      <c r="D136" s="210" t="s">
        <v>101</v>
      </c>
      <c r="E136" s="211" t="s">
        <v>14326</v>
      </c>
      <c r="F136" s="212"/>
      <c r="G136" s="210" t="s">
        <v>574</v>
      </c>
      <c r="H136" s="170"/>
      <c r="I136" s="170"/>
      <c r="J136" s="156" t="s">
        <v>12658</v>
      </c>
      <c r="K136" s="156" t="s">
        <v>13763</v>
      </c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IFERROR(__xludf.DUMMYFUNCTION("ifna(VALUE(REGEXEXTRACT(E136,""[0-9.]+[,]+[0-9]+"")))"),43.9)</f>
        <v>43.9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2055378.0</v>
      </c>
      <c r="C137" s="14">
        <v>46093.91048611111</v>
      </c>
      <c r="D137" s="210" t="s">
        <v>101</v>
      </c>
      <c r="E137" s="211" t="s">
        <v>501</v>
      </c>
      <c r="F137" s="212"/>
      <c r="G137" s="210" t="s">
        <v>14154</v>
      </c>
      <c r="H137" s="170"/>
      <c r="I137" s="170"/>
      <c r="J137" s="156" t="s">
        <v>6914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IFERROR(__xludf.DUMMYFUNCTION("ifna(VALUE(REGEXEXTRACT(E137,""[0-9.]+[,]+[0-9]+"")))"),25.0)</f>
        <v>25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2056588.0</v>
      </c>
      <c r="C138" s="14">
        <v>46094.71674768518</v>
      </c>
      <c r="D138" s="210" t="s">
        <v>101</v>
      </c>
      <c r="E138" s="211" t="s">
        <v>121</v>
      </c>
      <c r="F138" s="212"/>
      <c r="G138" s="210" t="s">
        <v>14329</v>
      </c>
      <c r="H138" s="170"/>
      <c r="I138" s="170"/>
      <c r="J138" s="156" t="s">
        <v>6914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IFERROR(__xludf.DUMMYFUNCTION("ifna(VALUE(REGEXEXTRACT(E138,""[0-9.]+[,]+[0-9]+"")))"),135.0)</f>
        <v>135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2056665.0</v>
      </c>
      <c r="C139" s="14">
        <v>46094.73552083333</v>
      </c>
      <c r="D139" s="210" t="s">
        <v>101</v>
      </c>
      <c r="E139" s="211" t="s">
        <v>718</v>
      </c>
      <c r="F139" s="212"/>
      <c r="G139" s="210" t="s">
        <v>133</v>
      </c>
      <c r="H139" s="170"/>
      <c r="I139" s="170"/>
      <c r="J139" s="156" t="s">
        <v>6914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IFERROR(__xludf.DUMMYFUNCTION("ifna(VALUE(REGEXEXTRACT(E139,""[0-9.]+[,]+[0-9]+"")))"),32.0)</f>
        <v>32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2056892.0</v>
      </c>
      <c r="C140" s="14">
        <v>46094.79295138889</v>
      </c>
      <c r="D140" s="210" t="s">
        <v>101</v>
      </c>
      <c r="E140" s="211" t="s">
        <v>14331</v>
      </c>
      <c r="F140" s="212"/>
      <c r="G140" s="210" t="s">
        <v>537</v>
      </c>
      <c r="H140" s="170"/>
      <c r="I140" s="170"/>
      <c r="J140" s="156" t="s">
        <v>12818</v>
      </c>
      <c r="K140" s="156"/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"""")"),"Encontrada")</f>
        <v>Encontrada</v>
      </c>
      <c r="N140" s="159">
        <f>IFERROR(__xludf.DUMMYFUNCTION("ifna(VALUE(REGEXEXTRACT(E140,""[0-9.]+[,]+[0-9]+"")))"),47.4)</f>
        <v>47.4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2056894.0</v>
      </c>
      <c r="C141" s="14">
        <v>46094.79356481481</v>
      </c>
      <c r="D141" s="210" t="s">
        <v>101</v>
      </c>
      <c r="E141" s="211" t="s">
        <v>1488</v>
      </c>
      <c r="F141" s="212"/>
      <c r="G141" s="210" t="s">
        <v>537</v>
      </c>
      <c r="H141" s="170"/>
      <c r="I141" s="170"/>
      <c r="J141" s="156" t="s">
        <v>12818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59">
        <f>IFERROR(__xludf.DUMMYFUNCTION("ifna(VALUE(REGEXEXTRACT(E141,""[0-9.]+[,]+[0-9]+"")))"),90.0)</f>
        <v>90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2056920.0</v>
      </c>
      <c r="C142" s="14">
        <v>46094.805810185186</v>
      </c>
      <c r="D142" s="210" t="s">
        <v>101</v>
      </c>
      <c r="E142" s="211" t="s">
        <v>364</v>
      </c>
      <c r="F142" s="212"/>
      <c r="G142" s="210" t="s">
        <v>14332</v>
      </c>
      <c r="H142" s="170"/>
      <c r="I142" s="170"/>
      <c r="J142" s="156" t="s">
        <v>12778</v>
      </c>
      <c r="K142" s="156" t="s">
        <v>11866</v>
      </c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"),"Confirmada")</f>
        <v>Confirmada</v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IFERROR(__xludf.DUMMYFUNCTION("ifna(VALUE(REGEXEXTRACT(E142,""[0-9.]+[,]+[0-9]+"")))"),600.0)</f>
        <v>600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2056939.0</v>
      </c>
      <c r="C143" s="14">
        <v>46094.810219907406</v>
      </c>
      <c r="D143" s="210" t="s">
        <v>101</v>
      </c>
      <c r="E143" s="211" t="s">
        <v>324</v>
      </c>
      <c r="F143" s="212"/>
      <c r="G143" s="210" t="s">
        <v>14334</v>
      </c>
      <c r="H143" s="170"/>
      <c r="I143" s="170"/>
      <c r="J143" s="156" t="s">
        <v>12818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"""")"),"Encontrada")</f>
        <v>Encontrada</v>
      </c>
      <c r="N143" s="159">
        <f>IFERROR(__xludf.DUMMYFUNCTION("ifna(VALUE(REGEXEXTRACT(E143,""[0-9.]+[,]+[0-9]+"")))"),45.0)</f>
        <v>45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2057327.0</v>
      </c>
      <c r="C144" s="14">
        <v>46094.914131944446</v>
      </c>
      <c r="D144" s="210" t="s">
        <v>139</v>
      </c>
      <c r="E144" s="211" t="s">
        <v>141</v>
      </c>
      <c r="F144" s="212"/>
      <c r="G144" s="210" t="s">
        <v>142</v>
      </c>
      <c r="H144" s="170"/>
      <c r="I144" s="170"/>
      <c r="J144" s="156" t="s">
        <v>13783</v>
      </c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IFERROR(__xludf.DUMMYFUNCTION("ifna(VALUE(REGEXEXTRACT(E144,""[0-9.]+[,]+[0-9]+"")))"),50.0)</f>
        <v>50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2057329.0</v>
      </c>
      <c r="C145" s="14">
        <v>46094.914351851854</v>
      </c>
      <c r="D145" s="210" t="s">
        <v>101</v>
      </c>
      <c r="E145" s="211" t="s">
        <v>231</v>
      </c>
      <c r="F145" s="212"/>
      <c r="G145" s="210" t="s">
        <v>14154</v>
      </c>
      <c r="H145" s="170"/>
      <c r="I145" s="170"/>
      <c r="J145" s="156" t="s">
        <v>10036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IFERROR(__xludf.DUMMYFUNCTION("ifna(VALUE(REGEXEXTRACT(E145,""[0-9.]+[,]+[0-9]+"")))"),10.0)</f>
        <v>10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2057431.0</v>
      </c>
      <c r="C146" s="14">
        <v>46094.92302083333</v>
      </c>
      <c r="D146" s="210" t="s">
        <v>101</v>
      </c>
      <c r="E146" s="211" t="s">
        <v>237</v>
      </c>
      <c r="F146" s="212"/>
      <c r="G146" s="210" t="s">
        <v>14335</v>
      </c>
      <c r="H146" s="170"/>
      <c r="I146" s="170"/>
      <c r="J146" s="156" t="s">
        <v>12778</v>
      </c>
      <c r="K146" s="156" t="s">
        <v>13763</v>
      </c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"),"Confirmada")</f>
        <v>Confirmada</v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IFERROR(__xludf.DUMMYFUNCTION("ifna(VALUE(REGEXEXTRACT(E146,""[0-9.]+[,]+[0-9]+"")))"),100.0)</f>
        <v>100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2058614.0</v>
      </c>
      <c r="C147" s="14">
        <v>46095.70638888889</v>
      </c>
      <c r="D147" s="210" t="s">
        <v>139</v>
      </c>
      <c r="E147" s="211" t="s">
        <v>501</v>
      </c>
      <c r="F147" s="212"/>
      <c r="G147" s="210" t="s">
        <v>142</v>
      </c>
      <c r="H147" s="170"/>
      <c r="I147" s="170"/>
      <c r="J147" s="156" t="s">
        <v>13783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IFERROR(__xludf.DUMMYFUNCTION("ifna(VALUE(REGEXEXTRACT(E147,""[0-9.]+[,]+[0-9]+"")))"),25.0)</f>
        <v>25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2058940.0</v>
      </c>
      <c r="C148" s="14">
        <v>46095.780497685184</v>
      </c>
      <c r="D148" s="210" t="s">
        <v>101</v>
      </c>
      <c r="E148" s="211" t="s">
        <v>14336</v>
      </c>
      <c r="F148" s="212"/>
      <c r="G148" s="210" t="s">
        <v>133</v>
      </c>
      <c r="H148" s="170"/>
      <c r="I148" s="170"/>
      <c r="J148" s="156" t="s">
        <v>6914</v>
      </c>
      <c r="K148" s="156"/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IFERROR(__xludf.DUMMYFUNCTION("ifna(VALUE(REGEXEXTRACT(E148,""[0-9.]+[,]+[0-9]+"")))"),259.0)</f>
        <v>259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2059602.0</v>
      </c>
      <c r="C149" s="14">
        <v>46095.90325231481</v>
      </c>
      <c r="D149" s="210" t="s">
        <v>101</v>
      </c>
      <c r="E149" s="211" t="s">
        <v>13209</v>
      </c>
      <c r="F149" s="212"/>
      <c r="G149" s="210" t="s">
        <v>124</v>
      </c>
      <c r="H149" s="170"/>
      <c r="I149" s="170"/>
      <c r="J149" s="156" t="s">
        <v>10036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IFERROR(__xludf.DUMMYFUNCTION("ifna(VALUE(REGEXEXTRACT(E149,""[0-9.]+[,]+[0-9]+"")))"),117.0)</f>
        <v>117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2059607.0</v>
      </c>
      <c r="C150" s="14">
        <v>46095.90354166667</v>
      </c>
      <c r="D150" s="210" t="s">
        <v>101</v>
      </c>
      <c r="E150" s="211" t="s">
        <v>13209</v>
      </c>
      <c r="F150" s="212"/>
      <c r="G150" s="210" t="s">
        <v>1109</v>
      </c>
      <c r="H150" s="170"/>
      <c r="I150" s="170"/>
      <c r="J150" s="156" t="s">
        <v>10036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IFERROR(__xludf.DUMMYFUNCTION("ifna(VALUE(REGEXEXTRACT(E150,""[0-9.]+[,]+[0-9]+"")))"),117.0)</f>
        <v>117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2059697.0</v>
      </c>
      <c r="C151" s="14">
        <v>46095.90994212963</v>
      </c>
      <c r="D151" s="210" t="s">
        <v>139</v>
      </c>
      <c r="E151" s="211" t="s">
        <v>141</v>
      </c>
      <c r="F151" s="212"/>
      <c r="G151" s="210" t="s">
        <v>142</v>
      </c>
      <c r="H151" s="170"/>
      <c r="I151" s="170"/>
      <c r="J151" s="156" t="s">
        <v>13783</v>
      </c>
      <c r="K151" s="156"/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IFERROR(__xludf.DUMMYFUNCTION("ifna(VALUE(REGEXEXTRACT(E151,""[0-9.]+[,]+[0-9]+"")))"),50.0)</f>
        <v>50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2059792.0</v>
      </c>
      <c r="C152" s="14">
        <v>46095.91857638889</v>
      </c>
      <c r="D152" s="210" t="s">
        <v>139</v>
      </c>
      <c r="E152" s="211" t="s">
        <v>14341</v>
      </c>
      <c r="F152" s="212"/>
      <c r="G152" s="210" t="s">
        <v>142</v>
      </c>
      <c r="H152" s="170"/>
      <c r="I152" s="170"/>
      <c r="J152" s="156" t="s">
        <v>13783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IFERROR(__xludf.DUMMYFUNCTION("ifna(VALUE(REGEXEXTRACT(E152,""[0-9.]+[,]+[0-9]+"")))"),41.5)</f>
        <v>41.5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2059869.0</v>
      </c>
      <c r="C153" s="14">
        <v>46095.92344907407</v>
      </c>
      <c r="D153" s="210" t="s">
        <v>101</v>
      </c>
      <c r="E153" s="211" t="s">
        <v>13239</v>
      </c>
      <c r="F153" s="212"/>
      <c r="G153" s="210" t="s">
        <v>14342</v>
      </c>
      <c r="H153" s="170"/>
      <c r="I153" s="170"/>
      <c r="J153" s="156" t="s">
        <v>12778</v>
      </c>
      <c r="K153" s="156" t="s">
        <v>11866</v>
      </c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"),"Confirmada")</f>
        <v>Confirmada</v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IFERROR(__xludf.DUMMYFUNCTION("ifna(VALUE(REGEXEXTRACT(E153,""[0-9.]+[,]+[0-9]+"")))"),1550.0)</f>
        <v>1550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2059883.0</v>
      </c>
      <c r="C154" s="14">
        <v>46095.92460648148</v>
      </c>
      <c r="D154" s="210" t="s">
        <v>101</v>
      </c>
      <c r="E154" s="211" t="s">
        <v>12941</v>
      </c>
      <c r="F154" s="212"/>
      <c r="G154" s="210" t="s">
        <v>14343</v>
      </c>
      <c r="H154" s="170"/>
      <c r="I154" s="170"/>
      <c r="J154" s="156" t="s">
        <v>6914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IFERROR(__xludf.DUMMYFUNCTION("ifna(VALUE(REGEXEXTRACT(E154,""[0-9.]+[,]+[0-9]+"")))"),46.0)</f>
        <v>46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2062752.0</v>
      </c>
      <c r="C155" s="14">
        <v>46096.90509259259</v>
      </c>
      <c r="D155" s="210" t="s">
        <v>101</v>
      </c>
      <c r="E155" s="211" t="s">
        <v>14345</v>
      </c>
      <c r="F155" s="212"/>
      <c r="G155" s="210" t="s">
        <v>1153</v>
      </c>
      <c r="H155" s="170"/>
      <c r="I155" s="170"/>
      <c r="J155" s="156" t="s">
        <v>12818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"""")"),"Encontrada")</f>
        <v>Encontrada</v>
      </c>
      <c r="N155" s="159">
        <f>IFERROR(__xludf.DUMMYFUNCTION("ifna(VALUE(REGEXEXTRACT(E155,""[0-9.]+[,]+[0-9]+"")))"),104.37)</f>
        <v>104.37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2062898.0</v>
      </c>
      <c r="C156" s="14">
        <v>46096.91490740741</v>
      </c>
      <c r="D156" s="210" t="s">
        <v>101</v>
      </c>
      <c r="E156" s="211" t="s">
        <v>14347</v>
      </c>
      <c r="F156" s="214"/>
      <c r="G156" s="210" t="s">
        <v>512</v>
      </c>
      <c r="H156" s="170"/>
      <c r="I156" s="170"/>
      <c r="J156" s="156" t="s">
        <v>6914</v>
      </c>
      <c r="K156" s="156"/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IFERROR(__xludf.DUMMYFUNCTION("ifna(VALUE(REGEXEXTRACT(E156,""[0-9.]+[,]+[0-9]+"")))"),443.0)</f>
        <v>443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2062910.0</v>
      </c>
      <c r="C157" s="14">
        <v>46096.91542824074</v>
      </c>
      <c r="D157" s="210" t="s">
        <v>101</v>
      </c>
      <c r="E157" s="211" t="s">
        <v>13209</v>
      </c>
      <c r="F157" s="212"/>
      <c r="G157" s="210" t="s">
        <v>344</v>
      </c>
      <c r="H157" s="170"/>
      <c r="I157" s="170"/>
      <c r="J157" s="156" t="s">
        <v>10036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IFERROR(__xludf.DUMMYFUNCTION("ifna(VALUE(REGEXEXTRACT(E157,""[0-9.]+[,]+[0-9]+"")))"),117.0)</f>
        <v>117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2062915.0</v>
      </c>
      <c r="C158" s="14">
        <v>46096.915613425925</v>
      </c>
      <c r="D158" s="210" t="s">
        <v>101</v>
      </c>
      <c r="E158" s="211" t="s">
        <v>13209</v>
      </c>
      <c r="F158" s="212"/>
      <c r="G158" s="210" t="s">
        <v>14354</v>
      </c>
      <c r="H158" s="170"/>
      <c r="I158" s="170"/>
      <c r="J158" s="156" t="s">
        <v>10036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IFERROR(__xludf.DUMMYFUNCTION("ifna(VALUE(REGEXEXTRACT(E158,""[0-9.]+[,]+[0-9]+"")))"),117.0)</f>
        <v>117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2062945.0</v>
      </c>
      <c r="C159" s="14">
        <v>46096.91730324074</v>
      </c>
      <c r="D159" s="210" t="s">
        <v>101</v>
      </c>
      <c r="E159" s="211" t="s">
        <v>13138</v>
      </c>
      <c r="F159" s="212"/>
      <c r="G159" s="210" t="s">
        <v>14357</v>
      </c>
      <c r="H159" s="170"/>
      <c r="I159" s="170"/>
      <c r="J159" s="156"/>
      <c r="K159" s="156"/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IFERROR(__xludf.DUMMYFUNCTION("ifna(VALUE(REGEXEXTRACT(E159,""[0-9.]+[,]+[0-9]+"")))"),0.01)</f>
        <v>0.01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2063161.0</v>
      </c>
      <c r="C160" s="14">
        <v>46096.92704861111</v>
      </c>
      <c r="D160" s="210" t="s">
        <v>101</v>
      </c>
      <c r="E160" s="211" t="s">
        <v>13328</v>
      </c>
      <c r="F160" s="212"/>
      <c r="G160" s="210" t="s">
        <v>14359</v>
      </c>
      <c r="H160" s="170"/>
      <c r="I160" s="170"/>
      <c r="J160" s="156" t="s">
        <v>12778</v>
      </c>
      <c r="K160" s="156" t="s">
        <v>13763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"),"Confirmada")</f>
        <v>Confirmada</v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IFERROR(__xludf.DUMMYFUNCTION("ifna(VALUE(REGEXEXTRACT(E160,""[0-9.]+[,]+[0-9]+"")))"),1350.0)</f>
        <v>1350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2064297.0</v>
      </c>
      <c r="C161" s="14">
        <v>46097.63086805555</v>
      </c>
      <c r="D161" s="210" t="s">
        <v>139</v>
      </c>
      <c r="E161" s="211" t="s">
        <v>141</v>
      </c>
      <c r="F161" s="212"/>
      <c r="G161" s="210" t="s">
        <v>142</v>
      </c>
      <c r="H161" s="170"/>
      <c r="I161" s="170"/>
      <c r="J161" s="156" t="s">
        <v>13783</v>
      </c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IFERROR(__xludf.DUMMYFUNCTION("ifna(VALUE(REGEXEXTRACT(E161,""[0-9.]+[,]+[0-9]+"")))"),50.0)</f>
        <v>50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2064654.0</v>
      </c>
      <c r="C162" s="14">
        <v>46097.721863425926</v>
      </c>
      <c r="D162" s="210" t="s">
        <v>101</v>
      </c>
      <c r="E162" s="211" t="s">
        <v>1028</v>
      </c>
      <c r="F162" s="212"/>
      <c r="G162" s="210" t="s">
        <v>133</v>
      </c>
      <c r="H162" s="170"/>
      <c r="I162" s="170"/>
      <c r="J162" s="156" t="s">
        <v>6914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IFERROR(__xludf.DUMMYFUNCTION("ifna(VALUE(REGEXEXTRACT(E162,""[0-9.]+[,]+[0-9]+"")))"),53.0)</f>
        <v>53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2064679.0</v>
      </c>
      <c r="C163" s="14">
        <v>46097.728125</v>
      </c>
      <c r="D163" s="210" t="s">
        <v>101</v>
      </c>
      <c r="E163" s="211" t="s">
        <v>1496</v>
      </c>
      <c r="F163" s="212"/>
      <c r="G163" s="210" t="s">
        <v>14366</v>
      </c>
      <c r="H163" s="170"/>
      <c r="I163" s="170"/>
      <c r="J163" s="156" t="s">
        <v>12778</v>
      </c>
      <c r="K163" s="156" t="s">
        <v>11866</v>
      </c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"),"Caixa Atendimento")</f>
        <v>Caixa Atendimento</v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IFERROR(__xludf.DUMMYFUNCTION("ifna(VALUE(REGEXEXTRACT(E163,""[0-9.]+[,]+[0-9]+"")))"),950.0)</f>
        <v>950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2064698.0</v>
      </c>
      <c r="C164" s="14">
        <v>46097.732719907406</v>
      </c>
      <c r="D164" s="210" t="s">
        <v>139</v>
      </c>
      <c r="E164" s="211" t="s">
        <v>1389</v>
      </c>
      <c r="F164" s="212"/>
      <c r="G164" s="210" t="s">
        <v>142</v>
      </c>
      <c r="H164" s="170"/>
      <c r="I164" s="170"/>
      <c r="J164" s="156" t="s">
        <v>13783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IFERROR(__xludf.DUMMYFUNCTION("ifna(VALUE(REGEXEXTRACT(E164,""[0-9.]+[,]+[0-9]+"")))"),34.0)</f>
        <v>34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2064701.0</v>
      </c>
      <c r="C165" s="14">
        <v>46097.73447916667</v>
      </c>
      <c r="D165" s="210" t="s">
        <v>139</v>
      </c>
      <c r="E165" s="211" t="s">
        <v>2014</v>
      </c>
      <c r="F165" s="212"/>
      <c r="G165" s="210" t="s">
        <v>142</v>
      </c>
      <c r="H165" s="170"/>
      <c r="I165" s="170"/>
      <c r="J165" s="156" t="s">
        <v>13783</v>
      </c>
      <c r="K165" s="156"/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IFERROR(__xludf.DUMMYFUNCTION("ifna(VALUE(REGEXEXTRACT(E165,""[0-9.]+[,]+[0-9]+"")))"),80.0)</f>
        <v>80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2065458.0</v>
      </c>
      <c r="C166" s="14">
        <v>46097.9196875</v>
      </c>
      <c r="D166" s="210" t="s">
        <v>101</v>
      </c>
      <c r="E166" s="211" t="s">
        <v>473</v>
      </c>
      <c r="F166" s="212"/>
      <c r="G166" s="210" t="s">
        <v>14154</v>
      </c>
      <c r="H166" s="170"/>
      <c r="I166" s="170"/>
      <c r="J166" s="156" t="s">
        <v>6914</v>
      </c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IFERROR(__xludf.DUMMYFUNCTION("ifna(VALUE(REGEXEXTRACT(E166,""[0-9.]+[,]+[0-9]+"")))"),15.0)</f>
        <v>15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2065481.0</v>
      </c>
      <c r="C167" s="14">
        <v>46097.921331018515</v>
      </c>
      <c r="D167" s="210" t="s">
        <v>101</v>
      </c>
      <c r="E167" s="211" t="s">
        <v>746</v>
      </c>
      <c r="F167" s="214"/>
      <c r="G167" s="210" t="s">
        <v>14369</v>
      </c>
      <c r="H167" s="170"/>
      <c r="I167" s="170"/>
      <c r="J167" s="156" t="s">
        <v>12778</v>
      </c>
      <c r="K167" s="156" t="s">
        <v>13763</v>
      </c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IFERROR(__xludf.DUMMYFUNCTION("ifna(VALUE(REGEXEXTRACT(E167,""[0-9.]+[,]+[0-9]+"")))"),350.0)</f>
        <v>350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2066632.0</v>
      </c>
      <c r="C168" s="14">
        <v>46098.72011574074</v>
      </c>
      <c r="D168" s="210" t="s">
        <v>101</v>
      </c>
      <c r="E168" s="211" t="s">
        <v>1233</v>
      </c>
      <c r="F168" s="212"/>
      <c r="G168" s="210" t="s">
        <v>133</v>
      </c>
      <c r="H168" s="170"/>
      <c r="I168" s="170"/>
      <c r="J168" s="156" t="s">
        <v>6914</v>
      </c>
      <c r="K168" s="156"/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IFERROR(__xludf.DUMMYFUNCTION("ifna(VALUE(REGEXEXTRACT(E168,""[0-9.]+[,]+[0-9]+"")))"),112.0)</f>
        <v>112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2066673.0</v>
      </c>
      <c r="C169" s="14">
        <v>46098.73065972222</v>
      </c>
      <c r="D169" s="210" t="s">
        <v>101</v>
      </c>
      <c r="E169" s="211" t="s">
        <v>291</v>
      </c>
      <c r="F169" s="212"/>
      <c r="G169" s="210" t="s">
        <v>14372</v>
      </c>
      <c r="H169" s="170"/>
      <c r="I169" s="170"/>
      <c r="J169" s="156" t="s">
        <v>12778</v>
      </c>
      <c r="K169" s="156" t="s">
        <v>11866</v>
      </c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"),"Confirmada")</f>
        <v>Confirmada</v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IFERROR(__xludf.DUMMYFUNCTION("ifna(VALUE(REGEXEXTRACT(E169,""[0-9.]+[,]+[0-9]+"")))"),250.0)</f>
        <v>250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2067329.0</v>
      </c>
      <c r="C170" s="14">
        <v>46098.9159375</v>
      </c>
      <c r="D170" s="210" t="s">
        <v>101</v>
      </c>
      <c r="E170" s="211" t="s">
        <v>1514</v>
      </c>
      <c r="F170" s="212"/>
      <c r="G170" s="210" t="s">
        <v>512</v>
      </c>
      <c r="H170" s="170"/>
      <c r="I170" s="170"/>
      <c r="J170" s="156" t="s">
        <v>6914</v>
      </c>
      <c r="K170" s="156"/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"),"")</f>
        <v/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IFERROR(__xludf.DUMMYFUNCTION("ifna(VALUE(REGEXEXTRACT(E170,""[0-9.]+[,]+[0-9]+"")))"),51.0)</f>
        <v>51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2067330.0</v>
      </c>
      <c r="C171" s="14">
        <v>46098.91611111111</v>
      </c>
      <c r="D171" s="210" t="s">
        <v>101</v>
      </c>
      <c r="E171" s="211" t="s">
        <v>141</v>
      </c>
      <c r="F171" s="212"/>
      <c r="G171" s="210" t="s">
        <v>14376</v>
      </c>
      <c r="H171" s="170"/>
      <c r="I171" s="170"/>
      <c r="J171" s="156" t="s">
        <v>12778</v>
      </c>
      <c r="K171" s="156" t="s">
        <v>13763</v>
      </c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"),"Confirmada")</f>
        <v>Confirmada</v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IFERROR(__xludf.DUMMYFUNCTION("ifna(VALUE(REGEXEXTRACT(E171,""[0-9.]+[,]+[0-9]+"")))"),50.0)</f>
        <v>50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2067431.0</v>
      </c>
      <c r="C172" s="14">
        <v>46098.9249537037</v>
      </c>
      <c r="D172" s="210" t="s">
        <v>101</v>
      </c>
      <c r="E172" s="211" t="s">
        <v>13138</v>
      </c>
      <c r="F172" s="214"/>
      <c r="G172" s="210" t="s">
        <v>14378</v>
      </c>
      <c r="H172" s="170"/>
      <c r="I172" s="170"/>
      <c r="J172" s="156" t="s">
        <v>12658</v>
      </c>
      <c r="K172" s="156" t="s">
        <v>13763</v>
      </c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IFERROR(__xludf.DUMMYFUNCTION("ifna(VALUE(REGEXEXTRACT(E172,""[0-9.]+[,]+[0-9]+"")))"),0.01)</f>
        <v>0.01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2068386.0</v>
      </c>
      <c r="C173" s="14">
        <v>46099.7097337963</v>
      </c>
      <c r="D173" s="210" t="s">
        <v>101</v>
      </c>
      <c r="E173" s="211" t="s">
        <v>1730</v>
      </c>
      <c r="F173" s="212"/>
      <c r="G173" s="210" t="s">
        <v>133</v>
      </c>
      <c r="H173" s="170"/>
      <c r="I173" s="170"/>
      <c r="J173" s="156" t="s">
        <v>6914</v>
      </c>
      <c r="K173" s="156"/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IFERROR(__xludf.DUMMYFUNCTION("ifna(VALUE(REGEXEXTRACT(E173,""[0-9.]+[,]+[0-9]+"")))"),96.0)</f>
        <v>96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2068465.0</v>
      </c>
      <c r="C174" s="14">
        <v>46099.73123842593</v>
      </c>
      <c r="D174" s="210" t="s">
        <v>101</v>
      </c>
      <c r="E174" s="211" t="s">
        <v>291</v>
      </c>
      <c r="F174" s="212"/>
      <c r="G174" s="210" t="s">
        <v>14384</v>
      </c>
      <c r="H174" s="170"/>
      <c r="I174" s="170"/>
      <c r="J174" s="156" t="s">
        <v>12778</v>
      </c>
      <c r="K174" s="156" t="s">
        <v>11866</v>
      </c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"),"Caixa Atendimento")</f>
        <v>Caixa Atendimento</v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IFERROR(__xludf.DUMMYFUNCTION("ifna(VALUE(REGEXEXTRACT(E174,""[0-9.]+[,]+[0-9]+"")))"),250.0)</f>
        <v>250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2068953.0</v>
      </c>
      <c r="C175" s="14">
        <v>46099.90126157407</v>
      </c>
      <c r="D175" s="210" t="s">
        <v>101</v>
      </c>
      <c r="E175" s="211" t="s">
        <v>13287</v>
      </c>
      <c r="F175" s="212"/>
      <c r="G175" s="210" t="s">
        <v>14154</v>
      </c>
      <c r="H175" s="170"/>
      <c r="I175" s="170"/>
      <c r="J175" s="156" t="s">
        <v>6914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IFERROR(__xludf.DUMMYFUNCTION("ifna(VALUE(REGEXEXTRACT(E175,""[0-9.]+[,]+[0-9]+"")))"),52.0)</f>
        <v>52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2069219.0</v>
      </c>
      <c r="C176" s="14">
        <v>46099.92512731482</v>
      </c>
      <c r="D176" s="210" t="s">
        <v>101</v>
      </c>
      <c r="E176" s="211" t="s">
        <v>237</v>
      </c>
      <c r="F176" s="212"/>
      <c r="G176" s="210" t="s">
        <v>14388</v>
      </c>
      <c r="H176" s="170"/>
      <c r="I176" s="170"/>
      <c r="J176" s="156" t="s">
        <v>12778</v>
      </c>
      <c r="K176" s="156" t="s">
        <v>13763</v>
      </c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"),"Confirmada")</f>
        <v>Confirmada</v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IFERROR(__xludf.DUMMYFUNCTION("ifna(VALUE(REGEXEXTRACT(E176,""[0-9.]+[,]+[0-9]+"")))"),100.0)</f>
        <v>100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2070401.0</v>
      </c>
      <c r="C177" s="14">
        <v>46100.73008101852</v>
      </c>
      <c r="D177" s="210" t="s">
        <v>101</v>
      </c>
      <c r="E177" s="211" t="s">
        <v>2367</v>
      </c>
      <c r="F177" s="214"/>
      <c r="G177" s="210" t="s">
        <v>133</v>
      </c>
      <c r="H177" s="170"/>
      <c r="I177" s="170"/>
      <c r="J177" s="156" t="s">
        <v>6914</v>
      </c>
      <c r="K177" s="156"/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IFERROR(__xludf.DUMMYFUNCTION("ifna(VALUE(REGEXEXTRACT(E177,""[0-9.]+[,]+[0-9]+"")))"),106.0)</f>
        <v>106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2070405.0</v>
      </c>
      <c r="C178" s="14">
        <v>46100.73065972222</v>
      </c>
      <c r="D178" s="210" t="s">
        <v>139</v>
      </c>
      <c r="E178" s="211" t="s">
        <v>141</v>
      </c>
      <c r="F178" s="212"/>
      <c r="G178" s="210" t="s">
        <v>142</v>
      </c>
      <c r="H178" s="170"/>
      <c r="I178" s="170"/>
      <c r="J178" s="156" t="s">
        <v>13783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IFERROR(__xludf.DUMMYFUNCTION("ifna(VALUE(REGEXEXTRACT(E178,""[0-9.]+[,]+[0-9]+"")))"),50.0)</f>
        <v>50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2070406.0</v>
      </c>
      <c r="C179" s="14">
        <v>46100.731099537035</v>
      </c>
      <c r="D179" s="210" t="s">
        <v>101</v>
      </c>
      <c r="E179" s="211" t="s">
        <v>364</v>
      </c>
      <c r="F179" s="212"/>
      <c r="G179" s="210" t="s">
        <v>14392</v>
      </c>
      <c r="H179" s="170"/>
      <c r="I179" s="170"/>
      <c r="J179" s="156" t="s">
        <v>12778</v>
      </c>
      <c r="K179" s="156" t="s">
        <v>11866</v>
      </c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"),"Confirmada")</f>
        <v>Confirmada</v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IFERROR(__xludf.DUMMYFUNCTION("ifna(VALUE(REGEXEXTRACT(E179,""[0-9.]+[,]+[0-9]+"")))"),600.0)</f>
        <v>600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2070461.0</v>
      </c>
      <c r="C180" s="14">
        <v>46100.74549768519</v>
      </c>
      <c r="D180" s="210" t="s">
        <v>101</v>
      </c>
      <c r="E180" s="211" t="s">
        <v>14394</v>
      </c>
      <c r="F180" s="212"/>
      <c r="G180" s="210" t="s">
        <v>452</v>
      </c>
      <c r="H180" s="170"/>
      <c r="I180" s="170"/>
      <c r="J180" s="156" t="s">
        <v>12818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159">
        <f>IFERROR(__xludf.DUMMYFUNCTION("ifna(VALUE(REGEXEXTRACT(E180,""[0-9.]+[,]+[0-9]+"")))"),236.0)</f>
        <v>236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2071030.0</v>
      </c>
      <c r="C181" s="14">
        <v>46100.911828703705</v>
      </c>
      <c r="D181" s="210" t="s">
        <v>101</v>
      </c>
      <c r="E181" s="211" t="s">
        <v>210</v>
      </c>
      <c r="F181" s="212"/>
      <c r="G181" s="210" t="s">
        <v>14154</v>
      </c>
      <c r="H181" s="170"/>
      <c r="I181" s="170"/>
      <c r="J181" s="156" t="s">
        <v>6914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IFERROR(__xludf.DUMMYFUNCTION("ifna(VALUE(REGEXEXTRACT(E181,""[0-9.]+[,]+[0-9]+"")))"),40.0)</f>
        <v>40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2071214.0</v>
      </c>
      <c r="C182" s="14">
        <v>46100.93077546296</v>
      </c>
      <c r="D182" s="210" t="s">
        <v>101</v>
      </c>
      <c r="E182" s="211" t="s">
        <v>237</v>
      </c>
      <c r="F182" s="212"/>
      <c r="G182" s="210" t="s">
        <v>14398</v>
      </c>
      <c r="H182" s="170"/>
      <c r="I182" s="170"/>
      <c r="J182" s="156" t="s">
        <v>12778</v>
      </c>
      <c r="K182" s="156" t="s">
        <v>13763</v>
      </c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"),"Confirmada")</f>
        <v>Confirmada</v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IFERROR(__xludf.DUMMYFUNCTION("ifna(VALUE(REGEXEXTRACT(E182,""[0-9.]+[,]+[0-9]+"")))"),100.0)</f>
        <v>100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2071643.0</v>
      </c>
      <c r="C183" s="14">
        <v>46101.53902777778</v>
      </c>
      <c r="D183" s="210" t="s">
        <v>139</v>
      </c>
      <c r="E183" s="211" t="s">
        <v>1496</v>
      </c>
      <c r="F183" s="212"/>
      <c r="G183" s="210" t="s">
        <v>14401</v>
      </c>
      <c r="H183" s="170"/>
      <c r="I183" s="170"/>
      <c r="J183" s="156" t="s">
        <v>13783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IFERROR(__xludf.DUMMYFUNCTION("ifna(VALUE(REGEXEXTRACT(E183,""[0-9.]+[,]+[0-9]+"")))"),950.0)</f>
        <v>950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2071645.0</v>
      </c>
      <c r="C184" s="14">
        <v>46101.53949074074</v>
      </c>
      <c r="D184" s="210" t="s">
        <v>139</v>
      </c>
      <c r="E184" s="211" t="s">
        <v>291</v>
      </c>
      <c r="F184" s="212"/>
      <c r="G184" s="210" t="s">
        <v>14403</v>
      </c>
      <c r="H184" s="170"/>
      <c r="I184" s="170"/>
      <c r="J184" s="156" t="s">
        <v>13783</v>
      </c>
      <c r="K184" s="156"/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IFERROR(__xludf.DUMMYFUNCTION("ifna(VALUE(REGEXEXTRACT(E184,""[0-9.]+[,]+[0-9]+"")))"),250.0)</f>
        <v>250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2071675.0</v>
      </c>
      <c r="C185" s="14">
        <v>46101.55190972222</v>
      </c>
      <c r="D185" s="210" t="s">
        <v>101</v>
      </c>
      <c r="E185" s="211" t="s">
        <v>2075</v>
      </c>
      <c r="F185" s="212"/>
      <c r="G185" s="210" t="s">
        <v>14406</v>
      </c>
      <c r="H185" s="170"/>
      <c r="I185" s="170"/>
      <c r="J185" s="156" t="s">
        <v>12952</v>
      </c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IFERROR(__xludf.DUMMYFUNCTION("ifna(VALUE(REGEXEXTRACT(E185,""[0-9.]+[,]+[0-9]+"")))"),900.0)</f>
        <v>900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2072570.0</v>
      </c>
      <c r="C186" s="14">
        <v>46101.776504629626</v>
      </c>
      <c r="D186" s="210" t="s">
        <v>139</v>
      </c>
      <c r="E186" s="211" t="s">
        <v>324</v>
      </c>
      <c r="F186" s="212"/>
      <c r="G186" s="210" t="s">
        <v>142</v>
      </c>
      <c r="H186" s="170"/>
      <c r="I186" s="170"/>
      <c r="J186" s="156" t="s">
        <v>13783</v>
      </c>
      <c r="K186" s="156"/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IFERROR(__xludf.DUMMYFUNCTION("ifna(VALUE(REGEXEXTRACT(E186,""[0-9.]+[,]+[0-9]+"")))"),45.0)</f>
        <v>45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2072591.0</v>
      </c>
      <c r="C187" s="14">
        <v>46101.78329861111</v>
      </c>
      <c r="D187" s="210" t="s">
        <v>101</v>
      </c>
      <c r="E187" s="211" t="s">
        <v>246</v>
      </c>
      <c r="F187" s="212"/>
      <c r="G187" s="210" t="s">
        <v>629</v>
      </c>
      <c r="H187" s="170"/>
      <c r="I187" s="170"/>
      <c r="J187" s="156" t="s">
        <v>6914</v>
      </c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IFERROR(__xludf.DUMMYFUNCTION("ifna(VALUE(REGEXEXTRACT(E187,""[0-9.]+[,]+[0-9]+"")))"),30.0)</f>
        <v>30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2072594.0</v>
      </c>
      <c r="C188" s="14">
        <v>46101.78449074074</v>
      </c>
      <c r="D188" s="210" t="s">
        <v>139</v>
      </c>
      <c r="E188" s="211" t="s">
        <v>141</v>
      </c>
      <c r="F188" s="212"/>
      <c r="G188" s="210" t="s">
        <v>142</v>
      </c>
      <c r="H188" s="170"/>
      <c r="I188" s="170"/>
      <c r="J188" s="156" t="s">
        <v>13783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IFERROR(__xludf.DUMMYFUNCTION("ifna(VALUE(REGEXEXTRACT(E188,""[0-9.]+[,]+[0-9]+"")))"),50.0)</f>
        <v>50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2072649.0</v>
      </c>
      <c r="C189" s="14">
        <v>46101.800208333334</v>
      </c>
      <c r="D189" s="210" t="s">
        <v>101</v>
      </c>
      <c r="E189" s="211" t="s">
        <v>364</v>
      </c>
      <c r="F189" s="212"/>
      <c r="G189" s="210" t="s">
        <v>14411</v>
      </c>
      <c r="H189" s="170"/>
      <c r="I189" s="170"/>
      <c r="J189" s="156" t="s">
        <v>12778</v>
      </c>
      <c r="K189" s="156" t="s">
        <v>11866</v>
      </c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"),"Confirmada")</f>
        <v>Confirmada</v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IFERROR(__xludf.DUMMYFUNCTION("ifna(VALUE(REGEXEXTRACT(E189,""[0-9.]+[,]+[0-9]+"")))"),600.0)</f>
        <v>600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2072664.0</v>
      </c>
      <c r="C190" s="14">
        <v>46101.806597222225</v>
      </c>
      <c r="D190" s="210" t="s">
        <v>101</v>
      </c>
      <c r="E190" s="211" t="s">
        <v>14413</v>
      </c>
      <c r="F190" s="212"/>
      <c r="G190" s="210" t="s">
        <v>537</v>
      </c>
      <c r="H190" s="170"/>
      <c r="I190" s="170"/>
      <c r="J190" s="156" t="s">
        <v>12818</v>
      </c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"""")"),"Encontrada")</f>
        <v>Encontrada</v>
      </c>
      <c r="N190" s="159">
        <f>IFERROR(__xludf.DUMMYFUNCTION("ifna(VALUE(REGEXEXTRACT(E190,""[0-9.]+[,]+[0-9]+"")))"),87.1)</f>
        <v>87.1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2073104.0</v>
      </c>
      <c r="C191" s="14">
        <v>46101.91516203704</v>
      </c>
      <c r="D191" s="210" t="s">
        <v>101</v>
      </c>
      <c r="E191" s="211" t="s">
        <v>14415</v>
      </c>
      <c r="F191" s="214"/>
      <c r="G191" s="210" t="s">
        <v>334</v>
      </c>
      <c r="H191" s="170"/>
      <c r="I191" s="170"/>
      <c r="J191" s="156" t="s">
        <v>12658</v>
      </c>
      <c r="K191" s="156" t="s">
        <v>13760</v>
      </c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IFERROR(__xludf.DUMMYFUNCTION("ifna(VALUE(REGEXEXTRACT(E191,""[0-9.]+[,]+[0-9]+"")))"),52.06)</f>
        <v>52.06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2073266.0</v>
      </c>
      <c r="C192" s="14">
        <v>46101.932025462964</v>
      </c>
      <c r="D192" s="210" t="s">
        <v>101</v>
      </c>
      <c r="E192" s="211" t="s">
        <v>1983</v>
      </c>
      <c r="F192" s="212"/>
      <c r="G192" s="210" t="s">
        <v>14154</v>
      </c>
      <c r="H192" s="170"/>
      <c r="I192" s="170"/>
      <c r="J192" s="156" t="s">
        <v>6914</v>
      </c>
      <c r="K192" s="156"/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"),"")</f>
        <v/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IFERROR(__xludf.DUMMYFUNCTION("ifna(VALUE(REGEXEXTRACT(E192,""[0-9.]+[,]+[0-9]+"")))"),78.0)</f>
        <v>78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2073280.0</v>
      </c>
      <c r="C193" s="14">
        <v>46101.93303240741</v>
      </c>
      <c r="D193" s="210" t="s">
        <v>101</v>
      </c>
      <c r="E193" s="211" t="s">
        <v>12773</v>
      </c>
      <c r="F193" s="212"/>
      <c r="G193" s="210" t="s">
        <v>14417</v>
      </c>
      <c r="H193" s="170"/>
      <c r="I193" s="170"/>
      <c r="J193" s="156" t="s">
        <v>12778</v>
      </c>
      <c r="K193" s="156" t="s">
        <v>13763</v>
      </c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"),"Confirmada")</f>
        <v>Confirmada</v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IFERROR(__xludf.DUMMYFUNCTION("ifna(VALUE(REGEXEXTRACT(E193,""[0-9.]+[,]+[0-9]+"")))"),700.0)</f>
        <v>700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2074639.0</v>
      </c>
      <c r="C194" s="14">
        <v>46102.73986111111</v>
      </c>
      <c r="D194" s="210" t="s">
        <v>101</v>
      </c>
      <c r="E194" s="211" t="s">
        <v>13870</v>
      </c>
      <c r="F194" s="212"/>
      <c r="G194" s="210" t="s">
        <v>14418</v>
      </c>
      <c r="H194" s="170"/>
      <c r="I194" s="170"/>
      <c r="J194" s="156" t="s">
        <v>6914</v>
      </c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IFERROR(__xludf.DUMMYFUNCTION("ifna(VALUE(REGEXEXTRACT(E194,""[0-9.]+[,]+[0-9]+"")))"),126.0)</f>
        <v>126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2075381.0</v>
      </c>
      <c r="C195" s="14">
        <v>46102.87436342592</v>
      </c>
      <c r="D195" s="210" t="s">
        <v>139</v>
      </c>
      <c r="E195" s="211" t="s">
        <v>14420</v>
      </c>
      <c r="F195" s="212"/>
      <c r="G195" s="210" t="s">
        <v>142</v>
      </c>
      <c r="H195" s="170"/>
      <c r="I195" s="170"/>
      <c r="J195" s="156" t="s">
        <v>13783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IFERROR(__xludf.DUMMYFUNCTION("ifna(VALUE(REGEXEXTRACT(E195,""[0-9.]+[,]+[0-9]+"")))"),232.5)</f>
        <v>232.5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2075665.0</v>
      </c>
      <c r="C196" s="14">
        <v>46102.91045138889</v>
      </c>
      <c r="D196" s="210" t="s">
        <v>101</v>
      </c>
      <c r="E196" s="211" t="s">
        <v>13804</v>
      </c>
      <c r="F196" s="214"/>
      <c r="G196" s="210" t="s">
        <v>14421</v>
      </c>
      <c r="H196" s="170"/>
      <c r="I196" s="170"/>
      <c r="J196" s="156" t="s">
        <v>12778</v>
      </c>
      <c r="K196" s="156" t="s">
        <v>11866</v>
      </c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"),"Confirmada")</f>
        <v>Confirmada</v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IFERROR(__xludf.DUMMYFUNCTION("ifna(VALUE(REGEXEXTRACT(E196,""[0-9.]+[,]+[0-9]+"")))"),1450.0)</f>
        <v>1450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2075928.0</v>
      </c>
      <c r="C197" s="14">
        <v>46102.92930555555</v>
      </c>
      <c r="D197" s="210" t="s">
        <v>101</v>
      </c>
      <c r="E197" s="211" t="s">
        <v>13209</v>
      </c>
      <c r="F197" s="212"/>
      <c r="G197" s="210" t="s">
        <v>1109</v>
      </c>
      <c r="H197" s="170"/>
      <c r="I197" s="170"/>
      <c r="J197" s="156" t="s">
        <v>10036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IFERROR(__xludf.DUMMYFUNCTION("ifna(VALUE(REGEXEXTRACT(E197,""[0-9.]+[,]+[0-9]+"")))"),117.0)</f>
        <v>117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2075936.0</v>
      </c>
      <c r="C198" s="14">
        <v>46102.929502314815</v>
      </c>
      <c r="D198" s="210" t="s">
        <v>101</v>
      </c>
      <c r="E198" s="211" t="s">
        <v>13209</v>
      </c>
      <c r="F198" s="212"/>
      <c r="G198" s="210" t="s">
        <v>124</v>
      </c>
      <c r="H198" s="170"/>
      <c r="I198" s="170"/>
      <c r="J198" s="156" t="s">
        <v>10036</v>
      </c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IFERROR(__xludf.DUMMYFUNCTION("ifna(VALUE(REGEXEXTRACT(E198,""[0-9.]+[,]+[0-9]+"")))"),117.0)</f>
        <v>117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2077162.0</v>
      </c>
      <c r="C199" s="14">
        <v>46103.68800925926</v>
      </c>
      <c r="D199" s="210" t="s">
        <v>139</v>
      </c>
      <c r="E199" s="211" t="s">
        <v>201</v>
      </c>
      <c r="F199" s="212"/>
      <c r="G199" s="210" t="s">
        <v>142</v>
      </c>
      <c r="H199" s="170"/>
      <c r="I199" s="170"/>
      <c r="J199" s="156" t="s">
        <v>13783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IFERROR(__xludf.DUMMYFUNCTION("ifna(VALUE(REGEXEXTRACT(E199,""[0-9.]+[,]+[0-9]+"")))"),150.0)</f>
        <v>150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2078294.0</v>
      </c>
      <c r="C200" s="14">
        <v>46103.87530092592</v>
      </c>
      <c r="D200" s="210" t="s">
        <v>101</v>
      </c>
      <c r="E200" s="211" t="s">
        <v>14429</v>
      </c>
      <c r="F200" s="212"/>
      <c r="G200" s="210" t="s">
        <v>1153</v>
      </c>
      <c r="H200" s="170"/>
      <c r="I200" s="170"/>
      <c r="J200" s="156" t="s">
        <v>12818</v>
      </c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"""")"),"Encontrada")</f>
        <v>Encontrada</v>
      </c>
      <c r="N200" s="159">
        <f>IFERROR(__xludf.DUMMYFUNCTION("ifna(VALUE(REGEXEXTRACT(E200,""[0-9.]+[,]+[0-9]+"")))"),50.95)</f>
        <v>50.95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2078297.0</v>
      </c>
      <c r="C201" s="14">
        <v>46103.87553240741</v>
      </c>
      <c r="D201" s="210" t="s">
        <v>101</v>
      </c>
      <c r="E201" s="211" t="s">
        <v>14431</v>
      </c>
      <c r="F201" s="212"/>
      <c r="G201" s="210" t="s">
        <v>1153</v>
      </c>
      <c r="H201" s="170"/>
      <c r="I201" s="170"/>
      <c r="J201" s="156" t="s">
        <v>12818</v>
      </c>
      <c r="K201" s="156"/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"),"")</f>
        <v/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159">
        <f>IFERROR(__xludf.DUMMYFUNCTION("ifna(VALUE(REGEXEXTRACT(E201,""[0-9.]+[,]+[0-9]+"")))"),104.12)</f>
        <v>104.12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2078610.0</v>
      </c>
      <c r="C202" s="14">
        <v>46103.90730324074</v>
      </c>
      <c r="D202" s="210" t="s">
        <v>101</v>
      </c>
      <c r="E202" s="211" t="s">
        <v>14432</v>
      </c>
      <c r="F202" s="212"/>
      <c r="G202" s="210" t="s">
        <v>14154</v>
      </c>
      <c r="H202" s="170"/>
      <c r="I202" s="170"/>
      <c r="J202" s="156" t="s">
        <v>6914</v>
      </c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IFERROR(__xludf.DUMMYFUNCTION("ifna(VALUE(REGEXEXTRACT(E202,""[0-9.]+[,]+[0-9]+"")))"),341.0)</f>
        <v>341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2078976.0</v>
      </c>
      <c r="C203" s="14">
        <v>46103.92724537037</v>
      </c>
      <c r="D203" s="210" t="s">
        <v>101</v>
      </c>
      <c r="E203" s="211" t="s">
        <v>13209</v>
      </c>
      <c r="F203" s="212"/>
      <c r="G203" s="210" t="s">
        <v>14434</v>
      </c>
      <c r="H203" s="170"/>
      <c r="I203" s="170"/>
      <c r="J203" s="156" t="s">
        <v>10036</v>
      </c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>
        <f>IFERROR(__xludf.DUMMYFUNCTION("ifna(VALUE(REGEXEXTRACT(E203,""[0-9.]+[,]+[0-9]+"")))"),117.0)</f>
        <v>117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>
        <v>2078981.0</v>
      </c>
      <c r="C204" s="14">
        <v>46103.92737268518</v>
      </c>
      <c r="D204" s="210" t="s">
        <v>101</v>
      </c>
      <c r="E204" s="211" t="s">
        <v>13209</v>
      </c>
      <c r="F204" s="214"/>
      <c r="G204" s="210" t="s">
        <v>14435</v>
      </c>
      <c r="H204" s="170"/>
      <c r="I204" s="170"/>
      <c r="J204" s="156" t="s">
        <v>10036</v>
      </c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>
        <f>IFERROR(__xludf.DUMMYFUNCTION("ifna(VALUE(REGEXEXTRACT(E204,""[0-9.]+[,]+[0-9]+"")))"),117.0)</f>
        <v>117</v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>
        <v>2079023.0</v>
      </c>
      <c r="C205" s="14">
        <v>46103.93027777778</v>
      </c>
      <c r="D205" s="210" t="s">
        <v>101</v>
      </c>
      <c r="E205" s="211" t="s">
        <v>12773</v>
      </c>
      <c r="F205" s="212"/>
      <c r="G205" s="210" t="s">
        <v>14437</v>
      </c>
      <c r="H205" s="170"/>
      <c r="I205" s="170"/>
      <c r="J205" s="156" t="s">
        <v>12778</v>
      </c>
      <c r="K205" s="156" t="s">
        <v>13763</v>
      </c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"),"Confirmada")</f>
        <v>Confirmada</v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>
        <f>IFERROR(__xludf.DUMMYFUNCTION("ifna(VALUE(REGEXEXTRACT(E205,""[0-9.]+[,]+[0-9]+"")))"),700.0)</f>
        <v>700</v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>
        <v>2080315.0</v>
      </c>
      <c r="C206" s="14">
        <v>46104.72641203704</v>
      </c>
      <c r="D206" s="210" t="s">
        <v>101</v>
      </c>
      <c r="E206" s="211" t="s">
        <v>1598</v>
      </c>
      <c r="F206" s="212"/>
      <c r="G206" s="210" t="s">
        <v>133</v>
      </c>
      <c r="H206" s="170"/>
      <c r="I206" s="170"/>
      <c r="J206" s="156" t="s">
        <v>6914</v>
      </c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>
        <f>IFERROR(__xludf.DUMMYFUNCTION("ifna(VALUE(REGEXEXTRACT(E206,""[0-9.]+[,]+[0-9]+"")))"),134.0)</f>
        <v>134</v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>
        <v>2080347.0</v>
      </c>
      <c r="C207" s="14">
        <v>46104.73650462963</v>
      </c>
      <c r="D207" s="210" t="s">
        <v>101</v>
      </c>
      <c r="E207" s="211" t="s">
        <v>746</v>
      </c>
      <c r="F207" s="212"/>
      <c r="G207" s="210" t="s">
        <v>14439</v>
      </c>
      <c r="H207" s="170"/>
      <c r="I207" s="170"/>
      <c r="J207" s="156" t="s">
        <v>12778</v>
      </c>
      <c r="K207" s="156" t="s">
        <v>11866</v>
      </c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"),"Confirmada")</f>
        <v>Confirmada</v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>
        <f>IFERROR(__xludf.DUMMYFUNCTION("ifna(VALUE(REGEXEXTRACT(E207,""[0-9.]+[,]+[0-9]+"")))"),350.0)</f>
        <v>350</v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>
        <v>2080348.0</v>
      </c>
      <c r="C208" s="14">
        <v>46104.73662037037</v>
      </c>
      <c r="D208" s="210" t="s">
        <v>101</v>
      </c>
      <c r="E208" s="211" t="s">
        <v>398</v>
      </c>
      <c r="F208" s="212"/>
      <c r="G208" s="210" t="s">
        <v>944</v>
      </c>
      <c r="H208" s="170"/>
      <c r="I208" s="170"/>
      <c r="J208" s="156" t="s">
        <v>6914</v>
      </c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>
        <f>IFERROR(__xludf.DUMMYFUNCTION("ifna(VALUE(REGEXEXTRACT(E208,""[0-9.]+[,]+[0-9]+"")))"),12.0)</f>
        <v>12</v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>
        <v>2080969.0</v>
      </c>
      <c r="C209" s="14">
        <v>46104.915555555555</v>
      </c>
      <c r="D209" s="210" t="s">
        <v>101</v>
      </c>
      <c r="E209" s="211" t="s">
        <v>477</v>
      </c>
      <c r="F209" s="212"/>
      <c r="G209" s="210" t="s">
        <v>2321</v>
      </c>
      <c r="H209" s="170"/>
      <c r="I209" s="170"/>
      <c r="J209" s="156" t="s">
        <v>6914</v>
      </c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>
        <f>IFERROR(__xludf.DUMMYFUNCTION("ifna(VALUE(REGEXEXTRACT(E209,""[0-9.]+[,]+[0-9]+"")))"),73.0)</f>
        <v>73</v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>
        <v>2081125.0</v>
      </c>
      <c r="C210" s="14">
        <v>46104.93108796296</v>
      </c>
      <c r="D210" s="210" t="s">
        <v>101</v>
      </c>
      <c r="E210" s="211" t="s">
        <v>405</v>
      </c>
      <c r="F210" s="212"/>
      <c r="G210" s="210" t="s">
        <v>14444</v>
      </c>
      <c r="H210" s="170"/>
      <c r="I210" s="170"/>
      <c r="J210" s="156" t="s">
        <v>12778</v>
      </c>
      <c r="K210" s="156" t="s">
        <v>13763</v>
      </c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"),"Confirmada")</f>
        <v>Confirmada</v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>
        <f>IFERROR(__xludf.DUMMYFUNCTION("ifna(VALUE(REGEXEXTRACT(E210,""[0-9.]+[,]+[0-9]+"")))"),650.0)</f>
        <v>650</v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>
        <v>2081140.0</v>
      </c>
      <c r="C211" s="14">
        <v>46104.93239583333</v>
      </c>
      <c r="D211" s="210" t="s">
        <v>101</v>
      </c>
      <c r="E211" s="211" t="s">
        <v>13138</v>
      </c>
      <c r="F211" s="214"/>
      <c r="G211" s="210" t="s">
        <v>14445</v>
      </c>
      <c r="H211" s="170"/>
      <c r="I211" s="170"/>
      <c r="J211" s="156"/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>
        <f>IFERROR(__xludf.DUMMYFUNCTION("ifna(VALUE(REGEXEXTRACT(E211,""[0-9.]+[,]+[0-9]+"")))"),0.01)</f>
        <v>0.01</v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>
        <v>2082027.0</v>
      </c>
      <c r="C212" s="14">
        <v>46105.708333333336</v>
      </c>
      <c r="D212" s="210" t="s">
        <v>139</v>
      </c>
      <c r="E212" s="211" t="s">
        <v>2425</v>
      </c>
      <c r="F212" s="212"/>
      <c r="G212" s="210" t="s">
        <v>142</v>
      </c>
      <c r="H212" s="170"/>
      <c r="I212" s="170"/>
      <c r="J212" s="156" t="s">
        <v>13783</v>
      </c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>
        <f>IFERROR(__xludf.DUMMYFUNCTION("ifna(VALUE(REGEXEXTRACT(E212,""[0-9.]+[,]+[0-9]+"")))"),95.0)</f>
        <v>95</v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>
        <v>2082076.0</v>
      </c>
      <c r="C213" s="14">
        <v>46105.71811342592</v>
      </c>
      <c r="D213" s="210" t="s">
        <v>101</v>
      </c>
      <c r="E213" s="211" t="s">
        <v>1730</v>
      </c>
      <c r="F213" s="212"/>
      <c r="G213" s="210" t="s">
        <v>133</v>
      </c>
      <c r="H213" s="170"/>
      <c r="I213" s="170"/>
      <c r="J213" s="156" t="s">
        <v>6914</v>
      </c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>
        <f>IFERROR(__xludf.DUMMYFUNCTION("ifna(VALUE(REGEXEXTRACT(E213,""[0-9.]+[,]+[0-9]+"")))"),96.0)</f>
        <v>96</v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>
        <v>2082077.0</v>
      </c>
      <c r="C214" s="14">
        <v>46105.718506944446</v>
      </c>
      <c r="D214" s="210" t="s">
        <v>101</v>
      </c>
      <c r="E214" s="211" t="s">
        <v>398</v>
      </c>
      <c r="F214" s="212"/>
      <c r="G214" s="210" t="s">
        <v>14449</v>
      </c>
      <c r="H214" s="170"/>
      <c r="I214" s="170"/>
      <c r="J214" s="156" t="s">
        <v>12818</v>
      </c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159">
        <f>IFERROR(__xludf.DUMMYFUNCTION("ifna(VALUE(REGEXEXTRACT(E214,""[0-9.]+[,]+[0-9]+"")))"),12.0)</f>
        <v>12</v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>
        <v>2082121.0</v>
      </c>
      <c r="C215" s="14">
        <v>46105.73018518519</v>
      </c>
      <c r="D215" s="210" t="s">
        <v>101</v>
      </c>
      <c r="E215" s="211" t="s">
        <v>1219</v>
      </c>
      <c r="F215" s="212"/>
      <c r="G215" s="210" t="s">
        <v>133</v>
      </c>
      <c r="H215" s="170"/>
      <c r="I215" s="170"/>
      <c r="J215" s="156" t="s">
        <v>6914</v>
      </c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>
        <f>IFERROR(__xludf.DUMMYFUNCTION("ifna(VALUE(REGEXEXTRACT(E215,""[0-9.]+[,]+[0-9]+"")))"),400.0)</f>
        <v>400</v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>
        <v>2082262.0</v>
      </c>
      <c r="C216" s="14">
        <v>46105.767372685186</v>
      </c>
      <c r="D216" s="210" t="s">
        <v>101</v>
      </c>
      <c r="E216" s="211" t="s">
        <v>13138</v>
      </c>
      <c r="F216" s="212"/>
      <c r="G216" s="210" t="s">
        <v>14454</v>
      </c>
      <c r="H216" s="170"/>
      <c r="I216" s="170"/>
      <c r="J216" s="156"/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>
        <f>IFERROR(__xludf.DUMMYFUNCTION("ifna(VALUE(REGEXEXTRACT(E216,""[0-9.]+[,]+[0-9]+"")))"),0.01)</f>
        <v>0.01</v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>
        <v>2082538.0</v>
      </c>
      <c r="C217" s="14">
        <v>46105.87917824074</v>
      </c>
      <c r="D217" s="210" t="s">
        <v>101</v>
      </c>
      <c r="E217" s="211" t="s">
        <v>14456</v>
      </c>
      <c r="F217" s="212"/>
      <c r="G217" s="210" t="s">
        <v>14457</v>
      </c>
      <c r="H217" s="170"/>
      <c r="I217" s="170"/>
      <c r="J217" s="156"/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>
        <f>IFERROR(__xludf.DUMMYFUNCTION("ifna(VALUE(REGEXEXTRACT(E217,""[0-9.]+[,]+[0-9]+"")))"),63.75)</f>
        <v>63.75</v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>
        <v>2082542.0</v>
      </c>
      <c r="C218" s="14">
        <v>46105.879895833335</v>
      </c>
      <c r="D218" s="210" t="s">
        <v>139</v>
      </c>
      <c r="E218" s="211" t="s">
        <v>14456</v>
      </c>
      <c r="F218" s="212"/>
      <c r="G218" s="210" t="s">
        <v>14459</v>
      </c>
      <c r="H218" s="170"/>
      <c r="I218" s="170"/>
      <c r="J218" s="156"/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>
        <f>IFERROR(__xludf.DUMMYFUNCTION("ifna(VALUE(REGEXEXTRACT(E218,""[0-9.]+[,]+[0-9]+"")))"),63.75)</f>
        <v>63.75</v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>
        <v>2082688.0</v>
      </c>
      <c r="C219" s="14">
        <v>46105.90930555556</v>
      </c>
      <c r="D219" s="210" t="s">
        <v>101</v>
      </c>
      <c r="E219" s="211" t="s">
        <v>1274</v>
      </c>
      <c r="F219" s="212"/>
      <c r="G219" s="210" t="s">
        <v>512</v>
      </c>
      <c r="H219" s="170"/>
      <c r="I219" s="170"/>
      <c r="J219" s="156" t="s">
        <v>6914</v>
      </c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>
        <f>IFERROR(__xludf.DUMMYFUNCTION("ifna(VALUE(REGEXEXTRACT(E219,""[0-9.]+[,]+[0-9]+"")))"),66.0)</f>
        <v>66</v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>
        <v>2082812.0</v>
      </c>
      <c r="C220" s="14">
        <v>46105.92167824074</v>
      </c>
      <c r="D220" s="210" t="s">
        <v>101</v>
      </c>
      <c r="E220" s="211" t="s">
        <v>237</v>
      </c>
      <c r="F220" s="214"/>
      <c r="G220" s="210" t="s">
        <v>14461</v>
      </c>
      <c r="H220" s="170"/>
      <c r="I220" s="170"/>
      <c r="J220" s="156" t="s">
        <v>12778</v>
      </c>
      <c r="K220" s="156" t="s">
        <v>13763</v>
      </c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"),"Confirmada")</f>
        <v>Confirmada</v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>
        <f>IFERROR(__xludf.DUMMYFUNCTION("ifna(VALUE(REGEXEXTRACT(E220,""[0-9.]+[,]+[0-9]+"")))"),100.0)</f>
        <v>100</v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>
        <v>2084234.0</v>
      </c>
      <c r="C221" s="14">
        <v>46106.85291666666</v>
      </c>
      <c r="D221" s="210" t="s">
        <v>139</v>
      </c>
      <c r="E221" s="211" t="s">
        <v>246</v>
      </c>
      <c r="F221" s="212"/>
      <c r="G221" s="210" t="s">
        <v>14463</v>
      </c>
      <c r="H221" s="170"/>
      <c r="I221" s="170"/>
      <c r="J221" s="156" t="s">
        <v>13783</v>
      </c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>
        <f>IFERROR(__xludf.DUMMYFUNCTION("ifna(VALUE(REGEXEXTRACT(E221,""[0-9.]+[,]+[0-9]+"")))"),30.0)</f>
        <v>30</v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>
        <v>2084281.0</v>
      </c>
      <c r="C222" s="14">
        <v>46106.86644675926</v>
      </c>
      <c r="D222" s="210" t="s">
        <v>101</v>
      </c>
      <c r="E222" s="211" t="s">
        <v>1006</v>
      </c>
      <c r="F222" s="212"/>
      <c r="G222" s="210" t="s">
        <v>512</v>
      </c>
      <c r="H222" s="170"/>
      <c r="I222" s="170"/>
      <c r="J222" s="156" t="s">
        <v>6914</v>
      </c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>
        <f>IFERROR(__xludf.DUMMYFUNCTION("ifna(VALUE(REGEXEXTRACT(E222,""[0-9.]+[,]+[0-9]+"")))"),68.0)</f>
        <v>68</v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>
        <v>2084450.0</v>
      </c>
      <c r="C223" s="14">
        <v>46106.90723379629</v>
      </c>
      <c r="D223" s="210" t="s">
        <v>101</v>
      </c>
      <c r="E223" s="211" t="s">
        <v>13935</v>
      </c>
      <c r="F223" s="212"/>
      <c r="G223" s="210" t="s">
        <v>14154</v>
      </c>
      <c r="H223" s="170"/>
      <c r="I223" s="170"/>
      <c r="J223" s="156" t="s">
        <v>6914</v>
      </c>
      <c r="K223" s="156"/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>
        <f>IFERROR(__xludf.DUMMYFUNCTION("ifna(VALUE(REGEXEXTRACT(E223,""[0-9.]+[,]+[0-9]+"")))"),93.0)</f>
        <v>93</v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>
        <v>2084613.0</v>
      </c>
      <c r="C224" s="14">
        <v>46106.925717592596</v>
      </c>
      <c r="D224" s="210" t="s">
        <v>101</v>
      </c>
      <c r="E224" s="211" t="s">
        <v>14466</v>
      </c>
      <c r="F224" s="214"/>
      <c r="G224" s="210" t="s">
        <v>239</v>
      </c>
      <c r="H224" s="170"/>
      <c r="I224" s="170"/>
      <c r="J224" s="156" t="s">
        <v>12778</v>
      </c>
      <c r="K224" s="156" t="s">
        <v>13763</v>
      </c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"),"Confirmada")</f>
        <v>Confirmada</v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>
        <f>IFERROR(__xludf.DUMMYFUNCTION("ifna(VALUE(REGEXEXTRACT(E224,""[0-9.]+[,]+[0-9]+"")))"),990.0)</f>
        <v>990</v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/>
      <c r="C225" s="14"/>
      <c r="D225" s="210"/>
      <c r="E225" s="211"/>
      <c r="F225" s="212"/>
      <c r="G225" s="210"/>
      <c r="H225" s="170"/>
      <c r="I225" s="170"/>
      <c r="J225" s="156"/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 t="str">
        <f>IFERROR(__xludf.DUMMYFUNCTION("ifna(VALUE(REGEXEXTRACT(E225,""[0-9.]+[,]+[0-9]+"")))"),"")</f>
        <v/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/>
      <c r="C226" s="14"/>
      <c r="D226" s="210"/>
      <c r="E226" s="211"/>
      <c r="F226" s="212"/>
      <c r="G226" s="210"/>
      <c r="H226" s="170"/>
      <c r="I226" s="170"/>
      <c r="J226" s="156"/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 t="str">
        <f>IFERROR(__xludf.DUMMYFUNCTION("ifna(VALUE(REGEXEXTRACT(E226,""[0-9.]+[,]+[0-9]+"")))"),"")</f>
        <v/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/>
      <c r="C227" s="14"/>
      <c r="D227" s="210"/>
      <c r="E227" s="211"/>
      <c r="F227" s="212"/>
      <c r="G227" s="210"/>
      <c r="H227" s="170"/>
      <c r="I227" s="170"/>
      <c r="J227" s="156"/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 t="str">
        <f>IFERROR(__xludf.DUMMYFUNCTION("ifna(VALUE(REGEXEXTRACT(E227,""[0-9.]+[,]+[0-9]+"")))"),"")</f>
        <v/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/>
      <c r="C228" s="14"/>
      <c r="D228" s="210"/>
      <c r="E228" s="211"/>
      <c r="F228" s="212"/>
      <c r="G228" s="231"/>
      <c r="H228" s="170"/>
      <c r="I228" s="170"/>
      <c r="J228" s="156"/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 t="str">
        <f>IFERROR(__xludf.DUMMYFUNCTION("ifna(VALUE(REGEXEXTRACT(E228,""[0-9.]+[,]+[0-9]+"")))"),"")</f>
        <v/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/>
      <c r="C229" s="14"/>
      <c r="D229" s="210"/>
      <c r="E229" s="211"/>
      <c r="F229" s="212"/>
      <c r="G229" s="210"/>
      <c r="H229" s="170"/>
      <c r="I229" s="170"/>
      <c r="J229" s="156"/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 t="str">
        <f>IFERROR(__xludf.DUMMYFUNCTION("ifna(VALUE(REGEXEXTRACT(E229,""[0-9.]+[,]+[0-9]+"")))"),"")</f>
        <v/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/>
      <c r="C230" s="14"/>
      <c r="D230" s="210"/>
      <c r="E230" s="211"/>
      <c r="F230" s="212"/>
      <c r="G230" s="210"/>
      <c r="H230" s="170"/>
      <c r="I230" s="170"/>
      <c r="J230" s="156"/>
      <c r="K230" s="156"/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 t="str">
        <f>IFERROR(__xludf.DUMMYFUNCTION("ifna(VALUE(REGEXEXTRACT(E230,""[0-9.]+[,]+[0-9]+"")))"),"")</f>
        <v/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/>
      <c r="C231" s="14"/>
      <c r="D231" s="210"/>
      <c r="E231" s="211"/>
      <c r="F231" s="212"/>
      <c r="G231" s="210"/>
      <c r="H231" s="170"/>
      <c r="I231" s="170"/>
      <c r="J231" s="156"/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 t="str">
        <f>IFERROR(__xludf.DUMMYFUNCTION("ifna(VALUE(REGEXEXTRACT(E231,""[0-9.]+[,]+[0-9]+"")))"),"")</f>
        <v/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/>
      <c r="C232" s="14"/>
      <c r="D232" s="210"/>
      <c r="E232" s="211"/>
      <c r="F232" s="212"/>
      <c r="G232" s="210"/>
      <c r="H232" s="170"/>
      <c r="I232" s="170"/>
      <c r="J232" s="156"/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 t="str">
        <f>IFERROR(__xludf.DUMMYFUNCTION("ifna(VALUE(REGEXEXTRACT(E232,""[0-9.]+[,]+[0-9]+"")))"),"")</f>
        <v/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/>
      <c r="C233" s="14"/>
      <c r="D233" s="210"/>
      <c r="E233" s="211"/>
      <c r="F233" s="212"/>
      <c r="G233" s="210"/>
      <c r="H233" s="170"/>
      <c r="I233" s="170"/>
      <c r="J233" s="156"/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 t="str">
        <f>IFERROR(__xludf.DUMMYFUNCTION("ifna(VALUE(REGEXEXTRACT(E233,""[0-9.]+[,]+[0-9]+"")))"),"")</f>
        <v/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/>
      <c r="C234" s="14"/>
      <c r="D234" s="210"/>
      <c r="E234" s="211"/>
      <c r="F234" s="212"/>
      <c r="G234" s="210"/>
      <c r="H234" s="170"/>
      <c r="I234" s="170"/>
      <c r="J234" s="156"/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 t="str">
        <f>IFERROR(__xludf.DUMMYFUNCTION("ifna(VALUE(REGEXEXTRACT(E234,""[0-9.]+[,]+[0-9]+"")))"),"")</f>
        <v/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/>
      <c r="C235" s="14"/>
      <c r="D235" s="210"/>
      <c r="E235" s="211"/>
      <c r="F235" s="212"/>
      <c r="G235" s="210"/>
      <c r="H235" s="170"/>
      <c r="I235" s="170"/>
      <c r="J235" s="156"/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 t="str">
        <f>IFERROR(__xludf.DUMMYFUNCTION("ifna(VALUE(REGEXEXTRACT(E235,""[0-9.]+[,]+[0-9]+"")))"),"")</f>
        <v/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/>
      <c r="C236" s="14"/>
      <c r="D236" s="210"/>
      <c r="E236" s="211"/>
      <c r="F236" s="212"/>
      <c r="G236" s="210"/>
      <c r="H236" s="170"/>
      <c r="I236" s="170"/>
      <c r="J236" s="156"/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 t="str">
        <f>IFERROR(__xludf.DUMMYFUNCTION("ifna(VALUE(REGEXEXTRACT(E236,""[0-9.]+[,]+[0-9]+"")))"),"")</f>
        <v/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3"/>
      <c r="C237" s="14"/>
      <c r="D237" s="210"/>
      <c r="E237" s="211"/>
      <c r="F237" s="212"/>
      <c r="G237" s="210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3"/>
      <c r="C238" s="14"/>
      <c r="D238" s="210"/>
      <c r="E238" s="211"/>
      <c r="F238" s="212"/>
      <c r="G238" s="210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3"/>
      <c r="C239" s="14"/>
      <c r="D239" s="210"/>
      <c r="E239" s="211"/>
      <c r="F239" s="212"/>
      <c r="G239" s="210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3"/>
      <c r="C240" s="14"/>
      <c r="D240" s="210"/>
      <c r="E240" s="211"/>
      <c r="F240" s="212"/>
      <c r="G240" s="210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3"/>
      <c r="C241" s="14"/>
      <c r="D241" s="210"/>
      <c r="E241" s="211"/>
      <c r="F241" s="214"/>
      <c r="G241" s="210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3"/>
      <c r="C242" s="14"/>
      <c r="D242" s="210"/>
      <c r="E242" s="211"/>
      <c r="F242" s="212"/>
      <c r="G242" s="210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3"/>
      <c r="C243" s="14"/>
      <c r="D243" s="210"/>
      <c r="E243" s="211"/>
      <c r="F243" s="212"/>
      <c r="G243" s="210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3"/>
      <c r="C244" s="14"/>
      <c r="D244" s="210"/>
      <c r="E244" s="211"/>
      <c r="F244" s="212"/>
      <c r="G244" s="210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3"/>
      <c r="C245" s="14"/>
      <c r="D245" s="210"/>
      <c r="E245" s="211"/>
      <c r="F245" s="212"/>
      <c r="G245" s="210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3"/>
      <c r="C246" s="14"/>
      <c r="D246" s="210"/>
      <c r="E246" s="211"/>
      <c r="F246" s="212"/>
      <c r="G246" s="210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3"/>
      <c r="C247" s="14"/>
      <c r="D247" s="210"/>
      <c r="E247" s="211"/>
      <c r="F247" s="212"/>
      <c r="G247" s="210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3"/>
      <c r="C248" s="14"/>
      <c r="D248" s="210"/>
      <c r="E248" s="211"/>
      <c r="F248" s="214"/>
      <c r="G248" s="210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3"/>
      <c r="C249" s="14"/>
      <c r="D249" s="210"/>
      <c r="E249" s="211"/>
      <c r="F249" s="212"/>
      <c r="G249" s="210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3"/>
      <c r="C250" s="14"/>
      <c r="D250" s="210"/>
      <c r="E250" s="211"/>
      <c r="F250" s="212"/>
      <c r="G250" s="210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3"/>
      <c r="C251" s="14"/>
      <c r="D251" s="210"/>
      <c r="E251" s="211"/>
      <c r="F251" s="212"/>
      <c r="G251" s="210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3"/>
      <c r="C252" s="14"/>
      <c r="D252" s="210"/>
      <c r="E252" s="211"/>
      <c r="F252" s="212"/>
      <c r="G252" s="210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3"/>
      <c r="C253" s="14"/>
      <c r="D253" s="210"/>
      <c r="E253" s="211"/>
      <c r="F253" s="212"/>
      <c r="G253" s="210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3"/>
      <c r="C254" s="14"/>
      <c r="D254" s="210"/>
      <c r="E254" s="211"/>
      <c r="F254" s="212"/>
      <c r="G254" s="210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3"/>
      <c r="C255" s="14"/>
      <c r="D255" s="210"/>
      <c r="E255" s="211"/>
      <c r="F255" s="212"/>
      <c r="G255" s="210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3"/>
      <c r="C256" s="14"/>
      <c r="D256" s="210"/>
      <c r="E256" s="211"/>
      <c r="F256" s="212"/>
      <c r="G256" s="210"/>
      <c r="H256" s="170"/>
      <c r="I256" s="170"/>
      <c r="J256" s="156"/>
      <c r="K256" s="156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3"/>
      <c r="C257" s="14"/>
      <c r="D257" s="210"/>
      <c r="E257" s="211"/>
      <c r="F257" s="212"/>
      <c r="G257" s="210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3"/>
      <c r="C258" s="14"/>
      <c r="D258" s="210"/>
      <c r="E258" s="211"/>
      <c r="F258" s="214"/>
      <c r="G258" s="210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3"/>
      <c r="C259" s="14"/>
      <c r="D259" s="210"/>
      <c r="E259" s="211"/>
      <c r="F259" s="212"/>
      <c r="G259" s="210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3"/>
      <c r="C260" s="14"/>
      <c r="D260" s="210"/>
      <c r="E260" s="211"/>
      <c r="F260" s="212"/>
      <c r="G260" s="210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3"/>
      <c r="C261" s="14"/>
      <c r="D261" s="210"/>
      <c r="E261" s="211"/>
      <c r="F261" s="212"/>
      <c r="G261" s="210"/>
      <c r="H261" s="170"/>
      <c r="I261" s="170"/>
      <c r="J261" s="156"/>
      <c r="K261" s="156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3"/>
      <c r="C262" s="14"/>
      <c r="D262" s="210"/>
      <c r="E262" s="211"/>
      <c r="F262" s="212"/>
      <c r="G262" s="210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3"/>
      <c r="C263" s="14"/>
      <c r="D263" s="210"/>
      <c r="E263" s="211"/>
      <c r="F263" s="212"/>
      <c r="G263" s="210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3"/>
      <c r="C264" s="14"/>
      <c r="D264" s="210"/>
      <c r="E264" s="211"/>
      <c r="F264" s="212"/>
      <c r="G264" s="210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3"/>
      <c r="C265" s="14"/>
      <c r="D265" s="210"/>
      <c r="E265" s="211"/>
      <c r="F265" s="212"/>
      <c r="G265" s="210"/>
      <c r="H265" s="170"/>
      <c r="I265" s="170"/>
      <c r="J265" s="156"/>
      <c r="K265" s="156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3"/>
      <c r="C266" s="14"/>
      <c r="D266" s="210"/>
      <c r="E266" s="211"/>
      <c r="F266" s="212"/>
      <c r="G266" s="210"/>
      <c r="H266" s="170"/>
      <c r="I266" s="170"/>
      <c r="J266" s="156"/>
      <c r="K266" s="156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3"/>
      <c r="C267" s="14"/>
      <c r="D267" s="210"/>
      <c r="E267" s="211"/>
      <c r="F267" s="212"/>
      <c r="G267" s="210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3"/>
      <c r="C268" s="14"/>
      <c r="D268" s="210"/>
      <c r="E268" s="211"/>
      <c r="F268" s="212"/>
      <c r="G268" s="210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3"/>
      <c r="C269" s="14"/>
      <c r="D269" s="210"/>
      <c r="E269" s="211"/>
      <c r="F269" s="212"/>
      <c r="G269" s="210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3"/>
      <c r="C270" s="14"/>
      <c r="D270" s="210"/>
      <c r="E270" s="211"/>
      <c r="F270" s="212"/>
      <c r="G270" s="210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3"/>
      <c r="C271" s="14"/>
      <c r="D271" s="210"/>
      <c r="E271" s="211"/>
      <c r="F271" s="212"/>
      <c r="G271" s="210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3"/>
      <c r="C272" s="14"/>
      <c r="D272" s="210"/>
      <c r="E272" s="211"/>
      <c r="F272" s="212"/>
      <c r="G272" s="210"/>
      <c r="H272" s="170"/>
      <c r="I272" s="170"/>
      <c r="J272" s="156"/>
      <c r="K272" s="156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3"/>
      <c r="C273" s="14"/>
      <c r="D273" s="210"/>
      <c r="E273" s="211"/>
      <c r="F273" s="212"/>
      <c r="G273" s="210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3"/>
      <c r="C274" s="14"/>
      <c r="D274" s="210"/>
      <c r="E274" s="211"/>
      <c r="F274" s="212"/>
      <c r="G274" s="210"/>
      <c r="H274" s="170"/>
      <c r="I274" s="170"/>
      <c r="J274" s="156"/>
      <c r="K274" s="156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3"/>
      <c r="C275" s="14"/>
      <c r="D275" s="210"/>
      <c r="E275" s="211"/>
      <c r="F275" s="214"/>
      <c r="G275" s="210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3"/>
      <c r="C276" s="14"/>
      <c r="D276" s="210"/>
      <c r="E276" s="211"/>
      <c r="F276" s="212"/>
      <c r="G276" s="210"/>
      <c r="H276" s="170"/>
      <c r="I276" s="170"/>
      <c r="J276" s="156"/>
      <c r="K276" s="156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3"/>
      <c r="C277" s="14"/>
      <c r="D277" s="210"/>
      <c r="E277" s="211"/>
      <c r="F277" s="165"/>
      <c r="G277" s="210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3"/>
      <c r="C278" s="14"/>
      <c r="D278" s="210"/>
      <c r="E278" s="211"/>
      <c r="F278" s="155"/>
      <c r="G278" s="210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3"/>
      <c r="C279" s="14"/>
      <c r="D279" s="210"/>
      <c r="E279" s="211"/>
      <c r="F279" s="155"/>
      <c r="G279" s="210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3"/>
      <c r="C280" s="14"/>
      <c r="D280" s="210"/>
      <c r="E280" s="211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3"/>
      <c r="C281" s="14"/>
      <c r="D281" s="210"/>
      <c r="E281" s="211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3"/>
      <c r="C282" s="14"/>
      <c r="D282" s="210"/>
      <c r="E282" s="211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3"/>
      <c r="C283" s="14"/>
      <c r="D283" s="210"/>
      <c r="E283" s="211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3"/>
      <c r="C284" s="14"/>
      <c r="D284" s="210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3"/>
      <c r="C285" s="14"/>
      <c r="D285" s="210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3"/>
      <c r="C286" s="14"/>
      <c r="D286" s="210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3"/>
      <c r="C287" s="14"/>
      <c r="D287" s="210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3"/>
      <c r="C288" s="14"/>
      <c r="D288" s="210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3"/>
      <c r="C289" s="14"/>
      <c r="D289" s="210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3"/>
      <c r="C290" s="14"/>
      <c r="D290" s="210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3"/>
      <c r="C291" s="152"/>
      <c r="D291" s="210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3"/>
      <c r="C292" s="152"/>
      <c r="D292" s="210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3"/>
      <c r="C293" s="152"/>
      <c r="D293" s="210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3"/>
      <c r="C294" s="152"/>
      <c r="D294" s="210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3"/>
      <c r="C295" s="152"/>
      <c r="D295" s="210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210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K22:K500">
      <formula1>'MARÇO 2026'!$B$4:$B$10</formula1>
    </dataValidation>
    <dataValidation type="list" allowBlank="1" showErrorMessage="1" sqref="J22:J278 J280:J283 J286:J500">
      <formula1>"Adiantamento,Consumo,Sangria,Compra de Mercadorias,Motoboy,Freelancer,Caixa Troco,Compra de Moedas,Cortesias,Estorno Cliente,Inadimplência,A/F de Caixa,Delivery Cancelado/Errado"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/>
      </c>
      <c r="D3" s="40"/>
      <c r="E3" s="41" t="str">
        <f>B5</f>
        <v>Renan</v>
      </c>
      <c r="F3" s="40"/>
      <c r="G3" s="41" t="str">
        <f>B6</f>
        <v/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/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/>
      <c r="B4" s="47"/>
      <c r="C4" s="48" t="s">
        <v>1329</v>
      </c>
      <c r="D4" s="49">
        <f>SUMIFS(N22:N500,J22:J500,C4,K22:K500,C3)+SUMIF(Q59:Q95,A4,R59:R122)+D9</f>
        <v>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0</v>
      </c>
      <c r="E5" s="50" t="s">
        <v>12658</v>
      </c>
      <c r="F5" s="49">
        <f>SUMIFS(N22:N500,J22:J500,C5,K22:K500,E3)</f>
        <v>275.5</v>
      </c>
      <c r="G5" s="50" t="s">
        <v>12658</v>
      </c>
      <c r="H5" s="49">
        <f>SUMIFS(N22:N500,J22:J500,C5,K22:K500,G3)</f>
        <v>0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169</v>
      </c>
      <c r="M5" s="33"/>
      <c r="N5" s="33"/>
      <c r="O5" s="57"/>
      <c r="P5" s="58"/>
      <c r="Q5" s="58"/>
      <c r="R5" s="59"/>
      <c r="S5" s="33"/>
      <c r="T5" s="202">
        <f>IFERROR(__xludf.DUMMYFUNCTION("""COMPUTED_VALUE"""),46108.83607638889)</f>
        <v>46108.83608</v>
      </c>
      <c r="U5" s="58" t="str">
        <f>IFERROR(__xludf.DUMMYFUNCTION("""COMPUTED_VALUE"""),"R$ 15,00")</f>
        <v>R$ 15,00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/>
      <c r="B6" s="56"/>
      <c r="C6" s="48" t="s">
        <v>12669</v>
      </c>
      <c r="D6" s="49">
        <f>D5*0.8</f>
        <v>0</v>
      </c>
      <c r="E6" s="50" t="s">
        <v>12669</v>
      </c>
      <c r="F6" s="49">
        <f>F5*0.8</f>
        <v>220.4</v>
      </c>
      <c r="G6" s="50" t="s">
        <v>12669</v>
      </c>
      <c r="H6" s="49">
        <f>H5*0.8</f>
        <v>0</v>
      </c>
      <c r="I6" s="50" t="s">
        <v>12669</v>
      </c>
      <c r="J6" s="49">
        <f>J5*0.8</f>
        <v>0</v>
      </c>
      <c r="K6" s="60" t="s">
        <v>12669</v>
      </c>
      <c r="L6" s="51">
        <f>L5*0.8</f>
        <v>135.2</v>
      </c>
      <c r="M6" s="33"/>
      <c r="N6" s="33"/>
      <c r="O6" s="57"/>
      <c r="P6" s="58"/>
      <c r="Q6" s="58"/>
      <c r="R6" s="59"/>
      <c r="S6" s="33"/>
      <c r="T6" s="202">
        <f>IFERROR(__xludf.DUMMYFUNCTION("""COMPUTED_VALUE"""),46110.90894675926)</f>
        <v>46110.90895</v>
      </c>
      <c r="U6" s="58" t="str">
        <f>IFERROR(__xludf.DUMMYFUNCTION("""COMPUTED_VALUE"""),"R$ 75,00")</f>
        <v>R$ 75,00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203">
        <f>IFERROR(__xludf.DUMMYFUNCTION("""COMPUTED_VALUE"""),46111.752442129626)</f>
        <v>46111.75244</v>
      </c>
      <c r="U7" s="67" t="str">
        <f>IFERROR(__xludf.DUMMYFUNCTION("""COMPUTED_VALUE"""),"R$ 21,00")</f>
        <v>R$ 21,00</v>
      </c>
      <c r="V7" s="67" t="str">
        <f>IFERROR(__xludf.DUMMYFUNCTION("""COMPUTED_VALUE"""),"Consumo")</f>
        <v>Consumo</v>
      </c>
      <c r="W7" s="68" t="str">
        <f>IFERROR(__xludf.DUMMYFUNCTION("""COMPUTED_VALUE"""),"Renan")</f>
        <v>Renan</v>
      </c>
    </row>
    <row r="8" ht="14.25" customHeight="1">
      <c r="A8" s="55" t="s">
        <v>227</v>
      </c>
      <c r="B8" s="56" t="s">
        <v>12693</v>
      </c>
      <c r="C8" s="69" t="s">
        <v>12695</v>
      </c>
      <c r="D8" s="70"/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203">
        <f>IFERROR(__xludf.DUMMYFUNCTION("""COMPUTED_VALUE"""),46112.540717592594)</f>
        <v>46112.54072</v>
      </c>
      <c r="U8" s="67" t="str">
        <f>IFERROR(__xludf.DUMMYFUNCTION("""COMPUTED_VALUE"""),"R$ 5,00")</f>
        <v>R$ 5,00</v>
      </c>
      <c r="V8" s="67" t="str">
        <f>IFERROR(__xludf.DUMMYFUNCTION("""COMPUTED_VALUE"""),"Consumo")</f>
        <v>Consumo</v>
      </c>
      <c r="W8" s="68" t="str">
        <f>IFERROR(__xludf.DUMMYFUNCTION("""COMPUTED_VALUE"""),"Renan")</f>
        <v>Renan</v>
      </c>
    </row>
    <row r="9" ht="15.75" customHeight="1">
      <c r="A9" s="55" t="s">
        <v>336</v>
      </c>
      <c r="B9" s="56" t="s">
        <v>13760</v>
      </c>
      <c r="C9" s="75" t="s">
        <v>17</v>
      </c>
      <c r="D9" s="76"/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203">
        <f>IFERROR(__xludf.DUMMYFUNCTION("""COMPUTED_VALUE"""),46112.75434027778)</f>
        <v>46112.75434</v>
      </c>
      <c r="U9" s="67" t="str">
        <f>IFERROR(__xludf.DUMMYFUNCTION("""COMPUTED_VALUE"""),"R$ 10,00")</f>
        <v>R$ 10,00</v>
      </c>
      <c r="V9" s="67" t="str">
        <f>IFERROR(__xludf.DUMMYFUNCTION("""COMPUTED_VALUE"""),"Consumo")</f>
        <v>Consumo</v>
      </c>
      <c r="W9" s="68" t="str">
        <f>IFERROR(__xludf.DUMMYFUNCTION("""COMPUTED_VALUE"""),"Renan")</f>
        <v>Renan</v>
      </c>
    </row>
    <row r="10">
      <c r="A10" s="55" t="s">
        <v>218</v>
      </c>
      <c r="B10" s="56" t="s">
        <v>13763</v>
      </c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202">
        <f>IFERROR(__xludf.DUMMYFUNCTION("""COMPUTED_VALUE"""),46113.5333912037)</f>
        <v>46113.53339</v>
      </c>
      <c r="U10" s="82" t="str">
        <f>IFERROR(__xludf.DUMMYFUNCTION("""COMPUTED_VALUE"""),"R$ 5,00")</f>
        <v>R$ 5,00</v>
      </c>
      <c r="V10" s="82" t="str">
        <f>IFERROR(__xludf.DUMMYFUNCTION("""COMPUTED_VALUE"""),"Consumo")</f>
        <v>Consumo</v>
      </c>
      <c r="W10" s="83" t="str">
        <f>IFERROR(__xludf.DUMMYFUNCTION("""COMPUTED_VALUE"""),"Renan")</f>
        <v>Renan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202">
        <f>IFERROR(__xludf.DUMMYFUNCTION("""COMPUTED_VALUE"""),46113.68491898148)</f>
        <v>46113.68492</v>
      </c>
      <c r="U11" s="82" t="str">
        <f>IFERROR(__xludf.DUMMYFUNCTION("""COMPUTED_VALUE"""),"R$ 26,50")</f>
        <v>R$ 26,50</v>
      </c>
      <c r="V11" s="82" t="str">
        <f>IFERROR(__xludf.DUMMYFUNCTION("""COMPUTED_VALUE"""),"Consumo")</f>
        <v>Consumo</v>
      </c>
      <c r="W11" s="83" t="str">
        <f>IFERROR(__xludf.DUMMYFUNCTION("""COMPUTED_VALUE"""),"Renan")</f>
        <v>Renan</v>
      </c>
    </row>
    <row r="12">
      <c r="A12" s="31"/>
      <c r="B12" s="31"/>
      <c r="C12" s="88" t="str">
        <f>B9</f>
        <v>Regiane</v>
      </c>
      <c r="D12" s="89"/>
      <c r="E12" s="88" t="str">
        <f>B10</f>
        <v>Ramon Dutra</v>
      </c>
      <c r="F12" s="90"/>
      <c r="G12" s="91" t="s">
        <v>12714</v>
      </c>
      <c r="H12" s="92">
        <f>SUMIF(L22:L495,G12,N22:N495)</f>
        <v>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202">
        <f>IFERROR(__xludf.DUMMYFUNCTION("""COMPUTED_VALUE"""),46114.72630787037)</f>
        <v>46114.72631</v>
      </c>
      <c r="U12" s="82" t="str">
        <f>IFERROR(__xludf.DUMMYFUNCTION("""COMPUTED_VALUE"""),"R$ 10,00")</f>
        <v>R$ 10,00</v>
      </c>
      <c r="V12" s="82" t="str">
        <f>IFERROR(__xludf.DUMMYFUNCTION("""COMPUTED_VALUE"""),"Consumo")</f>
        <v>Consumo</v>
      </c>
      <c r="W12" s="83" t="str">
        <f>IFERROR(__xludf.DUMMYFUNCTION("""COMPUTED_VALUE"""),"Renan")</f>
        <v>Renan</v>
      </c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500</v>
      </c>
      <c r="E13" s="97" t="s">
        <v>1329</v>
      </c>
      <c r="F13" s="98">
        <f>SUMIFS(N22:N500,J22:J500,E4,K22:K500,512)+SUMIF(Q59:Q95,A10,R59:R122)+F18</f>
        <v>500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157.55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202">
        <f>IFERROR(__xludf.DUMMYFUNCTION("""COMPUTED_VALUE"""),46114.73174768519)</f>
        <v>46114.73175</v>
      </c>
      <c r="U13" s="82" t="str">
        <f>IFERROR(__xludf.DUMMYFUNCTION("""COMPUTED_VALUE"""),"R$ 10,00")</f>
        <v>R$ 10,00</v>
      </c>
      <c r="V13" s="82" t="str">
        <f>IFERROR(__xludf.DUMMYFUNCTION("""COMPUTED_VALUE"""),"Consumo")</f>
        <v>Consumo</v>
      </c>
      <c r="W13" s="83" t="str">
        <f>IFERROR(__xludf.DUMMYFUNCTION("""COMPUTED_VALUE"""),"Renan")</f>
        <v>Renan</v>
      </c>
    </row>
    <row r="14" ht="14.25" customHeight="1">
      <c r="A14" s="105"/>
      <c r="B14" s="105"/>
      <c r="C14" s="97" t="s">
        <v>12658</v>
      </c>
      <c r="D14" s="51">
        <f>SUMIFS(N22:N500,J22:J500,C5,K22:K500,C12)</f>
        <v>243.56</v>
      </c>
      <c r="E14" s="97" t="s">
        <v>12658</v>
      </c>
      <c r="F14" s="106">
        <f>SUMIFS(N22:N500,J22:J500,C5,K22:K500,E12)</f>
        <v>156.65</v>
      </c>
      <c r="G14" s="50" t="s">
        <v>12744</v>
      </c>
      <c r="H14" s="51">
        <f>SUMIFS(N22:N500,D22:D500,"Saída",J22:J500,"Sangria")</f>
        <v>18790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202">
        <f>IFERROR(__xludf.DUMMYFUNCTION("""COMPUTED_VALUE"""),46115.8896875)</f>
        <v>46115.88969</v>
      </c>
      <c r="U14" s="82" t="str">
        <f>IFERROR(__xludf.DUMMYFUNCTION("""COMPUTED_VALUE"""),"R$ 98,00")</f>
        <v>R$ 98,00</v>
      </c>
      <c r="V14" s="82" t="str">
        <f>IFERROR(__xludf.DUMMYFUNCTION("""COMPUTED_VALUE"""),"Consumo")</f>
        <v>Consumo</v>
      </c>
      <c r="W14" s="83" t="str">
        <f>IFERROR(__xludf.DUMMYFUNCTION("""COMPUTED_VALUE"""),"Renan")</f>
        <v>Renan</v>
      </c>
    </row>
    <row r="15">
      <c r="A15" s="105"/>
      <c r="B15" s="105"/>
      <c r="C15" s="109" t="s">
        <v>12669</v>
      </c>
      <c r="D15" s="51">
        <f>D14*0.8</f>
        <v>194.848</v>
      </c>
      <c r="E15" s="109" t="s">
        <v>12669</v>
      </c>
      <c r="F15" s="110">
        <f>F14*0.8</f>
        <v>125.32</v>
      </c>
      <c r="G15" s="111" t="s">
        <v>12749</v>
      </c>
      <c r="H15" s="112">
        <f>SUMIFS(N22:N500,D22:D500,"Entrada",J22:J500,"Sangria")</f>
        <v>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81"/>
      <c r="U15" s="82"/>
      <c r="V15" s="82"/>
      <c r="W15" s="83"/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81"/>
      <c r="U16" s="82"/>
      <c r="V16" s="82"/>
      <c r="W16" s="83"/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3050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81"/>
      <c r="U17" s="82"/>
      <c r="V17" s="82"/>
      <c r="W17" s="83"/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132"/>
      <c r="U18" s="133"/>
      <c r="V18" s="133"/>
      <c r="W18" s="134"/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/>
      </c>
      <c r="S21" s="138"/>
      <c r="T21" s="148" t="str">
        <f>B7</f>
        <v>Josi Ribas</v>
      </c>
    </row>
    <row r="22">
      <c r="A22" s="149"/>
      <c r="B22" s="13"/>
      <c r="C22" s="14"/>
      <c r="D22" s="210"/>
      <c r="E22" s="211"/>
      <c r="F22" s="212"/>
      <c r="G22" s="210"/>
      <c r="H22" s="155"/>
      <c r="I22" s="155"/>
      <c r="J22" s="156"/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 t="str">
        <f>IFERROR(__xludf.DUMMYFUNCTION("ifna(VALUE(REGEXEXTRACT(E22,""[0-9.]+[,]+[0-9]+"")))"),"")</f>
        <v/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2085622.0</v>
      </c>
      <c r="C23" s="14">
        <v>46107.727997685186</v>
      </c>
      <c r="D23" s="210" t="s">
        <v>101</v>
      </c>
      <c r="E23" s="211" t="s">
        <v>14339</v>
      </c>
      <c r="F23" s="212"/>
      <c r="G23" s="210" t="s">
        <v>14340</v>
      </c>
      <c r="H23" s="161"/>
      <c r="I23" s="161"/>
      <c r="J23" s="156" t="s">
        <v>12818</v>
      </c>
      <c r="K23" s="156"/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"""")"),"Encontrada")</f>
        <v>Encontrada</v>
      </c>
      <c r="N23" s="159">
        <f>IFERROR(__xludf.DUMMYFUNCTION("ifna(VALUE(REGEXEXTRACT(E23,""[0-9.]+[,]+[0-9]+"")))"),12.49)</f>
        <v>12.49</v>
      </c>
      <c r="O23" s="58"/>
      <c r="P23" s="58"/>
      <c r="Q23" s="58"/>
      <c r="R23" s="58"/>
      <c r="S23" s="159"/>
      <c r="T23" s="58"/>
      <c r="U23" s="58"/>
      <c r="V23" s="58"/>
      <c r="W23" s="58"/>
    </row>
    <row r="24" ht="14.25" customHeight="1">
      <c r="A24" s="149"/>
      <c r="B24" s="13">
        <v>2085671.0</v>
      </c>
      <c r="C24" s="14">
        <v>46107.7378125</v>
      </c>
      <c r="D24" s="210" t="s">
        <v>101</v>
      </c>
      <c r="E24" s="211" t="s">
        <v>13396</v>
      </c>
      <c r="F24" s="212"/>
      <c r="G24" s="210" t="s">
        <v>14344</v>
      </c>
      <c r="H24" s="161"/>
      <c r="I24" s="161"/>
      <c r="J24" s="156" t="s">
        <v>6914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IFERROR(__xludf.DUMMYFUNCTION("ifna(VALUE(REGEXEXTRACT(E24,""[0-9.]+[,]+[0-9]+"")))"),111.0)</f>
        <v>111</v>
      </c>
      <c r="O24" s="58"/>
      <c r="P24" s="58"/>
      <c r="Q24" s="58"/>
      <c r="R24" s="58"/>
      <c r="S24" s="159"/>
      <c r="T24" s="58"/>
      <c r="U24" s="58"/>
      <c r="V24" s="58"/>
      <c r="W24" s="58"/>
    </row>
    <row r="25" ht="14.25" customHeight="1">
      <c r="A25" s="149"/>
      <c r="B25" s="13">
        <v>2085674.0</v>
      </c>
      <c r="C25" s="14">
        <v>46107.73814814815</v>
      </c>
      <c r="D25" s="210" t="s">
        <v>101</v>
      </c>
      <c r="E25" s="211" t="s">
        <v>746</v>
      </c>
      <c r="F25" s="212"/>
      <c r="G25" s="210" t="s">
        <v>14346</v>
      </c>
      <c r="H25" s="161"/>
      <c r="I25" s="161"/>
      <c r="J25" s="156" t="s">
        <v>12778</v>
      </c>
      <c r="K25" s="156" t="s">
        <v>13760</v>
      </c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"),"Confirmada")</f>
        <v>Confirmada</v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IFERROR(__xludf.DUMMYFUNCTION("ifna(VALUE(REGEXEXTRACT(E25,""[0-9.]+[,]+[0-9]+"")))"),350.0)</f>
        <v>350</v>
      </c>
      <c r="O25" s="67"/>
      <c r="P25" s="67"/>
      <c r="Q25" s="67"/>
      <c r="R25" s="67"/>
      <c r="S25" s="159"/>
      <c r="T25" s="67"/>
      <c r="U25" s="67"/>
      <c r="V25" s="67"/>
      <c r="W25" s="67"/>
    </row>
    <row r="26" ht="14.25" customHeight="1">
      <c r="A26" s="149"/>
      <c r="B26" s="13">
        <v>2085878.0</v>
      </c>
      <c r="C26" s="14">
        <v>46107.814988425926</v>
      </c>
      <c r="D26" s="210" t="s">
        <v>101</v>
      </c>
      <c r="E26" s="211" t="s">
        <v>14348</v>
      </c>
      <c r="F26" s="212"/>
      <c r="G26" s="229" t="s">
        <v>14349</v>
      </c>
      <c r="H26" s="161"/>
      <c r="I26" s="161"/>
      <c r="J26" s="156" t="s">
        <v>12720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IFERROR(__xludf.DUMMYFUNCTION("ifna(VALUE(REGEXEXTRACT(E26,""[0-9.]+[,]+[0-9]+"")))"),23.27)</f>
        <v>23.27</v>
      </c>
      <c r="O26" s="67"/>
      <c r="P26" s="67"/>
      <c r="Q26" s="67"/>
      <c r="R26" s="67"/>
      <c r="S26" s="159"/>
      <c r="T26" s="67"/>
      <c r="U26" s="67"/>
      <c r="V26" s="67"/>
      <c r="W26" s="67"/>
    </row>
    <row r="27" ht="14.25" customHeight="1">
      <c r="A27" s="149"/>
      <c r="B27" s="13">
        <v>2086370.0</v>
      </c>
      <c r="C27" s="14">
        <v>46107.924849537034</v>
      </c>
      <c r="D27" s="210" t="s">
        <v>101</v>
      </c>
      <c r="E27" s="211" t="s">
        <v>921</v>
      </c>
      <c r="F27" s="212"/>
      <c r="G27" s="210" t="s">
        <v>14154</v>
      </c>
      <c r="H27" s="161"/>
      <c r="I27" s="161"/>
      <c r="J27" s="156" t="s">
        <v>6914</v>
      </c>
      <c r="K27" s="156"/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IFERROR(__xludf.DUMMYFUNCTION("ifna(VALUE(REGEXEXTRACT(E27,""[0-9.]+[,]+[0-9]+"")))"),57.0)</f>
        <v>57</v>
      </c>
      <c r="O27" s="67"/>
      <c r="P27" s="67"/>
      <c r="Q27" s="67"/>
      <c r="R27" s="67"/>
      <c r="S27" s="159"/>
      <c r="T27" s="67"/>
      <c r="U27" s="67"/>
      <c r="V27" s="67"/>
      <c r="W27" s="67"/>
    </row>
    <row r="28" ht="14.25" customHeight="1">
      <c r="A28" s="149"/>
      <c r="B28" s="13">
        <v>2086373.0</v>
      </c>
      <c r="C28" s="14">
        <v>46107.92505787037</v>
      </c>
      <c r="D28" s="210" t="s">
        <v>101</v>
      </c>
      <c r="E28" s="211" t="s">
        <v>804</v>
      </c>
      <c r="F28" s="212"/>
      <c r="G28" s="210" t="s">
        <v>14358</v>
      </c>
      <c r="H28" s="161"/>
      <c r="I28" s="161"/>
      <c r="J28" s="156" t="s">
        <v>12778</v>
      </c>
      <c r="K28" s="156" t="s">
        <v>13763</v>
      </c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"),"Caixa Atendimento")</f>
        <v>Caixa Atendimento</v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IFERROR(__xludf.DUMMYFUNCTION("ifna(VALUE(REGEXEXTRACT(E28,""[0-9.]+[,]+[0-9]+"")))"),500.0)</f>
        <v>500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3">
        <v>2087209.0</v>
      </c>
      <c r="C29" s="14">
        <v>46108.643738425926</v>
      </c>
      <c r="D29" s="210" t="s">
        <v>139</v>
      </c>
      <c r="E29" s="211" t="s">
        <v>804</v>
      </c>
      <c r="F29" s="212"/>
      <c r="G29" s="210" t="s">
        <v>14360</v>
      </c>
      <c r="H29" s="161"/>
      <c r="I29" s="161"/>
      <c r="J29" s="156" t="s">
        <v>13783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159">
        <f>IFERROR(__xludf.DUMMYFUNCTION("ifna(VALUE(REGEXEXTRACT(E29,""[0-9.]+[,]+[0-9]+"")))"),500.0)</f>
        <v>500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3">
        <v>2087524.0</v>
      </c>
      <c r="C30" s="14">
        <v>46108.71320601852</v>
      </c>
      <c r="D30" s="210" t="s">
        <v>101</v>
      </c>
      <c r="E30" s="211" t="s">
        <v>14363</v>
      </c>
      <c r="F30" s="212"/>
      <c r="G30" s="210" t="s">
        <v>537</v>
      </c>
      <c r="H30" s="161"/>
      <c r="I30" s="161"/>
      <c r="J30" s="156" t="s">
        <v>12818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159">
        <f>IFERROR(__xludf.DUMMYFUNCTION("ifna(VALUE(REGEXEXTRACT(E30,""[0-9.]+[,]+[0-9]+"")))"),89.4)</f>
        <v>89.4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3">
        <v>2087629.0</v>
      </c>
      <c r="C31" s="14">
        <v>46108.73229166667</v>
      </c>
      <c r="D31" s="210" t="s">
        <v>101</v>
      </c>
      <c r="E31" s="211" t="s">
        <v>586</v>
      </c>
      <c r="F31" s="212"/>
      <c r="G31" s="210" t="s">
        <v>133</v>
      </c>
      <c r="H31" s="161"/>
      <c r="I31" s="161"/>
      <c r="J31" s="156" t="s">
        <v>6914</v>
      </c>
      <c r="K31" s="156"/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IFERROR(__xludf.DUMMYFUNCTION("ifna(VALUE(REGEXEXTRACT(E31,""[0-9.]+[,]+[0-9]+"")))"),120.0)</f>
        <v>120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3">
        <v>2087696.0</v>
      </c>
      <c r="C32" s="14">
        <v>46108.74642361111</v>
      </c>
      <c r="D32" s="210" t="s">
        <v>101</v>
      </c>
      <c r="E32" s="211" t="s">
        <v>14367</v>
      </c>
      <c r="F32" s="212"/>
      <c r="G32" s="210" t="s">
        <v>452</v>
      </c>
      <c r="H32" s="161"/>
      <c r="I32" s="161"/>
      <c r="J32" s="156" t="s">
        <v>12818</v>
      </c>
      <c r="K32" s="156"/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"),"")</f>
        <v/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159">
        <f>IFERROR(__xludf.DUMMYFUNCTION("ifna(VALUE(REGEXEXTRACT(E32,""[0-9.]+[,]+[0-9]+"")))"),202.0)</f>
        <v>202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3">
        <v>2087700.0</v>
      </c>
      <c r="C33" s="14">
        <v>46108.74662037037</v>
      </c>
      <c r="D33" s="210" t="s">
        <v>101</v>
      </c>
      <c r="E33" s="211" t="s">
        <v>1462</v>
      </c>
      <c r="F33" s="214"/>
      <c r="G33" s="210" t="s">
        <v>452</v>
      </c>
      <c r="H33" s="161"/>
      <c r="I33" s="161"/>
      <c r="J33" s="156" t="s">
        <v>12818</v>
      </c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"""")"),"Encontrada")</f>
        <v>Encontrada</v>
      </c>
      <c r="N33" s="159">
        <f>IFERROR(__xludf.DUMMYFUNCTION("ifna(VALUE(REGEXEXTRACT(E33,""[0-9.]+[,]+[0-9]+"")))"),49.0)</f>
        <v>49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2087752.0</v>
      </c>
      <c r="C34" s="14">
        <v>46108.755520833336</v>
      </c>
      <c r="D34" s="210" t="s">
        <v>101</v>
      </c>
      <c r="E34" s="211" t="s">
        <v>804</v>
      </c>
      <c r="F34" s="212"/>
      <c r="G34" s="210" t="s">
        <v>14368</v>
      </c>
      <c r="H34" s="161"/>
      <c r="I34" s="161"/>
      <c r="J34" s="156" t="s">
        <v>12778</v>
      </c>
      <c r="K34" s="156" t="s">
        <v>11866</v>
      </c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"),"Caixa Atendimento")</f>
        <v>Caixa Atendimento</v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IFERROR(__xludf.DUMMYFUNCTION("ifna(VALUE(REGEXEXTRACT(E34,""[0-9.]+[,]+[0-9]+"")))"),500.0)</f>
        <v>500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2087773.0</v>
      </c>
      <c r="C35" s="14">
        <v>46108.75875</v>
      </c>
      <c r="D35" s="210" t="s">
        <v>101</v>
      </c>
      <c r="E35" s="211" t="s">
        <v>231</v>
      </c>
      <c r="F35" s="212"/>
      <c r="G35" s="210" t="s">
        <v>14370</v>
      </c>
      <c r="H35" s="161"/>
      <c r="I35" s="161"/>
      <c r="J35" s="156" t="s">
        <v>6914</v>
      </c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IFERROR(__xludf.DUMMYFUNCTION("ifna(VALUE(REGEXEXTRACT(E35,""[0-9.]+[,]+[0-9]+"")))"),10.0)</f>
        <v>10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2088089.0</v>
      </c>
      <c r="C36" s="14">
        <v>46108.83607638889</v>
      </c>
      <c r="D36" s="210" t="s">
        <v>101</v>
      </c>
      <c r="E36" s="211" t="s">
        <v>473</v>
      </c>
      <c r="F36" s="212"/>
      <c r="G36" s="210" t="s">
        <v>253</v>
      </c>
      <c r="H36" s="169"/>
      <c r="I36" s="169"/>
      <c r="J36" s="156" t="s">
        <v>12658</v>
      </c>
      <c r="K36" s="156" t="s">
        <v>11866</v>
      </c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IFERROR(__xludf.DUMMYFUNCTION("ifna(VALUE(REGEXEXTRACT(E36,""[0-9.]+[,]+[0-9]+"")))"),15.0)</f>
        <v>15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2088531.0</v>
      </c>
      <c r="C37" s="14">
        <v>46108.91946759259</v>
      </c>
      <c r="D37" s="210" t="s">
        <v>101</v>
      </c>
      <c r="E37" s="211" t="s">
        <v>1462</v>
      </c>
      <c r="F37" s="212"/>
      <c r="G37" s="210" t="s">
        <v>225</v>
      </c>
      <c r="H37" s="169"/>
      <c r="I37" s="169"/>
      <c r="J37" s="156" t="s">
        <v>12658</v>
      </c>
      <c r="K37" s="156" t="s">
        <v>12693</v>
      </c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IFERROR(__xludf.DUMMYFUNCTION("ifna(VALUE(REGEXEXTRACT(E37,""[0-9.]+[,]+[0-9]+"")))"),49.0)</f>
        <v>49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2088538.0</v>
      </c>
      <c r="C38" s="14">
        <v>46108.919895833336</v>
      </c>
      <c r="D38" s="210" t="s">
        <v>101</v>
      </c>
      <c r="E38" s="211" t="s">
        <v>13051</v>
      </c>
      <c r="F38" s="212"/>
      <c r="G38" s="210" t="s">
        <v>14154</v>
      </c>
      <c r="H38" s="170"/>
      <c r="I38" s="170"/>
      <c r="J38" s="156" t="s">
        <v>6914</v>
      </c>
      <c r="K38" s="156"/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"),"")</f>
        <v/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IFERROR(__xludf.DUMMYFUNCTION("ifna(VALUE(REGEXEXTRACT(E38,""[0-9.]+[,]+[0-9]+"")))"),71.0)</f>
        <v>71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2088611.0</v>
      </c>
      <c r="C39" s="14">
        <v>46108.928148148145</v>
      </c>
      <c r="D39" s="210" t="s">
        <v>101</v>
      </c>
      <c r="E39" s="211" t="s">
        <v>746</v>
      </c>
      <c r="F39" s="212"/>
      <c r="G39" s="210" t="s">
        <v>14375</v>
      </c>
      <c r="H39" s="170"/>
      <c r="I39" s="170"/>
      <c r="J39" s="156" t="s">
        <v>12778</v>
      </c>
      <c r="K39" s="156" t="s">
        <v>13763</v>
      </c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"),"Confirmada")</f>
        <v>Confirmada</v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IFERROR(__xludf.DUMMYFUNCTION("ifna(VALUE(REGEXEXTRACT(E39,""[0-9.]+[,]+[0-9]+"")))"),350.0)</f>
        <v>350</v>
      </c>
      <c r="O39" s="171" t="str">
        <f>B8</f>
        <v>Rose</v>
      </c>
      <c r="S39" s="159"/>
      <c r="T39" s="148" t="str">
        <f>B9</f>
        <v>Regiane</v>
      </c>
    </row>
    <row r="40" ht="14.25" customHeight="1">
      <c r="A40" s="149"/>
      <c r="B40" s="13">
        <v>2090609.0</v>
      </c>
      <c r="C40" s="14">
        <v>46109.850636574076</v>
      </c>
      <c r="D40" s="210" t="s">
        <v>101</v>
      </c>
      <c r="E40" s="211" t="s">
        <v>14379</v>
      </c>
      <c r="F40" s="212"/>
      <c r="G40" s="210" t="s">
        <v>512</v>
      </c>
      <c r="H40" s="170"/>
      <c r="I40" s="170"/>
      <c r="J40" s="156" t="s">
        <v>6914</v>
      </c>
      <c r="K40" s="156"/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IFERROR(__xludf.DUMMYFUNCTION("ifna(VALUE(REGEXEXTRACT(E40,""[0-9.]+[,]+[0-9]+"")))"),215.0)</f>
        <v>215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2090610.0</v>
      </c>
      <c r="C41" s="14">
        <v>46109.850960648146</v>
      </c>
      <c r="D41" s="210" t="s">
        <v>101</v>
      </c>
      <c r="E41" s="211" t="s">
        <v>14381</v>
      </c>
      <c r="F41" s="212"/>
      <c r="G41" s="210" t="s">
        <v>14382</v>
      </c>
      <c r="H41" s="170"/>
      <c r="I41" s="170"/>
      <c r="J41" s="156" t="s">
        <v>12818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"),"")</f>
        <v/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"""")"),"Encontrada")</f>
        <v>Encontrada</v>
      </c>
      <c r="N41" s="159">
        <f>IFERROR(__xludf.DUMMYFUNCTION("ifna(VALUE(REGEXEXTRACT(E41,""[0-9.]+[,]+[0-9]+"")))"),12.8)</f>
        <v>12.8</v>
      </c>
      <c r="O41" s="206">
        <f>IFERROR(__xludf.DUMMYFUNCTION("""COMPUTED_VALUE"""),46108.9194675926)</f>
        <v>46108.91947</v>
      </c>
      <c r="P41" s="58" t="str">
        <f>IFERROR(__xludf.DUMMYFUNCTION("""COMPUTED_VALUE"""),"R$ 49,00")</f>
        <v>R$ 49,00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2090967.0</v>
      </c>
      <c r="C42" s="14">
        <v>46109.907743055555</v>
      </c>
      <c r="D42" s="210" t="s">
        <v>101</v>
      </c>
      <c r="E42" s="211" t="s">
        <v>1514</v>
      </c>
      <c r="F42" s="212"/>
      <c r="G42" s="210" t="s">
        <v>14386</v>
      </c>
      <c r="H42" s="170"/>
      <c r="I42" s="170"/>
      <c r="J42" s="156" t="s">
        <v>6914</v>
      </c>
      <c r="K42" s="156"/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IFERROR(__xludf.DUMMYFUNCTION("ifna(VALUE(REGEXEXTRACT(E42,""[0-9.]+[,]+[0-9]+"")))"),51.0)</f>
        <v>51</v>
      </c>
      <c r="O42" s="206">
        <f>IFERROR(__xludf.DUMMYFUNCTION("""COMPUTED_VALUE"""),46109.91402777778)</f>
        <v>46109.91403</v>
      </c>
      <c r="P42" s="58" t="str">
        <f>IFERROR(__xludf.DUMMYFUNCTION("""COMPUTED_VALUE"""),"R$ 21,00")</f>
        <v>R$ 21,00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3">
        <v>2090973.0</v>
      </c>
      <c r="C43" s="14">
        <v>46109.90804398148</v>
      </c>
      <c r="D43" s="210" t="s">
        <v>139</v>
      </c>
      <c r="E43" s="211" t="s">
        <v>14155</v>
      </c>
      <c r="F43" s="212"/>
      <c r="G43" s="210" t="s">
        <v>142</v>
      </c>
      <c r="H43" s="170"/>
      <c r="I43" s="170"/>
      <c r="J43" s="156" t="s">
        <v>13783</v>
      </c>
      <c r="K43" s="156"/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IFERROR(__xludf.DUMMYFUNCTION("ifna(VALUE(REGEXEXTRACT(E43,""[0-9.]+[,]+[0-9]+"")))"),160.0)</f>
        <v>160</v>
      </c>
      <c r="O43" s="208">
        <f>IFERROR(__xludf.DUMMYFUNCTION("""COMPUTED_VALUE"""),46112.91681712963)</f>
        <v>46112.91682</v>
      </c>
      <c r="P43" s="67" t="str">
        <f>IFERROR(__xludf.DUMMYFUNCTION("""COMPUTED_VALUE"""),"R$ 27,00")</f>
        <v>R$ 27,00</v>
      </c>
      <c r="Q43" s="67" t="str">
        <f>IFERROR(__xludf.DUMMYFUNCTION("""COMPUTED_VALUE"""),"Consumo")</f>
        <v>Consumo</v>
      </c>
      <c r="R43" s="67" t="str">
        <f>IFERROR(__xludf.DUMMYFUNCTION("""COMPUTED_VALUE"""),"Rose")</f>
        <v>Rose</v>
      </c>
      <c r="S43" s="159"/>
      <c r="T43" s="67"/>
      <c r="U43" s="67"/>
      <c r="V43" s="67"/>
      <c r="W43" s="67"/>
    </row>
    <row r="44" ht="14.25" customHeight="1">
      <c r="A44" s="149"/>
      <c r="B44" s="13">
        <v>2090977.0</v>
      </c>
      <c r="C44" s="14">
        <v>46109.90833333333</v>
      </c>
      <c r="D44" s="210" t="s">
        <v>101</v>
      </c>
      <c r="E44" s="211" t="s">
        <v>13209</v>
      </c>
      <c r="F44" s="212"/>
      <c r="G44" s="210" t="s">
        <v>14390</v>
      </c>
      <c r="H44" s="170"/>
      <c r="I44" s="170"/>
      <c r="J44" s="156" t="s">
        <v>10036</v>
      </c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IFERROR(__xludf.DUMMYFUNCTION("ifna(VALUE(REGEXEXTRACT(E44,""[0-9.]+[,]+[0-9]+"")))"),117.0)</f>
        <v>117</v>
      </c>
      <c r="O44" s="208">
        <f>IFERROR(__xludf.DUMMYFUNCTION("""COMPUTED_VALUE"""),46115.891921296294)</f>
        <v>46115.89192</v>
      </c>
      <c r="P44" s="67" t="str">
        <f>IFERROR(__xludf.DUMMYFUNCTION("""COMPUTED_VALUE"""),"R$ 18,00")</f>
        <v>R$ 18,00</v>
      </c>
      <c r="Q44" s="67" t="str">
        <f>IFERROR(__xludf.DUMMYFUNCTION("""COMPUTED_VALUE"""),"Consumo")</f>
        <v>Consumo</v>
      </c>
      <c r="R44" s="67" t="str">
        <f>IFERROR(__xludf.DUMMYFUNCTION("""COMPUTED_VALUE"""),"Rose")</f>
        <v>Rose</v>
      </c>
      <c r="S44" s="159"/>
      <c r="T44" s="67"/>
      <c r="U44" s="67"/>
      <c r="V44" s="67"/>
      <c r="W44" s="67"/>
    </row>
    <row r="45" ht="14.25" customHeight="1">
      <c r="A45" s="149"/>
      <c r="B45" s="13">
        <v>2090978.0</v>
      </c>
      <c r="C45" s="14">
        <v>46109.908530092594</v>
      </c>
      <c r="D45" s="210" t="s">
        <v>101</v>
      </c>
      <c r="E45" s="211" t="s">
        <v>13209</v>
      </c>
      <c r="F45" s="212"/>
      <c r="G45" s="210" t="s">
        <v>14391</v>
      </c>
      <c r="H45" s="170"/>
      <c r="I45" s="170"/>
      <c r="J45" s="156" t="s">
        <v>10036</v>
      </c>
      <c r="K45" s="156"/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159">
        <f>IFERROR(__xludf.DUMMYFUNCTION("ifna(VALUE(REGEXEXTRACT(E45,""[0-9.]+[,]+[0-9]+"")))"),117.0)</f>
        <v>117</v>
      </c>
      <c r="O45" s="208">
        <f>IFERROR(__xludf.DUMMYFUNCTION("""COMPUTED_VALUE"""),46129.896273148144)</f>
        <v>46129.89627</v>
      </c>
      <c r="P45" s="67" t="str">
        <f>IFERROR(__xludf.DUMMYFUNCTION("""COMPUTED_VALUE"""),"R$ 54,00")</f>
        <v>R$ 54,00</v>
      </c>
      <c r="Q45" s="67" t="str">
        <f>IFERROR(__xludf.DUMMYFUNCTION("""COMPUTED_VALUE"""),"Consumo")</f>
        <v>Consumo</v>
      </c>
      <c r="R45" s="67" t="str">
        <f>IFERROR(__xludf.DUMMYFUNCTION("""COMPUTED_VALUE"""),"Rose")</f>
        <v>Rose</v>
      </c>
      <c r="S45" s="159"/>
      <c r="T45" s="67"/>
      <c r="U45" s="67"/>
      <c r="V45" s="67"/>
      <c r="W45" s="67"/>
    </row>
    <row r="46" ht="14.25" customHeight="1">
      <c r="A46" s="149"/>
      <c r="B46" s="13">
        <v>2091033.0</v>
      </c>
      <c r="C46" s="14">
        <v>46109.913518518515</v>
      </c>
      <c r="D46" s="210" t="s">
        <v>101</v>
      </c>
      <c r="E46" s="211" t="s">
        <v>14393</v>
      </c>
      <c r="F46" s="212"/>
      <c r="G46" s="210" t="s">
        <v>574</v>
      </c>
      <c r="H46" s="170"/>
      <c r="I46" s="170"/>
      <c r="J46" s="156" t="s">
        <v>12658</v>
      </c>
      <c r="K46" s="156" t="s">
        <v>13763</v>
      </c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159">
        <f>IFERROR(__xludf.DUMMYFUNCTION("ifna(VALUE(REGEXEXTRACT(E46,""[0-9.]+[,]+[0-9]+"")))"),52.5)</f>
        <v>52.5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3">
        <v>2091039.0</v>
      </c>
      <c r="C47" s="14">
        <v>46109.91402777778</v>
      </c>
      <c r="D47" s="210" t="s">
        <v>101</v>
      </c>
      <c r="E47" s="211" t="s">
        <v>526</v>
      </c>
      <c r="F47" s="212"/>
      <c r="G47" s="210" t="s">
        <v>225</v>
      </c>
      <c r="H47" s="170"/>
      <c r="I47" s="170"/>
      <c r="J47" s="156" t="s">
        <v>12658</v>
      </c>
      <c r="K47" s="156" t="s">
        <v>12693</v>
      </c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IFERROR(__xludf.DUMMYFUNCTION("ifna(VALUE(REGEXEXTRACT(E47,""[0-9.]+[,]+[0-9]+"")))"),21.0)</f>
        <v>21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3">
        <v>2091247.0</v>
      </c>
      <c r="C48" s="14">
        <v>46109.92806712963</v>
      </c>
      <c r="D48" s="210" t="s">
        <v>101</v>
      </c>
      <c r="E48" s="211" t="s">
        <v>12974</v>
      </c>
      <c r="F48" s="212"/>
      <c r="G48" s="210" t="s">
        <v>14397</v>
      </c>
      <c r="H48" s="170"/>
      <c r="I48" s="170"/>
      <c r="J48" s="156" t="s">
        <v>12778</v>
      </c>
      <c r="K48" s="156" t="s">
        <v>13760</v>
      </c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IFERROR(__xludf.DUMMYFUNCTION("ifna(VALUE(REGEXEXTRACT(E48,""[0-9.]+[,]+[0-9]+"")))"),1800.0)</f>
        <v>1800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2092333.0</v>
      </c>
      <c r="C49" s="14">
        <v>46110.633101851854</v>
      </c>
      <c r="D49" s="210" t="s">
        <v>101</v>
      </c>
      <c r="E49" s="211" t="s">
        <v>2231</v>
      </c>
      <c r="F49" s="212"/>
      <c r="G49" s="210" t="s">
        <v>14400</v>
      </c>
      <c r="H49" s="170"/>
      <c r="I49" s="170"/>
      <c r="J49" s="156" t="s">
        <v>13513</v>
      </c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IFERROR(__xludf.DUMMYFUNCTION("ifna(VALUE(REGEXEXTRACT(E49,""[0-9.]+[,]+[0-9]+"")))"),19.9)</f>
        <v>19.9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2094246.0</v>
      </c>
      <c r="C50" s="14">
        <v>46110.90894675926</v>
      </c>
      <c r="D50" s="210" t="s">
        <v>101</v>
      </c>
      <c r="E50" s="211" t="s">
        <v>799</v>
      </c>
      <c r="F50" s="212"/>
      <c r="G50" s="210" t="s">
        <v>253</v>
      </c>
      <c r="H50" s="170"/>
      <c r="I50" s="170"/>
      <c r="J50" s="156" t="s">
        <v>12658</v>
      </c>
      <c r="K50" s="156" t="s">
        <v>11866</v>
      </c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IFERROR(__xludf.DUMMYFUNCTION("ifna(VALUE(REGEXEXTRACT(E50,""[0-9.]+[,]+[0-9]+"")))"),75.0)</f>
        <v>75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2094364.0</v>
      </c>
      <c r="C51" s="14">
        <v>46110.91583333333</v>
      </c>
      <c r="D51" s="210" t="s">
        <v>101</v>
      </c>
      <c r="E51" s="211" t="s">
        <v>14404</v>
      </c>
      <c r="F51" s="212"/>
      <c r="G51" s="210" t="s">
        <v>14405</v>
      </c>
      <c r="H51" s="170"/>
      <c r="I51" s="170"/>
      <c r="J51" s="156" t="s">
        <v>6914</v>
      </c>
      <c r="K51" s="156"/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IFERROR(__xludf.DUMMYFUNCTION("ifna(VALUE(REGEXEXTRACT(E51,""[0-9.]+[,]+[0-9]+"")))"),363.0)</f>
        <v>363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2094607.0</v>
      </c>
      <c r="C52" s="14">
        <v>46110.92841435185</v>
      </c>
      <c r="D52" s="210" t="s">
        <v>101</v>
      </c>
      <c r="E52" s="211" t="s">
        <v>14408</v>
      </c>
      <c r="F52" s="212"/>
      <c r="G52" s="210" t="s">
        <v>14409</v>
      </c>
      <c r="H52" s="170"/>
      <c r="I52" s="170"/>
      <c r="J52" s="156" t="s">
        <v>12778</v>
      </c>
      <c r="K52" s="156" t="s">
        <v>11866</v>
      </c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"),"Confirmada")</f>
        <v>Confirmada</v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IFERROR(__xludf.DUMMYFUNCTION("ifna(VALUE(REGEXEXTRACT(E52,""[0-9.]+[,]+[0-9]+"")))"),2090.0)</f>
        <v>2090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2095434.0</v>
      </c>
      <c r="C53" s="14">
        <v>46111.52229166667</v>
      </c>
      <c r="D53" s="210" t="s">
        <v>139</v>
      </c>
      <c r="E53" s="211" t="s">
        <v>237</v>
      </c>
      <c r="F53" s="212"/>
      <c r="G53" s="210" t="s">
        <v>142</v>
      </c>
      <c r="H53" s="170"/>
      <c r="I53" s="170"/>
      <c r="J53" s="156" t="s">
        <v>13783</v>
      </c>
      <c r="K53" s="156"/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"),"")</f>
        <v/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IFERROR(__xludf.DUMMYFUNCTION("ifna(VALUE(REGEXEXTRACT(E53,""[0-9.]+[,]+[0-9]+"")))"),100.0)</f>
        <v>100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2096054.0</v>
      </c>
      <c r="C54" s="14">
        <v>46111.7121412037</v>
      </c>
      <c r="D54" s="210" t="s">
        <v>101</v>
      </c>
      <c r="E54" s="211" t="s">
        <v>149</v>
      </c>
      <c r="F54" s="212"/>
      <c r="G54" s="210" t="s">
        <v>133</v>
      </c>
      <c r="H54" s="170"/>
      <c r="I54" s="170"/>
      <c r="J54" s="156" t="s">
        <v>6914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IFERROR(__xludf.DUMMYFUNCTION("ifna(VALUE(REGEXEXTRACT(E54,""[0-9.]+[,]+[0-9]+"")))"),69.0)</f>
        <v>69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2096190.0</v>
      </c>
      <c r="C55" s="14">
        <v>46111.73956018518</v>
      </c>
      <c r="D55" s="210" t="s">
        <v>101</v>
      </c>
      <c r="E55" s="211" t="s">
        <v>465</v>
      </c>
      <c r="F55" s="212"/>
      <c r="G55" s="210" t="s">
        <v>14412</v>
      </c>
      <c r="H55" s="170"/>
      <c r="I55" s="170"/>
      <c r="J55" s="156" t="s">
        <v>12778</v>
      </c>
      <c r="K55" s="156" t="s">
        <v>11866</v>
      </c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"),"Confirmada")</f>
        <v>Confirmada</v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IFERROR(__xludf.DUMMYFUNCTION("ifna(VALUE(REGEXEXTRACT(E55,""[0-9.]+[,]+[0-9]+"")))"),550.0)</f>
        <v>550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2096251.0</v>
      </c>
      <c r="C56" s="14">
        <v>46111.75244212963</v>
      </c>
      <c r="D56" s="210" t="s">
        <v>101</v>
      </c>
      <c r="E56" s="211" t="s">
        <v>526</v>
      </c>
      <c r="F56" s="212"/>
      <c r="G56" s="210" t="s">
        <v>325</v>
      </c>
      <c r="H56" s="170"/>
      <c r="I56" s="170"/>
      <c r="J56" s="156" t="s">
        <v>12658</v>
      </c>
      <c r="K56" s="156" t="s">
        <v>11866</v>
      </c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IFERROR(__xludf.DUMMYFUNCTION("ifna(VALUE(REGEXEXTRACT(E56,""[0-9.]+[,]+[0-9]+"")))"),21.0)</f>
        <v>21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2096952.0</v>
      </c>
      <c r="C57" s="14">
        <v>46111.92729166667</v>
      </c>
      <c r="D57" s="210" t="s">
        <v>101</v>
      </c>
      <c r="E57" s="211" t="s">
        <v>2025</v>
      </c>
      <c r="F57" s="212"/>
      <c r="G57" s="210" t="s">
        <v>512</v>
      </c>
      <c r="H57" s="170"/>
      <c r="I57" s="170"/>
      <c r="J57" s="156" t="s">
        <v>6914</v>
      </c>
      <c r="K57" s="156"/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IFERROR(__xludf.DUMMYFUNCTION("ifna(VALUE(REGEXEXTRACT(E57,""[0-9.]+[,]+[0-9]+"")))"),43.0)</f>
        <v>43</v>
      </c>
      <c r="U57" s="159"/>
      <c r="V57" s="159"/>
      <c r="W57" s="159"/>
    </row>
    <row r="58" ht="14.25" customHeight="1">
      <c r="A58" s="149"/>
      <c r="B58" s="13">
        <v>2096955.0</v>
      </c>
      <c r="C58" s="14">
        <v>46111.92748842593</v>
      </c>
      <c r="D58" s="210" t="s">
        <v>101</v>
      </c>
      <c r="E58" s="211" t="s">
        <v>237</v>
      </c>
      <c r="F58" s="212"/>
      <c r="G58" s="210" t="s">
        <v>239</v>
      </c>
      <c r="H58" s="170"/>
      <c r="I58" s="170"/>
      <c r="J58" s="156" t="s">
        <v>12778</v>
      </c>
      <c r="K58" s="156" t="s">
        <v>13763</v>
      </c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"),"Confirmada")</f>
        <v>Confirmada</v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IFERROR(__xludf.DUMMYFUNCTION("ifna(VALUE(REGEXEXTRACT(E58,""[0-9.]+[,]+[0-9]+"")))"),100.0)</f>
        <v>100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2097405.0</v>
      </c>
      <c r="C59" s="14">
        <v>46112.540717592594</v>
      </c>
      <c r="D59" s="210" t="s">
        <v>101</v>
      </c>
      <c r="E59" s="211" t="s">
        <v>252</v>
      </c>
      <c r="F59" s="212"/>
      <c r="G59" s="210" t="s">
        <v>253</v>
      </c>
      <c r="H59" s="170"/>
      <c r="I59" s="170"/>
      <c r="J59" s="156" t="s">
        <v>12658</v>
      </c>
      <c r="K59" s="156" t="s">
        <v>11866</v>
      </c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IFERROR(__xludf.DUMMYFUNCTION("ifna(VALUE(REGEXEXTRACT(E59,""[0-9.]+[,]+[0-9]+"")))"),5.0)</f>
        <v>5</v>
      </c>
      <c r="O59" s="174" t="s">
        <v>10112</v>
      </c>
      <c r="P59" s="175">
        <v>46126.0</v>
      </c>
      <c r="Q59" s="176" t="s">
        <v>2052</v>
      </c>
      <c r="R59" s="176">
        <v>500.0</v>
      </c>
      <c r="S59" s="177" t="str">
        <f t="shared" ref="S59:S95" si="1">IFERROR(VLOOKUP(Q59, $A$4:$B$11, 2, FALSE), "")</f>
        <v>Josi Ribas</v>
      </c>
      <c r="U59" s="159"/>
      <c r="V59" s="159"/>
      <c r="W59" s="159"/>
    </row>
    <row r="60" ht="14.25" customHeight="1">
      <c r="A60" s="149"/>
      <c r="B60" s="13">
        <v>2097563.0</v>
      </c>
      <c r="C60" s="14">
        <v>46112.60585648148</v>
      </c>
      <c r="D60" s="210" t="s">
        <v>139</v>
      </c>
      <c r="E60" s="211" t="s">
        <v>141</v>
      </c>
      <c r="F60" s="212"/>
      <c r="G60" s="210" t="s">
        <v>142</v>
      </c>
      <c r="H60" s="170"/>
      <c r="I60" s="170"/>
      <c r="J60" s="156" t="s">
        <v>13783</v>
      </c>
      <c r="K60" s="156"/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IFERROR(__xludf.DUMMYFUNCTION("ifna(VALUE(REGEXEXTRACT(E60,""[0-9.]+[,]+[0-9]+"")))"),50.0)</f>
        <v>50</v>
      </c>
      <c r="O60" s="174" t="s">
        <v>10114</v>
      </c>
      <c r="P60" s="175">
        <v>46126.0</v>
      </c>
      <c r="Q60" s="174" t="s">
        <v>336</v>
      </c>
      <c r="R60" s="176">
        <v>500.0</v>
      </c>
      <c r="S60" s="177" t="str">
        <f t="shared" si="1"/>
        <v>Regiane</v>
      </c>
      <c r="U60" s="159"/>
      <c r="V60" s="159"/>
      <c r="W60" s="159"/>
    </row>
    <row r="61" ht="14.25" customHeight="1">
      <c r="A61" s="149"/>
      <c r="B61" s="13">
        <v>2098020.0</v>
      </c>
      <c r="C61" s="14">
        <v>46112.72797453704</v>
      </c>
      <c r="D61" s="210" t="s">
        <v>101</v>
      </c>
      <c r="E61" s="211" t="s">
        <v>12941</v>
      </c>
      <c r="F61" s="212"/>
      <c r="G61" s="210" t="s">
        <v>133</v>
      </c>
      <c r="H61" s="170"/>
      <c r="I61" s="170"/>
      <c r="J61" s="156" t="s">
        <v>6914</v>
      </c>
      <c r="K61" s="156"/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"),"")</f>
        <v/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IFERROR(__xludf.DUMMYFUNCTION("ifna(VALUE(REGEXEXTRACT(E61,""[0-9.]+[,]+[0-9]+"")))"),46.0)</f>
        <v>46</v>
      </c>
      <c r="O61" s="174" t="s">
        <v>10118</v>
      </c>
      <c r="P61" s="175">
        <v>46126.0</v>
      </c>
      <c r="Q61" s="174" t="s">
        <v>227</v>
      </c>
      <c r="R61" s="176">
        <v>500.0</v>
      </c>
      <c r="S61" s="177" t="str">
        <f t="shared" si="1"/>
        <v>Rose</v>
      </c>
      <c r="U61" s="159"/>
      <c r="V61" s="159"/>
      <c r="W61" s="159"/>
    </row>
    <row r="62" ht="14.25" customHeight="1">
      <c r="A62" s="149"/>
      <c r="B62" s="13">
        <v>2098022.0</v>
      </c>
      <c r="C62" s="14">
        <v>46112.72813657407</v>
      </c>
      <c r="D62" s="210" t="s">
        <v>139</v>
      </c>
      <c r="E62" s="211" t="s">
        <v>804</v>
      </c>
      <c r="F62" s="212"/>
      <c r="G62" s="210" t="s">
        <v>14424</v>
      </c>
      <c r="H62" s="170"/>
      <c r="I62" s="170"/>
      <c r="J62" s="156" t="s">
        <v>13783</v>
      </c>
      <c r="K62" s="156"/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IFERROR(__xludf.DUMMYFUNCTION("ifna(VALUE(REGEXEXTRACT(E62,""[0-9.]+[,]+[0-9]+"")))"),500.0)</f>
        <v>500</v>
      </c>
      <c r="O62" s="174" t="s">
        <v>10122</v>
      </c>
      <c r="P62" s="175">
        <v>46126.0</v>
      </c>
      <c r="Q62" s="174" t="s">
        <v>117</v>
      </c>
      <c r="R62" s="176">
        <v>500.0</v>
      </c>
      <c r="S62" s="177" t="str">
        <f t="shared" si="1"/>
        <v>Renan</v>
      </c>
      <c r="U62" s="159"/>
      <c r="V62" s="159"/>
      <c r="W62" s="159"/>
    </row>
    <row r="63" ht="14.25" customHeight="1">
      <c r="A63" s="149"/>
      <c r="B63" s="13">
        <v>2098023.0</v>
      </c>
      <c r="C63" s="14">
        <v>46112.72827546296</v>
      </c>
      <c r="D63" s="210" t="s">
        <v>101</v>
      </c>
      <c r="E63" s="211" t="s">
        <v>804</v>
      </c>
      <c r="F63" s="212"/>
      <c r="G63" s="210" t="s">
        <v>1433</v>
      </c>
      <c r="H63" s="170"/>
      <c r="I63" s="170"/>
      <c r="J63" s="156" t="s">
        <v>12952</v>
      </c>
      <c r="K63" s="156"/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IFERROR(__xludf.DUMMYFUNCTION("ifna(VALUE(REGEXEXTRACT(E63,""[0-9.]+[,]+[0-9]+"")))"),500.0)</f>
        <v>500</v>
      </c>
      <c r="O63" s="174" t="s">
        <v>10124</v>
      </c>
      <c r="P63" s="175">
        <v>46126.0</v>
      </c>
      <c r="Q63" s="176" t="s">
        <v>218</v>
      </c>
      <c r="R63" s="178">
        <v>500.0</v>
      </c>
      <c r="S63" s="177" t="str">
        <f t="shared" si="1"/>
        <v>Ramon Dutra</v>
      </c>
      <c r="U63" s="159"/>
      <c r="V63" s="159"/>
      <c r="W63" s="159"/>
    </row>
    <row r="64" ht="14.25" customHeight="1">
      <c r="A64" s="149"/>
      <c r="B64" s="13">
        <v>2098064.0</v>
      </c>
      <c r="C64" s="14">
        <v>46112.735983796294</v>
      </c>
      <c r="D64" s="210" t="s">
        <v>101</v>
      </c>
      <c r="E64" s="211" t="s">
        <v>746</v>
      </c>
      <c r="F64" s="212"/>
      <c r="G64" s="210" t="s">
        <v>14428</v>
      </c>
      <c r="H64" s="170"/>
      <c r="I64" s="170"/>
      <c r="J64" s="156" t="s">
        <v>12778</v>
      </c>
      <c r="K64" s="156" t="s">
        <v>11866</v>
      </c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"),"Confirmada")</f>
        <v>Confirmada</v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IFERROR(__xludf.DUMMYFUNCTION("ifna(VALUE(REGEXEXTRACT(E64,""[0-9.]+[,]+[0-9]+"")))"),350.0)</f>
        <v>350</v>
      </c>
      <c r="O64" s="174"/>
      <c r="P64" s="175"/>
      <c r="Q64" s="174"/>
      <c r="R64" s="176"/>
      <c r="S64" s="177" t="str">
        <f t="shared" si="1"/>
        <v/>
      </c>
      <c r="U64" s="159"/>
      <c r="V64" s="159"/>
      <c r="W64" s="159"/>
    </row>
    <row r="65" ht="14.25" customHeight="1">
      <c r="A65" s="149"/>
      <c r="B65" s="13">
        <v>2098125.0</v>
      </c>
      <c r="C65" s="14">
        <v>46112.75434027778</v>
      </c>
      <c r="D65" s="210" t="s">
        <v>101</v>
      </c>
      <c r="E65" s="211" t="s">
        <v>231</v>
      </c>
      <c r="F65" s="212"/>
      <c r="G65" s="210" t="s">
        <v>325</v>
      </c>
      <c r="H65" s="170"/>
      <c r="I65" s="170"/>
      <c r="J65" s="156" t="s">
        <v>12658</v>
      </c>
      <c r="K65" s="156" t="s">
        <v>11866</v>
      </c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IFERROR(__xludf.DUMMYFUNCTION("ifna(VALUE(REGEXEXTRACT(E65,""[0-9.]+[,]+[0-9]+"")))"),10.0)</f>
        <v>10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2098462.0</v>
      </c>
      <c r="C66" s="14">
        <v>46112.860810185186</v>
      </c>
      <c r="D66" s="210" t="s">
        <v>101</v>
      </c>
      <c r="E66" s="211" t="s">
        <v>14348</v>
      </c>
      <c r="F66" s="212"/>
      <c r="G66" s="229" t="s">
        <v>14349</v>
      </c>
      <c r="H66" s="170"/>
      <c r="I66" s="170"/>
      <c r="J66" s="156"/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IFERROR(__xludf.DUMMYFUNCTION("ifna(VALUE(REGEXEXTRACT(E66,""[0-9.]+[,]+[0-9]+"")))"),23.27)</f>
        <v>23.27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2098698.0</v>
      </c>
      <c r="C67" s="14">
        <v>46112.91380787037</v>
      </c>
      <c r="D67" s="210" t="s">
        <v>101</v>
      </c>
      <c r="E67" s="211" t="s">
        <v>823</v>
      </c>
      <c r="F67" s="212"/>
      <c r="G67" s="210" t="s">
        <v>14433</v>
      </c>
      <c r="H67" s="170"/>
      <c r="I67" s="170"/>
      <c r="J67" s="156" t="s">
        <v>6914</v>
      </c>
      <c r="K67" s="156"/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"),"")</f>
        <v/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IFERROR(__xludf.DUMMYFUNCTION("ifna(VALUE(REGEXEXTRACT(E67,""[0-9.]+[,]+[0-9]+"")))"),37.0)</f>
        <v>37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2098725.0</v>
      </c>
      <c r="C68" s="14">
        <v>46112.916817129626</v>
      </c>
      <c r="D68" s="210" t="s">
        <v>101</v>
      </c>
      <c r="E68" s="211" t="s">
        <v>392</v>
      </c>
      <c r="F68" s="212"/>
      <c r="G68" s="210" t="s">
        <v>225</v>
      </c>
      <c r="H68" s="170"/>
      <c r="I68" s="170"/>
      <c r="J68" s="156" t="s">
        <v>12658</v>
      </c>
      <c r="K68" s="156" t="s">
        <v>12693</v>
      </c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IFERROR(__xludf.DUMMYFUNCTION("ifna(VALUE(REGEXEXTRACT(E68,""[0-9.]+[,]+[0-9]+"")))"),27.0)</f>
        <v>27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2099246.0</v>
      </c>
      <c r="C69" s="14">
        <v>46113.51903935185</v>
      </c>
      <c r="D69" s="210" t="s">
        <v>101</v>
      </c>
      <c r="E69" s="211" t="s">
        <v>14436</v>
      </c>
      <c r="F69" s="212"/>
      <c r="G69" s="210" t="s">
        <v>523</v>
      </c>
      <c r="H69" s="170"/>
      <c r="I69" s="170"/>
      <c r="J69" s="156" t="s">
        <v>12658</v>
      </c>
      <c r="K69" s="156" t="s">
        <v>13760</v>
      </c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IFERROR(__xludf.DUMMYFUNCTION("ifna(VALUE(REGEXEXTRACT(E69,""[0-9.]+[,]+[0-9]+"")))"),62.15)</f>
        <v>62.15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2099276.0</v>
      </c>
      <c r="C70" s="14">
        <v>46113.5333912037</v>
      </c>
      <c r="D70" s="210" t="s">
        <v>101</v>
      </c>
      <c r="E70" s="211" t="s">
        <v>252</v>
      </c>
      <c r="F70" s="212"/>
      <c r="G70" s="210" t="s">
        <v>253</v>
      </c>
      <c r="H70" s="170"/>
      <c r="I70" s="170"/>
      <c r="J70" s="156" t="s">
        <v>12658</v>
      </c>
      <c r="K70" s="156" t="s">
        <v>11866</v>
      </c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IFERROR(__xludf.DUMMYFUNCTION("ifna(VALUE(REGEXEXTRACT(E70,""[0-9.]+[,]+[0-9]+"")))"),5.0)</f>
        <v>5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2099654.0</v>
      </c>
      <c r="C71" s="14">
        <v>46113.68491898148</v>
      </c>
      <c r="D71" s="210" t="s">
        <v>101</v>
      </c>
      <c r="E71" s="211" t="s">
        <v>14441</v>
      </c>
      <c r="F71" s="212"/>
      <c r="G71" s="210" t="s">
        <v>253</v>
      </c>
      <c r="H71" s="170"/>
      <c r="I71" s="170"/>
      <c r="J71" s="156" t="s">
        <v>12658</v>
      </c>
      <c r="K71" s="156" t="s">
        <v>11866</v>
      </c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159">
        <f>IFERROR(__xludf.DUMMYFUNCTION("ifna(VALUE(REGEXEXTRACT(E71,""[0-9.]+[,]+[0-9]+"")))"),26.5)</f>
        <v>26.5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2099848.0</v>
      </c>
      <c r="C72" s="14">
        <v>46113.725960648146</v>
      </c>
      <c r="D72" s="210" t="s">
        <v>101</v>
      </c>
      <c r="E72" s="211" t="s">
        <v>1045</v>
      </c>
      <c r="F72" s="212"/>
      <c r="G72" s="210" t="s">
        <v>14442</v>
      </c>
      <c r="H72" s="170"/>
      <c r="I72" s="170"/>
      <c r="J72" s="156" t="s">
        <v>10036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159">
        <f>IFERROR(__xludf.DUMMYFUNCTION("ifna(VALUE(REGEXEXTRACT(E72,""[0-9.]+[,]+[0-9]+"")))"),91.0)</f>
        <v>91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2099852.0</v>
      </c>
      <c r="C73" s="14">
        <v>46113.72623842592</v>
      </c>
      <c r="D73" s="210" t="s">
        <v>101</v>
      </c>
      <c r="E73" s="211" t="s">
        <v>1839</v>
      </c>
      <c r="F73" s="212"/>
      <c r="G73" s="210" t="s">
        <v>133</v>
      </c>
      <c r="H73" s="170"/>
      <c r="I73" s="170"/>
      <c r="J73" s="156" t="s">
        <v>6914</v>
      </c>
      <c r="K73" s="156"/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IFERROR(__xludf.DUMMYFUNCTION("ifna(VALUE(REGEXEXTRACT(E73,""[0-9.]+[,]+[0-9]+"")))"),92.0)</f>
        <v>92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2099873.0</v>
      </c>
      <c r="C74" s="14">
        <v>46113.72971064815</v>
      </c>
      <c r="D74" s="210" t="s">
        <v>101</v>
      </c>
      <c r="E74" s="211" t="s">
        <v>779</v>
      </c>
      <c r="F74" s="212"/>
      <c r="G74" s="210" t="s">
        <v>14344</v>
      </c>
      <c r="H74" s="170"/>
      <c r="I74" s="170"/>
      <c r="J74" s="156" t="s">
        <v>6914</v>
      </c>
      <c r="K74" s="156"/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IFERROR(__xludf.DUMMYFUNCTION("ifna(VALUE(REGEXEXTRACT(E74,""[0-9.]+[,]+[0-9]+"")))"),14.0)</f>
        <v>14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2100593.0</v>
      </c>
      <c r="C75" s="14">
        <v>46113.92167824074</v>
      </c>
      <c r="D75" s="210" t="s">
        <v>101</v>
      </c>
      <c r="E75" s="211" t="s">
        <v>501</v>
      </c>
      <c r="F75" s="212"/>
      <c r="G75" s="210" t="s">
        <v>14433</v>
      </c>
      <c r="H75" s="170"/>
      <c r="I75" s="170"/>
      <c r="J75" s="156" t="s">
        <v>6914</v>
      </c>
      <c r="K75" s="156"/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IFERROR(__xludf.DUMMYFUNCTION("ifna(VALUE(REGEXEXTRACT(E75,""[0-9.]+[,]+[0-9]+"")))"),25.0)</f>
        <v>25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2100601.0</v>
      </c>
      <c r="C76" s="14">
        <v>46113.922418981485</v>
      </c>
      <c r="D76" s="210" t="s">
        <v>101</v>
      </c>
      <c r="E76" s="211" t="s">
        <v>256</v>
      </c>
      <c r="F76" s="212"/>
      <c r="G76" s="210" t="s">
        <v>14447</v>
      </c>
      <c r="H76" s="170"/>
      <c r="I76" s="170"/>
      <c r="J76" s="156" t="s">
        <v>12778</v>
      </c>
      <c r="K76" s="156" t="s">
        <v>13763</v>
      </c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"),"Confirmada")</f>
        <v>Confirmada</v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IFERROR(__xludf.DUMMYFUNCTION("ifna(VALUE(REGEXEXTRACT(E76,""[0-9.]+[,]+[0-9]+"")))"),300.0)</f>
        <v>300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2101213.0</v>
      </c>
      <c r="C77" s="14">
        <v>46114.592986111114</v>
      </c>
      <c r="D77" s="210" t="s">
        <v>139</v>
      </c>
      <c r="E77" s="211" t="s">
        <v>1094</v>
      </c>
      <c r="F77" s="212"/>
      <c r="G77" s="210" t="s">
        <v>142</v>
      </c>
      <c r="H77" s="170"/>
      <c r="I77" s="170"/>
      <c r="J77" s="156" t="s">
        <v>13783</v>
      </c>
      <c r="K77" s="156"/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IFERROR(__xludf.DUMMYFUNCTION("ifna(VALUE(REGEXEXTRACT(E77,""[0-9.]+[,]+[0-9]+"")))"),181.0)</f>
        <v>181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2101477.0</v>
      </c>
      <c r="C78" s="14">
        <v>46114.66849537037</v>
      </c>
      <c r="D78" s="210" t="s">
        <v>101</v>
      </c>
      <c r="E78" s="211" t="s">
        <v>14450</v>
      </c>
      <c r="F78" s="212"/>
      <c r="G78" s="210" t="s">
        <v>537</v>
      </c>
      <c r="H78" s="170"/>
      <c r="I78" s="170"/>
      <c r="J78" s="156" t="s">
        <v>12818</v>
      </c>
      <c r="K78" s="156"/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"),"")</f>
        <v/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159">
        <f>IFERROR(__xludf.DUMMYFUNCTION("ifna(VALUE(REGEXEXTRACT(E78,""[0-9.]+[,]+[0-9]+"")))"),91.8)</f>
        <v>91.8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2101578.0</v>
      </c>
      <c r="C79" s="14">
        <v>46114.69668981482</v>
      </c>
      <c r="D79" s="210" t="s">
        <v>101</v>
      </c>
      <c r="E79" s="211" t="s">
        <v>988</v>
      </c>
      <c r="F79" s="212"/>
      <c r="G79" s="210" t="s">
        <v>14452</v>
      </c>
      <c r="H79" s="170"/>
      <c r="I79" s="170"/>
      <c r="J79" s="156" t="s">
        <v>12818</v>
      </c>
      <c r="K79" s="156"/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159">
        <f>IFERROR(__xludf.DUMMYFUNCTION("ifna(VALUE(REGEXEXTRACT(E79,""[0-9.]+[,]+[0-9]+"")))"),7.5)</f>
        <v>7.5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2101745.0</v>
      </c>
      <c r="C80" s="14">
        <v>46114.72630787037</v>
      </c>
      <c r="D80" s="210" t="s">
        <v>101</v>
      </c>
      <c r="E80" s="211" t="s">
        <v>231</v>
      </c>
      <c r="F80" s="212"/>
      <c r="G80" s="210" t="s">
        <v>253</v>
      </c>
      <c r="H80" s="170"/>
      <c r="I80" s="170"/>
      <c r="J80" s="156" t="s">
        <v>12658</v>
      </c>
      <c r="K80" s="156" t="s">
        <v>11866</v>
      </c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IFERROR(__xludf.DUMMYFUNCTION("ifna(VALUE(REGEXEXTRACT(E80,""[0-9.]+[,]+[0-9]+"")))"),10.0)</f>
        <v>10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2101785.0</v>
      </c>
      <c r="C81" s="14">
        <v>46114.73174768518</v>
      </c>
      <c r="D81" s="210" t="s">
        <v>101</v>
      </c>
      <c r="E81" s="211" t="s">
        <v>231</v>
      </c>
      <c r="F81" s="212"/>
      <c r="G81" s="210" t="s">
        <v>325</v>
      </c>
      <c r="H81" s="170"/>
      <c r="I81" s="170"/>
      <c r="J81" s="156" t="s">
        <v>12658</v>
      </c>
      <c r="K81" s="156" t="s">
        <v>11866</v>
      </c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IFERROR(__xludf.DUMMYFUNCTION("ifna(VALUE(REGEXEXTRACT(E81,""[0-9.]+[,]+[0-9]+"")))"),10.0)</f>
        <v>10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2101836.0</v>
      </c>
      <c r="C82" s="14">
        <v>46114.741875</v>
      </c>
      <c r="D82" s="210" t="s">
        <v>101</v>
      </c>
      <c r="E82" s="211" t="s">
        <v>746</v>
      </c>
      <c r="F82" s="212"/>
      <c r="G82" s="210" t="s">
        <v>14460</v>
      </c>
      <c r="H82" s="170"/>
      <c r="I82" s="170"/>
      <c r="J82" s="156" t="s">
        <v>12778</v>
      </c>
      <c r="K82" s="156" t="s">
        <v>11866</v>
      </c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"),"Confirmada")</f>
        <v>Confirmada</v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IFERROR(__xludf.DUMMYFUNCTION("ifna(VALUE(REGEXEXTRACT(E82,""[0-9.]+[,]+[0-9]+"")))"),350.0)</f>
        <v>350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2101843.0</v>
      </c>
      <c r="C83" s="14">
        <v>46114.74445601852</v>
      </c>
      <c r="D83" s="210" t="s">
        <v>101</v>
      </c>
      <c r="E83" s="211" t="s">
        <v>937</v>
      </c>
      <c r="F83" s="212"/>
      <c r="G83" s="210" t="s">
        <v>133</v>
      </c>
      <c r="H83" s="170"/>
      <c r="I83" s="170"/>
      <c r="J83" s="156" t="s">
        <v>6914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IFERROR(__xludf.DUMMYFUNCTION("ifna(VALUE(REGEXEXTRACT(E83,""[0-9.]+[,]+[0-9]+"")))"),105.0)</f>
        <v>105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2102387.0</v>
      </c>
      <c r="C84" s="14">
        <v>46114.89579861111</v>
      </c>
      <c r="D84" s="210" t="s">
        <v>101</v>
      </c>
      <c r="E84" s="211" t="s">
        <v>12941</v>
      </c>
      <c r="F84" s="212"/>
      <c r="G84" s="210" t="s">
        <v>574</v>
      </c>
      <c r="H84" s="170"/>
      <c r="I84" s="170"/>
      <c r="J84" s="156" t="s">
        <v>12658</v>
      </c>
      <c r="K84" s="156" t="s">
        <v>13763</v>
      </c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IFERROR(__xludf.DUMMYFUNCTION("ifna(VALUE(REGEXEXTRACT(E84,""[0-9.]+[,]+[0-9]+"")))"),46.0)</f>
        <v>46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2102468.0</v>
      </c>
      <c r="C85" s="14">
        <v>46114.91200231481</v>
      </c>
      <c r="D85" s="210" t="s">
        <v>101</v>
      </c>
      <c r="E85" s="211" t="s">
        <v>270</v>
      </c>
      <c r="F85" s="212"/>
      <c r="G85" s="210" t="s">
        <v>14433</v>
      </c>
      <c r="H85" s="170"/>
      <c r="I85" s="170"/>
      <c r="J85" s="156" t="s">
        <v>6914</v>
      </c>
      <c r="K85" s="156"/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"),"")</f>
        <v/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IFERROR(__xludf.DUMMYFUNCTION("ifna(VALUE(REGEXEXTRACT(E85,""[0-9.]+[,]+[0-9]+"")))"),62.0)</f>
        <v>62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2102508.0</v>
      </c>
      <c r="C86" s="14">
        <v>46114.91685185185</v>
      </c>
      <c r="D86" s="210" t="s">
        <v>101</v>
      </c>
      <c r="E86" s="211" t="s">
        <v>256</v>
      </c>
      <c r="F86" s="212"/>
      <c r="G86" s="210" t="s">
        <v>14465</v>
      </c>
      <c r="H86" s="170"/>
      <c r="I86" s="170"/>
      <c r="J86" s="156" t="s">
        <v>12778</v>
      </c>
      <c r="K86" s="156" t="s">
        <v>13763</v>
      </c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"),"Confirmada")</f>
        <v>Confirmada</v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>
        <f>IFERROR(__xludf.DUMMYFUNCTION("ifna(VALUE(REGEXEXTRACT(E86,""[0-9.]+[,]+[0-9]+"")))"),300.0)</f>
        <v>300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2104491.0</v>
      </c>
      <c r="C87" s="14">
        <v>46115.87060185185</v>
      </c>
      <c r="D87" s="210" t="s">
        <v>101</v>
      </c>
      <c r="E87" s="211" t="s">
        <v>121</v>
      </c>
      <c r="F87" s="212"/>
      <c r="G87" s="210" t="s">
        <v>124</v>
      </c>
      <c r="H87" s="170"/>
      <c r="I87" s="170"/>
      <c r="J87" s="156" t="s">
        <v>10036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159">
        <f>IFERROR(__xludf.DUMMYFUNCTION("ifna(VALUE(REGEXEXTRACT(E87,""[0-9.]+[,]+[0-9]+"")))"),135.0)</f>
        <v>135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2104502.0</v>
      </c>
      <c r="C88" s="14">
        <v>46115.871770833335</v>
      </c>
      <c r="D88" s="210" t="s">
        <v>101</v>
      </c>
      <c r="E88" s="211" t="s">
        <v>121</v>
      </c>
      <c r="F88" s="212"/>
      <c r="G88" s="210" t="s">
        <v>14468</v>
      </c>
      <c r="H88" s="170"/>
      <c r="I88" s="170"/>
      <c r="J88" s="156" t="s">
        <v>10036</v>
      </c>
      <c r="K88" s="156"/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IFERROR(__xludf.DUMMYFUNCTION("ifna(VALUE(REGEXEXTRACT(E88,""[0-9.]+[,]+[0-9]+"")))"),135.0)</f>
        <v>135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2104504.0</v>
      </c>
      <c r="C89" s="14">
        <v>46115.87248842593</v>
      </c>
      <c r="D89" s="210" t="s">
        <v>101</v>
      </c>
      <c r="E89" s="211" t="s">
        <v>121</v>
      </c>
      <c r="F89" s="212"/>
      <c r="G89" s="210" t="s">
        <v>1385</v>
      </c>
      <c r="H89" s="170"/>
      <c r="I89" s="170"/>
      <c r="J89" s="156" t="s">
        <v>10036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IFERROR(__xludf.DUMMYFUNCTION("ifna(VALUE(REGEXEXTRACT(E89,""[0-9.]+[,]+[0-9]+"")))"),135.0)</f>
        <v>135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2104628.0</v>
      </c>
      <c r="C90" s="14">
        <v>46115.8896875</v>
      </c>
      <c r="D90" s="210" t="s">
        <v>101</v>
      </c>
      <c r="E90" s="211" t="s">
        <v>1208</v>
      </c>
      <c r="F90" s="212"/>
      <c r="G90" s="210" t="s">
        <v>109</v>
      </c>
      <c r="H90" s="170"/>
      <c r="I90" s="170"/>
      <c r="J90" s="156" t="s">
        <v>12658</v>
      </c>
      <c r="K90" s="156" t="s">
        <v>11866</v>
      </c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IFERROR(__xludf.DUMMYFUNCTION("ifna(VALUE(REGEXEXTRACT(E90,""[0-9.]+[,]+[0-9]+"")))"),98.0)</f>
        <v>98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2104648.0</v>
      </c>
      <c r="C91" s="14">
        <v>46115.891921296294</v>
      </c>
      <c r="D91" s="210" t="s">
        <v>101</v>
      </c>
      <c r="E91" s="211" t="s">
        <v>615</v>
      </c>
      <c r="F91" s="212"/>
      <c r="G91" s="210" t="s">
        <v>1619</v>
      </c>
      <c r="H91" s="170"/>
      <c r="I91" s="170"/>
      <c r="J91" s="156" t="s">
        <v>12658</v>
      </c>
      <c r="K91" s="156" t="s">
        <v>12693</v>
      </c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IFERROR(__xludf.DUMMYFUNCTION("ifna(VALUE(REGEXEXTRACT(E91,""[0-9.]+[,]+[0-9]+"")))"),18.0)</f>
        <v>18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2104669.0</v>
      </c>
      <c r="C92" s="14">
        <v>46115.894467592596</v>
      </c>
      <c r="D92" s="210" t="s">
        <v>139</v>
      </c>
      <c r="E92" s="211" t="s">
        <v>141</v>
      </c>
      <c r="F92" s="212"/>
      <c r="G92" s="210" t="s">
        <v>788</v>
      </c>
      <c r="H92" s="170"/>
      <c r="I92" s="170"/>
      <c r="J92" s="156" t="s">
        <v>13783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159">
        <f>IFERROR(__xludf.DUMMYFUNCTION("ifna(VALUE(REGEXEXTRACT(E92,""[0-9.]+[,]+[0-9]+"")))"),50.0)</f>
        <v>50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2104672.0</v>
      </c>
      <c r="C93" s="14">
        <v>46115.89472222222</v>
      </c>
      <c r="D93" s="210" t="s">
        <v>101</v>
      </c>
      <c r="E93" s="211" t="s">
        <v>501</v>
      </c>
      <c r="F93" s="212"/>
      <c r="G93" s="210" t="s">
        <v>14289</v>
      </c>
      <c r="H93" s="170"/>
      <c r="I93" s="170"/>
      <c r="J93" s="156" t="s">
        <v>6914</v>
      </c>
      <c r="K93" s="156"/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"),"")</f>
        <v/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IFERROR(__xludf.DUMMYFUNCTION("ifna(VALUE(REGEXEXTRACT(E93,""[0-9.]+[,]+[0-9]+"")))"),25.0)</f>
        <v>25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2104709.0</v>
      </c>
      <c r="C94" s="14">
        <v>46115.901875</v>
      </c>
      <c r="D94" s="210" t="s">
        <v>101</v>
      </c>
      <c r="E94" s="211" t="s">
        <v>256</v>
      </c>
      <c r="F94" s="212"/>
      <c r="G94" s="210" t="s">
        <v>14477</v>
      </c>
      <c r="H94" s="170"/>
      <c r="I94" s="170"/>
      <c r="J94" s="156" t="s">
        <v>12778</v>
      </c>
      <c r="K94" s="156" t="s">
        <v>11866</v>
      </c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"),"Confirmada")</f>
        <v>Confirmada</v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IFERROR(__xludf.DUMMYFUNCTION("ifna(VALUE(REGEXEXTRACT(E94,""[0-9.]+[,]+[0-9]+"")))"),300.0)</f>
        <v>300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2104888.0</v>
      </c>
      <c r="C95" s="14">
        <v>46115.919699074075</v>
      </c>
      <c r="D95" s="210" t="s">
        <v>101</v>
      </c>
      <c r="E95" s="211" t="s">
        <v>13463</v>
      </c>
      <c r="F95" s="214"/>
      <c r="G95" s="210" t="s">
        <v>133</v>
      </c>
      <c r="H95" s="170"/>
      <c r="I95" s="170"/>
      <c r="J95" s="156" t="s">
        <v>6914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IFERROR(__xludf.DUMMYFUNCTION("ifna(VALUE(REGEXEXTRACT(E95,""[0-9.]+[,]+[0-9]+"")))"),162.0)</f>
        <v>162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2107111.0</v>
      </c>
      <c r="C96" s="14">
        <v>46116.846875</v>
      </c>
      <c r="D96" s="210" t="s">
        <v>101</v>
      </c>
      <c r="E96" s="211" t="s">
        <v>14478</v>
      </c>
      <c r="F96" s="212"/>
      <c r="G96" s="210" t="s">
        <v>282</v>
      </c>
      <c r="H96" s="170"/>
      <c r="I96" s="170"/>
      <c r="J96" s="156" t="s">
        <v>12818</v>
      </c>
      <c r="K96" s="156"/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"),"")</f>
        <v/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159">
        <f>IFERROR(__xludf.DUMMYFUNCTION("ifna(VALUE(REGEXEXTRACT(E96,""[0-9.]+[,]+[0-9]+"")))"),21.98)</f>
        <v>21.98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2107115.0</v>
      </c>
      <c r="C97" s="14">
        <v>46116.84712962963</v>
      </c>
      <c r="D97" s="210" t="s">
        <v>101</v>
      </c>
      <c r="E97" s="211" t="s">
        <v>14479</v>
      </c>
      <c r="F97" s="212"/>
      <c r="G97" s="210" t="s">
        <v>14480</v>
      </c>
      <c r="H97" s="170"/>
      <c r="I97" s="170"/>
      <c r="J97" s="156" t="s">
        <v>12818</v>
      </c>
      <c r="K97" s="156"/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"""")"),"Encontrada")</f>
        <v>Encontrada</v>
      </c>
      <c r="N97" s="159">
        <f>IFERROR(__xludf.DUMMYFUNCTION("ifna(VALUE(REGEXEXTRACT(E97,""[0-9.]+[,]+[0-9]+"")))"),11.2)</f>
        <v>11.2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2107206.0</v>
      </c>
      <c r="C98" s="14">
        <v>46116.867002314815</v>
      </c>
      <c r="D98" s="210" t="s">
        <v>101</v>
      </c>
      <c r="E98" s="211" t="s">
        <v>14481</v>
      </c>
      <c r="F98" s="212"/>
      <c r="G98" s="210" t="s">
        <v>512</v>
      </c>
      <c r="H98" s="170"/>
      <c r="I98" s="170"/>
      <c r="J98" s="156" t="s">
        <v>6914</v>
      </c>
      <c r="K98" s="156"/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IFERROR(__xludf.DUMMYFUNCTION("ifna(VALUE(REGEXEXTRACT(E98,""[0-9.]+[,]+[0-9]+"")))"),193.0)</f>
        <v>193</v>
      </c>
      <c r="O98" s="181" t="s">
        <v>13284</v>
      </c>
      <c r="W98" s="159"/>
    </row>
    <row r="99" ht="14.25" customHeight="1">
      <c r="A99" s="149"/>
      <c r="B99" s="13">
        <v>2107482.0</v>
      </c>
      <c r="C99" s="14">
        <v>46116.907175925924</v>
      </c>
      <c r="D99" s="210" t="s">
        <v>101</v>
      </c>
      <c r="E99" s="211" t="s">
        <v>13314</v>
      </c>
      <c r="F99" s="212"/>
      <c r="G99" s="210" t="s">
        <v>14154</v>
      </c>
      <c r="H99" s="170"/>
      <c r="I99" s="170"/>
      <c r="J99" s="156" t="s">
        <v>6914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IFERROR(__xludf.DUMMYFUNCTION("ifna(VALUE(REGEXEXTRACT(E99,""[0-9.]+[,]+[0-9]+"")))"),102.0)</f>
        <v>102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2107487.0</v>
      </c>
      <c r="C100" s="14">
        <v>46116.907638888886</v>
      </c>
      <c r="D100" s="210" t="s">
        <v>101</v>
      </c>
      <c r="E100" s="211" t="s">
        <v>213</v>
      </c>
      <c r="F100" s="212"/>
      <c r="G100" s="210" t="s">
        <v>14486</v>
      </c>
      <c r="H100" s="170"/>
      <c r="I100" s="170"/>
      <c r="J100" s="156" t="s">
        <v>12818</v>
      </c>
      <c r="K100" s="156"/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"),"")</f>
        <v/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159">
        <f>IFERROR(__xludf.DUMMYFUNCTION("ifna(VALUE(REGEXEXTRACT(E100,""[0-9.]+[,]+[0-9]+"")))"),200.0)</f>
        <v>200</v>
      </c>
      <c r="O100" s="222"/>
      <c r="P100" s="186"/>
      <c r="Q100" s="185"/>
      <c r="R100" s="187"/>
      <c r="S100" s="185"/>
      <c r="V100" s="185"/>
      <c r="W100" s="159"/>
    </row>
    <row r="101" ht="14.25" customHeight="1">
      <c r="A101" s="149"/>
      <c r="B101" s="13">
        <v>2107500.0</v>
      </c>
      <c r="C101" s="14">
        <v>46116.90851851852</v>
      </c>
      <c r="D101" s="210" t="s">
        <v>101</v>
      </c>
      <c r="E101" s="211" t="s">
        <v>121</v>
      </c>
      <c r="F101" s="212"/>
      <c r="G101" s="210" t="s">
        <v>14487</v>
      </c>
      <c r="H101" s="170"/>
      <c r="I101" s="170"/>
      <c r="J101" s="156" t="s">
        <v>10036</v>
      </c>
      <c r="K101" s="156"/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IFERROR(__xludf.DUMMYFUNCTION("ifna(VALUE(REGEXEXTRACT(E101,""[0-9.]+[,]+[0-9]+"")))"),135.0)</f>
        <v>135</v>
      </c>
      <c r="O101" s="188"/>
      <c r="P101" s="189"/>
      <c r="Q101" s="188"/>
      <c r="R101" s="190"/>
      <c r="S101" s="188"/>
      <c r="V101" s="188"/>
      <c r="W101" s="159"/>
    </row>
    <row r="102" ht="14.25" customHeight="1">
      <c r="A102" s="149"/>
      <c r="B102" s="13">
        <v>2107501.0</v>
      </c>
      <c r="C102" s="14">
        <v>46116.90869212963</v>
      </c>
      <c r="D102" s="210" t="s">
        <v>101</v>
      </c>
      <c r="E102" s="211" t="s">
        <v>121</v>
      </c>
      <c r="F102" s="212"/>
      <c r="G102" s="210" t="s">
        <v>1263</v>
      </c>
      <c r="H102" s="170"/>
      <c r="I102" s="170"/>
      <c r="J102" s="156" t="s">
        <v>10036</v>
      </c>
      <c r="K102" s="156"/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IFERROR(__xludf.DUMMYFUNCTION("ifna(VALUE(REGEXEXTRACT(E102,""[0-9.]+[,]+[0-9]+"")))"),135.0)</f>
        <v>135</v>
      </c>
      <c r="O102" s="185"/>
      <c r="P102" s="186"/>
      <c r="Q102" s="185"/>
      <c r="R102" s="187"/>
      <c r="S102" s="185"/>
      <c r="V102" s="185"/>
      <c r="W102" s="159"/>
    </row>
    <row r="103" ht="14.25" customHeight="1">
      <c r="A103" s="149"/>
      <c r="B103" s="13">
        <v>2107503.0</v>
      </c>
      <c r="C103" s="14">
        <v>46116.90883101852</v>
      </c>
      <c r="D103" s="210" t="s">
        <v>101</v>
      </c>
      <c r="E103" s="211" t="s">
        <v>201</v>
      </c>
      <c r="F103" s="212"/>
      <c r="G103" s="210" t="s">
        <v>344</v>
      </c>
      <c r="H103" s="170"/>
      <c r="I103" s="170"/>
      <c r="J103" s="156" t="s">
        <v>10036</v>
      </c>
      <c r="K103" s="156"/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IFERROR(__xludf.DUMMYFUNCTION("ifna(VALUE(REGEXEXTRACT(E103,""[0-9.]+[,]+[0-9]+"")))"),150.0)</f>
        <v>150</v>
      </c>
      <c r="O103" s="188"/>
      <c r="P103" s="189"/>
      <c r="Q103" s="188"/>
      <c r="R103" s="190"/>
      <c r="S103" s="188"/>
      <c r="V103" s="188"/>
      <c r="W103" s="159"/>
    </row>
    <row r="104" ht="14.25" customHeight="1">
      <c r="A104" s="149"/>
      <c r="B104" s="13">
        <v>2107655.0</v>
      </c>
      <c r="C104" s="14">
        <v>46116.92099537037</v>
      </c>
      <c r="D104" s="210" t="s">
        <v>101</v>
      </c>
      <c r="E104" s="211" t="s">
        <v>2133</v>
      </c>
      <c r="F104" s="212"/>
      <c r="G104" s="210" t="s">
        <v>14491</v>
      </c>
      <c r="H104" s="170"/>
      <c r="I104" s="170"/>
      <c r="J104" s="156" t="s">
        <v>12778</v>
      </c>
      <c r="K104" s="156" t="s">
        <v>13760</v>
      </c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"),"Confirmada")</f>
        <v>Confirmada</v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159">
        <f>IFERROR(__xludf.DUMMYFUNCTION("ifna(VALUE(REGEXEXTRACT(E104,""[0-9.]+[,]+[0-9]+"")))"),750.0)</f>
        <v>750</v>
      </c>
      <c r="O104" s="185"/>
      <c r="P104" s="186"/>
      <c r="Q104" s="185"/>
      <c r="R104" s="187"/>
      <c r="S104" s="185"/>
      <c r="V104" s="185"/>
      <c r="W104" s="159"/>
    </row>
    <row r="105" ht="14.25" customHeight="1">
      <c r="A105" s="149"/>
      <c r="B105" s="13">
        <v>2109699.0</v>
      </c>
      <c r="C105" s="14">
        <v>46117.889386574076</v>
      </c>
      <c r="D105" s="210" t="s">
        <v>101</v>
      </c>
      <c r="E105" s="211" t="s">
        <v>121</v>
      </c>
      <c r="F105" s="212"/>
      <c r="G105" s="210" t="s">
        <v>124</v>
      </c>
      <c r="H105" s="170"/>
      <c r="I105" s="170"/>
      <c r="J105" s="156" t="s">
        <v>10036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159">
        <f>IFERROR(__xludf.DUMMYFUNCTION("ifna(VALUE(REGEXEXTRACT(E105,""[0-9.]+[,]+[0-9]+"")))"),135.0)</f>
        <v>135</v>
      </c>
      <c r="O105" s="188"/>
      <c r="P105" s="189"/>
      <c r="Q105" s="188"/>
      <c r="R105" s="190"/>
      <c r="S105" s="188"/>
      <c r="V105" s="188"/>
      <c r="W105" s="159"/>
    </row>
    <row r="106" ht="14.25" customHeight="1">
      <c r="A106" s="149"/>
      <c r="B106" s="13">
        <v>2109701.0</v>
      </c>
      <c r="C106" s="14">
        <v>46117.88952546296</v>
      </c>
      <c r="D106" s="210" t="s">
        <v>101</v>
      </c>
      <c r="E106" s="211" t="s">
        <v>121</v>
      </c>
      <c r="F106" s="212"/>
      <c r="G106" s="210" t="s">
        <v>14492</v>
      </c>
      <c r="H106" s="170"/>
      <c r="I106" s="170"/>
      <c r="J106" s="156" t="s">
        <v>10036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159">
        <f>IFERROR(__xludf.DUMMYFUNCTION("ifna(VALUE(REGEXEXTRACT(E106,""[0-9.]+[,]+[0-9]+"")))"),135.0)</f>
        <v>135</v>
      </c>
      <c r="O106" s="185"/>
      <c r="P106" s="186"/>
      <c r="Q106" s="185"/>
      <c r="R106" s="187"/>
      <c r="S106" s="185"/>
      <c r="V106" s="185"/>
      <c r="W106" s="159"/>
    </row>
    <row r="107" ht="14.25" customHeight="1">
      <c r="A107" s="149"/>
      <c r="B107" s="13">
        <v>2109703.0</v>
      </c>
      <c r="C107" s="14">
        <v>46117.889710648145</v>
      </c>
      <c r="D107" s="210" t="s">
        <v>101</v>
      </c>
      <c r="E107" s="211" t="s">
        <v>121</v>
      </c>
      <c r="F107" s="212"/>
      <c r="G107" s="210" t="s">
        <v>1385</v>
      </c>
      <c r="H107" s="170"/>
      <c r="I107" s="170"/>
      <c r="J107" s="156" t="s">
        <v>10036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IFERROR(__xludf.DUMMYFUNCTION("ifna(VALUE(REGEXEXTRACT(E107,""[0-9.]+[,]+[0-9]+"")))"),135.0)</f>
        <v>135</v>
      </c>
      <c r="O107" s="188"/>
      <c r="P107" s="189"/>
      <c r="Q107" s="188"/>
      <c r="R107" s="190"/>
      <c r="S107" s="188"/>
      <c r="V107" s="188"/>
      <c r="W107" s="159"/>
    </row>
    <row r="108" ht="14.25" customHeight="1">
      <c r="A108" s="149"/>
      <c r="B108" s="13">
        <v>2109705.0</v>
      </c>
      <c r="C108" s="14">
        <v>46117.889872685184</v>
      </c>
      <c r="D108" s="210" t="s">
        <v>101</v>
      </c>
      <c r="E108" s="211" t="s">
        <v>121</v>
      </c>
      <c r="F108" s="212"/>
      <c r="G108" s="210" t="s">
        <v>14468</v>
      </c>
      <c r="H108" s="170"/>
      <c r="I108" s="170"/>
      <c r="J108" s="156" t="s">
        <v>10036</v>
      </c>
      <c r="K108" s="156"/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"),"")</f>
        <v/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IFERROR(__xludf.DUMMYFUNCTION("ifna(VALUE(REGEXEXTRACT(E108,""[0-9.]+[,]+[0-9]+"")))"),135.0)</f>
        <v>135</v>
      </c>
      <c r="O108" s="185"/>
      <c r="P108" s="186"/>
      <c r="Q108" s="185"/>
      <c r="R108" s="187"/>
      <c r="S108" s="185"/>
      <c r="V108" s="185"/>
      <c r="W108" s="159"/>
    </row>
    <row r="109" ht="14.25" customHeight="1">
      <c r="A109" s="149"/>
      <c r="B109" s="13">
        <v>2109734.0</v>
      </c>
      <c r="C109" s="14">
        <v>46117.89413194444</v>
      </c>
      <c r="D109" s="210" t="s">
        <v>101</v>
      </c>
      <c r="E109" s="211" t="s">
        <v>14496</v>
      </c>
      <c r="F109" s="212"/>
      <c r="G109" s="210" t="s">
        <v>629</v>
      </c>
      <c r="H109" s="170"/>
      <c r="I109" s="170"/>
      <c r="J109" s="156" t="s">
        <v>6914</v>
      </c>
      <c r="K109" s="156"/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IFERROR(__xludf.DUMMYFUNCTION("ifna(VALUE(REGEXEXTRACT(E109,""[0-9.]+[,]+[0-9]+"")))"),209.0)</f>
        <v>209</v>
      </c>
      <c r="O109" s="188"/>
      <c r="P109" s="189"/>
      <c r="Q109" s="188"/>
      <c r="R109" s="190"/>
      <c r="S109" s="188"/>
      <c r="V109" s="188"/>
      <c r="W109" s="159"/>
    </row>
    <row r="110" ht="14.25" customHeight="1">
      <c r="A110" s="149"/>
      <c r="B110" s="13">
        <v>2112485.0</v>
      </c>
      <c r="C110" s="14">
        <v>46119.643113425926</v>
      </c>
      <c r="D110" s="210" t="s">
        <v>101</v>
      </c>
      <c r="E110" s="211" t="s">
        <v>14498</v>
      </c>
      <c r="F110" s="212"/>
      <c r="G110" s="229" t="s">
        <v>14499</v>
      </c>
      <c r="H110" s="170"/>
      <c r="I110" s="170"/>
      <c r="J110" s="156"/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IFERROR(__xludf.DUMMYFUNCTION("ifna(VALUE(REGEXEXTRACT(E110,""[0-9.]+[,]+[0-9]+"")))"),10.8)</f>
        <v>10.8</v>
      </c>
      <c r="O110" s="185"/>
      <c r="P110" s="186"/>
      <c r="Q110" s="185"/>
      <c r="R110" s="187"/>
      <c r="S110" s="185"/>
      <c r="V110" s="185"/>
      <c r="W110" s="159"/>
    </row>
    <row r="111" ht="14.25" customHeight="1">
      <c r="A111" s="149"/>
      <c r="B111" s="13">
        <v>2112702.0</v>
      </c>
      <c r="C111" s="14">
        <v>46119.72045138889</v>
      </c>
      <c r="D111" s="210" t="s">
        <v>101</v>
      </c>
      <c r="E111" s="211" t="s">
        <v>901</v>
      </c>
      <c r="F111" s="212"/>
      <c r="G111" s="210" t="s">
        <v>133</v>
      </c>
      <c r="H111" s="170"/>
      <c r="I111" s="170"/>
      <c r="J111" s="156" t="s">
        <v>6914</v>
      </c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159">
        <f>IFERROR(__xludf.DUMMYFUNCTION("ifna(VALUE(REGEXEXTRACT(E111,""[0-9.]+[,]+[0-9]+"")))"),108.0)</f>
        <v>108</v>
      </c>
      <c r="O111" s="188"/>
      <c r="P111" s="189"/>
      <c r="Q111" s="188"/>
      <c r="R111" s="190"/>
      <c r="S111" s="188"/>
      <c r="V111" s="188"/>
      <c r="W111" s="159"/>
    </row>
    <row r="112" ht="14.25" customHeight="1">
      <c r="A112" s="149"/>
      <c r="B112" s="13">
        <v>2112728.0</v>
      </c>
      <c r="C112" s="14">
        <v>46119.72918981482</v>
      </c>
      <c r="D112" s="210" t="s">
        <v>139</v>
      </c>
      <c r="E112" s="211" t="s">
        <v>14501</v>
      </c>
      <c r="F112" s="212"/>
      <c r="G112" s="210" t="s">
        <v>272</v>
      </c>
      <c r="H112" s="170"/>
      <c r="I112" s="170"/>
      <c r="J112" s="156" t="s">
        <v>13783</v>
      </c>
      <c r="K112" s="156"/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159">
        <f>IFERROR(__xludf.DUMMYFUNCTION("ifna(VALUE(REGEXEXTRACT(E112,""[0-9.]+[,]+[0-9]+"")))"),145.0)</f>
        <v>145</v>
      </c>
      <c r="O112" s="185"/>
      <c r="P112" s="186"/>
      <c r="Q112" s="185"/>
      <c r="R112" s="187"/>
      <c r="S112" s="185"/>
      <c r="V112" s="185"/>
      <c r="W112" s="159"/>
    </row>
    <row r="113" ht="14.25" customHeight="1">
      <c r="A113" s="149"/>
      <c r="B113" s="13">
        <v>2113065.0</v>
      </c>
      <c r="C113" s="14">
        <v>46119.86457175926</v>
      </c>
      <c r="D113" s="210" t="s">
        <v>101</v>
      </c>
      <c r="E113" s="211" t="s">
        <v>14502</v>
      </c>
      <c r="F113" s="212"/>
      <c r="G113" s="210" t="s">
        <v>14503</v>
      </c>
      <c r="H113" s="170"/>
      <c r="I113" s="170"/>
      <c r="J113" s="156"/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IFERROR(__xludf.DUMMYFUNCTION("ifna(VALUE(REGEXEXTRACT(E113,""[0-9.]+[,]+[0-9]+"")))"),38.92)</f>
        <v>38.92</v>
      </c>
      <c r="O113" s="188"/>
      <c r="P113" s="189"/>
      <c r="Q113" s="188"/>
      <c r="R113" s="190"/>
      <c r="S113" s="188"/>
      <c r="V113" s="188"/>
      <c r="W113" s="159"/>
    </row>
    <row r="114" ht="14.25" customHeight="1">
      <c r="A114" s="149"/>
      <c r="B114" s="13">
        <v>2113246.0</v>
      </c>
      <c r="C114" s="14">
        <v>46119.911527777775</v>
      </c>
      <c r="D114" s="210" t="s">
        <v>101</v>
      </c>
      <c r="E114" s="211" t="s">
        <v>281</v>
      </c>
      <c r="F114" s="212"/>
      <c r="G114" s="210" t="s">
        <v>14154</v>
      </c>
      <c r="H114" s="170"/>
      <c r="I114" s="170"/>
      <c r="J114" s="156" t="s">
        <v>6914</v>
      </c>
      <c r="K114" s="156"/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IFERROR(__xludf.DUMMYFUNCTION("ifna(VALUE(REGEXEXTRACT(E114,""[0-9.]+[,]+[0-9]+"")))"),42.0)</f>
        <v>42</v>
      </c>
      <c r="O114" s="185"/>
      <c r="P114" s="186"/>
      <c r="Q114" s="185"/>
      <c r="R114" s="187"/>
      <c r="S114" s="185"/>
      <c r="V114" s="185"/>
      <c r="W114" s="159"/>
    </row>
    <row r="115" ht="14.25" customHeight="1">
      <c r="A115" s="149"/>
      <c r="B115" s="13">
        <v>2113371.0</v>
      </c>
      <c r="C115" s="14">
        <v>46119.92581018519</v>
      </c>
      <c r="D115" s="210" t="s">
        <v>101</v>
      </c>
      <c r="E115" s="211" t="s">
        <v>213</v>
      </c>
      <c r="F115" s="212"/>
      <c r="G115" s="210" t="s">
        <v>239</v>
      </c>
      <c r="H115" s="170"/>
      <c r="I115" s="170"/>
      <c r="J115" s="156" t="s">
        <v>12778</v>
      </c>
      <c r="K115" s="156" t="s">
        <v>13763</v>
      </c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"),"Confirmada")</f>
        <v>Confirmada</v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IFERROR(__xludf.DUMMYFUNCTION("ifna(VALUE(REGEXEXTRACT(E115,""[0-9.]+[,]+[0-9]+"")))"),200.0)</f>
        <v>200</v>
      </c>
      <c r="O115" s="188"/>
      <c r="P115" s="189"/>
      <c r="Q115" s="188"/>
      <c r="R115" s="190"/>
      <c r="S115" s="188"/>
      <c r="V115" s="188"/>
      <c r="W115" s="159"/>
    </row>
    <row r="116" ht="14.25" customHeight="1">
      <c r="A116" s="149"/>
      <c r="B116" s="13">
        <v>2114153.0</v>
      </c>
      <c r="C116" s="14">
        <v>46120.72829861111</v>
      </c>
      <c r="D116" s="210" t="s">
        <v>101</v>
      </c>
      <c r="E116" s="211" t="s">
        <v>804</v>
      </c>
      <c r="F116" s="212"/>
      <c r="G116" s="210" t="s">
        <v>14505</v>
      </c>
      <c r="H116" s="170"/>
      <c r="I116" s="170"/>
      <c r="J116" s="156" t="s">
        <v>12778</v>
      </c>
      <c r="K116" s="156" t="s">
        <v>11866</v>
      </c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"),"Confirmada")</f>
        <v>Confirmada</v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IFERROR(__xludf.DUMMYFUNCTION("ifna(VALUE(REGEXEXTRACT(E116,""[0-9.]+[,]+[0-9]+"")))"),500.0)</f>
        <v>500</v>
      </c>
      <c r="O116" s="185"/>
      <c r="P116" s="186"/>
      <c r="Q116" s="185"/>
      <c r="R116" s="187"/>
      <c r="S116" s="185"/>
      <c r="V116" s="185"/>
      <c r="W116" s="159"/>
    </row>
    <row r="117" ht="14.25" customHeight="1">
      <c r="A117" s="149"/>
      <c r="B117" s="13">
        <v>2114156.0</v>
      </c>
      <c r="C117" s="14">
        <v>46120.72951388889</v>
      </c>
      <c r="D117" s="210" t="s">
        <v>101</v>
      </c>
      <c r="E117" s="211" t="s">
        <v>14506</v>
      </c>
      <c r="F117" s="212"/>
      <c r="G117" s="210" t="s">
        <v>133</v>
      </c>
      <c r="H117" s="170"/>
      <c r="I117" s="170"/>
      <c r="J117" s="156" t="s">
        <v>6914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159">
        <f>IFERROR(__xludf.DUMMYFUNCTION("ifna(VALUE(REGEXEXTRACT(E117,""[0-9.]+[,]+[0-9]+"")))"),121.0)</f>
        <v>121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2114639.0</v>
      </c>
      <c r="C118" s="14">
        <v>46120.90833333333</v>
      </c>
      <c r="D118" s="210" t="s">
        <v>101</v>
      </c>
      <c r="E118" s="211" t="s">
        <v>14507</v>
      </c>
      <c r="F118" s="212"/>
      <c r="G118" s="210" t="s">
        <v>574</v>
      </c>
      <c r="H118" s="170"/>
      <c r="I118" s="170"/>
      <c r="J118" s="156" t="s">
        <v>12658</v>
      </c>
      <c r="K118" s="156" t="s">
        <v>13763</v>
      </c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IFERROR(__xludf.DUMMYFUNCTION("ifna(VALUE(REGEXEXTRACT(E118,""[0-9.]+[,]+[0-9]+"")))"),45.15)</f>
        <v>45.15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2114652.0</v>
      </c>
      <c r="C119" s="14">
        <v>46120.910532407404</v>
      </c>
      <c r="D119" s="210" t="s">
        <v>101</v>
      </c>
      <c r="E119" s="211" t="s">
        <v>1440</v>
      </c>
      <c r="F119" s="212"/>
      <c r="G119" s="210" t="s">
        <v>14154</v>
      </c>
      <c r="H119" s="170"/>
      <c r="I119" s="170"/>
      <c r="J119" s="156" t="s">
        <v>6914</v>
      </c>
      <c r="K119" s="156"/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IFERROR(__xludf.DUMMYFUNCTION("ifna(VALUE(REGEXEXTRACT(E119,""[0-9.]+[,]+[0-9]+"")))"),44.0)</f>
        <v>44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2114726.0</v>
      </c>
      <c r="C120" s="14">
        <v>46120.919641203705</v>
      </c>
      <c r="D120" s="210" t="s">
        <v>101</v>
      </c>
      <c r="E120" s="211" t="s">
        <v>213</v>
      </c>
      <c r="F120" s="212"/>
      <c r="G120" s="210" t="s">
        <v>14509</v>
      </c>
      <c r="H120" s="153"/>
      <c r="I120" s="170"/>
      <c r="J120" s="156" t="s">
        <v>12778</v>
      </c>
      <c r="K120" s="156" t="s">
        <v>13763</v>
      </c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"),"Confirmada")</f>
        <v>Confirmada</v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IFERROR(__xludf.DUMMYFUNCTION("ifna(VALUE(REGEXEXTRACT(E120,""[0-9.]+[,]+[0-9]+"")))"),200.0)</f>
        <v>200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2115769.0</v>
      </c>
      <c r="C121" s="14">
        <v>46121.73878472222</v>
      </c>
      <c r="D121" s="210" t="s">
        <v>101</v>
      </c>
      <c r="E121" s="211" t="s">
        <v>526</v>
      </c>
      <c r="F121" s="212"/>
      <c r="G121" s="210" t="s">
        <v>14344</v>
      </c>
      <c r="H121" s="153"/>
      <c r="I121" s="170"/>
      <c r="J121" s="156" t="s">
        <v>6914</v>
      </c>
      <c r="K121" s="156"/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"),"")</f>
        <v/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IFERROR(__xludf.DUMMYFUNCTION("ifna(VALUE(REGEXEXTRACT(E121,""[0-9.]+[,]+[0-9]+"")))"),21.0)</f>
        <v>21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2115778.0</v>
      </c>
      <c r="C122" s="14">
        <v>46121.74070601852</v>
      </c>
      <c r="D122" s="210" t="s">
        <v>101</v>
      </c>
      <c r="E122" s="211" t="s">
        <v>1097</v>
      </c>
      <c r="F122" s="212"/>
      <c r="G122" s="210" t="s">
        <v>14512</v>
      </c>
      <c r="H122" s="153"/>
      <c r="I122" s="170"/>
      <c r="J122" s="156" t="s">
        <v>12778</v>
      </c>
      <c r="K122" s="156" t="s">
        <v>11866</v>
      </c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"),"Confirmada")</f>
        <v>Confirmada</v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IFERROR(__xludf.DUMMYFUNCTION("ifna(VALUE(REGEXEXTRACT(E122,""[0-9.]+[,]+[0-9]+"")))"),450.0)</f>
        <v>450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2115920.0</v>
      </c>
      <c r="C123" s="14">
        <v>46121.78736111111</v>
      </c>
      <c r="D123" s="210" t="s">
        <v>101</v>
      </c>
      <c r="E123" s="211" t="s">
        <v>14513</v>
      </c>
      <c r="F123" s="212"/>
      <c r="G123" s="210" t="s">
        <v>14514</v>
      </c>
      <c r="H123" s="153"/>
      <c r="I123" s="170"/>
      <c r="J123" s="156" t="s">
        <v>12720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IFERROR(__xludf.DUMMYFUNCTION("ifna(VALUE(REGEXEXTRACT(E123,""[0-9.]+[,]+[0-9]+"")))"),60.38)</f>
        <v>60.38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2116036.0</v>
      </c>
      <c r="C124" s="14">
        <v>46121.83280092593</v>
      </c>
      <c r="D124" s="210" t="s">
        <v>101</v>
      </c>
      <c r="E124" s="211" t="s">
        <v>14517</v>
      </c>
      <c r="F124" s="212"/>
      <c r="G124" s="210" t="s">
        <v>1635</v>
      </c>
      <c r="H124" s="153"/>
      <c r="I124" s="170"/>
      <c r="J124" s="156" t="s">
        <v>12818</v>
      </c>
      <c r="K124" s="156"/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"),"")</f>
        <v/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"""")"),"Encontrada")</f>
        <v>Encontrada</v>
      </c>
      <c r="N124" s="159">
        <f>IFERROR(__xludf.DUMMYFUNCTION("ifna(VALUE(REGEXEXTRACT(E124,""[0-9.]+[,]+[0-9]+"")))"),4.5)</f>
        <v>4.5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2116306.0</v>
      </c>
      <c r="C125" s="14">
        <v>46121.90971064815</v>
      </c>
      <c r="D125" s="210" t="s">
        <v>101</v>
      </c>
      <c r="E125" s="211" t="s">
        <v>213</v>
      </c>
      <c r="F125" s="212"/>
      <c r="G125" s="210" t="s">
        <v>14518</v>
      </c>
      <c r="H125" s="153"/>
      <c r="I125" s="170"/>
      <c r="J125" s="156" t="s">
        <v>12778</v>
      </c>
      <c r="K125" s="156" t="s">
        <v>13763</v>
      </c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"),"Confirmada")</f>
        <v>Confirmada</v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IFERROR(__xludf.DUMMYFUNCTION("ifna(VALUE(REGEXEXTRACT(E125,""[0-9.]+[,]+[0-9]+"")))"),200.0)</f>
        <v>200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2116308.0</v>
      </c>
      <c r="C126" s="14">
        <v>46121.909953703704</v>
      </c>
      <c r="D126" s="210" t="s">
        <v>101</v>
      </c>
      <c r="E126" s="211" t="s">
        <v>179</v>
      </c>
      <c r="F126" s="212"/>
      <c r="G126" s="210" t="s">
        <v>14154</v>
      </c>
      <c r="H126" s="153"/>
      <c r="I126" s="170"/>
      <c r="J126" s="156" t="s">
        <v>6914</v>
      </c>
      <c r="K126" s="156"/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IFERROR(__xludf.DUMMYFUNCTION("ifna(VALUE(REGEXEXTRACT(E126,""[0-9.]+[,]+[0-9]+"")))"),20.0)</f>
        <v>20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2117719.0</v>
      </c>
      <c r="C127" s="14">
        <v>46122.797951388886</v>
      </c>
      <c r="D127" s="210" t="s">
        <v>101</v>
      </c>
      <c r="E127" s="211" t="s">
        <v>14521</v>
      </c>
      <c r="F127" s="212"/>
      <c r="G127" s="210" t="s">
        <v>14522</v>
      </c>
      <c r="H127" s="153"/>
      <c r="I127" s="170"/>
      <c r="J127" s="156" t="s">
        <v>12818</v>
      </c>
      <c r="K127" s="156"/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159">
        <f>IFERROR(__xludf.DUMMYFUNCTION("ifna(VALUE(REGEXEXTRACT(E127,""[0-9.]+[,]+[0-9]+"")))"),91.1)</f>
        <v>91.1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2117720.0</v>
      </c>
      <c r="C128" s="14">
        <v>46122.798159722224</v>
      </c>
      <c r="D128" s="210" t="s">
        <v>101</v>
      </c>
      <c r="E128" s="211" t="s">
        <v>328</v>
      </c>
      <c r="F128" s="212"/>
      <c r="G128" s="210" t="s">
        <v>14523</v>
      </c>
      <c r="H128" s="153"/>
      <c r="I128" s="170"/>
      <c r="J128" s="156" t="s">
        <v>12818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"""")"),"Encontrada")</f>
        <v>Encontrada</v>
      </c>
      <c r="N128" s="159">
        <f>IFERROR(__xludf.DUMMYFUNCTION("ifna(VALUE(REGEXEXTRACT(E128,""[0-9.]+[,]+[0-9]+"")))"),48.0)</f>
        <v>48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2117727.0</v>
      </c>
      <c r="C129" s="14">
        <v>46122.80168981481</v>
      </c>
      <c r="D129" s="210" t="s">
        <v>101</v>
      </c>
      <c r="E129" s="211" t="s">
        <v>13323</v>
      </c>
      <c r="F129" s="212"/>
      <c r="G129" s="210" t="s">
        <v>14524</v>
      </c>
      <c r="H129" s="153"/>
      <c r="I129" s="170"/>
      <c r="J129" s="156" t="s">
        <v>6914</v>
      </c>
      <c r="K129" s="156"/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"),"")</f>
        <v/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IFERROR(__xludf.DUMMYFUNCTION("ifna(VALUE(REGEXEXTRACT(E129,""[0-9.]+[,]+[0-9]+"")))"),116.0)</f>
        <v>116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2118025.0</v>
      </c>
      <c r="C130" s="14">
        <v>46122.90540509259</v>
      </c>
      <c r="D130" s="210" t="s">
        <v>101</v>
      </c>
      <c r="E130" s="211" t="s">
        <v>14525</v>
      </c>
      <c r="F130" s="212"/>
      <c r="G130" s="210" t="s">
        <v>334</v>
      </c>
      <c r="H130" s="170"/>
      <c r="I130" s="170"/>
      <c r="J130" s="156" t="s">
        <v>12658</v>
      </c>
      <c r="K130" s="156" t="s">
        <v>13760</v>
      </c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IFERROR(__xludf.DUMMYFUNCTION("ifna(VALUE(REGEXEXTRACT(E130,""[0-9.]+[,]+[0-9]+"")))"),67.5)</f>
        <v>67.5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2118071.0</v>
      </c>
      <c r="C131" s="14">
        <v>46122.91228009259</v>
      </c>
      <c r="D131" s="210" t="s">
        <v>101</v>
      </c>
      <c r="E131" s="211" t="s">
        <v>526</v>
      </c>
      <c r="F131" s="212"/>
      <c r="G131" s="210" t="s">
        <v>14154</v>
      </c>
      <c r="H131" s="170"/>
      <c r="I131" s="170"/>
      <c r="J131" s="156" t="s">
        <v>6914</v>
      </c>
      <c r="K131" s="156"/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IFERROR(__xludf.DUMMYFUNCTION("ifna(VALUE(REGEXEXTRACT(E131,""[0-9.]+[,]+[0-9]+"")))"),21.0)</f>
        <v>21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2118076.0</v>
      </c>
      <c r="C132" s="14">
        <v>46122.91318287037</v>
      </c>
      <c r="D132" s="210" t="s">
        <v>101</v>
      </c>
      <c r="E132" s="211" t="s">
        <v>213</v>
      </c>
      <c r="F132" s="212"/>
      <c r="G132" s="210" t="s">
        <v>14526</v>
      </c>
      <c r="H132" s="170"/>
      <c r="I132" s="170"/>
      <c r="J132" s="156" t="s">
        <v>12778</v>
      </c>
      <c r="K132" s="156" t="s">
        <v>13763</v>
      </c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"),"Confirmada")</f>
        <v>Confirmada</v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IFERROR(__xludf.DUMMYFUNCTION("ifna(VALUE(REGEXEXTRACT(E132,""[0-9.]+[,]+[0-9]+"")))"),200.0)</f>
        <v>200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2119235.0</v>
      </c>
      <c r="C133" s="14">
        <v>46123.711122685185</v>
      </c>
      <c r="D133" s="210" t="s">
        <v>139</v>
      </c>
      <c r="E133" s="211" t="s">
        <v>201</v>
      </c>
      <c r="F133" s="212"/>
      <c r="G133" s="210" t="s">
        <v>142</v>
      </c>
      <c r="H133" s="170"/>
      <c r="I133" s="170"/>
      <c r="J133" s="156" t="s">
        <v>12952</v>
      </c>
      <c r="K133" s="156"/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IFERROR(__xludf.DUMMYFUNCTION("ifna(VALUE(REGEXEXTRACT(E133,""[0-9.]+[,]+[0-9]+"")))"),150.0)</f>
        <v>150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2119356.0</v>
      </c>
      <c r="C134" s="14">
        <v>46123.738599537035</v>
      </c>
      <c r="D134" s="210" t="s">
        <v>101</v>
      </c>
      <c r="E134" s="211" t="s">
        <v>2350</v>
      </c>
      <c r="F134" s="212"/>
      <c r="G134" s="210" t="s">
        <v>133</v>
      </c>
      <c r="H134" s="170"/>
      <c r="I134" s="170"/>
      <c r="J134" s="156" t="s">
        <v>6914</v>
      </c>
      <c r="K134" s="156"/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IFERROR(__xludf.DUMMYFUNCTION("ifna(VALUE(REGEXEXTRACT(E134,""[0-9.]+[,]+[0-9]+"")))"),185.0)</f>
        <v>185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2120222.0</v>
      </c>
      <c r="C135" s="14">
        <v>46123.91871527778</v>
      </c>
      <c r="D135" s="210" t="s">
        <v>101</v>
      </c>
      <c r="E135" s="211" t="s">
        <v>1219</v>
      </c>
      <c r="F135" s="212"/>
      <c r="G135" s="210" t="s">
        <v>14527</v>
      </c>
      <c r="H135" s="170"/>
      <c r="I135" s="170"/>
      <c r="J135" s="156" t="s">
        <v>12778</v>
      </c>
      <c r="K135" s="156" t="s">
        <v>11866</v>
      </c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"),"Confirmada")</f>
        <v>Confirmada</v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IFERROR(__xludf.DUMMYFUNCTION("ifna(VALUE(REGEXEXTRACT(E135,""[0-9.]+[,]+[0-9]+"")))"),400.0)</f>
        <v>400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2120227.0</v>
      </c>
      <c r="C136" s="14">
        <v>46123.918958333335</v>
      </c>
      <c r="D136" s="210" t="s">
        <v>101</v>
      </c>
      <c r="E136" s="211" t="s">
        <v>13405</v>
      </c>
      <c r="F136" s="212"/>
      <c r="G136" s="210" t="s">
        <v>14528</v>
      </c>
      <c r="H136" s="170"/>
      <c r="I136" s="170"/>
      <c r="J136" s="156" t="s">
        <v>6914</v>
      </c>
      <c r="K136" s="156"/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"),"")</f>
        <v/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IFERROR(__xludf.DUMMYFUNCTION("ifna(VALUE(REGEXEXTRACT(E136,""[0-9.]+[,]+[0-9]+"")))"),85.0)</f>
        <v>85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2120294.0</v>
      </c>
      <c r="C137" s="14">
        <v>46123.92325231482</v>
      </c>
      <c r="D137" s="210" t="s">
        <v>101</v>
      </c>
      <c r="E137" s="211" t="s">
        <v>121</v>
      </c>
      <c r="F137" s="212"/>
      <c r="G137" s="210" t="s">
        <v>124</v>
      </c>
      <c r="H137" s="170"/>
      <c r="I137" s="170"/>
      <c r="J137" s="156" t="s">
        <v>10036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IFERROR(__xludf.DUMMYFUNCTION("ifna(VALUE(REGEXEXTRACT(E137,""[0-9.]+[,]+[0-9]+"")))"),135.0)</f>
        <v>135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2120299.0</v>
      </c>
      <c r="C138" s="14">
        <v>46123.9234375</v>
      </c>
      <c r="D138" s="210" t="s">
        <v>101</v>
      </c>
      <c r="E138" s="211" t="s">
        <v>121</v>
      </c>
      <c r="F138" s="212"/>
      <c r="G138" s="210" t="s">
        <v>1240</v>
      </c>
      <c r="H138" s="170"/>
      <c r="I138" s="170"/>
      <c r="J138" s="156" t="s">
        <v>10036</v>
      </c>
      <c r="K138" s="156"/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IFERROR(__xludf.DUMMYFUNCTION("ifna(VALUE(REGEXEXTRACT(E138,""[0-9.]+[,]+[0-9]+"")))"),135.0)</f>
        <v>135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2120302.0</v>
      </c>
      <c r="C139" s="14">
        <v>46123.92366898148</v>
      </c>
      <c r="D139" s="210" t="s">
        <v>101</v>
      </c>
      <c r="E139" s="211" t="s">
        <v>121</v>
      </c>
      <c r="F139" s="212"/>
      <c r="G139" s="210" t="s">
        <v>1109</v>
      </c>
      <c r="H139" s="170"/>
      <c r="I139" s="170"/>
      <c r="J139" s="156" t="s">
        <v>10036</v>
      </c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IFERROR(__xludf.DUMMYFUNCTION("ifna(VALUE(REGEXEXTRACT(E139,""[0-9.]+[,]+[0-9]+"")))"),135.0)</f>
        <v>135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2120996.0</v>
      </c>
      <c r="C140" s="14">
        <v>46124.557800925926</v>
      </c>
      <c r="D140" s="210" t="s">
        <v>139</v>
      </c>
      <c r="E140" s="211" t="s">
        <v>201</v>
      </c>
      <c r="F140" s="212"/>
      <c r="G140" s="210" t="s">
        <v>142</v>
      </c>
      <c r="H140" s="170"/>
      <c r="I140" s="170"/>
      <c r="J140" s="156" t="s">
        <v>12952</v>
      </c>
      <c r="K140" s="156"/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IFERROR(__xludf.DUMMYFUNCTION("ifna(VALUE(REGEXEXTRACT(E140,""[0-9.]+[,]+[0-9]+"")))"),150.0)</f>
        <v>150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2121728.0</v>
      </c>
      <c r="C141" s="14">
        <v>46124.76256944444</v>
      </c>
      <c r="D141" s="210" t="s">
        <v>101</v>
      </c>
      <c r="E141" s="211" t="s">
        <v>14529</v>
      </c>
      <c r="F141" s="212"/>
      <c r="G141" s="210" t="s">
        <v>14530</v>
      </c>
      <c r="H141" s="170"/>
      <c r="I141" s="170"/>
      <c r="J141" s="156" t="s">
        <v>12818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159">
        <f>IFERROR(__xludf.DUMMYFUNCTION("ifna(VALUE(REGEXEXTRACT(E141,""[0-9.]+[,]+[0-9]+"")))"),5.79)</f>
        <v>5.79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2122552.0</v>
      </c>
      <c r="C142" s="14">
        <v>46124.91070601852</v>
      </c>
      <c r="D142" s="210" t="s">
        <v>101</v>
      </c>
      <c r="E142" s="211" t="s">
        <v>799</v>
      </c>
      <c r="F142" s="212"/>
      <c r="G142" s="210" t="s">
        <v>14487</v>
      </c>
      <c r="H142" s="170"/>
      <c r="I142" s="170"/>
      <c r="J142" s="156" t="s">
        <v>10036</v>
      </c>
      <c r="K142" s="156"/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IFERROR(__xludf.DUMMYFUNCTION("ifna(VALUE(REGEXEXTRACT(E142,""[0-9.]+[,]+[0-9]+"")))"),75.0)</f>
        <v>75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2122555.0</v>
      </c>
      <c r="C143" s="14">
        <v>46124.91091435185</v>
      </c>
      <c r="D143" s="210" t="s">
        <v>101</v>
      </c>
      <c r="E143" s="211" t="s">
        <v>1488</v>
      </c>
      <c r="F143" s="212"/>
      <c r="G143" s="210" t="s">
        <v>344</v>
      </c>
      <c r="H143" s="170"/>
      <c r="I143" s="170"/>
      <c r="J143" s="156" t="s">
        <v>10036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IFERROR(__xludf.DUMMYFUNCTION("ifna(VALUE(REGEXEXTRACT(E143,""[0-9.]+[,]+[0-9]+"")))"),90.0)</f>
        <v>90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2122557.0</v>
      </c>
      <c r="C144" s="14">
        <v>46124.91113425926</v>
      </c>
      <c r="D144" s="210" t="s">
        <v>101</v>
      </c>
      <c r="E144" s="211" t="s">
        <v>121</v>
      </c>
      <c r="F144" s="212"/>
      <c r="G144" s="210" t="s">
        <v>14354</v>
      </c>
      <c r="H144" s="170"/>
      <c r="I144" s="170"/>
      <c r="J144" s="156" t="s">
        <v>10036</v>
      </c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159">
        <f>IFERROR(__xludf.DUMMYFUNCTION("ifna(VALUE(REGEXEXTRACT(E144,""[0-9.]+[,]+[0-9]+"")))"),135.0)</f>
        <v>135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2122561.0</v>
      </c>
      <c r="C145" s="14">
        <v>46124.911412037036</v>
      </c>
      <c r="D145" s="210" t="s">
        <v>101</v>
      </c>
      <c r="E145" s="211" t="s">
        <v>14485</v>
      </c>
      <c r="F145" s="212"/>
      <c r="G145" s="210" t="s">
        <v>512</v>
      </c>
      <c r="H145" s="170"/>
      <c r="I145" s="170"/>
      <c r="J145" s="156" t="s">
        <v>6914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159">
        <f>IFERROR(__xludf.DUMMYFUNCTION("ifna(VALUE(REGEXEXTRACT(E145,""[0-9.]+[,]+[0-9]+"")))"),205.0)</f>
        <v>205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2123911.0</v>
      </c>
      <c r="C146" s="14">
        <v>46125.734768518516</v>
      </c>
      <c r="D146" s="210" t="s">
        <v>101</v>
      </c>
      <c r="E146" s="211" t="s">
        <v>201</v>
      </c>
      <c r="F146" s="212"/>
      <c r="G146" s="210" t="s">
        <v>14531</v>
      </c>
      <c r="H146" s="170"/>
      <c r="I146" s="170"/>
      <c r="J146" s="156" t="s">
        <v>12778</v>
      </c>
      <c r="K146" s="156" t="s">
        <v>11866</v>
      </c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"),"Caixa Atendimento")</f>
        <v>Caixa Atendimento</v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IFERROR(__xludf.DUMMYFUNCTION("ifna(VALUE(REGEXEXTRACT(E146,""[0-9.]+[,]+[0-9]+"")))"),150.0)</f>
        <v>150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2123916.0</v>
      </c>
      <c r="C147" s="14">
        <v>46125.7362037037</v>
      </c>
      <c r="D147" s="210" t="s">
        <v>101</v>
      </c>
      <c r="E147" s="211" t="s">
        <v>428</v>
      </c>
      <c r="F147" s="212"/>
      <c r="G147" s="210" t="s">
        <v>14532</v>
      </c>
      <c r="H147" s="170"/>
      <c r="I147" s="170"/>
      <c r="J147" s="156" t="s">
        <v>6914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IFERROR(__xludf.DUMMYFUNCTION("ifna(VALUE(REGEXEXTRACT(E147,""[0-9.]+[,]+[0-9]+"")))"),35.0)</f>
        <v>35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2123957.0</v>
      </c>
      <c r="C148" s="14">
        <v>46125.74550925926</v>
      </c>
      <c r="D148" s="210" t="s">
        <v>101</v>
      </c>
      <c r="E148" s="211" t="s">
        <v>260</v>
      </c>
      <c r="F148" s="212"/>
      <c r="G148" s="210" t="s">
        <v>14323</v>
      </c>
      <c r="H148" s="170"/>
      <c r="I148" s="170"/>
      <c r="J148" s="156" t="s">
        <v>12658</v>
      </c>
      <c r="K148" s="156" t="s">
        <v>13763</v>
      </c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IFERROR(__xludf.DUMMYFUNCTION("ifna(VALUE(REGEXEXTRACT(E148,""[0-9.]+[,]+[0-9]+"")))"),13.0)</f>
        <v>13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2124074.0</v>
      </c>
      <c r="C149" s="14">
        <v>46125.776967592596</v>
      </c>
      <c r="D149" s="210" t="s">
        <v>139</v>
      </c>
      <c r="E149" s="211" t="s">
        <v>237</v>
      </c>
      <c r="F149" s="212"/>
      <c r="G149" s="210" t="s">
        <v>142</v>
      </c>
      <c r="H149" s="170"/>
      <c r="I149" s="170"/>
      <c r="J149" s="156" t="s">
        <v>12952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IFERROR(__xludf.DUMMYFUNCTION("ifna(VALUE(REGEXEXTRACT(E149,""[0-9.]+[,]+[0-9]+"")))"),100.0)</f>
        <v>100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2124572.0</v>
      </c>
      <c r="C150" s="14">
        <v>46125.92225694445</v>
      </c>
      <c r="D150" s="210" t="s">
        <v>101</v>
      </c>
      <c r="E150" s="211" t="s">
        <v>428</v>
      </c>
      <c r="F150" s="212"/>
      <c r="G150" s="210" t="s">
        <v>181</v>
      </c>
      <c r="H150" s="170"/>
      <c r="I150" s="170"/>
      <c r="J150" s="156" t="s">
        <v>6914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IFERROR(__xludf.DUMMYFUNCTION("ifna(VALUE(REGEXEXTRACT(E150,""[0-9.]+[,]+[0-9]+"")))"),35.0)</f>
        <v>35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2124574.0</v>
      </c>
      <c r="C151" s="14">
        <v>46125.92239583333</v>
      </c>
      <c r="D151" s="210" t="s">
        <v>101</v>
      </c>
      <c r="E151" s="211" t="s">
        <v>256</v>
      </c>
      <c r="F151" s="212"/>
      <c r="G151" s="210" t="s">
        <v>14533</v>
      </c>
      <c r="H151" s="170"/>
      <c r="I151" s="170"/>
      <c r="J151" s="156" t="s">
        <v>12778</v>
      </c>
      <c r="K151" s="156" t="s">
        <v>13763</v>
      </c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"),"Caixa Atendimento")</f>
        <v>Caixa Atendimento</v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IFERROR(__xludf.DUMMYFUNCTION("ifna(VALUE(REGEXEXTRACT(E151,""[0-9.]+[,]+[0-9]+"")))"),300.0)</f>
        <v>300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2124590.0</v>
      </c>
      <c r="C152" s="14">
        <v>46125.923622685186</v>
      </c>
      <c r="D152" s="210" t="s">
        <v>101</v>
      </c>
      <c r="E152" s="211" t="s">
        <v>13138</v>
      </c>
      <c r="F152" s="212"/>
      <c r="G152" s="210" t="s">
        <v>14534</v>
      </c>
      <c r="H152" s="170"/>
      <c r="I152" s="170"/>
      <c r="J152" s="156" t="s">
        <v>12658</v>
      </c>
      <c r="K152" s="156" t="s">
        <v>13760</v>
      </c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IFERROR(__xludf.DUMMYFUNCTION("ifna(VALUE(REGEXEXTRACT(E152,""[0-9.]+[,]+[0-9]+"")))"),0.01)</f>
        <v>0.01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2125568.0</v>
      </c>
      <c r="C153" s="14">
        <v>46126.72871527778</v>
      </c>
      <c r="D153" s="210" t="s">
        <v>101</v>
      </c>
      <c r="E153" s="211" t="s">
        <v>1983</v>
      </c>
      <c r="F153" s="212"/>
      <c r="G153" s="210" t="s">
        <v>133</v>
      </c>
      <c r="H153" s="170"/>
      <c r="I153" s="170"/>
      <c r="J153" s="156" t="s">
        <v>6914</v>
      </c>
      <c r="K153" s="156"/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"),"")</f>
        <v/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IFERROR(__xludf.DUMMYFUNCTION("ifna(VALUE(REGEXEXTRACT(E153,""[0-9.]+[,]+[0-9]+"")))"),78.0)</f>
        <v>78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2125601.0</v>
      </c>
      <c r="C154" s="14">
        <v>46126.7396875</v>
      </c>
      <c r="D154" s="210" t="s">
        <v>101</v>
      </c>
      <c r="E154" s="211" t="s">
        <v>237</v>
      </c>
      <c r="F154" s="212"/>
      <c r="G154" s="210" t="s">
        <v>14535</v>
      </c>
      <c r="H154" s="170"/>
      <c r="I154" s="170"/>
      <c r="J154" s="156" t="s">
        <v>12778</v>
      </c>
      <c r="K154" s="156" t="s">
        <v>11866</v>
      </c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"),"Caixa Atendimento")</f>
        <v>Caixa Atendimento</v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IFERROR(__xludf.DUMMYFUNCTION("ifna(VALUE(REGEXEXTRACT(E154,""[0-9.]+[,]+[0-9]+"")))"),100.0)</f>
        <v>100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2125668.0</v>
      </c>
      <c r="C155" s="14">
        <v>46126.753287037034</v>
      </c>
      <c r="D155" s="210" t="s">
        <v>101</v>
      </c>
      <c r="E155" s="211" t="s">
        <v>14536</v>
      </c>
      <c r="F155" s="212"/>
      <c r="G155" s="210" t="s">
        <v>14537</v>
      </c>
      <c r="H155" s="170"/>
      <c r="I155" s="170"/>
      <c r="J155" s="156" t="s">
        <v>12720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IFERROR(__xludf.DUMMYFUNCTION("ifna(VALUE(REGEXEXTRACT(E155,""[0-9.]+[,]+[0-9]+"")))"),73.9)</f>
        <v>73.9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2126163.0</v>
      </c>
      <c r="C156" s="14">
        <v>46126.91516203704</v>
      </c>
      <c r="D156" s="210" t="s">
        <v>101</v>
      </c>
      <c r="E156" s="211" t="s">
        <v>377</v>
      </c>
      <c r="F156" s="212"/>
      <c r="G156" s="210" t="s">
        <v>181</v>
      </c>
      <c r="H156" s="170"/>
      <c r="I156" s="170"/>
      <c r="J156" s="156" t="s">
        <v>6914</v>
      </c>
      <c r="K156" s="156"/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"),"")</f>
        <v/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IFERROR(__xludf.DUMMYFUNCTION("ifna(VALUE(REGEXEXTRACT(E156,""[0-9.]+[,]+[0-9]+"")))"),33.0)</f>
        <v>33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2126998.0</v>
      </c>
      <c r="C157" s="14">
        <v>46127.671793981484</v>
      </c>
      <c r="D157" s="210" t="s">
        <v>139</v>
      </c>
      <c r="E157" s="211" t="s">
        <v>141</v>
      </c>
      <c r="F157" s="212"/>
      <c r="G157" s="210" t="s">
        <v>142</v>
      </c>
      <c r="H157" s="170"/>
      <c r="I157" s="170"/>
      <c r="J157" s="156" t="s">
        <v>12952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159">
        <f>IFERROR(__xludf.DUMMYFUNCTION("ifna(VALUE(REGEXEXTRACT(E157,""[0-9.]+[,]+[0-9]+"")))"),50.0)</f>
        <v>50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2127114.0</v>
      </c>
      <c r="C158" s="14">
        <v>46127.69949074074</v>
      </c>
      <c r="D158" s="210" t="s">
        <v>139</v>
      </c>
      <c r="E158" s="211" t="s">
        <v>141</v>
      </c>
      <c r="F158" s="212"/>
      <c r="G158" s="210" t="s">
        <v>14538</v>
      </c>
      <c r="H158" s="170"/>
      <c r="I158" s="170"/>
      <c r="J158" s="156" t="s">
        <v>12952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IFERROR(__xludf.DUMMYFUNCTION("ifna(VALUE(REGEXEXTRACT(E158,""[0-9.]+[,]+[0-9]+"")))"),50.0)</f>
        <v>50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2127207.0</v>
      </c>
      <c r="C159" s="14">
        <v>46127.72586805555</v>
      </c>
      <c r="D159" s="210" t="s">
        <v>101</v>
      </c>
      <c r="E159" s="211" t="s">
        <v>907</v>
      </c>
      <c r="F159" s="212"/>
      <c r="G159" s="210" t="s">
        <v>133</v>
      </c>
      <c r="H159" s="170"/>
      <c r="I159" s="170"/>
      <c r="J159" s="156" t="s">
        <v>6914</v>
      </c>
      <c r="K159" s="156"/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"),"")</f>
        <v/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IFERROR(__xludf.DUMMYFUNCTION("ifna(VALUE(REGEXEXTRACT(E159,""[0-9.]+[,]+[0-9]+"")))"),54.0)</f>
        <v>54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2127226.0</v>
      </c>
      <c r="C160" s="14">
        <v>46127.72913194444</v>
      </c>
      <c r="D160" s="210" t="s">
        <v>101</v>
      </c>
      <c r="E160" s="211" t="s">
        <v>804</v>
      </c>
      <c r="F160" s="212"/>
      <c r="G160" s="210" t="s">
        <v>14539</v>
      </c>
      <c r="H160" s="170"/>
      <c r="I160" s="170"/>
      <c r="J160" s="156" t="s">
        <v>12778</v>
      </c>
      <c r="K160" s="156" t="s">
        <v>11866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"),"Caixa Atendimento")</f>
        <v>Caixa Atendimento</v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IFERROR(__xludf.DUMMYFUNCTION("ifna(VALUE(REGEXEXTRACT(E160,""[0-9.]+[,]+[0-9]+"")))"),500.0)</f>
        <v>500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2127672.0</v>
      </c>
      <c r="C161" s="14">
        <v>46127.907175925924</v>
      </c>
      <c r="D161" s="210" t="s">
        <v>101</v>
      </c>
      <c r="E161" s="211" t="s">
        <v>223</v>
      </c>
      <c r="F161" s="214"/>
      <c r="G161" s="210" t="s">
        <v>181</v>
      </c>
      <c r="H161" s="170"/>
      <c r="I161" s="170"/>
      <c r="J161" s="156" t="s">
        <v>6914</v>
      </c>
      <c r="K161" s="156"/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IFERROR(__xludf.DUMMYFUNCTION("ifna(VALUE(REGEXEXTRACT(E161,""[0-9.]+[,]+[0-9]+"")))"),55.0)</f>
        <v>55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2128574.0</v>
      </c>
      <c r="C162" s="14">
        <v>46128.69834490741</v>
      </c>
      <c r="D162" s="210" t="s">
        <v>101</v>
      </c>
      <c r="E162" s="211" t="s">
        <v>14540</v>
      </c>
      <c r="F162" s="212"/>
      <c r="G162" s="210" t="s">
        <v>537</v>
      </c>
      <c r="H162" s="170"/>
      <c r="I162" s="170"/>
      <c r="J162" s="156" t="s">
        <v>12818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159">
        <f>IFERROR(__xludf.DUMMYFUNCTION("ifna(VALUE(REGEXEXTRACT(E162,""[0-9.]+[,]+[0-9]+"")))"),146.0)</f>
        <v>146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2128644.0</v>
      </c>
      <c r="C163" s="14">
        <v>46128.71513888889</v>
      </c>
      <c r="D163" s="210" t="s">
        <v>101</v>
      </c>
      <c r="E163" s="211" t="s">
        <v>1863</v>
      </c>
      <c r="F163" s="212"/>
      <c r="G163" s="210" t="s">
        <v>1331</v>
      </c>
      <c r="H163" s="170"/>
      <c r="I163" s="170"/>
      <c r="J163" s="156" t="s">
        <v>12818</v>
      </c>
      <c r="K163" s="156"/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"""")"),"Encontrada")</f>
        <v>Encontrada</v>
      </c>
      <c r="N163" s="159">
        <f>IFERROR(__xludf.DUMMYFUNCTION("ifna(VALUE(REGEXEXTRACT(E163,""[0-9.]+[,]+[0-9]+"")))"),340.0)</f>
        <v>340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2128686.0</v>
      </c>
      <c r="C164" s="14">
        <v>46128.72692129629</v>
      </c>
      <c r="D164" s="210" t="s">
        <v>101</v>
      </c>
      <c r="E164" s="211" t="s">
        <v>440</v>
      </c>
      <c r="F164" s="212"/>
      <c r="G164" s="210" t="s">
        <v>133</v>
      </c>
      <c r="H164" s="170"/>
      <c r="I164" s="170"/>
      <c r="J164" s="156" t="s">
        <v>6914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IFERROR(__xludf.DUMMYFUNCTION("ifna(VALUE(REGEXEXTRACT(E164,""[0-9.]+[,]+[0-9]+"")))"),74.0)</f>
        <v>74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2128789.0</v>
      </c>
      <c r="C165" s="14">
        <v>46128.756631944445</v>
      </c>
      <c r="D165" s="210" t="s">
        <v>101</v>
      </c>
      <c r="E165" s="211" t="s">
        <v>779</v>
      </c>
      <c r="F165" s="212"/>
      <c r="G165" s="210" t="s">
        <v>334</v>
      </c>
      <c r="H165" s="170"/>
      <c r="I165" s="170"/>
      <c r="J165" s="156" t="s">
        <v>12658</v>
      </c>
      <c r="K165" s="156" t="s">
        <v>13760</v>
      </c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IFERROR(__xludf.DUMMYFUNCTION("ifna(VALUE(REGEXEXTRACT(E165,""[0-9.]+[,]+[0-9]+"")))"),14.0)</f>
        <v>14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2129301.0</v>
      </c>
      <c r="C166" s="14">
        <v>46128.91320601852</v>
      </c>
      <c r="D166" s="210" t="s">
        <v>101</v>
      </c>
      <c r="E166" s="211" t="s">
        <v>213</v>
      </c>
      <c r="F166" s="212"/>
      <c r="G166" s="210" t="s">
        <v>239</v>
      </c>
      <c r="H166" s="170"/>
      <c r="I166" s="170"/>
      <c r="J166" s="156" t="s">
        <v>12778</v>
      </c>
      <c r="K166" s="156" t="s">
        <v>13763</v>
      </c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"),"Caixa Atendimento")</f>
        <v>Caixa Atendimento</v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IFERROR(__xludf.DUMMYFUNCTION("ifna(VALUE(REGEXEXTRACT(E166,""[0-9.]+[,]+[0-9]+"")))"),200.0)</f>
        <v>200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2129302.0</v>
      </c>
      <c r="C167" s="14">
        <v>46128.91333333333</v>
      </c>
      <c r="D167" s="210" t="s">
        <v>101</v>
      </c>
      <c r="E167" s="211" t="s">
        <v>526</v>
      </c>
      <c r="F167" s="214"/>
      <c r="G167" s="210" t="s">
        <v>181</v>
      </c>
      <c r="H167" s="170"/>
      <c r="I167" s="170"/>
      <c r="J167" s="156" t="s">
        <v>6914</v>
      </c>
      <c r="K167" s="156"/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"),"")</f>
        <v/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IFERROR(__xludf.DUMMYFUNCTION("ifna(VALUE(REGEXEXTRACT(E167,""[0-9.]+[,]+[0-9]+"")))"),21.0)</f>
        <v>21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2130752.0</v>
      </c>
      <c r="C168" s="14">
        <v>46129.78513888889</v>
      </c>
      <c r="D168" s="210" t="s">
        <v>101</v>
      </c>
      <c r="E168" s="211" t="s">
        <v>1983</v>
      </c>
      <c r="F168" s="212"/>
      <c r="G168" s="210" t="s">
        <v>133</v>
      </c>
      <c r="H168" s="170"/>
      <c r="I168" s="170"/>
      <c r="J168" s="156" t="s">
        <v>6914</v>
      </c>
      <c r="K168" s="156"/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159">
        <f>IFERROR(__xludf.DUMMYFUNCTION("ifna(VALUE(REGEXEXTRACT(E168,""[0-9.]+[,]+[0-9]+"")))"),78.0)</f>
        <v>78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2130765.0</v>
      </c>
      <c r="C169" s="14">
        <v>46129.79251157407</v>
      </c>
      <c r="D169" s="210" t="s">
        <v>139</v>
      </c>
      <c r="E169" s="211" t="s">
        <v>14541</v>
      </c>
      <c r="F169" s="212"/>
      <c r="G169" s="210" t="s">
        <v>142</v>
      </c>
      <c r="H169" s="170"/>
      <c r="I169" s="170"/>
      <c r="J169" s="156" t="s">
        <v>12952</v>
      </c>
      <c r="K169" s="156"/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IFERROR(__xludf.DUMMYFUNCTION("ifna(VALUE(REGEXEXTRACT(E169,""[0-9.]+[,]+[0-9]+"")))"),229.5)</f>
        <v>229.5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2130788.0</v>
      </c>
      <c r="C170" s="14">
        <v>46129.80258101852</v>
      </c>
      <c r="D170" s="210" t="s">
        <v>101</v>
      </c>
      <c r="E170" s="211" t="s">
        <v>213</v>
      </c>
      <c r="F170" s="212"/>
      <c r="G170" s="210" t="s">
        <v>14542</v>
      </c>
      <c r="H170" s="170"/>
      <c r="I170" s="170"/>
      <c r="J170" s="156" t="s">
        <v>12778</v>
      </c>
      <c r="K170" s="156" t="s">
        <v>11866</v>
      </c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"),"Caixa Atendimento")</f>
        <v>Caixa Atendimento</v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IFERROR(__xludf.DUMMYFUNCTION("ifna(VALUE(REGEXEXTRACT(E170,""[0-9.]+[,]+[0-9]+"")))"),200.0)</f>
        <v>200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2130794.0</v>
      </c>
      <c r="C171" s="14">
        <v>46129.805081018516</v>
      </c>
      <c r="D171" s="210" t="s">
        <v>139</v>
      </c>
      <c r="E171" s="211" t="s">
        <v>141</v>
      </c>
      <c r="F171" s="212"/>
      <c r="G171" s="210" t="s">
        <v>788</v>
      </c>
      <c r="H171" s="170"/>
      <c r="I171" s="170"/>
      <c r="J171" s="156" t="s">
        <v>12952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IFERROR(__xludf.DUMMYFUNCTION("ifna(VALUE(REGEXEXTRACT(E171,""[0-9.]+[,]+[0-9]+"")))"),50.0)</f>
        <v>50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2130849.0</v>
      </c>
      <c r="C172" s="14">
        <v>46129.82204861111</v>
      </c>
      <c r="D172" s="210" t="s">
        <v>139</v>
      </c>
      <c r="E172" s="211" t="s">
        <v>256</v>
      </c>
      <c r="F172" s="212"/>
      <c r="G172" s="210" t="s">
        <v>14543</v>
      </c>
      <c r="H172" s="170"/>
      <c r="I172" s="170"/>
      <c r="J172" s="156" t="s">
        <v>13783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IFERROR(__xludf.DUMMYFUNCTION("ifna(VALUE(REGEXEXTRACT(E172,""[0-9.]+[,]+[0-9]+"")))"),300.0)</f>
        <v>300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2130851.0</v>
      </c>
      <c r="C173" s="14">
        <v>46129.82231481482</v>
      </c>
      <c r="D173" s="210" t="s">
        <v>139</v>
      </c>
      <c r="E173" s="211" t="s">
        <v>237</v>
      </c>
      <c r="F173" s="212"/>
      <c r="G173" s="210" t="s">
        <v>14544</v>
      </c>
      <c r="H173" s="170"/>
      <c r="I173" s="170"/>
      <c r="J173" s="156" t="s">
        <v>13783</v>
      </c>
      <c r="K173" s="156"/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"),"")</f>
        <v/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IFERROR(__xludf.DUMMYFUNCTION("ifna(VALUE(REGEXEXTRACT(E173,""[0-9.]+[,]+[0-9]+"")))"),100.0)</f>
        <v>100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2130852.0</v>
      </c>
      <c r="C174" s="14">
        <v>46129.822592592594</v>
      </c>
      <c r="D174" s="210" t="s">
        <v>139</v>
      </c>
      <c r="E174" s="211" t="s">
        <v>804</v>
      </c>
      <c r="F174" s="212"/>
      <c r="G174" s="210" t="s">
        <v>14545</v>
      </c>
      <c r="H174" s="170"/>
      <c r="I174" s="170"/>
      <c r="J174" s="156" t="s">
        <v>13783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IFERROR(__xludf.DUMMYFUNCTION("ifna(VALUE(REGEXEXTRACT(E174,""[0-9.]+[,]+[0-9]+"")))"),500.0)</f>
        <v>500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2130855.0</v>
      </c>
      <c r="C175" s="14">
        <v>46129.82310185185</v>
      </c>
      <c r="D175" s="210" t="s">
        <v>101</v>
      </c>
      <c r="E175" s="211" t="s">
        <v>2075</v>
      </c>
      <c r="F175" s="212"/>
      <c r="G175" s="210" t="s">
        <v>425</v>
      </c>
      <c r="H175" s="170"/>
      <c r="I175" s="170"/>
      <c r="J175" s="156" t="s">
        <v>12952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159">
        <f>IFERROR(__xludf.DUMMYFUNCTION("ifna(VALUE(REGEXEXTRACT(E175,""[0-9.]+[,]+[0-9]+"")))"),900.0)</f>
        <v>900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2131100.0</v>
      </c>
      <c r="C176" s="14">
        <v>46129.89627314815</v>
      </c>
      <c r="D176" s="210" t="s">
        <v>101</v>
      </c>
      <c r="E176" s="211" t="s">
        <v>907</v>
      </c>
      <c r="F176" s="212"/>
      <c r="G176" s="210" t="s">
        <v>225</v>
      </c>
      <c r="H176" s="170"/>
      <c r="I176" s="170"/>
      <c r="J176" s="156" t="s">
        <v>12658</v>
      </c>
      <c r="K176" s="156" t="s">
        <v>12693</v>
      </c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IFERROR(__xludf.DUMMYFUNCTION("ifna(VALUE(REGEXEXTRACT(E176,""[0-9.]+[,]+[0-9]+"")))"),54.0)</f>
        <v>54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2131168.0</v>
      </c>
      <c r="C177" s="14">
        <v>46129.90814814815</v>
      </c>
      <c r="D177" s="210" t="s">
        <v>101</v>
      </c>
      <c r="E177" s="211" t="s">
        <v>823</v>
      </c>
      <c r="F177" s="212"/>
      <c r="G177" s="210" t="s">
        <v>334</v>
      </c>
      <c r="H177" s="170"/>
      <c r="I177" s="170"/>
      <c r="J177" s="156" t="s">
        <v>12658</v>
      </c>
      <c r="K177" s="156" t="s">
        <v>13760</v>
      </c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IFERROR(__xludf.DUMMYFUNCTION("ifna(VALUE(REGEXEXTRACT(E177,""[0-9.]+[,]+[0-9]+"")))"),37.0)</f>
        <v>37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2131302.0</v>
      </c>
      <c r="C178" s="14">
        <v>46129.92412037037</v>
      </c>
      <c r="D178" s="210" t="s">
        <v>101</v>
      </c>
      <c r="E178" s="211" t="s">
        <v>213</v>
      </c>
      <c r="F178" s="212"/>
      <c r="G178" s="210" t="s">
        <v>14546</v>
      </c>
      <c r="H178" s="170"/>
      <c r="I178" s="170"/>
      <c r="J178" s="156" t="s">
        <v>12778</v>
      </c>
      <c r="K178" s="156" t="s">
        <v>13763</v>
      </c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"),"Confirmada")</f>
        <v>Confirmada</v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IFERROR(__xludf.DUMMYFUNCTION("ifna(VALUE(REGEXEXTRACT(E178,""[0-9.]+[,]+[0-9]+"")))"),200.0)</f>
        <v>200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2131305.0</v>
      </c>
      <c r="C179" s="14">
        <v>46129.924259259256</v>
      </c>
      <c r="D179" s="210" t="s">
        <v>101</v>
      </c>
      <c r="E179" s="211" t="s">
        <v>1857</v>
      </c>
      <c r="F179" s="212"/>
      <c r="G179" s="210" t="s">
        <v>181</v>
      </c>
      <c r="H179" s="170"/>
      <c r="I179" s="170"/>
      <c r="J179" s="156" t="s">
        <v>6914</v>
      </c>
      <c r="K179" s="156"/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"),"")</f>
        <v/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IFERROR(__xludf.DUMMYFUNCTION("ifna(VALUE(REGEXEXTRACT(E179,""[0-9.]+[,]+[0-9]+"")))"),59.0)</f>
        <v>59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2132406.0</v>
      </c>
      <c r="C180" s="14">
        <v>46130.72222222222</v>
      </c>
      <c r="D180" s="210" t="s">
        <v>101</v>
      </c>
      <c r="E180" s="211" t="s">
        <v>12931</v>
      </c>
      <c r="F180" s="212"/>
      <c r="G180" s="210" t="s">
        <v>14547</v>
      </c>
      <c r="H180" s="170"/>
      <c r="I180" s="170"/>
      <c r="J180" s="156" t="s">
        <v>6914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59">
        <f>IFERROR(__xludf.DUMMYFUNCTION("ifna(VALUE(REGEXEXTRACT(E180,""[0-9.]+[,]+[0-9]+"")))"),77.0)</f>
        <v>77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2132823.0</v>
      </c>
      <c r="C181" s="14">
        <v>46130.806550925925</v>
      </c>
      <c r="D181" s="210" t="s">
        <v>101</v>
      </c>
      <c r="E181" s="211" t="s">
        <v>179</v>
      </c>
      <c r="F181" s="212"/>
      <c r="G181" s="210" t="s">
        <v>438</v>
      </c>
      <c r="H181" s="170"/>
      <c r="I181" s="170"/>
      <c r="J181" s="156" t="s">
        <v>12818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159">
        <f>IFERROR(__xludf.DUMMYFUNCTION("ifna(VALUE(REGEXEXTRACT(E181,""[0-9.]+[,]+[0-9]+"")))"),20.0)</f>
        <v>20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2133257.0</v>
      </c>
      <c r="C182" s="14">
        <v>46130.895636574074</v>
      </c>
      <c r="D182" s="210" t="s">
        <v>101</v>
      </c>
      <c r="E182" s="211" t="s">
        <v>121</v>
      </c>
      <c r="F182" s="212"/>
      <c r="G182" s="210" t="s">
        <v>124</v>
      </c>
      <c r="H182" s="170"/>
      <c r="I182" s="170"/>
      <c r="J182" s="156" t="s">
        <v>10036</v>
      </c>
      <c r="K182" s="156"/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IFERROR(__xludf.DUMMYFUNCTION("ifna(VALUE(REGEXEXTRACT(E182,""[0-9.]+[,]+[0-9]+"")))"),135.0)</f>
        <v>135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2133258.0</v>
      </c>
      <c r="C183" s="14">
        <v>46130.8959837963</v>
      </c>
      <c r="D183" s="210" t="s">
        <v>101</v>
      </c>
      <c r="E183" s="211" t="s">
        <v>121</v>
      </c>
      <c r="F183" s="212"/>
      <c r="G183" s="210" t="s">
        <v>2467</v>
      </c>
      <c r="H183" s="170"/>
      <c r="I183" s="170"/>
      <c r="J183" s="156" t="s">
        <v>10036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159">
        <f>IFERROR(__xludf.DUMMYFUNCTION("ifna(VALUE(REGEXEXTRACT(E183,""[0-9.]+[,]+[0-9]+"")))"),135.0)</f>
        <v>135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2133260.0</v>
      </c>
      <c r="C184" s="14">
        <v>46130.896145833336</v>
      </c>
      <c r="D184" s="210" t="s">
        <v>101</v>
      </c>
      <c r="E184" s="211" t="s">
        <v>586</v>
      </c>
      <c r="F184" s="212"/>
      <c r="G184" s="210" t="s">
        <v>1385</v>
      </c>
      <c r="H184" s="170"/>
      <c r="I184" s="170"/>
      <c r="J184" s="156" t="s">
        <v>10036</v>
      </c>
      <c r="K184" s="156"/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159">
        <f>IFERROR(__xludf.DUMMYFUNCTION("ifna(VALUE(REGEXEXTRACT(E184,""[0-9.]+[,]+[0-9]+"")))"),120.0)</f>
        <v>120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2133357.0</v>
      </c>
      <c r="C185" s="14">
        <v>46130.91061342593</v>
      </c>
      <c r="D185" s="210" t="s">
        <v>101</v>
      </c>
      <c r="E185" s="211" t="s">
        <v>727</v>
      </c>
      <c r="F185" s="212"/>
      <c r="G185" s="210" t="s">
        <v>1616</v>
      </c>
      <c r="H185" s="170"/>
      <c r="I185" s="170"/>
      <c r="J185" s="156" t="s">
        <v>6914</v>
      </c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IFERROR(__xludf.DUMMYFUNCTION("ifna(VALUE(REGEXEXTRACT(E185,""[0-9.]+[,]+[0-9]+"")))"),76.0)</f>
        <v>76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2133451.0</v>
      </c>
      <c r="C186" s="14">
        <v>46130.918287037035</v>
      </c>
      <c r="D186" s="210" t="s">
        <v>101</v>
      </c>
      <c r="E186" s="211" t="s">
        <v>213</v>
      </c>
      <c r="F186" s="212"/>
      <c r="G186" s="210" t="s">
        <v>14548</v>
      </c>
      <c r="H186" s="170"/>
      <c r="I186" s="170"/>
      <c r="J186" s="156" t="s">
        <v>12778</v>
      </c>
      <c r="K186" s="156" t="s">
        <v>11866</v>
      </c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"),"Caixa Atendimento")</f>
        <v>Caixa Atendimento</v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IFERROR(__xludf.DUMMYFUNCTION("ifna(VALUE(REGEXEXTRACT(E186,""[0-9.]+[,]+[0-9]+"")))"),200.0)</f>
        <v>200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2136189.0</v>
      </c>
      <c r="C187" s="14">
        <v>46131.915138888886</v>
      </c>
      <c r="D187" s="210" t="s">
        <v>101</v>
      </c>
      <c r="E187" s="211" t="s">
        <v>121</v>
      </c>
      <c r="F187" s="212"/>
      <c r="G187" s="210" t="s">
        <v>344</v>
      </c>
      <c r="H187" s="170"/>
      <c r="I187" s="170"/>
      <c r="J187" s="156" t="s">
        <v>10036</v>
      </c>
      <c r="K187" s="156"/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IFERROR(__xludf.DUMMYFUNCTION("ifna(VALUE(REGEXEXTRACT(E187,""[0-9.]+[,]+[0-9]+"")))"),135.0)</f>
        <v>135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2136190.0</v>
      </c>
      <c r="C188" s="14">
        <v>46131.915243055555</v>
      </c>
      <c r="D188" s="210" t="s">
        <v>101</v>
      </c>
      <c r="E188" s="211" t="s">
        <v>121</v>
      </c>
      <c r="F188" s="212"/>
      <c r="G188" s="210" t="s">
        <v>14354</v>
      </c>
      <c r="H188" s="170"/>
      <c r="I188" s="170"/>
      <c r="J188" s="156" t="s">
        <v>10036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IFERROR(__xludf.DUMMYFUNCTION("ifna(VALUE(REGEXEXTRACT(E188,""[0-9.]+[,]+[0-9]+"")))"),135.0)</f>
        <v>135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2136196.0</v>
      </c>
      <c r="C189" s="14">
        <v>46131.91543981482</v>
      </c>
      <c r="D189" s="210" t="s">
        <v>101</v>
      </c>
      <c r="E189" s="211" t="s">
        <v>1264</v>
      </c>
      <c r="F189" s="212"/>
      <c r="G189" s="210" t="s">
        <v>729</v>
      </c>
      <c r="H189" s="170"/>
      <c r="I189" s="170"/>
      <c r="J189" s="156" t="s">
        <v>6914</v>
      </c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IFERROR(__xludf.DUMMYFUNCTION("ifna(VALUE(REGEXEXTRACT(E189,""[0-9.]+[,]+[0-9]+"")))"),349.0)</f>
        <v>349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2136205.0</v>
      </c>
      <c r="C190" s="14">
        <v>46131.915914351855</v>
      </c>
      <c r="D190" s="210" t="s">
        <v>101</v>
      </c>
      <c r="E190" s="211" t="s">
        <v>13563</v>
      </c>
      <c r="F190" s="212"/>
      <c r="G190" s="210" t="s">
        <v>14549</v>
      </c>
      <c r="H190" s="170"/>
      <c r="I190" s="170"/>
      <c r="J190" s="156" t="s">
        <v>12778</v>
      </c>
      <c r="K190" s="156" t="s">
        <v>13760</v>
      </c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"),"Confirmada")</f>
        <v>Confirmada</v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IFERROR(__xludf.DUMMYFUNCTION("ifna(VALUE(REGEXEXTRACT(E190,""[0-9.]+[,]+[0-9]+"")))"),1300.0)</f>
        <v>1300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2137928.0</v>
      </c>
      <c r="C191" s="14">
        <v>46132.732615740744</v>
      </c>
      <c r="D191" s="210" t="s">
        <v>101</v>
      </c>
      <c r="E191" s="211" t="s">
        <v>1730</v>
      </c>
      <c r="F191" s="212"/>
      <c r="G191" s="210" t="s">
        <v>133</v>
      </c>
      <c r="H191" s="170"/>
      <c r="I191" s="170"/>
      <c r="J191" s="156" t="s">
        <v>6914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IFERROR(__xludf.DUMMYFUNCTION("ifna(VALUE(REGEXEXTRACT(E191,""[0-9.]+[,]+[0-9]+"")))"),96.0)</f>
        <v>96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2137987.0</v>
      </c>
      <c r="C192" s="14">
        <v>46132.740115740744</v>
      </c>
      <c r="D192" s="210" t="s">
        <v>101</v>
      </c>
      <c r="E192" s="211" t="s">
        <v>312</v>
      </c>
      <c r="F192" s="212"/>
      <c r="G192" s="210" t="s">
        <v>14550</v>
      </c>
      <c r="H192" s="170"/>
      <c r="I192" s="170"/>
      <c r="J192" s="156" t="s">
        <v>12778</v>
      </c>
      <c r="K192" s="156" t="s">
        <v>11866</v>
      </c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"),"Confirmada")</f>
        <v>Confirmada</v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IFERROR(__xludf.DUMMYFUNCTION("ifna(VALUE(REGEXEXTRACT(E192,""[0-9.]+[,]+[0-9]+"")))"),1000.0)</f>
        <v>1000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2138375.0</v>
      </c>
      <c r="C193" s="14">
        <v>46132.82931712963</v>
      </c>
      <c r="D193" s="210" t="s">
        <v>139</v>
      </c>
      <c r="E193" s="211" t="s">
        <v>201</v>
      </c>
      <c r="F193" s="212"/>
      <c r="G193" s="210" t="s">
        <v>14551</v>
      </c>
      <c r="H193" s="170"/>
      <c r="I193" s="170"/>
      <c r="J193" s="156" t="s">
        <v>13783</v>
      </c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IFERROR(__xludf.DUMMYFUNCTION("ifna(VALUE(REGEXEXTRACT(E193,""[0-9.]+[,]+[0-9]+"")))"),150.0)</f>
        <v>150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2138376.0</v>
      </c>
      <c r="C194" s="14">
        <v>46132.82969907407</v>
      </c>
      <c r="D194" s="210" t="s">
        <v>139</v>
      </c>
      <c r="E194" s="211" t="s">
        <v>213</v>
      </c>
      <c r="F194" s="212"/>
      <c r="G194" s="210" t="s">
        <v>14552</v>
      </c>
      <c r="H194" s="170"/>
      <c r="I194" s="170"/>
      <c r="J194" s="156" t="s">
        <v>13783</v>
      </c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IFERROR(__xludf.DUMMYFUNCTION("ifna(VALUE(REGEXEXTRACT(E194,""[0-9.]+[,]+[0-9]+"")))"),200.0)</f>
        <v>200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2138377.0</v>
      </c>
      <c r="C195" s="14">
        <v>46132.829884259256</v>
      </c>
      <c r="D195" s="210" t="s">
        <v>139</v>
      </c>
      <c r="E195" s="211" t="s">
        <v>213</v>
      </c>
      <c r="F195" s="212"/>
      <c r="G195" s="210" t="s">
        <v>14553</v>
      </c>
      <c r="H195" s="170"/>
      <c r="I195" s="170"/>
      <c r="J195" s="156" t="s">
        <v>13783</v>
      </c>
      <c r="K195" s="156"/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IFERROR(__xludf.DUMMYFUNCTION("ifna(VALUE(REGEXEXTRACT(E195,""[0-9.]+[,]+[0-9]+"")))"),200.0)</f>
        <v>200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2138378.0</v>
      </c>
      <c r="C196" s="14">
        <v>46132.83008101852</v>
      </c>
      <c r="D196" s="210" t="s">
        <v>139</v>
      </c>
      <c r="E196" s="211" t="s">
        <v>213</v>
      </c>
      <c r="F196" s="212"/>
      <c r="G196" s="210" t="s">
        <v>14554</v>
      </c>
      <c r="H196" s="170"/>
      <c r="I196" s="170"/>
      <c r="J196" s="156" t="s">
        <v>13783</v>
      </c>
      <c r="K196" s="156"/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"),"")</f>
        <v/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IFERROR(__xludf.DUMMYFUNCTION("ifna(VALUE(REGEXEXTRACT(E196,""[0-9.]+[,]+[0-9]+"")))"),200.0)</f>
        <v>200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2138382.0</v>
      </c>
      <c r="C197" s="14">
        <v>46132.83032407407</v>
      </c>
      <c r="D197" s="210" t="s">
        <v>101</v>
      </c>
      <c r="E197" s="211" t="s">
        <v>2133</v>
      </c>
      <c r="F197" s="212"/>
      <c r="G197" s="210" t="s">
        <v>425</v>
      </c>
      <c r="H197" s="170"/>
      <c r="I197" s="170"/>
      <c r="J197" s="156" t="s">
        <v>12952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IFERROR(__xludf.DUMMYFUNCTION("ifna(VALUE(REGEXEXTRACT(E197,""[0-9.]+[,]+[0-9]+"")))"),750.0)</f>
        <v>750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2138479.0</v>
      </c>
      <c r="C198" s="14">
        <v>46132.85702546296</v>
      </c>
      <c r="D198" s="210" t="s">
        <v>139</v>
      </c>
      <c r="E198" s="211" t="s">
        <v>14155</v>
      </c>
      <c r="F198" s="212"/>
      <c r="G198" s="210" t="s">
        <v>272</v>
      </c>
      <c r="H198" s="170"/>
      <c r="I198" s="170"/>
      <c r="J198" s="156" t="s">
        <v>12952</v>
      </c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IFERROR(__xludf.DUMMYFUNCTION("ifna(VALUE(REGEXEXTRACT(E198,""[0-9.]+[,]+[0-9]+"")))"),160.0)</f>
        <v>160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2138812.0</v>
      </c>
      <c r="C199" s="14">
        <v>46132.91952546296</v>
      </c>
      <c r="D199" s="210" t="s">
        <v>101</v>
      </c>
      <c r="E199" s="211" t="s">
        <v>306</v>
      </c>
      <c r="F199" s="212"/>
      <c r="G199" s="210" t="s">
        <v>181</v>
      </c>
      <c r="H199" s="170"/>
      <c r="I199" s="170"/>
      <c r="J199" s="156" t="s">
        <v>6914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IFERROR(__xludf.DUMMYFUNCTION("ifna(VALUE(REGEXEXTRACT(E199,""[0-9.]+[,]+[0-9]+"")))"),22.0)</f>
        <v>22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2138825.0</v>
      </c>
      <c r="C200" s="14">
        <v>46132.919953703706</v>
      </c>
      <c r="D200" s="210" t="s">
        <v>101</v>
      </c>
      <c r="E200" s="211" t="s">
        <v>161</v>
      </c>
      <c r="F200" s="212"/>
      <c r="G200" s="210" t="s">
        <v>1294</v>
      </c>
      <c r="H200" s="170"/>
      <c r="I200" s="170"/>
      <c r="J200" s="156" t="s">
        <v>10036</v>
      </c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>
        <f>IFERROR(__xludf.DUMMYFUNCTION("ifna(VALUE(REGEXEXTRACT(E200,""[0-9.]+[,]+[0-9]+"")))"),60.0)</f>
        <v>60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2138890.0</v>
      </c>
      <c r="C201" s="14">
        <v>46132.92466435185</v>
      </c>
      <c r="D201" s="210" t="s">
        <v>101</v>
      </c>
      <c r="E201" s="211" t="s">
        <v>201</v>
      </c>
      <c r="F201" s="212"/>
      <c r="G201" s="210" t="s">
        <v>14555</v>
      </c>
      <c r="H201" s="170"/>
      <c r="I201" s="170"/>
      <c r="J201" s="156" t="s">
        <v>12778</v>
      </c>
      <c r="K201" s="156" t="s">
        <v>13763</v>
      </c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"),"Confirmada")</f>
        <v>Confirmada</v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>
        <f>IFERROR(__xludf.DUMMYFUNCTION("ifna(VALUE(REGEXEXTRACT(E201,""[0-9.]+[,]+[0-9]+"")))"),150.0)</f>
        <v>150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2140232.0</v>
      </c>
      <c r="C202" s="14">
        <v>46133.76127314815</v>
      </c>
      <c r="D202" s="210" t="s">
        <v>101</v>
      </c>
      <c r="E202" s="211" t="s">
        <v>14290</v>
      </c>
      <c r="F202" s="212"/>
      <c r="G202" s="210" t="s">
        <v>14556</v>
      </c>
      <c r="H202" s="170"/>
      <c r="I202" s="170"/>
      <c r="J202" s="156" t="s">
        <v>6914</v>
      </c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IFERROR(__xludf.DUMMYFUNCTION("ifna(VALUE(REGEXEXTRACT(E202,""[0-9.]+[,]+[0-9]+"")))"),122.0)</f>
        <v>122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2141057.0</v>
      </c>
      <c r="C203" s="14">
        <v>46133.910092592596</v>
      </c>
      <c r="D203" s="210" t="s">
        <v>101</v>
      </c>
      <c r="E203" s="211" t="s">
        <v>2425</v>
      </c>
      <c r="F203" s="212"/>
      <c r="G203" s="210" t="s">
        <v>181</v>
      </c>
      <c r="H203" s="170"/>
      <c r="I203" s="170"/>
      <c r="J203" s="156" t="s">
        <v>6914</v>
      </c>
      <c r="K203" s="156"/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"),"")</f>
        <v/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>
        <f>IFERROR(__xludf.DUMMYFUNCTION("ifna(VALUE(REGEXEXTRACT(E203,""[0-9.]+[,]+[0-9]+"")))"),95.0)</f>
        <v>95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>
        <v>2141111.0</v>
      </c>
      <c r="C204" s="14">
        <v>46133.91489583333</v>
      </c>
      <c r="D204" s="210" t="s">
        <v>101</v>
      </c>
      <c r="E204" s="211" t="s">
        <v>121</v>
      </c>
      <c r="F204" s="212"/>
      <c r="G204" s="210" t="s">
        <v>344</v>
      </c>
      <c r="H204" s="170"/>
      <c r="I204" s="170"/>
      <c r="J204" s="156" t="s">
        <v>10036</v>
      </c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>
        <f>IFERROR(__xludf.DUMMYFUNCTION("ifna(VALUE(REGEXEXTRACT(E204,""[0-9.]+[,]+[0-9]+"")))"),135.0)</f>
        <v>135</v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>
        <v>2141112.0</v>
      </c>
      <c r="C205" s="14">
        <v>46133.91489583333</v>
      </c>
      <c r="D205" s="210" t="s">
        <v>101</v>
      </c>
      <c r="E205" s="211" t="s">
        <v>121</v>
      </c>
      <c r="F205" s="212"/>
      <c r="G205" s="210" t="s">
        <v>14354</v>
      </c>
      <c r="H205" s="170"/>
      <c r="I205" s="170"/>
      <c r="J205" s="156" t="s">
        <v>10036</v>
      </c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>
        <f>IFERROR(__xludf.DUMMYFUNCTION("ifna(VALUE(REGEXEXTRACT(E205,""[0-9.]+[,]+[0-9]+"")))"),135.0)</f>
        <v>135</v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>
        <v>2141122.0</v>
      </c>
      <c r="C206" s="14">
        <v>46133.915671296294</v>
      </c>
      <c r="D206" s="210" t="s">
        <v>101</v>
      </c>
      <c r="E206" s="211" t="s">
        <v>13714</v>
      </c>
      <c r="F206" s="212"/>
      <c r="G206" s="210" t="s">
        <v>1497</v>
      </c>
      <c r="H206" s="170"/>
      <c r="I206" s="170"/>
      <c r="J206" s="156" t="s">
        <v>12778</v>
      </c>
      <c r="K206" s="156" t="s">
        <v>13760</v>
      </c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"),"Confirmada")</f>
        <v>Confirmada</v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>
        <f>IFERROR(__xludf.DUMMYFUNCTION("ifna(VALUE(REGEXEXTRACT(E206,""[0-9.]+[,]+[0-9]+"")))"),1200.0)</f>
        <v>1200</v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>
        <v>2141995.0</v>
      </c>
      <c r="C207" s="14">
        <v>46134.60465277778</v>
      </c>
      <c r="D207" s="210" t="s">
        <v>101</v>
      </c>
      <c r="E207" s="211" t="s">
        <v>14557</v>
      </c>
      <c r="F207" s="212"/>
      <c r="G207" s="210" t="s">
        <v>14558</v>
      </c>
      <c r="H207" s="170"/>
      <c r="I207" s="170"/>
      <c r="J207" s="156" t="s">
        <v>12818</v>
      </c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"""")"),"Encontrada")</f>
        <v>Encontrada</v>
      </c>
      <c r="N207" s="159">
        <f>IFERROR(__xludf.DUMMYFUNCTION("ifna(VALUE(REGEXEXTRACT(E207,""[0-9.]+[,]+[0-9]+"")))"),14.6)</f>
        <v>14.6</v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>
        <v>2142459.0</v>
      </c>
      <c r="C208" s="14">
        <v>46134.72938657407</v>
      </c>
      <c r="D208" s="210" t="s">
        <v>101</v>
      </c>
      <c r="E208" s="211" t="s">
        <v>13051</v>
      </c>
      <c r="F208" s="212"/>
      <c r="G208" s="210" t="s">
        <v>133</v>
      </c>
      <c r="H208" s="170"/>
      <c r="I208" s="170"/>
      <c r="J208" s="156" t="s">
        <v>6914</v>
      </c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>
        <f>IFERROR(__xludf.DUMMYFUNCTION("ifna(VALUE(REGEXEXTRACT(E208,""[0-9.]+[,]+[0-9]+"")))"),71.0)</f>
        <v>71</v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>
        <v>2142479.0</v>
      </c>
      <c r="C209" s="14">
        <v>46134.73646990741</v>
      </c>
      <c r="D209" s="210" t="s">
        <v>101</v>
      </c>
      <c r="E209" s="211" t="s">
        <v>1219</v>
      </c>
      <c r="F209" s="212"/>
      <c r="G209" s="210" t="s">
        <v>14559</v>
      </c>
      <c r="H209" s="170"/>
      <c r="I209" s="170"/>
      <c r="J209" s="156" t="s">
        <v>12778</v>
      </c>
      <c r="K209" s="156" t="s">
        <v>11866</v>
      </c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"),"Caixa Atendimento")</f>
        <v>Caixa Atendimento</v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>
        <f>IFERROR(__xludf.DUMMYFUNCTION("ifna(VALUE(REGEXEXTRACT(E209,""[0-9.]+[,]+[0-9]+"")))"),400.0)</f>
        <v>400</v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>
        <v>2142488.0</v>
      </c>
      <c r="C210" s="14">
        <v>46134.73855324074</v>
      </c>
      <c r="D210" s="210" t="s">
        <v>139</v>
      </c>
      <c r="E210" s="211" t="s">
        <v>1488</v>
      </c>
      <c r="F210" s="212"/>
      <c r="G210" s="210" t="s">
        <v>142</v>
      </c>
      <c r="H210" s="170"/>
      <c r="I210" s="170"/>
      <c r="J210" s="156" t="s">
        <v>12952</v>
      </c>
      <c r="K210" s="156"/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>
        <f>IFERROR(__xludf.DUMMYFUNCTION("ifna(VALUE(REGEXEXTRACT(E210,""[0-9.]+[,]+[0-9]+"")))"),90.0)</f>
        <v>90</v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>
        <v>2142563.0</v>
      </c>
      <c r="C211" s="14">
        <v>46134.75430555556</v>
      </c>
      <c r="D211" s="210" t="s">
        <v>101</v>
      </c>
      <c r="E211" s="211" t="s">
        <v>14560</v>
      </c>
      <c r="F211" s="212"/>
      <c r="G211" s="229" t="s">
        <v>14349</v>
      </c>
      <c r="H211" s="170"/>
      <c r="I211" s="170"/>
      <c r="J211" s="156"/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>
        <f>IFERROR(__xludf.DUMMYFUNCTION("ifna(VALUE(REGEXEXTRACT(E211,""[0-9.]+[,]+[0-9]+"")))"),12.2)</f>
        <v>12.2</v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>
        <v>2142737.0</v>
      </c>
      <c r="C212" s="14">
        <v>46134.806284722225</v>
      </c>
      <c r="D212" s="210" t="s">
        <v>101</v>
      </c>
      <c r="E212" s="211" t="s">
        <v>1687</v>
      </c>
      <c r="F212" s="212"/>
      <c r="G212" s="229" t="s">
        <v>14349</v>
      </c>
      <c r="H212" s="170"/>
      <c r="I212" s="170"/>
      <c r="J212" s="156"/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>
        <f>IFERROR(__xludf.DUMMYFUNCTION("ifna(VALUE(REGEXEXTRACT(E212,""[0-9.]+[,]+[0-9]+"")))"),19.0)</f>
        <v>19</v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>
        <v>2143052.0</v>
      </c>
      <c r="C213" s="14">
        <v>46134.90804398148</v>
      </c>
      <c r="D213" s="210" t="s">
        <v>101</v>
      </c>
      <c r="E213" s="211" t="s">
        <v>718</v>
      </c>
      <c r="F213" s="212"/>
      <c r="G213" s="210" t="s">
        <v>512</v>
      </c>
      <c r="H213" s="170"/>
      <c r="I213" s="170"/>
      <c r="J213" s="156" t="s">
        <v>6914</v>
      </c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>
        <f>IFERROR(__xludf.DUMMYFUNCTION("ifna(VALUE(REGEXEXTRACT(E213,""[0-9.]+[,]+[0-9]+"")))"),32.0)</f>
        <v>32</v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>
        <v>2143169.0</v>
      </c>
      <c r="C214" s="14">
        <v>46134.9216087963</v>
      </c>
      <c r="D214" s="210" t="s">
        <v>101</v>
      </c>
      <c r="E214" s="211" t="s">
        <v>256</v>
      </c>
      <c r="F214" s="212"/>
      <c r="G214" s="210" t="s">
        <v>14561</v>
      </c>
      <c r="H214" s="170"/>
      <c r="I214" s="170"/>
      <c r="J214" s="156" t="s">
        <v>12778</v>
      </c>
      <c r="K214" s="156" t="s">
        <v>13763</v>
      </c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"),"Confirmada")</f>
        <v>Confirmada</v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>
        <f>IFERROR(__xludf.DUMMYFUNCTION("ifna(VALUE(REGEXEXTRACT(E214,""[0-9.]+[,]+[0-9]+"")))"),300.0)</f>
        <v>300</v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>
        <v>2144134.0</v>
      </c>
      <c r="C215" s="14">
        <v>46135.72142361111</v>
      </c>
      <c r="D215" s="210" t="s">
        <v>101</v>
      </c>
      <c r="E215" s="211" t="s">
        <v>14501</v>
      </c>
      <c r="F215" s="212"/>
      <c r="G215" s="210" t="s">
        <v>14562</v>
      </c>
      <c r="H215" s="170"/>
      <c r="I215" s="170"/>
      <c r="J215" s="156" t="s">
        <v>12818</v>
      </c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"""")"),"Encontrada")</f>
        <v>Encontrada</v>
      </c>
      <c r="N215" s="159">
        <f>IFERROR(__xludf.DUMMYFUNCTION("ifna(VALUE(REGEXEXTRACT(E215,""[0-9.]+[,]+[0-9]+"")))"),145.0)</f>
        <v>145</v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>
        <v>2144135.0</v>
      </c>
      <c r="C216" s="14">
        <v>46135.721608796295</v>
      </c>
      <c r="D216" s="210" t="s">
        <v>101</v>
      </c>
      <c r="E216" s="211" t="s">
        <v>246</v>
      </c>
      <c r="F216" s="212"/>
      <c r="G216" s="210" t="s">
        <v>14563</v>
      </c>
      <c r="H216" s="170"/>
      <c r="I216" s="170"/>
      <c r="J216" s="156" t="s">
        <v>12818</v>
      </c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159">
        <f>IFERROR(__xludf.DUMMYFUNCTION("ifna(VALUE(REGEXEXTRACT(E216,""[0-9.]+[,]+[0-9]+"")))"),30.0)</f>
        <v>30</v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>
        <v>2144142.0</v>
      </c>
      <c r="C217" s="14">
        <v>46135.722962962966</v>
      </c>
      <c r="D217" s="210" t="s">
        <v>101</v>
      </c>
      <c r="E217" s="211" t="s">
        <v>1274</v>
      </c>
      <c r="F217" s="212"/>
      <c r="G217" s="210" t="s">
        <v>1301</v>
      </c>
      <c r="H217" s="170"/>
      <c r="I217" s="170"/>
      <c r="J217" s="156" t="s">
        <v>6914</v>
      </c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>
        <f>IFERROR(__xludf.DUMMYFUNCTION("ifna(VALUE(REGEXEXTRACT(E217,""[0-9.]+[,]+[0-9]+"")))"),66.0)</f>
        <v>66</v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>
        <v>2144162.0</v>
      </c>
      <c r="C218" s="14">
        <v>46135.72862268519</v>
      </c>
      <c r="D218" s="210" t="s">
        <v>101</v>
      </c>
      <c r="E218" s="211" t="s">
        <v>256</v>
      </c>
      <c r="F218" s="212"/>
      <c r="G218" s="210" t="s">
        <v>732</v>
      </c>
      <c r="H218" s="170"/>
      <c r="I218" s="170"/>
      <c r="J218" s="156" t="s">
        <v>12778</v>
      </c>
      <c r="K218" s="156" t="s">
        <v>13760</v>
      </c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"),"Confirmada")</f>
        <v>Confirmada</v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>
        <f>IFERROR(__xludf.DUMMYFUNCTION("ifna(VALUE(REGEXEXTRACT(E218,""[0-9.]+[,]+[0-9]+"")))"),300.0)</f>
        <v>300</v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>
        <v>2144322.0</v>
      </c>
      <c r="C219" s="14">
        <v>46135.78634259259</v>
      </c>
      <c r="D219" s="210" t="s">
        <v>101</v>
      </c>
      <c r="E219" s="211" t="s">
        <v>246</v>
      </c>
      <c r="F219" s="212"/>
      <c r="G219" s="232" t="s">
        <v>14564</v>
      </c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>
        <f>IFERROR(__xludf.DUMMYFUNCTION("ifna(VALUE(REGEXEXTRACT(E219,""[0-9.]+[,]+[0-9]+"")))"),30.0)</f>
        <v>30</v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>
        <v>2144707.0</v>
      </c>
      <c r="C220" s="14">
        <v>46135.91201388889</v>
      </c>
      <c r="D220" s="210" t="s">
        <v>101</v>
      </c>
      <c r="E220" s="211" t="s">
        <v>845</v>
      </c>
      <c r="F220" s="212"/>
      <c r="G220" s="210" t="s">
        <v>181</v>
      </c>
      <c r="H220" s="170"/>
      <c r="I220" s="170"/>
      <c r="J220" s="156" t="s">
        <v>6914</v>
      </c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>
        <f>IFERROR(__xludf.DUMMYFUNCTION("ifna(VALUE(REGEXEXTRACT(E220,""[0-9.]+[,]+[0-9]+"")))"),26.0)</f>
        <v>26</v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>
        <v>2144827.0</v>
      </c>
      <c r="C221" s="14">
        <v>46135.922314814816</v>
      </c>
      <c r="D221" s="210" t="s">
        <v>101</v>
      </c>
      <c r="E221" s="211" t="s">
        <v>213</v>
      </c>
      <c r="F221" s="212"/>
      <c r="G221" s="210" t="s">
        <v>14565</v>
      </c>
      <c r="H221" s="170"/>
      <c r="I221" s="170"/>
      <c r="J221" s="156" t="s">
        <v>12778</v>
      </c>
      <c r="K221" s="156" t="s">
        <v>13763</v>
      </c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"),"Confirmada")</f>
        <v>Confirmada</v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>
        <f>IFERROR(__xludf.DUMMYFUNCTION("ifna(VALUE(REGEXEXTRACT(E221,""[0-9.]+[,]+[0-9]+"")))"),200.0)</f>
        <v>200</v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>
        <v>2146136.0</v>
      </c>
      <c r="C222" s="14">
        <v>46136.79607638889</v>
      </c>
      <c r="D222" s="210" t="s">
        <v>101</v>
      </c>
      <c r="E222" s="211" t="s">
        <v>477</v>
      </c>
      <c r="F222" s="212"/>
      <c r="G222" s="210" t="s">
        <v>133</v>
      </c>
      <c r="H222" s="170"/>
      <c r="I222" s="170"/>
      <c r="J222" s="156" t="s">
        <v>6914</v>
      </c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>
        <f>IFERROR(__xludf.DUMMYFUNCTION("ifna(VALUE(REGEXEXTRACT(E222,""[0-9.]+[,]+[0-9]+"")))"),73.0)</f>
        <v>73</v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>
        <v>2146169.0</v>
      </c>
      <c r="C223" s="14">
        <v>46136.8049537037</v>
      </c>
      <c r="D223" s="210" t="s">
        <v>101</v>
      </c>
      <c r="E223" s="211" t="s">
        <v>364</v>
      </c>
      <c r="F223" s="212"/>
      <c r="G223" s="210" t="s">
        <v>14566</v>
      </c>
      <c r="H223" s="170"/>
      <c r="I223" s="170"/>
      <c r="J223" s="156" t="s">
        <v>12778</v>
      </c>
      <c r="K223" s="156" t="s">
        <v>11866</v>
      </c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"),"Confirmada")</f>
        <v>Confirmada</v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>
        <f>IFERROR(__xludf.DUMMYFUNCTION("ifna(VALUE(REGEXEXTRACT(E223,""[0-9.]+[,]+[0-9]+"")))"),600.0)</f>
        <v>600</v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>
        <v>2146261.0</v>
      </c>
      <c r="C224" s="14">
        <v>46136.83954861111</v>
      </c>
      <c r="D224" s="210" t="s">
        <v>139</v>
      </c>
      <c r="E224" s="211" t="s">
        <v>1219</v>
      </c>
      <c r="F224" s="212"/>
      <c r="G224" s="210" t="s">
        <v>14567</v>
      </c>
      <c r="H224" s="170"/>
      <c r="I224" s="170"/>
      <c r="J224" s="156" t="s">
        <v>13783</v>
      </c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>
        <f>IFERROR(__xludf.DUMMYFUNCTION("ifna(VALUE(REGEXEXTRACT(E224,""[0-9.]+[,]+[0-9]+"")))"),400.0)</f>
        <v>400</v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>
        <v>2146262.0</v>
      </c>
      <c r="C225" s="14">
        <v>46136.839895833335</v>
      </c>
      <c r="D225" s="210" t="s">
        <v>101</v>
      </c>
      <c r="E225" s="211" t="s">
        <v>14568</v>
      </c>
      <c r="F225" s="212"/>
      <c r="G225" s="210" t="s">
        <v>14569</v>
      </c>
      <c r="H225" s="170"/>
      <c r="I225" s="170"/>
      <c r="J225" s="156" t="s">
        <v>12818</v>
      </c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159">
        <f>IFERROR(__xludf.DUMMYFUNCTION("ifna(VALUE(REGEXEXTRACT(E225,""[0-9.]+[,]+[0-9]+"")))"),65.49)</f>
        <v>65.49</v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>
        <v>2146263.0</v>
      </c>
      <c r="C226" s="14">
        <v>46136.84027777778</v>
      </c>
      <c r="D226" s="210" t="s">
        <v>101</v>
      </c>
      <c r="E226" s="211" t="s">
        <v>13267</v>
      </c>
      <c r="F226" s="212"/>
      <c r="G226" s="210" t="s">
        <v>14570</v>
      </c>
      <c r="H226" s="170"/>
      <c r="I226" s="170"/>
      <c r="J226" s="156" t="s">
        <v>12818</v>
      </c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159">
        <f>IFERROR(__xludf.DUMMYFUNCTION("ifna(VALUE(REGEXEXTRACT(E226,""[0-9.]+[,]+[0-9]+"")))"),26.97)</f>
        <v>26.97</v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>
        <v>2146265.0</v>
      </c>
      <c r="C227" s="14">
        <v>46136.840520833335</v>
      </c>
      <c r="D227" s="210" t="s">
        <v>101</v>
      </c>
      <c r="E227" s="211" t="s">
        <v>14571</v>
      </c>
      <c r="F227" s="212"/>
      <c r="G227" s="210" t="s">
        <v>282</v>
      </c>
      <c r="H227" s="170"/>
      <c r="I227" s="170"/>
      <c r="J227" s="156" t="s">
        <v>12818</v>
      </c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"""")"),"Encontrada")</f>
        <v>Encontrada</v>
      </c>
      <c r="N227" s="159">
        <f>IFERROR(__xludf.DUMMYFUNCTION("ifna(VALUE(REGEXEXTRACT(E227,""[0-9.]+[,]+[0-9]+"")))"),112.88)</f>
        <v>112.88</v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>
        <v>2146534.0</v>
      </c>
      <c r="C228" s="14">
        <v>46136.90929398148</v>
      </c>
      <c r="D228" s="210" t="s">
        <v>101</v>
      </c>
      <c r="E228" s="211" t="s">
        <v>1349</v>
      </c>
      <c r="F228" s="212"/>
      <c r="G228" s="210" t="s">
        <v>181</v>
      </c>
      <c r="H228" s="170"/>
      <c r="I228" s="170"/>
      <c r="J228" s="156" t="s">
        <v>6914</v>
      </c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>
        <f>IFERROR(__xludf.DUMMYFUNCTION("ifna(VALUE(REGEXEXTRACT(E228,""[0-9.]+[,]+[0-9]+"")))"),64.0)</f>
        <v>64</v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>
        <v>2146644.0</v>
      </c>
      <c r="C229" s="14">
        <v>46136.923483796294</v>
      </c>
      <c r="D229" s="210" t="s">
        <v>101</v>
      </c>
      <c r="E229" s="211" t="s">
        <v>201</v>
      </c>
      <c r="F229" s="212"/>
      <c r="G229" s="210" t="s">
        <v>14572</v>
      </c>
      <c r="H229" s="170"/>
      <c r="I229" s="170"/>
      <c r="J229" s="156" t="s">
        <v>12778</v>
      </c>
      <c r="K229" s="156" t="s">
        <v>13763</v>
      </c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"),"Confirmada")</f>
        <v>Confirmada</v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>
        <f>IFERROR(__xludf.DUMMYFUNCTION("ifna(VALUE(REGEXEXTRACT(E229,""[0-9.]+[,]+[0-9]+"")))"),150.0)</f>
        <v>150</v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>
        <v>2148638.0</v>
      </c>
      <c r="C230" s="14">
        <v>46137.91273148148</v>
      </c>
      <c r="D230" s="210" t="s">
        <v>101</v>
      </c>
      <c r="E230" s="211" t="s">
        <v>14573</v>
      </c>
      <c r="F230" s="212"/>
      <c r="G230" s="210" t="s">
        <v>334</v>
      </c>
      <c r="H230" s="170"/>
      <c r="I230" s="170"/>
      <c r="J230" s="156" t="s">
        <v>12658</v>
      </c>
      <c r="K230" s="156" t="s">
        <v>13760</v>
      </c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>
        <f>IFERROR(__xludf.DUMMYFUNCTION("ifna(VALUE(REGEXEXTRACT(E230,""[0-9.]+[,]+[0-9]+"")))"),62.9)</f>
        <v>62.9</v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>
        <v>2148698.0</v>
      </c>
      <c r="C231" s="14">
        <v>46137.91894675926</v>
      </c>
      <c r="D231" s="210" t="s">
        <v>101</v>
      </c>
      <c r="E231" s="211" t="s">
        <v>121</v>
      </c>
      <c r="F231" s="212"/>
      <c r="G231" s="210" t="s">
        <v>14487</v>
      </c>
      <c r="H231" s="170"/>
      <c r="I231" s="170"/>
      <c r="J231" s="156" t="s">
        <v>10036</v>
      </c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>
        <f>IFERROR(__xludf.DUMMYFUNCTION("ifna(VALUE(REGEXEXTRACT(E231,""[0-9.]+[,]+[0-9]+"")))"),135.0)</f>
        <v>135</v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>
        <v>2148702.0</v>
      </c>
      <c r="C232" s="14">
        <v>46137.919074074074</v>
      </c>
      <c r="D232" s="210" t="s">
        <v>101</v>
      </c>
      <c r="E232" s="211" t="s">
        <v>121</v>
      </c>
      <c r="F232" s="212"/>
      <c r="G232" s="210" t="s">
        <v>14574</v>
      </c>
      <c r="H232" s="170"/>
      <c r="I232" s="170"/>
      <c r="J232" s="156" t="s">
        <v>10036</v>
      </c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>
        <f>IFERROR(__xludf.DUMMYFUNCTION("ifna(VALUE(REGEXEXTRACT(E232,""[0-9.]+[,]+[0-9]+"")))"),135.0)</f>
        <v>135</v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>
        <v>2148740.0</v>
      </c>
      <c r="C233" s="14">
        <v>46137.92159722222</v>
      </c>
      <c r="D233" s="210" t="s">
        <v>101</v>
      </c>
      <c r="E233" s="211" t="s">
        <v>121</v>
      </c>
      <c r="F233" s="212"/>
      <c r="G233" s="210" t="s">
        <v>344</v>
      </c>
      <c r="H233" s="170"/>
      <c r="I233" s="170"/>
      <c r="J233" s="156" t="s">
        <v>10036</v>
      </c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>
        <f>IFERROR(__xludf.DUMMYFUNCTION("ifna(VALUE(REGEXEXTRACT(E233,""[0-9.]+[,]+[0-9]+"")))"),135.0)</f>
        <v>135</v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>
        <v>2148801.0</v>
      </c>
      <c r="C234" s="14">
        <v>46137.92599537037</v>
      </c>
      <c r="D234" s="210" t="s">
        <v>101</v>
      </c>
      <c r="E234" s="211" t="s">
        <v>364</v>
      </c>
      <c r="F234" s="212"/>
      <c r="G234" s="210" t="s">
        <v>14575</v>
      </c>
      <c r="H234" s="170"/>
      <c r="I234" s="170"/>
      <c r="J234" s="156" t="s">
        <v>12778</v>
      </c>
      <c r="K234" s="156" t="s">
        <v>13760</v>
      </c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"),"Confirmada")</f>
        <v>Confirmada</v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>
        <f>IFERROR(__xludf.DUMMYFUNCTION("ifna(VALUE(REGEXEXTRACT(E234,""[0-9.]+[,]+[0-9]+"")))"),600.0)</f>
        <v>600</v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>
        <v>2148805.0</v>
      </c>
      <c r="C235" s="14">
        <v>46137.92623842593</v>
      </c>
      <c r="D235" s="210" t="s">
        <v>101</v>
      </c>
      <c r="E235" s="211" t="s">
        <v>13405</v>
      </c>
      <c r="F235" s="212"/>
      <c r="G235" s="210" t="s">
        <v>181</v>
      </c>
      <c r="H235" s="170"/>
      <c r="I235" s="170"/>
      <c r="J235" s="156" t="s">
        <v>6914</v>
      </c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>
        <f>IFERROR(__xludf.DUMMYFUNCTION("ifna(VALUE(REGEXEXTRACT(E235,""[0-9.]+[,]+[0-9]+"")))"),85.0)</f>
        <v>85</v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>
        <v>2148813.0</v>
      </c>
      <c r="C236" s="14">
        <v>46137.92664351852</v>
      </c>
      <c r="D236" s="210" t="s">
        <v>101</v>
      </c>
      <c r="E236" s="211" t="s">
        <v>13409</v>
      </c>
      <c r="F236" s="212"/>
      <c r="G236" s="210" t="s">
        <v>512</v>
      </c>
      <c r="H236" s="170"/>
      <c r="I236" s="170"/>
      <c r="J236" s="156" t="s">
        <v>6914</v>
      </c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>
        <f>IFERROR(__xludf.DUMMYFUNCTION("ifna(VALUE(REGEXEXTRACT(E236,""[0-9.]+[,]+[0-9]+"")))"),79.0)</f>
        <v>79</v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3"/>
      <c r="C237" s="14"/>
      <c r="D237" s="210"/>
      <c r="E237" s="211"/>
      <c r="F237" s="212"/>
      <c r="G237" s="210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3"/>
      <c r="C238" s="14"/>
      <c r="D238" s="210"/>
      <c r="E238" s="211"/>
      <c r="F238" s="212"/>
      <c r="G238" s="210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3"/>
      <c r="C239" s="14"/>
      <c r="D239" s="210"/>
      <c r="E239" s="211"/>
      <c r="F239" s="212"/>
      <c r="G239" s="210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3"/>
      <c r="C240" s="14"/>
      <c r="D240" s="210"/>
      <c r="E240" s="211"/>
      <c r="F240" s="212"/>
      <c r="G240" s="210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3"/>
      <c r="C241" s="14"/>
      <c r="D241" s="210"/>
      <c r="E241" s="211"/>
      <c r="F241" s="214"/>
      <c r="G241" s="210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3"/>
      <c r="C242" s="14"/>
      <c r="D242" s="210"/>
      <c r="E242" s="211"/>
      <c r="F242" s="212"/>
      <c r="G242" s="210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3"/>
      <c r="C243" s="14"/>
      <c r="D243" s="210"/>
      <c r="E243" s="211"/>
      <c r="F243" s="212"/>
      <c r="G243" s="210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3"/>
      <c r="C244" s="14"/>
      <c r="D244" s="210"/>
      <c r="E244" s="211"/>
      <c r="F244" s="212"/>
      <c r="G244" s="210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3"/>
      <c r="C245" s="14"/>
      <c r="D245" s="210"/>
      <c r="E245" s="211"/>
      <c r="F245" s="212"/>
      <c r="G245" s="210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3"/>
      <c r="C246" s="14"/>
      <c r="D246" s="210"/>
      <c r="E246" s="211"/>
      <c r="F246" s="212"/>
      <c r="G246" s="210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3"/>
      <c r="C247" s="14"/>
      <c r="D247" s="210"/>
      <c r="E247" s="211"/>
      <c r="F247" s="212"/>
      <c r="G247" s="210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3"/>
      <c r="C248" s="14"/>
      <c r="D248" s="210"/>
      <c r="E248" s="211"/>
      <c r="F248" s="214"/>
      <c r="G248" s="210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3"/>
      <c r="C249" s="14"/>
      <c r="D249" s="210"/>
      <c r="E249" s="211"/>
      <c r="F249" s="212"/>
      <c r="G249" s="210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3"/>
      <c r="C250" s="14"/>
      <c r="D250" s="210"/>
      <c r="E250" s="211"/>
      <c r="F250" s="212"/>
      <c r="G250" s="210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3"/>
      <c r="C251" s="14"/>
      <c r="D251" s="210"/>
      <c r="E251" s="211"/>
      <c r="F251" s="212"/>
      <c r="G251" s="210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3"/>
      <c r="C252" s="14"/>
      <c r="D252" s="210"/>
      <c r="E252" s="211"/>
      <c r="F252" s="212"/>
      <c r="G252" s="210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3"/>
      <c r="C253" s="14"/>
      <c r="D253" s="210"/>
      <c r="E253" s="211"/>
      <c r="F253" s="212"/>
      <c r="G253" s="210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3"/>
      <c r="C254" s="14"/>
      <c r="D254" s="210"/>
      <c r="E254" s="211"/>
      <c r="F254" s="212"/>
      <c r="G254" s="210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3"/>
      <c r="C255" s="14"/>
      <c r="D255" s="210"/>
      <c r="E255" s="211"/>
      <c r="F255" s="212"/>
      <c r="G255" s="210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3"/>
      <c r="C256" s="14"/>
      <c r="D256" s="210"/>
      <c r="E256" s="211"/>
      <c r="F256" s="212"/>
      <c r="G256" s="210"/>
      <c r="H256" s="170"/>
      <c r="I256" s="170"/>
      <c r="J256" s="156"/>
      <c r="K256" s="156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3"/>
      <c r="C257" s="14"/>
      <c r="D257" s="210"/>
      <c r="E257" s="211"/>
      <c r="F257" s="212"/>
      <c r="G257" s="210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3"/>
      <c r="C258" s="14"/>
      <c r="D258" s="210"/>
      <c r="E258" s="211"/>
      <c r="F258" s="214"/>
      <c r="G258" s="210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3"/>
      <c r="C259" s="14"/>
      <c r="D259" s="210"/>
      <c r="E259" s="211"/>
      <c r="F259" s="212"/>
      <c r="G259" s="210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3"/>
      <c r="C260" s="14"/>
      <c r="D260" s="210"/>
      <c r="E260" s="211"/>
      <c r="F260" s="212"/>
      <c r="G260" s="210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3"/>
      <c r="C261" s="14"/>
      <c r="D261" s="210"/>
      <c r="E261" s="211"/>
      <c r="F261" s="212"/>
      <c r="G261" s="210"/>
      <c r="H261" s="170"/>
      <c r="I261" s="170"/>
      <c r="J261" s="156"/>
      <c r="K261" s="156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3"/>
      <c r="C262" s="14"/>
      <c r="D262" s="210"/>
      <c r="E262" s="211"/>
      <c r="F262" s="212"/>
      <c r="G262" s="210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3"/>
      <c r="C263" s="14"/>
      <c r="D263" s="210"/>
      <c r="E263" s="211"/>
      <c r="F263" s="212"/>
      <c r="G263" s="210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3"/>
      <c r="C264" s="14"/>
      <c r="D264" s="210"/>
      <c r="E264" s="211"/>
      <c r="F264" s="212"/>
      <c r="G264" s="210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3"/>
      <c r="C265" s="14"/>
      <c r="D265" s="210"/>
      <c r="E265" s="211"/>
      <c r="F265" s="212"/>
      <c r="G265" s="210"/>
      <c r="H265" s="170"/>
      <c r="I265" s="170"/>
      <c r="J265" s="156"/>
      <c r="K265" s="156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3"/>
      <c r="C266" s="14"/>
      <c r="D266" s="210"/>
      <c r="E266" s="211"/>
      <c r="F266" s="212"/>
      <c r="G266" s="210"/>
      <c r="H266" s="170"/>
      <c r="I266" s="170"/>
      <c r="J266" s="156"/>
      <c r="K266" s="156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3"/>
      <c r="C267" s="14"/>
      <c r="D267" s="210"/>
      <c r="E267" s="211"/>
      <c r="F267" s="212"/>
      <c r="G267" s="210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3"/>
      <c r="C268" s="14"/>
      <c r="D268" s="210"/>
      <c r="E268" s="211"/>
      <c r="F268" s="212"/>
      <c r="G268" s="210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3"/>
      <c r="C269" s="14"/>
      <c r="D269" s="210"/>
      <c r="E269" s="211"/>
      <c r="F269" s="212"/>
      <c r="G269" s="210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3"/>
      <c r="C270" s="14"/>
      <c r="D270" s="210"/>
      <c r="E270" s="211"/>
      <c r="F270" s="212"/>
      <c r="G270" s="210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3"/>
      <c r="C271" s="14"/>
      <c r="D271" s="210"/>
      <c r="E271" s="211"/>
      <c r="F271" s="212"/>
      <c r="G271" s="210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3"/>
      <c r="C272" s="14"/>
      <c r="D272" s="210"/>
      <c r="E272" s="211"/>
      <c r="F272" s="212"/>
      <c r="G272" s="210"/>
      <c r="H272" s="170"/>
      <c r="I272" s="170"/>
      <c r="J272" s="156"/>
      <c r="K272" s="156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3"/>
      <c r="C273" s="14"/>
      <c r="D273" s="210"/>
      <c r="E273" s="211"/>
      <c r="F273" s="212"/>
      <c r="G273" s="210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3"/>
      <c r="C274" s="14"/>
      <c r="D274" s="210"/>
      <c r="E274" s="211"/>
      <c r="F274" s="212"/>
      <c r="G274" s="210"/>
      <c r="H274" s="170"/>
      <c r="I274" s="170"/>
      <c r="J274" s="156"/>
      <c r="K274" s="156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3"/>
      <c r="C275" s="14"/>
      <c r="D275" s="210"/>
      <c r="E275" s="211"/>
      <c r="F275" s="214"/>
      <c r="G275" s="210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3"/>
      <c r="C276" s="14"/>
      <c r="D276" s="210"/>
      <c r="E276" s="211"/>
      <c r="F276" s="212"/>
      <c r="G276" s="210"/>
      <c r="H276" s="170"/>
      <c r="I276" s="170"/>
      <c r="J276" s="156"/>
      <c r="K276" s="156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3"/>
      <c r="C277" s="14"/>
      <c r="D277" s="210"/>
      <c r="E277" s="211"/>
      <c r="F277" s="165"/>
      <c r="G277" s="210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3"/>
      <c r="C278" s="14"/>
      <c r="D278" s="210"/>
      <c r="E278" s="211"/>
      <c r="F278" s="155"/>
      <c r="G278" s="210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3"/>
      <c r="C279" s="14"/>
      <c r="D279" s="210"/>
      <c r="E279" s="211"/>
      <c r="F279" s="155"/>
      <c r="G279" s="210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3"/>
      <c r="C280" s="14"/>
      <c r="D280" s="210"/>
      <c r="E280" s="211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3"/>
      <c r="C281" s="14"/>
      <c r="D281" s="210"/>
      <c r="E281" s="211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3"/>
      <c r="C282" s="14"/>
      <c r="D282" s="210"/>
      <c r="E282" s="211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3"/>
      <c r="C283" s="14"/>
      <c r="D283" s="210"/>
      <c r="E283" s="211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3"/>
      <c r="C284" s="14"/>
      <c r="D284" s="210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3"/>
      <c r="C285" s="14"/>
      <c r="D285" s="210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3"/>
      <c r="C286" s="14"/>
      <c r="D286" s="210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3"/>
      <c r="C287" s="14"/>
      <c r="D287" s="210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3"/>
      <c r="C288" s="14"/>
      <c r="D288" s="210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3"/>
      <c r="C289" s="14"/>
      <c r="D289" s="210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3"/>
      <c r="C290" s="14"/>
      <c r="D290" s="210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3"/>
      <c r="C291" s="152"/>
      <c r="D291" s="210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3"/>
      <c r="C292" s="152"/>
      <c r="D292" s="210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3"/>
      <c r="C293" s="152"/>
      <c r="D293" s="210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3"/>
      <c r="C294" s="152"/>
      <c r="D294" s="210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3"/>
      <c r="C295" s="152"/>
      <c r="D295" s="210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210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500">
    <cfRule type="containsText" dxfId="8" priority="12" operator="containsText" text="R$">
      <formula>NOT(ISERROR(SEARCH(("R$"),(E22))))</formula>
    </cfRule>
  </conditionalFormatting>
  <conditionalFormatting sqref="C22:K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J22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500">
      <formula1>'ABRIL 2026'!$B$4:$B$10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12.38"/>
    <col customWidth="1" min="3" max="3" width="19.63"/>
    <col customWidth="1" min="4" max="4" width="13.88"/>
    <col customWidth="1" min="5" max="5" width="15.13"/>
    <col customWidth="1" min="6" max="6" width="13.88"/>
    <col customWidth="1" min="7" max="7" width="47.13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3.75"/>
    <col customWidth="1" min="14" max="14" width="2.0"/>
    <col customWidth="1" min="15" max="15" width="16.88"/>
    <col customWidth="1" min="16" max="16" width="9.38"/>
    <col customWidth="1" min="17" max="17" width="11.63"/>
    <col customWidth="1" min="18" max="18" width="10.88"/>
    <col customWidth="1" min="19" max="19" width="2.0"/>
    <col customWidth="1" min="20" max="20" width="16.88"/>
    <col customWidth="1" min="21" max="21" width="8.5"/>
    <col customWidth="1" min="22" max="22" width="13.75"/>
    <col customWidth="1" min="23" max="23" width="10.88"/>
  </cols>
  <sheetData>
    <row r="1" ht="8.2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2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>
      <c r="A2" s="34" t="s">
        <v>12622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>
      <c r="A3" s="37" t="s">
        <v>12623</v>
      </c>
      <c r="B3" s="38"/>
      <c r="C3" s="39" t="str">
        <f>B4</f>
        <v/>
      </c>
      <c r="D3" s="40"/>
      <c r="E3" s="41" t="str">
        <f>B5</f>
        <v>Renan</v>
      </c>
      <c r="F3" s="40"/>
      <c r="G3" s="41" t="str">
        <f>B6</f>
        <v/>
      </c>
      <c r="H3" s="40"/>
      <c r="I3" s="41" t="str">
        <f>B7</f>
        <v>Josi Ribas</v>
      </c>
      <c r="J3" s="40"/>
      <c r="K3" s="41" t="str">
        <f>B8</f>
        <v>Rose</v>
      </c>
      <c r="L3" s="42"/>
      <c r="M3" s="43"/>
      <c r="N3" s="43"/>
      <c r="O3" s="44" t="str">
        <f>B4</f>
        <v/>
      </c>
      <c r="P3" s="35"/>
      <c r="Q3" s="35"/>
      <c r="R3" s="36"/>
      <c r="S3" s="45"/>
      <c r="T3" s="44" t="str">
        <f>B5</f>
        <v>Renan</v>
      </c>
      <c r="U3" s="35"/>
      <c r="V3" s="35"/>
      <c r="W3" s="36"/>
    </row>
    <row r="4" ht="15.75" customHeight="1">
      <c r="A4" s="46"/>
      <c r="B4" s="47"/>
      <c r="C4" s="48" t="s">
        <v>1329</v>
      </c>
      <c r="D4" s="49">
        <f>SUMIFS(N22:N500,J22:J500,C4,K22:K500,C3)+SUMIF(Q59:Q95,A4,R59:R122)+D9</f>
        <v>0</v>
      </c>
      <c r="E4" s="50" t="s">
        <v>1329</v>
      </c>
      <c r="F4" s="49">
        <f>SUMIFS(N22:N500,J22:J500,E4,K22:K500,E3)+SUMIF(Q59:Q95,A5,R59:R122)+F9</f>
        <v>500</v>
      </c>
      <c r="G4" s="50" t="s">
        <v>1329</v>
      </c>
      <c r="H4" s="49">
        <f>SUMIFS(N22:N500,J22:J500,C4,K22:K500,G3)+SUMIF(Q59:Q122,A6,R59:S122)+H9</f>
        <v>0</v>
      </c>
      <c r="I4" s="50" t="s">
        <v>1329</v>
      </c>
      <c r="J4" s="49">
        <f>SUMIFS(N22:N500,J22:J500,C4,K22:K500,I3)+SUMIF(Q59:Q95,A7,R59:R195)+J9</f>
        <v>500</v>
      </c>
      <c r="K4" s="50" t="s">
        <v>1329</v>
      </c>
      <c r="L4" s="51">
        <f>SUMIFS(N22:N500,J22:J500,C4,K22:K500,K3)+SUMIF(Q59:Q95,A8,R59:R122)+L9</f>
        <v>500</v>
      </c>
      <c r="M4" s="33"/>
      <c r="N4" s="33"/>
      <c r="O4" s="52" t="str">
        <f>IFERROR(__xludf.DUMMYFUNCTION("query(C21:L500,""select Col1,Col3,Col8,Col9 where Col8 = 'Consumo' and Col9 = '""&amp;B4&amp;""'"",1)"),"Data")</f>
        <v>Data</v>
      </c>
      <c r="P4" s="53" t="str">
        <f>IFERROR(__xludf.DUMMYFUNCTION("""COMPUTED_VALUE"""),"Valor ")</f>
        <v>Valor </v>
      </c>
      <c r="Q4" s="53" t="str">
        <f>IFERROR(__xludf.DUMMYFUNCTION("""COMPUTED_VALUE"""),"Tipo")</f>
        <v>Tipo</v>
      </c>
      <c r="R4" s="54" t="str">
        <f>IFERROR(__xludf.DUMMYFUNCTION("""COMPUTED_VALUE"""),"Funcionário")</f>
        <v>Funcionário</v>
      </c>
      <c r="S4" s="33"/>
      <c r="T4" s="52" t="str">
        <f>IFERROR(__xludf.DUMMYFUNCTION("query(C21:L500,""select Col1,Col3,Col8,Col9 where Col8 = 'Consumo' and Col9 = '""&amp;B5&amp;""'"",1)"),"Data")</f>
        <v>Data</v>
      </c>
      <c r="U4" s="53" t="str">
        <f>IFERROR(__xludf.DUMMYFUNCTION("""COMPUTED_VALUE"""),"Valor ")</f>
        <v>Valor </v>
      </c>
      <c r="V4" s="53" t="str">
        <f>IFERROR(__xludf.DUMMYFUNCTION("""COMPUTED_VALUE"""),"Tipo")</f>
        <v>Tipo</v>
      </c>
      <c r="W4" s="54" t="str">
        <f>IFERROR(__xludf.DUMMYFUNCTION("""COMPUTED_VALUE"""),"Funcionário")</f>
        <v>Funcionário</v>
      </c>
    </row>
    <row r="5" ht="15.0" customHeight="1">
      <c r="A5" s="55" t="s">
        <v>117</v>
      </c>
      <c r="B5" s="56" t="s">
        <v>11866</v>
      </c>
      <c r="C5" s="48" t="s">
        <v>12658</v>
      </c>
      <c r="D5" s="49">
        <f>SUMIFS(N22:N500,J22:J500,C5,K22:K500,C3)</f>
        <v>0</v>
      </c>
      <c r="E5" s="50" t="s">
        <v>12658</v>
      </c>
      <c r="F5" s="49">
        <f>SUMIFS(N22:N500,J22:J500,C5,K22:K500,E3)</f>
        <v>288.64</v>
      </c>
      <c r="G5" s="50" t="s">
        <v>12658</v>
      </c>
      <c r="H5" s="49">
        <f>SUMIFS(N22:N500,J22:J500,C5,K22:K500,G3)</f>
        <v>0</v>
      </c>
      <c r="I5" s="50" t="s">
        <v>12658</v>
      </c>
      <c r="J5" s="49">
        <f>SUMIFS(N22:N500,J22:J500,C5,K22:K500,I3)</f>
        <v>0</v>
      </c>
      <c r="K5" s="50" t="s">
        <v>12658</v>
      </c>
      <c r="L5" s="51">
        <f>SUMIFS(N22:N500,J22:J500,C5,K22:K500,K3)</f>
        <v>85</v>
      </c>
      <c r="M5" s="33"/>
      <c r="N5" s="33"/>
      <c r="O5" s="57"/>
      <c r="P5" s="58"/>
      <c r="Q5" s="58"/>
      <c r="R5" s="59"/>
      <c r="S5" s="33"/>
      <c r="T5" s="202">
        <f>IFERROR(__xludf.DUMMYFUNCTION("""COMPUTED_VALUE"""),46138.85293981481)</f>
        <v>46138.85294</v>
      </c>
      <c r="U5" s="58" t="str">
        <f>IFERROR(__xludf.DUMMYFUNCTION("""COMPUTED_VALUE"""),"R$ 16,70")</f>
        <v>R$ 16,70</v>
      </c>
      <c r="V5" s="58" t="str">
        <f>IFERROR(__xludf.DUMMYFUNCTION("""COMPUTED_VALUE"""),"Consumo")</f>
        <v>Consumo</v>
      </c>
      <c r="W5" s="59" t="str">
        <f>IFERROR(__xludf.DUMMYFUNCTION("""COMPUTED_VALUE"""),"Renan")</f>
        <v>Renan</v>
      </c>
    </row>
    <row r="6" ht="16.5" customHeight="1">
      <c r="A6" s="55"/>
      <c r="B6" s="56"/>
      <c r="C6" s="48" t="s">
        <v>12669</v>
      </c>
      <c r="D6" s="49">
        <f>D5*0.8</f>
        <v>0</v>
      </c>
      <c r="E6" s="50" t="s">
        <v>12669</v>
      </c>
      <c r="F6" s="49">
        <f>F5*0.8</f>
        <v>230.912</v>
      </c>
      <c r="G6" s="50" t="s">
        <v>12669</v>
      </c>
      <c r="H6" s="49">
        <f>H5*0.8</f>
        <v>0</v>
      </c>
      <c r="I6" s="50" t="s">
        <v>12669</v>
      </c>
      <c r="J6" s="49">
        <f>J5*0.8</f>
        <v>0</v>
      </c>
      <c r="K6" s="60" t="s">
        <v>12669</v>
      </c>
      <c r="L6" s="51">
        <f>L5*0.8</f>
        <v>68</v>
      </c>
      <c r="M6" s="33"/>
      <c r="N6" s="33"/>
      <c r="O6" s="57"/>
      <c r="P6" s="58"/>
      <c r="Q6" s="58"/>
      <c r="R6" s="59"/>
      <c r="S6" s="33"/>
      <c r="T6" s="202">
        <f>IFERROR(__xludf.DUMMYFUNCTION("""COMPUTED_VALUE"""),46142.66894675926)</f>
        <v>46142.66895</v>
      </c>
      <c r="U6" s="58" t="str">
        <f>IFERROR(__xludf.DUMMYFUNCTION("""COMPUTED_VALUE"""),"R$ 5,00")</f>
        <v>R$ 5,00</v>
      </c>
      <c r="V6" s="58" t="str">
        <f>IFERROR(__xludf.DUMMYFUNCTION("""COMPUTED_VALUE"""),"Consumo")</f>
        <v>Consumo</v>
      </c>
      <c r="W6" s="59" t="str">
        <f>IFERROR(__xludf.DUMMYFUNCTION("""COMPUTED_VALUE"""),"Renan")</f>
        <v>Renan</v>
      </c>
    </row>
    <row r="7" ht="14.25" customHeight="1">
      <c r="A7" s="55" t="s">
        <v>2052</v>
      </c>
      <c r="B7" s="56" t="s">
        <v>12683</v>
      </c>
      <c r="C7" s="61" t="s">
        <v>12684</v>
      </c>
      <c r="D7" s="62"/>
      <c r="E7" s="63" t="s">
        <v>12684</v>
      </c>
      <c r="F7" s="62"/>
      <c r="G7" s="63" t="s">
        <v>12684</v>
      </c>
      <c r="H7" s="62"/>
      <c r="I7" s="63" t="s">
        <v>12684</v>
      </c>
      <c r="J7" s="62"/>
      <c r="K7" s="63" t="s">
        <v>12684</v>
      </c>
      <c r="L7" s="64"/>
      <c r="M7" s="65"/>
      <c r="N7" s="65"/>
      <c r="O7" s="66"/>
      <c r="P7" s="67"/>
      <c r="Q7" s="67"/>
      <c r="R7" s="68"/>
      <c r="S7" s="65"/>
      <c r="T7" s="203">
        <f>IFERROR(__xludf.DUMMYFUNCTION("""COMPUTED_VALUE"""),46142.751180555555)</f>
        <v>46142.75118</v>
      </c>
      <c r="U7" s="67" t="str">
        <f>IFERROR(__xludf.DUMMYFUNCTION("""COMPUTED_VALUE"""),"R$ 13,00")</f>
        <v>R$ 13,00</v>
      </c>
      <c r="V7" s="67" t="str">
        <f>IFERROR(__xludf.DUMMYFUNCTION("""COMPUTED_VALUE"""),"Consumo")</f>
        <v>Consumo</v>
      </c>
      <c r="W7" s="68" t="str">
        <f>IFERROR(__xludf.DUMMYFUNCTION("""COMPUTED_VALUE"""),"Renan")</f>
        <v>Renan</v>
      </c>
    </row>
    <row r="8" ht="14.25" customHeight="1">
      <c r="A8" s="55" t="s">
        <v>227</v>
      </c>
      <c r="B8" s="56" t="s">
        <v>12693</v>
      </c>
      <c r="C8" s="69" t="s">
        <v>12695</v>
      </c>
      <c r="D8" s="70"/>
      <c r="E8" s="71" t="s">
        <v>12695</v>
      </c>
      <c r="F8" s="72"/>
      <c r="G8" s="71" t="s">
        <v>12695</v>
      </c>
      <c r="H8" s="72"/>
      <c r="I8" s="71" t="s">
        <v>12695</v>
      </c>
      <c r="J8" s="72"/>
      <c r="K8" s="71" t="s">
        <v>12695</v>
      </c>
      <c r="L8" s="73"/>
      <c r="M8" s="74"/>
      <c r="N8" s="74"/>
      <c r="O8" s="66"/>
      <c r="P8" s="67"/>
      <c r="Q8" s="67"/>
      <c r="R8" s="68"/>
      <c r="S8" s="74"/>
      <c r="T8" s="203">
        <f>IFERROR(__xludf.DUMMYFUNCTION("""COMPUTED_VALUE"""),46144.71107638889)</f>
        <v>46144.71108</v>
      </c>
      <c r="U8" s="67" t="str">
        <f>IFERROR(__xludf.DUMMYFUNCTION("""COMPUTED_VALUE"""),"R$ 45,00")</f>
        <v>R$ 45,00</v>
      </c>
      <c r="V8" s="67" t="str">
        <f>IFERROR(__xludf.DUMMYFUNCTION("""COMPUTED_VALUE"""),"Consumo")</f>
        <v>Consumo</v>
      </c>
      <c r="W8" s="68" t="str">
        <f>IFERROR(__xludf.DUMMYFUNCTION("""COMPUTED_VALUE"""),"Renan")</f>
        <v>Renan</v>
      </c>
    </row>
    <row r="9" ht="15.75" customHeight="1">
      <c r="A9" s="55" t="s">
        <v>336</v>
      </c>
      <c r="B9" s="56" t="s">
        <v>13760</v>
      </c>
      <c r="C9" s="75" t="s">
        <v>17</v>
      </c>
      <c r="D9" s="76"/>
      <c r="E9" s="77" t="s">
        <v>17</v>
      </c>
      <c r="F9" s="78"/>
      <c r="G9" s="77" t="s">
        <v>17</v>
      </c>
      <c r="H9" s="78"/>
      <c r="I9" s="77" t="s">
        <v>17</v>
      </c>
      <c r="J9" s="78"/>
      <c r="K9" s="77" t="s">
        <v>17</v>
      </c>
      <c r="L9" s="79"/>
      <c r="M9" s="74"/>
      <c r="N9" s="74"/>
      <c r="O9" s="66"/>
      <c r="P9" s="67"/>
      <c r="Q9" s="67"/>
      <c r="R9" s="68"/>
      <c r="S9" s="74"/>
      <c r="T9" s="203">
        <f>IFERROR(__xludf.DUMMYFUNCTION("""COMPUTED_VALUE"""),46147.571435185186)</f>
        <v>46147.57144</v>
      </c>
      <c r="U9" s="67" t="str">
        <f>IFERROR(__xludf.DUMMYFUNCTION("""COMPUTED_VALUE"""),"R$ 10,00")</f>
        <v>R$ 10,00</v>
      </c>
      <c r="V9" s="67" t="str">
        <f>IFERROR(__xludf.DUMMYFUNCTION("""COMPUTED_VALUE"""),"Consumo")</f>
        <v>Consumo</v>
      </c>
      <c r="W9" s="68" t="str">
        <f>IFERROR(__xludf.DUMMYFUNCTION("""COMPUTED_VALUE"""),"Renan")</f>
        <v>Renan</v>
      </c>
    </row>
    <row r="10">
      <c r="A10" s="55" t="s">
        <v>218</v>
      </c>
      <c r="B10" s="56" t="s">
        <v>13763</v>
      </c>
      <c r="C10" s="80"/>
      <c r="D10" s="80"/>
      <c r="E10" s="80"/>
      <c r="F10" s="32"/>
      <c r="G10" s="32"/>
      <c r="H10" s="32"/>
      <c r="I10" s="32"/>
      <c r="J10" s="32"/>
      <c r="K10" s="32"/>
      <c r="L10" s="32"/>
      <c r="M10" s="32"/>
      <c r="N10" s="32"/>
      <c r="O10" s="81"/>
      <c r="P10" s="82"/>
      <c r="Q10" s="82"/>
      <c r="R10" s="83"/>
      <c r="S10" s="32"/>
      <c r="T10" s="202">
        <f>IFERROR(__xludf.DUMMYFUNCTION("""COMPUTED_VALUE"""),46147.745104166665)</f>
        <v>46147.7451</v>
      </c>
      <c r="U10" s="82" t="str">
        <f>IFERROR(__xludf.DUMMYFUNCTION("""COMPUTED_VALUE"""),"R$ 29,00")</f>
        <v>R$ 29,00</v>
      </c>
      <c r="V10" s="82" t="str">
        <f>IFERROR(__xludf.DUMMYFUNCTION("""COMPUTED_VALUE"""),"Consumo")</f>
        <v>Consumo</v>
      </c>
      <c r="W10" s="83" t="str">
        <f>IFERROR(__xludf.DUMMYFUNCTION("""COMPUTED_VALUE"""),"Renan")</f>
        <v>Renan</v>
      </c>
    </row>
    <row r="11">
      <c r="A11" s="84"/>
      <c r="B11" s="84"/>
      <c r="C11" s="85"/>
      <c r="D11" s="36"/>
      <c r="E11" s="86" t="s">
        <v>12706</v>
      </c>
      <c r="F11" s="87"/>
      <c r="G11" s="87"/>
      <c r="H11" s="38"/>
      <c r="I11" s="86" t="s">
        <v>12707</v>
      </c>
      <c r="J11" s="38"/>
      <c r="K11" s="86" t="s">
        <v>12708</v>
      </c>
      <c r="L11" s="38"/>
      <c r="M11" s="32"/>
      <c r="N11" s="32"/>
      <c r="O11" s="81"/>
      <c r="P11" s="82"/>
      <c r="Q11" s="82"/>
      <c r="R11" s="83"/>
      <c r="S11" s="32"/>
      <c r="T11" s="202">
        <f>IFERROR(__xludf.DUMMYFUNCTION("""COMPUTED_VALUE"""),46147.746458333335)</f>
        <v>46147.74646</v>
      </c>
      <c r="U11" s="82" t="str">
        <f>IFERROR(__xludf.DUMMYFUNCTION("""COMPUTED_VALUE"""),"R$ 5,00")</f>
        <v>R$ 5,00</v>
      </c>
      <c r="V11" s="82" t="str">
        <f>IFERROR(__xludf.DUMMYFUNCTION("""COMPUTED_VALUE"""),"Consumo")</f>
        <v>Consumo</v>
      </c>
      <c r="W11" s="83" t="str">
        <f>IFERROR(__xludf.DUMMYFUNCTION("""COMPUTED_VALUE"""),"Renan")</f>
        <v>Renan</v>
      </c>
    </row>
    <row r="12">
      <c r="A12" s="31"/>
      <c r="B12" s="31"/>
      <c r="C12" s="88" t="str">
        <f>B9</f>
        <v>Regiane</v>
      </c>
      <c r="D12" s="89"/>
      <c r="E12" s="88" t="str">
        <f>B10</f>
        <v>Ramon Dutra</v>
      </c>
      <c r="F12" s="90"/>
      <c r="G12" s="91" t="s">
        <v>12714</v>
      </c>
      <c r="H12" s="92">
        <f>SUMIF(L22:L495,G12,N22:N495)</f>
        <v>600</v>
      </c>
      <c r="I12" s="93" t="s">
        <v>12719</v>
      </c>
      <c r="J12" s="94" t="s">
        <v>12720</v>
      </c>
      <c r="K12" s="95" t="s">
        <v>12722</v>
      </c>
      <c r="L12" s="89"/>
      <c r="M12" s="32"/>
      <c r="N12" s="32"/>
      <c r="O12" s="81"/>
      <c r="P12" s="82"/>
      <c r="Q12" s="82"/>
      <c r="R12" s="83"/>
      <c r="S12" s="32"/>
      <c r="T12" s="202">
        <f>IFERROR(__xludf.DUMMYFUNCTION("""COMPUTED_VALUE"""),46148.52148148148)</f>
        <v>46148.52148</v>
      </c>
      <c r="U12" s="82" t="str">
        <f>IFERROR(__xludf.DUMMYFUNCTION("""COMPUTED_VALUE"""),"R$ 13,00")</f>
        <v>R$ 13,00</v>
      </c>
      <c r="V12" s="82" t="str">
        <f>IFERROR(__xludf.DUMMYFUNCTION("""COMPUTED_VALUE"""),"Consumo")</f>
        <v>Consumo</v>
      </c>
      <c r="W12" s="83" t="str">
        <f>IFERROR(__xludf.DUMMYFUNCTION("""COMPUTED_VALUE"""),"Renan")</f>
        <v>Renan</v>
      </c>
    </row>
    <row r="13" ht="14.25" customHeight="1">
      <c r="A13" s="96"/>
      <c r="B13" s="96"/>
      <c r="C13" s="97" t="s">
        <v>1329</v>
      </c>
      <c r="D13" s="51">
        <f>SUMIFS(N22:N500,J22:J500,C4,K22:K500,C12)+SUMIF(Q59:Q95,A9,R59:R122)+D18</f>
        <v>500</v>
      </c>
      <c r="E13" s="97" t="s">
        <v>1329</v>
      </c>
      <c r="F13" s="98">
        <f>SUMIFS(N22:N500,J22:J500,E4,K22:K500,512)+SUMIF(Q59:Q95,A10,R59:R122)+F18</f>
        <v>500</v>
      </c>
      <c r="G13" s="99" t="s">
        <v>12733</v>
      </c>
      <c r="H13" s="100">
        <v>0.0</v>
      </c>
      <c r="I13" s="101">
        <f>SUMIF(J22:J500,I12,N22:N500)</f>
        <v>0</v>
      </c>
      <c r="J13" s="102">
        <f>SUMIF(J22:J500,J12,N22:N500)</f>
        <v>64.16</v>
      </c>
      <c r="K13" s="103" t="s">
        <v>12734</v>
      </c>
      <c r="L13" s="104"/>
      <c r="M13" s="32"/>
      <c r="N13" s="32"/>
      <c r="O13" s="81"/>
      <c r="P13" s="82"/>
      <c r="Q13" s="82"/>
      <c r="R13" s="83"/>
      <c r="S13" s="32"/>
      <c r="T13" s="202">
        <f>IFERROR(__xludf.DUMMYFUNCTION("""COMPUTED_VALUE"""),46148.75173611111)</f>
        <v>46148.75174</v>
      </c>
      <c r="U13" s="82" t="str">
        <f>IFERROR(__xludf.DUMMYFUNCTION("""COMPUTED_VALUE"""),"R$ 13,00")</f>
        <v>R$ 13,00</v>
      </c>
      <c r="V13" s="82" t="str">
        <f>IFERROR(__xludf.DUMMYFUNCTION("""COMPUTED_VALUE"""),"Consumo")</f>
        <v>Consumo</v>
      </c>
      <c r="W13" s="83" t="str">
        <f>IFERROR(__xludf.DUMMYFUNCTION("""COMPUTED_VALUE"""),"Renan")</f>
        <v>Renan</v>
      </c>
    </row>
    <row r="14" ht="14.25" customHeight="1">
      <c r="A14" s="105"/>
      <c r="B14" s="105"/>
      <c r="C14" s="97" t="s">
        <v>12658</v>
      </c>
      <c r="D14" s="51">
        <f>SUMIFS(N22:N500,J22:J500,C5,K22:K500,C12)</f>
        <v>230.56</v>
      </c>
      <c r="E14" s="97" t="s">
        <v>12658</v>
      </c>
      <c r="F14" s="106">
        <f>SUMIFS(N22:N500,J22:J500,C5,K22:K500,E12)</f>
        <v>184.2</v>
      </c>
      <c r="G14" s="50" t="s">
        <v>12744</v>
      </c>
      <c r="H14" s="51">
        <f>SUMIFS(N22:N500,D22:D500,"Saída",J22:J500,"Sangria")</f>
        <v>8550</v>
      </c>
      <c r="I14" s="107"/>
      <c r="J14" s="108"/>
      <c r="K14" s="103" t="s">
        <v>12746</v>
      </c>
      <c r="L14" s="104"/>
      <c r="M14" s="32"/>
      <c r="N14" s="32"/>
      <c r="O14" s="81"/>
      <c r="P14" s="82"/>
      <c r="Q14" s="82"/>
      <c r="R14" s="83"/>
      <c r="S14" s="32"/>
      <c r="T14" s="202">
        <f>IFERROR(__xludf.DUMMYFUNCTION("""COMPUTED_VALUE"""),46149.56108796297)</f>
        <v>46149.56109</v>
      </c>
      <c r="U14" s="82" t="str">
        <f>IFERROR(__xludf.DUMMYFUNCTION("""COMPUTED_VALUE"""),"R$ 5,00")</f>
        <v>R$ 5,00</v>
      </c>
      <c r="V14" s="82" t="str">
        <f>IFERROR(__xludf.DUMMYFUNCTION("""COMPUTED_VALUE"""),"Consumo")</f>
        <v>Consumo</v>
      </c>
      <c r="W14" s="83" t="str">
        <f>IFERROR(__xludf.DUMMYFUNCTION("""COMPUTED_VALUE"""),"Renan")</f>
        <v>Renan</v>
      </c>
    </row>
    <row r="15">
      <c r="A15" s="105"/>
      <c r="B15" s="105"/>
      <c r="C15" s="109" t="s">
        <v>12669</v>
      </c>
      <c r="D15" s="51">
        <f>D14*0.8</f>
        <v>184.448</v>
      </c>
      <c r="E15" s="109" t="s">
        <v>12669</v>
      </c>
      <c r="F15" s="110">
        <f>F14*0.8</f>
        <v>147.36</v>
      </c>
      <c r="G15" s="111" t="s">
        <v>12749</v>
      </c>
      <c r="H15" s="112">
        <f>SUMIFS(N22:N500,D22:D500,"Entrada",J22:J500,"Sangria")</f>
        <v>0</v>
      </c>
      <c r="I15" s="113" t="s">
        <v>12752</v>
      </c>
      <c r="J15" s="114"/>
      <c r="K15" s="103" t="s">
        <v>12753</v>
      </c>
      <c r="L15" s="104"/>
      <c r="M15" s="32"/>
      <c r="N15" s="32"/>
      <c r="O15" s="81"/>
      <c r="P15" s="82"/>
      <c r="Q15" s="82"/>
      <c r="R15" s="83"/>
      <c r="S15" s="32"/>
      <c r="T15" s="202">
        <f>IFERROR(__xludf.DUMMYFUNCTION("""COMPUTED_VALUE"""),46149.74701388889)</f>
        <v>46149.74701</v>
      </c>
      <c r="U15" s="82" t="str">
        <f>IFERROR(__xludf.DUMMYFUNCTION("""COMPUTED_VALUE"""),"R$ 39,69")</f>
        <v>R$ 39,69</v>
      </c>
      <c r="V15" s="82" t="str">
        <f>IFERROR(__xludf.DUMMYFUNCTION("""COMPUTED_VALUE"""),"Consumo")</f>
        <v>Consumo</v>
      </c>
      <c r="W15" s="83" t="str">
        <f>IFERROR(__xludf.DUMMYFUNCTION("""COMPUTED_VALUE"""),"Renan")</f>
        <v>Renan</v>
      </c>
    </row>
    <row r="16">
      <c r="A16" s="115"/>
      <c r="B16" s="115"/>
      <c r="C16" s="116" t="s">
        <v>12684</v>
      </c>
      <c r="D16" s="64"/>
      <c r="E16" s="116" t="s">
        <v>12684</v>
      </c>
      <c r="F16" s="64"/>
      <c r="G16" s="117" t="s">
        <v>12756</v>
      </c>
      <c r="H16" s="118"/>
      <c r="I16" s="119">
        <f>SUMIF(J22:J500,I15,N22:N500)</f>
        <v>0</v>
      </c>
      <c r="J16" s="120"/>
      <c r="K16" s="103" t="s">
        <v>12757</v>
      </c>
      <c r="L16" s="104"/>
      <c r="M16" s="32"/>
      <c r="N16" s="32"/>
      <c r="O16" s="81"/>
      <c r="P16" s="82"/>
      <c r="Q16" s="82"/>
      <c r="R16" s="83"/>
      <c r="S16" s="32"/>
      <c r="T16" s="202">
        <f>IFERROR(__xludf.DUMMYFUNCTION("""COMPUTED_VALUE"""),46150.82886574074)</f>
        <v>46150.82887</v>
      </c>
      <c r="U16" s="82" t="str">
        <f>IFERROR(__xludf.DUMMYFUNCTION("""COMPUTED_VALUE"""),"R$ 30,00")</f>
        <v>R$ 30,00</v>
      </c>
      <c r="V16" s="82" t="str">
        <f>IFERROR(__xludf.DUMMYFUNCTION("""COMPUTED_VALUE"""),"Consumo")</f>
        <v>Consumo</v>
      </c>
      <c r="W16" s="83" t="str">
        <f>IFERROR(__xludf.DUMMYFUNCTION("""COMPUTED_VALUE"""),"Renan")</f>
        <v>Renan</v>
      </c>
    </row>
    <row r="17">
      <c r="A17" s="121"/>
      <c r="B17" s="121"/>
      <c r="C17" s="122" t="s">
        <v>12695</v>
      </c>
      <c r="D17" s="123"/>
      <c r="E17" s="122" t="s">
        <v>12695</v>
      </c>
      <c r="F17" s="123"/>
      <c r="G17" s="50" t="s">
        <v>12759</v>
      </c>
      <c r="H17" s="124">
        <f>SUMIF(L22:L500,G17,N22:N500)</f>
        <v>1800</v>
      </c>
      <c r="I17" s="125" t="s">
        <v>12761</v>
      </c>
      <c r="J17" s="118"/>
      <c r="K17" s="103" t="s">
        <v>12762</v>
      </c>
      <c r="L17" s="104"/>
      <c r="M17" s="32"/>
      <c r="N17" s="32"/>
      <c r="O17" s="81"/>
      <c r="P17" s="82"/>
      <c r="Q17" s="82"/>
      <c r="R17" s="83"/>
      <c r="S17" s="32"/>
      <c r="T17" s="202">
        <f>IFERROR(__xludf.DUMMYFUNCTION("""COMPUTED_VALUE"""),46151.773993055554)</f>
        <v>46151.77399</v>
      </c>
      <c r="U17" s="82" t="str">
        <f>IFERROR(__xludf.DUMMYFUNCTION("""COMPUTED_VALUE"""),"R$ 24,25")</f>
        <v>R$ 24,25</v>
      </c>
      <c r="V17" s="82" t="str">
        <f>IFERROR(__xludf.DUMMYFUNCTION("""COMPUTED_VALUE"""),"Consumo")</f>
        <v>Consumo</v>
      </c>
      <c r="W17" s="83" t="str">
        <f>IFERROR(__xludf.DUMMYFUNCTION("""COMPUTED_VALUE"""),"Renan")</f>
        <v>Renan</v>
      </c>
    </row>
    <row r="18" ht="14.25" customHeight="1">
      <c r="A18" s="121"/>
      <c r="B18" s="121"/>
      <c r="C18" s="126" t="s">
        <v>17</v>
      </c>
      <c r="D18" s="127"/>
      <c r="E18" s="126" t="s">
        <v>17</v>
      </c>
      <c r="F18" s="127"/>
      <c r="G18" s="128" t="s">
        <v>12765</v>
      </c>
      <c r="H18" s="129">
        <f>SUMIF(L22:L500,G18,N22:N500)</f>
        <v>0</v>
      </c>
      <c r="I18" s="119">
        <f>SUMIF(J22:J500,I17,N22:N500)</f>
        <v>0</v>
      </c>
      <c r="J18" s="120"/>
      <c r="K18" s="130"/>
      <c r="L18" s="131"/>
      <c r="M18" s="33"/>
      <c r="N18" s="33"/>
      <c r="O18" s="132"/>
      <c r="P18" s="133"/>
      <c r="Q18" s="133"/>
      <c r="R18" s="134"/>
      <c r="S18" s="33"/>
      <c r="T18" s="230">
        <f>IFERROR(__xludf.DUMMYFUNCTION("""COMPUTED_VALUE"""),46151.86660879629)</f>
        <v>46151.86661</v>
      </c>
      <c r="U18" s="133" t="str">
        <f>IFERROR(__xludf.DUMMYFUNCTION("""COMPUTED_VALUE"""),"R$ 40,00")</f>
        <v>R$ 40,00</v>
      </c>
      <c r="V18" s="133" t="str">
        <f>IFERROR(__xludf.DUMMYFUNCTION("""COMPUTED_VALUE"""),"Consumo")</f>
        <v>Consumo</v>
      </c>
      <c r="W18" s="134" t="str">
        <f>IFERROR(__xludf.DUMMYFUNCTION("""COMPUTED_VALUE"""),"Renan")</f>
        <v>Renan</v>
      </c>
    </row>
    <row r="19" ht="14.25" customHeight="1">
      <c r="A19" s="135"/>
      <c r="B19" s="135"/>
      <c r="C19" s="135"/>
      <c r="D19" s="135"/>
      <c r="E19" s="135"/>
      <c r="F19" s="135"/>
      <c r="G19" s="136"/>
      <c r="H19" s="135"/>
      <c r="I19" s="135"/>
      <c r="J19" s="137"/>
      <c r="K19" s="137"/>
      <c r="L19" s="137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</row>
    <row r="20">
      <c r="A20" s="139"/>
      <c r="B20" s="140" t="s">
        <v>12767</v>
      </c>
      <c r="N20" s="138"/>
      <c r="O20" s="138"/>
      <c r="P20" s="138"/>
      <c r="Q20" s="138"/>
      <c r="R20" s="138"/>
      <c r="S20" s="138"/>
      <c r="T20" s="138"/>
      <c r="U20" s="138"/>
      <c r="V20" s="138"/>
      <c r="W20" s="138"/>
    </row>
    <row r="21">
      <c r="A21" s="141"/>
      <c r="B21" s="142" t="s">
        <v>1</v>
      </c>
      <c r="C21" s="143" t="s">
        <v>10</v>
      </c>
      <c r="D21" s="143" t="s">
        <v>16</v>
      </c>
      <c r="E21" s="144" t="s">
        <v>18</v>
      </c>
      <c r="F21" s="143"/>
      <c r="G21" s="143" t="s">
        <v>8</v>
      </c>
      <c r="H21" s="145"/>
      <c r="I21" s="146" t="s">
        <v>38</v>
      </c>
      <c r="J21" s="143" t="s">
        <v>43</v>
      </c>
      <c r="K21" s="144" t="s">
        <v>12</v>
      </c>
      <c r="L21" s="204" t="s">
        <v>12768</v>
      </c>
      <c r="M21" s="147" t="s">
        <v>5</v>
      </c>
      <c r="N21" s="138"/>
      <c r="O21" s="148" t="str">
        <f>B6</f>
        <v/>
      </c>
      <c r="S21" s="138"/>
      <c r="T21" s="148" t="str">
        <f>B7</f>
        <v>Josi Ribas</v>
      </c>
    </row>
    <row r="22">
      <c r="A22" s="149"/>
      <c r="B22" s="13"/>
      <c r="C22" s="14"/>
      <c r="D22" s="210"/>
      <c r="E22" s="211"/>
      <c r="F22" s="212"/>
      <c r="G22" s="210"/>
      <c r="H22" s="155"/>
      <c r="I22" s="155"/>
      <c r="J22" s="156"/>
      <c r="K22" s="156"/>
      <c r="L22" s="157" t="str">
        <f>IFERROR(__xludf.DUMMYFUNCTION("IF(
  AND(D22=""Saída"", J22=""Sangria""),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'""&amp;K22&amp;""'
             and Col6 = ""&amp;N22&amp;""
             and Col4 = date '""&amp;TEXT(C22,""yyyy-mm-dd"")&amp;""'""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'""&amp;K22&amp;""'
               and Col6 = ""&amp;N22&amp;""
               and Col4 = date '""&amp;TEXT(C22,""yyyy-mm-dd"")&amp;""'""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'""&amp;K22&amp;""'
"&amp;"                 and Col6 = ""&amp;N22&amp;""
                 and Col4 = date '""&amp;TEXT(C22,""yyyy-mm-dd"")&amp;""'""
            )
          )&gt;0,
          ""Confirmada"",
          ""Caixa Sangria""
        )
      )
    ),
    """"
  ),
  """"
)
"),"")</f>
        <v/>
      </c>
      <c r="M22" s="205" t="str">
        <f>IFERROR(__xludf.DUMMYFUNCTION("IF(J22=""Compra de Mercadorias"",
   IF(
      COUNTIF(ARRAYFORMULA(TRIM(CLEAN(TO_TEXT(Notas!BS:BS)))), TRIM(CLEAN(TO_TEXT(B22)))) &gt; 0,
      ""Encontrada"",
      ""Não Encontrada""
   ),
"""")"),"")</f>
        <v/>
      </c>
      <c r="N22" s="159" t="str">
        <f>IFERROR(__xludf.DUMMYFUNCTION("ifna(VALUE(REGEXEXTRACT(E22,""[0-9.]+[,]+[0-9]+"")))"),"")</f>
        <v/>
      </c>
      <c r="O22" s="160" t="str">
        <f>IFERROR(__xludf.DUMMYFUNCTION("query(C21:L500,""select Col1,Col3,Col8,Col9 where Col8 = 'Consumo' and Col9 = '""&amp;B6&amp;""'"",1)"),"Data")</f>
        <v>Data</v>
      </c>
      <c r="P22" s="53" t="str">
        <f>IFERROR(__xludf.DUMMYFUNCTION("""COMPUTED_VALUE"""),"Valor ")</f>
        <v>Valor </v>
      </c>
      <c r="Q22" s="53" t="str">
        <f>IFERROR(__xludf.DUMMYFUNCTION("""COMPUTED_VALUE"""),"Tipo")</f>
        <v>Tipo</v>
      </c>
      <c r="R22" s="53" t="str">
        <f>IFERROR(__xludf.DUMMYFUNCTION("""COMPUTED_VALUE"""),"Funcionário")</f>
        <v>Funcionário</v>
      </c>
      <c r="S22" s="159"/>
      <c r="T22" s="160" t="str">
        <f>IFERROR(__xludf.DUMMYFUNCTION("query(C21:L500,""select Col1,Col3,Col8,Col9 where Col8 = 'Consumo' and Col9 = '""&amp;B7&amp;""'"",1)"),"Data")</f>
        <v>Data</v>
      </c>
      <c r="U22" s="53" t="str">
        <f>IFERROR(__xludf.DUMMYFUNCTION("""COMPUTED_VALUE"""),"Valor ")</f>
        <v>Valor </v>
      </c>
      <c r="V22" s="53" t="str">
        <f>IFERROR(__xludf.DUMMYFUNCTION("""COMPUTED_VALUE"""),"Tipo")</f>
        <v>Tipo</v>
      </c>
      <c r="W22" s="53" t="str">
        <f>IFERROR(__xludf.DUMMYFUNCTION("""COMPUTED_VALUE"""),"Funcionário")</f>
        <v>Funcionário</v>
      </c>
    </row>
    <row r="23" ht="14.25" customHeight="1">
      <c r="A23" s="149"/>
      <c r="B23" s="13">
        <v>2150653.0</v>
      </c>
      <c r="C23" s="14">
        <v>46138.85293981482</v>
      </c>
      <c r="D23" s="210" t="s">
        <v>101</v>
      </c>
      <c r="E23" s="211" t="s">
        <v>104</v>
      </c>
      <c r="F23" s="212"/>
      <c r="G23" s="210" t="s">
        <v>109</v>
      </c>
      <c r="H23" s="161"/>
      <c r="I23" s="161"/>
      <c r="J23" s="156" t="s">
        <v>12658</v>
      </c>
      <c r="K23" s="156" t="s">
        <v>11866</v>
      </c>
      <c r="L23" s="157" t="str">
        <f>IFERROR(__xludf.DUMMYFUNCTION("IF(
  AND(D23=""Saída"", J23=""Sangria""),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'""&amp;K23&amp;""'
             and Col6 = ""&amp;N23&amp;""
             and Col4 = date '""&amp;TEXT(C23,""yyyy-mm-dd"")&amp;""'""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'""&amp;K23&amp;""'
               and Col6 = ""&amp;N23&amp;""
               and Col4 = date '""&amp;TEXT(C23,""yyyy-mm-dd"")&amp;""'""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'""&amp;K23&amp;""'
"&amp;"                 and Col6 = ""&amp;N23&amp;""
                 and Col4 = date '""&amp;TEXT(C23,""yyyy-mm-dd"")&amp;""'""
            )
          )&gt;0,
          ""Confirmada"",
          ""Caixa Sangria""
        )
      )
    ),
    """"
  ),
  """"
)
"),"")</f>
        <v/>
      </c>
      <c r="M23" s="162" t="str">
        <f>IFERROR(__xludf.DUMMYFUNCTION("IF(J23=""Compra de Mercadorias"",
   IF(
      COUNTIF(ARRAYFORMULA(TRIM(CLEAN(TO_TEXT(Notas!BS:BS)))), TRIM(CLEAN(TO_TEXT(B23)))) &gt; 0,
      ""Encontrada"",
      ""Não Encontrada""
   ),
"""")"),"")</f>
        <v/>
      </c>
      <c r="N23" s="159">
        <f>IFERROR(__xludf.DUMMYFUNCTION("ifna(VALUE(REGEXEXTRACT(E23,""[0-9.]+[,]+[0-9]+"")))"),16.7)</f>
        <v>16.7</v>
      </c>
      <c r="O23" s="58"/>
      <c r="P23" s="58"/>
      <c r="Q23" s="58"/>
      <c r="R23" s="58"/>
      <c r="S23" s="159"/>
      <c r="T23" s="58"/>
      <c r="U23" s="58"/>
      <c r="V23" s="58"/>
      <c r="W23" s="58"/>
    </row>
    <row r="24" ht="14.25" customHeight="1">
      <c r="A24" s="149"/>
      <c r="B24" s="13">
        <v>2150854.0</v>
      </c>
      <c r="C24" s="14">
        <v>46138.885</v>
      </c>
      <c r="D24" s="210" t="s">
        <v>101</v>
      </c>
      <c r="E24" s="211" t="s">
        <v>121</v>
      </c>
      <c r="F24" s="212"/>
      <c r="G24" s="210" t="s">
        <v>124</v>
      </c>
      <c r="H24" s="161"/>
      <c r="I24" s="161"/>
      <c r="J24" s="156" t="s">
        <v>10036</v>
      </c>
      <c r="K24" s="156"/>
      <c r="L24" s="157" t="str">
        <f>IFERROR(__xludf.DUMMYFUNCTION("IF(
  AND(D24=""Saída"", J24=""Sangria""),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'""&amp;K24&amp;""'
             and Col6 = ""&amp;N24&amp;""
             and Col4 = date '""&amp;TEXT(C24,""yyyy-mm-dd"")&amp;""'""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'""&amp;K24&amp;""'
               and Col6 = ""&amp;N24&amp;""
               and Col4 = date '""&amp;TEXT(C24,""yyyy-mm-dd"")&amp;""'""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'""&amp;K24&amp;""'
"&amp;"                 and Col6 = ""&amp;N24&amp;""
                 and Col4 = date '""&amp;TEXT(C24,""yyyy-mm-dd"")&amp;""'""
            )
          )&gt;0,
          ""Confirmada"",
          ""Caixa Sangria""
        )
      )
    ),
    """"
  ),
  """"
)
"),"")</f>
        <v/>
      </c>
      <c r="M24" s="207" t="str">
        <f>IFERROR(__xludf.DUMMYFUNCTION("IF(J24=""Compra de Mercadorias"",
   IF(
      COUNTIF(ARRAYFORMULA(TRIM(CLEAN(TO_TEXT(Notas!BS:BS)))), TRIM(CLEAN(TO_TEXT(B24)))) &gt; 0,
      ""Encontrada"",
      ""Não Encontrada""
   ),
"""")"),"")</f>
        <v/>
      </c>
      <c r="N24" s="159">
        <f>IFERROR(__xludf.DUMMYFUNCTION("ifna(VALUE(REGEXEXTRACT(E24,""[0-9.]+[,]+[0-9]+"")))"),135.0)</f>
        <v>135</v>
      </c>
      <c r="O24" s="58"/>
      <c r="P24" s="58"/>
      <c r="Q24" s="58"/>
      <c r="R24" s="58"/>
      <c r="S24" s="159"/>
      <c r="T24" s="58"/>
      <c r="U24" s="58"/>
      <c r="V24" s="58"/>
      <c r="W24" s="58"/>
    </row>
    <row r="25" ht="14.25" customHeight="1">
      <c r="A25" s="149"/>
      <c r="B25" s="13">
        <v>2151126.0</v>
      </c>
      <c r="C25" s="14">
        <v>46138.9146412037</v>
      </c>
      <c r="D25" s="210" t="s">
        <v>101</v>
      </c>
      <c r="E25" s="211" t="s">
        <v>130</v>
      </c>
      <c r="F25" s="212"/>
      <c r="G25" s="210" t="s">
        <v>133</v>
      </c>
      <c r="H25" s="161"/>
      <c r="I25" s="161"/>
      <c r="J25" s="156" t="s">
        <v>6914</v>
      </c>
      <c r="K25" s="156"/>
      <c r="L25" s="157" t="str">
        <f>IFERROR(__xludf.DUMMYFUNCTION("IF(
  AND(D25=""Saída"", J25=""Sangria""),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'""&amp;K25&amp;""'
             and Col6 = ""&amp;N25&amp;""
             and Col4 = date '""&amp;TEXT(C25,""yyyy-mm-dd"")&amp;""'""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'""&amp;K25&amp;""'
               and Col6 = ""&amp;N25&amp;""
               and Col4 = date '""&amp;TEXT(C25,""yyyy-mm-dd"")&amp;""'""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'""&amp;K25&amp;""'
"&amp;"                 and Col6 = ""&amp;N25&amp;""
                 and Col4 = date '""&amp;TEXT(C25,""yyyy-mm-dd"")&amp;""'""
            )
          )&gt;0,
          ""Confirmada"",
          ""Caixa Sangria""
        )
      )
    ),
    """"
  ),
  """"
)
"),"")</f>
        <v/>
      </c>
      <c r="M25" s="205" t="str">
        <f>IFERROR(__xludf.DUMMYFUNCTION("IF(J25=""Compra de Mercadorias"",
   IF(
      COUNTIF(ARRAYFORMULA(TRIM(CLEAN(TO_TEXT(Notas!BS:BS)))), TRIM(CLEAN(TO_TEXT(B25)))) &gt; 0,
      ""Encontrada"",
      ""Não Encontrada""
   ),
"""")"),"")</f>
        <v/>
      </c>
      <c r="N25" s="159">
        <f>IFERROR(__xludf.DUMMYFUNCTION("ifna(VALUE(REGEXEXTRACT(E25,""[0-9.]+[,]+[0-9]+"")))"),302.0)</f>
        <v>302</v>
      </c>
      <c r="O25" s="67"/>
      <c r="P25" s="67"/>
      <c r="Q25" s="67"/>
      <c r="R25" s="67"/>
      <c r="S25" s="159"/>
      <c r="T25" s="67"/>
      <c r="U25" s="67"/>
      <c r="V25" s="67"/>
      <c r="W25" s="67"/>
    </row>
    <row r="26" ht="14.25" customHeight="1">
      <c r="A26" s="149"/>
      <c r="B26" s="13">
        <v>2152362.0</v>
      </c>
      <c r="C26" s="14">
        <v>46139.697291666664</v>
      </c>
      <c r="D26" s="210" t="s">
        <v>139</v>
      </c>
      <c r="E26" s="211" t="s">
        <v>141</v>
      </c>
      <c r="F26" s="212"/>
      <c r="G26" s="210" t="s">
        <v>142</v>
      </c>
      <c r="H26" s="161"/>
      <c r="I26" s="161"/>
      <c r="J26" s="156" t="s">
        <v>12952</v>
      </c>
      <c r="K26" s="156"/>
      <c r="L26" s="157" t="str">
        <f>IFERROR(__xludf.DUMMYFUNCTION("IF(
  AND(D26=""Saída"", J26=""Sangria""),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'""&amp;K26&amp;""'
             and Col6 = ""&amp;N26&amp;""
             and Col4 = date '""&amp;TEXT(C26,""yyyy-mm-dd"")&amp;""'""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'""&amp;K26&amp;""'
               and Col6 = ""&amp;N26&amp;""
               and Col4 = date '""&amp;TEXT(C26,""yyyy-mm-dd"")&amp;""'""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'""&amp;K26&amp;""'
"&amp;"                 and Col6 = ""&amp;N26&amp;""
                 and Col4 = date '""&amp;TEXT(C26,""yyyy-mm-dd"")&amp;""'""
            )
          )&gt;0,
          ""Confirmada"",
          ""Caixa Sangria""
        )
      )
    ),
    """"
  ),
  """"
)
"),"")</f>
        <v/>
      </c>
      <c r="M26" s="207" t="str">
        <f>IFERROR(__xludf.DUMMYFUNCTION("IF(J26=""Compra de Mercadorias"",
   IF(
      COUNTIF(ARRAYFORMULA(TRIM(CLEAN(TO_TEXT(Notas!BS:BS)))), TRIM(CLEAN(TO_TEXT(B26)))) &gt; 0,
      ""Encontrada"",
      ""Não Encontrada""
   ),
"""")"),"")</f>
        <v/>
      </c>
      <c r="N26" s="159">
        <f>IFERROR(__xludf.DUMMYFUNCTION("ifna(VALUE(REGEXEXTRACT(E26,""[0-9.]+[,]+[0-9]+"")))"),50.0)</f>
        <v>50</v>
      </c>
      <c r="O26" s="67"/>
      <c r="P26" s="67"/>
      <c r="Q26" s="67"/>
      <c r="R26" s="67"/>
      <c r="S26" s="159"/>
      <c r="T26" s="67"/>
      <c r="U26" s="67"/>
      <c r="V26" s="67"/>
      <c r="W26" s="67"/>
    </row>
    <row r="27" ht="14.25" customHeight="1">
      <c r="A27" s="149"/>
      <c r="B27" s="13">
        <v>2152439.0</v>
      </c>
      <c r="C27" s="14">
        <v>46139.72385416667</v>
      </c>
      <c r="D27" s="210" t="s">
        <v>101</v>
      </c>
      <c r="E27" s="211" t="s">
        <v>149</v>
      </c>
      <c r="F27" s="212"/>
      <c r="G27" s="210" t="s">
        <v>133</v>
      </c>
      <c r="H27" s="161"/>
      <c r="I27" s="161"/>
      <c r="J27" s="156" t="s">
        <v>6914</v>
      </c>
      <c r="K27" s="156"/>
      <c r="L27" s="157" t="str">
        <f>IFERROR(__xludf.DUMMYFUNCTION("IF(
  AND(D27=""Saída"", J27=""Sangria""),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'""&amp;K27&amp;""'
             and Col6 = ""&amp;N27&amp;""
             and Col4 = date '""&amp;TEXT(C27,""yyyy-mm-dd"")&amp;""'""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'""&amp;K27&amp;""'
               and Col6 = ""&amp;N27&amp;""
               and Col4 = date '""&amp;TEXT(C27,""yyyy-mm-dd"")&amp;""'""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'""&amp;K27&amp;""'
"&amp;"                 and Col6 = ""&amp;N27&amp;""
                 and Col4 = date '""&amp;TEXT(C27,""yyyy-mm-dd"")&amp;""'""
            )
          )&gt;0,
          ""Confirmada"",
          ""Caixa Sangria""
        )
      )
    ),
    """"
  ),
  """"
)
"),"")</f>
        <v/>
      </c>
      <c r="M27" s="209" t="str">
        <f>IFERROR(__xludf.DUMMYFUNCTION("IF(J27=""Compra de Mercadorias"",
   IF(
      COUNTIF(ARRAYFORMULA(TRIM(CLEAN(TO_TEXT(Notas!BS:BS)))), TRIM(CLEAN(TO_TEXT(B27)))) &gt; 0,
      ""Encontrada"",
      ""Não Encontrada""
   ),
"""")"),"")</f>
        <v/>
      </c>
      <c r="N27" s="159">
        <f>IFERROR(__xludf.DUMMYFUNCTION("ifna(VALUE(REGEXEXTRACT(E27,""[0-9.]+[,]+[0-9]+"")))"),69.0)</f>
        <v>69</v>
      </c>
      <c r="O27" s="67"/>
      <c r="P27" s="67"/>
      <c r="Q27" s="67"/>
      <c r="R27" s="67"/>
      <c r="S27" s="159"/>
      <c r="T27" s="67"/>
      <c r="U27" s="67"/>
      <c r="V27" s="67"/>
      <c r="W27" s="67"/>
    </row>
    <row r="28" ht="14.25" customHeight="1">
      <c r="A28" s="149"/>
      <c r="B28" s="13">
        <v>2152797.0</v>
      </c>
      <c r="C28" s="14">
        <v>46139.87542824074</v>
      </c>
      <c r="D28" s="210" t="s">
        <v>139</v>
      </c>
      <c r="E28" s="211" t="s">
        <v>161</v>
      </c>
      <c r="F28" s="212"/>
      <c r="G28" s="210" t="s">
        <v>142</v>
      </c>
      <c r="H28" s="161"/>
      <c r="I28" s="161"/>
      <c r="J28" s="156" t="s">
        <v>12952</v>
      </c>
      <c r="K28" s="156"/>
      <c r="L28" s="157" t="str">
        <f>IFERROR(__xludf.DUMMYFUNCTION("IF(
  AND(D28=""Saída"", J28=""Sangria""),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'""&amp;K28&amp;""'
             and Col6 = ""&amp;N28&amp;""
             and Col4 = date '""&amp;TEXT(C28,""yyyy-mm-dd"")&amp;""'""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'""&amp;K28&amp;""'
               and Col6 = ""&amp;N28&amp;""
               and Col4 = date '""&amp;TEXT(C28,""yyyy-mm-dd"")&amp;""'""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'""&amp;K28&amp;""'
"&amp;"                 and Col6 = ""&amp;N28&amp;""
                 and Col4 = date '""&amp;TEXT(C28,""yyyy-mm-dd"")&amp;""'""
            )
          )&gt;0,
          ""Confirmada"",
          ""Caixa Sangria""
        )
      )
    ),
    """"
  ),
  """"
)
"),"")</f>
        <v/>
      </c>
      <c r="M28" s="207" t="str">
        <f>IFERROR(__xludf.DUMMYFUNCTION("IF(J28=""Compra de Mercadorias"",
   IF(
      COUNTIF(ARRAYFORMULA(TRIM(CLEAN(TO_TEXT(Notas!BS:BS)))), TRIM(CLEAN(TO_TEXT(B28)))) &gt; 0,
      ""Encontrada"",
      ""Não Encontrada""
   ),
"""")"),"")</f>
        <v/>
      </c>
      <c r="N28" s="159">
        <f>IFERROR(__xludf.DUMMYFUNCTION("ifna(VALUE(REGEXEXTRACT(E28,""[0-9.]+[,]+[0-9]+"")))"),60.0)</f>
        <v>60</v>
      </c>
      <c r="O28" s="82"/>
      <c r="P28" s="82"/>
      <c r="Q28" s="82"/>
      <c r="R28" s="82"/>
      <c r="S28" s="159"/>
      <c r="T28" s="82"/>
      <c r="U28" s="82"/>
      <c r="V28" s="82"/>
      <c r="W28" s="82"/>
    </row>
    <row r="29" ht="14.25" customHeight="1">
      <c r="A29" s="149"/>
      <c r="B29" s="13">
        <v>2152821.0</v>
      </c>
      <c r="C29" s="14">
        <v>46139.88002314815</v>
      </c>
      <c r="D29" s="210" t="s">
        <v>101</v>
      </c>
      <c r="E29" s="211" t="s">
        <v>165</v>
      </c>
      <c r="F29" s="212"/>
      <c r="G29" s="210" t="s">
        <v>167</v>
      </c>
      <c r="H29" s="161"/>
      <c r="I29" s="161"/>
      <c r="J29" s="156" t="s">
        <v>12818</v>
      </c>
      <c r="K29" s="156"/>
      <c r="L29" s="157" t="str">
        <f>IFERROR(__xludf.DUMMYFUNCTION("IF(
  AND(D29=""Saída"", J29=""Sangria""),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'""&amp;K29&amp;""'
             and Col6 = ""&amp;N29&amp;""
             and Col4 = date '""&amp;TEXT(C29,""yyyy-mm-dd"")&amp;""'""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'""&amp;K29&amp;""'
               and Col6 = ""&amp;N29&amp;""
               and Col4 = date '""&amp;TEXT(C29,""yyyy-mm-dd"")&amp;""'""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'""&amp;K29&amp;""'
"&amp;"                 and Col6 = ""&amp;N29&amp;""
                 and Col4 = date '""&amp;TEXT(C29,""yyyy-mm-dd"")&amp;""'""
            )
          )&gt;0,
          ""Confirmada"",
          ""Caixa Sangria""
        )
      )
    ),
    """"
  ),
  """"
)
"),"")</f>
        <v/>
      </c>
      <c r="M29" s="162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159">
        <f>IFERROR(__xludf.DUMMYFUNCTION("ifna(VALUE(REGEXEXTRACT(E29,""[0-9.]+[,]+[0-9]+"")))"),58.0)</f>
        <v>58</v>
      </c>
      <c r="O29" s="82"/>
      <c r="P29" s="82"/>
      <c r="Q29" s="82"/>
      <c r="R29" s="82"/>
      <c r="S29" s="159"/>
      <c r="T29" s="82"/>
      <c r="U29" s="82"/>
      <c r="V29" s="82"/>
      <c r="W29" s="82"/>
    </row>
    <row r="30" ht="14.25" customHeight="1">
      <c r="A30" s="149"/>
      <c r="B30" s="13">
        <v>2152929.0</v>
      </c>
      <c r="C30" s="14">
        <v>46139.90762731482</v>
      </c>
      <c r="D30" s="210" t="s">
        <v>101</v>
      </c>
      <c r="E30" s="211" t="s">
        <v>179</v>
      </c>
      <c r="F30" s="212"/>
      <c r="G30" s="210" t="s">
        <v>181</v>
      </c>
      <c r="H30" s="161"/>
      <c r="I30" s="161"/>
      <c r="J30" s="156" t="s">
        <v>6914</v>
      </c>
      <c r="K30" s="156"/>
      <c r="L30" s="157" t="str">
        <f>IFERROR(__xludf.DUMMYFUNCTION("IF(
  AND(D30=""Saída"", J30=""Sangria""),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'""&amp;K30&amp;""'
             and Col6 = ""&amp;N30&amp;""
             and Col4 = date '""&amp;TEXT(C30,""yyyy-mm-dd"")&amp;""'""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'""&amp;K30&amp;""'
               and Col6 = ""&amp;N30&amp;""
               and Col4 = date '""&amp;TEXT(C30,""yyyy-mm-dd"")&amp;""'""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'""&amp;K30&amp;""'
"&amp;"                 and Col6 = ""&amp;N30&amp;""
                 and Col4 = date '""&amp;TEXT(C30,""yyyy-mm-dd"")&amp;""'""
            )
          )&gt;0,
          ""Confirmada"",
          ""Caixa Sangria""
        )
      )
    ),
    """"
  ),
  """"
)
"),"")</f>
        <v/>
      </c>
      <c r="M30" s="207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159">
        <f>IFERROR(__xludf.DUMMYFUNCTION("ifna(VALUE(REGEXEXTRACT(E30,""[0-9.]+[,]+[0-9]+"")))"),20.0)</f>
        <v>20</v>
      </c>
      <c r="O30" s="82"/>
      <c r="P30" s="82"/>
      <c r="Q30" s="82"/>
      <c r="R30" s="82"/>
      <c r="S30" s="159"/>
      <c r="T30" s="82"/>
      <c r="U30" s="82"/>
      <c r="V30" s="82"/>
      <c r="W30" s="82"/>
    </row>
    <row r="31" ht="14.25" customHeight="1">
      <c r="A31" s="149"/>
      <c r="B31" s="13">
        <v>2153802.0</v>
      </c>
      <c r="C31" s="14">
        <v>46140.73045138889</v>
      </c>
      <c r="D31" s="210" t="s">
        <v>101</v>
      </c>
      <c r="E31" s="211" t="s">
        <v>191</v>
      </c>
      <c r="F31" s="212"/>
      <c r="G31" s="210" t="s">
        <v>133</v>
      </c>
      <c r="H31" s="161"/>
      <c r="I31" s="161"/>
      <c r="J31" s="156" t="s">
        <v>6914</v>
      </c>
      <c r="K31" s="156"/>
      <c r="L31" s="157" t="str">
        <f>IFERROR(__xludf.DUMMYFUNCTION("IF(
  AND(D31=""Saída"", J31=""Sangria""),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'""&amp;K31&amp;""'
             and Col6 = ""&amp;N31&amp;""
             and Col4 = date '""&amp;TEXT(C31,""yyyy-mm-dd"")&amp;""'""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'""&amp;K31&amp;""'
               and Col6 = ""&amp;N31&amp;""
               and Col4 = date '""&amp;TEXT(C31,""yyyy-mm-dd"")&amp;""'""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'""&amp;K31&amp;""'
"&amp;"                 and Col6 = ""&amp;N31&amp;""
                 and Col4 = date '""&amp;TEXT(C31,""yyyy-mm-dd"")&amp;""'""
            )
          )&gt;0,
          ""Confirmada"",
          ""Caixa Sangria""
        )
      )
    ),
    """"
  ),
  """"
)
"),"")</f>
        <v/>
      </c>
      <c r="M31" s="162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159">
        <f>IFERROR(__xludf.DUMMYFUNCTION("ifna(VALUE(REGEXEXTRACT(E31,""[0-9.]+[,]+[0-9]+"")))"),39.0)</f>
        <v>39</v>
      </c>
      <c r="O31" s="82"/>
      <c r="P31" s="82"/>
      <c r="Q31" s="82"/>
      <c r="R31" s="82"/>
      <c r="S31" s="159"/>
      <c r="T31" s="82"/>
      <c r="U31" s="82"/>
      <c r="V31" s="82"/>
      <c r="W31" s="82"/>
    </row>
    <row r="32" ht="14.25" customHeight="1">
      <c r="A32" s="149"/>
      <c r="B32" s="13">
        <v>2153820.0</v>
      </c>
      <c r="C32" s="14">
        <v>46140.74114583333</v>
      </c>
      <c r="D32" s="210" t="s">
        <v>101</v>
      </c>
      <c r="E32" s="211" t="s">
        <v>201</v>
      </c>
      <c r="F32" s="212"/>
      <c r="G32" s="210" t="s">
        <v>202</v>
      </c>
      <c r="H32" s="161"/>
      <c r="I32" s="161"/>
      <c r="J32" s="156" t="s">
        <v>12778</v>
      </c>
      <c r="K32" s="156" t="s">
        <v>11866</v>
      </c>
      <c r="L32" s="157" t="str">
        <f>IFERROR(__xludf.DUMMYFUNCTION("IF(
  AND(D32=""Saída"", J32=""Sangria""),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'""&amp;K32&amp;""'
             and Col6 = ""&amp;N32&amp;""
             and Col4 = date '""&amp;TEXT(C32,""yyyy-mm-dd"")&amp;""'""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'""&amp;K32&amp;""'
               and Col6 = ""&amp;N32&amp;""
               and Col4 = date '""&amp;TEXT(C32,""yyyy-mm-dd"")&amp;""'""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'""&amp;K32&amp;""'
"&amp;"                 and Col6 = ""&amp;N32&amp;""
                 and Col4 = date '""&amp;TEXT(C32,""yyyy-mm-dd"")&amp;""'""
            )
          )&gt;0,
          ""Confirmada"",
          ""Caixa Sangria""
        )
      )
    ),
    """"
  ),
  """"
)
"),"Caixa Atendimento")</f>
        <v>Caixa Atendimento</v>
      </c>
      <c r="M32" s="166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159">
        <f>IFERROR(__xludf.DUMMYFUNCTION("ifna(VALUE(REGEXEXTRACT(E32,""[0-9.]+[,]+[0-9]+"")))"),150.0)</f>
        <v>150</v>
      </c>
      <c r="O32" s="82"/>
      <c r="P32" s="82"/>
      <c r="Q32" s="82"/>
      <c r="R32" s="82"/>
      <c r="S32" s="159"/>
      <c r="T32" s="82"/>
      <c r="U32" s="82"/>
      <c r="V32" s="82"/>
      <c r="W32" s="82"/>
    </row>
    <row r="33" ht="14.25" customHeight="1">
      <c r="A33" s="149"/>
      <c r="B33" s="13">
        <v>2154260.0</v>
      </c>
      <c r="C33" s="14">
        <v>46140.91162037037</v>
      </c>
      <c r="D33" s="210" t="s">
        <v>101</v>
      </c>
      <c r="E33" s="211" t="s">
        <v>210</v>
      </c>
      <c r="F33" s="212"/>
      <c r="G33" s="210" t="s">
        <v>181</v>
      </c>
      <c r="H33" s="161"/>
      <c r="I33" s="161"/>
      <c r="J33" s="156" t="s">
        <v>6914</v>
      </c>
      <c r="K33" s="156"/>
      <c r="L33" s="157" t="str">
        <f>IFERROR(__xludf.DUMMYFUNCTION("IF(
  AND(D33=""Saída"", J33=""Sangria""),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'""&amp;K33&amp;""'
             and Col6 = ""&amp;N33&amp;""
             and Col4 = date '""&amp;TEXT(C33,""yyyy-mm-dd"")&amp;""'""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'""&amp;K33&amp;""'
               and Col6 = ""&amp;N33&amp;""
               and Col4 = date '""&amp;TEXT(C33,""yyyy-mm-dd"")&amp;""'""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'""&amp;K33&amp;""'
"&amp;"                 and Col6 = ""&amp;N33&amp;""
                 and Col4 = date '""&amp;TEXT(C33,""yyyy-mm-dd"")&amp;""'""
            )
          )&gt;0,
          ""Confirmada"",
          ""Caixa Sangria""
        )
      )
    ),
    """"
  ),
  """"
)
"),"")</f>
        <v/>
      </c>
      <c r="M33" s="209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159">
        <f>IFERROR(__xludf.DUMMYFUNCTION("ifna(VALUE(REGEXEXTRACT(E33,""[0-9.]+[,]+[0-9]+"")))"),40.0)</f>
        <v>40</v>
      </c>
      <c r="O33" s="82"/>
      <c r="P33" s="82"/>
      <c r="Q33" s="82"/>
      <c r="R33" s="82"/>
      <c r="S33" s="159"/>
      <c r="T33" s="82"/>
      <c r="U33" s="82"/>
      <c r="V33" s="82"/>
      <c r="W33" s="82"/>
    </row>
    <row r="34" ht="14.25" customHeight="1">
      <c r="A34" s="149"/>
      <c r="B34" s="13">
        <v>2154282.0</v>
      </c>
      <c r="C34" s="14">
        <v>46140.91440972222</v>
      </c>
      <c r="D34" s="210" t="s">
        <v>101</v>
      </c>
      <c r="E34" s="211" t="s">
        <v>213</v>
      </c>
      <c r="F34" s="212"/>
      <c r="G34" s="210" t="s">
        <v>215</v>
      </c>
      <c r="H34" s="161"/>
      <c r="I34" s="161"/>
      <c r="J34" s="156" t="s">
        <v>12778</v>
      </c>
      <c r="K34" s="156" t="s">
        <v>13763</v>
      </c>
      <c r="L34" s="157" t="str">
        <f>IFERROR(__xludf.DUMMYFUNCTION("IF(
  AND(D34=""Saída"", J34=""Sangria""),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'""&amp;K34&amp;""'
             and Col6 = ""&amp;N34&amp;""
             and Col4 = date '""&amp;TEXT(C34,""yyyy-mm-dd"")&amp;""'""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'""&amp;K34&amp;""'
               and Col6 = ""&amp;N34&amp;""
               and Col4 = date '""&amp;TEXT(C34,""yyyy-mm-dd"")&amp;""'""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'""&amp;K34&amp;""'
"&amp;"                 and Col6 = ""&amp;N34&amp;""
                 and Col4 = date '""&amp;TEXT(C34,""yyyy-mm-dd"")&amp;""'""
            )
          )&gt;0,
          ""Confirmada"",
          ""Caixa Sangria""
        )
      )
    ),
    """"
  ),
  """"
)
"),"Caixa Atendimento")</f>
        <v>Caixa Atendimento</v>
      </c>
      <c r="M34" s="207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159">
        <f>IFERROR(__xludf.DUMMYFUNCTION("ifna(VALUE(REGEXEXTRACT(E34,""[0-9.]+[,]+[0-9]+"")))"),200.0)</f>
        <v>200</v>
      </c>
      <c r="O34" s="82"/>
      <c r="P34" s="82"/>
      <c r="Q34" s="82"/>
      <c r="R34" s="82"/>
      <c r="S34" s="159"/>
      <c r="T34" s="82"/>
      <c r="U34" s="82"/>
      <c r="V34" s="82"/>
      <c r="W34" s="82"/>
    </row>
    <row r="35" ht="14.25" customHeight="1">
      <c r="A35" s="149"/>
      <c r="B35" s="13">
        <v>2155128.0</v>
      </c>
      <c r="C35" s="14">
        <v>46141.73127314815</v>
      </c>
      <c r="D35" s="210" t="s">
        <v>101</v>
      </c>
      <c r="E35" s="211" t="s">
        <v>179</v>
      </c>
      <c r="F35" s="212"/>
      <c r="G35" s="210" t="s">
        <v>133</v>
      </c>
      <c r="H35" s="161"/>
      <c r="I35" s="161"/>
      <c r="J35" s="156" t="s">
        <v>6914</v>
      </c>
      <c r="K35" s="156"/>
      <c r="L35" s="157" t="str">
        <f>IFERROR(__xludf.DUMMYFUNCTION("IF(
  AND(D35=""Saída"", J35=""Sangria""),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'""&amp;K35&amp;""'
             and Col6 = ""&amp;N35&amp;""
             and Col4 = date '""&amp;TEXT(C35,""yyyy-mm-dd"")&amp;""'""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'""&amp;K35&amp;""'
               and Col6 = ""&amp;N35&amp;""
               and Col4 = date '""&amp;TEXT(C35,""yyyy-mm-dd"")&amp;""'""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'""&amp;K35&amp;""'
"&amp;"                 and Col6 = ""&amp;N35&amp;""
                 and Col4 = date '""&amp;TEXT(C35,""yyyy-mm-dd"")&amp;""'""
            )
          )&gt;0,
          ""Confirmada"",
          ""Caixa Sangria""
        )
      )
    ),
    """"
  ),
  """"
)
"),"")</f>
        <v/>
      </c>
      <c r="M35" s="209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159">
        <f>IFERROR(__xludf.DUMMYFUNCTION("ifna(VALUE(REGEXEXTRACT(E35,""[0-9.]+[,]+[0-9]+"")))"),20.0)</f>
        <v>20</v>
      </c>
      <c r="O35" s="82"/>
      <c r="P35" s="82"/>
      <c r="Q35" s="82"/>
      <c r="R35" s="82"/>
      <c r="S35" s="159"/>
      <c r="T35" s="82"/>
      <c r="U35" s="82"/>
      <c r="V35" s="82"/>
      <c r="W35" s="82"/>
    </row>
    <row r="36" ht="14.25" customHeight="1">
      <c r="A36" s="149"/>
      <c r="B36" s="13">
        <v>2155540.0</v>
      </c>
      <c r="C36" s="14">
        <v>46141.9084375</v>
      </c>
      <c r="D36" s="210" t="s">
        <v>101</v>
      </c>
      <c r="E36" s="211" t="s">
        <v>223</v>
      </c>
      <c r="F36" s="212"/>
      <c r="G36" s="210" t="s">
        <v>225</v>
      </c>
      <c r="H36" s="169"/>
      <c r="I36" s="169"/>
      <c r="J36" s="156" t="s">
        <v>12658</v>
      </c>
      <c r="K36" s="156" t="s">
        <v>12693</v>
      </c>
      <c r="L36" s="157" t="str">
        <f>IFERROR(__xludf.DUMMYFUNCTION("IF(
  AND(D36=""Saída"", J36=""Sangria""),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'""&amp;K36&amp;""'
             and Col6 = ""&amp;N36&amp;""
             and Col4 = date '""&amp;TEXT(C36,""yyyy-mm-dd"")&amp;""'""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'""&amp;K36&amp;""'
               and Col6 = ""&amp;N36&amp;""
               and Col4 = date '""&amp;TEXT(C36,""yyyy-mm-dd"")&amp;""'""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'""&amp;K36&amp;""'
"&amp;"                 and Col6 = ""&amp;N36&amp;""
                 and Col4 = date '""&amp;TEXT(C36,""yyyy-mm-dd"")&amp;""'""
            )
          )&gt;0,
          ""Confirmada"",
          ""Caixa Sangria""
        )
      )
    ),
    """"
  ),
  """"
)
"),"")</f>
        <v/>
      </c>
      <c r="M36" s="205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159">
        <f>IFERROR(__xludf.DUMMYFUNCTION("ifna(VALUE(REGEXEXTRACT(E36,""[0-9.]+[,]+[0-9]+"")))"),55.0)</f>
        <v>55</v>
      </c>
      <c r="O36" s="58"/>
      <c r="P36" s="58"/>
      <c r="Q36" s="58"/>
      <c r="R36" s="58"/>
      <c r="S36" s="159"/>
      <c r="T36" s="58"/>
      <c r="U36" s="58"/>
      <c r="V36" s="58"/>
      <c r="W36" s="58"/>
    </row>
    <row r="37" ht="14.25" customHeight="1">
      <c r="A37" s="149"/>
      <c r="B37" s="13">
        <v>2155542.0</v>
      </c>
      <c r="C37" s="14">
        <v>46141.908784722225</v>
      </c>
      <c r="D37" s="210" t="s">
        <v>101</v>
      </c>
      <c r="E37" s="211" t="s">
        <v>231</v>
      </c>
      <c r="F37" s="212"/>
      <c r="G37" s="210" t="s">
        <v>181</v>
      </c>
      <c r="H37" s="169"/>
      <c r="I37" s="169"/>
      <c r="J37" s="156" t="s">
        <v>6914</v>
      </c>
      <c r="K37" s="156"/>
      <c r="L37" s="157" t="str">
        <f>IFERROR(__xludf.DUMMYFUNCTION("IF(
  AND(D37=""Saída"", J37=""Sangria""),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'""&amp;K37&amp;""'
             and Col6 = ""&amp;N37&amp;""
             and Col4 = date '""&amp;TEXT(C37,""yyyy-mm-dd"")&amp;""'""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'""&amp;K37&amp;""'
               and Col6 = ""&amp;N37&amp;""
               and Col4 = date '""&amp;TEXT(C37,""yyyy-mm-dd"")&amp;""'""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'""&amp;K37&amp;""'
"&amp;"                 and Col6 = ""&amp;N37&amp;""
                 and Col4 = date '""&amp;TEXT(C37,""yyyy-mm-dd"")&amp;""'""
            )
          )&gt;0,
          ""Confirmada"",
          ""Caixa Sangria""
        )
      )
    ),
    """"
  ),
  """"
)
"),"")</f>
        <v/>
      </c>
      <c r="M37" s="209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159">
        <f>IFERROR(__xludf.DUMMYFUNCTION("ifna(VALUE(REGEXEXTRACT(E37,""[0-9.]+[,]+[0-9]+"")))"),10.0)</f>
        <v>10</v>
      </c>
      <c r="O37" s="159"/>
      <c r="P37" s="159"/>
      <c r="Q37" s="159"/>
      <c r="R37" s="159"/>
      <c r="S37" s="159"/>
      <c r="T37" s="159"/>
      <c r="U37" s="159"/>
      <c r="V37" s="159"/>
      <c r="W37" s="159"/>
    </row>
    <row r="38" ht="14.25" customHeight="1">
      <c r="A38" s="149"/>
      <c r="B38" s="13">
        <v>2155593.0</v>
      </c>
      <c r="C38" s="14">
        <v>46141.914930555555</v>
      </c>
      <c r="D38" s="210" t="s">
        <v>101</v>
      </c>
      <c r="E38" s="211" t="s">
        <v>237</v>
      </c>
      <c r="F38" s="212"/>
      <c r="G38" s="210" t="s">
        <v>239</v>
      </c>
      <c r="H38" s="170"/>
      <c r="I38" s="170"/>
      <c r="J38" s="156" t="s">
        <v>12778</v>
      </c>
      <c r="K38" s="156" t="s">
        <v>13763</v>
      </c>
      <c r="L38" s="157" t="str">
        <f>IFERROR(__xludf.DUMMYFUNCTION("IF(
  AND(D38=""Saída"", J38=""Sangria""),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'""&amp;K38&amp;""'
             and Col6 = ""&amp;N38&amp;""
             and Col4 = date '""&amp;TEXT(C38,""yyyy-mm-dd"")&amp;""'""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'""&amp;K38&amp;""'
               and Col6 = ""&amp;N38&amp;""
               and Col4 = date '""&amp;TEXT(C38,""yyyy-mm-dd"")&amp;""'""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'""&amp;K38&amp;""'
"&amp;"                 and Col6 = ""&amp;N38&amp;""
                 and Col4 = date '""&amp;TEXT(C38,""yyyy-mm-dd"")&amp;""'""
            )
          )&gt;0,
          ""Confirmada"",
          ""Caixa Sangria""
        )
      )
    ),
    """"
  ),
  """"
)
"),"Confirmada")</f>
        <v>Confirmada</v>
      </c>
      <c r="M38" s="207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159">
        <f>IFERROR(__xludf.DUMMYFUNCTION("ifna(VALUE(REGEXEXTRACT(E38,""[0-9.]+[,]+[0-9]+"")))"),100.0)</f>
        <v>100</v>
      </c>
      <c r="O38" s="159"/>
      <c r="P38" s="159"/>
      <c r="Q38" s="159"/>
      <c r="R38" s="159"/>
      <c r="S38" s="159"/>
      <c r="T38" s="159"/>
      <c r="U38" s="159"/>
      <c r="V38" s="159"/>
      <c r="W38" s="159"/>
    </row>
    <row r="39">
      <c r="A39" s="149"/>
      <c r="B39" s="13">
        <v>2156260.0</v>
      </c>
      <c r="C39" s="14">
        <v>46142.62494212963</v>
      </c>
      <c r="D39" s="210" t="s">
        <v>139</v>
      </c>
      <c r="E39" s="211" t="s">
        <v>246</v>
      </c>
      <c r="F39" s="212"/>
      <c r="G39" s="210" t="s">
        <v>142</v>
      </c>
      <c r="H39" s="170"/>
      <c r="I39" s="170"/>
      <c r="J39" s="156" t="s">
        <v>12952</v>
      </c>
      <c r="K39" s="156"/>
      <c r="L39" s="157" t="str">
        <f>IFERROR(__xludf.DUMMYFUNCTION("IF(
  AND(D39=""Saída"", J39=""Sangria""),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'""&amp;K39&amp;""'
             and Col6 = ""&amp;N39&amp;""
             and Col4 = date '""&amp;TEXT(C39,""yyyy-mm-dd"")&amp;""'""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'""&amp;K39&amp;""'
               and Col6 = ""&amp;N39&amp;""
               and Col4 = date '""&amp;TEXT(C39,""yyyy-mm-dd"")&amp;""'""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'""&amp;K39&amp;""'
"&amp;"                 and Col6 = ""&amp;N39&amp;""
                 and Col4 = date '""&amp;TEXT(C39,""yyyy-mm-dd"")&amp;""'""
            )
          )&gt;0,
          ""Confirmada"",
          ""Caixa Sangria""
        )
      )
    ),
    """"
  ),
  """"
)
"),"")</f>
        <v/>
      </c>
      <c r="M39" s="209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159">
        <f>IFERROR(__xludf.DUMMYFUNCTION("ifna(VALUE(REGEXEXTRACT(E39,""[0-9.]+[,]+[0-9]+"")))"),30.0)</f>
        <v>30</v>
      </c>
      <c r="O39" s="171" t="str">
        <f>B8</f>
        <v>Rose</v>
      </c>
      <c r="S39" s="159"/>
      <c r="T39" s="148" t="str">
        <f>B9</f>
        <v>Regiane</v>
      </c>
    </row>
    <row r="40" ht="14.25" customHeight="1">
      <c r="A40" s="149"/>
      <c r="B40" s="13">
        <v>2156421.0</v>
      </c>
      <c r="C40" s="14">
        <v>46142.66894675926</v>
      </c>
      <c r="D40" s="210" t="s">
        <v>101</v>
      </c>
      <c r="E40" s="211" t="s">
        <v>252</v>
      </c>
      <c r="F40" s="212"/>
      <c r="G40" s="210" t="s">
        <v>253</v>
      </c>
      <c r="H40" s="170"/>
      <c r="I40" s="170"/>
      <c r="J40" s="156" t="s">
        <v>12658</v>
      </c>
      <c r="K40" s="156" t="s">
        <v>11866</v>
      </c>
      <c r="L40" s="157" t="str">
        <f>IFERROR(__xludf.DUMMYFUNCTION("IF(
  AND(D40=""Saída"", J40=""Sangria""),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'""&amp;K40&amp;""'
             and Col6 = ""&amp;N40&amp;""
             and Col4 = date '""&amp;TEXT(C40,""yyyy-mm-dd"")&amp;""'""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'""&amp;K40&amp;""'
               and Col6 = ""&amp;N40&amp;""
               and Col4 = date '""&amp;TEXT(C40,""yyyy-mm-dd"")&amp;""'""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'""&amp;K40&amp;""'
"&amp;"                 and Col6 = ""&amp;N40&amp;""
                 and Col4 = date '""&amp;TEXT(C40,""yyyy-mm-dd"")&amp;""'""
            )
          )&gt;0,
          ""Confirmada"",
          ""Caixa Sangria""
        )
      )
    ),
    """"
  ),
  """"
)
"),"")</f>
        <v/>
      </c>
      <c r="M40" s="207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159">
        <f>IFERROR(__xludf.DUMMYFUNCTION("ifna(VALUE(REGEXEXTRACT(E40,""[0-9.]+[,]+[0-9]+"")))"),5.0)</f>
        <v>5</v>
      </c>
      <c r="O40" s="160" t="str">
        <f>IFERROR(__xludf.DUMMYFUNCTION("query(C21:L500,""select Col1,Col3,Col8,Col9 where Col8 = 'Consumo' and Col9 = '""&amp;B8&amp;""'"",1)"),"Data")</f>
        <v>Data</v>
      </c>
      <c r="P40" s="53" t="str">
        <f>IFERROR(__xludf.DUMMYFUNCTION("""COMPUTED_VALUE"""),"Valor ")</f>
        <v>Valor </v>
      </c>
      <c r="Q40" s="53" t="str">
        <f>IFERROR(__xludf.DUMMYFUNCTION("""COMPUTED_VALUE"""),"Tipo")</f>
        <v>Tipo</v>
      </c>
      <c r="R40" s="53" t="str">
        <f>IFERROR(__xludf.DUMMYFUNCTION("""COMPUTED_VALUE"""),"Funcionário")</f>
        <v>Funcionário</v>
      </c>
      <c r="S40" s="159"/>
      <c r="T40" s="160" t="str">
        <f>IFERROR(__xludf.DUMMYFUNCTION("query(C21:L500,""select Col1,Col3,Col8,Col9 where Col8 = 'Adiantamento' and Col9 = '""&amp;B9&amp;""'"",1)"),"Data")</f>
        <v>Data</v>
      </c>
      <c r="U40" s="53" t="str">
        <f>IFERROR(__xludf.DUMMYFUNCTION("""COMPUTED_VALUE"""),"Valor ")</f>
        <v>Valor </v>
      </c>
      <c r="V40" s="53" t="str">
        <f>IFERROR(__xludf.DUMMYFUNCTION("""COMPUTED_VALUE"""),"Tipo")</f>
        <v>Tipo</v>
      </c>
      <c r="W40" s="53" t="str">
        <f>IFERROR(__xludf.DUMMYFUNCTION("""COMPUTED_VALUE"""),"Funcionário")</f>
        <v>Funcionário</v>
      </c>
    </row>
    <row r="41" ht="14.25" customHeight="1">
      <c r="A41" s="149"/>
      <c r="B41" s="13">
        <v>2156699.0</v>
      </c>
      <c r="C41" s="14">
        <v>46142.741875</v>
      </c>
      <c r="D41" s="210" t="s">
        <v>101</v>
      </c>
      <c r="E41" s="211" t="s">
        <v>256</v>
      </c>
      <c r="F41" s="212"/>
      <c r="G41" s="210" t="s">
        <v>257</v>
      </c>
      <c r="H41" s="170"/>
      <c r="I41" s="170"/>
      <c r="J41" s="156" t="s">
        <v>12778</v>
      </c>
      <c r="K41" s="156"/>
      <c r="L41" s="157" t="str">
        <f>IFERROR(__xludf.DUMMYFUNCTION("IF(
  AND(D41=""Saída"", J41=""Sangria""),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'""&amp;K41&amp;""'
             and Col6 = ""&amp;N41&amp;""
             and Col4 = date '""&amp;TEXT(C41,""yyyy-mm-dd"")&amp;""'""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'""&amp;K41&amp;""'
               and Col6 = ""&amp;N41&amp;""
               and Col4 = date '""&amp;TEXT(C41,""yyyy-mm-dd"")&amp;""'""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'""&amp;K41&amp;""'
"&amp;"                 and Col6 = ""&amp;N41&amp;""
                 and Col4 = date '""&amp;TEXT(C41,""yyyy-mm-dd"")&amp;""'""
            )
          )&gt;0,
          ""Confirmada"",
          ""Caixa Sangria""
        )
      )
    ),
    """"
  ),
  """"
)
"),"Caixa Sangria")</f>
        <v>Caixa Sangria</v>
      </c>
      <c r="M41" s="162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159">
        <f>IFERROR(__xludf.DUMMYFUNCTION("ifna(VALUE(REGEXEXTRACT(E41,""[0-9.]+[,]+[0-9]+"")))"),300.0)</f>
        <v>300</v>
      </c>
      <c r="O41" s="206">
        <f>IFERROR(__xludf.DUMMYFUNCTION("""COMPUTED_VALUE"""),46141.908437499995)</f>
        <v>46141.90844</v>
      </c>
      <c r="P41" s="58" t="str">
        <f>IFERROR(__xludf.DUMMYFUNCTION("""COMPUTED_VALUE"""),"R$ 55,00")</f>
        <v>R$ 55,00</v>
      </c>
      <c r="Q41" s="58" t="str">
        <f>IFERROR(__xludf.DUMMYFUNCTION("""COMPUTED_VALUE"""),"Consumo")</f>
        <v>Consumo</v>
      </c>
      <c r="R41" s="58" t="str">
        <f>IFERROR(__xludf.DUMMYFUNCTION("""COMPUTED_VALUE"""),"Rose")</f>
        <v>Rose</v>
      </c>
      <c r="S41" s="159"/>
      <c r="T41" s="58"/>
      <c r="U41" s="58"/>
      <c r="V41" s="58"/>
      <c r="W41" s="58"/>
    </row>
    <row r="42" ht="14.25" customHeight="1">
      <c r="A42" s="149"/>
      <c r="B42" s="13">
        <v>2156736.0</v>
      </c>
      <c r="C42" s="14">
        <v>46142.751180555555</v>
      </c>
      <c r="D42" s="210" t="s">
        <v>101</v>
      </c>
      <c r="E42" s="211" t="s">
        <v>260</v>
      </c>
      <c r="F42" s="212"/>
      <c r="G42" s="210" t="s">
        <v>253</v>
      </c>
      <c r="H42" s="170"/>
      <c r="I42" s="170"/>
      <c r="J42" s="156" t="s">
        <v>12658</v>
      </c>
      <c r="K42" s="156" t="s">
        <v>11866</v>
      </c>
      <c r="L42" s="157" t="str">
        <f>IFERROR(__xludf.DUMMYFUNCTION("IF(
  AND(D42=""Saída"", J42=""Sangria""),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'""&amp;K42&amp;""'
             and Col6 = ""&amp;N42&amp;""
             and Col4 = date '""&amp;TEXT(C42,""yyyy-mm-dd"")&amp;""'""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'""&amp;K42&amp;""'
               and Col6 = ""&amp;N42&amp;""
               and Col4 = date '""&amp;TEXT(C42,""yyyy-mm-dd"")&amp;""'""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'""&amp;K42&amp;""'
"&amp;"                 and Col6 = ""&amp;N42&amp;""
                 and Col4 = date '""&amp;TEXT(C42,""yyyy-mm-dd"")&amp;""'""
            )
          )&gt;0,
          ""Confirmada"",
          ""Caixa Sangria""
        )
      )
    ),
    """"
  ),
  """"
)
"),"")</f>
        <v/>
      </c>
      <c r="M42" s="207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159">
        <f>IFERROR(__xludf.DUMMYFUNCTION("ifna(VALUE(REGEXEXTRACT(E42,""[0-9.]+[,]+[0-9]+"")))"),13.0)</f>
        <v>13</v>
      </c>
      <c r="O42" s="206">
        <f>IFERROR(__xludf.DUMMYFUNCTION("""COMPUTED_VALUE"""),46154.85118055556)</f>
        <v>46154.85118</v>
      </c>
      <c r="P42" s="58" t="str">
        <f>IFERROR(__xludf.DUMMYFUNCTION("""COMPUTED_VALUE"""),"R$ 30,00")</f>
        <v>R$ 30,00</v>
      </c>
      <c r="Q42" s="58" t="str">
        <f>IFERROR(__xludf.DUMMYFUNCTION("""COMPUTED_VALUE"""),"Consumo")</f>
        <v>Consumo</v>
      </c>
      <c r="R42" s="58" t="str">
        <f>IFERROR(__xludf.DUMMYFUNCTION("""COMPUTED_VALUE"""),"Rose")</f>
        <v>Rose</v>
      </c>
      <c r="S42" s="159"/>
      <c r="T42" s="58"/>
      <c r="U42" s="58"/>
      <c r="V42" s="58"/>
      <c r="W42" s="58"/>
    </row>
    <row r="43" ht="14.25" customHeight="1">
      <c r="A43" s="149"/>
      <c r="B43" s="13">
        <v>2156843.0</v>
      </c>
      <c r="C43" s="14">
        <v>46142.78659722222</v>
      </c>
      <c r="D43" s="210" t="s">
        <v>139</v>
      </c>
      <c r="E43" s="211" t="s">
        <v>201</v>
      </c>
      <c r="F43" s="212"/>
      <c r="G43" s="210" t="s">
        <v>267</v>
      </c>
      <c r="H43" s="170"/>
      <c r="I43" s="170"/>
      <c r="J43" s="156" t="s">
        <v>13783</v>
      </c>
      <c r="K43" s="156"/>
      <c r="L43" s="157" t="str">
        <f>IFERROR(__xludf.DUMMYFUNCTION("IF(
  AND(D43=""Saída"", J43=""Sangria""),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'""&amp;K43&amp;""'
             and Col6 = ""&amp;N43&amp;""
             and Col4 = date '""&amp;TEXT(C43,""yyyy-mm-dd"")&amp;""'""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'""&amp;K43&amp;""'
               and Col6 = ""&amp;N43&amp;""
               and Col4 = date '""&amp;TEXT(C43,""yyyy-mm-dd"")&amp;""'""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'""&amp;K43&amp;""'
"&amp;"                 and Col6 = ""&amp;N43&amp;""
                 and Col4 = date '""&amp;TEXT(C43,""yyyy-mm-dd"")&amp;""'""
            )
          )&gt;0,
          ""Confirmada"",
          ""Caixa Sangria""
        )
      )
    ),
    """"
  ),
  """"
)
"),"")</f>
        <v/>
      </c>
      <c r="M43" s="209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159">
        <f>IFERROR(__xludf.DUMMYFUNCTION("ifna(VALUE(REGEXEXTRACT(E43,""[0-9.]+[,]+[0-9]+"")))"),150.0)</f>
        <v>150</v>
      </c>
      <c r="O43" s="67"/>
      <c r="P43" s="67"/>
      <c r="Q43" s="67"/>
      <c r="R43" s="67"/>
      <c r="S43" s="159"/>
      <c r="T43" s="67"/>
      <c r="U43" s="67"/>
      <c r="V43" s="67"/>
      <c r="W43" s="67"/>
    </row>
    <row r="44" ht="14.25" customHeight="1">
      <c r="A44" s="149"/>
      <c r="B44" s="13">
        <v>2156847.0</v>
      </c>
      <c r="C44" s="14">
        <v>46142.78726851852</v>
      </c>
      <c r="D44" s="210" t="s">
        <v>139</v>
      </c>
      <c r="E44" s="211" t="s">
        <v>270</v>
      </c>
      <c r="F44" s="212"/>
      <c r="G44" s="210" t="s">
        <v>272</v>
      </c>
      <c r="H44" s="170"/>
      <c r="I44" s="170"/>
      <c r="J44" s="156" t="s">
        <v>12952</v>
      </c>
      <c r="K44" s="156"/>
      <c r="L44" s="157" t="str">
        <f>IFERROR(__xludf.DUMMYFUNCTION("IF(
  AND(D44=""Saída"", J44=""Sangria""),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'""&amp;K44&amp;""'
             and Col6 = ""&amp;N44&amp;""
             and Col4 = date '""&amp;TEXT(C44,""yyyy-mm-dd"")&amp;""'""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'""&amp;K44&amp;""'
               and Col6 = ""&amp;N44&amp;""
               and Col4 = date '""&amp;TEXT(C44,""yyyy-mm-dd"")&amp;""'""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'""&amp;K44&amp;""'
"&amp;"                 and Col6 = ""&amp;N44&amp;""
                 and Col4 = date '""&amp;TEXT(C44,""yyyy-mm-dd"")&amp;""'""
            )
          )&gt;0,
          ""Confirmada"",
          ""Caixa Sangria""
        )
      )
    ),
    """"
  ),
  """"
)
"),"")</f>
        <v/>
      </c>
      <c r="M44" s="207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159">
        <f>IFERROR(__xludf.DUMMYFUNCTION("ifna(VALUE(REGEXEXTRACT(E44,""[0-9.]+[,]+[0-9]+"")))"),62.0)</f>
        <v>62</v>
      </c>
      <c r="O44" s="67"/>
      <c r="P44" s="67"/>
      <c r="Q44" s="67"/>
      <c r="R44" s="67"/>
      <c r="S44" s="159"/>
      <c r="T44" s="67"/>
      <c r="U44" s="67"/>
      <c r="V44" s="67"/>
      <c r="W44" s="67"/>
    </row>
    <row r="45" ht="14.25" customHeight="1">
      <c r="A45" s="149"/>
      <c r="B45" s="13">
        <v>2156850.0</v>
      </c>
      <c r="C45" s="14">
        <v>46142.7878125</v>
      </c>
      <c r="D45" s="210" t="s">
        <v>101</v>
      </c>
      <c r="E45" s="211" t="s">
        <v>274</v>
      </c>
      <c r="F45" s="212"/>
      <c r="G45" s="210" t="s">
        <v>276</v>
      </c>
      <c r="H45" s="170"/>
      <c r="I45" s="170"/>
      <c r="J45" s="156" t="s">
        <v>12818</v>
      </c>
      <c r="K45" s="156"/>
      <c r="L45" s="157" t="str">
        <f>IFERROR(__xludf.DUMMYFUNCTION("IF(
  AND(D45=""Saída"", J45=""Sangria""),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'""&amp;K45&amp;""'
             and Col6 = ""&amp;N45&amp;""
             and Col4 = date '""&amp;TEXT(C45,""yyyy-mm-dd"")&amp;""'""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'""&amp;K45&amp;""'
               and Col6 = ""&amp;N45&amp;""
               and Col4 = date '""&amp;TEXT(C45,""yyyy-mm-dd"")&amp;""'""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'""&amp;K45&amp;""'
"&amp;"                 and Col6 = ""&amp;N45&amp;""
                 and Col4 = date '""&amp;TEXT(C45,""yyyy-mm-dd"")&amp;""'""
            )
          )&gt;0,
          ""Confirmada"",
          ""Caixa Sangria""
        )
      )
    ),
    """"
  ),
  """"
)
"),"")</f>
        <v/>
      </c>
      <c r="M45" s="209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159">
        <f>IFERROR(__xludf.DUMMYFUNCTION("ifna(VALUE(REGEXEXTRACT(E45,""[0-9.]+[,]+[0-9]+"")))"),6.0)</f>
        <v>6</v>
      </c>
      <c r="O45" s="67"/>
      <c r="P45" s="67"/>
      <c r="Q45" s="67"/>
      <c r="R45" s="67"/>
      <c r="S45" s="159"/>
      <c r="T45" s="67"/>
      <c r="U45" s="67"/>
      <c r="V45" s="67"/>
      <c r="W45" s="67"/>
    </row>
    <row r="46" ht="14.25" customHeight="1">
      <c r="A46" s="149"/>
      <c r="B46" s="13">
        <v>2156851.0</v>
      </c>
      <c r="C46" s="14">
        <v>46142.788773148146</v>
      </c>
      <c r="D46" s="210" t="s">
        <v>101</v>
      </c>
      <c r="E46" s="211" t="s">
        <v>281</v>
      </c>
      <c r="F46" s="212"/>
      <c r="G46" s="210" t="s">
        <v>282</v>
      </c>
      <c r="H46" s="170"/>
      <c r="I46" s="170"/>
      <c r="J46" s="156" t="s">
        <v>12818</v>
      </c>
      <c r="K46" s="156"/>
      <c r="L46" s="157" t="str">
        <f>IFERROR(__xludf.DUMMYFUNCTION("IF(
  AND(D46=""Saída"", J46=""Sangria""),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'""&amp;K46&amp;""'
             and Col6 = ""&amp;N46&amp;""
             and Col4 = date '""&amp;TEXT(C46,""yyyy-mm-dd"")&amp;""'""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'""&amp;K46&amp;""'
               and Col6 = ""&amp;N46&amp;""
               and Col4 = date '""&amp;TEXT(C46,""yyyy-mm-dd"")&amp;""'""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'""&amp;K46&amp;""'
"&amp;"                 and Col6 = ""&amp;N46&amp;""
                 and Col4 = date '""&amp;TEXT(C46,""yyyy-mm-dd"")&amp;""'""
            )
          )&gt;0,
          ""Confirmada"",
          ""Caixa Sangria""
        )
      )
    ),
    """"
  ),
  """"
)
"),"")</f>
        <v/>
      </c>
      <c r="M46" s="166" t="str">
        <f>IFERROR(__xludf.DUMMYFUNCTION("IF(J46=""Compra de Mercadorias"",
   IF(
      COUNTIF(ARRAYFORMULA(TRIM(CLEAN(TO_TEXT(Notas!BS:BS)))), TRIM(CLEAN(TO_TEXT(B46)))) &gt; 0,
      ""Encontrada"",
      ""Não Encontrada""
   ),
"""")"),"Encontrada")</f>
        <v>Encontrada</v>
      </c>
      <c r="N46" s="159">
        <f>IFERROR(__xludf.DUMMYFUNCTION("ifna(VALUE(REGEXEXTRACT(E46,""[0-9.]+[,]+[0-9]+"")))"),42.0)</f>
        <v>42</v>
      </c>
      <c r="O46" s="82"/>
      <c r="P46" s="82"/>
      <c r="Q46" s="82"/>
      <c r="R46" s="82"/>
      <c r="S46" s="159"/>
      <c r="T46" s="82"/>
      <c r="U46" s="82"/>
      <c r="V46" s="82"/>
      <c r="W46" s="82"/>
    </row>
    <row r="47" ht="14.25" customHeight="1">
      <c r="A47" s="149"/>
      <c r="B47" s="13">
        <v>2157235.0</v>
      </c>
      <c r="C47" s="14">
        <v>46142.91392361111</v>
      </c>
      <c r="D47" s="210" t="s">
        <v>101</v>
      </c>
      <c r="E47" s="211" t="s">
        <v>288</v>
      </c>
      <c r="F47" s="212"/>
      <c r="G47" s="210" t="s">
        <v>181</v>
      </c>
      <c r="H47" s="170"/>
      <c r="I47" s="170"/>
      <c r="J47" s="156" t="s">
        <v>6914</v>
      </c>
      <c r="K47" s="156"/>
      <c r="L47" s="157" t="str">
        <f>IFERROR(__xludf.DUMMYFUNCTION("IF(
  AND(D47=""Saída"", J47=""Sangria""),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'""&amp;K47&amp;""'
             and Col6 = ""&amp;N47&amp;""
             and Col4 = date '""&amp;TEXT(C47,""yyyy-mm-dd"")&amp;""'""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'""&amp;K47&amp;""'
               and Col6 = ""&amp;N47&amp;""
               and Col4 = date '""&amp;TEXT(C47,""yyyy-mm-dd"")&amp;""'""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'""&amp;K47&amp;""'
"&amp;"                 and Col6 = ""&amp;N47&amp;""
                 and Col4 = date '""&amp;TEXT(C47,""yyyy-mm-dd"")&amp;""'""
            )
          )&gt;0,
          ""Confirmada"",
          ""Caixa Sangria""
        )
      )
    ),
    """"
  ),
  """"
)
"),"")</f>
        <v/>
      </c>
      <c r="M47" s="209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159">
        <f>IFERROR(__xludf.DUMMYFUNCTION("ifna(VALUE(REGEXEXTRACT(E47,""[0-9.]+[,]+[0-9]+"")))"),23.0)</f>
        <v>23</v>
      </c>
      <c r="O47" s="82"/>
      <c r="P47" s="82"/>
      <c r="Q47" s="82"/>
      <c r="R47" s="82"/>
      <c r="S47" s="159"/>
      <c r="T47" s="82"/>
      <c r="U47" s="82"/>
      <c r="V47" s="82"/>
      <c r="W47" s="82"/>
    </row>
    <row r="48" ht="14.25" customHeight="1">
      <c r="A48" s="149"/>
      <c r="B48" s="13">
        <v>2157303.0</v>
      </c>
      <c r="C48" s="14">
        <v>46142.921261574076</v>
      </c>
      <c r="D48" s="210" t="s">
        <v>101</v>
      </c>
      <c r="E48" s="211" t="s">
        <v>291</v>
      </c>
      <c r="F48" s="212"/>
      <c r="G48" s="210" t="s">
        <v>293</v>
      </c>
      <c r="H48" s="170"/>
      <c r="I48" s="170"/>
      <c r="J48" s="156" t="s">
        <v>12778</v>
      </c>
      <c r="K48" s="156" t="s">
        <v>13763</v>
      </c>
      <c r="L48" s="157" t="str">
        <f>IFERROR(__xludf.DUMMYFUNCTION("IF(
  AND(D48=""Saída"", J48=""Sangria""),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'""&amp;K48&amp;""'
             and Col6 = ""&amp;N48&amp;""
             and Col4 = date '""&amp;TEXT(C48,""yyyy-mm-dd"")&amp;""'""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'""&amp;K48&amp;""'
               and Col6 = ""&amp;N48&amp;""
               and Col4 = date '""&amp;TEXT(C48,""yyyy-mm-dd"")&amp;""'""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'""&amp;K48&amp;""'
"&amp;"                 and Col6 = ""&amp;N48&amp;""
                 and Col4 = date '""&amp;TEXT(C48,""yyyy-mm-dd"")&amp;""'""
            )
          )&gt;0,
          ""Confirmada"",
          ""Caixa Sangria""
        )
      )
    ),
    """"
  ),
  """"
)
"),"Confirmada")</f>
        <v>Confirmada</v>
      </c>
      <c r="M48" s="207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159">
        <f>IFERROR(__xludf.DUMMYFUNCTION("ifna(VALUE(REGEXEXTRACT(E48,""[0-9.]+[,]+[0-9]+"")))"),250.0)</f>
        <v>250</v>
      </c>
      <c r="O48" s="82"/>
      <c r="P48" s="82"/>
      <c r="Q48" s="82"/>
      <c r="R48" s="82"/>
      <c r="S48" s="159"/>
      <c r="T48" s="82"/>
      <c r="U48" s="82"/>
      <c r="V48" s="82"/>
      <c r="W48" s="82"/>
    </row>
    <row r="49" ht="14.25" customHeight="1">
      <c r="A49" s="149"/>
      <c r="B49" s="13">
        <v>2158375.0</v>
      </c>
      <c r="C49" s="14">
        <v>46143.71439814815</v>
      </c>
      <c r="D49" s="210" t="s">
        <v>139</v>
      </c>
      <c r="E49" s="211" t="s">
        <v>201</v>
      </c>
      <c r="F49" s="212"/>
      <c r="G49" s="210" t="s">
        <v>142</v>
      </c>
      <c r="H49" s="170"/>
      <c r="I49" s="170"/>
      <c r="J49" s="156" t="s">
        <v>12952</v>
      </c>
      <c r="K49" s="156"/>
      <c r="L49" s="157" t="str">
        <f>IFERROR(__xludf.DUMMYFUNCTION("IF(
  AND(D49=""Saída"", J49=""Sangria""),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'""&amp;K49&amp;""'
             and Col6 = ""&amp;N49&amp;""
             and Col4 = date '""&amp;TEXT(C49,""yyyy-mm-dd"")&amp;""'""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'""&amp;K49&amp;""'
               and Col6 = ""&amp;N49&amp;""
               and Col4 = date '""&amp;TEXT(C49,""yyyy-mm-dd"")&amp;""'""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'""&amp;K49&amp;""'
"&amp;"                 and Col6 = ""&amp;N49&amp;""
                 and Col4 = date '""&amp;TEXT(C49,""yyyy-mm-dd"")&amp;""'""
            )
          )&gt;0,
          ""Confirmada"",
          ""Caixa Sangria""
        )
      )
    ),
    """"
  ),
  """"
)
"),"")</f>
        <v/>
      </c>
      <c r="M49" s="209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159">
        <f>IFERROR(__xludf.DUMMYFUNCTION("ifna(VALUE(REGEXEXTRACT(E49,""[0-9.]+[,]+[0-9]+"")))"),150.0)</f>
        <v>150</v>
      </c>
      <c r="O49" s="82"/>
      <c r="P49" s="82"/>
      <c r="Q49" s="82"/>
      <c r="R49" s="82"/>
      <c r="S49" s="159"/>
      <c r="T49" s="82"/>
      <c r="U49" s="82"/>
      <c r="V49" s="82"/>
      <c r="W49" s="82"/>
    </row>
    <row r="50" ht="14.25" customHeight="1">
      <c r="A50" s="149"/>
      <c r="B50" s="13">
        <v>2158383.0</v>
      </c>
      <c r="C50" s="14">
        <v>46143.71565972222</v>
      </c>
      <c r="D50" s="210" t="s">
        <v>139</v>
      </c>
      <c r="E50" s="211" t="s">
        <v>141</v>
      </c>
      <c r="F50" s="212"/>
      <c r="G50" s="210" t="s">
        <v>142</v>
      </c>
      <c r="H50" s="170"/>
      <c r="I50" s="170"/>
      <c r="J50" s="156" t="s">
        <v>12952</v>
      </c>
      <c r="K50" s="156"/>
      <c r="L50" s="157" t="str">
        <f>IFERROR(__xludf.DUMMYFUNCTION("IF(
  AND(D50=""Saída"", J50=""Sangria""),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'""&amp;K50&amp;""'
             and Col6 = ""&amp;N50&amp;""
             and Col4 = date '""&amp;TEXT(C50,""yyyy-mm-dd"")&amp;""'""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'""&amp;K50&amp;""'
               and Col6 = ""&amp;N50&amp;""
               and Col4 = date '""&amp;TEXT(C50,""yyyy-mm-dd"")&amp;""'""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'""&amp;K50&amp;""'
"&amp;"                 and Col6 = ""&amp;N50&amp;""
                 and Col4 = date '""&amp;TEXT(C50,""yyyy-mm-dd"")&amp;""'""
            )
          )&gt;0,
          ""Confirmada"",
          ""Caixa Sangria""
        )
      )
    ),
    """"
  ),
  """"
)
"),"")</f>
        <v/>
      </c>
      <c r="M50" s="207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159">
        <f>IFERROR(__xludf.DUMMYFUNCTION("ifna(VALUE(REGEXEXTRACT(E50,""[0-9.]+[,]+[0-9]+"")))"),50.0)</f>
        <v>50</v>
      </c>
      <c r="O50" s="82"/>
      <c r="P50" s="82"/>
      <c r="Q50" s="82"/>
      <c r="R50" s="82"/>
      <c r="S50" s="159"/>
      <c r="T50" s="82"/>
      <c r="U50" s="82"/>
      <c r="V50" s="82"/>
      <c r="W50" s="82"/>
    </row>
    <row r="51" ht="14.25" customHeight="1">
      <c r="A51" s="149"/>
      <c r="B51" s="13">
        <v>2159338.0</v>
      </c>
      <c r="C51" s="14">
        <v>46143.90715277778</v>
      </c>
      <c r="D51" s="210" t="s">
        <v>101</v>
      </c>
      <c r="E51" s="211" t="s">
        <v>121</v>
      </c>
      <c r="F51" s="212"/>
      <c r="G51" s="210" t="s">
        <v>124</v>
      </c>
      <c r="H51" s="170"/>
      <c r="I51" s="170"/>
      <c r="J51" s="156" t="s">
        <v>10036</v>
      </c>
      <c r="K51" s="156"/>
      <c r="L51" s="157" t="str">
        <f>IFERROR(__xludf.DUMMYFUNCTION("IF(
  AND(D51=""Saída"", J51=""Sangria""),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'""&amp;K51&amp;""'
             and Col6 = ""&amp;N51&amp;""
             and Col4 = date '""&amp;TEXT(C51,""yyyy-mm-dd"")&amp;""'""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'""&amp;K51&amp;""'
               and Col6 = ""&amp;N51&amp;""
               and Col4 = date '""&amp;TEXT(C51,""yyyy-mm-dd"")&amp;""'""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'""&amp;K51&amp;""'
"&amp;"                 and Col6 = ""&amp;N51&amp;""
                 and Col4 = date '""&amp;TEXT(C51,""yyyy-mm-dd"")&amp;""'""
            )
          )&gt;0,
          ""Confirmada"",
          ""Caixa Sangria""
        )
      )
    ),
    """"
  ),
  """"
)
"),"")</f>
        <v/>
      </c>
      <c r="M51" s="209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159">
        <f>IFERROR(__xludf.DUMMYFUNCTION("ifna(VALUE(REGEXEXTRACT(E51,""[0-9.]+[,]+[0-9]+"")))"),135.0)</f>
        <v>135</v>
      </c>
      <c r="O51" s="82"/>
      <c r="P51" s="82"/>
      <c r="Q51" s="82"/>
      <c r="R51" s="82"/>
      <c r="S51" s="159"/>
      <c r="T51" s="82"/>
      <c r="U51" s="82"/>
      <c r="V51" s="82"/>
      <c r="W51" s="82"/>
    </row>
    <row r="52" ht="14.25" customHeight="1">
      <c r="A52" s="149"/>
      <c r="B52" s="13">
        <v>2159345.0</v>
      </c>
      <c r="C52" s="14">
        <v>46143.90770833333</v>
      </c>
      <c r="D52" s="210" t="s">
        <v>101</v>
      </c>
      <c r="E52" s="211" t="s">
        <v>306</v>
      </c>
      <c r="F52" s="212"/>
      <c r="G52" s="210" t="s">
        <v>308</v>
      </c>
      <c r="H52" s="170"/>
      <c r="I52" s="170"/>
      <c r="J52" s="156" t="s">
        <v>6914</v>
      </c>
      <c r="K52" s="156"/>
      <c r="L52" s="157" t="str">
        <f>IFERROR(__xludf.DUMMYFUNCTION("IF(
  AND(D52=""Saída"", J52=""Sangria""),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'""&amp;K52&amp;""'
             and Col6 = ""&amp;N52&amp;""
             and Col4 = date '""&amp;TEXT(C52,""yyyy-mm-dd"")&amp;""'""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'""&amp;K52&amp;""'
               and Col6 = ""&amp;N52&amp;""
               and Col4 = date '""&amp;TEXT(C52,""yyyy-mm-dd"")&amp;""'""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'""&amp;K52&amp;""'
"&amp;"                 and Col6 = ""&amp;N52&amp;""
                 and Col4 = date '""&amp;TEXT(C52,""yyyy-mm-dd"")&amp;""'""
            )
          )&gt;0,
          ""Confirmada"",
          ""Caixa Sangria""
        )
      )
    ),
    """"
  ),
  """"
)
"),"")</f>
        <v/>
      </c>
      <c r="M52" s="207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159">
        <f>IFERROR(__xludf.DUMMYFUNCTION("ifna(VALUE(REGEXEXTRACT(E52,""[0-9.]+[,]+[0-9]+"")))"),22.0)</f>
        <v>22</v>
      </c>
      <c r="O52" s="82"/>
      <c r="P52" s="82"/>
      <c r="Q52" s="82"/>
      <c r="R52" s="82"/>
      <c r="S52" s="159"/>
      <c r="T52" s="82"/>
      <c r="U52" s="82"/>
      <c r="V52" s="82"/>
      <c r="W52" s="82"/>
    </row>
    <row r="53" ht="14.25" customHeight="1">
      <c r="A53" s="149"/>
      <c r="B53" s="13">
        <v>2159450.0</v>
      </c>
      <c r="C53" s="14">
        <v>46143.91853009259</v>
      </c>
      <c r="D53" s="210" t="s">
        <v>101</v>
      </c>
      <c r="E53" s="211" t="s">
        <v>312</v>
      </c>
      <c r="F53" s="212"/>
      <c r="G53" s="210" t="s">
        <v>313</v>
      </c>
      <c r="H53" s="170"/>
      <c r="I53" s="170"/>
      <c r="J53" s="156" t="s">
        <v>12778</v>
      </c>
      <c r="K53" s="156" t="s">
        <v>11866</v>
      </c>
      <c r="L53" s="157" t="str">
        <f>IFERROR(__xludf.DUMMYFUNCTION("IF(
  AND(D53=""Saída"", J53=""Sangria""),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'""&amp;K53&amp;""'
             and Col6 = ""&amp;N53&amp;""
             and Col4 = date '""&amp;TEXT(C53,""yyyy-mm-dd"")&amp;""'""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'""&amp;K53&amp;""'
               and Col6 = ""&amp;N53&amp;""
               and Col4 = date '""&amp;TEXT(C53,""yyyy-mm-dd"")&amp;""'""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'""&amp;K53&amp;""'
"&amp;"                 and Col6 = ""&amp;N53&amp;""
                 and Col4 = date '""&amp;TEXT(C53,""yyyy-mm-dd"")&amp;""'""
            )
          )&gt;0,
          ""Confirmada"",
          ""Caixa Sangria""
        )
      )
    ),
    """"
  ),
  """"
)
"),"Confirmada")</f>
        <v>Confirmada</v>
      </c>
      <c r="M53" s="209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159">
        <f>IFERROR(__xludf.DUMMYFUNCTION("ifna(VALUE(REGEXEXTRACT(E53,""[0-9.]+[,]+[0-9]+"")))"),1000.0)</f>
        <v>1000</v>
      </c>
      <c r="O53" s="82"/>
      <c r="P53" s="82"/>
      <c r="Q53" s="82"/>
      <c r="R53" s="82"/>
      <c r="S53" s="159"/>
      <c r="T53" s="82"/>
      <c r="U53" s="82"/>
      <c r="V53" s="82"/>
      <c r="W53" s="82"/>
    </row>
    <row r="54" ht="14.25" customHeight="1">
      <c r="A54" s="149"/>
      <c r="B54" s="13">
        <v>2159470.0</v>
      </c>
      <c r="C54" s="14">
        <v>46143.91978009259</v>
      </c>
      <c r="D54" s="210" t="s">
        <v>101</v>
      </c>
      <c r="E54" s="211" t="s">
        <v>316</v>
      </c>
      <c r="F54" s="212"/>
      <c r="G54" s="210" t="s">
        <v>317</v>
      </c>
      <c r="H54" s="170"/>
      <c r="I54" s="170"/>
      <c r="J54" s="156" t="s">
        <v>6914</v>
      </c>
      <c r="K54" s="156"/>
      <c r="L54" s="157" t="str">
        <f>IFERROR(__xludf.DUMMYFUNCTION("IF(
  AND(D54=""Saída"", J54=""Sangria""),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'""&amp;K54&amp;""'
             and Col6 = ""&amp;N54&amp;""
             and Col4 = date '""&amp;TEXT(C54,""yyyy-mm-dd"")&amp;""'""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'""&amp;K54&amp;""'
               and Col6 = ""&amp;N54&amp;""
               and Col4 = date '""&amp;TEXT(C54,""yyyy-mm-dd"")&amp;""'""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'""&amp;K54&amp;""'
"&amp;"                 and Col6 = ""&amp;N54&amp;""
                 and Col4 = date '""&amp;TEXT(C54,""yyyy-mm-dd"")&amp;""'""
            )
          )&gt;0,
          ""Confirmada"",
          ""Caixa Sangria""
        )
      )
    ),
    """"
  ),
  """"
)
"),"")</f>
        <v/>
      </c>
      <c r="M54" s="207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159">
        <f>IFERROR(__xludf.DUMMYFUNCTION("ifna(VALUE(REGEXEXTRACT(E54,""[0-9.]+[,]+[0-9]+"")))"),125.0)</f>
        <v>125</v>
      </c>
      <c r="O54" s="58"/>
      <c r="P54" s="58"/>
      <c r="Q54" s="58"/>
      <c r="R54" s="58"/>
      <c r="S54" s="159"/>
      <c r="T54" s="58"/>
      <c r="U54" s="58"/>
      <c r="V54" s="58"/>
      <c r="W54" s="58"/>
    </row>
    <row r="55" ht="14.25" customHeight="1">
      <c r="A55" s="149"/>
      <c r="B55" s="13">
        <v>2159485.0</v>
      </c>
      <c r="C55" s="14">
        <v>46143.92046296296</v>
      </c>
      <c r="D55" s="210" t="s">
        <v>101</v>
      </c>
      <c r="E55" s="211" t="s">
        <v>321</v>
      </c>
      <c r="F55" s="214"/>
      <c r="G55" s="210" t="s">
        <v>308</v>
      </c>
      <c r="H55" s="170"/>
      <c r="I55" s="170"/>
      <c r="J55" s="156" t="s">
        <v>6914</v>
      </c>
      <c r="K55" s="156"/>
      <c r="L55" s="157" t="str">
        <f>IFERROR(__xludf.DUMMYFUNCTION("IF(
  AND(D55=""Saída"", J55=""Sangria""),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'""&amp;K55&amp;""'
             and Col6 = ""&amp;N55&amp;""
             and Col4 = date '""&amp;TEXT(C55,""yyyy-mm-dd"")&amp;""'""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'""&amp;K55&amp;""'
               and Col6 = ""&amp;N55&amp;""
               and Col4 = date '""&amp;TEXT(C55,""yyyy-mm-dd"")&amp;""'""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'""&amp;K55&amp;""'
"&amp;"                 and Col6 = ""&amp;N55&amp;""
                 and Col4 = date '""&amp;TEXT(C55,""yyyy-mm-dd"")&amp;""'""
            )
          )&gt;0,
          ""Confirmada"",
          ""Caixa Sangria""
        )
      )
    ),
    """"
  ),
  """"
)
"),"")</f>
        <v/>
      </c>
      <c r="M55" s="209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159">
        <f>IFERROR(__xludf.DUMMYFUNCTION("ifna(VALUE(REGEXEXTRACT(E55,""[0-9.]+[,]+[0-9]+"")))"),83.0)</f>
        <v>83</v>
      </c>
      <c r="O55" s="159"/>
      <c r="P55" s="159"/>
      <c r="Q55" s="159"/>
      <c r="R55" s="159"/>
      <c r="S55" s="159"/>
      <c r="T55" s="159"/>
      <c r="U55" s="159"/>
      <c r="V55" s="159"/>
      <c r="W55" s="159"/>
    </row>
    <row r="56" ht="14.25" customHeight="1">
      <c r="A56" s="149"/>
      <c r="B56" s="13">
        <v>2160769.0</v>
      </c>
      <c r="C56" s="14">
        <v>46144.71107638889</v>
      </c>
      <c r="D56" s="210" t="s">
        <v>101</v>
      </c>
      <c r="E56" s="211" t="s">
        <v>324</v>
      </c>
      <c r="F56" s="212"/>
      <c r="G56" s="210" t="s">
        <v>325</v>
      </c>
      <c r="H56" s="170"/>
      <c r="I56" s="170"/>
      <c r="J56" s="156" t="s">
        <v>12658</v>
      </c>
      <c r="K56" s="156" t="s">
        <v>11866</v>
      </c>
      <c r="L56" s="157" t="str">
        <f>IFERROR(__xludf.DUMMYFUNCTION("IF(
  AND(D56=""Saída"", J56=""Sangria""),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'""&amp;K56&amp;""'
             and Col6 = ""&amp;N56&amp;""
             and Col4 = date '""&amp;TEXT(C56,""yyyy-mm-dd"")&amp;""'""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'""&amp;K56&amp;""'
               and Col6 = ""&amp;N56&amp;""
               and Col4 = date '""&amp;TEXT(C56,""yyyy-mm-dd"")&amp;""'""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'""&amp;K56&amp;""'
"&amp;"                 and Col6 = ""&amp;N56&amp;""
                 and Col4 = date '""&amp;TEXT(C56,""yyyy-mm-dd"")&amp;""'""
            )
          )&gt;0,
          ""Confirmada"",
          ""Caixa Sangria""
        )
      )
    ),
    """"
  ),
  """"
)
"),"")</f>
        <v/>
      </c>
      <c r="M56" s="207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159">
        <f>IFERROR(__xludf.DUMMYFUNCTION("ifna(VALUE(REGEXEXTRACT(E56,""[0-9.]+[,]+[0-9]+"")))"),45.0)</f>
        <v>45</v>
      </c>
      <c r="O56" s="172" t="s">
        <v>13044</v>
      </c>
      <c r="U56" s="159"/>
      <c r="V56" s="159"/>
      <c r="W56" s="159"/>
    </row>
    <row r="57" ht="14.25" customHeight="1">
      <c r="A57" s="149"/>
      <c r="B57" s="13">
        <v>2161152.0</v>
      </c>
      <c r="C57" s="14">
        <v>46144.81607638889</v>
      </c>
      <c r="D57" s="210" t="s">
        <v>101</v>
      </c>
      <c r="E57" s="211" t="s">
        <v>328</v>
      </c>
      <c r="F57" s="212"/>
      <c r="G57" s="210" t="s">
        <v>329</v>
      </c>
      <c r="H57" s="170"/>
      <c r="I57" s="170"/>
      <c r="J57" s="156" t="s">
        <v>6914</v>
      </c>
      <c r="K57" s="156"/>
      <c r="L57" s="157" t="str">
        <f>IFERROR(__xludf.DUMMYFUNCTION("IF(
  AND(D57=""Saída"", J57=""Sangria""),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'""&amp;K57&amp;""'
             and Col6 = ""&amp;N57&amp;""
             and Col4 = date '""&amp;TEXT(C57,""yyyy-mm-dd"")&amp;""'""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'""&amp;K57&amp;""'
               and Col6 = ""&amp;N57&amp;""
               and Col4 = date '""&amp;TEXT(C57,""yyyy-mm-dd"")&amp;""'""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'""&amp;K57&amp;""'
"&amp;"                 and Col6 = ""&amp;N57&amp;""
                 and Col4 = date '""&amp;TEXT(C57,""yyyy-mm-dd"")&amp;""'""
            )
          )&gt;0,
          ""Confirmada"",
          ""Caixa Sangria""
        )
      )
    ),
    """"
  ),
  """"
)
"),"")</f>
        <v/>
      </c>
      <c r="M57" s="209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159">
        <f>IFERROR(__xludf.DUMMYFUNCTION("ifna(VALUE(REGEXEXTRACT(E57,""[0-9.]+[,]+[0-9]+"")))"),48.0)</f>
        <v>48</v>
      </c>
      <c r="U57" s="159"/>
      <c r="V57" s="159"/>
      <c r="W57" s="159"/>
    </row>
    <row r="58" ht="14.25" customHeight="1">
      <c r="A58" s="149"/>
      <c r="B58" s="13">
        <v>2161523.0</v>
      </c>
      <c r="C58" s="14">
        <v>46144.909155092595</v>
      </c>
      <c r="D58" s="210" t="s">
        <v>101</v>
      </c>
      <c r="E58" s="211" t="s">
        <v>332</v>
      </c>
      <c r="F58" s="212"/>
      <c r="G58" s="210" t="s">
        <v>334</v>
      </c>
      <c r="H58" s="170"/>
      <c r="I58" s="170"/>
      <c r="J58" s="156" t="s">
        <v>12658</v>
      </c>
      <c r="K58" s="156" t="s">
        <v>13760</v>
      </c>
      <c r="L58" s="157" t="str">
        <f>IFERROR(__xludf.DUMMYFUNCTION("IF(
  AND(D58=""Saída"", J58=""Sangria""),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'""&amp;K58&amp;""'
             and Col6 = ""&amp;N58&amp;""
             and Col4 = date '""&amp;TEXT(C58,""yyyy-mm-dd"")&amp;""'""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'""&amp;K58&amp;""'
               and Col6 = ""&amp;N58&amp;""
               and Col4 = date '""&amp;TEXT(C58,""yyyy-mm-dd"")&amp;""'""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'""&amp;K58&amp;""'
"&amp;"                 and Col6 = ""&amp;N58&amp;""
                 and Col4 = date '""&amp;TEXT(C58,""yyyy-mm-dd"")&amp;""'""
            )
          )&gt;0,
          ""Confirmada"",
          ""Caixa Sangria""
        )
      )
    ),
    """"
  ),
  """"
)
"),"")</f>
        <v/>
      </c>
      <c r="M58" s="207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159">
        <f>IFERROR(__xludf.DUMMYFUNCTION("ifna(VALUE(REGEXEXTRACT(E58,""[0-9.]+[,]+[0-9]+"")))"),28.5)</f>
        <v>28.5</v>
      </c>
      <c r="O58" s="173" t="s">
        <v>0</v>
      </c>
      <c r="P58" s="173" t="s">
        <v>10</v>
      </c>
      <c r="Q58" s="173" t="s">
        <v>13056</v>
      </c>
      <c r="R58" s="173" t="s">
        <v>17</v>
      </c>
      <c r="S58" s="173" t="s">
        <v>12</v>
      </c>
      <c r="U58" s="159"/>
      <c r="V58" s="159"/>
      <c r="W58" s="159"/>
    </row>
    <row r="59" ht="14.25" customHeight="1">
      <c r="A59" s="149"/>
      <c r="B59" s="13">
        <v>2161525.0</v>
      </c>
      <c r="C59" s="14">
        <v>46144.90928240741</v>
      </c>
      <c r="D59" s="210" t="s">
        <v>101</v>
      </c>
      <c r="E59" s="211" t="s">
        <v>339</v>
      </c>
      <c r="F59" s="212"/>
      <c r="G59" s="210" t="s">
        <v>181</v>
      </c>
      <c r="H59" s="170"/>
      <c r="I59" s="170"/>
      <c r="J59" s="156" t="s">
        <v>6914</v>
      </c>
      <c r="K59" s="156"/>
      <c r="L59" s="157" t="str">
        <f>IFERROR(__xludf.DUMMYFUNCTION("IF(
  AND(D59=""Saída"", J59=""Sangria""),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'""&amp;K59&amp;""'
             and Col6 = ""&amp;N59&amp;""
             and Col4 = date '""&amp;TEXT(C59,""yyyy-mm-dd"")&amp;""'""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'""&amp;K59&amp;""'
               and Col6 = ""&amp;N59&amp;""
               and Col4 = date '""&amp;TEXT(C59,""yyyy-mm-dd"")&amp;""'""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'""&amp;K59&amp;""'
"&amp;"                 and Col6 = ""&amp;N59&amp;""
                 and Col4 = date '""&amp;TEXT(C59,""yyyy-mm-dd"")&amp;""'""
            )
          )&gt;0,
          ""Confirmada"",
          ""Caixa Sangria""
        )
      )
    ),
    """"
  ),
  """"
)
"),"")</f>
        <v/>
      </c>
      <c r="M59" s="209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159">
        <f>IFERROR(__xludf.DUMMYFUNCTION("ifna(VALUE(REGEXEXTRACT(E59,""[0-9.]+[,]+[0-9]+"")))"),31.0)</f>
        <v>31</v>
      </c>
      <c r="O59" s="174" t="s">
        <v>10233</v>
      </c>
      <c r="P59" s="175">
        <v>46155.0</v>
      </c>
      <c r="Q59" s="176" t="s">
        <v>117</v>
      </c>
      <c r="R59" s="176">
        <v>500.0</v>
      </c>
      <c r="S59" s="177"/>
      <c r="U59" s="159"/>
      <c r="V59" s="159"/>
      <c r="W59" s="159"/>
    </row>
    <row r="60" ht="14.25" customHeight="1">
      <c r="A60" s="149"/>
      <c r="B60" s="13">
        <v>2161574.0</v>
      </c>
      <c r="C60" s="14">
        <v>46144.915034722224</v>
      </c>
      <c r="D60" s="210" t="s">
        <v>101</v>
      </c>
      <c r="E60" s="211" t="s">
        <v>121</v>
      </c>
      <c r="F60" s="212"/>
      <c r="G60" s="210" t="s">
        <v>344</v>
      </c>
      <c r="H60" s="170"/>
      <c r="I60" s="170"/>
      <c r="J60" s="156" t="s">
        <v>10036</v>
      </c>
      <c r="K60" s="156"/>
      <c r="L60" s="157" t="str">
        <f>IFERROR(__xludf.DUMMYFUNCTION("IF(
  AND(D60=""Saída"", J60=""Sangria""),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'""&amp;K60&amp;""'
             and Col6 = ""&amp;N60&amp;""
             and Col4 = date '""&amp;TEXT(C60,""yyyy-mm-dd"")&amp;""'""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'""&amp;K60&amp;""'
               and Col6 = ""&amp;N60&amp;""
               and Col4 = date '""&amp;TEXT(C60,""yyyy-mm-dd"")&amp;""'""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'""&amp;K60&amp;""'
"&amp;"                 and Col6 = ""&amp;N60&amp;""
                 and Col4 = date '""&amp;TEXT(C60,""yyyy-mm-dd"")&amp;""'""
            )
          )&gt;0,
          ""Confirmada"",
          ""Caixa Sangria""
        )
      )
    ),
    """"
  ),
  """"
)
"),"")</f>
        <v/>
      </c>
      <c r="M60" s="207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159">
        <f>IFERROR(__xludf.DUMMYFUNCTION("ifna(VALUE(REGEXEXTRACT(E60,""[0-9.]+[,]+[0-9]+"")))"),135.0)</f>
        <v>135</v>
      </c>
      <c r="O60" s="174" t="s">
        <v>10236</v>
      </c>
      <c r="P60" s="175">
        <v>46155.0</v>
      </c>
      <c r="Q60" s="174" t="s">
        <v>2052</v>
      </c>
      <c r="R60" s="176">
        <v>500.0</v>
      </c>
      <c r="S60" s="177"/>
      <c r="U60" s="159"/>
      <c r="V60" s="159"/>
      <c r="W60" s="159"/>
    </row>
    <row r="61" ht="14.25" customHeight="1">
      <c r="A61" s="149"/>
      <c r="B61" s="13">
        <v>2161577.0</v>
      </c>
      <c r="C61" s="14">
        <v>46144.91527777778</v>
      </c>
      <c r="D61" s="210" t="s">
        <v>101</v>
      </c>
      <c r="E61" s="211" t="s">
        <v>213</v>
      </c>
      <c r="F61" s="212"/>
      <c r="G61" s="210" t="s">
        <v>346</v>
      </c>
      <c r="H61" s="170"/>
      <c r="I61" s="170"/>
      <c r="J61" s="156" t="s">
        <v>12778</v>
      </c>
      <c r="K61" s="156" t="s">
        <v>13760</v>
      </c>
      <c r="L61" s="157" t="str">
        <f>IFERROR(__xludf.DUMMYFUNCTION("IF(
  AND(D61=""Saída"", J61=""Sangria""),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'""&amp;K61&amp;""'
             and Col6 = ""&amp;N61&amp;""
             and Col4 = date '""&amp;TEXT(C61,""yyyy-mm-dd"")&amp;""'""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'""&amp;K61&amp;""'
               and Col6 = ""&amp;N61&amp;""
               and Col4 = date '""&amp;TEXT(C61,""yyyy-mm-dd"")&amp;""'""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'""&amp;K61&amp;""'
"&amp;"                 and Col6 = ""&amp;N61&amp;""
                 and Col4 = date '""&amp;TEXT(C61,""yyyy-mm-dd"")&amp;""'""
            )
          )&gt;0,
          ""Confirmada"",
          ""Caixa Sangria""
        )
      )
    ),
    """"
  ),
  """"
)
"),"Confirmada")</f>
        <v>Confirmada</v>
      </c>
      <c r="M61" s="209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159">
        <f>IFERROR(__xludf.DUMMYFUNCTION("ifna(VALUE(REGEXEXTRACT(E61,""[0-9.]+[,]+[0-9]+"")))"),200.0)</f>
        <v>200</v>
      </c>
      <c r="O61" s="174" t="s">
        <v>10238</v>
      </c>
      <c r="P61" s="175">
        <v>46155.0</v>
      </c>
      <c r="Q61" s="174" t="s">
        <v>218</v>
      </c>
      <c r="R61" s="176">
        <v>500.0</v>
      </c>
      <c r="S61" s="177"/>
      <c r="U61" s="159"/>
      <c r="V61" s="159"/>
      <c r="W61" s="159"/>
    </row>
    <row r="62" ht="14.25" customHeight="1">
      <c r="A62" s="149"/>
      <c r="B62" s="13">
        <v>2161613.0</v>
      </c>
      <c r="C62" s="14">
        <v>46144.91915509259</v>
      </c>
      <c r="D62" s="210" t="s">
        <v>139</v>
      </c>
      <c r="E62" s="211" t="s">
        <v>201</v>
      </c>
      <c r="F62" s="212"/>
      <c r="G62" s="210" t="s">
        <v>272</v>
      </c>
      <c r="H62" s="170"/>
      <c r="I62" s="170"/>
      <c r="J62" s="156" t="s">
        <v>12952</v>
      </c>
      <c r="K62" s="156"/>
      <c r="L62" s="157" t="str">
        <f>IFERROR(__xludf.DUMMYFUNCTION("IF(
  AND(D62=""Saída"", J62=""Sangria""),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'""&amp;K62&amp;""'
             and Col6 = ""&amp;N62&amp;""
             and Col4 = date '""&amp;TEXT(C62,""yyyy-mm-dd"")&amp;""'""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'""&amp;K62&amp;""'
               and Col6 = ""&amp;N62&amp;""
               and Col4 = date '""&amp;TEXT(C62,""yyyy-mm-dd"")&amp;""'""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'""&amp;K62&amp;""'
"&amp;"                 and Col6 = ""&amp;N62&amp;""
                 and Col4 = date '""&amp;TEXT(C62,""yyyy-mm-dd"")&amp;""'""
            )
          )&gt;0,
          ""Confirmada"",
          ""Caixa Sangria""
        )
      )
    ),
    """"
  ),
  """"
)
"),"")</f>
        <v/>
      </c>
      <c r="M62" s="207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159">
        <f>IFERROR(__xludf.DUMMYFUNCTION("ifna(VALUE(REGEXEXTRACT(E62,""[0-9.]+[,]+[0-9]+"")))"),150.0)</f>
        <v>150</v>
      </c>
      <c r="O62" s="174" t="s">
        <v>10240</v>
      </c>
      <c r="P62" s="175">
        <v>46155.0</v>
      </c>
      <c r="Q62" s="174" t="s">
        <v>227</v>
      </c>
      <c r="R62" s="176">
        <v>500.0</v>
      </c>
      <c r="S62" s="177"/>
      <c r="U62" s="159"/>
      <c r="V62" s="159"/>
      <c r="W62" s="159"/>
    </row>
    <row r="63" ht="14.25" customHeight="1">
      <c r="A63" s="149"/>
      <c r="B63" s="13">
        <v>2163504.0</v>
      </c>
      <c r="C63" s="14">
        <v>46145.87793981482</v>
      </c>
      <c r="D63" s="210" t="s">
        <v>139</v>
      </c>
      <c r="E63" s="211" t="s">
        <v>237</v>
      </c>
      <c r="F63" s="212"/>
      <c r="G63" s="210" t="s">
        <v>142</v>
      </c>
      <c r="H63" s="170"/>
      <c r="I63" s="170"/>
      <c r="J63" s="156" t="s">
        <v>12952</v>
      </c>
      <c r="K63" s="156"/>
      <c r="L63" s="157" t="str">
        <f>IFERROR(__xludf.DUMMYFUNCTION("IF(
  AND(D63=""Saída"", J63=""Sangria""),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'""&amp;K63&amp;""'
             and Col6 = ""&amp;N63&amp;""
             and Col4 = date '""&amp;TEXT(C63,""yyyy-mm-dd"")&amp;""'""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'""&amp;K63&amp;""'
               and Col6 = ""&amp;N63&amp;""
               and Col4 = date '""&amp;TEXT(C63,""yyyy-mm-dd"")&amp;""'""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'""&amp;K63&amp;""'
"&amp;"                 and Col6 = ""&amp;N63&amp;""
                 and Col4 = date '""&amp;TEXT(C63,""yyyy-mm-dd"")&amp;""'""
            )
          )&gt;0,
          ""Confirmada"",
          ""Caixa Sangria""
        )
      )
    ),
    """"
  ),
  """"
)
"),"")</f>
        <v/>
      </c>
      <c r="M63" s="209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159">
        <f>IFERROR(__xludf.DUMMYFUNCTION("ifna(VALUE(REGEXEXTRACT(E63,""[0-9.]+[,]+[0-9]+"")))"),100.0)</f>
        <v>100</v>
      </c>
      <c r="O63" s="174" t="s">
        <v>10244</v>
      </c>
      <c r="P63" s="175">
        <v>46155.0</v>
      </c>
      <c r="Q63" s="176" t="s">
        <v>336</v>
      </c>
      <c r="R63" s="178">
        <v>500.0</v>
      </c>
      <c r="S63" s="177"/>
      <c r="U63" s="159"/>
      <c r="V63" s="159"/>
      <c r="W63" s="159"/>
    </row>
    <row r="64" ht="14.25" customHeight="1">
      <c r="A64" s="149"/>
      <c r="B64" s="13">
        <v>2163625.0</v>
      </c>
      <c r="C64" s="14">
        <v>46145.8959837963</v>
      </c>
      <c r="D64" s="210" t="s">
        <v>101</v>
      </c>
      <c r="E64" s="211" t="s">
        <v>121</v>
      </c>
      <c r="F64" s="212"/>
      <c r="G64" s="210" t="s">
        <v>355</v>
      </c>
      <c r="H64" s="170"/>
      <c r="I64" s="170"/>
      <c r="J64" s="156" t="s">
        <v>10036</v>
      </c>
      <c r="K64" s="156"/>
      <c r="L64" s="157" t="str">
        <f>IFERROR(__xludf.DUMMYFUNCTION("IF(
  AND(D64=""Saída"", J64=""Sangria""),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'""&amp;K64&amp;""'
             and Col6 = ""&amp;N64&amp;""
             and Col4 = date '""&amp;TEXT(C64,""yyyy-mm-dd"")&amp;""'""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'""&amp;K64&amp;""'
               and Col6 = ""&amp;N64&amp;""
               and Col4 = date '""&amp;TEXT(C64,""yyyy-mm-dd"")&amp;""'""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'""&amp;K64&amp;""'
"&amp;"                 and Col6 = ""&amp;N64&amp;""
                 and Col4 = date '""&amp;TEXT(C64,""yyyy-mm-dd"")&amp;""'""
            )
          )&gt;0,
          ""Confirmada"",
          ""Caixa Sangria""
        )
      )
    ),
    """"
  ),
  """"
)
"),"")</f>
        <v/>
      </c>
      <c r="M64" s="207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159">
        <f>IFERROR(__xludf.DUMMYFUNCTION("ifna(VALUE(REGEXEXTRACT(E64,""[0-9.]+[,]+[0-9]+"")))"),135.0)</f>
        <v>135</v>
      </c>
      <c r="O64" s="174"/>
      <c r="P64" s="175"/>
      <c r="Q64" s="174"/>
      <c r="R64" s="176"/>
      <c r="S64" s="177" t="str">
        <f t="shared" ref="S64:S95" si="1">IFERROR(VLOOKUP(Q64, $A$4:$B$11, 2, FALSE), "")</f>
        <v/>
      </c>
      <c r="U64" s="159"/>
      <c r="V64" s="159"/>
      <c r="W64" s="159"/>
    </row>
    <row r="65" ht="14.25" customHeight="1">
      <c r="A65" s="149"/>
      <c r="B65" s="13">
        <v>2163629.0</v>
      </c>
      <c r="C65" s="14">
        <v>46145.896157407406</v>
      </c>
      <c r="D65" s="210" t="s">
        <v>101</v>
      </c>
      <c r="E65" s="211" t="s">
        <v>121</v>
      </c>
      <c r="F65" s="212"/>
      <c r="G65" s="210" t="s">
        <v>358</v>
      </c>
      <c r="H65" s="170"/>
      <c r="I65" s="170"/>
      <c r="J65" s="156" t="s">
        <v>10036</v>
      </c>
      <c r="K65" s="156"/>
      <c r="L65" s="157" t="str">
        <f>IFERROR(__xludf.DUMMYFUNCTION("IF(
  AND(D65=""Saída"", J65=""Sangria""),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'""&amp;K65&amp;""'
             and Col6 = ""&amp;N65&amp;""
             and Col4 = date '""&amp;TEXT(C65,""yyyy-mm-dd"")&amp;""'""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'""&amp;K65&amp;""'
               and Col6 = ""&amp;N65&amp;""
               and Col4 = date '""&amp;TEXT(C65,""yyyy-mm-dd"")&amp;""'""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'""&amp;K65&amp;""'
"&amp;"                 and Col6 = ""&amp;N65&amp;""
                 and Col4 = date '""&amp;TEXT(C65,""yyyy-mm-dd"")&amp;""'""
            )
          )&gt;0,
          ""Confirmada"",
          ""Caixa Sangria""
        )
      )
    ),
    """"
  ),
  """"
)
"),"")</f>
        <v/>
      </c>
      <c r="M65" s="209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159">
        <f>IFERROR(__xludf.DUMMYFUNCTION("ifna(VALUE(REGEXEXTRACT(E65,""[0-9.]+[,]+[0-9]+"")))"),135.0)</f>
        <v>135</v>
      </c>
      <c r="O65" s="174"/>
      <c r="P65" s="175"/>
      <c r="Q65" s="174"/>
      <c r="R65" s="176"/>
      <c r="S65" s="177" t="str">
        <f t="shared" si="1"/>
        <v/>
      </c>
      <c r="U65" s="159"/>
      <c r="V65" s="159"/>
      <c r="W65" s="159"/>
    </row>
    <row r="66" ht="14.25" customHeight="1">
      <c r="A66" s="149"/>
      <c r="B66" s="13">
        <v>2163633.0</v>
      </c>
      <c r="C66" s="14">
        <v>46145.89640046296</v>
      </c>
      <c r="D66" s="210" t="s">
        <v>101</v>
      </c>
      <c r="E66" s="211" t="s">
        <v>121</v>
      </c>
      <c r="F66" s="212"/>
      <c r="G66" s="210" t="s">
        <v>362</v>
      </c>
      <c r="H66" s="170"/>
      <c r="I66" s="170"/>
      <c r="J66" s="156" t="s">
        <v>10036</v>
      </c>
      <c r="K66" s="156"/>
      <c r="L66" s="157" t="str">
        <f>IFERROR(__xludf.DUMMYFUNCTION("IF(
  AND(D66=""Saída"", J66=""Sangria""),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'""&amp;K66&amp;""'
             and Col6 = ""&amp;N66&amp;""
             and Col4 = date '""&amp;TEXT(C66,""yyyy-mm-dd"")&amp;""'""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'""&amp;K66&amp;""'
               and Col6 = ""&amp;N66&amp;""
               and Col4 = date '""&amp;TEXT(C66,""yyyy-mm-dd"")&amp;""'""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'""&amp;K66&amp;""'
"&amp;"                 and Col6 = ""&amp;N66&amp;""
                 and Col4 = date '""&amp;TEXT(C66,""yyyy-mm-dd"")&amp;""'""
            )
          )&gt;0,
          ""Confirmada"",
          ""Caixa Sangria""
        )
      )
    ),
    """"
  ),
  """"
)
"),"")</f>
        <v/>
      </c>
      <c r="M66" s="207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159">
        <f>IFERROR(__xludf.DUMMYFUNCTION("ifna(VALUE(REGEXEXTRACT(E66,""[0-9.]+[,]+[0-9]+"")))"),135.0)</f>
        <v>135</v>
      </c>
      <c r="O66" s="174"/>
      <c r="P66" s="175"/>
      <c r="Q66" s="174"/>
      <c r="R66" s="176"/>
      <c r="S66" s="177" t="str">
        <f t="shared" si="1"/>
        <v/>
      </c>
      <c r="U66" s="159"/>
      <c r="V66" s="159"/>
      <c r="W66" s="159"/>
    </row>
    <row r="67" ht="14.25" customHeight="1">
      <c r="A67" s="149"/>
      <c r="B67" s="13">
        <v>2163802.0</v>
      </c>
      <c r="C67" s="14">
        <v>46145.91726851852</v>
      </c>
      <c r="D67" s="210" t="s">
        <v>101</v>
      </c>
      <c r="E67" s="211" t="s">
        <v>364</v>
      </c>
      <c r="F67" s="212"/>
      <c r="G67" s="210" t="s">
        <v>365</v>
      </c>
      <c r="H67" s="170"/>
      <c r="I67" s="170"/>
      <c r="J67" s="156" t="s">
        <v>12778</v>
      </c>
      <c r="K67" s="156" t="s">
        <v>11866</v>
      </c>
      <c r="L67" s="157" t="str">
        <f>IFERROR(__xludf.DUMMYFUNCTION("IF(
  AND(D67=""Saída"", J67=""Sangria""),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'""&amp;K67&amp;""'
             and Col6 = ""&amp;N67&amp;""
             and Col4 = date '""&amp;TEXT(C67,""yyyy-mm-dd"")&amp;""'""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'""&amp;K67&amp;""'
               and Col6 = ""&amp;N67&amp;""
               and Col4 = date '""&amp;TEXT(C67,""yyyy-mm-dd"")&amp;""'""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'""&amp;K67&amp;""'
"&amp;"                 and Col6 = ""&amp;N67&amp;""
                 and Col4 = date '""&amp;TEXT(C67,""yyyy-mm-dd"")&amp;""'""
            )
          )&gt;0,
          ""Confirmada"",
          ""Caixa Sangria""
        )
      )
    ),
    """"
  ),
  """"
)
"),"Caixa Atendimento")</f>
        <v>Caixa Atendimento</v>
      </c>
      <c r="M67" s="209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159">
        <f>IFERROR(__xludf.DUMMYFUNCTION("ifna(VALUE(REGEXEXTRACT(E67,""[0-9.]+[,]+[0-9]+"")))"),600.0)</f>
        <v>600</v>
      </c>
      <c r="O67" s="174"/>
      <c r="P67" s="175"/>
      <c r="Q67" s="174"/>
      <c r="R67" s="176"/>
      <c r="S67" s="177" t="str">
        <f t="shared" si="1"/>
        <v/>
      </c>
      <c r="U67" s="159"/>
      <c r="V67" s="159"/>
      <c r="W67" s="159"/>
    </row>
    <row r="68" ht="14.25" customHeight="1">
      <c r="A68" s="149"/>
      <c r="B68" s="13">
        <v>2163810.0</v>
      </c>
      <c r="C68" s="14">
        <v>46145.91748842593</v>
      </c>
      <c r="D68" s="210" t="s">
        <v>101</v>
      </c>
      <c r="E68" s="211" t="s">
        <v>370</v>
      </c>
      <c r="F68" s="212"/>
      <c r="G68" s="210" t="s">
        <v>371</v>
      </c>
      <c r="H68" s="170"/>
      <c r="I68" s="170"/>
      <c r="J68" s="156" t="s">
        <v>6914</v>
      </c>
      <c r="K68" s="156"/>
      <c r="L68" s="157" t="str">
        <f>IFERROR(__xludf.DUMMYFUNCTION("IF(
  AND(D68=""Saída"", J68=""Sangria""),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'""&amp;K68&amp;""'
             and Col6 = ""&amp;N68&amp;""
             and Col4 = date '""&amp;TEXT(C68,""yyyy-mm-dd"")&amp;""'""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'""&amp;K68&amp;""'
               and Col6 = ""&amp;N68&amp;""
               and Col4 = date '""&amp;TEXT(C68,""yyyy-mm-dd"")&amp;""'""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'""&amp;K68&amp;""'
"&amp;"                 and Col6 = ""&amp;N68&amp;""
                 and Col4 = date '""&amp;TEXT(C68,""yyyy-mm-dd"")&amp;""'""
            )
          )&gt;0,
          ""Confirmada"",
          ""Caixa Sangria""
        )
      )
    ),
    """"
  ),
  """"
)
"),"")</f>
        <v/>
      </c>
      <c r="M68" s="207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159">
        <f>IFERROR(__xludf.DUMMYFUNCTION("ifna(VALUE(REGEXEXTRACT(E68,""[0-9.]+[,]+[0-9]+"")))"),244.0)</f>
        <v>244</v>
      </c>
      <c r="O68" s="174"/>
      <c r="P68" s="175"/>
      <c r="Q68" s="174"/>
      <c r="R68" s="176"/>
      <c r="S68" s="177" t="str">
        <f t="shared" si="1"/>
        <v/>
      </c>
      <c r="U68" s="159"/>
      <c r="V68" s="159"/>
      <c r="W68" s="159"/>
    </row>
    <row r="69" ht="14.25" customHeight="1">
      <c r="A69" s="149"/>
      <c r="B69" s="13">
        <v>2164909.0</v>
      </c>
      <c r="C69" s="14">
        <v>46146.71366898148</v>
      </c>
      <c r="D69" s="210" t="s">
        <v>139</v>
      </c>
      <c r="E69" s="211" t="s">
        <v>374</v>
      </c>
      <c r="F69" s="212"/>
      <c r="G69" s="210" t="s">
        <v>142</v>
      </c>
      <c r="H69" s="170"/>
      <c r="I69" s="170"/>
      <c r="J69" s="156" t="s">
        <v>12952</v>
      </c>
      <c r="K69" s="156"/>
      <c r="L69" s="157" t="str">
        <f>IFERROR(__xludf.DUMMYFUNCTION("IF(
  AND(D69=""Saída"", J69=""Sangria""),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'""&amp;K69&amp;""'
             and Col6 = ""&amp;N69&amp;""
             and Col4 = date '""&amp;TEXT(C69,""yyyy-mm-dd"")&amp;""'""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'""&amp;K69&amp;""'
               and Col6 = ""&amp;N69&amp;""
               and Col4 = date '""&amp;TEXT(C69,""yyyy-mm-dd"")&amp;""'""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'""&amp;K69&amp;""'
"&amp;"                 and Col6 = ""&amp;N69&amp;""
                 and Col4 = date '""&amp;TEXT(C69,""yyyy-mm-dd"")&amp;""'""
            )
          )&gt;0,
          ""Confirmada"",
          ""Caixa Sangria""
        )
      )
    ),
    """"
  ),
  """"
)
"),"")</f>
        <v/>
      </c>
      <c r="M69" s="209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159">
        <f>IFERROR(__xludf.DUMMYFUNCTION("ifna(VALUE(REGEXEXTRACT(E69,""[0-9.]+[,]+[0-9]+"")))"),70.5)</f>
        <v>70.5</v>
      </c>
      <c r="O69" s="179"/>
      <c r="P69" s="179"/>
      <c r="Q69" s="179"/>
      <c r="R69" s="180" t="str">
        <f t="shared" ref="R69:R95" si="2">IFERROR(VLOOKUP(Q69, $B$4:$C$11, 2, FALSE), "")</f>
        <v/>
      </c>
      <c r="S69" s="177" t="str">
        <f t="shared" si="1"/>
        <v/>
      </c>
      <c r="U69" s="159"/>
      <c r="V69" s="159"/>
      <c r="W69" s="159"/>
    </row>
    <row r="70" ht="14.25" customHeight="1">
      <c r="A70" s="149"/>
      <c r="B70" s="13">
        <v>2164974.0</v>
      </c>
      <c r="C70" s="14">
        <v>46146.733622685184</v>
      </c>
      <c r="D70" s="210" t="s">
        <v>101</v>
      </c>
      <c r="E70" s="211" t="s">
        <v>377</v>
      </c>
      <c r="F70" s="212"/>
      <c r="G70" s="210" t="s">
        <v>133</v>
      </c>
      <c r="H70" s="170"/>
      <c r="I70" s="170"/>
      <c r="J70" s="156" t="s">
        <v>6914</v>
      </c>
      <c r="K70" s="156"/>
      <c r="L70" s="157" t="str">
        <f>IFERROR(__xludf.DUMMYFUNCTION("IF(
  AND(D70=""Saída"", J70=""Sangria""),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'""&amp;K70&amp;""'
             and Col6 = ""&amp;N70&amp;""
             and Col4 = date '""&amp;TEXT(C70,""yyyy-mm-dd"")&amp;""'""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'""&amp;K70&amp;""'
               and Col6 = ""&amp;N70&amp;""
               and Col4 = date '""&amp;TEXT(C70,""yyyy-mm-dd"")&amp;""'""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'""&amp;K70&amp;""'
"&amp;"                 and Col6 = ""&amp;N70&amp;""
                 and Col4 = date '""&amp;TEXT(C70,""yyyy-mm-dd"")&amp;""'""
            )
          )&gt;0,
          ""Confirmada"",
          ""Caixa Sangria""
        )
      )
    ),
    """"
  ),
  """"
)
"),"")</f>
        <v/>
      </c>
      <c r="M70" s="207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159">
        <f>IFERROR(__xludf.DUMMYFUNCTION("ifna(VALUE(REGEXEXTRACT(E70,""[0-9.]+[,]+[0-9]+"")))"),33.0)</f>
        <v>33</v>
      </c>
      <c r="O70" s="179"/>
      <c r="P70" s="179"/>
      <c r="Q70" s="179"/>
      <c r="R70" s="180" t="str">
        <f t="shared" si="2"/>
        <v/>
      </c>
      <c r="S70" s="177" t="str">
        <f t="shared" si="1"/>
        <v/>
      </c>
      <c r="U70" s="159"/>
      <c r="V70" s="159"/>
      <c r="W70" s="159"/>
    </row>
    <row r="71" ht="14.25" customHeight="1">
      <c r="A71" s="149"/>
      <c r="B71" s="13">
        <v>2164975.0</v>
      </c>
      <c r="C71" s="14">
        <v>46146.73462962963</v>
      </c>
      <c r="D71" s="210" t="s">
        <v>101</v>
      </c>
      <c r="E71" s="211" t="s">
        <v>379</v>
      </c>
      <c r="F71" s="212"/>
      <c r="G71" s="210" t="s">
        <v>381</v>
      </c>
      <c r="H71" s="170"/>
      <c r="I71" s="170"/>
      <c r="J71" s="156" t="s">
        <v>12818</v>
      </c>
      <c r="K71" s="156"/>
      <c r="L71" s="157" t="str">
        <f>IFERROR(__xludf.DUMMYFUNCTION("IF(
  AND(D71=""Saída"", J71=""Sangria""),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'""&amp;K71&amp;""'
             and Col6 = ""&amp;N71&amp;""
             and Col4 = date '""&amp;TEXT(C71,""yyyy-mm-dd"")&amp;""'""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'""&amp;K71&amp;""'
               and Col6 = ""&amp;N71&amp;""
               and Col4 = date '""&amp;TEXT(C71,""yyyy-mm-dd"")&amp;""'""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'""&amp;K71&amp;""'
"&amp;"                 and Col6 = ""&amp;N71&amp;""
                 and Col4 = date '""&amp;TEXT(C71,""yyyy-mm-dd"")&amp;""'""
            )
          )&gt;0,
          ""Confirmada"",
          ""Caixa Sangria""
        )
      )
    ),
    """"
  ),
  """"
)
"),"")</f>
        <v/>
      </c>
      <c r="M71" s="209" t="str">
        <f>IFERROR(__xludf.DUMMYFUNCTION("IF(J71=""Compra de Mercadorias"",
   IF(
      COUNTIF(ARRAYFORMULA(TRIM(CLEAN(TO_TEXT(Notas!BS:BS)))), TRIM(CLEAN(TO_TEXT(B71)))) &gt; 0,
      ""Encontrada"",
      ""Não Encontrada""
   ),
"""")"),"Não Encontrada")</f>
        <v>Não Encontrada</v>
      </c>
      <c r="N71" s="159">
        <f>IFERROR(__xludf.DUMMYFUNCTION("ifna(VALUE(REGEXEXTRACT(E71,""[0-9.]+[,]+[0-9]+"")))"),120.54)</f>
        <v>120.54</v>
      </c>
      <c r="O71" s="179"/>
      <c r="P71" s="179"/>
      <c r="Q71" s="179"/>
      <c r="R71" s="180" t="str">
        <f t="shared" si="2"/>
        <v/>
      </c>
      <c r="S71" s="177" t="str">
        <f t="shared" si="1"/>
        <v/>
      </c>
      <c r="U71" s="159"/>
      <c r="V71" s="159"/>
      <c r="W71" s="159"/>
    </row>
    <row r="72" ht="14.25" customHeight="1">
      <c r="A72" s="149"/>
      <c r="B72" s="13">
        <v>2164978.0</v>
      </c>
      <c r="C72" s="14">
        <v>46146.73539351852</v>
      </c>
      <c r="D72" s="210" t="s">
        <v>101</v>
      </c>
      <c r="E72" s="211" t="s">
        <v>384</v>
      </c>
      <c r="F72" s="212"/>
      <c r="G72" s="210" t="s">
        <v>381</v>
      </c>
      <c r="H72" s="170"/>
      <c r="I72" s="170"/>
      <c r="J72" s="156" t="s">
        <v>12818</v>
      </c>
      <c r="K72" s="156"/>
      <c r="L72" s="157" t="str">
        <f>IFERROR(__xludf.DUMMYFUNCTION("IF(
  AND(D72=""Saída"", J72=""Sangria""),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'""&amp;K72&amp;""'
             and Col6 = ""&amp;N72&amp;""
             and Col4 = date '""&amp;TEXT(C72,""yyyy-mm-dd"")&amp;""'""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'""&amp;K72&amp;""'
               and Col6 = ""&amp;N72&amp;""
               and Col4 = date '""&amp;TEXT(C72,""yyyy-mm-dd"")&amp;""'""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'""&amp;K72&amp;""'
"&amp;"                 and Col6 = ""&amp;N72&amp;""
                 and Col4 = date '""&amp;TEXT(C72,""yyyy-mm-dd"")&amp;""'""
            )
          )&gt;0,
          ""Confirmada"",
          ""Caixa Sangria""
        )
      )
    ),
    """"
  ),
  """"
)
"),"")</f>
        <v/>
      </c>
      <c r="M72" s="207" t="str">
        <f>IFERROR(__xludf.DUMMYFUNCTION("IF(J72=""Compra de Mercadorias"",
   IF(
      COUNTIF(ARRAYFORMULA(TRIM(CLEAN(TO_TEXT(Notas!BS:BS)))), TRIM(CLEAN(TO_TEXT(B72)))) &gt; 0,
      ""Encontrada"",
      ""Não Encontrada""
   ),
"""")"),"Não Encontrada")</f>
        <v>Não Encontrada</v>
      </c>
      <c r="N72" s="159">
        <f>IFERROR(__xludf.DUMMYFUNCTION("ifna(VALUE(REGEXEXTRACT(E72,""[0-9.]+[,]+[0-9]+"")))"),62.53)</f>
        <v>62.53</v>
      </c>
      <c r="O72" s="179"/>
      <c r="P72" s="179"/>
      <c r="Q72" s="179"/>
      <c r="R72" s="180" t="str">
        <f t="shared" si="2"/>
        <v/>
      </c>
      <c r="S72" s="177" t="str">
        <f t="shared" si="1"/>
        <v/>
      </c>
      <c r="U72" s="159"/>
      <c r="V72" s="159"/>
      <c r="W72" s="159"/>
    </row>
    <row r="73" ht="14.25" customHeight="1">
      <c r="A73" s="149"/>
      <c r="B73" s="13">
        <v>2165307.0</v>
      </c>
      <c r="C73" s="14">
        <v>46146.87298611111</v>
      </c>
      <c r="D73" s="210" t="s">
        <v>101</v>
      </c>
      <c r="E73" s="211" t="s">
        <v>231</v>
      </c>
      <c r="F73" s="214"/>
      <c r="G73" s="210" t="s">
        <v>181</v>
      </c>
      <c r="H73" s="170"/>
      <c r="I73" s="170"/>
      <c r="J73" s="156" t="s">
        <v>6914</v>
      </c>
      <c r="K73" s="156"/>
      <c r="L73" s="157" t="str">
        <f>IFERROR(__xludf.DUMMYFUNCTION("IF(
  AND(D73=""Saída"", J73=""Sangria""),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'""&amp;K73&amp;""'
             and Col6 = ""&amp;N73&amp;""
             and Col4 = date '""&amp;TEXT(C73,""yyyy-mm-dd"")&amp;""'""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'""&amp;K73&amp;""'
               and Col6 = ""&amp;N73&amp;""
               and Col4 = date '""&amp;TEXT(C73,""yyyy-mm-dd"")&amp;""'""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'""&amp;K73&amp;""'
"&amp;"                 and Col6 = ""&amp;N73&amp;""
                 and Col4 = date '""&amp;TEXT(C73,""yyyy-mm-dd"")&amp;""'""
            )
          )&gt;0,
          ""Confirmada"",
          ""Caixa Sangria""
        )
      )
    ),
    """"
  ),
  """"
)
"),"")</f>
        <v/>
      </c>
      <c r="M73" s="209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159">
        <f>IFERROR(__xludf.DUMMYFUNCTION("ifna(VALUE(REGEXEXTRACT(E73,""[0-9.]+[,]+[0-9]+"")))"),10.0)</f>
        <v>10</v>
      </c>
      <c r="O73" s="179"/>
      <c r="P73" s="179"/>
      <c r="Q73" s="179"/>
      <c r="R73" s="180" t="str">
        <f t="shared" si="2"/>
        <v/>
      </c>
      <c r="S73" s="177" t="str">
        <f t="shared" si="1"/>
        <v/>
      </c>
      <c r="U73" s="159"/>
      <c r="V73" s="159"/>
      <c r="W73" s="159"/>
    </row>
    <row r="74" ht="14.25" customHeight="1">
      <c r="A74" s="149"/>
      <c r="B74" s="13">
        <v>2165951.0</v>
      </c>
      <c r="C74" s="14">
        <v>46147.57113425926</v>
      </c>
      <c r="D74" s="210" t="s">
        <v>101</v>
      </c>
      <c r="E74" s="211" t="s">
        <v>392</v>
      </c>
      <c r="F74" s="212"/>
      <c r="G74" s="210" t="s">
        <v>393</v>
      </c>
      <c r="H74" s="170"/>
      <c r="I74" s="170"/>
      <c r="J74" s="156" t="s">
        <v>12658</v>
      </c>
      <c r="K74" s="156" t="s">
        <v>13763</v>
      </c>
      <c r="L74" s="157" t="str">
        <f>IFERROR(__xludf.DUMMYFUNCTION("IF(
  AND(D74=""Saída"", J74=""Sangria""),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'""&amp;K74&amp;""'
             and Col6 = ""&amp;N74&amp;""
             and Col4 = date '""&amp;TEXT(C74,""yyyy-mm-dd"")&amp;""'""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'""&amp;K74&amp;""'
               and Col6 = ""&amp;N74&amp;""
               and Col4 = date '""&amp;TEXT(C74,""yyyy-mm-dd"")&amp;""'""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'""&amp;K74&amp;""'
"&amp;"                 and Col6 = ""&amp;N74&amp;""
                 and Col4 = date '""&amp;TEXT(C74,""yyyy-mm-dd"")&amp;""'""
            )
          )&gt;0,
          ""Confirmada"",
          ""Caixa Sangria""
        )
      )
    ),
    """"
  ),
  """"
)
"),"")</f>
        <v/>
      </c>
      <c r="M74" s="207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159">
        <f>IFERROR(__xludf.DUMMYFUNCTION("ifna(VALUE(REGEXEXTRACT(E74,""[0-9.]+[,]+[0-9]+"")))"),27.0)</f>
        <v>27</v>
      </c>
      <c r="O74" s="179"/>
      <c r="P74" s="179"/>
      <c r="Q74" s="179"/>
      <c r="R74" s="180" t="str">
        <f t="shared" si="2"/>
        <v/>
      </c>
      <c r="S74" s="177" t="str">
        <f t="shared" si="1"/>
        <v/>
      </c>
      <c r="U74" s="159"/>
      <c r="V74" s="159"/>
      <c r="W74" s="159"/>
    </row>
    <row r="75" ht="14.25" customHeight="1">
      <c r="A75" s="149"/>
      <c r="B75" s="13">
        <v>2165953.0</v>
      </c>
      <c r="C75" s="14">
        <v>46147.571435185186</v>
      </c>
      <c r="D75" s="210" t="s">
        <v>101</v>
      </c>
      <c r="E75" s="211" t="s">
        <v>231</v>
      </c>
      <c r="F75" s="212"/>
      <c r="G75" s="210" t="s">
        <v>109</v>
      </c>
      <c r="H75" s="170"/>
      <c r="I75" s="170"/>
      <c r="J75" s="156" t="s">
        <v>12658</v>
      </c>
      <c r="K75" s="156" t="s">
        <v>11866</v>
      </c>
      <c r="L75" s="157" t="str">
        <f>IFERROR(__xludf.DUMMYFUNCTION("IF(
  AND(D75=""Saída"", J75=""Sangria""),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'""&amp;K75&amp;""'
             and Col6 = ""&amp;N75&amp;""
             and Col4 = date '""&amp;TEXT(C75,""yyyy-mm-dd"")&amp;""'""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'""&amp;K75&amp;""'
               and Col6 = ""&amp;N75&amp;""
               and Col4 = date '""&amp;TEXT(C75,""yyyy-mm-dd"")&amp;""'""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'""&amp;K75&amp;""'
"&amp;"                 and Col6 = ""&amp;N75&amp;""
                 and Col4 = date '""&amp;TEXT(C75,""yyyy-mm-dd"")&amp;""'""
            )
          )&gt;0,
          ""Confirmada"",
          ""Caixa Sangria""
        )
      )
    ),
    """"
  ),
  """"
)
"),"")</f>
        <v/>
      </c>
      <c r="M75" s="209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159">
        <f>IFERROR(__xludf.DUMMYFUNCTION("ifna(VALUE(REGEXEXTRACT(E75,""[0-9.]+[,]+[0-9]+"")))"),10.0)</f>
        <v>10</v>
      </c>
      <c r="O75" s="179"/>
      <c r="P75" s="179"/>
      <c r="Q75" s="179"/>
      <c r="R75" s="180" t="str">
        <f t="shared" si="2"/>
        <v/>
      </c>
      <c r="S75" s="177" t="str">
        <f t="shared" si="1"/>
        <v/>
      </c>
      <c r="U75" s="159"/>
      <c r="V75" s="159"/>
      <c r="W75" s="159"/>
    </row>
    <row r="76" ht="14.25" customHeight="1">
      <c r="A76" s="149"/>
      <c r="B76" s="13">
        <v>2166390.0</v>
      </c>
      <c r="C76" s="14">
        <v>46147.712013888886</v>
      </c>
      <c r="D76" s="210" t="s">
        <v>101</v>
      </c>
      <c r="E76" s="211" t="s">
        <v>398</v>
      </c>
      <c r="F76" s="212"/>
      <c r="G76" s="210" t="s">
        <v>399</v>
      </c>
      <c r="H76" s="170"/>
      <c r="I76" s="170"/>
      <c r="J76" s="156" t="s">
        <v>6914</v>
      </c>
      <c r="K76" s="156"/>
      <c r="L76" s="157" t="str">
        <f>IFERROR(__xludf.DUMMYFUNCTION("IF(
  AND(D76=""Saída"", J76=""Sangria""),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'""&amp;K76&amp;""'
             and Col6 = ""&amp;N76&amp;""
             and Col4 = date '""&amp;TEXT(C76,""yyyy-mm-dd"")&amp;""'""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'""&amp;K76&amp;""'
               and Col6 = ""&amp;N76&amp;""
               and Col4 = date '""&amp;TEXT(C76,""yyyy-mm-dd"")&amp;""'""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'""&amp;K76&amp;""'
"&amp;"                 and Col6 = ""&amp;N76&amp;""
                 and Col4 = date '""&amp;TEXT(C76,""yyyy-mm-dd"")&amp;""'""
            )
          )&gt;0,
          ""Confirmada"",
          ""Caixa Sangria""
        )
      )
    ),
    """"
  ),
  """"
)
"),"")</f>
        <v/>
      </c>
      <c r="M76" s="207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159">
        <f>IFERROR(__xludf.DUMMYFUNCTION("ifna(VALUE(REGEXEXTRACT(E76,""[0-9.]+[,]+[0-9]+"")))"),12.0)</f>
        <v>12</v>
      </c>
      <c r="O76" s="179"/>
      <c r="P76" s="179"/>
      <c r="Q76" s="179"/>
      <c r="R76" s="180" t="str">
        <f t="shared" si="2"/>
        <v/>
      </c>
      <c r="S76" s="177" t="str">
        <f t="shared" si="1"/>
        <v/>
      </c>
      <c r="U76" s="159"/>
      <c r="V76" s="159"/>
      <c r="W76" s="159"/>
    </row>
    <row r="77" ht="14.25" customHeight="1">
      <c r="A77" s="149"/>
      <c r="B77" s="13">
        <v>2166393.0</v>
      </c>
      <c r="C77" s="14">
        <v>46147.71224537037</v>
      </c>
      <c r="D77" s="210" t="s">
        <v>101</v>
      </c>
      <c r="E77" s="211" t="s">
        <v>401</v>
      </c>
      <c r="F77" s="212"/>
      <c r="G77" s="210" t="s">
        <v>133</v>
      </c>
      <c r="H77" s="170"/>
      <c r="I77" s="170"/>
      <c r="J77" s="156" t="s">
        <v>6914</v>
      </c>
      <c r="K77" s="156"/>
      <c r="L77" s="157" t="str">
        <f>IFERROR(__xludf.DUMMYFUNCTION("IF(
  AND(D77=""Saída"", J77=""Sangria""),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'""&amp;K77&amp;""'
             and Col6 = ""&amp;N77&amp;""
             and Col4 = date '""&amp;TEXT(C77,""yyyy-mm-dd"")&amp;""'""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'""&amp;K77&amp;""'
               and Col6 = ""&amp;N77&amp;""
               and Col4 = date '""&amp;TEXT(C77,""yyyy-mm-dd"")&amp;""'""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'""&amp;K77&amp;""'
"&amp;"                 and Col6 = ""&amp;N77&amp;""
                 and Col4 = date '""&amp;TEXT(C77,""yyyy-mm-dd"")&amp;""'""
            )
          )&gt;0,
          ""Confirmada"",
          ""Caixa Sangria""
        )
      )
    ),
    """"
  ),
  """"
)
"),"")</f>
        <v/>
      </c>
      <c r="M77" s="209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159">
        <f>IFERROR(__xludf.DUMMYFUNCTION("ifna(VALUE(REGEXEXTRACT(E77,""[0-9.]+[,]+[0-9]+"")))"),65.0)</f>
        <v>65</v>
      </c>
      <c r="O77" s="179"/>
      <c r="P77" s="179"/>
      <c r="Q77" s="179"/>
      <c r="R77" s="180" t="str">
        <f t="shared" si="2"/>
        <v/>
      </c>
      <c r="S77" s="177" t="str">
        <f t="shared" si="1"/>
        <v/>
      </c>
      <c r="U77" s="159"/>
      <c r="V77" s="159"/>
      <c r="W77" s="159"/>
    </row>
    <row r="78" ht="14.25" customHeight="1">
      <c r="A78" s="149"/>
      <c r="B78" s="13">
        <v>2166473.0</v>
      </c>
      <c r="C78" s="14">
        <v>46147.73284722222</v>
      </c>
      <c r="D78" s="210" t="s">
        <v>101</v>
      </c>
      <c r="E78" s="211" t="s">
        <v>405</v>
      </c>
      <c r="F78" s="212"/>
      <c r="G78" s="210" t="s">
        <v>407</v>
      </c>
      <c r="H78" s="170"/>
      <c r="I78" s="170"/>
      <c r="J78" s="156" t="s">
        <v>12778</v>
      </c>
      <c r="K78" s="156" t="s">
        <v>11866</v>
      </c>
      <c r="L78" s="157" t="str">
        <f>IFERROR(__xludf.DUMMYFUNCTION("IF(
  AND(D78=""Saída"", J78=""Sangria""),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'""&amp;K78&amp;""'
             and Col6 = ""&amp;N78&amp;""
             and Col4 = date '""&amp;TEXT(C78,""yyyy-mm-dd"")&amp;""'""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'""&amp;K78&amp;""'
               and Col6 = ""&amp;N78&amp;""
               and Col4 = date '""&amp;TEXT(C78,""yyyy-mm-dd"")&amp;""'""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'""&amp;K78&amp;""'
"&amp;"                 and Col6 = ""&amp;N78&amp;""
                 and Col4 = date '""&amp;TEXT(C78,""yyyy-mm-dd"")&amp;""'""
            )
          )&gt;0,
          ""Confirmada"",
          ""Caixa Sangria""
        )
      )
    ),
    """"
  ),
  """"
)
"),"Confirmada")</f>
        <v>Confirmada</v>
      </c>
      <c r="M78" s="207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159">
        <f>IFERROR(__xludf.DUMMYFUNCTION("ifna(VALUE(REGEXEXTRACT(E78,""[0-9.]+[,]+[0-9]+"")))"),650.0)</f>
        <v>650</v>
      </c>
      <c r="O78" s="179"/>
      <c r="P78" s="179"/>
      <c r="Q78" s="179"/>
      <c r="R78" s="180" t="str">
        <f t="shared" si="2"/>
        <v/>
      </c>
      <c r="S78" s="177" t="str">
        <f t="shared" si="1"/>
        <v/>
      </c>
      <c r="U78" s="159"/>
      <c r="V78" s="159"/>
      <c r="W78" s="159"/>
    </row>
    <row r="79" ht="14.25" customHeight="1">
      <c r="A79" s="149"/>
      <c r="B79" s="13">
        <v>2166530.0</v>
      </c>
      <c r="C79" s="14">
        <v>46147.745104166665</v>
      </c>
      <c r="D79" s="210" t="s">
        <v>101</v>
      </c>
      <c r="E79" s="211" t="s">
        <v>410</v>
      </c>
      <c r="F79" s="212"/>
      <c r="G79" s="210" t="s">
        <v>325</v>
      </c>
      <c r="H79" s="170"/>
      <c r="I79" s="170"/>
      <c r="J79" s="156" t="s">
        <v>12658</v>
      </c>
      <c r="K79" s="156" t="s">
        <v>11866</v>
      </c>
      <c r="L79" s="157" t="str">
        <f>IFERROR(__xludf.DUMMYFUNCTION("IF(
  AND(D79=""Saída"", J79=""Sangria""),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'""&amp;K79&amp;""'
             and Col6 = ""&amp;N79&amp;""
             and Col4 = date '""&amp;TEXT(C79,""yyyy-mm-dd"")&amp;""'""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'""&amp;K79&amp;""'
               and Col6 = ""&amp;N79&amp;""
               and Col4 = date '""&amp;TEXT(C79,""yyyy-mm-dd"")&amp;""'""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'""&amp;K79&amp;""'
"&amp;"                 and Col6 = ""&amp;N79&amp;""
                 and Col4 = date '""&amp;TEXT(C79,""yyyy-mm-dd"")&amp;""'""
            )
          )&gt;0,
          ""Confirmada"",
          ""Caixa Sangria""
        )
      )
    ),
    """"
  ),
  """"
)
"),"")</f>
        <v/>
      </c>
      <c r="M79" s="209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159">
        <f>IFERROR(__xludf.DUMMYFUNCTION("ifna(VALUE(REGEXEXTRACT(E79,""[0-9.]+[,]+[0-9]+"")))"),29.0)</f>
        <v>29</v>
      </c>
      <c r="O79" s="179"/>
      <c r="P79" s="179"/>
      <c r="Q79" s="179"/>
      <c r="R79" s="180" t="str">
        <f t="shared" si="2"/>
        <v/>
      </c>
      <c r="S79" s="177" t="str">
        <f t="shared" si="1"/>
        <v/>
      </c>
      <c r="U79" s="159"/>
      <c r="V79" s="159"/>
      <c r="W79" s="159"/>
    </row>
    <row r="80" ht="14.25" customHeight="1">
      <c r="A80" s="149"/>
      <c r="B80" s="13">
        <v>2166538.0</v>
      </c>
      <c r="C80" s="14">
        <v>46147.746458333335</v>
      </c>
      <c r="D80" s="210" t="s">
        <v>101</v>
      </c>
      <c r="E80" s="211" t="s">
        <v>252</v>
      </c>
      <c r="F80" s="212"/>
      <c r="G80" s="210" t="s">
        <v>325</v>
      </c>
      <c r="H80" s="170"/>
      <c r="I80" s="170"/>
      <c r="J80" s="156" t="s">
        <v>12658</v>
      </c>
      <c r="K80" s="156" t="s">
        <v>11866</v>
      </c>
      <c r="L80" s="157" t="str">
        <f>IFERROR(__xludf.DUMMYFUNCTION("IF(
  AND(D80=""Saída"", J80=""Sangria""),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'""&amp;K80&amp;""'
             and Col6 = ""&amp;N80&amp;""
             and Col4 = date '""&amp;TEXT(C80,""yyyy-mm-dd"")&amp;""'""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'""&amp;K80&amp;""'
               and Col6 = ""&amp;N80&amp;""
               and Col4 = date '""&amp;TEXT(C80,""yyyy-mm-dd"")&amp;""'""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'""&amp;K80&amp;""'
"&amp;"                 and Col6 = ""&amp;N80&amp;""
                 and Col4 = date '""&amp;TEXT(C80,""yyyy-mm-dd"")&amp;""'""
            )
          )&gt;0,
          ""Confirmada"",
          ""Caixa Sangria""
        )
      )
    ),
    """"
  ),
  """"
)
"),"")</f>
        <v/>
      </c>
      <c r="M80" s="207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159">
        <f>IFERROR(__xludf.DUMMYFUNCTION("ifna(VALUE(REGEXEXTRACT(E80,""[0-9.]+[,]+[0-9]+"")))"),5.0)</f>
        <v>5</v>
      </c>
      <c r="O80" s="179"/>
      <c r="P80" s="179"/>
      <c r="Q80" s="179"/>
      <c r="R80" s="180" t="str">
        <f t="shared" si="2"/>
        <v/>
      </c>
      <c r="S80" s="177" t="str">
        <f t="shared" si="1"/>
        <v/>
      </c>
      <c r="U80" s="159"/>
      <c r="V80" s="159"/>
      <c r="W80" s="159"/>
    </row>
    <row r="81" ht="14.25" customHeight="1">
      <c r="A81" s="149"/>
      <c r="B81" s="13">
        <v>2166842.0</v>
      </c>
      <c r="C81" s="14">
        <v>46147.85465277778</v>
      </c>
      <c r="D81" s="210" t="s">
        <v>139</v>
      </c>
      <c r="E81" s="211" t="s">
        <v>213</v>
      </c>
      <c r="F81" s="212"/>
      <c r="G81" s="210" t="s">
        <v>417</v>
      </c>
      <c r="H81" s="170"/>
      <c r="I81" s="170"/>
      <c r="J81" s="156" t="s">
        <v>13783</v>
      </c>
      <c r="K81" s="156"/>
      <c r="L81" s="157" t="str">
        <f>IFERROR(__xludf.DUMMYFUNCTION("IF(
  AND(D81=""Saída"", J81=""Sangria""),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'""&amp;K81&amp;""'
             and Col6 = ""&amp;N81&amp;""
             and Col4 = date '""&amp;TEXT(C81,""yyyy-mm-dd"")&amp;""'""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'""&amp;K81&amp;""'
               and Col6 = ""&amp;N81&amp;""
               and Col4 = date '""&amp;TEXT(C81,""yyyy-mm-dd"")&amp;""'""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'""&amp;K81&amp;""'
"&amp;"                 and Col6 = ""&amp;N81&amp;""
                 and Col4 = date '""&amp;TEXT(C81,""yyyy-mm-dd"")&amp;""'""
            )
          )&gt;0,
          ""Confirmada"",
          ""Caixa Sangria""
        )
      )
    ),
    """"
  ),
  """"
)
"),"")</f>
        <v/>
      </c>
      <c r="M81" s="209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159">
        <f>IFERROR(__xludf.DUMMYFUNCTION("ifna(VALUE(REGEXEXTRACT(E81,""[0-9.]+[,]+[0-9]+"")))"),200.0)</f>
        <v>200</v>
      </c>
      <c r="O81" s="179"/>
      <c r="P81" s="179"/>
      <c r="Q81" s="179"/>
      <c r="R81" s="180" t="str">
        <f t="shared" si="2"/>
        <v/>
      </c>
      <c r="S81" s="177" t="str">
        <f t="shared" si="1"/>
        <v/>
      </c>
      <c r="U81" s="159"/>
      <c r="V81" s="159"/>
      <c r="W81" s="159"/>
    </row>
    <row r="82" ht="14.25" customHeight="1">
      <c r="A82" s="149"/>
      <c r="B82" s="13">
        <v>2166845.0</v>
      </c>
      <c r="C82" s="14">
        <v>46147.85490740741</v>
      </c>
      <c r="D82" s="210" t="s">
        <v>139</v>
      </c>
      <c r="E82" s="211" t="s">
        <v>364</v>
      </c>
      <c r="F82" s="214"/>
      <c r="G82" s="210" t="s">
        <v>421</v>
      </c>
      <c r="H82" s="170"/>
      <c r="I82" s="170"/>
      <c r="J82" s="156" t="s">
        <v>13783</v>
      </c>
      <c r="K82" s="156"/>
      <c r="L82" s="157" t="str">
        <f>IFERROR(__xludf.DUMMYFUNCTION("IF(
  AND(D82=""Saída"", J82=""Sangria""),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'""&amp;K82&amp;""'
             and Col6 = ""&amp;N82&amp;""
             and Col4 = date '""&amp;TEXT(C82,""yyyy-mm-dd"")&amp;""'""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'""&amp;K82&amp;""'
               and Col6 = ""&amp;N82&amp;""
               and Col4 = date '""&amp;TEXT(C82,""yyyy-mm-dd"")&amp;""'""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'""&amp;K82&amp;""'
"&amp;"                 and Col6 = ""&amp;N82&amp;""
                 and Col4 = date '""&amp;TEXT(C82,""yyyy-mm-dd"")&amp;""'""
            )
          )&gt;0,
          ""Confirmada"",
          ""Caixa Sangria""
        )
      )
    ),
    """"
  ),
  """"
)
"),"")</f>
        <v/>
      </c>
      <c r="M82" s="207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159">
        <f>IFERROR(__xludf.DUMMYFUNCTION("ifna(VALUE(REGEXEXTRACT(E82,""[0-9.]+[,]+[0-9]+"")))"),600.0)</f>
        <v>600</v>
      </c>
      <c r="O82" s="179"/>
      <c r="P82" s="179"/>
      <c r="Q82" s="179"/>
      <c r="R82" s="180" t="str">
        <f t="shared" si="2"/>
        <v/>
      </c>
      <c r="S82" s="177" t="str">
        <f t="shared" si="1"/>
        <v/>
      </c>
      <c r="U82" s="159"/>
      <c r="V82" s="159"/>
      <c r="W82" s="159"/>
    </row>
    <row r="83" ht="14.25" customHeight="1">
      <c r="A83" s="149"/>
      <c r="B83" s="13">
        <v>2166850.0</v>
      </c>
      <c r="C83" s="14">
        <v>46147.857986111114</v>
      </c>
      <c r="D83" s="210" t="s">
        <v>101</v>
      </c>
      <c r="E83" s="211" t="s">
        <v>424</v>
      </c>
      <c r="F83" s="212"/>
      <c r="G83" s="210" t="s">
        <v>425</v>
      </c>
      <c r="H83" s="170"/>
      <c r="I83" s="170"/>
      <c r="J83" s="156" t="s">
        <v>12952</v>
      </c>
      <c r="K83" s="156"/>
      <c r="L83" s="157" t="str">
        <f>IFERROR(__xludf.DUMMYFUNCTION("IF(
  AND(D83=""Saída"", J83=""Sangria""),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'""&amp;K83&amp;""'
             and Col6 = ""&amp;N83&amp;""
             and Col4 = date '""&amp;TEXT(C83,""yyyy-mm-dd"")&amp;""'""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'""&amp;K83&amp;""'
               and Col6 = ""&amp;N83&amp;""
               and Col4 = date '""&amp;TEXT(C83,""yyyy-mm-dd"")&amp;""'""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'""&amp;K83&amp;""'
"&amp;"                 and Col6 = ""&amp;N83&amp;""
                 and Col4 = date '""&amp;TEXT(C83,""yyyy-mm-dd"")&amp;""'""
            )
          )&gt;0,
          ""Confirmada"",
          ""Caixa Sangria""
        )
      )
    ),
    """"
  ),
  """"
)
"),"")</f>
        <v/>
      </c>
      <c r="M83" s="209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159">
        <f>IFERROR(__xludf.DUMMYFUNCTION("ifna(VALUE(REGEXEXTRACT(E83,""[0-9.]+[,]+[0-9]+"")))"),706.0)</f>
        <v>706</v>
      </c>
      <c r="O83" s="179"/>
      <c r="P83" s="179"/>
      <c r="Q83" s="179"/>
      <c r="R83" s="180" t="str">
        <f t="shared" si="2"/>
        <v/>
      </c>
      <c r="S83" s="177" t="str">
        <f t="shared" si="1"/>
        <v/>
      </c>
      <c r="U83" s="159"/>
      <c r="V83" s="159"/>
      <c r="W83" s="159"/>
    </row>
    <row r="84" ht="14.25" customHeight="1">
      <c r="A84" s="149"/>
      <c r="B84" s="13">
        <v>2166877.0</v>
      </c>
      <c r="C84" s="14">
        <v>46147.86760416667</v>
      </c>
      <c r="D84" s="210" t="s">
        <v>101</v>
      </c>
      <c r="E84" s="211" t="s">
        <v>428</v>
      </c>
      <c r="F84" s="212"/>
      <c r="G84" s="210" t="s">
        <v>181</v>
      </c>
      <c r="H84" s="170"/>
      <c r="I84" s="170"/>
      <c r="J84" s="156" t="s">
        <v>6914</v>
      </c>
      <c r="K84" s="156"/>
      <c r="L84" s="157" t="str">
        <f>IFERROR(__xludf.DUMMYFUNCTION("IF(
  AND(D84=""Saída"", J84=""Sangria""),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'""&amp;K84&amp;""'
             and Col6 = ""&amp;N84&amp;""
             and Col4 = date '""&amp;TEXT(C84,""yyyy-mm-dd"")&amp;""'""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'""&amp;K84&amp;""'
               and Col6 = ""&amp;N84&amp;""
               and Col4 = date '""&amp;TEXT(C84,""yyyy-mm-dd"")&amp;""'""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'""&amp;K84&amp;""'
"&amp;"                 and Col6 = ""&amp;N84&amp;""
                 and Col4 = date '""&amp;TEXT(C84,""yyyy-mm-dd"")&amp;""'""
            )
          )&gt;0,
          ""Confirmada"",
          ""Caixa Sangria""
        )
      )
    ),
    """"
  ),
  """"
)
"),"")</f>
        <v/>
      </c>
      <c r="M84" s="207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159">
        <f>IFERROR(__xludf.DUMMYFUNCTION("ifna(VALUE(REGEXEXTRACT(E84,""[0-9.]+[,]+[0-9]+"")))"),35.0)</f>
        <v>35</v>
      </c>
      <c r="O84" s="179"/>
      <c r="P84" s="179"/>
      <c r="Q84" s="179"/>
      <c r="R84" s="180" t="str">
        <f t="shared" si="2"/>
        <v/>
      </c>
      <c r="S84" s="177" t="str">
        <f t="shared" si="1"/>
        <v/>
      </c>
      <c r="U84" s="159"/>
      <c r="V84" s="159"/>
      <c r="W84" s="159"/>
    </row>
    <row r="85" ht="14.25" customHeight="1">
      <c r="A85" s="149"/>
      <c r="B85" s="13">
        <v>2166918.0</v>
      </c>
      <c r="C85" s="14">
        <v>46147.87832175926</v>
      </c>
      <c r="D85" s="210" t="s">
        <v>101</v>
      </c>
      <c r="E85" s="211" t="s">
        <v>291</v>
      </c>
      <c r="F85" s="212"/>
      <c r="G85" s="210" t="s">
        <v>432</v>
      </c>
      <c r="H85" s="170"/>
      <c r="I85" s="170"/>
      <c r="J85" s="156" t="s">
        <v>12778</v>
      </c>
      <c r="K85" s="156" t="s">
        <v>13763</v>
      </c>
      <c r="L85" s="157" t="str">
        <f>IFERROR(__xludf.DUMMYFUNCTION("IF(
  AND(D85=""Saída"", J85=""Sangria""),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'""&amp;K85&amp;""'
             and Col6 = ""&amp;N85&amp;""
             and Col4 = date '""&amp;TEXT(C85,""yyyy-mm-dd"")&amp;""'""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'""&amp;K85&amp;""'
               and Col6 = ""&amp;N85&amp;""
               and Col4 = date '""&amp;TEXT(C85,""yyyy-mm-dd"")&amp;""'""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'""&amp;K85&amp;""'
"&amp;"                 and Col6 = ""&amp;N85&amp;""
                 and Col4 = date '""&amp;TEXT(C85,""yyyy-mm-dd"")&amp;""'""
            )
          )&gt;0,
          ""Confirmada"",
          ""Caixa Sangria""
        )
      )
    ),
    """"
  ),
  """"
)
"),"Confirmada")</f>
        <v>Confirmada</v>
      </c>
      <c r="M85" s="209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159">
        <f>IFERROR(__xludf.DUMMYFUNCTION("ifna(VALUE(REGEXEXTRACT(E85,""[0-9.]+[,]+[0-9]+"")))"),250.0)</f>
        <v>250</v>
      </c>
      <c r="O85" s="179"/>
      <c r="P85" s="179"/>
      <c r="Q85" s="179"/>
      <c r="R85" s="180" t="str">
        <f t="shared" si="2"/>
        <v/>
      </c>
      <c r="S85" s="177" t="str">
        <f t="shared" si="1"/>
        <v/>
      </c>
      <c r="U85" s="159"/>
      <c r="V85" s="159"/>
      <c r="W85" s="159"/>
    </row>
    <row r="86" ht="14.25" customHeight="1">
      <c r="A86" s="149"/>
      <c r="B86" s="13">
        <v>2167609.0</v>
      </c>
      <c r="C86" s="14">
        <v>46148.52148148148</v>
      </c>
      <c r="D86" s="210" t="s">
        <v>101</v>
      </c>
      <c r="E86" s="211" t="s">
        <v>260</v>
      </c>
      <c r="F86" s="212"/>
      <c r="G86" s="210" t="s">
        <v>253</v>
      </c>
      <c r="H86" s="170"/>
      <c r="I86" s="170"/>
      <c r="J86" s="156" t="s">
        <v>12658</v>
      </c>
      <c r="K86" s="156" t="s">
        <v>11866</v>
      </c>
      <c r="L86" s="157" t="str">
        <f>IFERROR(__xludf.DUMMYFUNCTION("IF(
  AND(D86=""Saída"", J86=""Sangria""),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'""&amp;K86&amp;""'
             and Col6 = ""&amp;N86&amp;""
             and Col4 = date '""&amp;TEXT(C86,""yyyy-mm-dd"")&amp;""'""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'""&amp;K86&amp;""'
               and Col6 = ""&amp;N86&amp;""
               and Col4 = date '""&amp;TEXT(C86,""yyyy-mm-dd"")&amp;""'""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'""&amp;K86&amp;""'
"&amp;"                 and Col6 = ""&amp;N86&amp;""
                 and Col4 = date '""&amp;TEXT(C86,""yyyy-mm-dd"")&amp;""'""
            )
          )&gt;0,
          ""Confirmada"",
          ""Caixa Sangria""
        )
      )
    ),
    """"
  ),
  """"
)
"),"")</f>
        <v/>
      </c>
      <c r="M86" s="207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159">
        <f>IFERROR(__xludf.DUMMYFUNCTION("ifna(VALUE(REGEXEXTRACT(E86,""[0-9.]+[,]+[0-9]+"")))"),13.0)</f>
        <v>13</v>
      </c>
      <c r="O86" s="179"/>
      <c r="P86" s="179"/>
      <c r="Q86" s="179"/>
      <c r="R86" s="180" t="str">
        <f t="shared" si="2"/>
        <v/>
      </c>
      <c r="S86" s="177" t="str">
        <f t="shared" si="1"/>
        <v/>
      </c>
      <c r="U86" s="159"/>
      <c r="V86" s="159"/>
      <c r="W86" s="159"/>
    </row>
    <row r="87" ht="14.25" customHeight="1">
      <c r="A87" s="149"/>
      <c r="B87" s="13">
        <v>2168001.0</v>
      </c>
      <c r="C87" s="14">
        <v>46148.67847222222</v>
      </c>
      <c r="D87" s="210" t="s">
        <v>101</v>
      </c>
      <c r="E87" s="211" t="s">
        <v>437</v>
      </c>
      <c r="F87" s="212"/>
      <c r="G87" s="210" t="s">
        <v>438</v>
      </c>
      <c r="H87" s="170"/>
      <c r="I87" s="170"/>
      <c r="J87" s="156" t="s">
        <v>12818</v>
      </c>
      <c r="K87" s="156"/>
      <c r="L87" s="157" t="str">
        <f>IFERROR(__xludf.DUMMYFUNCTION("IF(
  AND(D87=""Saída"", J87=""Sangria""),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'""&amp;K87&amp;""'
             and Col6 = ""&amp;N87&amp;""
             and Col4 = date '""&amp;TEXT(C87,""yyyy-mm-dd"")&amp;""'""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'""&amp;K87&amp;""'
               and Col6 = ""&amp;N87&amp;""
               and Col4 = date '""&amp;TEXT(C87,""yyyy-mm-dd"")&amp;""'""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'""&amp;K87&amp;""'
"&amp;"                 and Col6 = ""&amp;N87&amp;""
                 and Col4 = date '""&amp;TEXT(C87,""yyyy-mm-dd"")&amp;""'""
            )
          )&gt;0,
          ""Confirmada"",
          ""Caixa Sangria""
        )
      )
    ),
    """"
  ),
  """"
)
"),"")</f>
        <v/>
      </c>
      <c r="M87" s="209" t="str">
        <f>IFERROR(__xludf.DUMMYFUNCTION("IF(J87=""Compra de Mercadorias"",
   IF(
      COUNTIF(ARRAYFORMULA(TRIM(CLEAN(TO_TEXT(Notas!BS:BS)))), TRIM(CLEAN(TO_TEXT(B87)))) &gt; 0,
      ""Encontrada"",
      ""Não Encontrada""
   ),
"""")"),"Não Encontrada")</f>
        <v>Não Encontrada</v>
      </c>
      <c r="N87" s="159">
        <f>IFERROR(__xludf.DUMMYFUNCTION("ifna(VALUE(REGEXEXTRACT(E87,""[0-9.]+[,]+[0-9]+"")))"),6.05)</f>
        <v>6.05</v>
      </c>
      <c r="O87" s="179"/>
      <c r="P87" s="179"/>
      <c r="Q87" s="179"/>
      <c r="R87" s="180" t="str">
        <f t="shared" si="2"/>
        <v/>
      </c>
      <c r="S87" s="177" t="str">
        <f t="shared" si="1"/>
        <v/>
      </c>
      <c r="U87" s="159"/>
      <c r="V87" s="159"/>
      <c r="W87" s="159"/>
    </row>
    <row r="88" ht="14.25" customHeight="1">
      <c r="A88" s="149"/>
      <c r="B88" s="13">
        <v>2168113.0</v>
      </c>
      <c r="C88" s="14">
        <v>46148.705046296294</v>
      </c>
      <c r="D88" s="210" t="s">
        <v>101</v>
      </c>
      <c r="E88" s="211" t="s">
        <v>440</v>
      </c>
      <c r="F88" s="212"/>
      <c r="G88" s="210" t="s">
        <v>133</v>
      </c>
      <c r="H88" s="170"/>
      <c r="I88" s="170"/>
      <c r="J88" s="156" t="s">
        <v>6914</v>
      </c>
      <c r="K88" s="156"/>
      <c r="L88" s="157" t="str">
        <f>IFERROR(__xludf.DUMMYFUNCTION("IF(
  AND(D88=""Saída"", J88=""Sangria""),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'""&amp;K88&amp;""'
             and Col6 = ""&amp;N88&amp;""
             and Col4 = date '""&amp;TEXT(C88,""yyyy-mm-dd"")&amp;""'""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'""&amp;K88&amp;""'
               and Col6 = ""&amp;N88&amp;""
               and Col4 = date '""&amp;TEXT(C88,""yyyy-mm-dd"")&amp;""'""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'""&amp;K88&amp;""'
"&amp;"                 and Col6 = ""&amp;N88&amp;""
                 and Col4 = date '""&amp;TEXT(C88,""yyyy-mm-dd"")&amp;""'""
            )
          )&gt;0,
          ""Confirmada"",
          ""Caixa Sangria""
        )
      )
    ),
    """"
  ),
  """"
)
"),"")</f>
        <v/>
      </c>
      <c r="M88" s="207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159">
        <f>IFERROR(__xludf.DUMMYFUNCTION("ifna(VALUE(REGEXEXTRACT(E88,""[0-9.]+[,]+[0-9]+"")))"),74.0)</f>
        <v>74</v>
      </c>
      <c r="O88" s="179"/>
      <c r="P88" s="179"/>
      <c r="Q88" s="179"/>
      <c r="R88" s="180" t="str">
        <f t="shared" si="2"/>
        <v/>
      </c>
      <c r="S88" s="177" t="str">
        <f t="shared" si="1"/>
        <v/>
      </c>
      <c r="U88" s="159"/>
      <c r="V88" s="159"/>
      <c r="W88" s="159"/>
    </row>
    <row r="89" ht="14.25" customHeight="1">
      <c r="A89" s="149"/>
      <c r="B89" s="13">
        <v>2168138.0</v>
      </c>
      <c r="C89" s="14">
        <v>46148.709398148145</v>
      </c>
      <c r="D89" s="210" t="s">
        <v>139</v>
      </c>
      <c r="E89" s="211" t="s">
        <v>201</v>
      </c>
      <c r="F89" s="212"/>
      <c r="G89" s="210" t="s">
        <v>272</v>
      </c>
      <c r="H89" s="170"/>
      <c r="I89" s="170"/>
      <c r="J89" s="156" t="s">
        <v>12952</v>
      </c>
      <c r="K89" s="156"/>
      <c r="L89" s="157" t="str">
        <f>IFERROR(__xludf.DUMMYFUNCTION("IF(
  AND(D89=""Saída"", J89=""Sangria""),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'""&amp;K89&amp;""'
             and Col6 = ""&amp;N89&amp;""
             and Col4 = date '""&amp;TEXT(C89,""yyyy-mm-dd"")&amp;""'""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'""&amp;K89&amp;""'
               and Col6 = ""&amp;N89&amp;""
               and Col4 = date '""&amp;TEXT(C89,""yyyy-mm-dd"")&amp;""'""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'""&amp;K89&amp;""'
"&amp;"                 and Col6 = ""&amp;N89&amp;""
                 and Col4 = date '""&amp;TEXT(C89,""yyyy-mm-dd"")&amp;""'""
            )
          )&gt;0,
          ""Confirmada"",
          ""Caixa Sangria""
        )
      )
    ),
    """"
  ),
  """"
)
"),"")</f>
        <v/>
      </c>
      <c r="M89" s="209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159">
        <f>IFERROR(__xludf.DUMMYFUNCTION("ifna(VALUE(REGEXEXTRACT(E89,""[0-9.]+[,]+[0-9]+"")))"),150.0)</f>
        <v>150</v>
      </c>
      <c r="O89" s="179"/>
      <c r="P89" s="179"/>
      <c r="Q89" s="179"/>
      <c r="R89" s="180" t="str">
        <f t="shared" si="2"/>
        <v/>
      </c>
      <c r="S89" s="177" t="str">
        <f t="shared" si="1"/>
        <v/>
      </c>
      <c r="U89" s="159"/>
      <c r="V89" s="159"/>
      <c r="W89" s="159"/>
    </row>
    <row r="90" ht="14.25" customHeight="1">
      <c r="A90" s="149"/>
      <c r="B90" s="13">
        <v>2168148.0</v>
      </c>
      <c r="C90" s="14">
        <v>46148.712789351855</v>
      </c>
      <c r="D90" s="210" t="s">
        <v>139</v>
      </c>
      <c r="E90" s="211" t="s">
        <v>237</v>
      </c>
      <c r="F90" s="212"/>
      <c r="G90" s="210" t="s">
        <v>142</v>
      </c>
      <c r="H90" s="170"/>
      <c r="I90" s="170"/>
      <c r="J90" s="156" t="s">
        <v>12952</v>
      </c>
      <c r="K90" s="156"/>
      <c r="L90" s="157" t="str">
        <f>IFERROR(__xludf.DUMMYFUNCTION("IF(
  AND(D90=""Saída"", J90=""Sangria""),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'""&amp;K90&amp;""'
             and Col6 = ""&amp;N90&amp;""
             and Col4 = date '""&amp;TEXT(C90,""yyyy-mm-dd"")&amp;""'""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'""&amp;K90&amp;""'
               and Col6 = ""&amp;N90&amp;""
               and Col4 = date '""&amp;TEXT(C90,""yyyy-mm-dd"")&amp;""'""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'""&amp;K90&amp;""'
"&amp;"                 and Col6 = ""&amp;N90&amp;""
                 and Col4 = date '""&amp;TEXT(C90,""yyyy-mm-dd"")&amp;""'""
            )
          )&gt;0,
          ""Confirmada"",
          ""Caixa Sangria""
        )
      )
    ),
    """"
  ),
  """"
)
"),"")</f>
        <v/>
      </c>
      <c r="M90" s="207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159">
        <f>IFERROR(__xludf.DUMMYFUNCTION("ifna(VALUE(REGEXEXTRACT(E90,""[0-9.]+[,]+[0-9]+"")))"),100.0)</f>
        <v>100</v>
      </c>
      <c r="O90" s="179"/>
      <c r="P90" s="179"/>
      <c r="Q90" s="179"/>
      <c r="R90" s="180" t="str">
        <f t="shared" si="2"/>
        <v/>
      </c>
      <c r="S90" s="177" t="str">
        <f t="shared" si="1"/>
        <v/>
      </c>
      <c r="U90" s="159"/>
      <c r="V90" s="159"/>
      <c r="W90" s="159"/>
    </row>
    <row r="91" ht="14.25" customHeight="1">
      <c r="A91" s="149"/>
      <c r="B91" s="13">
        <v>2168171.0</v>
      </c>
      <c r="C91" s="14">
        <v>46148.71931712963</v>
      </c>
      <c r="D91" s="210" t="s">
        <v>101</v>
      </c>
      <c r="E91" s="211" t="s">
        <v>392</v>
      </c>
      <c r="F91" s="212"/>
      <c r="G91" s="210" t="s">
        <v>133</v>
      </c>
      <c r="H91" s="170"/>
      <c r="I91" s="170"/>
      <c r="J91" s="156" t="s">
        <v>6914</v>
      </c>
      <c r="K91" s="156"/>
      <c r="L91" s="157" t="str">
        <f>IFERROR(__xludf.DUMMYFUNCTION("IF(
  AND(D91=""Saída"", J91=""Sangria""),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'""&amp;K91&amp;""'
             and Col6 = ""&amp;N91&amp;""
             and Col4 = date '""&amp;TEXT(C91,""yyyy-mm-dd"")&amp;""'""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'""&amp;K91&amp;""'
               and Col6 = ""&amp;N91&amp;""
               and Col4 = date '""&amp;TEXT(C91,""yyyy-mm-dd"")&amp;""'""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'""&amp;K91&amp;""'
"&amp;"                 and Col6 = ""&amp;N91&amp;""
                 and Col4 = date '""&amp;TEXT(C91,""yyyy-mm-dd"")&amp;""'""
            )
          )&gt;0,
          ""Confirmada"",
          ""Caixa Sangria""
        )
      )
    ),
    """"
  ),
  """"
)
"),"")</f>
        <v/>
      </c>
      <c r="M91" s="209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159">
        <f>IFERROR(__xludf.DUMMYFUNCTION("ifna(VALUE(REGEXEXTRACT(E91,""[0-9.]+[,]+[0-9]+"")))"),27.0)</f>
        <v>27</v>
      </c>
      <c r="O91" s="179"/>
      <c r="P91" s="179"/>
      <c r="Q91" s="179"/>
      <c r="R91" s="180" t="str">
        <f t="shared" si="2"/>
        <v/>
      </c>
      <c r="S91" s="177" t="str">
        <f t="shared" si="1"/>
        <v/>
      </c>
      <c r="U91" s="159"/>
      <c r="V91" s="159"/>
      <c r="W91" s="159"/>
    </row>
    <row r="92" ht="14.25" customHeight="1">
      <c r="A92" s="149"/>
      <c r="B92" s="13">
        <v>2168229.0</v>
      </c>
      <c r="C92" s="14">
        <v>46148.73222222222</v>
      </c>
      <c r="D92" s="210" t="s">
        <v>101</v>
      </c>
      <c r="E92" s="211" t="s">
        <v>451</v>
      </c>
      <c r="F92" s="212"/>
      <c r="G92" s="210" t="s">
        <v>452</v>
      </c>
      <c r="H92" s="170"/>
      <c r="I92" s="170"/>
      <c r="J92" s="156" t="s">
        <v>12818</v>
      </c>
      <c r="K92" s="156"/>
      <c r="L92" s="157" t="str">
        <f>IFERROR(__xludf.DUMMYFUNCTION("IF(
  AND(D92=""Saída"", J92=""Sangria""),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'""&amp;K92&amp;""'
             and Col6 = ""&amp;N92&amp;""
             and Col4 = date '""&amp;TEXT(C92,""yyyy-mm-dd"")&amp;""'""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'""&amp;K92&amp;""'
               and Col6 = ""&amp;N92&amp;""
               and Col4 = date '""&amp;TEXT(C92,""yyyy-mm-dd"")&amp;""'""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'""&amp;K92&amp;""'
"&amp;"                 and Col6 = ""&amp;N92&amp;""
                 and Col4 = date '""&amp;TEXT(C92,""yyyy-mm-dd"")&amp;""'""
            )
          )&gt;0,
          ""Confirmada"",
          ""Caixa Sangria""
        )
      )
    ),
    """"
  ),
  """"
)
"),"")</f>
        <v/>
      </c>
      <c r="M92" s="207" t="str">
        <f>IFERROR(__xludf.DUMMYFUNCTION("IF(J92=""Compra de Mercadorias"",
   IF(
      COUNTIF(ARRAYFORMULA(TRIM(CLEAN(TO_TEXT(Notas!BS:BS)))), TRIM(CLEAN(TO_TEXT(B92)))) &gt; 0,
      ""Encontrada"",
      ""Não Encontrada""
   ),
"""")"),"Não Encontrada")</f>
        <v>Não Encontrada</v>
      </c>
      <c r="N92" s="159">
        <f>IFERROR(__xludf.DUMMYFUNCTION("ifna(VALUE(REGEXEXTRACT(E92,""[0-9.]+[,]+[0-9]+"")))"),476.0)</f>
        <v>476</v>
      </c>
      <c r="O92" s="179"/>
      <c r="P92" s="179"/>
      <c r="Q92" s="179"/>
      <c r="R92" s="180" t="str">
        <f t="shared" si="2"/>
        <v/>
      </c>
      <c r="S92" s="177" t="str">
        <f t="shared" si="1"/>
        <v/>
      </c>
      <c r="U92" s="159"/>
      <c r="V92" s="159"/>
      <c r="W92" s="159"/>
    </row>
    <row r="93" ht="14.25" customHeight="1">
      <c r="A93" s="149"/>
      <c r="B93" s="13">
        <v>2168262.0</v>
      </c>
      <c r="C93" s="14">
        <v>46148.74184027778</v>
      </c>
      <c r="D93" s="210" t="s">
        <v>101</v>
      </c>
      <c r="E93" s="211" t="s">
        <v>141</v>
      </c>
      <c r="F93" s="212"/>
      <c r="G93" s="210" t="s">
        <v>457</v>
      </c>
      <c r="H93" s="170"/>
      <c r="I93" s="170"/>
      <c r="J93" s="156" t="s">
        <v>12778</v>
      </c>
      <c r="K93" s="156" t="s">
        <v>11866</v>
      </c>
      <c r="L93" s="157" t="str">
        <f>IFERROR(__xludf.DUMMYFUNCTION("IF(
  AND(D93=""Saída"", J93=""Sangria""),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'""&amp;K93&amp;""'
             and Col6 = ""&amp;N93&amp;""
             and Col4 = date '""&amp;TEXT(C93,""yyyy-mm-dd"")&amp;""'""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'""&amp;K93&amp;""'
               and Col6 = ""&amp;N93&amp;""
               and Col4 = date '""&amp;TEXT(C93,""yyyy-mm-dd"")&amp;""'""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'""&amp;K93&amp;""'
"&amp;"                 and Col6 = ""&amp;N93&amp;""
                 and Col4 = date '""&amp;TEXT(C93,""yyyy-mm-dd"")&amp;""'""
            )
          )&gt;0,
          ""Confirmada"",
          ""Caixa Sangria""
        )
      )
    ),
    """"
  ),
  """"
)
"),"Confirmada")</f>
        <v>Confirmada</v>
      </c>
      <c r="M93" s="209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159">
        <f>IFERROR(__xludf.DUMMYFUNCTION("ifna(VALUE(REGEXEXTRACT(E93,""[0-9.]+[,]+[0-9]+"")))"),50.0)</f>
        <v>50</v>
      </c>
      <c r="O93" s="179"/>
      <c r="P93" s="179"/>
      <c r="Q93" s="179"/>
      <c r="R93" s="180" t="str">
        <f t="shared" si="2"/>
        <v/>
      </c>
      <c r="S93" s="177" t="str">
        <f t="shared" si="1"/>
        <v/>
      </c>
      <c r="U93" s="159"/>
      <c r="V93" s="159"/>
      <c r="W93" s="159"/>
    </row>
    <row r="94" ht="14.25" customHeight="1">
      <c r="A94" s="149"/>
      <c r="B94" s="13">
        <v>2168295.0</v>
      </c>
      <c r="C94" s="14">
        <v>46148.75173611111</v>
      </c>
      <c r="D94" s="210" t="s">
        <v>101</v>
      </c>
      <c r="E94" s="211" t="s">
        <v>260</v>
      </c>
      <c r="F94" s="212"/>
      <c r="G94" s="210" t="s">
        <v>325</v>
      </c>
      <c r="H94" s="170"/>
      <c r="I94" s="170"/>
      <c r="J94" s="156" t="s">
        <v>12658</v>
      </c>
      <c r="K94" s="156" t="s">
        <v>11866</v>
      </c>
      <c r="L94" s="157" t="str">
        <f>IFERROR(__xludf.DUMMYFUNCTION("IF(
  AND(D94=""Saída"", J94=""Sangria""),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'""&amp;K94&amp;""'
             and Col6 = ""&amp;N94&amp;""
             and Col4 = date '""&amp;TEXT(C94,""yyyy-mm-dd"")&amp;""'""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'""&amp;K94&amp;""'
               and Col6 = ""&amp;N94&amp;""
               and Col4 = date '""&amp;TEXT(C94,""yyyy-mm-dd"")&amp;""'""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'""&amp;K94&amp;""'
"&amp;"                 and Col6 = ""&amp;N94&amp;""
                 and Col4 = date '""&amp;TEXT(C94,""yyyy-mm-dd"")&amp;""'""
            )
          )&gt;0,
          ""Confirmada"",
          ""Caixa Sangria""
        )
      )
    ),
    """"
  ),
  """"
)
"),"")</f>
        <v/>
      </c>
      <c r="M94" s="207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159">
        <f>IFERROR(__xludf.DUMMYFUNCTION("ifna(VALUE(REGEXEXTRACT(E94,""[0-9.]+[,]+[0-9]+"")))"),13.0)</f>
        <v>13</v>
      </c>
      <c r="O94" s="179"/>
      <c r="P94" s="179"/>
      <c r="Q94" s="179"/>
      <c r="R94" s="180" t="str">
        <f t="shared" si="2"/>
        <v/>
      </c>
      <c r="S94" s="177" t="str">
        <f t="shared" si="1"/>
        <v/>
      </c>
      <c r="U94" s="159"/>
      <c r="V94" s="159"/>
      <c r="W94" s="159"/>
    </row>
    <row r="95" ht="14.25" customHeight="1">
      <c r="A95" s="149"/>
      <c r="B95" s="13">
        <v>2168623.0</v>
      </c>
      <c r="C95" s="14">
        <v>46148.869050925925</v>
      </c>
      <c r="D95" s="210" t="s">
        <v>101</v>
      </c>
      <c r="E95" s="211" t="s">
        <v>231</v>
      </c>
      <c r="F95" s="214"/>
      <c r="G95" s="210" t="s">
        <v>181</v>
      </c>
      <c r="H95" s="170"/>
      <c r="I95" s="170"/>
      <c r="J95" s="156" t="s">
        <v>6914</v>
      </c>
      <c r="K95" s="156"/>
      <c r="L95" s="157" t="str">
        <f>IFERROR(__xludf.DUMMYFUNCTION("IF(
  AND(D95=""Saída"", J95=""Sangria""),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'""&amp;K95&amp;""'
             and Col6 = ""&amp;N95&amp;""
             and Col4 = date '""&amp;TEXT(C95,""yyyy-mm-dd"")&amp;""'""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'""&amp;K95&amp;""'
               and Col6 = ""&amp;N95&amp;""
               and Col4 = date '""&amp;TEXT(C95,""yyyy-mm-dd"")&amp;""'""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'""&amp;K95&amp;""'
"&amp;"                 and Col6 = ""&amp;N95&amp;""
                 and Col4 = date '""&amp;TEXT(C95,""yyyy-mm-dd"")&amp;""'""
            )
          )&gt;0,
          ""Confirmada"",
          ""Caixa Sangria""
        )
      )
    ),
    """"
  ),
  """"
)
"),"")</f>
        <v/>
      </c>
      <c r="M95" s="209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159">
        <f>IFERROR(__xludf.DUMMYFUNCTION("ifna(VALUE(REGEXEXTRACT(E95,""[0-9.]+[,]+[0-9]+"")))"),10.0)</f>
        <v>10</v>
      </c>
      <c r="O95" s="179"/>
      <c r="P95" s="179"/>
      <c r="Q95" s="179"/>
      <c r="R95" s="180" t="str">
        <f t="shared" si="2"/>
        <v/>
      </c>
      <c r="S95" s="177" t="str">
        <f t="shared" si="1"/>
        <v/>
      </c>
      <c r="U95" s="159"/>
      <c r="V95" s="159"/>
      <c r="W95" s="159"/>
    </row>
    <row r="96" ht="14.25" customHeight="1">
      <c r="A96" s="149"/>
      <c r="B96" s="13">
        <v>2168661.0</v>
      </c>
      <c r="C96" s="14">
        <v>46148.88075231481</v>
      </c>
      <c r="D96" s="210" t="s">
        <v>101</v>
      </c>
      <c r="E96" s="211" t="s">
        <v>465</v>
      </c>
      <c r="F96" s="214"/>
      <c r="G96" s="210" t="s">
        <v>466</v>
      </c>
      <c r="H96" s="170"/>
      <c r="I96" s="170"/>
      <c r="J96" s="156" t="s">
        <v>12778</v>
      </c>
      <c r="K96" s="156" t="s">
        <v>13763</v>
      </c>
      <c r="L96" s="157" t="str">
        <f>IFERROR(__xludf.DUMMYFUNCTION("IF(
  AND(D96=""Saída"", J96=""Sangria""),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'""&amp;K96&amp;""'
             and Col6 = ""&amp;N96&amp;""
             and Col4 = date '""&amp;TEXT(C96,""yyyy-mm-dd"")&amp;""'""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'""&amp;K96&amp;""'
               and Col6 = ""&amp;N96&amp;""
               and Col4 = date '""&amp;TEXT(C96,""yyyy-mm-dd"")&amp;""'""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'""&amp;K96&amp;""'
"&amp;"                 and Col6 = ""&amp;N96&amp;""
                 and Col4 = date '""&amp;TEXT(C96,""yyyy-mm-dd"")&amp;""'""
            )
          )&gt;0,
          ""Confirmada"",
          ""Caixa Sangria""
        )
      )
    ),
    """"
  ),
  """"
)
"),"Confirmada")</f>
        <v>Confirmada</v>
      </c>
      <c r="M96" s="207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159">
        <f>IFERROR(__xludf.DUMMYFUNCTION("ifna(VALUE(REGEXEXTRACT(E96,""[0-9.]+[,]+[0-9]+"")))"),550.0)</f>
        <v>550</v>
      </c>
      <c r="O96" s="159"/>
      <c r="P96" s="159"/>
      <c r="Q96" s="159"/>
      <c r="R96" s="159"/>
      <c r="S96" s="159"/>
      <c r="T96" s="159"/>
      <c r="U96" s="159"/>
      <c r="V96" s="159"/>
      <c r="W96" s="159"/>
    </row>
    <row r="97" ht="14.25" customHeight="1">
      <c r="A97" s="149"/>
      <c r="B97" s="13">
        <v>2169386.0</v>
      </c>
      <c r="C97" s="14">
        <v>46149.56108796296</v>
      </c>
      <c r="D97" s="210" t="s">
        <v>101</v>
      </c>
      <c r="E97" s="211" t="s">
        <v>252</v>
      </c>
      <c r="F97" s="212"/>
      <c r="G97" s="210" t="s">
        <v>253</v>
      </c>
      <c r="H97" s="170"/>
      <c r="I97" s="170"/>
      <c r="J97" s="156" t="s">
        <v>12658</v>
      </c>
      <c r="K97" s="156" t="s">
        <v>11866</v>
      </c>
      <c r="L97" s="157" t="str">
        <f>IFERROR(__xludf.DUMMYFUNCTION("IF(
  AND(D97=""Saída"", J97=""Sangria""),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'""&amp;K97&amp;""'
             and Col6 = ""&amp;N97&amp;""
             and Col4 = date '""&amp;TEXT(C97,""yyyy-mm-dd"")&amp;""'""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'""&amp;K97&amp;""'
               and Col6 = ""&amp;N97&amp;""
               and Col4 = date '""&amp;TEXT(C97,""yyyy-mm-dd"")&amp;""'""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'""&amp;K97&amp;""'
"&amp;"                 and Col6 = ""&amp;N97&amp;""
                 and Col4 = date '""&amp;TEXT(C97,""yyyy-mm-dd"")&amp;""'""
            )
          )&gt;0,
          ""Confirmada"",
          ""Caixa Sangria""
        )
      )
    ),
    """"
  ),
  """"
)
"),"")</f>
        <v/>
      </c>
      <c r="M97" s="209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159">
        <f>IFERROR(__xludf.DUMMYFUNCTION("ifna(VALUE(REGEXEXTRACT(E97,""[0-9.]+[,]+[0-9]+"")))"),5.0)</f>
        <v>5</v>
      </c>
      <c r="O97" s="159"/>
      <c r="P97" s="159"/>
      <c r="Q97" s="159"/>
      <c r="R97" s="159"/>
      <c r="S97" s="159"/>
      <c r="T97" s="159"/>
      <c r="U97" s="159"/>
      <c r="V97" s="159"/>
      <c r="W97" s="159"/>
    </row>
    <row r="98" ht="14.25" customHeight="1">
      <c r="A98" s="149"/>
      <c r="B98" s="13">
        <v>2169581.0</v>
      </c>
      <c r="C98" s="14">
        <v>46149.63989583333</v>
      </c>
      <c r="D98" s="210" t="s">
        <v>101</v>
      </c>
      <c r="E98" s="211" t="s">
        <v>473</v>
      </c>
      <c r="F98" s="212"/>
      <c r="G98" s="210" t="s">
        <v>393</v>
      </c>
      <c r="H98" s="170"/>
      <c r="I98" s="170"/>
      <c r="J98" s="156" t="s">
        <v>12658</v>
      </c>
      <c r="K98" s="156" t="s">
        <v>13763</v>
      </c>
      <c r="L98" s="157" t="str">
        <f>IFERROR(__xludf.DUMMYFUNCTION("IF(
  AND(D98=""Saída"", J98=""Sangria""),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'""&amp;K98&amp;""'
             and Col6 = ""&amp;N98&amp;""
             and Col4 = date '""&amp;TEXT(C98,""yyyy-mm-dd"")&amp;""'""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'""&amp;K98&amp;""'
               and Col6 = ""&amp;N98&amp;""
               and Col4 = date '""&amp;TEXT(C98,""yyyy-mm-dd"")&amp;""'""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'""&amp;K98&amp;""'
"&amp;"                 and Col6 = ""&amp;N98&amp;""
                 and Col4 = date '""&amp;TEXT(C98,""yyyy-mm-dd"")&amp;""'""
            )
          )&gt;0,
          ""Confirmada"",
          ""Caixa Sangria""
        )
      )
    ),
    """"
  ),
  """"
)
"),"")</f>
        <v/>
      </c>
      <c r="M98" s="207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159">
        <f>IFERROR(__xludf.DUMMYFUNCTION("ifna(VALUE(REGEXEXTRACT(E98,""[0-9.]+[,]+[0-9]+"")))"),15.0)</f>
        <v>15</v>
      </c>
      <c r="O98" s="181" t="s">
        <v>13284</v>
      </c>
      <c r="W98" s="159"/>
    </row>
    <row r="99" ht="14.25" customHeight="1">
      <c r="A99" s="149"/>
      <c r="B99" s="13">
        <v>2169943.0</v>
      </c>
      <c r="C99" s="14">
        <v>46149.73090277778</v>
      </c>
      <c r="D99" s="210" t="s">
        <v>101</v>
      </c>
      <c r="E99" s="211" t="s">
        <v>477</v>
      </c>
      <c r="F99" s="212"/>
      <c r="G99" s="210" t="s">
        <v>133</v>
      </c>
      <c r="H99" s="170"/>
      <c r="I99" s="170"/>
      <c r="J99" s="156" t="s">
        <v>6914</v>
      </c>
      <c r="K99" s="156"/>
      <c r="L99" s="157" t="str">
        <f>IFERROR(__xludf.DUMMYFUNCTION("IF(
  AND(D99=""Saída"", J99=""Sangria""),
  IFNA(
    IF(
      SUM(
        QUERY(
          IMPORTRANGE(""https://docs.google.com/spreadsheets/d/15vCx43UQd-lUcbnvwm-R2Xfhex1Wogrs1wY4DlXukMA"",
          ""Movimentações de Sangrias!A:I""),
          """&amp;"select Col6 
           where Col7 = 'Depositada'
             and Col9 = '""&amp;K99&amp;""'
             and Col6 = ""&amp;N99&amp;""
             and Col4 = date '""&amp;TEXT(C99,""yyyy-mm-dd"")&amp;""'""
        )
      )&gt;0,
      ""Depositada"",
      IF(
        SUM(
    "&amp;"      QUERY(
            IMPORTRANGE(""https://docs.google.com/spreadsheets/d/15vCx43UQd-lUcbnvwm-R2Xfhex1Wogrs1wY4DlXukMA"",
            ""Movimentações de Sangrias!A:I""),
            ""select Col6 
             where Col7 = 'Caixa Atendimento'
        "&amp;"       and Col9 = '""&amp;K99&amp;""'
               and Col6 = ""&amp;N99&amp;""
               and Col4 = date '""&amp;TEXT(C99,""yyyy-mm-dd"")&amp;""'""
          )
        )&gt;0,
        ""Caixa Atendimento"",
        IF(
          SUM(
            QUERY(
              IMPORT"&amp;"RANGE(""https://docs.google.com/spreadsheets/d/15vCx43UQd-lUcbnvwm-R2Xfhex1Wogrs1wY4DlXukMA"",
              ""Movimentações de Sangrias!A:I""),
              ""select Col6 
               where Col7 = 'Confirmada'
                 and Col9 = '""&amp;K99&amp;""'
"&amp;"                 and Col6 = ""&amp;N99&amp;""
                 and Col4 = date '""&amp;TEXT(C99,""yyyy-mm-dd"")&amp;""'""
            )
          )&gt;0,
          ""Confirmada"",
          ""Caixa Sangria""
        )
      )
    ),
    """"
  ),
  """"
)
"),"")</f>
        <v/>
      </c>
      <c r="M99" s="209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159">
        <f>IFERROR(__xludf.DUMMYFUNCTION("ifna(VALUE(REGEXEXTRACT(E99,""[0-9.]+[,]+[0-9]+"")))"),73.0)</f>
        <v>73</v>
      </c>
      <c r="O99" s="182" t="str">
        <f>IFERROR(__xludf.DUMMYFUNCTION("QUERY(B21:M500,""Select B,C,D,E,G,H,I,M where M = 'Não Encontrada'"",1)"),"Identificação")</f>
        <v>Identificação</v>
      </c>
      <c r="P99" s="182" t="str">
        <f>IFERROR(__xludf.DUMMYFUNCTION("""COMPUTED_VALUE"""),"Data")</f>
        <v>Data</v>
      </c>
      <c r="Q99" s="182" t="str">
        <f>IFERROR(__xludf.DUMMYFUNCTION("""COMPUTED_VALUE"""),"Entrada/Saída")</f>
        <v>Entrada/Saída</v>
      </c>
      <c r="R99" s="183" t="str">
        <f>IFERROR(__xludf.DUMMYFUNCTION("""COMPUTED_VALUE"""),"Valor ")</f>
        <v>Valor </v>
      </c>
      <c r="S99" s="182" t="str">
        <f>IFERROR(__xludf.DUMMYFUNCTION("""COMPUTED_VALUE"""),"Descrição")</f>
        <v>Descrição</v>
      </c>
      <c r="V99" s="184" t="str">
        <f>IFERROR(__xludf.DUMMYFUNCTION("""COMPUTED_VALUE"""),"Nota")</f>
        <v>Nota</v>
      </c>
      <c r="W99" s="159"/>
    </row>
    <row r="100" ht="14.25" customHeight="1">
      <c r="A100" s="149"/>
      <c r="B100" s="13">
        <v>2169966.0</v>
      </c>
      <c r="C100" s="14">
        <v>46149.73746527778</v>
      </c>
      <c r="D100" s="210" t="s">
        <v>101</v>
      </c>
      <c r="E100" s="211" t="s">
        <v>256</v>
      </c>
      <c r="F100" s="212"/>
      <c r="G100" s="210" t="s">
        <v>480</v>
      </c>
      <c r="H100" s="170"/>
      <c r="I100" s="170"/>
      <c r="J100" s="156" t="s">
        <v>12778</v>
      </c>
      <c r="K100" s="156" t="s">
        <v>11866</v>
      </c>
      <c r="L100" s="157" t="str">
        <f>IFERROR(__xludf.DUMMYFUNCTION("IF(
  AND(D100=""Saída"", J100=""Sangria""),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'""&amp;K100&amp;""'
             and Col6 = ""&amp;N100&amp;""
             and Col4 = date '""&amp;TEXT(C100,""yyyy-mm-dd"")&amp;""'""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'""&amp;K100&amp;""'
               and Col6 = ""&amp;N100&amp;""
               and Col4 = date '""&amp;TEXT(C100,""yyyy-mm-dd"")&amp;""'""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'""&amp;"&amp;"K100&amp;""'
                 and Col6 = ""&amp;N100&amp;""
                 and Col4 = date '""&amp;TEXT(C100,""yyyy-mm-dd"")&amp;""'""
            )
          )&gt;0,
          ""Confirmada"",
          ""Caixa Sangria""
        )
      )
    ),
    """"
  ),
  """"
)
"),"Confirmada")</f>
        <v>Confirmada</v>
      </c>
      <c r="M100" s="207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159">
        <f>IFERROR(__xludf.DUMMYFUNCTION("ifna(VALUE(REGEXEXTRACT(E100,""[0-9.]+[,]+[0-9]+"")))"),300.0)</f>
        <v>300</v>
      </c>
      <c r="O100" s="222">
        <f>IFERROR(__xludf.DUMMYFUNCTION("""COMPUTED_VALUE"""),2164975.0)</f>
        <v>2164975</v>
      </c>
      <c r="P100" s="186">
        <f>IFERROR(__xludf.DUMMYFUNCTION("""COMPUTED_VALUE"""),46146.73462962963)</f>
        <v>46146.73463</v>
      </c>
      <c r="Q100" s="185" t="str">
        <f>IFERROR(__xludf.DUMMYFUNCTION("""COMPUTED_VALUE"""),"Saída")</f>
        <v>Saída</v>
      </c>
      <c r="R100" s="187" t="str">
        <f>IFERROR(__xludf.DUMMYFUNCTION("""COMPUTED_VALUE"""),"R$ 120,54")</f>
        <v>R$ 120,54</v>
      </c>
      <c r="S100" s="185" t="str">
        <f>IFERROR(__xludf.DUMMYFUNCTION("""COMPUTED_VALUE"""),"Saida Outros: cafe dia do trabalhador")</f>
        <v>Saida Outros: cafe dia do trabalhador</v>
      </c>
      <c r="V100" s="185" t="str">
        <f>IFERROR(__xludf.DUMMYFUNCTION("""COMPUTED_VALUE"""),"Não Encontrada")</f>
        <v>Não Encontrada</v>
      </c>
      <c r="W100" s="159"/>
    </row>
    <row r="101" ht="14.25" customHeight="1">
      <c r="A101" s="149"/>
      <c r="B101" s="13">
        <v>2169991.0</v>
      </c>
      <c r="C101" s="14">
        <v>46149.74469907407</v>
      </c>
      <c r="D101" s="210" t="s">
        <v>101</v>
      </c>
      <c r="E101" s="211" t="s">
        <v>231</v>
      </c>
      <c r="F101" s="212"/>
      <c r="G101" s="210" t="s">
        <v>133</v>
      </c>
      <c r="H101" s="170"/>
      <c r="I101" s="170"/>
      <c r="J101" s="156" t="s">
        <v>6914</v>
      </c>
      <c r="K101" s="156"/>
      <c r="L101" s="157" t="str">
        <f>IFERROR(__xludf.DUMMYFUNCTION("IF(
  AND(D101=""Saída"", J101=""Sangria""),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'""&amp;K101&amp;""'
             and Col6 = ""&amp;N101&amp;""
             and Col4 = date '""&amp;TEXT(C101,""yyyy-mm-dd"")&amp;""'""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'""&amp;K101&amp;""'
               and Col6 = ""&amp;N101&amp;""
               and Col4 = date '""&amp;TEXT(C101,""yyyy-mm-dd"")&amp;""'""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'""&amp;"&amp;"K101&amp;""'
                 and Col6 = ""&amp;N101&amp;""
                 and Col4 = date '""&amp;TEXT(C101,""yyyy-mm-dd"")&amp;""'""
            )
          )&gt;0,
          ""Confirmada"",
          ""Caixa Sangria""
        )
      )
    ),
    """"
  ),
  """"
)
"),"")</f>
        <v/>
      </c>
      <c r="M101" s="209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159">
        <f>IFERROR(__xludf.DUMMYFUNCTION("ifna(VALUE(REGEXEXTRACT(E101,""[0-9.]+[,]+[0-9]+"")))"),10.0)</f>
        <v>10</v>
      </c>
      <c r="O101" s="188">
        <f>IFERROR(__xludf.DUMMYFUNCTION("""COMPUTED_VALUE"""),2164978.0)</f>
        <v>2164978</v>
      </c>
      <c r="P101" s="189">
        <f>IFERROR(__xludf.DUMMYFUNCTION("""COMPUTED_VALUE"""),46146.735393518524)</f>
        <v>46146.73539</v>
      </c>
      <c r="Q101" s="188" t="str">
        <f>IFERROR(__xludf.DUMMYFUNCTION("""COMPUTED_VALUE"""),"Saída")</f>
        <v>Saída</v>
      </c>
      <c r="R101" s="190" t="str">
        <f>IFERROR(__xludf.DUMMYFUNCTION("""COMPUTED_VALUE"""),"R$ 62,53")</f>
        <v>R$ 62,53</v>
      </c>
      <c r="S101" s="188" t="str">
        <f>IFERROR(__xludf.DUMMYFUNCTION("""COMPUTED_VALUE"""),"Saida Outros: cafe dia do trabalhador")</f>
        <v>Saida Outros: cafe dia do trabalhador</v>
      </c>
      <c r="V101" s="188" t="str">
        <f>IFERROR(__xludf.DUMMYFUNCTION("""COMPUTED_VALUE"""),"Não Encontrada")</f>
        <v>Não Encontrada</v>
      </c>
      <c r="W101" s="159"/>
    </row>
    <row r="102" ht="14.25" customHeight="1">
      <c r="A102" s="149"/>
      <c r="B102" s="13">
        <v>2170005.0</v>
      </c>
      <c r="C102" s="14">
        <v>46149.74701388889</v>
      </c>
      <c r="D102" s="210" t="s">
        <v>101</v>
      </c>
      <c r="E102" s="211" t="s">
        <v>488</v>
      </c>
      <c r="F102" s="212"/>
      <c r="G102" s="210" t="s">
        <v>253</v>
      </c>
      <c r="H102" s="170"/>
      <c r="I102" s="170"/>
      <c r="J102" s="156" t="s">
        <v>12658</v>
      </c>
      <c r="K102" s="156" t="s">
        <v>11866</v>
      </c>
      <c r="L102" s="157" t="str">
        <f>IFERROR(__xludf.DUMMYFUNCTION("IF(
  AND(D102=""Saída"", J102=""Sangria""),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'""&amp;K102&amp;""'
             and Col6 = ""&amp;N102&amp;""
             and Col4 = date '""&amp;TEXT(C102,""yyyy-mm-dd"")&amp;""'""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'""&amp;K102&amp;""'
               and Col6 = ""&amp;N102&amp;""
               and Col4 = date '""&amp;TEXT(C102,""yyyy-mm-dd"")&amp;""'""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'""&amp;"&amp;"K102&amp;""'
                 and Col6 = ""&amp;N102&amp;""
                 and Col4 = date '""&amp;TEXT(C102,""yyyy-mm-dd"")&amp;""'""
            )
          )&gt;0,
          ""Confirmada"",
          ""Caixa Sangria""
        )
      )
    ),
    """"
  ),
  """"
)
"),"")</f>
        <v/>
      </c>
      <c r="M102" s="207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159">
        <f>IFERROR(__xludf.DUMMYFUNCTION("ifna(VALUE(REGEXEXTRACT(E102,""[0-9.]+[,]+[0-9]+"")))"),39.69)</f>
        <v>39.69</v>
      </c>
      <c r="O102" s="185">
        <f>IFERROR(__xludf.DUMMYFUNCTION("""COMPUTED_VALUE"""),2168001.0)</f>
        <v>2168001</v>
      </c>
      <c r="P102" s="186">
        <f>IFERROR(__xludf.DUMMYFUNCTION("""COMPUTED_VALUE"""),46148.67847222222)</f>
        <v>46148.67847</v>
      </c>
      <c r="Q102" s="185" t="str">
        <f>IFERROR(__xludf.DUMMYFUNCTION("""COMPUTED_VALUE"""),"Saída")</f>
        <v>Saída</v>
      </c>
      <c r="R102" s="187" t="str">
        <f>IFERROR(__xludf.DUMMYFUNCTION("""COMPUTED_VALUE"""),"R$ 6,05")</f>
        <v>R$ 6,05</v>
      </c>
      <c r="S102" s="185" t="str">
        <f>IFERROR(__xludf.DUMMYFUNCTION("""COMPUTED_VALUE"""),"Saida Outros: banana")</f>
        <v>Saida Outros: banana</v>
      </c>
      <c r="V102" s="185" t="str">
        <f>IFERROR(__xludf.DUMMYFUNCTION("""COMPUTED_VALUE"""),"Não Encontrada")</f>
        <v>Não Encontrada</v>
      </c>
      <c r="W102" s="159"/>
    </row>
    <row r="103" ht="14.25" customHeight="1">
      <c r="A103" s="149"/>
      <c r="B103" s="13">
        <v>2170049.0</v>
      </c>
      <c r="C103" s="14">
        <v>46149.756747685184</v>
      </c>
      <c r="D103" s="210" t="s">
        <v>101</v>
      </c>
      <c r="E103" s="211" t="s">
        <v>492</v>
      </c>
      <c r="F103" s="212"/>
      <c r="G103" s="210" t="s">
        <v>494</v>
      </c>
      <c r="H103" s="170"/>
      <c r="I103" s="170"/>
      <c r="J103" s="156" t="s">
        <v>12658</v>
      </c>
      <c r="K103" s="156" t="s">
        <v>13760</v>
      </c>
      <c r="L103" s="157" t="str">
        <f>IFERROR(__xludf.DUMMYFUNCTION("IF(
  AND(D103=""Saída"", J103=""Sangria""),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'""&amp;K103&amp;""'
             and Col6 = ""&amp;N103&amp;""
             and Col4 = date '""&amp;TEXT(C103,""yyyy-mm-dd"")&amp;""'""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'""&amp;K103&amp;""'
               and Col6 = ""&amp;N103&amp;""
               and Col4 = date '""&amp;TEXT(C103,""yyyy-mm-dd"")&amp;""'""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'""&amp;"&amp;"K103&amp;""'
                 and Col6 = ""&amp;N103&amp;""
                 and Col4 = date '""&amp;TEXT(C103,""yyyy-mm-dd"")&amp;""'""
            )
          )&gt;0,
          ""Confirmada"",
          ""Caixa Sangria""
        )
      )
    ),
    """"
  ),
  """"
)
"),"")</f>
        <v/>
      </c>
      <c r="M103" s="209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159">
        <f>IFERROR(__xludf.DUMMYFUNCTION("ifna(VALUE(REGEXEXTRACT(E103,""[0-9.]+[,]+[0-9]+"")))"),11.7)</f>
        <v>11.7</v>
      </c>
      <c r="O103" s="188">
        <f>IFERROR(__xludf.DUMMYFUNCTION("""COMPUTED_VALUE"""),2168229.0)</f>
        <v>2168229</v>
      </c>
      <c r="P103" s="189">
        <f>IFERROR(__xludf.DUMMYFUNCTION("""COMPUTED_VALUE"""),46148.73222222222)</f>
        <v>46148.73222</v>
      </c>
      <c r="Q103" s="188" t="str">
        <f>IFERROR(__xludf.DUMMYFUNCTION("""COMPUTED_VALUE"""),"Saída")</f>
        <v>Saída</v>
      </c>
      <c r="R103" s="190" t="str">
        <f>IFERROR(__xludf.DUMMYFUNCTION("""COMPUTED_VALUE"""),"R$ 476,00")</f>
        <v>R$ 476,00</v>
      </c>
      <c r="S103" s="188" t="str">
        <f>IFERROR(__xludf.DUMMYFUNCTION("""COMPUTED_VALUE"""),"Saida Outros: produtos de limpeza")</f>
        <v>Saida Outros: produtos de limpeza</v>
      </c>
      <c r="V103" s="188" t="str">
        <f>IFERROR(__xludf.DUMMYFUNCTION("""COMPUTED_VALUE"""),"Não Encontrada")</f>
        <v>Não Encontrada</v>
      </c>
      <c r="W103" s="159"/>
    </row>
    <row r="104" ht="14.25" customHeight="1">
      <c r="A104" s="149"/>
      <c r="B104" s="13">
        <v>2170383.0</v>
      </c>
      <c r="C104" s="14">
        <v>46149.868726851855</v>
      </c>
      <c r="D104" s="210" t="s">
        <v>101</v>
      </c>
      <c r="E104" s="211" t="s">
        <v>497</v>
      </c>
      <c r="F104" s="212"/>
      <c r="G104" s="210" t="s">
        <v>282</v>
      </c>
      <c r="H104" s="170"/>
      <c r="I104" s="170"/>
      <c r="J104" s="156" t="s">
        <v>12818</v>
      </c>
      <c r="K104" s="156"/>
      <c r="L104" s="157" t="str">
        <f>IFERROR(__xludf.DUMMYFUNCTION("IF(
  AND(D104=""Saída"", J104=""Sangria""),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'""&amp;K104&amp;""'
             and Col6 = ""&amp;N104&amp;""
             and Col4 = date '""&amp;TEXT(C104,""yyyy-mm-dd"")&amp;""'""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'""&amp;K104&amp;""'
               and Col6 = ""&amp;N104&amp;""
               and Col4 = date '""&amp;TEXT(C104,""yyyy-mm-dd"")&amp;""'""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'""&amp;"&amp;"K104&amp;""'
                 and Col6 = ""&amp;N104&amp;""
                 and Col4 = date '""&amp;TEXT(C104,""yyyy-mm-dd"")&amp;""'""
            )
          )&gt;0,
          ""Confirmada"",
          ""Caixa Sangria""
        )
      )
    ),
    """"
  ),
  """"
)
"),"")</f>
        <v/>
      </c>
      <c r="M104" s="207" t="str">
        <f>IFERROR(__xludf.DUMMYFUNCTION("IF(J104=""Compra de Mercadorias"",
   IF(
      COUNTIF(ARRAYFORMULA(TRIM(CLEAN(TO_TEXT(Notas!BS:BS)))), TRIM(CLEAN(TO_TEXT(B104)))) &gt; 0,
      ""Encontrada"",
      ""Não Encontrada""
   ),
"""")"),"Não Encontrada")</f>
        <v>Não Encontrada</v>
      </c>
      <c r="N104" s="159">
        <f>IFERROR(__xludf.DUMMYFUNCTION("ifna(VALUE(REGEXEXTRACT(E104,""[0-9.]+[,]+[0-9]+"")))"),30.98)</f>
        <v>30.98</v>
      </c>
      <c r="O104" s="185">
        <f>IFERROR(__xludf.DUMMYFUNCTION("""COMPUTED_VALUE"""),2170383.0)</f>
        <v>2170383</v>
      </c>
      <c r="P104" s="186">
        <f>IFERROR(__xludf.DUMMYFUNCTION("""COMPUTED_VALUE"""),46149.868726851855)</f>
        <v>46149.86873</v>
      </c>
      <c r="Q104" s="185" t="str">
        <f>IFERROR(__xludf.DUMMYFUNCTION("""COMPUTED_VALUE"""),"Saída")</f>
        <v>Saída</v>
      </c>
      <c r="R104" s="187" t="str">
        <f>IFERROR(__xludf.DUMMYFUNCTION("""COMPUTED_VALUE"""),"R$ 30,98")</f>
        <v>R$ 30,98</v>
      </c>
      <c r="S104" s="185" t="str">
        <f>IFERROR(__xludf.DUMMYFUNCTION("""COMPUTED_VALUE"""),"Saida Outros: Café funcionários")</f>
        <v>Saida Outros: Café funcionários</v>
      </c>
      <c r="V104" s="185" t="str">
        <f>IFERROR(__xludf.DUMMYFUNCTION("""COMPUTED_VALUE"""),"Não Encontrada")</f>
        <v>Não Encontrada</v>
      </c>
      <c r="W104" s="159"/>
    </row>
    <row r="105" ht="14.25" customHeight="1">
      <c r="A105" s="149"/>
      <c r="B105" s="13">
        <v>2170385.0</v>
      </c>
      <c r="C105" s="14">
        <v>46149.869108796294</v>
      </c>
      <c r="D105" s="210" t="s">
        <v>101</v>
      </c>
      <c r="E105" s="211" t="s">
        <v>501</v>
      </c>
      <c r="F105" s="212"/>
      <c r="G105" s="210" t="s">
        <v>502</v>
      </c>
      <c r="H105" s="170"/>
      <c r="I105" s="170"/>
      <c r="J105" s="156" t="s">
        <v>12818</v>
      </c>
      <c r="K105" s="156"/>
      <c r="L105" s="157" t="str">
        <f>IFERROR(__xludf.DUMMYFUNCTION("IF(
  AND(D105=""Saída"", J105=""Sangria""),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'""&amp;K105&amp;""'
             and Col6 = ""&amp;N105&amp;""
             and Col4 = date '""&amp;TEXT(C105,""yyyy-mm-dd"")&amp;""'""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'""&amp;K105&amp;""'
               and Col6 = ""&amp;N105&amp;""
               and Col4 = date '""&amp;TEXT(C105,""yyyy-mm-dd"")&amp;""'""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'""&amp;"&amp;"K105&amp;""'
                 and Col6 = ""&amp;N105&amp;""
                 and Col4 = date '""&amp;TEXT(C105,""yyyy-mm-dd"")&amp;""'""
            )
          )&gt;0,
          ""Confirmada"",
          ""Caixa Sangria""
        )
      )
    ),
    """"
  ),
  """"
)
"),"")</f>
        <v/>
      </c>
      <c r="M105" s="209" t="str">
        <f>IFERROR(__xludf.DUMMYFUNCTION("IF(J105=""Compra de Mercadorias"",
   IF(
      COUNTIF(ARRAYFORMULA(TRIM(CLEAN(TO_TEXT(Notas!BS:BS)))), TRIM(CLEAN(TO_TEXT(B105)))) &gt; 0,
      ""Encontrada"",
      ""Não Encontrada""
   ),
"""")"),"Não Encontrada")</f>
        <v>Não Encontrada</v>
      </c>
      <c r="N105" s="159">
        <f>IFERROR(__xludf.DUMMYFUNCTION("ifna(VALUE(REGEXEXTRACT(E105,""[0-9.]+[,]+[0-9]+"")))"),25.0)</f>
        <v>25</v>
      </c>
      <c r="O105" s="188">
        <f>IFERROR(__xludf.DUMMYFUNCTION("""COMPUTED_VALUE"""),2170385.0)</f>
        <v>2170385</v>
      </c>
      <c r="P105" s="189">
        <f>IFERROR(__xludf.DUMMYFUNCTION("""COMPUTED_VALUE"""),46149.869108796294)</f>
        <v>46149.86911</v>
      </c>
      <c r="Q105" s="188" t="str">
        <f>IFERROR(__xludf.DUMMYFUNCTION("""COMPUTED_VALUE"""),"Saída")</f>
        <v>Saída</v>
      </c>
      <c r="R105" s="190" t="str">
        <f>IFERROR(__xludf.DUMMYFUNCTION("""COMPUTED_VALUE"""),"R$ 25,00")</f>
        <v>R$ 25,00</v>
      </c>
      <c r="S105" s="188" t="str">
        <f>IFERROR(__xludf.DUMMYFUNCTION("""COMPUTED_VALUE"""),"Saida Outros: Válvula para pia")</f>
        <v>Saida Outros: Válvula para pia</v>
      </c>
      <c r="V105" s="188" t="str">
        <f>IFERROR(__xludf.DUMMYFUNCTION("""COMPUTED_VALUE"""),"Não Encontrada")</f>
        <v>Não Encontrada</v>
      </c>
      <c r="W105" s="159"/>
    </row>
    <row r="106" ht="14.25" customHeight="1">
      <c r="A106" s="149"/>
      <c r="B106" s="13">
        <v>2170388.0</v>
      </c>
      <c r="C106" s="14">
        <v>46149.86950231482</v>
      </c>
      <c r="D106" s="210" t="s">
        <v>101</v>
      </c>
      <c r="E106" s="211" t="s">
        <v>231</v>
      </c>
      <c r="F106" s="212"/>
      <c r="G106" s="210" t="s">
        <v>507</v>
      </c>
      <c r="H106" s="170"/>
      <c r="I106" s="170"/>
      <c r="J106" s="156" t="s">
        <v>12818</v>
      </c>
      <c r="K106" s="156"/>
      <c r="L106" s="157" t="str">
        <f>IFERROR(__xludf.DUMMYFUNCTION("IF(
  AND(D106=""Saída"", J106=""Sangria""),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'""&amp;K106&amp;""'
             and Col6 = ""&amp;N106&amp;""
             and Col4 = date '""&amp;TEXT(C106,""yyyy-mm-dd"")&amp;""'""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'""&amp;K106&amp;""'
               and Col6 = ""&amp;N106&amp;""
               and Col4 = date '""&amp;TEXT(C106,""yyyy-mm-dd"")&amp;""'""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'""&amp;"&amp;"K106&amp;""'
                 and Col6 = ""&amp;N106&amp;""
                 and Col4 = date '""&amp;TEXT(C106,""yyyy-mm-dd"")&amp;""'""
            )
          )&gt;0,
          ""Confirmada"",
          ""Caixa Sangria""
        )
      )
    ),
    """"
  ),
  """"
)
"),"")</f>
        <v/>
      </c>
      <c r="M106" s="207" t="str">
        <f>IFERROR(__xludf.DUMMYFUNCTION("IF(J106=""Compra de Mercadorias"",
   IF(
      COUNTIF(ARRAYFORMULA(TRIM(CLEAN(TO_TEXT(Notas!BS:BS)))), TRIM(CLEAN(TO_TEXT(B106)))) &gt; 0,
      ""Encontrada"",
      ""Não Encontrada""
   ),
"""")"),"Não Encontrada")</f>
        <v>Não Encontrada</v>
      </c>
      <c r="N106" s="159">
        <f>IFERROR(__xludf.DUMMYFUNCTION("ifna(VALUE(REGEXEXTRACT(E106,""[0-9.]+[,]+[0-9]+"")))"),10.0)</f>
        <v>10</v>
      </c>
      <c r="O106" s="185">
        <f>IFERROR(__xludf.DUMMYFUNCTION("""COMPUTED_VALUE"""),2170388.0)</f>
        <v>2170388</v>
      </c>
      <c r="P106" s="186">
        <f>IFERROR(__xludf.DUMMYFUNCTION("""COMPUTED_VALUE"""),46149.86950231482)</f>
        <v>46149.8695</v>
      </c>
      <c r="Q106" s="185" t="str">
        <f>IFERROR(__xludf.DUMMYFUNCTION("""COMPUTED_VALUE"""),"Saída")</f>
        <v>Saída</v>
      </c>
      <c r="R106" s="187" t="str">
        <f>IFERROR(__xludf.DUMMYFUNCTION("""COMPUTED_VALUE"""),"R$ 10,00")</f>
        <v>R$ 10,00</v>
      </c>
      <c r="S106" s="185" t="str">
        <f>IFERROR(__xludf.DUMMYFUNCTION("""COMPUTED_VALUE"""),"Saida Outros: Trava trocador")</f>
        <v>Saida Outros: Trava trocador</v>
      </c>
      <c r="V106" s="185" t="str">
        <f>IFERROR(__xludf.DUMMYFUNCTION("""COMPUTED_VALUE"""),"Não Encontrada")</f>
        <v>Não Encontrada</v>
      </c>
      <c r="W106" s="159"/>
    </row>
    <row r="107" ht="14.25" customHeight="1">
      <c r="A107" s="149"/>
      <c r="B107" s="13">
        <v>2170416.0</v>
      </c>
      <c r="C107" s="14">
        <v>46149.87706018519</v>
      </c>
      <c r="D107" s="210" t="s">
        <v>101</v>
      </c>
      <c r="E107" s="211" t="s">
        <v>510</v>
      </c>
      <c r="F107" s="212"/>
      <c r="G107" s="210" t="s">
        <v>512</v>
      </c>
      <c r="H107" s="170"/>
      <c r="I107" s="170"/>
      <c r="J107" s="156" t="s">
        <v>6914</v>
      </c>
      <c r="K107" s="156"/>
      <c r="L107" s="157" t="str">
        <f>IFERROR(__xludf.DUMMYFUNCTION("IF(
  AND(D107=""Saída"", J107=""Sangria""),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'""&amp;K107&amp;""'
             and Col6 = ""&amp;N107&amp;""
             and Col4 = date '""&amp;TEXT(C107,""yyyy-mm-dd"")&amp;""'""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'""&amp;K107&amp;""'
               and Col6 = ""&amp;N107&amp;""
               and Col4 = date '""&amp;TEXT(C107,""yyyy-mm-dd"")&amp;""'""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'""&amp;"&amp;"K107&amp;""'
                 and Col6 = ""&amp;N107&amp;""
                 and Col4 = date '""&amp;TEXT(C107,""yyyy-mm-dd"")&amp;""'""
            )
          )&gt;0,
          ""Confirmada"",
          ""Caixa Sangria""
        )
      )
    ),
    """"
  ),
  """"
)
"),"")</f>
        <v/>
      </c>
      <c r="M107" s="209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159">
        <f>IFERROR(__xludf.DUMMYFUNCTION("ifna(VALUE(REGEXEXTRACT(E107,""[0-9.]+[,]+[0-9]+"")))"),24.0)</f>
        <v>24</v>
      </c>
      <c r="O107" s="188">
        <f>IFERROR(__xludf.DUMMYFUNCTION("""COMPUTED_VALUE"""),2171886.0)</f>
        <v>2171886</v>
      </c>
      <c r="P107" s="189">
        <f>IFERROR(__xludf.DUMMYFUNCTION("""COMPUTED_VALUE"""),46150.80819444444)</f>
        <v>46150.80819</v>
      </c>
      <c r="Q107" s="188" t="str">
        <f>IFERROR(__xludf.DUMMYFUNCTION("""COMPUTED_VALUE"""),"Saída")</f>
        <v>Saída</v>
      </c>
      <c r="R107" s="190" t="str">
        <f>IFERROR(__xludf.DUMMYFUNCTION("""COMPUTED_VALUE"""),"R$ 50,00")</f>
        <v>R$ 50,00</v>
      </c>
      <c r="S107" s="188" t="str">
        <f>IFERROR(__xludf.DUMMYFUNCTION("""COMPUTED_VALUE"""),"Saida Outros: adesivo horario")</f>
        <v>Saida Outros: adesivo horario</v>
      </c>
      <c r="V107" s="188" t="str">
        <f>IFERROR(__xludf.DUMMYFUNCTION("""COMPUTED_VALUE"""),"Não Encontrada")</f>
        <v>Não Encontrada</v>
      </c>
      <c r="W107" s="159"/>
    </row>
    <row r="108" ht="14.25" customHeight="1">
      <c r="A108" s="149"/>
      <c r="B108" s="13">
        <v>2170418.0</v>
      </c>
      <c r="C108" s="14">
        <v>46149.87734953704</v>
      </c>
      <c r="D108" s="210" t="s">
        <v>101</v>
      </c>
      <c r="E108" s="211" t="s">
        <v>213</v>
      </c>
      <c r="F108" s="212"/>
      <c r="G108" s="210" t="s">
        <v>516</v>
      </c>
      <c r="H108" s="170"/>
      <c r="I108" s="170"/>
      <c r="J108" s="156" t="s">
        <v>12778</v>
      </c>
      <c r="K108" s="156" t="s">
        <v>13763</v>
      </c>
      <c r="L108" s="157" t="str">
        <f>IFERROR(__xludf.DUMMYFUNCTION("IF(
  AND(D108=""Saída"", J108=""Sangria""),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'""&amp;K108&amp;""'
             and Col6 = ""&amp;N108&amp;""
             and Col4 = date '""&amp;TEXT(C108,""yyyy-mm-dd"")&amp;""'""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'""&amp;K108&amp;""'
               and Col6 = ""&amp;N108&amp;""
               and Col4 = date '""&amp;TEXT(C108,""yyyy-mm-dd"")&amp;""'""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'""&amp;"&amp;"K108&amp;""'
                 and Col6 = ""&amp;N108&amp;""
                 and Col4 = date '""&amp;TEXT(C108,""yyyy-mm-dd"")&amp;""'""
            )
          )&gt;0,
          ""Confirmada"",
          ""Caixa Sangria""
        )
      )
    ),
    """"
  ),
  """"
)
"),"Confirmada")</f>
        <v>Confirmada</v>
      </c>
      <c r="M108" s="207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159">
        <f>IFERROR(__xludf.DUMMYFUNCTION("ifna(VALUE(REGEXEXTRACT(E108,""[0-9.]+[,]+[0-9]+"")))"),200.0)</f>
        <v>200</v>
      </c>
      <c r="O108" s="185">
        <f>IFERROR(__xludf.DUMMYFUNCTION("""COMPUTED_VALUE"""),2171887.0)</f>
        <v>2171887</v>
      </c>
      <c r="P108" s="186">
        <f>IFERROR(__xludf.DUMMYFUNCTION("""COMPUTED_VALUE"""),46150.80842592593)</f>
        <v>46150.80843</v>
      </c>
      <c r="Q108" s="185" t="str">
        <f>IFERROR(__xludf.DUMMYFUNCTION("""COMPUTED_VALUE"""),"Saída")</f>
        <v>Saída</v>
      </c>
      <c r="R108" s="187" t="str">
        <f>IFERROR(__xludf.DUMMYFUNCTION("""COMPUTED_VALUE"""),"R$ 43,59")</f>
        <v>R$ 43,59</v>
      </c>
      <c r="S108" s="185" t="str">
        <f>IFERROR(__xludf.DUMMYFUNCTION("""COMPUTED_VALUE"""),"Saida Outros: cafe funcionarios")</f>
        <v>Saida Outros: cafe funcionarios</v>
      </c>
      <c r="V108" s="185" t="str">
        <f>IFERROR(__xludf.DUMMYFUNCTION("""COMPUTED_VALUE"""),"Não Encontrada")</f>
        <v>Não Encontrada</v>
      </c>
      <c r="W108" s="159"/>
    </row>
    <row r="109" ht="14.25" customHeight="1">
      <c r="A109" s="149"/>
      <c r="B109" s="13">
        <v>2171128.0</v>
      </c>
      <c r="C109" s="14">
        <v>46150.51715277778</v>
      </c>
      <c r="D109" s="210" t="s">
        <v>101</v>
      </c>
      <c r="E109" s="211" t="s">
        <v>252</v>
      </c>
      <c r="F109" s="212"/>
      <c r="G109" s="210" t="s">
        <v>523</v>
      </c>
      <c r="H109" s="170"/>
      <c r="I109" s="170"/>
      <c r="J109" s="156" t="s">
        <v>12658</v>
      </c>
      <c r="K109" s="156" t="s">
        <v>13760</v>
      </c>
      <c r="L109" s="157" t="str">
        <f>IFERROR(__xludf.DUMMYFUNCTION("IF(
  AND(D109=""Saída"", J109=""Sangria""),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'""&amp;K109&amp;""'
             and Col6 = ""&amp;N109&amp;""
             and Col4 = date '""&amp;TEXT(C109,""yyyy-mm-dd"")&amp;""'""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'""&amp;K109&amp;""'
               and Col6 = ""&amp;N109&amp;""
               and Col4 = date '""&amp;TEXT(C109,""yyyy-mm-dd"")&amp;""'""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'""&amp;"&amp;"K109&amp;""'
                 and Col6 = ""&amp;N109&amp;""
                 and Col4 = date '""&amp;TEXT(C109,""yyyy-mm-dd"")&amp;""'""
            )
          )&gt;0,
          ""Confirmada"",
          ""Caixa Sangria""
        )
      )
    ),
    """"
  ),
  """"
)
"),"")</f>
        <v/>
      </c>
      <c r="M109" s="209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159">
        <f>IFERROR(__xludf.DUMMYFUNCTION("ifna(VALUE(REGEXEXTRACT(E109,""[0-9.]+[,]+[0-9]+"")))"),5.0)</f>
        <v>5</v>
      </c>
      <c r="O109" s="188">
        <f>IFERROR(__xludf.DUMMYFUNCTION("""COMPUTED_VALUE"""),2173390.0)</f>
        <v>2173390</v>
      </c>
      <c r="P109" s="189">
        <f>IFERROR(__xludf.DUMMYFUNCTION("""COMPUTED_VALUE"""),46151.83298611111)</f>
        <v>46151.83299</v>
      </c>
      <c r="Q109" s="188" t="str">
        <f>IFERROR(__xludf.DUMMYFUNCTION("""COMPUTED_VALUE"""),"Saída")</f>
        <v>Saída</v>
      </c>
      <c r="R109" s="190" t="str">
        <f>IFERROR(__xludf.DUMMYFUNCTION("""COMPUTED_VALUE"""),"R$ 14,50")</f>
        <v>R$ 14,50</v>
      </c>
      <c r="S109" s="188" t="str">
        <f>IFERROR(__xludf.DUMMYFUNCTION("""COMPUTED_VALUE"""),"Saida Outros: banana")</f>
        <v>Saida Outros: banana</v>
      </c>
      <c r="V109" s="188" t="str">
        <f>IFERROR(__xludf.DUMMYFUNCTION("""COMPUTED_VALUE"""),"Não Encontrada")</f>
        <v>Não Encontrada</v>
      </c>
      <c r="W109" s="159"/>
    </row>
    <row r="110" ht="14.25" customHeight="1">
      <c r="A110" s="149"/>
      <c r="B110" s="13">
        <v>2171883.0</v>
      </c>
      <c r="C110" s="14">
        <v>46150.80798611111</v>
      </c>
      <c r="D110" s="210" t="s">
        <v>101</v>
      </c>
      <c r="E110" s="211" t="s">
        <v>526</v>
      </c>
      <c r="F110" s="212"/>
      <c r="G110" s="210" t="s">
        <v>133</v>
      </c>
      <c r="H110" s="170"/>
      <c r="I110" s="170"/>
      <c r="J110" s="156" t="s">
        <v>6914</v>
      </c>
      <c r="K110" s="156"/>
      <c r="L110" s="157" t="str">
        <f>IFERROR(__xludf.DUMMYFUNCTION("IF(
  AND(D110=""Saída"", J110=""Sangria""),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'""&amp;K110&amp;""'
             and Col6 = ""&amp;N110&amp;""
             and Col4 = date '""&amp;TEXT(C110,""yyyy-mm-dd"")&amp;""'""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'""&amp;K110&amp;""'
               and Col6 = ""&amp;N110&amp;""
               and Col4 = date '""&amp;TEXT(C110,""yyyy-mm-dd"")&amp;""'""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'""&amp;"&amp;"K110&amp;""'
                 and Col6 = ""&amp;N110&amp;""
                 and Col4 = date '""&amp;TEXT(C110,""yyyy-mm-dd"")&amp;""'""
            )
          )&gt;0,
          ""Confirmada"",
          ""Caixa Sangria""
        )
      )
    ),
    """"
  ),
  """"
)
"),"")</f>
        <v/>
      </c>
      <c r="M110" s="207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159">
        <f>IFERROR(__xludf.DUMMYFUNCTION("ifna(VALUE(REGEXEXTRACT(E110,""[0-9.]+[,]+[0-9]+"")))"),21.0)</f>
        <v>21</v>
      </c>
      <c r="O110" s="185">
        <f>IFERROR(__xludf.DUMMYFUNCTION("""COMPUTED_VALUE"""),2181327.0)</f>
        <v>2181327</v>
      </c>
      <c r="P110" s="186">
        <f>IFERROR(__xludf.DUMMYFUNCTION("""COMPUTED_VALUE"""),46157.76871527778)</f>
        <v>46157.76872</v>
      </c>
      <c r="Q110" s="185" t="str">
        <f>IFERROR(__xludf.DUMMYFUNCTION("""COMPUTED_VALUE"""),"Saída")</f>
        <v>Saída</v>
      </c>
      <c r="R110" s="187" t="str">
        <f>IFERROR(__xludf.DUMMYFUNCTION("""COMPUTED_VALUE"""),"R$ 32,80")</f>
        <v>R$ 32,80</v>
      </c>
      <c r="S110" s="185" t="str">
        <f>IFERROR(__xludf.DUMMYFUNCTION("""COMPUTED_VALUE"""),"Saida Outros: abraçadeira brinquedo")</f>
        <v>Saida Outros: abraçadeira brinquedo</v>
      </c>
      <c r="V110" s="185" t="str">
        <f>IFERROR(__xludf.DUMMYFUNCTION("""COMPUTED_VALUE"""),"Não Encontrada")</f>
        <v>Não Encontrada</v>
      </c>
      <c r="W110" s="159"/>
    </row>
    <row r="111" ht="14.25" customHeight="1">
      <c r="A111" s="149"/>
      <c r="B111" s="13">
        <v>2171886.0</v>
      </c>
      <c r="C111" s="14">
        <v>46150.80819444444</v>
      </c>
      <c r="D111" s="210" t="s">
        <v>101</v>
      </c>
      <c r="E111" s="211" t="s">
        <v>141</v>
      </c>
      <c r="F111" s="212"/>
      <c r="G111" s="210" t="s">
        <v>531</v>
      </c>
      <c r="H111" s="170"/>
      <c r="I111" s="170"/>
      <c r="J111" s="156" t="s">
        <v>12818</v>
      </c>
      <c r="K111" s="156"/>
      <c r="L111" s="157" t="str">
        <f>IFERROR(__xludf.DUMMYFUNCTION("IF(
  AND(D111=""Saída"", J111=""Sangria""),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'""&amp;K111&amp;""'
             and Col6 = ""&amp;N111&amp;""
             and Col4 = date '""&amp;TEXT(C111,""yyyy-mm-dd"")&amp;""'""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'""&amp;K111&amp;""'
               and Col6 = ""&amp;N111&amp;""
               and Col4 = date '""&amp;TEXT(C111,""yyyy-mm-dd"")&amp;""'""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'""&amp;"&amp;"K111&amp;""'
                 and Col6 = ""&amp;N111&amp;""
                 and Col4 = date '""&amp;TEXT(C111,""yyyy-mm-dd"")&amp;""'""
            )
          )&gt;0,
          ""Confirmada"",
          ""Caixa Sangria""
        )
      )
    ),
    """"
  ),
  """"
)
"),"")</f>
        <v/>
      </c>
      <c r="M111" s="209" t="str">
        <f>IFERROR(__xludf.DUMMYFUNCTION("IF(J111=""Compra de Mercadorias"",
   IF(
      COUNTIF(ARRAYFORMULA(TRIM(CLEAN(TO_TEXT(Notas!BS:BS)))), TRIM(CLEAN(TO_TEXT(B111)))) &gt; 0,
      ""Encontrada"",
      ""Não Encontrada""
   ),
"""")"),"Não Encontrada")</f>
        <v>Não Encontrada</v>
      </c>
      <c r="N111" s="159">
        <f>IFERROR(__xludf.DUMMYFUNCTION("ifna(VALUE(REGEXEXTRACT(E111,""[0-9.]+[,]+[0-9]+"")))"),50.0)</f>
        <v>50</v>
      </c>
      <c r="O111" s="188">
        <f>IFERROR(__xludf.DUMMYFUNCTION("""COMPUTED_VALUE"""),2181328.0)</f>
        <v>2181328</v>
      </c>
      <c r="P111" s="189">
        <f>IFERROR(__xludf.DUMMYFUNCTION("""COMPUTED_VALUE"""),46157.7690162037)</f>
        <v>46157.76902</v>
      </c>
      <c r="Q111" s="188" t="str">
        <f>IFERROR(__xludf.DUMMYFUNCTION("""COMPUTED_VALUE"""),"Saída")</f>
        <v>Saída</v>
      </c>
      <c r="R111" s="190" t="str">
        <f>IFERROR(__xludf.DUMMYFUNCTION("""COMPUTED_VALUE"""),"R$ 51,90")</f>
        <v>R$ 51,90</v>
      </c>
      <c r="S111" s="188" t="str">
        <f>IFERROR(__xludf.DUMMYFUNCTION("""COMPUTED_VALUE"""),"Saida Outros: cafe funcionarios")</f>
        <v>Saida Outros: cafe funcionarios</v>
      </c>
      <c r="V111" s="188" t="str">
        <f>IFERROR(__xludf.DUMMYFUNCTION("""COMPUTED_VALUE"""),"Não Encontrada")</f>
        <v>Não Encontrada</v>
      </c>
      <c r="W111" s="159"/>
    </row>
    <row r="112" ht="14.25" customHeight="1">
      <c r="A112" s="149"/>
      <c r="B112" s="13">
        <v>2171887.0</v>
      </c>
      <c r="C112" s="14">
        <v>46150.80842592593</v>
      </c>
      <c r="D112" s="210" t="s">
        <v>101</v>
      </c>
      <c r="E112" s="211" t="s">
        <v>535</v>
      </c>
      <c r="F112" s="212"/>
      <c r="G112" s="210" t="s">
        <v>537</v>
      </c>
      <c r="H112" s="170"/>
      <c r="I112" s="170"/>
      <c r="J112" s="156" t="s">
        <v>12818</v>
      </c>
      <c r="K112" s="156"/>
      <c r="L112" s="157" t="str">
        <f>IFERROR(__xludf.DUMMYFUNCTION("IF(
  AND(D112=""Saída"", J112=""Sangria""),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'""&amp;K112&amp;""'
             and Col6 = ""&amp;N112&amp;""
             and Col4 = date '""&amp;TEXT(C112,""yyyy-mm-dd"")&amp;""'""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'""&amp;K112&amp;""'
               and Col6 = ""&amp;N112&amp;""
               and Col4 = date '""&amp;TEXT(C112,""yyyy-mm-dd"")&amp;""'""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'""&amp;"&amp;"K112&amp;""'
                 and Col6 = ""&amp;N112&amp;""
                 and Col4 = date '""&amp;TEXT(C112,""yyyy-mm-dd"")&amp;""'""
            )
          )&gt;0,
          ""Confirmada"",
          ""Caixa Sangria""
        )
      )
    ),
    """"
  ),
  """"
)
"),"")</f>
        <v/>
      </c>
      <c r="M112" s="207" t="str">
        <f>IFERROR(__xludf.DUMMYFUNCTION("IF(J112=""Compra de Mercadorias"",
   IF(
      COUNTIF(ARRAYFORMULA(TRIM(CLEAN(TO_TEXT(Notas!BS:BS)))), TRIM(CLEAN(TO_TEXT(B112)))) &gt; 0,
      ""Encontrada"",
      ""Não Encontrada""
   ),
"""")"),"Não Encontrada")</f>
        <v>Não Encontrada</v>
      </c>
      <c r="N112" s="159">
        <f>IFERROR(__xludf.DUMMYFUNCTION("ifna(VALUE(REGEXEXTRACT(E112,""[0-9.]+[,]+[0-9]+"")))"),43.59)</f>
        <v>43.59</v>
      </c>
      <c r="O112" s="185">
        <f>IFERROR(__xludf.DUMMYFUNCTION("""COMPUTED_VALUE"""),2186010.0)</f>
        <v>2186010</v>
      </c>
      <c r="P112" s="186">
        <f>IFERROR(__xludf.DUMMYFUNCTION("""COMPUTED_VALUE"""),46160.66285879629)</f>
        <v>46160.66286</v>
      </c>
      <c r="Q112" s="185" t="str">
        <f>IFERROR(__xludf.DUMMYFUNCTION("""COMPUTED_VALUE"""),"Saída")</f>
        <v>Saída</v>
      </c>
      <c r="R112" s="187" t="str">
        <f>IFERROR(__xludf.DUMMYFUNCTION("""COMPUTED_VALUE"""),"R$ 16,99")</f>
        <v>R$ 16,99</v>
      </c>
      <c r="S112" s="185" t="str">
        <f>IFERROR(__xludf.DUMMYFUNCTION("""COMPUTED_VALUE"""),"Saida Outros: jarra")</f>
        <v>Saida Outros: jarra</v>
      </c>
      <c r="V112" s="185" t="str">
        <f>IFERROR(__xludf.DUMMYFUNCTION("""COMPUTED_VALUE"""),"Não Encontrada")</f>
        <v>Não Encontrada</v>
      </c>
      <c r="W112" s="159"/>
    </row>
    <row r="113" ht="14.25" customHeight="1">
      <c r="A113" s="149"/>
      <c r="B113" s="13">
        <v>2171908.0</v>
      </c>
      <c r="C113" s="14">
        <v>46150.81599537037</v>
      </c>
      <c r="D113" s="210" t="s">
        <v>139</v>
      </c>
      <c r="E113" s="211" t="s">
        <v>141</v>
      </c>
      <c r="F113" s="212"/>
      <c r="G113" s="210" t="s">
        <v>272</v>
      </c>
      <c r="H113" s="170"/>
      <c r="I113" s="170"/>
      <c r="J113" s="156" t="s">
        <v>12952</v>
      </c>
      <c r="K113" s="156"/>
      <c r="L113" s="157" t="str">
        <f>IFERROR(__xludf.DUMMYFUNCTION("IF(
  AND(D113=""Saída"", J113=""Sangria""),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'""&amp;K113&amp;""'
             and Col6 = ""&amp;N113&amp;""
             and Col4 = date '""&amp;TEXT(C113,""yyyy-mm-dd"")&amp;""'""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'""&amp;K113&amp;""'
               and Col6 = ""&amp;N113&amp;""
               and Col4 = date '""&amp;TEXT(C113,""yyyy-mm-dd"")&amp;""'""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'""&amp;"&amp;"K113&amp;""'
                 and Col6 = ""&amp;N113&amp;""
                 and Col4 = date '""&amp;TEXT(C113,""yyyy-mm-dd"")&amp;""'""
            )
          )&gt;0,
          ""Confirmada"",
          ""Caixa Sangria""
        )
      )
    ),
    """"
  ),
  """"
)
"),"")</f>
        <v/>
      </c>
      <c r="M113" s="209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159">
        <f>IFERROR(__xludf.DUMMYFUNCTION("ifna(VALUE(REGEXEXTRACT(E113,""[0-9.]+[,]+[0-9]+"")))"),50.0)</f>
        <v>50</v>
      </c>
      <c r="O113" s="188">
        <f>IFERROR(__xludf.DUMMYFUNCTION("""COMPUTED_VALUE"""),2187416.0)</f>
        <v>2187416</v>
      </c>
      <c r="P113" s="189">
        <f>IFERROR(__xludf.DUMMYFUNCTION("""COMPUTED_VALUE"""),46161.72418981481)</f>
        <v>46161.72419</v>
      </c>
      <c r="Q113" s="188" t="str">
        <f>IFERROR(__xludf.DUMMYFUNCTION("""COMPUTED_VALUE"""),"Saída")</f>
        <v>Saída</v>
      </c>
      <c r="R113" s="190" t="str">
        <f>IFERROR(__xludf.DUMMYFUNCTION("""COMPUTED_VALUE"""),"R$ 15,05")</f>
        <v>R$ 15,05</v>
      </c>
      <c r="S113" s="188" t="str">
        <f>IFERROR(__xludf.DUMMYFUNCTION("""COMPUTED_VALUE"""),"Saida Outros: Manga")</f>
        <v>Saida Outros: Manga</v>
      </c>
      <c r="V113" s="188" t="str">
        <f>IFERROR(__xludf.DUMMYFUNCTION("""COMPUTED_VALUE"""),"Não Encontrada")</f>
        <v>Não Encontrada</v>
      </c>
      <c r="W113" s="159"/>
    </row>
    <row r="114" ht="14.25" customHeight="1">
      <c r="A114" s="149"/>
      <c r="B114" s="13">
        <v>2171947.0</v>
      </c>
      <c r="C114" s="14">
        <v>46150.82886574074</v>
      </c>
      <c r="D114" s="210" t="s">
        <v>101</v>
      </c>
      <c r="E114" s="211" t="s">
        <v>246</v>
      </c>
      <c r="F114" s="212"/>
      <c r="G114" s="210" t="s">
        <v>325</v>
      </c>
      <c r="H114" s="170"/>
      <c r="I114" s="170"/>
      <c r="J114" s="156" t="s">
        <v>12658</v>
      </c>
      <c r="K114" s="156" t="s">
        <v>11866</v>
      </c>
      <c r="L114" s="157" t="str">
        <f>IFERROR(__xludf.DUMMYFUNCTION("IF(
  AND(D114=""Saída"", J114=""Sangria""),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'""&amp;K114&amp;""'
             and Col6 = ""&amp;N114&amp;""
             and Col4 = date '""&amp;TEXT(C114,""yyyy-mm-dd"")&amp;""'""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'""&amp;K114&amp;""'
               and Col6 = ""&amp;N114&amp;""
               and Col4 = date '""&amp;TEXT(C114,""yyyy-mm-dd"")&amp;""'""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'""&amp;"&amp;"K114&amp;""'
                 and Col6 = ""&amp;N114&amp;""
                 and Col4 = date '""&amp;TEXT(C114,""yyyy-mm-dd"")&amp;""'""
            )
          )&gt;0,
          ""Confirmada"",
          ""Caixa Sangria""
        )
      )
    ),
    """"
  ),
  """"
)
"),"")</f>
        <v/>
      </c>
      <c r="M114" s="207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159">
        <f>IFERROR(__xludf.DUMMYFUNCTION("ifna(VALUE(REGEXEXTRACT(E114,""[0-9.]+[,]+[0-9]+"")))"),30.0)</f>
        <v>30</v>
      </c>
      <c r="O114" s="185">
        <f>IFERROR(__xludf.DUMMYFUNCTION("""COMPUTED_VALUE"""),2188585.0)</f>
        <v>2188585</v>
      </c>
      <c r="P114" s="186">
        <f>IFERROR(__xludf.DUMMYFUNCTION("""COMPUTED_VALUE"""),46162.732569444444)</f>
        <v>46162.73257</v>
      </c>
      <c r="Q114" s="185" t="str">
        <f>IFERROR(__xludf.DUMMYFUNCTION("""COMPUTED_VALUE"""),"Saída")</f>
        <v>Saída</v>
      </c>
      <c r="R114" s="187" t="str">
        <f>IFERROR(__xludf.DUMMYFUNCTION("""COMPUTED_VALUE"""),"R$ 5,25")</f>
        <v>R$ 5,25</v>
      </c>
      <c r="S114" s="185" t="str">
        <f>IFERROR(__xludf.DUMMYFUNCTION("""COMPUTED_VALUE"""),"Saida Outros: banana")</f>
        <v>Saida Outros: banana</v>
      </c>
      <c r="V114" s="185" t="str">
        <f>IFERROR(__xludf.DUMMYFUNCTION("""COMPUTED_VALUE"""),"Não Encontrada")</f>
        <v>Não Encontrada</v>
      </c>
      <c r="W114" s="159"/>
    </row>
    <row r="115" ht="14.25" customHeight="1">
      <c r="A115" s="149"/>
      <c r="B115" s="13">
        <v>2172048.0</v>
      </c>
      <c r="C115" s="14">
        <v>46150.87253472222</v>
      </c>
      <c r="D115" s="210" t="s">
        <v>101</v>
      </c>
      <c r="E115" s="211" t="s">
        <v>306</v>
      </c>
      <c r="F115" s="214"/>
      <c r="G115" s="210" t="s">
        <v>512</v>
      </c>
      <c r="H115" s="170"/>
      <c r="I115" s="170"/>
      <c r="J115" s="156" t="s">
        <v>6914</v>
      </c>
      <c r="K115" s="156"/>
      <c r="L115" s="157" t="str">
        <f>IFERROR(__xludf.DUMMYFUNCTION("IF(
  AND(D115=""Saída"", J115=""Sangria""),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'""&amp;K115&amp;""'
             and Col6 = ""&amp;N115&amp;""
             and Col4 = date '""&amp;TEXT(C115,""yyyy-mm-dd"")&amp;""'""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'""&amp;K115&amp;""'
               and Col6 = ""&amp;N115&amp;""
               and Col4 = date '""&amp;TEXT(C115,""yyyy-mm-dd"")&amp;""'""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'""&amp;"&amp;"K115&amp;""'
                 and Col6 = ""&amp;N115&amp;""
                 and Col4 = date '""&amp;TEXT(C115,""yyyy-mm-dd"")&amp;""'""
            )
          )&gt;0,
          ""Confirmada"",
          ""Caixa Sangria""
        )
      )
    ),
    """"
  ),
  """"
)
"),"")</f>
        <v/>
      </c>
      <c r="M115" s="209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159">
        <f>IFERROR(__xludf.DUMMYFUNCTION("ifna(VALUE(REGEXEXTRACT(E115,""[0-9.]+[,]+[0-9]+"")))"),22.0)</f>
        <v>22</v>
      </c>
      <c r="O115" s="188">
        <f>IFERROR(__xludf.DUMMYFUNCTION("""COMPUTED_VALUE"""),2191008.0)</f>
        <v>2191008</v>
      </c>
      <c r="P115" s="189">
        <f>IFERROR(__xludf.DUMMYFUNCTION("""COMPUTED_VALUE"""),46164.70251157407)</f>
        <v>46164.70251</v>
      </c>
      <c r="Q115" s="188" t="str">
        <f>IFERROR(__xludf.DUMMYFUNCTION("""COMPUTED_VALUE"""),"Saída")</f>
        <v>Saída</v>
      </c>
      <c r="R115" s="190" t="str">
        <f>IFERROR(__xludf.DUMMYFUNCTION("""COMPUTED_VALUE"""),"R$ 378,00")</f>
        <v>R$ 378,00</v>
      </c>
      <c r="S115" s="188" t="str">
        <f>IFERROR(__xludf.DUMMYFUNCTION("""COMPUTED_VALUE"""),"Saida Outros: Adesivos")</f>
        <v>Saida Outros: Adesivos</v>
      </c>
      <c r="V115" s="188" t="str">
        <f>IFERROR(__xludf.DUMMYFUNCTION("""COMPUTED_VALUE"""),"Não Encontrada")</f>
        <v>Não Encontrada</v>
      </c>
      <c r="W115" s="159"/>
    </row>
    <row r="116" ht="14.25" customHeight="1">
      <c r="A116" s="149"/>
      <c r="B116" s="13">
        <v>2173226.0</v>
      </c>
      <c r="C116" s="14">
        <v>46151.773993055554</v>
      </c>
      <c r="D116" s="210" t="s">
        <v>101</v>
      </c>
      <c r="E116" s="211" t="s">
        <v>556</v>
      </c>
      <c r="F116" s="212"/>
      <c r="G116" s="210" t="s">
        <v>109</v>
      </c>
      <c r="H116" s="170"/>
      <c r="I116" s="170"/>
      <c r="J116" s="156" t="s">
        <v>12658</v>
      </c>
      <c r="K116" s="156" t="s">
        <v>11866</v>
      </c>
      <c r="L116" s="157" t="str">
        <f>IFERROR(__xludf.DUMMYFUNCTION("IF(
  AND(D116=""Saída"", J116=""Sangria""),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'""&amp;K116&amp;""'
             and Col6 = ""&amp;N116&amp;""
             and Col4 = date '""&amp;TEXT(C116,""yyyy-mm-dd"")&amp;""'""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'""&amp;K116&amp;""'
               and Col6 = ""&amp;N116&amp;""
               and Col4 = date '""&amp;TEXT(C116,""yyyy-mm-dd"")&amp;""'""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'""&amp;"&amp;"K116&amp;""'
                 and Col6 = ""&amp;N116&amp;""
                 and Col4 = date '""&amp;TEXT(C116,""yyyy-mm-dd"")&amp;""'""
            )
          )&gt;0,
          ""Confirmada"",
          ""Caixa Sangria""
        )
      )
    ),
    """"
  ),
  """"
)
"),"")</f>
        <v/>
      </c>
      <c r="M116" s="207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159">
        <f>IFERROR(__xludf.DUMMYFUNCTION("ifna(VALUE(REGEXEXTRACT(E116,""[0-9.]+[,]+[0-9]+"")))"),24.25)</f>
        <v>24.25</v>
      </c>
      <c r="O116" s="185">
        <f>IFERROR(__xludf.DUMMYFUNCTION("""COMPUTED_VALUE"""),2191012.0)</f>
        <v>2191012</v>
      </c>
      <c r="P116" s="186">
        <f>IFERROR(__xludf.DUMMYFUNCTION("""COMPUTED_VALUE"""),46164.70337962963)</f>
        <v>46164.70338</v>
      </c>
      <c r="Q116" s="185" t="str">
        <f>IFERROR(__xludf.DUMMYFUNCTION("""COMPUTED_VALUE"""),"Saída")</f>
        <v>Saída</v>
      </c>
      <c r="R116" s="187" t="str">
        <f>IFERROR(__xludf.DUMMYFUNCTION("""COMPUTED_VALUE"""),"R$ 62,30")</f>
        <v>R$ 62,30</v>
      </c>
      <c r="S116" s="185" t="str">
        <f>IFERROR(__xludf.DUMMYFUNCTION("""COMPUTED_VALUE"""),"Saida Outros: Café funcionarios")</f>
        <v>Saida Outros: Café funcionarios</v>
      </c>
      <c r="V116" s="185" t="str">
        <f>IFERROR(__xludf.DUMMYFUNCTION("""COMPUTED_VALUE"""),"Não Encontrada")</f>
        <v>Não Encontrada</v>
      </c>
      <c r="W116" s="159"/>
    </row>
    <row r="117" ht="14.25" customHeight="1">
      <c r="A117" s="149"/>
      <c r="B117" s="13">
        <v>2173390.0</v>
      </c>
      <c r="C117" s="14">
        <v>46151.83298611111</v>
      </c>
      <c r="D117" s="210" t="s">
        <v>101</v>
      </c>
      <c r="E117" s="211" t="s">
        <v>561</v>
      </c>
      <c r="F117" s="212"/>
      <c r="G117" s="210" t="s">
        <v>438</v>
      </c>
      <c r="H117" s="170"/>
      <c r="I117" s="170"/>
      <c r="J117" s="156" t="s">
        <v>12818</v>
      </c>
      <c r="K117" s="156"/>
      <c r="L117" s="157" t="str">
        <f>IFERROR(__xludf.DUMMYFUNCTION("IF(
  AND(D117=""Saída"", J117=""Sangria""),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'""&amp;K117&amp;""'
             and Col6 = ""&amp;N117&amp;""
             and Col4 = date '""&amp;TEXT(C117,""yyyy-mm-dd"")&amp;""'""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'""&amp;K117&amp;""'
               and Col6 = ""&amp;N117&amp;""
               and Col4 = date '""&amp;TEXT(C117,""yyyy-mm-dd"")&amp;""'""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'""&amp;"&amp;"K117&amp;""'
                 and Col6 = ""&amp;N117&amp;""
                 and Col4 = date '""&amp;TEXT(C117,""yyyy-mm-dd"")&amp;""'""
            )
          )&gt;0,
          ""Confirmada"",
          ""Caixa Sangria""
        )
      )
    ),
    """"
  ),
  """"
)
"),"")</f>
        <v/>
      </c>
      <c r="M117" s="209" t="str">
        <f>IFERROR(__xludf.DUMMYFUNCTION("IF(J117=""Compra de Mercadorias"",
   IF(
      COUNTIF(ARRAYFORMULA(TRIM(CLEAN(TO_TEXT(Notas!BS:BS)))), TRIM(CLEAN(TO_TEXT(B117)))) &gt; 0,
      ""Encontrada"",
      ""Não Encontrada""
   ),
"""")"),"Não Encontrada")</f>
        <v>Não Encontrada</v>
      </c>
      <c r="N117" s="159">
        <f>IFERROR(__xludf.DUMMYFUNCTION("ifna(VALUE(REGEXEXTRACT(E117,""[0-9.]+[,]+[0-9]+"")))"),14.5)</f>
        <v>14.5</v>
      </c>
      <c r="O117" s="188"/>
      <c r="P117" s="189"/>
      <c r="Q117" s="188"/>
      <c r="R117" s="190"/>
      <c r="S117" s="188"/>
      <c r="V117" s="188"/>
      <c r="W117" s="159"/>
    </row>
    <row r="118" ht="14.25" customHeight="1">
      <c r="A118" s="149"/>
      <c r="B118" s="13">
        <v>2173419.0</v>
      </c>
      <c r="C118" s="14">
        <v>46151.84158564815</v>
      </c>
      <c r="D118" s="210" t="s">
        <v>101</v>
      </c>
      <c r="E118" s="211" t="s">
        <v>324</v>
      </c>
      <c r="F118" s="212"/>
      <c r="G118" s="210" t="s">
        <v>133</v>
      </c>
      <c r="H118" s="170"/>
      <c r="I118" s="170"/>
      <c r="J118" s="156" t="s">
        <v>6914</v>
      </c>
      <c r="K118" s="156"/>
      <c r="L118" s="157" t="str">
        <f>IFERROR(__xludf.DUMMYFUNCTION("IF(
  AND(D118=""Saída"", J118=""Sangria""),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'""&amp;K118&amp;""'
             and Col6 = ""&amp;N118&amp;""
             and Col4 = date '""&amp;TEXT(C118,""yyyy-mm-dd"")&amp;""'""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'""&amp;K118&amp;""'
               and Col6 = ""&amp;N118&amp;""
               and Col4 = date '""&amp;TEXT(C118,""yyyy-mm-dd"")&amp;""'""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'""&amp;"&amp;"K118&amp;""'
                 and Col6 = ""&amp;N118&amp;""
                 and Col4 = date '""&amp;TEXT(C118,""yyyy-mm-dd"")&amp;""'""
            )
          )&gt;0,
          ""Confirmada"",
          ""Caixa Sangria""
        )
      )
    ),
    """"
  ),
  """"
)
"),"")</f>
        <v/>
      </c>
      <c r="M118" s="207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159">
        <f>IFERROR(__xludf.DUMMYFUNCTION("ifna(VALUE(REGEXEXTRACT(E118,""[0-9.]+[,]+[0-9]+"")))"),45.0)</f>
        <v>45</v>
      </c>
      <c r="O118" s="185"/>
      <c r="P118" s="186"/>
      <c r="Q118" s="185"/>
      <c r="R118" s="187"/>
      <c r="S118" s="185"/>
      <c r="V118" s="185"/>
      <c r="W118" s="159"/>
    </row>
    <row r="119" ht="14.25" customHeight="1">
      <c r="A119" s="149"/>
      <c r="B119" s="13">
        <v>2173506.0</v>
      </c>
      <c r="C119" s="14">
        <v>46151.8666087963</v>
      </c>
      <c r="D119" s="210" t="s">
        <v>101</v>
      </c>
      <c r="E119" s="211" t="s">
        <v>210</v>
      </c>
      <c r="F119" s="212"/>
      <c r="G119" s="210" t="s">
        <v>109</v>
      </c>
      <c r="H119" s="170"/>
      <c r="I119" s="170"/>
      <c r="J119" s="156" t="s">
        <v>12658</v>
      </c>
      <c r="K119" s="156" t="s">
        <v>11866</v>
      </c>
      <c r="L119" s="157" t="str">
        <f>IFERROR(__xludf.DUMMYFUNCTION("IF(
  AND(D119=""Saída"", J119=""Sangria""),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'""&amp;K119&amp;""'
             and Col6 = ""&amp;N119&amp;""
             and Col4 = date '""&amp;TEXT(C119,""yyyy-mm-dd"")&amp;""'""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'""&amp;K119&amp;""'
               and Col6 = ""&amp;N119&amp;""
               and Col4 = date '""&amp;TEXT(C119,""yyyy-mm-dd"")&amp;""'""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'""&amp;"&amp;"K119&amp;""'
                 and Col6 = ""&amp;N119&amp;""
                 and Col4 = date '""&amp;TEXT(C119,""yyyy-mm-dd"")&amp;""'""
            )
          )&gt;0,
          ""Confirmada"",
          ""Caixa Sangria""
        )
      )
    ),
    """"
  ),
  """"
)
"),"")</f>
        <v/>
      </c>
      <c r="M119" s="209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159">
        <f>IFERROR(__xludf.DUMMYFUNCTION("ifna(VALUE(REGEXEXTRACT(E119,""[0-9.]+[,]+[0-9]+"")))"),40.0)</f>
        <v>40</v>
      </c>
      <c r="O119" s="188"/>
      <c r="P119" s="193"/>
      <c r="Q119" s="188"/>
      <c r="R119" s="190"/>
      <c r="S119" s="188"/>
      <c r="V119" s="188"/>
      <c r="W119" s="159"/>
    </row>
    <row r="120" ht="14.25" customHeight="1">
      <c r="A120" s="149"/>
      <c r="B120" s="13">
        <v>2175065.0</v>
      </c>
      <c r="C120" s="14">
        <v>46152.85673611111</v>
      </c>
      <c r="D120" s="210" t="s">
        <v>101</v>
      </c>
      <c r="E120" s="211" t="s">
        <v>428</v>
      </c>
      <c r="F120" s="212"/>
      <c r="G120" s="210" t="s">
        <v>574</v>
      </c>
      <c r="H120" s="153"/>
      <c r="I120" s="170"/>
      <c r="J120" s="156" t="s">
        <v>12658</v>
      </c>
      <c r="K120" s="156" t="s">
        <v>13763</v>
      </c>
      <c r="L120" s="157" t="str">
        <f>IFERROR(__xludf.DUMMYFUNCTION("IF(
  AND(D120=""Saída"", J120=""Sangria""),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'""&amp;K120&amp;""'
             and Col6 = ""&amp;N120&amp;""
             and Col4 = date '""&amp;TEXT(C120,""yyyy-mm-dd"")&amp;""'""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'""&amp;K120&amp;""'
               and Col6 = ""&amp;N120&amp;""
               and Col4 = date '""&amp;TEXT(C120,""yyyy-mm-dd"")&amp;""'""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'""&amp;"&amp;"K120&amp;""'
                 and Col6 = ""&amp;N120&amp;""
                 and Col4 = date '""&amp;TEXT(C120,""yyyy-mm-dd"")&amp;""'""
            )
          )&gt;0,
          ""Confirmada"",
          ""Caixa Sangria""
        )
      )
    ),
    """"
  ),
  """"
)
"),"")</f>
        <v/>
      </c>
      <c r="M120" s="207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159">
        <f>IFERROR(__xludf.DUMMYFUNCTION("ifna(VALUE(REGEXEXTRACT(E120,""[0-9.]+[,]+[0-9]+"")))"),35.0)</f>
        <v>35</v>
      </c>
      <c r="O120" s="185"/>
      <c r="P120" s="194"/>
      <c r="Q120" s="185"/>
      <c r="R120" s="187"/>
      <c r="S120" s="185"/>
      <c r="V120" s="185"/>
      <c r="W120" s="159"/>
    </row>
    <row r="121" ht="14.25" customHeight="1">
      <c r="A121" s="149"/>
      <c r="B121" s="13">
        <v>2175099.0</v>
      </c>
      <c r="C121" s="14">
        <v>46152.866319444445</v>
      </c>
      <c r="D121" s="210" t="s">
        <v>101</v>
      </c>
      <c r="E121" s="211" t="s">
        <v>213</v>
      </c>
      <c r="F121" s="212"/>
      <c r="G121" s="210" t="s">
        <v>578</v>
      </c>
      <c r="H121" s="153"/>
      <c r="I121" s="170"/>
      <c r="J121" s="156" t="s">
        <v>12778</v>
      </c>
      <c r="K121" s="156" t="s">
        <v>13760</v>
      </c>
      <c r="L121" s="157" t="str">
        <f>IFERROR(__xludf.DUMMYFUNCTION("IF(
  AND(D121=""Saída"", J121=""Sangria""),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'""&amp;K121&amp;""'
             and Col6 = ""&amp;N121&amp;""
             and Col4 = date '""&amp;TEXT(C121,""yyyy-mm-dd"")&amp;""'""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'""&amp;K121&amp;""'
               and Col6 = ""&amp;N121&amp;""
               and Col4 = date '""&amp;TEXT(C121,""yyyy-mm-dd"")&amp;""'""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'""&amp;"&amp;"K121&amp;""'
                 and Col6 = ""&amp;N121&amp;""
                 and Col4 = date '""&amp;TEXT(C121,""yyyy-mm-dd"")&amp;""'""
            )
          )&gt;0,
          ""Confirmada"",
          ""Caixa Sangria""
        )
      )
    ),
    """"
  ),
  """"
)
"),"Confirmada")</f>
        <v>Confirmada</v>
      </c>
      <c r="M121" s="209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159">
        <f>IFERROR(__xludf.DUMMYFUNCTION("ifna(VALUE(REGEXEXTRACT(E121,""[0-9.]+[,]+[0-9]+"")))"),200.0)</f>
        <v>200</v>
      </c>
      <c r="O121" s="188"/>
      <c r="P121" s="193"/>
      <c r="Q121" s="188"/>
      <c r="R121" s="190"/>
      <c r="S121" s="188"/>
      <c r="V121" s="188"/>
      <c r="W121" s="159"/>
    </row>
    <row r="122" ht="14.25" customHeight="1">
      <c r="A122" s="149"/>
      <c r="B122" s="13">
        <v>2175101.0</v>
      </c>
      <c r="C122" s="14">
        <v>46152.86649305555</v>
      </c>
      <c r="D122" s="210" t="s">
        <v>101</v>
      </c>
      <c r="E122" s="211" t="s">
        <v>582</v>
      </c>
      <c r="F122" s="212"/>
      <c r="G122" s="210" t="s">
        <v>512</v>
      </c>
      <c r="H122" s="153"/>
      <c r="I122" s="170"/>
      <c r="J122" s="156" t="s">
        <v>6914</v>
      </c>
      <c r="K122" s="156"/>
      <c r="L122" s="157" t="str">
        <f>IFERROR(__xludf.DUMMYFUNCTION("IF(
  AND(D122=""Saída"", J122=""Sangria""),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'""&amp;K122&amp;""'
             and Col6 = ""&amp;N122&amp;""
             and Col4 = date '""&amp;TEXT(C122,""yyyy-mm-dd"")&amp;""'""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'""&amp;K122&amp;""'
               and Col6 = ""&amp;N122&amp;""
               and Col4 = date '""&amp;TEXT(C122,""yyyy-mm-dd"")&amp;""'""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'""&amp;"&amp;"K122&amp;""'
                 and Col6 = ""&amp;N122&amp;""
                 and Col4 = date '""&amp;TEXT(C122,""yyyy-mm-dd"")&amp;""'""
            )
          )&gt;0,
          ""Confirmada"",
          ""Caixa Sangria""
        )
      )
    ),
    """"
  ),
  """"
)
"),"")</f>
        <v/>
      </c>
      <c r="M122" s="207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159">
        <f>IFERROR(__xludf.DUMMYFUNCTION("ifna(VALUE(REGEXEXTRACT(E122,""[0-9.]+[,]+[0-9]+"")))"),151.0)</f>
        <v>151</v>
      </c>
      <c r="O122" s="185"/>
      <c r="P122" s="194"/>
      <c r="Q122" s="185"/>
      <c r="R122" s="187"/>
      <c r="S122" s="185"/>
      <c r="V122" s="185"/>
      <c r="W122" s="159"/>
    </row>
    <row r="123" ht="14.25" customHeight="1">
      <c r="A123" s="149"/>
      <c r="B123" s="13">
        <v>2175103.0</v>
      </c>
      <c r="C123" s="14">
        <v>46152.86666666667</v>
      </c>
      <c r="D123" s="210" t="s">
        <v>101</v>
      </c>
      <c r="E123" s="211" t="s">
        <v>586</v>
      </c>
      <c r="F123" s="212"/>
      <c r="G123" s="210" t="s">
        <v>344</v>
      </c>
      <c r="H123" s="153"/>
      <c r="I123" s="170"/>
      <c r="J123" s="156" t="s">
        <v>10036</v>
      </c>
      <c r="K123" s="156"/>
      <c r="L123" s="157" t="str">
        <f>IFERROR(__xludf.DUMMYFUNCTION("IF(
  AND(D123=""Saída"", J123=""Sangria""),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'""&amp;K123&amp;""'
             and Col6 = ""&amp;N123&amp;""
             and Col4 = date '""&amp;TEXT(C123,""yyyy-mm-dd"")&amp;""'""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'""&amp;K123&amp;""'
               and Col6 = ""&amp;N123&amp;""
               and Col4 = date '""&amp;TEXT(C123,""yyyy-mm-dd"")&amp;""'""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'""&amp;"&amp;"K123&amp;""'
                 and Col6 = ""&amp;N123&amp;""
                 and Col4 = date '""&amp;TEXT(C123,""yyyy-mm-dd"")&amp;""'""
            )
          )&gt;0,
          ""Confirmada"",
          ""Caixa Sangria""
        )
      )
    ),
    """"
  ),
  """"
)
"),"")</f>
        <v/>
      </c>
      <c r="M123" s="209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159">
        <f>IFERROR(__xludf.DUMMYFUNCTION("ifna(VALUE(REGEXEXTRACT(E123,""[0-9.]+[,]+[0-9]+"")))"),120.0)</f>
        <v>120</v>
      </c>
      <c r="O123" s="195"/>
      <c r="P123" s="193"/>
      <c r="Q123" s="188"/>
      <c r="R123" s="190"/>
      <c r="S123" s="188"/>
      <c r="V123" s="188"/>
      <c r="W123" s="159"/>
    </row>
    <row r="124" ht="14.25" customHeight="1">
      <c r="A124" s="149"/>
      <c r="B124" s="13">
        <v>2176323.0</v>
      </c>
      <c r="C124" s="14">
        <v>46153.727743055555</v>
      </c>
      <c r="D124" s="210" t="s">
        <v>101</v>
      </c>
      <c r="E124" s="211" t="s">
        <v>237</v>
      </c>
      <c r="F124" s="212"/>
      <c r="G124" s="210" t="s">
        <v>590</v>
      </c>
      <c r="H124" s="153"/>
      <c r="I124" s="170"/>
      <c r="J124" s="156" t="s">
        <v>12778</v>
      </c>
      <c r="K124" s="156" t="s">
        <v>11866</v>
      </c>
      <c r="L124" s="157" t="str">
        <f>IFERROR(__xludf.DUMMYFUNCTION("IF(
  AND(D124=""Saída"", J124=""Sangria""),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'""&amp;K124&amp;""'
             and Col6 = ""&amp;N124&amp;""
             and Col4 = date '""&amp;TEXT(C124,""yyyy-mm-dd"")&amp;""'""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'""&amp;K124&amp;""'
               and Col6 = ""&amp;N124&amp;""
               and Col4 = date '""&amp;TEXT(C124,""yyyy-mm-dd"")&amp;""'""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'""&amp;"&amp;"K124&amp;""'
                 and Col6 = ""&amp;N124&amp;""
                 and Col4 = date '""&amp;TEXT(C124,""yyyy-mm-dd"")&amp;""'""
            )
          )&gt;0,
          ""Confirmada"",
          ""Caixa Sangria""
        )
      )
    ),
    """"
  ),
  """"
)
"),"Confirmada")</f>
        <v>Confirmada</v>
      </c>
      <c r="M124" s="207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159">
        <f>IFERROR(__xludf.DUMMYFUNCTION("ifna(VALUE(REGEXEXTRACT(E124,""[0-9.]+[,]+[0-9]+"")))"),100.0)</f>
        <v>100</v>
      </c>
      <c r="O124" s="185"/>
      <c r="P124" s="194"/>
      <c r="Q124" s="185"/>
      <c r="R124" s="187"/>
      <c r="S124" s="185"/>
      <c r="V124" s="185"/>
      <c r="W124" s="159"/>
    </row>
    <row r="125" ht="14.25" customHeight="1">
      <c r="A125" s="149"/>
      <c r="B125" s="13">
        <v>2176377.0</v>
      </c>
      <c r="C125" s="14">
        <v>46153.74716435185</v>
      </c>
      <c r="D125" s="210" t="s">
        <v>101</v>
      </c>
      <c r="E125" s="211" t="s">
        <v>165</v>
      </c>
      <c r="F125" s="212"/>
      <c r="G125" s="210" t="s">
        <v>133</v>
      </c>
      <c r="H125" s="153"/>
      <c r="I125" s="170"/>
      <c r="J125" s="156" t="s">
        <v>6914</v>
      </c>
      <c r="K125" s="156"/>
      <c r="L125" s="157" t="str">
        <f>IFERROR(__xludf.DUMMYFUNCTION("IF(
  AND(D125=""Saída"", J125=""Sangria""),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'""&amp;K125&amp;""'
             and Col6 = ""&amp;N125&amp;""
             and Col4 = date '""&amp;TEXT(C125,""yyyy-mm-dd"")&amp;""'""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'""&amp;K125&amp;""'
               and Col6 = ""&amp;N125&amp;""
               and Col4 = date '""&amp;TEXT(C125,""yyyy-mm-dd"")&amp;""'""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'""&amp;"&amp;"K125&amp;""'
                 and Col6 = ""&amp;N125&amp;""
                 and Col4 = date '""&amp;TEXT(C125,""yyyy-mm-dd"")&amp;""'""
            )
          )&gt;0,
          ""Confirmada"",
          ""Caixa Sangria""
        )
      )
    ),
    """"
  ),
  """"
)
"),"")</f>
        <v/>
      </c>
      <c r="M125" s="209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159">
        <f>IFERROR(__xludf.DUMMYFUNCTION("ifna(VALUE(REGEXEXTRACT(E125,""[0-9.]+[,]+[0-9]+"")))"),58.0)</f>
        <v>58</v>
      </c>
      <c r="O125" s="188"/>
      <c r="P125" s="193"/>
      <c r="Q125" s="188"/>
      <c r="R125" s="190"/>
      <c r="S125" s="188"/>
      <c r="V125" s="188"/>
      <c r="W125" s="159"/>
    </row>
    <row r="126" ht="14.25" customHeight="1">
      <c r="A126" s="149"/>
      <c r="B126" s="13">
        <v>2176595.0</v>
      </c>
      <c r="C126" s="14">
        <v>46153.86895833333</v>
      </c>
      <c r="D126" s="210" t="s">
        <v>101</v>
      </c>
      <c r="E126" s="211" t="s">
        <v>599</v>
      </c>
      <c r="F126" s="212"/>
      <c r="G126" s="210" t="s">
        <v>600</v>
      </c>
      <c r="H126" s="153"/>
      <c r="I126" s="170"/>
      <c r="J126" s="156" t="s">
        <v>6914</v>
      </c>
      <c r="K126" s="156"/>
      <c r="L126" s="157" t="str">
        <f>IFERROR(__xludf.DUMMYFUNCTION("IF(
  AND(D126=""Saída"", J126=""Sangria""),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'""&amp;K126&amp;""'
             and Col6 = ""&amp;N126&amp;""
             and Col4 = date '""&amp;TEXT(C126,""yyyy-mm-dd"")&amp;""'""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'""&amp;K126&amp;""'
               and Col6 = ""&amp;N126&amp;""
               and Col4 = date '""&amp;TEXT(C126,""yyyy-mm-dd"")&amp;""'""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'""&amp;"&amp;"K126&amp;""'
                 and Col6 = ""&amp;N126&amp;""
                 and Col4 = date '""&amp;TEXT(C126,""yyyy-mm-dd"")&amp;""'""
            )
          )&gt;0,
          ""Confirmada"",
          ""Caixa Sangria""
        )
      )
    ),
    """"
  ),
  """"
)
"),"")</f>
        <v/>
      </c>
      <c r="M126" s="207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159">
        <f>IFERROR(__xludf.DUMMYFUNCTION("ifna(VALUE(REGEXEXTRACT(E126,""[0-9.]+[,]+[0-9]+"")))"),11.0)</f>
        <v>11</v>
      </c>
      <c r="O126" s="185"/>
      <c r="P126" s="194"/>
      <c r="Q126" s="185"/>
      <c r="R126" s="187"/>
      <c r="S126" s="185"/>
      <c r="V126" s="185"/>
      <c r="W126" s="159"/>
    </row>
    <row r="127" ht="14.25" customHeight="1">
      <c r="A127" s="149"/>
      <c r="B127" s="13">
        <v>2177149.0</v>
      </c>
      <c r="C127" s="14">
        <v>46154.58918981482</v>
      </c>
      <c r="D127" s="210" t="s">
        <v>101</v>
      </c>
      <c r="E127" s="211" t="s">
        <v>603</v>
      </c>
      <c r="F127" s="212"/>
      <c r="G127" s="210" t="s">
        <v>393</v>
      </c>
      <c r="H127" s="153"/>
      <c r="I127" s="170"/>
      <c r="J127" s="156" t="s">
        <v>12658</v>
      </c>
      <c r="K127" s="156" t="s">
        <v>13763</v>
      </c>
      <c r="L127" s="157" t="str">
        <f>IFERROR(__xludf.DUMMYFUNCTION("IF(
  AND(D127=""Saída"", J127=""Sangria""),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'""&amp;K127&amp;""'
             and Col6 = ""&amp;N127&amp;""
             and Col4 = date '""&amp;TEXT(C127,""yyyy-mm-dd"")&amp;""'""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'""&amp;K127&amp;""'
               and Col6 = ""&amp;N127&amp;""
               and Col4 = date '""&amp;TEXT(C127,""yyyy-mm-dd"")&amp;""'""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'""&amp;"&amp;"K127&amp;""'
                 and Col6 = ""&amp;N127&amp;""
                 and Col4 = date '""&amp;TEXT(C127,""yyyy-mm-dd"")&amp;""'""
            )
          )&gt;0,
          ""Confirmada"",
          ""Caixa Sangria""
        )
      )
    ),
    """"
  ),
  """"
)
"),"")</f>
        <v/>
      </c>
      <c r="M127" s="209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159">
        <f>IFERROR(__xludf.DUMMYFUNCTION("ifna(VALUE(REGEXEXTRACT(E127,""[0-9.]+[,]+[0-9]+"")))"),24.5)</f>
        <v>24.5</v>
      </c>
      <c r="O127" s="188"/>
      <c r="P127" s="193"/>
      <c r="Q127" s="188"/>
      <c r="R127" s="188"/>
      <c r="S127" s="188"/>
      <c r="V127" s="188"/>
      <c r="W127" s="159"/>
    </row>
    <row r="128" ht="14.25" customHeight="1">
      <c r="A128" s="149"/>
      <c r="B128" s="13">
        <v>2177437.0</v>
      </c>
      <c r="C128" s="14">
        <v>46154.721608796295</v>
      </c>
      <c r="D128" s="210" t="s">
        <v>101</v>
      </c>
      <c r="E128" s="211" t="s">
        <v>231</v>
      </c>
      <c r="F128" s="212"/>
      <c r="G128" s="210" t="s">
        <v>133</v>
      </c>
      <c r="H128" s="153"/>
      <c r="I128" s="170"/>
      <c r="J128" s="156" t="s">
        <v>6914</v>
      </c>
      <c r="K128" s="156"/>
      <c r="L128" s="157" t="str">
        <f>IFERROR(__xludf.DUMMYFUNCTION("IF(
  AND(D128=""Saída"", J128=""Sangria""),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'""&amp;K128&amp;""'
             and Col6 = ""&amp;N128&amp;""
             and Col4 = date '""&amp;TEXT(C128,""yyyy-mm-dd"")&amp;""'""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'""&amp;K128&amp;""'
               and Col6 = ""&amp;N128&amp;""
               and Col4 = date '""&amp;TEXT(C128,""yyyy-mm-dd"")&amp;""'""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'""&amp;"&amp;"K128&amp;""'
                 and Col6 = ""&amp;N128&amp;""
                 and Col4 = date '""&amp;TEXT(C128,""yyyy-mm-dd"")&amp;""'""
            )
          )&gt;0,
          ""Confirmada"",
          ""Caixa Sangria""
        )
      )
    ),
    """"
  ),
  """"
)
"),"")</f>
        <v/>
      </c>
      <c r="M128" s="207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159">
        <f>IFERROR(__xludf.DUMMYFUNCTION("ifna(VALUE(REGEXEXTRACT(E128,""[0-9.]+[,]+[0-9]+"")))"),10.0)</f>
        <v>10</v>
      </c>
      <c r="O128" s="185"/>
      <c r="P128" s="194"/>
      <c r="Q128" s="185"/>
      <c r="R128" s="185"/>
      <c r="S128" s="185"/>
      <c r="V128" s="185"/>
      <c r="W128" s="159"/>
    </row>
    <row r="129" ht="14.25" customHeight="1">
      <c r="A129" s="149"/>
      <c r="B129" s="13">
        <v>2177450.0</v>
      </c>
      <c r="C129" s="14">
        <v>46154.72902777778</v>
      </c>
      <c r="D129" s="210" t="s">
        <v>101</v>
      </c>
      <c r="E129" s="211" t="s">
        <v>256</v>
      </c>
      <c r="F129" s="212"/>
      <c r="G129" s="210" t="s">
        <v>612</v>
      </c>
      <c r="H129" s="153"/>
      <c r="I129" s="170"/>
      <c r="J129" s="156" t="s">
        <v>12778</v>
      </c>
      <c r="K129" s="156" t="s">
        <v>11866</v>
      </c>
      <c r="L129" s="157" t="str">
        <f>IFERROR(__xludf.DUMMYFUNCTION("IF(
  AND(D129=""Saída"", J129=""Sangria""),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'""&amp;K129&amp;""'
             and Col6 = ""&amp;N129&amp;""
             and Col4 = date '""&amp;TEXT(C129,""yyyy-mm-dd"")&amp;""'""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'""&amp;K129&amp;""'
               and Col6 = ""&amp;N129&amp;""
               and Col4 = date '""&amp;TEXT(C129,""yyyy-mm-dd"")&amp;""'""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'""&amp;"&amp;"K129&amp;""'
                 and Col6 = ""&amp;N129&amp;""
                 and Col4 = date '""&amp;TEXT(C129,""yyyy-mm-dd"")&amp;""'""
            )
          )&gt;0,
          ""Confirmada"",
          ""Caixa Sangria""
        )
      )
    ),
    """"
  ),
  """"
)
"),"Caixa Sangria")</f>
        <v>Caixa Sangria</v>
      </c>
      <c r="M129" s="209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159">
        <f>IFERROR(__xludf.DUMMYFUNCTION("ifna(VALUE(REGEXEXTRACT(E129,""[0-9.]+[,]+[0-9]+"")))"),300.0)</f>
        <v>300</v>
      </c>
      <c r="O129" s="188"/>
      <c r="P129" s="193"/>
      <c r="Q129" s="188"/>
      <c r="R129" s="188"/>
      <c r="S129" s="188"/>
      <c r="V129" s="188"/>
      <c r="W129" s="159"/>
    </row>
    <row r="130" ht="14.25" customHeight="1">
      <c r="A130" s="149"/>
      <c r="B130" s="13">
        <v>2177524.0</v>
      </c>
      <c r="C130" s="14">
        <v>46154.75795138889</v>
      </c>
      <c r="D130" s="210" t="s">
        <v>101</v>
      </c>
      <c r="E130" s="211" t="s">
        <v>615</v>
      </c>
      <c r="F130" s="212"/>
      <c r="G130" s="210" t="s">
        <v>494</v>
      </c>
      <c r="H130" s="170"/>
      <c r="I130" s="170"/>
      <c r="J130" s="156" t="s">
        <v>12658</v>
      </c>
      <c r="K130" s="156" t="s">
        <v>13760</v>
      </c>
      <c r="L130" s="157" t="str">
        <f>IFERROR(__xludf.DUMMYFUNCTION("IF(
  AND(D130=""Saída"", J130=""Sangria""),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'""&amp;K130&amp;""'
             and Col6 = ""&amp;N130&amp;""
             and Col4 = date '""&amp;TEXT(C130,""yyyy-mm-dd"")&amp;""'""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'""&amp;K130&amp;""'
               and Col6 = ""&amp;N130&amp;""
               and Col4 = date '""&amp;TEXT(C130,""yyyy-mm-dd"")&amp;""'""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'""&amp;"&amp;"K130&amp;""'
                 and Col6 = ""&amp;N130&amp;""
                 and Col4 = date '""&amp;TEXT(C130,""yyyy-mm-dd"")&amp;""'""
            )
          )&gt;0,
          ""Confirmada"",
          ""Caixa Sangria""
        )
      )
    ),
    """"
  ),
  """"
)
"),"")</f>
        <v/>
      </c>
      <c r="M130" s="207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159">
        <f>IFERROR(__xludf.DUMMYFUNCTION("ifna(VALUE(REGEXEXTRACT(E130,""[0-9.]+[,]+[0-9]+"")))"),18.0)</f>
        <v>18</v>
      </c>
      <c r="O130" s="185"/>
      <c r="P130" s="194"/>
      <c r="Q130" s="185"/>
      <c r="R130" s="185"/>
      <c r="S130" s="185"/>
      <c r="V130" s="185"/>
      <c r="W130" s="159"/>
    </row>
    <row r="131" ht="14.25" customHeight="1">
      <c r="A131" s="149"/>
      <c r="B131" s="13">
        <v>2177705.0</v>
      </c>
      <c r="C131" s="14">
        <v>46154.85118055555</v>
      </c>
      <c r="D131" s="210" t="s">
        <v>101</v>
      </c>
      <c r="E131" s="211" t="s">
        <v>246</v>
      </c>
      <c r="F131" s="212"/>
      <c r="G131" s="210" t="s">
        <v>225</v>
      </c>
      <c r="H131" s="170"/>
      <c r="I131" s="170"/>
      <c r="J131" s="156" t="s">
        <v>12658</v>
      </c>
      <c r="K131" s="156" t="s">
        <v>12693</v>
      </c>
      <c r="L131" s="157" t="str">
        <f>IFERROR(__xludf.DUMMYFUNCTION("IF(
  AND(D131=""Saída"", J131=""Sangria""),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'""&amp;K131&amp;""'
             and Col6 = ""&amp;N131&amp;""
             and Col4 = date '""&amp;TEXT(C131,""yyyy-mm-dd"")&amp;""'""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'""&amp;K131&amp;""'
               and Col6 = ""&amp;N131&amp;""
               and Col4 = date '""&amp;TEXT(C131,""yyyy-mm-dd"")&amp;""'""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'""&amp;"&amp;"K131&amp;""'
                 and Col6 = ""&amp;N131&amp;""
                 and Col4 = date '""&amp;TEXT(C131,""yyyy-mm-dd"")&amp;""'""
            )
          )&gt;0,
          ""Confirmada"",
          ""Caixa Sangria""
        )
      )
    ),
    """"
  ),
  """"
)
"),"")</f>
        <v/>
      </c>
      <c r="M131" s="209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159">
        <f>IFERROR(__xludf.DUMMYFUNCTION("ifna(VALUE(REGEXEXTRACT(E131,""[0-9.]+[,]+[0-9]+"")))"),30.0)</f>
        <v>30</v>
      </c>
      <c r="O131" s="188"/>
      <c r="P131" s="196"/>
      <c r="Q131" s="188"/>
      <c r="R131" s="188"/>
      <c r="S131" s="188"/>
      <c r="V131" s="188"/>
      <c r="W131" s="159"/>
    </row>
    <row r="132" ht="14.25" customHeight="1">
      <c r="A132" s="149"/>
      <c r="B132" s="13">
        <v>2177748.0</v>
      </c>
      <c r="C132" s="14">
        <v>46154.8671875</v>
      </c>
      <c r="D132" s="210" t="s">
        <v>101</v>
      </c>
      <c r="E132" s="211" t="s">
        <v>599</v>
      </c>
      <c r="F132" s="212"/>
      <c r="G132" s="210" t="s">
        <v>600</v>
      </c>
      <c r="H132" s="170"/>
      <c r="I132" s="170"/>
      <c r="J132" s="156" t="s">
        <v>6914</v>
      </c>
      <c r="K132" s="156"/>
      <c r="L132" s="157" t="str">
        <f>IFERROR(__xludf.DUMMYFUNCTION("IF(
  AND(D132=""Saída"", J132=""Sangria""),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'""&amp;K132&amp;""'
             and Col6 = ""&amp;N132&amp;""
             and Col4 = date '""&amp;TEXT(C132,""yyyy-mm-dd"")&amp;""'""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'""&amp;K132&amp;""'
               and Col6 = ""&amp;N132&amp;""
               and Col4 = date '""&amp;TEXT(C132,""yyyy-mm-dd"")&amp;""'""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'""&amp;"&amp;"K132&amp;""'
                 and Col6 = ""&amp;N132&amp;""
                 and Col4 = date '""&amp;TEXT(C132,""yyyy-mm-dd"")&amp;""'""
            )
          )&gt;0,
          ""Confirmada"",
          ""Caixa Sangria""
        )
      )
    ),
    """"
  ),
  """"
)
"),"")</f>
        <v/>
      </c>
      <c r="M132" s="207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159">
        <f>IFERROR(__xludf.DUMMYFUNCTION("ifna(VALUE(REGEXEXTRACT(E132,""[0-9.]+[,]+[0-9]+"")))"),11.0)</f>
        <v>11</v>
      </c>
      <c r="O132" s="185"/>
      <c r="P132" s="194"/>
      <c r="Q132" s="185"/>
      <c r="R132" s="185"/>
      <c r="S132" s="185"/>
      <c r="V132" s="185"/>
      <c r="W132" s="159"/>
    </row>
    <row r="133" ht="14.25" customHeight="1">
      <c r="A133" s="149"/>
      <c r="B133" s="13">
        <v>2178610.0</v>
      </c>
      <c r="C133" s="14">
        <v>46155.72678240741</v>
      </c>
      <c r="D133" s="210" t="s">
        <v>101</v>
      </c>
      <c r="E133" s="211" t="s">
        <v>141</v>
      </c>
      <c r="F133" s="212"/>
      <c r="G133" s="210" t="s">
        <v>629</v>
      </c>
      <c r="H133" s="170"/>
      <c r="I133" s="170"/>
      <c r="J133" s="156" t="s">
        <v>6914</v>
      </c>
      <c r="K133" s="156"/>
      <c r="L133" s="157" t="str">
        <f>IFERROR(__xludf.DUMMYFUNCTION("IF(
  AND(D133=""Saída"", J133=""Sangria""),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'""&amp;K133&amp;""'
             and Col6 = ""&amp;N133&amp;""
             and Col4 = date '""&amp;TEXT(C133,""yyyy-mm-dd"")&amp;""'""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'""&amp;K133&amp;""'
               and Col6 = ""&amp;N133&amp;""
               and Col4 = date '""&amp;TEXT(C133,""yyyy-mm-dd"")&amp;""'""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'""&amp;"&amp;"K133&amp;""'
                 and Col6 = ""&amp;N133&amp;""
                 and Col4 = date '""&amp;TEXT(C133,""yyyy-mm-dd"")&amp;""'""
            )
          )&gt;0,
          ""Confirmada"",
          ""Caixa Sangria""
        )
      )
    ),
    """"
  ),
  """"
)
"),"")</f>
        <v/>
      </c>
      <c r="M133" s="209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159">
        <f>IFERROR(__xludf.DUMMYFUNCTION("ifna(VALUE(REGEXEXTRACT(E133,""[0-9.]+[,]+[0-9]+"")))"),50.0)</f>
        <v>50</v>
      </c>
      <c r="O133" s="188"/>
      <c r="P133" s="193"/>
      <c r="Q133" s="188"/>
      <c r="R133" s="188"/>
      <c r="S133" s="188"/>
      <c r="V133" s="188"/>
      <c r="W133" s="159"/>
    </row>
    <row r="134" ht="14.25" customHeight="1">
      <c r="A134" s="149"/>
      <c r="B134" s="13">
        <v>2178900.0</v>
      </c>
      <c r="C134" s="14">
        <v>46155.865266203706</v>
      </c>
      <c r="D134" s="210" t="s">
        <v>101</v>
      </c>
      <c r="E134" s="211" t="s">
        <v>398</v>
      </c>
      <c r="F134" s="212"/>
      <c r="G134" s="210" t="s">
        <v>600</v>
      </c>
      <c r="H134" s="170"/>
      <c r="I134" s="170"/>
      <c r="J134" s="156" t="s">
        <v>6914</v>
      </c>
      <c r="K134" s="156"/>
      <c r="L134" s="157" t="str">
        <f>IFERROR(__xludf.DUMMYFUNCTION("IF(
  AND(D134=""Saída"", J134=""Sangria""),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'""&amp;K134&amp;""'
             and Col6 = ""&amp;N134&amp;""
             and Col4 = date '""&amp;TEXT(C134,""yyyy-mm-dd"")&amp;""'""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'""&amp;K134&amp;""'
               and Col6 = ""&amp;N134&amp;""
               and Col4 = date '""&amp;TEXT(C134,""yyyy-mm-dd"")&amp;""'""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'""&amp;"&amp;"K134&amp;""'
                 and Col6 = ""&amp;N134&amp;""
                 and Col4 = date '""&amp;TEXT(C134,""yyyy-mm-dd"")&amp;""'""
            )
          )&gt;0,
          ""Confirmada"",
          ""Caixa Sangria""
        )
      )
    ),
    """"
  ),
  """"
)
"),"")</f>
        <v/>
      </c>
      <c r="M134" s="207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159">
        <f>IFERROR(__xludf.DUMMYFUNCTION("ifna(VALUE(REGEXEXTRACT(E134,""[0-9.]+[,]+[0-9]+"")))"),12.0)</f>
        <v>12</v>
      </c>
      <c r="O134" s="185"/>
      <c r="P134" s="194"/>
      <c r="Q134" s="185"/>
      <c r="R134" s="185"/>
      <c r="S134" s="185"/>
      <c r="V134" s="185"/>
      <c r="W134" s="159"/>
    </row>
    <row r="135" ht="14.25" customHeight="1">
      <c r="A135" s="149"/>
      <c r="B135" s="13">
        <v>2179854.0</v>
      </c>
      <c r="C135" s="14">
        <v>46156.72292824074</v>
      </c>
      <c r="D135" s="210" t="s">
        <v>101</v>
      </c>
      <c r="E135" s="211" t="s">
        <v>637</v>
      </c>
      <c r="F135" s="212"/>
      <c r="G135" s="210" t="s">
        <v>133</v>
      </c>
      <c r="H135" s="170"/>
      <c r="I135" s="170"/>
      <c r="J135" s="156" t="s">
        <v>6914</v>
      </c>
      <c r="K135" s="156"/>
      <c r="L135" s="157" t="str">
        <f>IFERROR(__xludf.DUMMYFUNCTION("IF(
  AND(D135=""Saída"", J135=""Sangria""),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'""&amp;K135&amp;""'
             and Col6 = ""&amp;N135&amp;""
             and Col4 = date '""&amp;TEXT(C135,""yyyy-mm-dd"")&amp;""'""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'""&amp;K135&amp;""'
               and Col6 = ""&amp;N135&amp;""
               and Col4 = date '""&amp;TEXT(C135,""yyyy-mm-dd"")&amp;""'""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'""&amp;"&amp;"K135&amp;""'
                 and Col6 = ""&amp;N135&amp;""
                 and Col4 = date '""&amp;TEXT(C135,""yyyy-mm-dd"")&amp;""'""
            )
          )&gt;0,
          ""Confirmada"",
          ""Caixa Sangria""
        )
      )
    ),
    """"
  ),
  """"
)
"),"")</f>
        <v/>
      </c>
      <c r="M135" s="209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159">
        <f>IFERROR(__xludf.DUMMYFUNCTION("ifna(VALUE(REGEXEXTRACT(E135,""[0-9.]+[,]+[0-9]+"")))"),41.0)</f>
        <v>41</v>
      </c>
      <c r="O135" s="188"/>
      <c r="P135" s="193"/>
      <c r="Q135" s="188"/>
      <c r="R135" s="188"/>
      <c r="S135" s="188"/>
      <c r="V135" s="188"/>
      <c r="W135" s="159"/>
    </row>
    <row r="136" ht="14.25" customHeight="1">
      <c r="A136" s="149"/>
      <c r="B136" s="13">
        <v>2179874.0</v>
      </c>
      <c r="C136" s="14">
        <v>46156.73037037037</v>
      </c>
      <c r="D136" s="210" t="s">
        <v>101</v>
      </c>
      <c r="E136" s="211" t="s">
        <v>237</v>
      </c>
      <c r="F136" s="212"/>
      <c r="G136" s="210" t="s">
        <v>642</v>
      </c>
      <c r="H136" s="170"/>
      <c r="I136" s="170"/>
      <c r="J136" s="156" t="s">
        <v>12778</v>
      </c>
      <c r="K136" s="156" t="s">
        <v>11866</v>
      </c>
      <c r="L136" s="157" t="str">
        <f>IFERROR(__xludf.DUMMYFUNCTION("IF(
  AND(D136=""Saída"", J136=""Sangria""),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'""&amp;K136&amp;""'
             and Col6 = ""&amp;N136&amp;""
             and Col4 = date '""&amp;TEXT(C136,""yyyy-mm-dd"")&amp;""'""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'""&amp;K136&amp;""'
               and Col6 = ""&amp;N136&amp;""
               and Col4 = date '""&amp;TEXT(C136,""yyyy-mm-dd"")&amp;""'""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'""&amp;"&amp;"K136&amp;""'
                 and Col6 = ""&amp;N136&amp;""
                 and Col4 = date '""&amp;TEXT(C136,""yyyy-mm-dd"")&amp;""'""
            )
          )&gt;0,
          ""Confirmada"",
          ""Caixa Sangria""
        )
      )
    ),
    """"
  ),
  """"
)
"),"Confirmada")</f>
        <v>Confirmada</v>
      </c>
      <c r="M136" s="207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159">
        <f>IFERROR(__xludf.DUMMYFUNCTION("ifna(VALUE(REGEXEXTRACT(E136,""[0-9.]+[,]+[0-9]+"")))"),100.0)</f>
        <v>100</v>
      </c>
      <c r="O136" s="185"/>
      <c r="P136" s="194"/>
      <c r="Q136" s="185"/>
      <c r="R136" s="185"/>
      <c r="S136" s="185"/>
      <c r="V136" s="185"/>
      <c r="W136" s="159"/>
    </row>
    <row r="137" ht="14.25" customHeight="1">
      <c r="A137" s="149"/>
      <c r="B137" s="13">
        <v>2180193.0</v>
      </c>
      <c r="C137" s="14">
        <v>46156.86922453704</v>
      </c>
      <c r="D137" s="210" t="s">
        <v>101</v>
      </c>
      <c r="E137" s="211" t="s">
        <v>526</v>
      </c>
      <c r="F137" s="212"/>
      <c r="G137" s="210" t="s">
        <v>600</v>
      </c>
      <c r="H137" s="170"/>
      <c r="I137" s="170"/>
      <c r="J137" s="156" t="s">
        <v>6914</v>
      </c>
      <c r="K137" s="156"/>
      <c r="L137" s="157" t="str">
        <f>IFERROR(__xludf.DUMMYFUNCTION("IF(
  AND(D137=""Saída"", J137=""Sangria""),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'""&amp;K137&amp;""'
             and Col6 = ""&amp;N137&amp;""
             and Col4 = date '""&amp;TEXT(C137,""yyyy-mm-dd"")&amp;""'""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'""&amp;K137&amp;""'
               and Col6 = ""&amp;N137&amp;""
               and Col4 = date '""&amp;TEXT(C137,""yyyy-mm-dd"")&amp;""'""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'""&amp;"&amp;"K137&amp;""'
                 and Col6 = ""&amp;N137&amp;""
                 and Col4 = date '""&amp;TEXT(C137,""yyyy-mm-dd"")&amp;""'""
            )
          )&gt;0,
          ""Confirmada"",
          ""Caixa Sangria""
        )
      )
    ),
    """"
  ),
  """"
)
"),"")</f>
        <v/>
      </c>
      <c r="M137" s="209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159">
        <f>IFERROR(__xludf.DUMMYFUNCTION("ifna(VALUE(REGEXEXTRACT(E137,""[0-9.]+[,]+[0-9]+"")))"),21.0)</f>
        <v>21</v>
      </c>
      <c r="O137" s="188"/>
      <c r="P137" s="193"/>
      <c r="Q137" s="188"/>
      <c r="R137" s="188"/>
      <c r="S137" s="188"/>
      <c r="V137" s="188"/>
      <c r="W137" s="159"/>
    </row>
    <row r="138" ht="14.25" customHeight="1">
      <c r="A138" s="149"/>
      <c r="B138" s="13">
        <v>2180199.0</v>
      </c>
      <c r="C138" s="14">
        <v>46156.870671296296</v>
      </c>
      <c r="D138" s="210" t="s">
        <v>101</v>
      </c>
      <c r="E138" s="211" t="s">
        <v>649</v>
      </c>
      <c r="F138" s="212"/>
      <c r="G138" s="210" t="s">
        <v>574</v>
      </c>
      <c r="H138" s="170"/>
      <c r="I138" s="170"/>
      <c r="J138" s="156" t="s">
        <v>12658</v>
      </c>
      <c r="K138" s="156" t="s">
        <v>13763</v>
      </c>
      <c r="L138" s="157" t="str">
        <f>IFERROR(__xludf.DUMMYFUNCTION("IF(
  AND(D138=""Saída"", J138=""Sangria""),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'""&amp;K138&amp;""'
             and Col6 = ""&amp;N138&amp;""
             and Col4 = date '""&amp;TEXT(C138,""yyyy-mm-dd"")&amp;""'""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'""&amp;K138&amp;""'
               and Col6 = ""&amp;N138&amp;""
               and Col4 = date '""&amp;TEXT(C138,""yyyy-mm-dd"")&amp;""'""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'""&amp;"&amp;"K138&amp;""'
                 and Col6 = ""&amp;N138&amp;""
                 and Col4 = date '""&amp;TEXT(C138,""yyyy-mm-dd"")&amp;""'""
            )
          )&gt;0,
          ""Confirmada"",
          ""Caixa Sangria""
        )
      )
    ),
    """"
  ),
  """"
)
"),"")</f>
        <v/>
      </c>
      <c r="M138" s="207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159">
        <f>IFERROR(__xludf.DUMMYFUNCTION("ifna(VALUE(REGEXEXTRACT(E138,""[0-9.]+[,]+[0-9]+"")))"),60.7)</f>
        <v>60.7</v>
      </c>
      <c r="O138" s="185"/>
      <c r="P138" s="194"/>
      <c r="Q138" s="185"/>
      <c r="R138" s="185"/>
      <c r="S138" s="185"/>
      <c r="V138" s="185"/>
      <c r="W138" s="159"/>
    </row>
    <row r="139" ht="14.25" customHeight="1">
      <c r="A139" s="149"/>
      <c r="B139" s="13">
        <v>2180200.0</v>
      </c>
      <c r="C139" s="14">
        <v>46156.87070601852</v>
      </c>
      <c r="D139" s="210" t="s">
        <v>101</v>
      </c>
      <c r="E139" s="211" t="s">
        <v>649</v>
      </c>
      <c r="F139" s="212"/>
      <c r="G139" s="210" t="s">
        <v>574</v>
      </c>
      <c r="H139" s="170"/>
      <c r="I139" s="170"/>
      <c r="J139" s="156"/>
      <c r="K139" s="156"/>
      <c r="L139" s="157" t="str">
        <f>IFERROR(__xludf.DUMMYFUNCTION("IF(
  AND(D139=""Saída"", J139=""Sangria""),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'""&amp;K139&amp;""'
             and Col6 = ""&amp;N139&amp;""
             and Col4 = date '""&amp;TEXT(C139,""yyyy-mm-dd"")&amp;""'""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'""&amp;K139&amp;""'
               and Col6 = ""&amp;N139&amp;""
               and Col4 = date '""&amp;TEXT(C139,""yyyy-mm-dd"")&amp;""'""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'""&amp;"&amp;"K139&amp;""'
                 and Col6 = ""&amp;N139&amp;""
                 and Col4 = date '""&amp;TEXT(C139,""yyyy-mm-dd"")&amp;""'""
            )
          )&gt;0,
          ""Confirmada"",
          ""Caixa Sangria""
        )
      )
    ),
    """"
  ),
  """"
)
"),"")</f>
        <v/>
      </c>
      <c r="M139" s="209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159">
        <f>IFERROR(__xludf.DUMMYFUNCTION("ifna(VALUE(REGEXEXTRACT(E139,""[0-9.]+[,]+[0-9]+"")))"),60.7)</f>
        <v>60.7</v>
      </c>
      <c r="O139" s="188"/>
      <c r="P139" s="193"/>
      <c r="Q139" s="188"/>
      <c r="R139" s="188"/>
      <c r="S139" s="188"/>
      <c r="V139" s="188"/>
      <c r="W139" s="159"/>
    </row>
    <row r="140" ht="14.25" customHeight="1">
      <c r="A140" s="149"/>
      <c r="B140" s="13">
        <v>2180211.0</v>
      </c>
      <c r="C140" s="14">
        <v>46156.87540509259</v>
      </c>
      <c r="D140" s="210" t="s">
        <v>139</v>
      </c>
      <c r="E140" s="211" t="s">
        <v>649</v>
      </c>
      <c r="F140" s="212"/>
      <c r="G140" s="210" t="s">
        <v>659</v>
      </c>
      <c r="H140" s="170"/>
      <c r="I140" s="170"/>
      <c r="J140" s="156"/>
      <c r="K140" s="156"/>
      <c r="L140" s="157" t="str">
        <f>IFERROR(__xludf.DUMMYFUNCTION("IF(
  AND(D140=""Saída"", J140=""Sangria""),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'""&amp;K140&amp;""'
             and Col6 = ""&amp;N140&amp;""
             and Col4 = date '""&amp;TEXT(C140,""yyyy-mm-dd"")&amp;""'""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'""&amp;K140&amp;""'
               and Col6 = ""&amp;N140&amp;""
               and Col4 = date '""&amp;TEXT(C140,""yyyy-mm-dd"")&amp;""'""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'""&amp;"&amp;"K140&amp;""'
                 and Col6 = ""&amp;N140&amp;""
                 and Col4 = date '""&amp;TEXT(C140,""yyyy-mm-dd"")&amp;""'""
            )
          )&gt;0,
          ""Confirmada"",
          ""Caixa Sangria""
        )
      )
    ),
    """"
  ),
  """"
)
"),"")</f>
        <v/>
      </c>
      <c r="M140" s="207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159">
        <f>IFERROR(__xludf.DUMMYFUNCTION("ifna(VALUE(REGEXEXTRACT(E140,""[0-9.]+[,]+[0-9]+"")))"),60.7)</f>
        <v>60.7</v>
      </c>
      <c r="O140" s="185"/>
      <c r="P140" s="194"/>
      <c r="Q140" s="185"/>
      <c r="R140" s="185"/>
      <c r="S140" s="185"/>
      <c r="V140" s="185"/>
      <c r="W140" s="159"/>
    </row>
    <row r="141" ht="14.25" customHeight="1">
      <c r="A141" s="149"/>
      <c r="B141" s="13">
        <v>2181308.0</v>
      </c>
      <c r="C141" s="14">
        <v>46157.76415509259</v>
      </c>
      <c r="D141" s="210" t="s">
        <v>101</v>
      </c>
      <c r="E141" s="211" t="s">
        <v>288</v>
      </c>
      <c r="F141" s="212"/>
      <c r="G141" s="210" t="s">
        <v>133</v>
      </c>
      <c r="H141" s="170"/>
      <c r="I141" s="170"/>
      <c r="J141" s="156" t="s">
        <v>6914</v>
      </c>
      <c r="K141" s="156"/>
      <c r="L141" s="157" t="str">
        <f>IFERROR(__xludf.DUMMYFUNCTION("IF(
  AND(D141=""Saída"", J141=""Sangria""),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'""&amp;K141&amp;""'
             and Col6 = ""&amp;N141&amp;""
             and Col4 = date '""&amp;TEXT(C141,""yyyy-mm-dd"")&amp;""'""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'""&amp;K141&amp;""'
               and Col6 = ""&amp;N141&amp;""
               and Col4 = date '""&amp;TEXT(C141,""yyyy-mm-dd"")&amp;""'""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'""&amp;"&amp;"K141&amp;""'
                 and Col6 = ""&amp;N141&amp;""
                 and Col4 = date '""&amp;TEXT(C141,""yyyy-mm-dd"")&amp;""'""
            )
          )&gt;0,
          ""Confirmada"",
          ""Caixa Sangria""
        )
      )
    ),
    """"
  ),
  """"
)
"),"")</f>
        <v/>
      </c>
      <c r="M141" s="209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159">
        <f>IFERROR(__xludf.DUMMYFUNCTION("ifna(VALUE(REGEXEXTRACT(E141,""[0-9.]+[,]+[0-9]+"")))"),23.0)</f>
        <v>23</v>
      </c>
      <c r="O141" s="188"/>
      <c r="P141" s="193"/>
      <c r="Q141" s="188"/>
      <c r="R141" s="188"/>
      <c r="S141" s="188"/>
      <c r="V141" s="188"/>
      <c r="W141" s="159"/>
    </row>
    <row r="142" ht="14.25" customHeight="1">
      <c r="A142" s="149"/>
      <c r="B142" s="13">
        <v>2181317.0</v>
      </c>
      <c r="C142" s="14">
        <v>46157.76684027778</v>
      </c>
      <c r="D142" s="210" t="s">
        <v>139</v>
      </c>
      <c r="E142" s="211" t="s">
        <v>179</v>
      </c>
      <c r="F142" s="212"/>
      <c r="G142" s="210" t="s">
        <v>142</v>
      </c>
      <c r="H142" s="170"/>
      <c r="I142" s="170"/>
      <c r="J142" s="156" t="s">
        <v>12952</v>
      </c>
      <c r="K142" s="156"/>
      <c r="L142" s="157" t="str">
        <f>IFERROR(__xludf.DUMMYFUNCTION("IF(
  AND(D142=""Saída"", J142=""Sangria""),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'""&amp;K142&amp;""'
             and Col6 = ""&amp;N142&amp;""
             and Col4 = date '""&amp;TEXT(C142,""yyyy-mm-dd"")&amp;""'""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'""&amp;K142&amp;""'
               and Col6 = ""&amp;N142&amp;""
               and Col4 = date '""&amp;TEXT(C142,""yyyy-mm-dd"")&amp;""'""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'""&amp;"&amp;"K142&amp;""'
                 and Col6 = ""&amp;N142&amp;""
                 and Col4 = date '""&amp;TEXT(C142,""yyyy-mm-dd"")&amp;""'""
            )
          )&gt;0,
          ""Confirmada"",
          ""Caixa Sangria""
        )
      )
    ),
    """"
  ),
  """"
)
"),"")</f>
        <v/>
      </c>
      <c r="M142" s="207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159">
        <f>IFERROR(__xludf.DUMMYFUNCTION("ifna(VALUE(REGEXEXTRACT(E142,""[0-9.]+[,]+[0-9]+"")))"),20.0)</f>
        <v>20</v>
      </c>
      <c r="O142" s="185"/>
      <c r="P142" s="194"/>
      <c r="Q142" s="185"/>
      <c r="R142" s="185"/>
      <c r="S142" s="185"/>
      <c r="V142" s="185"/>
      <c r="W142" s="159"/>
    </row>
    <row r="143" ht="14.25" customHeight="1">
      <c r="A143" s="149"/>
      <c r="B143" s="13">
        <v>2181318.0</v>
      </c>
      <c r="C143" s="14">
        <v>46157.767164351855</v>
      </c>
      <c r="D143" s="210" t="s">
        <v>139</v>
      </c>
      <c r="E143" s="211" t="s">
        <v>161</v>
      </c>
      <c r="F143" s="212"/>
      <c r="G143" s="210" t="s">
        <v>272</v>
      </c>
      <c r="H143" s="170"/>
      <c r="I143" s="170"/>
      <c r="J143" s="156" t="s">
        <v>12952</v>
      </c>
      <c r="K143" s="156"/>
      <c r="L143" s="157" t="str">
        <f>IFERROR(__xludf.DUMMYFUNCTION("IF(
  AND(D143=""Saída"", J143=""Sangria""),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'""&amp;K143&amp;""'
             and Col6 = ""&amp;N143&amp;""
             and Col4 = date '""&amp;TEXT(C143,""yyyy-mm-dd"")&amp;""'""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'""&amp;K143&amp;""'
               and Col6 = ""&amp;N143&amp;""
               and Col4 = date '""&amp;TEXT(C143,""yyyy-mm-dd"")&amp;""'""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'""&amp;"&amp;"K143&amp;""'
                 and Col6 = ""&amp;N143&amp;""
                 and Col4 = date '""&amp;TEXT(C143,""yyyy-mm-dd"")&amp;""'""
            )
          )&gt;0,
          ""Confirmada"",
          ""Caixa Sangria""
        )
      )
    ),
    """"
  ),
  """"
)
"),"")</f>
        <v/>
      </c>
      <c r="M143" s="209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159">
        <f>IFERROR(__xludf.DUMMYFUNCTION("ifna(VALUE(REGEXEXTRACT(E143,""[0-9.]+[,]+[0-9]+"")))"),60.0)</f>
        <v>60</v>
      </c>
      <c r="O143" s="188"/>
      <c r="P143" s="193"/>
      <c r="Q143" s="188"/>
      <c r="R143" s="188"/>
      <c r="S143" s="188"/>
      <c r="V143" s="188"/>
      <c r="W143" s="159"/>
    </row>
    <row r="144" ht="14.25" customHeight="1">
      <c r="A144" s="149"/>
      <c r="B144" s="13">
        <v>2181327.0</v>
      </c>
      <c r="C144" s="14">
        <v>46157.76871527778</v>
      </c>
      <c r="D144" s="210" t="s">
        <v>101</v>
      </c>
      <c r="E144" s="211" t="s">
        <v>681</v>
      </c>
      <c r="F144" s="212"/>
      <c r="G144" s="210" t="s">
        <v>684</v>
      </c>
      <c r="H144" s="170"/>
      <c r="I144" s="170"/>
      <c r="J144" s="156" t="s">
        <v>12818</v>
      </c>
      <c r="K144" s="156"/>
      <c r="L144" s="157" t="str">
        <f>IFERROR(__xludf.DUMMYFUNCTION("IF(
  AND(D144=""Saída"", J144=""Sangria""),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'""&amp;K144&amp;""'
             and Col6 = ""&amp;N144&amp;""
             and Col4 = date '""&amp;TEXT(C144,""yyyy-mm-dd"")&amp;""'""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'""&amp;K144&amp;""'
               and Col6 = ""&amp;N144&amp;""
               and Col4 = date '""&amp;TEXT(C144,""yyyy-mm-dd"")&amp;""'""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'""&amp;"&amp;"K144&amp;""'
                 and Col6 = ""&amp;N144&amp;""
                 and Col4 = date '""&amp;TEXT(C144,""yyyy-mm-dd"")&amp;""'""
            )
          )&gt;0,
          ""Confirmada"",
          ""Caixa Sangria""
        )
      )
    ),
    """"
  ),
  """"
)
"),"")</f>
        <v/>
      </c>
      <c r="M144" s="207" t="str">
        <f>IFERROR(__xludf.DUMMYFUNCTION("IF(J144=""Compra de Mercadorias"",
   IF(
      COUNTIF(ARRAYFORMULA(TRIM(CLEAN(TO_TEXT(Notas!BS:BS)))), TRIM(CLEAN(TO_TEXT(B144)))) &gt; 0,
      ""Encontrada"",
      ""Não Encontrada""
   ),
"""")"),"Não Encontrada")</f>
        <v>Não Encontrada</v>
      </c>
      <c r="N144" s="159">
        <f>IFERROR(__xludf.DUMMYFUNCTION("ifna(VALUE(REGEXEXTRACT(E144,""[0-9.]+[,]+[0-9]+"")))"),32.8)</f>
        <v>32.8</v>
      </c>
      <c r="O144" s="185"/>
      <c r="P144" s="194"/>
      <c r="Q144" s="185"/>
      <c r="R144" s="185"/>
      <c r="S144" s="185"/>
      <c r="V144" s="185"/>
      <c r="W144" s="159"/>
    </row>
    <row r="145" ht="14.25" customHeight="1">
      <c r="A145" s="149"/>
      <c r="B145" s="13">
        <v>2181328.0</v>
      </c>
      <c r="C145" s="14">
        <v>46157.7690162037</v>
      </c>
      <c r="D145" s="210" t="s">
        <v>101</v>
      </c>
      <c r="E145" s="211" t="s">
        <v>689</v>
      </c>
      <c r="F145" s="212"/>
      <c r="G145" s="210" t="s">
        <v>537</v>
      </c>
      <c r="H145" s="170"/>
      <c r="I145" s="170"/>
      <c r="J145" s="156" t="s">
        <v>12818</v>
      </c>
      <c r="K145" s="156"/>
      <c r="L145" s="157" t="str">
        <f>IFERROR(__xludf.DUMMYFUNCTION("IF(
  AND(D145=""Saída"", J145=""Sangria""),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'""&amp;K145&amp;""'
             and Col6 = ""&amp;N145&amp;""
             and Col4 = date '""&amp;TEXT(C145,""yyyy-mm-dd"")&amp;""'""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'""&amp;K145&amp;""'
               and Col6 = ""&amp;N145&amp;""
               and Col4 = date '""&amp;TEXT(C145,""yyyy-mm-dd"")&amp;""'""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'""&amp;"&amp;"K145&amp;""'
                 and Col6 = ""&amp;N145&amp;""
                 and Col4 = date '""&amp;TEXT(C145,""yyyy-mm-dd"")&amp;""'""
            )
          )&gt;0,
          ""Confirmada"",
          ""Caixa Sangria""
        )
      )
    ),
    """"
  ),
  """"
)
"),"")</f>
        <v/>
      </c>
      <c r="M145" s="209" t="str">
        <f>IFERROR(__xludf.DUMMYFUNCTION("IF(J145=""Compra de Mercadorias"",
   IF(
      COUNTIF(ARRAYFORMULA(TRIM(CLEAN(TO_TEXT(Notas!BS:BS)))), TRIM(CLEAN(TO_TEXT(B145)))) &gt; 0,
      ""Encontrada"",
      ""Não Encontrada""
   ),
"""")"),"Não Encontrada")</f>
        <v>Não Encontrada</v>
      </c>
      <c r="N145" s="159">
        <f>IFERROR(__xludf.DUMMYFUNCTION("ifna(VALUE(REGEXEXTRACT(E145,""[0-9.]+[,]+[0-9]+"")))"),51.9)</f>
        <v>51.9</v>
      </c>
      <c r="O145" s="188"/>
      <c r="P145" s="193"/>
      <c r="Q145" s="188"/>
      <c r="R145" s="188"/>
      <c r="S145" s="188"/>
      <c r="V145" s="188"/>
      <c r="W145" s="159"/>
    </row>
    <row r="146" ht="14.25" customHeight="1">
      <c r="A146" s="149"/>
      <c r="B146" s="13">
        <v>2181506.0</v>
      </c>
      <c r="C146" s="14">
        <v>46157.870046296295</v>
      </c>
      <c r="D146" s="210" t="s">
        <v>101</v>
      </c>
      <c r="E146" s="211" t="s">
        <v>599</v>
      </c>
      <c r="F146" s="212"/>
      <c r="G146" s="210" t="s">
        <v>512</v>
      </c>
      <c r="H146" s="170"/>
      <c r="I146" s="170"/>
      <c r="J146" s="156" t="s">
        <v>6914</v>
      </c>
      <c r="K146" s="156"/>
      <c r="L146" s="157" t="str">
        <f>IFERROR(__xludf.DUMMYFUNCTION("IF(
  AND(D146=""Saída"", J146=""Sangria""),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'""&amp;K146&amp;""'
             and Col6 = ""&amp;N146&amp;""
             and Col4 = date '""&amp;TEXT(C146,""yyyy-mm-dd"")&amp;""'""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'""&amp;K146&amp;""'
               and Col6 = ""&amp;N146&amp;""
               and Col4 = date '""&amp;TEXT(C146,""yyyy-mm-dd"")&amp;""'""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'""&amp;"&amp;"K146&amp;""'
                 and Col6 = ""&amp;N146&amp;""
                 and Col4 = date '""&amp;TEXT(C146,""yyyy-mm-dd"")&amp;""'""
            )
          )&gt;0,
          ""Confirmada"",
          ""Caixa Sangria""
        )
      )
    ),
    """"
  ),
  """"
)
"),"")</f>
        <v/>
      </c>
      <c r="M146" s="207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159">
        <f>IFERROR(__xludf.DUMMYFUNCTION("ifna(VALUE(REGEXEXTRACT(E146,""[0-9.]+[,]+[0-9]+"")))"),11.0)</f>
        <v>11</v>
      </c>
      <c r="O146" s="185"/>
      <c r="P146" s="194"/>
      <c r="Q146" s="185"/>
      <c r="R146" s="185"/>
      <c r="S146" s="185"/>
      <c r="V146" s="185"/>
      <c r="W146" s="159"/>
    </row>
    <row r="147" ht="14.25" customHeight="1">
      <c r="A147" s="149"/>
      <c r="B147" s="13">
        <v>2181507.0</v>
      </c>
      <c r="C147" s="14">
        <v>46157.870162037034</v>
      </c>
      <c r="D147" s="210" t="s">
        <v>101</v>
      </c>
      <c r="E147" s="211" t="s">
        <v>306</v>
      </c>
      <c r="F147" s="212"/>
      <c r="G147" s="210" t="s">
        <v>600</v>
      </c>
      <c r="H147" s="170"/>
      <c r="I147" s="170"/>
      <c r="J147" s="156" t="s">
        <v>6914</v>
      </c>
      <c r="K147" s="156"/>
      <c r="L147" s="157" t="str">
        <f>IFERROR(__xludf.DUMMYFUNCTION("IF(
  AND(D147=""Saída"", J147=""Sangria""),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'""&amp;K147&amp;""'
             and Col6 = ""&amp;N147&amp;""
             and Col4 = date '""&amp;TEXT(C147,""yyyy-mm-dd"")&amp;""'""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'""&amp;K147&amp;""'
               and Col6 = ""&amp;N147&amp;""
               and Col4 = date '""&amp;TEXT(C147,""yyyy-mm-dd"")&amp;""'""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'""&amp;"&amp;"K147&amp;""'
                 and Col6 = ""&amp;N147&amp;""
                 and Col4 = date '""&amp;TEXT(C147,""yyyy-mm-dd"")&amp;""'""
            )
          )&gt;0,
          ""Confirmada"",
          ""Caixa Sangria""
        )
      )
    ),
    """"
  ),
  """"
)
"),"")</f>
        <v/>
      </c>
      <c r="M147" s="209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159">
        <f>IFERROR(__xludf.DUMMYFUNCTION("ifna(VALUE(REGEXEXTRACT(E147,""[0-9.]+[,]+[0-9]+"")))"),22.0)</f>
        <v>22</v>
      </c>
      <c r="O147" s="188"/>
      <c r="P147" s="193"/>
      <c r="Q147" s="188"/>
      <c r="R147" s="188"/>
      <c r="S147" s="188"/>
      <c r="V147" s="188"/>
      <c r="W147" s="159"/>
    </row>
    <row r="148" ht="14.25" customHeight="1">
      <c r="A148" s="149"/>
      <c r="B148" s="13">
        <v>2181518.0</v>
      </c>
      <c r="C148" s="14">
        <v>46157.87337962963</v>
      </c>
      <c r="D148" s="210" t="s">
        <v>101</v>
      </c>
      <c r="E148" s="211" t="s">
        <v>615</v>
      </c>
      <c r="F148" s="212"/>
      <c r="G148" s="210" t="s">
        <v>334</v>
      </c>
      <c r="H148" s="170"/>
      <c r="I148" s="170"/>
      <c r="J148" s="156" t="s">
        <v>12658</v>
      </c>
      <c r="K148" s="156" t="s">
        <v>13760</v>
      </c>
      <c r="L148" s="157" t="str">
        <f>IFERROR(__xludf.DUMMYFUNCTION("IF(
  AND(D148=""Saída"", J148=""Sangria""),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'""&amp;K148&amp;""'
             and Col6 = ""&amp;N148&amp;""
             and Col4 = date '""&amp;TEXT(C148,""yyyy-mm-dd"")&amp;""'""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'""&amp;K148&amp;""'
               and Col6 = ""&amp;N148&amp;""
               and Col4 = date '""&amp;TEXT(C148,""yyyy-mm-dd"")&amp;""'""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'""&amp;"&amp;"K148&amp;""'
                 and Col6 = ""&amp;N148&amp;""
                 and Col4 = date '""&amp;TEXT(C148,""yyyy-mm-dd"")&amp;""'""
            )
          )&gt;0,
          ""Confirmada"",
          ""Caixa Sangria""
        )
      )
    ),
    """"
  ),
  """"
)
"),"")</f>
        <v/>
      </c>
      <c r="M148" s="207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159">
        <f>IFERROR(__xludf.DUMMYFUNCTION("ifna(VALUE(REGEXEXTRACT(E148,""[0-9.]+[,]+[0-9]+"")))"),18.0)</f>
        <v>18</v>
      </c>
      <c r="O148" s="185"/>
      <c r="P148" s="194"/>
      <c r="Q148" s="185"/>
      <c r="R148" s="185"/>
      <c r="S148" s="185"/>
      <c r="V148" s="185"/>
      <c r="W148" s="159"/>
    </row>
    <row r="149" ht="14.25" customHeight="1">
      <c r="A149" s="149"/>
      <c r="B149" s="13">
        <v>2182809.0</v>
      </c>
      <c r="C149" s="14">
        <v>46158.80100694444</v>
      </c>
      <c r="D149" s="210" t="s">
        <v>139</v>
      </c>
      <c r="E149" s="211" t="s">
        <v>141</v>
      </c>
      <c r="F149" s="212"/>
      <c r="G149" s="210" t="s">
        <v>272</v>
      </c>
      <c r="H149" s="170"/>
      <c r="I149" s="170"/>
      <c r="J149" s="156" t="s">
        <v>12952</v>
      </c>
      <c r="K149" s="156"/>
      <c r="L149" s="157" t="str">
        <f>IFERROR(__xludf.DUMMYFUNCTION("IF(
  AND(D149=""Saída"", J149=""Sangria""),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'""&amp;K149&amp;""'
             and Col6 = ""&amp;N149&amp;""
             and Col4 = date '""&amp;TEXT(C149,""yyyy-mm-dd"")&amp;""'""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'""&amp;K149&amp;""'
               and Col6 = ""&amp;N149&amp;""
               and Col4 = date '""&amp;TEXT(C149,""yyyy-mm-dd"")&amp;""'""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'""&amp;"&amp;"K149&amp;""'
                 and Col6 = ""&amp;N149&amp;""
                 and Col4 = date '""&amp;TEXT(C149,""yyyy-mm-dd"")&amp;""'""
            )
          )&gt;0,
          ""Confirmada"",
          ""Caixa Sangria""
        )
      )
    ),
    """"
  ),
  """"
)
"),"")</f>
        <v/>
      </c>
      <c r="M149" s="209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159">
        <f>IFERROR(__xludf.DUMMYFUNCTION("ifna(VALUE(REGEXEXTRACT(E149,""[0-9.]+[,]+[0-9]+"")))"),50.0)</f>
        <v>50</v>
      </c>
      <c r="O149" s="188"/>
      <c r="P149" s="193"/>
      <c r="Q149" s="188"/>
      <c r="R149" s="188"/>
      <c r="S149" s="188"/>
      <c r="V149" s="188"/>
      <c r="W149" s="159"/>
    </row>
    <row r="150" ht="14.25" customHeight="1">
      <c r="A150" s="149"/>
      <c r="B150" s="13">
        <v>2182819.0</v>
      </c>
      <c r="C150" s="14">
        <v>46158.80290509259</v>
      </c>
      <c r="D150" s="210" t="s">
        <v>101</v>
      </c>
      <c r="E150" s="211" t="s">
        <v>121</v>
      </c>
      <c r="F150" s="212"/>
      <c r="G150" s="210" t="s">
        <v>710</v>
      </c>
      <c r="H150" s="170"/>
      <c r="I150" s="170"/>
      <c r="J150" s="156" t="s">
        <v>10036</v>
      </c>
      <c r="K150" s="156"/>
      <c r="L150" s="157" t="str">
        <f>IFERROR(__xludf.DUMMYFUNCTION("IF(
  AND(D150=""Saída"", J150=""Sangria""),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'""&amp;K150&amp;""'
             and Col6 = ""&amp;N150&amp;""
             and Col4 = date '""&amp;TEXT(C150,""yyyy-mm-dd"")&amp;""'""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'""&amp;K150&amp;""'
               and Col6 = ""&amp;N150&amp;""
               and Col4 = date '""&amp;TEXT(C150,""yyyy-mm-dd"")&amp;""'""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'""&amp;"&amp;"K150&amp;""'
                 and Col6 = ""&amp;N150&amp;""
                 and Col4 = date '""&amp;TEXT(C150,""yyyy-mm-dd"")&amp;""'""
            )
          )&gt;0,
          ""Confirmada"",
          ""Caixa Sangria""
        )
      )
    ),
    """"
  ),
  """"
)
"),"")</f>
        <v/>
      </c>
      <c r="M150" s="207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159">
        <f>IFERROR(__xludf.DUMMYFUNCTION("ifna(VALUE(REGEXEXTRACT(E150,""[0-9.]+[,]+[0-9]+"")))"),135.0)</f>
        <v>135</v>
      </c>
      <c r="O150" s="185"/>
      <c r="P150" s="194"/>
      <c r="Q150" s="185"/>
      <c r="R150" s="185"/>
      <c r="S150" s="185"/>
      <c r="V150" s="185"/>
      <c r="W150" s="159"/>
    </row>
    <row r="151" ht="14.25" customHeight="1">
      <c r="A151" s="149"/>
      <c r="B151" s="13">
        <v>2182820.0</v>
      </c>
      <c r="C151" s="14">
        <v>46158.80310185185</v>
      </c>
      <c r="D151" s="210" t="s">
        <v>101</v>
      </c>
      <c r="E151" s="211" t="s">
        <v>718</v>
      </c>
      <c r="F151" s="212"/>
      <c r="G151" s="210" t="s">
        <v>512</v>
      </c>
      <c r="H151" s="170"/>
      <c r="I151" s="170"/>
      <c r="J151" s="156" t="s">
        <v>6914</v>
      </c>
      <c r="K151" s="156"/>
      <c r="L151" s="157" t="str">
        <f>IFERROR(__xludf.DUMMYFUNCTION("IF(
  AND(D151=""Saída"", J151=""Sangria""),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'""&amp;K151&amp;""'
             and Col6 = ""&amp;N151&amp;""
             and Col4 = date '""&amp;TEXT(C151,""yyyy-mm-dd"")&amp;""'""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'""&amp;K151&amp;""'
               and Col6 = ""&amp;N151&amp;""
               and Col4 = date '""&amp;TEXT(C151,""yyyy-mm-dd"")&amp;""'""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'""&amp;"&amp;"K151&amp;""'
                 and Col6 = ""&amp;N151&amp;""
                 and Col4 = date '""&amp;TEXT(C151,""yyyy-mm-dd"")&amp;""'""
            )
          )&gt;0,
          ""Confirmada"",
          ""Caixa Sangria""
        )
      )
    ),
    """"
  ),
  """"
)
"),"")</f>
        <v/>
      </c>
      <c r="M151" s="209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159">
        <f>IFERROR(__xludf.DUMMYFUNCTION("ifna(VALUE(REGEXEXTRACT(E151,""[0-9.]+[,]+[0-9]+"")))"),32.0)</f>
        <v>32</v>
      </c>
      <c r="O151" s="159"/>
      <c r="P151" s="159"/>
      <c r="Q151" s="159"/>
      <c r="R151" s="159"/>
      <c r="S151" s="159"/>
      <c r="T151" s="159"/>
      <c r="U151" s="159"/>
      <c r="V151" s="159"/>
      <c r="W151" s="159"/>
    </row>
    <row r="152" ht="14.25" customHeight="1">
      <c r="A152" s="149"/>
      <c r="B152" s="13">
        <v>2183024.0</v>
      </c>
      <c r="C152" s="14">
        <v>46158.867939814816</v>
      </c>
      <c r="D152" s="210" t="s">
        <v>101</v>
      </c>
      <c r="E152" s="211" t="s">
        <v>727</v>
      </c>
      <c r="F152" s="212"/>
      <c r="G152" s="210" t="s">
        <v>729</v>
      </c>
      <c r="H152" s="170"/>
      <c r="I152" s="170"/>
      <c r="J152" s="156" t="s">
        <v>6914</v>
      </c>
      <c r="K152" s="156"/>
      <c r="L152" s="157" t="str">
        <f>IFERROR(__xludf.DUMMYFUNCTION("IF(
  AND(D152=""Saída"", J152=""Sangria""),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'""&amp;K152&amp;""'
             and Col6 = ""&amp;N152&amp;""
             and Col4 = date '""&amp;TEXT(C152,""yyyy-mm-dd"")&amp;""'""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'""&amp;K152&amp;""'
               and Col6 = ""&amp;N152&amp;""
               and Col4 = date '""&amp;TEXT(C152,""yyyy-mm-dd"")&amp;""'""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'""&amp;"&amp;"K152&amp;""'
                 and Col6 = ""&amp;N152&amp;""
                 and Col4 = date '""&amp;TEXT(C152,""yyyy-mm-dd"")&amp;""'""
            )
          )&gt;0,
          ""Confirmada"",
          ""Caixa Sangria""
        )
      )
    ),
    """"
  ),
  """"
)
"),"")</f>
        <v/>
      </c>
      <c r="M152" s="207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159">
        <f>IFERROR(__xludf.DUMMYFUNCTION("ifna(VALUE(REGEXEXTRACT(E152,""[0-9.]+[,]+[0-9]+"")))"),76.0)</f>
        <v>76</v>
      </c>
      <c r="O152" s="159"/>
      <c r="P152" s="159"/>
      <c r="Q152" s="159"/>
      <c r="R152" s="159"/>
      <c r="S152" s="159"/>
      <c r="T152" s="159"/>
      <c r="U152" s="159"/>
      <c r="V152" s="159"/>
      <c r="W152" s="159"/>
    </row>
    <row r="153" ht="14.25" customHeight="1">
      <c r="A153" s="149"/>
      <c r="B153" s="13">
        <v>2183029.0</v>
      </c>
      <c r="C153" s="14">
        <v>46158.868993055556</v>
      </c>
      <c r="D153" s="210" t="s">
        <v>101</v>
      </c>
      <c r="E153" s="211" t="s">
        <v>465</v>
      </c>
      <c r="F153" s="212"/>
      <c r="G153" s="210" t="s">
        <v>732</v>
      </c>
      <c r="H153" s="170"/>
      <c r="I153" s="170"/>
      <c r="J153" s="156" t="s">
        <v>12778</v>
      </c>
      <c r="K153" s="156" t="s">
        <v>13760</v>
      </c>
      <c r="L153" s="157" t="str">
        <f>IFERROR(__xludf.DUMMYFUNCTION("IF(
  AND(D153=""Saída"", J153=""Sangria""),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'""&amp;K153&amp;""'
             and Col6 = ""&amp;N153&amp;""
             and Col4 = date '""&amp;TEXT(C153,""yyyy-mm-dd"")&amp;""'""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'""&amp;K153&amp;""'
               and Col6 = ""&amp;N153&amp;""
               and Col4 = date '""&amp;TEXT(C153,""yyyy-mm-dd"")&amp;""'""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'""&amp;"&amp;"K153&amp;""'
                 and Col6 = ""&amp;N153&amp;""
                 and Col4 = date '""&amp;TEXT(C153,""yyyy-mm-dd"")&amp;""'""
            )
          )&gt;0,
          ""Confirmada"",
          ""Caixa Sangria""
        )
      )
    ),
    """"
  ),
  """"
)
"),"Confirmada")</f>
        <v>Confirmada</v>
      </c>
      <c r="M153" s="209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159">
        <f>IFERROR(__xludf.DUMMYFUNCTION("ifna(VALUE(REGEXEXTRACT(E153,""[0-9.]+[,]+[0-9]+"")))"),550.0)</f>
        <v>550</v>
      </c>
      <c r="O153" s="159"/>
      <c r="P153" s="159"/>
      <c r="Q153" s="159"/>
      <c r="R153" s="159"/>
      <c r="S153" s="159"/>
      <c r="T153" s="159"/>
      <c r="U153" s="159"/>
      <c r="V153" s="159"/>
      <c r="W153" s="159"/>
    </row>
    <row r="154" ht="14.25" customHeight="1">
      <c r="A154" s="149"/>
      <c r="B154" s="13">
        <v>2184845.0</v>
      </c>
      <c r="C154" s="14">
        <v>46159.867743055554</v>
      </c>
      <c r="D154" s="210" t="s">
        <v>101</v>
      </c>
      <c r="E154" s="211" t="s">
        <v>121</v>
      </c>
      <c r="F154" s="212"/>
      <c r="G154" s="210" t="s">
        <v>737</v>
      </c>
      <c r="H154" s="170"/>
      <c r="I154" s="170"/>
      <c r="J154" s="156" t="s">
        <v>10036</v>
      </c>
      <c r="K154" s="156"/>
      <c r="L154" s="157" t="str">
        <f>IFERROR(__xludf.DUMMYFUNCTION("IF(
  AND(D154=""Saída"", J154=""Sangria""),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'""&amp;K154&amp;""'
             and Col6 = ""&amp;N154&amp;""
             and Col4 = date '""&amp;TEXT(C154,""yyyy-mm-dd"")&amp;""'""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'""&amp;K154&amp;""'
               and Col6 = ""&amp;N154&amp;""
               and Col4 = date '""&amp;TEXT(C154,""yyyy-mm-dd"")&amp;""'""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'""&amp;"&amp;"K154&amp;""'
                 and Col6 = ""&amp;N154&amp;""
                 and Col4 = date '""&amp;TEXT(C154,""yyyy-mm-dd"")&amp;""'""
            )
          )&gt;0,
          ""Confirmada"",
          ""Caixa Sangria""
        )
      )
    ),
    """"
  ),
  """"
)
"),"")</f>
        <v/>
      </c>
      <c r="M154" s="207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159">
        <f>IFERROR(__xludf.DUMMYFUNCTION("ifna(VALUE(REGEXEXTRACT(E154,""[0-9.]+[,]+[0-9]+"")))"),135.0)</f>
        <v>135</v>
      </c>
      <c r="O154" s="159"/>
      <c r="P154" s="159"/>
      <c r="Q154" s="159"/>
      <c r="R154" s="159"/>
      <c r="S154" s="159"/>
      <c r="T154" s="159"/>
      <c r="U154" s="159"/>
      <c r="V154" s="159"/>
      <c r="W154" s="159"/>
    </row>
    <row r="155" ht="14.25" customHeight="1">
      <c r="A155" s="149"/>
      <c r="B155" s="13">
        <v>2184848.0</v>
      </c>
      <c r="C155" s="14">
        <v>46159.86902777778</v>
      </c>
      <c r="D155" s="210" t="s">
        <v>101</v>
      </c>
      <c r="E155" s="211" t="s">
        <v>740</v>
      </c>
      <c r="F155" s="212"/>
      <c r="G155" s="210" t="s">
        <v>742</v>
      </c>
      <c r="H155" s="170"/>
      <c r="I155" s="170"/>
      <c r="J155" s="156" t="s">
        <v>6914</v>
      </c>
      <c r="K155" s="156"/>
      <c r="L155" s="157" t="str">
        <f>IFERROR(__xludf.DUMMYFUNCTION("IF(
  AND(D155=""Saída"", J155=""Sangria""),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'""&amp;K155&amp;""'
             and Col6 = ""&amp;N155&amp;""
             and Col4 = date '""&amp;TEXT(C155,""yyyy-mm-dd"")&amp;""'""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'""&amp;K155&amp;""'
               and Col6 = ""&amp;N155&amp;""
               and Col4 = date '""&amp;TEXT(C155,""yyyy-mm-dd"")&amp;""'""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'""&amp;"&amp;"K155&amp;""'
                 and Col6 = ""&amp;N155&amp;""
                 and Col4 = date '""&amp;TEXT(C155,""yyyy-mm-dd"")&amp;""'""
            )
          )&gt;0,
          ""Confirmada"",
          ""Caixa Sangria""
        )
      )
    ),
    """"
  ),
  """"
)
"),"")</f>
        <v/>
      </c>
      <c r="M155" s="209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159">
        <f>IFERROR(__xludf.DUMMYFUNCTION("ifna(VALUE(REGEXEXTRACT(E155,""[0-9.]+[,]+[0-9]+"")))"),188.0)</f>
        <v>188</v>
      </c>
      <c r="O155" s="159"/>
      <c r="P155" s="159"/>
      <c r="Q155" s="159"/>
      <c r="R155" s="159"/>
      <c r="S155" s="159"/>
      <c r="T155" s="159"/>
      <c r="U155" s="159"/>
      <c r="V155" s="159"/>
      <c r="W155" s="159"/>
    </row>
    <row r="156" ht="14.25" customHeight="1">
      <c r="A156" s="149"/>
      <c r="B156" s="13">
        <v>2184875.0</v>
      </c>
      <c r="C156" s="14">
        <v>46159.875081018516</v>
      </c>
      <c r="D156" s="210" t="s">
        <v>101</v>
      </c>
      <c r="E156" s="211" t="s">
        <v>746</v>
      </c>
      <c r="F156" s="212"/>
      <c r="G156" s="210" t="s">
        <v>747</v>
      </c>
      <c r="H156" s="170"/>
      <c r="I156" s="170"/>
      <c r="J156" s="156" t="s">
        <v>12778</v>
      </c>
      <c r="K156" s="156" t="s">
        <v>11866</v>
      </c>
      <c r="L156" s="157" t="str">
        <f>IFERROR(__xludf.DUMMYFUNCTION("IF(
  AND(D156=""Saída"", J156=""Sangria""),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'""&amp;K156&amp;""'
             and Col6 = ""&amp;N156&amp;""
             and Col4 = date '""&amp;TEXT(C156,""yyyy-mm-dd"")&amp;""'""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'""&amp;K156&amp;""'
               and Col6 = ""&amp;N156&amp;""
               and Col4 = date '""&amp;TEXT(C156,""yyyy-mm-dd"")&amp;""'""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'""&amp;"&amp;"K156&amp;""'
                 and Col6 = ""&amp;N156&amp;""
                 and Col4 = date '""&amp;TEXT(C156,""yyyy-mm-dd"")&amp;""'""
            )
          )&gt;0,
          ""Confirmada"",
          ""Caixa Sangria""
        )
      )
    ),
    """"
  ),
  """"
)
"),"Confirmada")</f>
        <v>Confirmada</v>
      </c>
      <c r="M156" s="207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159">
        <f>IFERROR(__xludf.DUMMYFUNCTION("ifna(VALUE(REGEXEXTRACT(E156,""[0-9.]+[,]+[0-9]+"")))"),350.0)</f>
        <v>350</v>
      </c>
      <c r="O156" s="159"/>
      <c r="P156" s="159"/>
      <c r="Q156" s="159"/>
      <c r="R156" s="159"/>
      <c r="S156" s="159"/>
      <c r="T156" s="159"/>
      <c r="U156" s="159"/>
      <c r="V156" s="159"/>
      <c r="W156" s="159"/>
    </row>
    <row r="157" ht="14.25" customHeight="1">
      <c r="A157" s="149"/>
      <c r="B157" s="13">
        <v>2186010.0</v>
      </c>
      <c r="C157" s="14">
        <v>46160.6628587963</v>
      </c>
      <c r="D157" s="210" t="s">
        <v>101</v>
      </c>
      <c r="E157" s="211" t="s">
        <v>750</v>
      </c>
      <c r="F157" s="212"/>
      <c r="G157" s="210" t="s">
        <v>751</v>
      </c>
      <c r="H157" s="170"/>
      <c r="I157" s="170"/>
      <c r="J157" s="156" t="s">
        <v>12818</v>
      </c>
      <c r="K157" s="156"/>
      <c r="L157" s="157" t="str">
        <f>IFERROR(__xludf.DUMMYFUNCTION("IF(
  AND(D157=""Saída"", J157=""Sangria""),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'""&amp;K157&amp;""'
             and Col6 = ""&amp;N157&amp;""
             and Col4 = date '""&amp;TEXT(C157,""yyyy-mm-dd"")&amp;""'""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'""&amp;K157&amp;""'
               and Col6 = ""&amp;N157&amp;""
               and Col4 = date '""&amp;TEXT(C157,""yyyy-mm-dd"")&amp;""'""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'""&amp;"&amp;"K157&amp;""'
                 and Col6 = ""&amp;N157&amp;""
                 and Col4 = date '""&amp;TEXT(C157,""yyyy-mm-dd"")&amp;""'""
            )
          )&gt;0,
          ""Confirmada"",
          ""Caixa Sangria""
        )
      )
    ),
    """"
  ),
  """"
)
"),"")</f>
        <v/>
      </c>
      <c r="M157" s="209" t="str">
        <f>IFERROR(__xludf.DUMMYFUNCTION("IF(J157=""Compra de Mercadorias"",
   IF(
      COUNTIF(ARRAYFORMULA(TRIM(CLEAN(TO_TEXT(Notas!BS:BS)))), TRIM(CLEAN(TO_TEXT(B157)))) &gt; 0,
      ""Encontrada"",
      ""Não Encontrada""
   ),
"""")"),"Não Encontrada")</f>
        <v>Não Encontrada</v>
      </c>
      <c r="N157" s="159">
        <f>IFERROR(__xludf.DUMMYFUNCTION("ifna(VALUE(REGEXEXTRACT(E157,""[0-9.]+[,]+[0-9]+"")))"),16.99)</f>
        <v>16.99</v>
      </c>
      <c r="O157" s="159"/>
      <c r="P157" s="159"/>
      <c r="Q157" s="159"/>
      <c r="R157" s="159"/>
      <c r="S157" s="159"/>
      <c r="T157" s="159"/>
      <c r="U157" s="159"/>
      <c r="V157" s="159"/>
      <c r="W157" s="159"/>
    </row>
    <row r="158" ht="14.25" customHeight="1">
      <c r="A158" s="149"/>
      <c r="B158" s="13">
        <v>2186168.0</v>
      </c>
      <c r="C158" s="14">
        <v>46160.72337962963</v>
      </c>
      <c r="D158" s="210" t="s">
        <v>101</v>
      </c>
      <c r="E158" s="211" t="s">
        <v>718</v>
      </c>
      <c r="F158" s="212"/>
      <c r="G158" s="210" t="s">
        <v>133</v>
      </c>
      <c r="H158" s="170"/>
      <c r="I158" s="170"/>
      <c r="J158" s="156" t="s">
        <v>6914</v>
      </c>
      <c r="K158" s="156"/>
      <c r="L158" s="157" t="str">
        <f>IFERROR(__xludf.DUMMYFUNCTION("IF(
  AND(D158=""Saída"", J158=""Sangria""),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'""&amp;K158&amp;""'
             and Col6 = ""&amp;N158&amp;""
             and Col4 = date '""&amp;TEXT(C158,""yyyy-mm-dd"")&amp;""'""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'""&amp;K158&amp;""'
               and Col6 = ""&amp;N158&amp;""
               and Col4 = date '""&amp;TEXT(C158,""yyyy-mm-dd"")&amp;""'""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'""&amp;"&amp;"K158&amp;""'
                 and Col6 = ""&amp;N158&amp;""
                 and Col4 = date '""&amp;TEXT(C158,""yyyy-mm-dd"")&amp;""'""
            )
          )&gt;0,
          ""Confirmada"",
          ""Caixa Sangria""
        )
      )
    ),
    """"
  ),
  """"
)
"),"")</f>
        <v/>
      </c>
      <c r="M158" s="207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159">
        <f>IFERROR(__xludf.DUMMYFUNCTION("ifna(VALUE(REGEXEXTRACT(E158,""[0-9.]+[,]+[0-9]+"")))"),32.0)</f>
        <v>32</v>
      </c>
      <c r="O158" s="159"/>
      <c r="P158" s="159"/>
      <c r="Q158" s="159"/>
      <c r="R158" s="159"/>
      <c r="S158" s="159"/>
      <c r="T158" s="159"/>
      <c r="U158" s="159"/>
      <c r="V158" s="159"/>
      <c r="W158" s="159"/>
    </row>
    <row r="159" ht="14.25" customHeight="1">
      <c r="A159" s="149"/>
      <c r="B159" s="13">
        <v>2186189.0</v>
      </c>
      <c r="C159" s="14">
        <v>46160.73267361111</v>
      </c>
      <c r="D159" s="210" t="s">
        <v>101</v>
      </c>
      <c r="E159" s="211" t="s">
        <v>237</v>
      </c>
      <c r="F159" s="212"/>
      <c r="G159" s="210" t="s">
        <v>761</v>
      </c>
      <c r="H159" s="170"/>
      <c r="I159" s="170"/>
      <c r="J159" s="156" t="s">
        <v>12778</v>
      </c>
      <c r="K159" s="156" t="s">
        <v>11866</v>
      </c>
      <c r="L159" s="157" t="str">
        <f>IFERROR(__xludf.DUMMYFUNCTION("IF(
  AND(D159=""Saída"", J159=""Sangria""),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'""&amp;K159&amp;""'
             and Col6 = ""&amp;N159&amp;""
             and Col4 = date '""&amp;TEXT(C159,""yyyy-mm-dd"")&amp;""'""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'""&amp;K159&amp;""'
               and Col6 = ""&amp;N159&amp;""
               and Col4 = date '""&amp;TEXT(C159,""yyyy-mm-dd"")&amp;""'""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'""&amp;"&amp;"K159&amp;""'
                 and Col6 = ""&amp;N159&amp;""
                 and Col4 = date '""&amp;TEXT(C159,""yyyy-mm-dd"")&amp;""'""
            )
          )&gt;0,
          ""Confirmada"",
          ""Caixa Sangria""
        )
      )
    ),
    """"
  ),
  """"
)
"),"Confirmada")</f>
        <v>Confirmada</v>
      </c>
      <c r="M159" s="209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159">
        <f>IFERROR(__xludf.DUMMYFUNCTION("ifna(VALUE(REGEXEXTRACT(E159,""[0-9.]+[,]+[0-9]+"")))"),100.0)</f>
        <v>100</v>
      </c>
      <c r="O159" s="159"/>
      <c r="P159" s="159"/>
      <c r="Q159" s="159"/>
      <c r="R159" s="159"/>
      <c r="S159" s="159"/>
      <c r="T159" s="159"/>
      <c r="U159" s="159"/>
      <c r="V159" s="159"/>
      <c r="W159" s="159"/>
    </row>
    <row r="160" ht="14.25" customHeight="1">
      <c r="A160" s="149"/>
      <c r="B160" s="13">
        <v>2186251.0</v>
      </c>
      <c r="C160" s="14">
        <v>46160.759201388886</v>
      </c>
      <c r="D160" s="210" t="s">
        <v>101</v>
      </c>
      <c r="E160" s="211" t="s">
        <v>246</v>
      </c>
      <c r="F160" s="212"/>
      <c r="G160" s="210" t="s">
        <v>494</v>
      </c>
      <c r="H160" s="170"/>
      <c r="I160" s="170"/>
      <c r="J160" s="156" t="s">
        <v>12658</v>
      </c>
      <c r="K160" s="156" t="s">
        <v>13760</v>
      </c>
      <c r="L160" s="157" t="str">
        <f>IFERROR(__xludf.DUMMYFUNCTION("IF(
  AND(D160=""Saída"", J160=""Sangria""),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'""&amp;K160&amp;""'
             and Col6 = ""&amp;N160&amp;""
             and Col4 = date '""&amp;TEXT(C160,""yyyy-mm-dd"")&amp;""'""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'""&amp;K160&amp;""'
               and Col6 = ""&amp;N160&amp;""
               and Col4 = date '""&amp;TEXT(C160,""yyyy-mm-dd"")&amp;""'""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'""&amp;"&amp;"K160&amp;""'
                 and Col6 = ""&amp;N160&amp;""
                 and Col4 = date '""&amp;TEXT(C160,""yyyy-mm-dd"")&amp;""'""
            )
          )&gt;0,
          ""Confirmada"",
          ""Caixa Sangria""
        )
      )
    ),
    """"
  ),
  """"
)
"),"")</f>
        <v/>
      </c>
      <c r="M160" s="207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159">
        <f>IFERROR(__xludf.DUMMYFUNCTION("ifna(VALUE(REGEXEXTRACT(E160,""[0-9.]+[,]+[0-9]+"")))"),30.0)</f>
        <v>30</v>
      </c>
      <c r="O160" s="159"/>
      <c r="P160" s="159"/>
      <c r="Q160" s="159"/>
      <c r="R160" s="159"/>
      <c r="S160" s="159"/>
      <c r="T160" s="159"/>
      <c r="U160" s="159"/>
      <c r="V160" s="159"/>
      <c r="W160" s="159"/>
    </row>
    <row r="161" ht="14.25" customHeight="1">
      <c r="A161" s="149"/>
      <c r="B161" s="13">
        <v>2186478.0</v>
      </c>
      <c r="C161" s="14">
        <v>46160.869618055556</v>
      </c>
      <c r="D161" s="210" t="s">
        <v>101</v>
      </c>
      <c r="E161" s="211" t="s">
        <v>306</v>
      </c>
      <c r="F161" s="212"/>
      <c r="G161" s="210" t="s">
        <v>574</v>
      </c>
      <c r="H161" s="170"/>
      <c r="I161" s="170"/>
      <c r="J161" s="156" t="s">
        <v>12658</v>
      </c>
      <c r="K161" s="156" t="s">
        <v>13763</v>
      </c>
      <c r="L161" s="157" t="str">
        <f>IFERROR(__xludf.DUMMYFUNCTION("IF(
  AND(D161=""Saída"", J161=""Sangria""),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'""&amp;K161&amp;""'
             and Col6 = ""&amp;N161&amp;""
             and Col4 = date '""&amp;TEXT(C161,""yyyy-mm-dd"")&amp;""'""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'""&amp;K161&amp;""'
               and Col6 = ""&amp;N161&amp;""
               and Col4 = date '""&amp;TEXT(C161,""yyyy-mm-dd"")&amp;""'""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'""&amp;"&amp;"K161&amp;""'
                 and Col6 = ""&amp;N161&amp;""
                 and Col4 = date '""&amp;TEXT(C161,""yyyy-mm-dd"")&amp;""'""
            )
          )&gt;0,
          ""Confirmada"",
          ""Caixa Sangria""
        )
      )
    ),
    """"
  ),
  """"
)
"),"")</f>
        <v/>
      </c>
      <c r="M161" s="209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159">
        <f>IFERROR(__xludf.DUMMYFUNCTION("ifna(VALUE(REGEXEXTRACT(E161,""[0-9.]+[,]+[0-9]+"")))"),22.0)</f>
        <v>22</v>
      </c>
      <c r="O161" s="159"/>
      <c r="P161" s="159"/>
      <c r="Q161" s="159"/>
      <c r="R161" s="159"/>
      <c r="S161" s="159"/>
      <c r="T161" s="159"/>
      <c r="U161" s="159"/>
      <c r="V161" s="159"/>
      <c r="W161" s="159"/>
    </row>
    <row r="162" ht="14.25" customHeight="1">
      <c r="A162" s="149"/>
      <c r="B162" s="13">
        <v>2186501.0</v>
      </c>
      <c r="C162" s="14">
        <v>46160.87842592593</v>
      </c>
      <c r="D162" s="210" t="s">
        <v>101</v>
      </c>
      <c r="E162" s="211" t="s">
        <v>306</v>
      </c>
      <c r="F162" s="212"/>
      <c r="G162" s="210" t="s">
        <v>600</v>
      </c>
      <c r="H162" s="170"/>
      <c r="I162" s="170"/>
      <c r="J162" s="156" t="s">
        <v>6914</v>
      </c>
      <c r="K162" s="156"/>
      <c r="L162" s="157" t="str">
        <f>IFERROR(__xludf.DUMMYFUNCTION("IF(
  AND(D162=""Saída"", J162=""Sangria""),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'""&amp;K162&amp;""'
             and Col6 = ""&amp;N162&amp;""
             and Col4 = date '""&amp;TEXT(C162,""yyyy-mm-dd"")&amp;""'""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'""&amp;K162&amp;""'
               and Col6 = ""&amp;N162&amp;""
               and Col4 = date '""&amp;TEXT(C162,""yyyy-mm-dd"")&amp;""'""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'""&amp;"&amp;"K162&amp;""'
                 and Col6 = ""&amp;N162&amp;""
                 and Col4 = date '""&amp;TEXT(C162,""yyyy-mm-dd"")&amp;""'""
            )
          )&gt;0,
          ""Confirmada"",
          ""Caixa Sangria""
        )
      )
    ),
    """"
  ),
  """"
)
"),"")</f>
        <v/>
      </c>
      <c r="M162" s="207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159">
        <f>IFERROR(__xludf.DUMMYFUNCTION("ifna(VALUE(REGEXEXTRACT(E162,""[0-9.]+[,]+[0-9]+"")))"),22.0)</f>
        <v>22</v>
      </c>
      <c r="O162" s="159"/>
      <c r="P162" s="159"/>
      <c r="Q162" s="159"/>
      <c r="R162" s="159"/>
      <c r="S162" s="159"/>
      <c r="T162" s="159"/>
      <c r="U162" s="159"/>
      <c r="V162" s="159"/>
      <c r="W162" s="159"/>
    </row>
    <row r="163" ht="14.25" customHeight="1">
      <c r="A163" s="149"/>
      <c r="B163" s="13">
        <v>2187035.0</v>
      </c>
      <c r="C163" s="14">
        <v>46161.553506944445</v>
      </c>
      <c r="D163" s="210" t="s">
        <v>101</v>
      </c>
      <c r="E163" s="211" t="s">
        <v>779</v>
      </c>
      <c r="F163" s="212"/>
      <c r="G163" s="210" t="s">
        <v>781</v>
      </c>
      <c r="H163" s="170"/>
      <c r="I163" s="170"/>
      <c r="J163" s="156"/>
      <c r="K163" s="156"/>
      <c r="L163" s="157" t="str">
        <f>IFERROR(__xludf.DUMMYFUNCTION("IF(
  AND(D163=""Saída"", J163=""Sangria""),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'""&amp;K163&amp;""'
             and Col6 = ""&amp;N163&amp;""
             and Col4 = date '""&amp;TEXT(C163,""yyyy-mm-dd"")&amp;""'""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'""&amp;K163&amp;""'
               and Col6 = ""&amp;N163&amp;""
               and Col4 = date '""&amp;TEXT(C163,""yyyy-mm-dd"")&amp;""'""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'""&amp;"&amp;"K163&amp;""'
                 and Col6 = ""&amp;N163&amp;""
                 and Col4 = date '""&amp;TEXT(C163,""yyyy-mm-dd"")&amp;""'""
            )
          )&gt;0,
          ""Confirmada"",
          ""Caixa Sangria""
        )
      )
    ),
    """"
  ),
  """"
)
"),"")</f>
        <v/>
      </c>
      <c r="M163" s="209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159">
        <f>IFERROR(__xludf.DUMMYFUNCTION("ifna(VALUE(REGEXEXTRACT(E163,""[0-9.]+[,]+[0-9]+"")))"),14.0)</f>
        <v>14</v>
      </c>
      <c r="O163" s="159"/>
      <c r="P163" s="159"/>
      <c r="Q163" s="159"/>
      <c r="R163" s="159"/>
      <c r="S163" s="159"/>
      <c r="T163" s="159"/>
      <c r="U163" s="159"/>
      <c r="V163" s="159"/>
      <c r="W163" s="159"/>
    </row>
    <row r="164" ht="14.25" customHeight="1">
      <c r="A164" s="149"/>
      <c r="B164" s="13">
        <v>2187364.0</v>
      </c>
      <c r="C164" s="14">
        <v>46161.71296296296</v>
      </c>
      <c r="D164" s="210" t="s">
        <v>139</v>
      </c>
      <c r="E164" s="211" t="s">
        <v>786</v>
      </c>
      <c r="F164" s="212"/>
      <c r="G164" s="210" t="s">
        <v>788</v>
      </c>
      <c r="H164" s="170"/>
      <c r="I164" s="170"/>
      <c r="J164" s="156" t="s">
        <v>12952</v>
      </c>
      <c r="K164" s="156"/>
      <c r="L164" s="157" t="str">
        <f>IFERROR(__xludf.DUMMYFUNCTION("IF(
  AND(D164=""Saída"", J164=""Sangria""),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'""&amp;K164&amp;""'
             and Col6 = ""&amp;N164&amp;""
             and Col4 = date '""&amp;TEXT(C164,""yyyy-mm-dd"")&amp;""'""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'""&amp;K164&amp;""'
               and Col6 = ""&amp;N164&amp;""
               and Col4 = date '""&amp;TEXT(C164,""yyyy-mm-dd"")&amp;""'""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'""&amp;"&amp;"K164&amp;""'
                 and Col6 = ""&amp;N164&amp;""
                 and Col4 = date '""&amp;TEXT(C164,""yyyy-mm-dd"")&amp;""'""
            )
          )&gt;0,
          ""Confirmada"",
          ""Caixa Sangria""
        )
      )
    ),
    """"
  ),
  """"
)
"),"")</f>
        <v/>
      </c>
      <c r="M164" s="207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159">
        <f>IFERROR(__xludf.DUMMYFUNCTION("ifna(VALUE(REGEXEXTRACT(E164,""[0-9.]+[,]+[0-9]+"")))"),130.0)</f>
        <v>130</v>
      </c>
      <c r="O164" s="159"/>
      <c r="P164" s="159"/>
      <c r="Q164" s="159"/>
      <c r="R164" s="159"/>
      <c r="S164" s="159"/>
      <c r="T164" s="159"/>
      <c r="U164" s="159"/>
      <c r="V164" s="159"/>
      <c r="W164" s="159"/>
    </row>
    <row r="165" ht="14.25" customHeight="1">
      <c r="A165" s="149"/>
      <c r="B165" s="13">
        <v>2187400.0</v>
      </c>
      <c r="C165" s="14">
        <v>46161.71797453704</v>
      </c>
      <c r="D165" s="210" t="s">
        <v>101</v>
      </c>
      <c r="E165" s="211" t="s">
        <v>231</v>
      </c>
      <c r="F165" s="214"/>
      <c r="G165" s="210" t="s">
        <v>133</v>
      </c>
      <c r="H165" s="170"/>
      <c r="I165" s="170"/>
      <c r="J165" s="156" t="s">
        <v>6914</v>
      </c>
      <c r="K165" s="156"/>
      <c r="L165" s="157" t="str">
        <f>IFERROR(__xludf.DUMMYFUNCTION("IF(
  AND(D165=""Saída"", J165=""Sangria""),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'""&amp;K165&amp;""'
             and Col6 = ""&amp;N165&amp;""
             and Col4 = date '""&amp;TEXT(C165,""yyyy-mm-dd"")&amp;""'""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'""&amp;K165&amp;""'
               and Col6 = ""&amp;N165&amp;""
               and Col4 = date '""&amp;TEXT(C165,""yyyy-mm-dd"")&amp;""'""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'""&amp;"&amp;"K165&amp;""'
                 and Col6 = ""&amp;N165&amp;""
                 and Col4 = date '""&amp;TEXT(C165,""yyyy-mm-dd"")&amp;""'""
            )
          )&gt;0,
          ""Confirmada"",
          ""Caixa Sangria""
        )
      )
    ),
    """"
  ),
  """"
)
"),"")</f>
        <v/>
      </c>
      <c r="M165" s="209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159">
        <f>IFERROR(__xludf.DUMMYFUNCTION("ifna(VALUE(REGEXEXTRACT(E165,""[0-9.]+[,]+[0-9]+"")))"),10.0)</f>
        <v>10</v>
      </c>
      <c r="O165" s="159"/>
      <c r="P165" s="159"/>
      <c r="Q165" s="159"/>
      <c r="R165" s="159"/>
      <c r="S165" s="159"/>
      <c r="T165" s="159"/>
      <c r="U165" s="159"/>
      <c r="V165" s="159"/>
      <c r="W165" s="159"/>
    </row>
    <row r="166" ht="14.25" customHeight="1">
      <c r="A166" s="149"/>
      <c r="B166" s="13">
        <v>2187401.0</v>
      </c>
      <c r="C166" s="14">
        <v>46161.71925925926</v>
      </c>
      <c r="D166" s="210" t="s">
        <v>139</v>
      </c>
      <c r="E166" s="211" t="s">
        <v>799</v>
      </c>
      <c r="F166" s="212"/>
      <c r="G166" s="210" t="s">
        <v>272</v>
      </c>
      <c r="H166" s="170"/>
      <c r="I166" s="170"/>
      <c r="J166" s="156" t="s">
        <v>12952</v>
      </c>
      <c r="K166" s="156"/>
      <c r="L166" s="157" t="str">
        <f>IFERROR(__xludf.DUMMYFUNCTION("IF(
  AND(D166=""Saída"", J166=""Sangria""),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'""&amp;K166&amp;""'
             and Col6 = ""&amp;N166&amp;""
             and Col4 = date '""&amp;TEXT(C166,""yyyy-mm-dd"")&amp;""'""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'""&amp;K166&amp;""'
               and Col6 = ""&amp;N166&amp;""
               and Col4 = date '""&amp;TEXT(C166,""yyyy-mm-dd"")&amp;""'""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'""&amp;"&amp;"K166&amp;""'
                 and Col6 = ""&amp;N166&amp;""
                 and Col4 = date '""&amp;TEXT(C166,""yyyy-mm-dd"")&amp;""'""
            )
          )&gt;0,
          ""Confirmada"",
          ""Caixa Sangria""
        )
      )
    ),
    """"
  ),
  """"
)
"),"")</f>
        <v/>
      </c>
      <c r="M166" s="207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159">
        <f>IFERROR(__xludf.DUMMYFUNCTION("ifna(VALUE(REGEXEXTRACT(E166,""[0-9.]+[,]+[0-9]+"")))"),75.0)</f>
        <v>75</v>
      </c>
      <c r="O166" s="159"/>
      <c r="P166" s="159"/>
      <c r="Q166" s="159"/>
      <c r="R166" s="159"/>
      <c r="S166" s="159"/>
      <c r="T166" s="159"/>
      <c r="U166" s="159"/>
      <c r="V166" s="159"/>
      <c r="W166" s="159"/>
    </row>
    <row r="167" ht="14.25" customHeight="1">
      <c r="A167" s="149"/>
      <c r="B167" s="13">
        <v>2187410.0</v>
      </c>
      <c r="C167" s="14">
        <v>46161.72238425926</v>
      </c>
      <c r="D167" s="210" t="s">
        <v>101</v>
      </c>
      <c r="E167" s="211" t="s">
        <v>804</v>
      </c>
      <c r="F167" s="212"/>
      <c r="G167" s="210" t="s">
        <v>805</v>
      </c>
      <c r="H167" s="170"/>
      <c r="I167" s="170"/>
      <c r="J167" s="156" t="s">
        <v>12778</v>
      </c>
      <c r="K167" s="156" t="s">
        <v>11866</v>
      </c>
      <c r="L167" s="157" t="str">
        <f>IFERROR(__xludf.DUMMYFUNCTION("IF(
  AND(D167=""Saída"", J167=""Sangria""),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'""&amp;K167&amp;""'
             and Col6 = ""&amp;N167&amp;""
             and Col4 = date '""&amp;TEXT(C167,""yyyy-mm-dd"")&amp;""'""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'""&amp;K167&amp;""'
               and Col6 = ""&amp;N167&amp;""
               and Col4 = date '""&amp;TEXT(C167,""yyyy-mm-dd"")&amp;""'""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'""&amp;"&amp;"K167&amp;""'
                 and Col6 = ""&amp;N167&amp;""
                 and Col4 = date '""&amp;TEXT(C167,""yyyy-mm-dd"")&amp;""'""
            )
          )&gt;0,
          ""Confirmada"",
          ""Caixa Sangria""
        )
      )
    ),
    """"
  ),
  """"
)
"),"Confirmada")</f>
        <v>Confirmada</v>
      </c>
      <c r="M167" s="209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159">
        <f>IFERROR(__xludf.DUMMYFUNCTION("ifna(VALUE(REGEXEXTRACT(E167,""[0-9.]+[,]+[0-9]+"")))"),500.0)</f>
        <v>500</v>
      </c>
      <c r="O167" s="159"/>
      <c r="P167" s="159"/>
      <c r="Q167" s="159"/>
      <c r="R167" s="159"/>
      <c r="S167" s="159"/>
      <c r="T167" s="159"/>
      <c r="U167" s="159"/>
      <c r="V167" s="159"/>
      <c r="W167" s="159"/>
    </row>
    <row r="168" ht="14.25" customHeight="1">
      <c r="A168" s="149"/>
      <c r="B168" s="13">
        <v>2187416.0</v>
      </c>
      <c r="C168" s="14">
        <v>46161.72418981481</v>
      </c>
      <c r="D168" s="210" t="s">
        <v>101</v>
      </c>
      <c r="E168" s="211" t="s">
        <v>810</v>
      </c>
      <c r="F168" s="212"/>
      <c r="G168" s="210" t="s">
        <v>813</v>
      </c>
      <c r="H168" s="170"/>
      <c r="I168" s="170"/>
      <c r="J168" s="156" t="s">
        <v>12818</v>
      </c>
      <c r="K168" s="156"/>
      <c r="L168" s="157" t="str">
        <f>IFERROR(__xludf.DUMMYFUNCTION("IF(
  AND(D168=""Saída"", J168=""Sangria""),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'""&amp;K168&amp;""'
             and Col6 = ""&amp;N168&amp;""
             and Col4 = date '""&amp;TEXT(C168,""yyyy-mm-dd"")&amp;""'""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'""&amp;K168&amp;""'
               and Col6 = ""&amp;N168&amp;""
               and Col4 = date '""&amp;TEXT(C168,""yyyy-mm-dd"")&amp;""'""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'""&amp;"&amp;"K168&amp;""'
                 and Col6 = ""&amp;N168&amp;""
                 and Col4 = date '""&amp;TEXT(C168,""yyyy-mm-dd"")&amp;""'""
            )
          )&gt;0,
          ""Confirmada"",
          ""Caixa Sangria""
        )
      )
    ),
    """"
  ),
  """"
)
"),"")</f>
        <v/>
      </c>
      <c r="M168" s="207" t="str">
        <f>IFERROR(__xludf.DUMMYFUNCTION("IF(J168=""Compra de Mercadorias"",
   IF(
      COUNTIF(ARRAYFORMULA(TRIM(CLEAN(TO_TEXT(Notas!BS:BS)))), TRIM(CLEAN(TO_TEXT(B168)))) &gt; 0,
      ""Encontrada"",
      ""Não Encontrada""
   ),
"""")"),"Não Encontrada")</f>
        <v>Não Encontrada</v>
      </c>
      <c r="N168" s="159">
        <f>IFERROR(__xludf.DUMMYFUNCTION("ifna(VALUE(REGEXEXTRACT(E168,""[0-9.]+[,]+[0-9]+"")))"),15.05)</f>
        <v>15.05</v>
      </c>
      <c r="O168" s="159"/>
      <c r="P168" s="159"/>
      <c r="Q168" s="159"/>
      <c r="R168" s="159"/>
      <c r="S168" s="159"/>
      <c r="T168" s="159"/>
      <c r="U168" s="159"/>
      <c r="V168" s="159"/>
      <c r="W168" s="159"/>
    </row>
    <row r="169" ht="14.25" customHeight="1">
      <c r="A169" s="149"/>
      <c r="B169" s="13">
        <v>2187446.0</v>
      </c>
      <c r="C169" s="14">
        <v>46161.734293981484</v>
      </c>
      <c r="D169" s="210" t="s">
        <v>101</v>
      </c>
      <c r="E169" s="211" t="s">
        <v>816</v>
      </c>
      <c r="F169" s="212"/>
      <c r="G169" s="210" t="s">
        <v>334</v>
      </c>
      <c r="H169" s="170"/>
      <c r="I169" s="170"/>
      <c r="J169" s="156" t="s">
        <v>12658</v>
      </c>
      <c r="K169" s="156" t="s">
        <v>13760</v>
      </c>
      <c r="L169" s="157" t="str">
        <f>IFERROR(__xludf.DUMMYFUNCTION("IF(
  AND(D169=""Saída"", J169=""Sangria""),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'""&amp;K169&amp;""'
             and Col6 = ""&amp;N169&amp;""
             and Col4 = date '""&amp;TEXT(C169,""yyyy-mm-dd"")&amp;""'""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'""&amp;K169&amp;""'
               and Col6 = ""&amp;N169&amp;""
               and Col4 = date '""&amp;TEXT(C169,""yyyy-mm-dd"")&amp;""'""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'""&amp;"&amp;"K169&amp;""'
                 and Col6 = ""&amp;N169&amp;""
                 and Col4 = date '""&amp;TEXT(C169,""yyyy-mm-dd"")&amp;""'""
            )
          )&gt;0,
          ""Confirmada"",
          ""Caixa Sangria""
        )
      )
    ),
    """"
  ),
  """"
)
"),"")</f>
        <v/>
      </c>
      <c r="M169" s="209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159">
        <f>IFERROR(__xludf.DUMMYFUNCTION("ifna(VALUE(REGEXEXTRACT(E169,""[0-9.]+[,]+[0-9]+"")))"),31.1)</f>
        <v>31.1</v>
      </c>
      <c r="O169" s="159"/>
      <c r="P169" s="159"/>
      <c r="Q169" s="159"/>
      <c r="R169" s="159"/>
      <c r="S169" s="159"/>
      <c r="T169" s="159"/>
      <c r="U169" s="159"/>
      <c r="V169" s="159"/>
      <c r="W169" s="159"/>
    </row>
    <row r="170" ht="14.25" customHeight="1">
      <c r="A170" s="149"/>
      <c r="B170" s="13">
        <v>2187653.0</v>
      </c>
      <c r="C170" s="14">
        <v>46161.85570601852</v>
      </c>
      <c r="D170" s="210" t="s">
        <v>101</v>
      </c>
      <c r="E170" s="211" t="s">
        <v>201</v>
      </c>
      <c r="F170" s="212"/>
      <c r="G170" s="210" t="s">
        <v>239</v>
      </c>
      <c r="H170" s="170"/>
      <c r="I170" s="170"/>
      <c r="J170" s="156" t="s">
        <v>12778</v>
      </c>
      <c r="K170" s="156" t="s">
        <v>13763</v>
      </c>
      <c r="L170" s="157" t="str">
        <f>IFERROR(__xludf.DUMMYFUNCTION("IF(
  AND(D170=""Saída"", J170=""Sangria""),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'""&amp;K170&amp;""'
             and Col6 = ""&amp;N170&amp;""
             and Col4 = date '""&amp;TEXT(C170,""yyyy-mm-dd"")&amp;""'""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'""&amp;K170&amp;""'
               and Col6 = ""&amp;N170&amp;""
               and Col4 = date '""&amp;TEXT(C170,""yyyy-mm-dd"")&amp;""'""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'""&amp;"&amp;"K170&amp;""'
                 and Col6 = ""&amp;N170&amp;""
                 and Col4 = date '""&amp;TEXT(C170,""yyyy-mm-dd"")&amp;""'""
            )
          )&gt;0,
          ""Confirmada"",
          ""Caixa Sangria""
        )
      )
    ),
    """"
  ),
  """"
)
"),"Caixa Atendimento")</f>
        <v>Caixa Atendimento</v>
      </c>
      <c r="M170" s="207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159">
        <f>IFERROR(__xludf.DUMMYFUNCTION("ifna(VALUE(REGEXEXTRACT(E170,""[0-9.]+[,]+[0-9]+"")))"),150.0)</f>
        <v>150</v>
      </c>
      <c r="O170" s="159"/>
      <c r="P170" s="159"/>
      <c r="Q170" s="159"/>
      <c r="R170" s="159"/>
      <c r="S170" s="159"/>
      <c r="T170" s="159"/>
      <c r="U170" s="159"/>
      <c r="V170" s="159"/>
      <c r="W170" s="159"/>
    </row>
    <row r="171" ht="14.25" customHeight="1">
      <c r="A171" s="149"/>
      <c r="B171" s="13">
        <v>2187688.0</v>
      </c>
      <c r="C171" s="14">
        <v>46161.87244212963</v>
      </c>
      <c r="D171" s="210" t="s">
        <v>101</v>
      </c>
      <c r="E171" s="211" t="s">
        <v>823</v>
      </c>
      <c r="F171" s="212"/>
      <c r="G171" s="210" t="s">
        <v>600</v>
      </c>
      <c r="H171" s="170"/>
      <c r="I171" s="170"/>
      <c r="J171" s="156" t="s">
        <v>6914</v>
      </c>
      <c r="K171" s="156"/>
      <c r="L171" s="157" t="str">
        <f>IFERROR(__xludf.DUMMYFUNCTION("IF(
  AND(D171=""Saída"", J171=""Sangria""),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'""&amp;K171&amp;""'
             and Col6 = ""&amp;N171&amp;""
             and Col4 = date '""&amp;TEXT(C171,""yyyy-mm-dd"")&amp;""'""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'""&amp;K171&amp;""'
               and Col6 = ""&amp;N171&amp;""
               and Col4 = date '""&amp;TEXT(C171,""yyyy-mm-dd"")&amp;""'""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'""&amp;"&amp;"K171&amp;""'
                 and Col6 = ""&amp;N171&amp;""
                 and Col4 = date '""&amp;TEXT(C171,""yyyy-mm-dd"")&amp;""'""
            )
          )&gt;0,
          ""Confirmada"",
          ""Caixa Sangria""
        )
      )
    ),
    """"
  ),
  """"
)
"),"")</f>
        <v/>
      </c>
      <c r="M171" s="209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159">
        <f>IFERROR(__xludf.DUMMYFUNCTION("ifna(VALUE(REGEXEXTRACT(E171,""[0-9.]+[,]+[0-9]+"")))"),37.0)</f>
        <v>37</v>
      </c>
      <c r="O171" s="159"/>
      <c r="P171" s="159"/>
      <c r="Q171" s="159"/>
      <c r="R171" s="159"/>
      <c r="S171" s="159"/>
      <c r="T171" s="159"/>
      <c r="U171" s="159"/>
      <c r="V171" s="159"/>
      <c r="W171" s="159"/>
    </row>
    <row r="172" ht="14.25" customHeight="1">
      <c r="A172" s="149"/>
      <c r="B172" s="13">
        <v>2188442.0</v>
      </c>
      <c r="C172" s="14">
        <v>46162.67951388889</v>
      </c>
      <c r="D172" s="210" t="s">
        <v>101</v>
      </c>
      <c r="E172" s="211" t="s">
        <v>826</v>
      </c>
      <c r="F172" s="212"/>
      <c r="G172" s="210" t="s">
        <v>828</v>
      </c>
      <c r="H172" s="170"/>
      <c r="I172" s="170"/>
      <c r="J172" s="156" t="s">
        <v>12720</v>
      </c>
      <c r="K172" s="156"/>
      <c r="L172" s="157" t="str">
        <f>IFERROR(__xludf.DUMMYFUNCTION("IF(
  AND(D172=""Saída"", J172=""Sangria""),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'""&amp;K172&amp;""'
             and Col6 = ""&amp;N172&amp;""
             and Col4 = date '""&amp;TEXT(C172,""yyyy-mm-dd"")&amp;""'""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'""&amp;K172&amp;""'
               and Col6 = ""&amp;N172&amp;""
               and Col4 = date '""&amp;TEXT(C172,""yyyy-mm-dd"")&amp;""'""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'""&amp;"&amp;"K172&amp;""'
                 and Col6 = ""&amp;N172&amp;""
                 and Col4 = date '""&amp;TEXT(C172,""yyyy-mm-dd"")&amp;""'""
            )
          )&gt;0,
          ""Confirmada"",
          ""Caixa Sangria""
        )
      )
    ),
    """"
  ),
  """"
)
"),"")</f>
        <v/>
      </c>
      <c r="M172" s="207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159">
        <f>IFERROR(__xludf.DUMMYFUNCTION("ifna(VALUE(REGEXEXTRACT(E172,""[0-9.]+[,]+[0-9]+"")))"),64.16)</f>
        <v>64.16</v>
      </c>
      <c r="O172" s="159"/>
      <c r="P172" s="159"/>
      <c r="Q172" s="159"/>
      <c r="R172" s="159"/>
      <c r="S172" s="159"/>
      <c r="T172" s="159"/>
      <c r="U172" s="159"/>
      <c r="V172" s="159"/>
      <c r="W172" s="159"/>
    </row>
    <row r="173" ht="14.25" customHeight="1">
      <c r="A173" s="149"/>
      <c r="B173" s="13">
        <v>2188583.0</v>
      </c>
      <c r="C173" s="14">
        <v>46162.73136574074</v>
      </c>
      <c r="D173" s="210" t="s">
        <v>101</v>
      </c>
      <c r="E173" s="211" t="s">
        <v>213</v>
      </c>
      <c r="F173" s="212"/>
      <c r="G173" s="210" t="s">
        <v>832</v>
      </c>
      <c r="H173" s="170"/>
      <c r="I173" s="170"/>
      <c r="J173" s="156" t="s">
        <v>12778</v>
      </c>
      <c r="K173" s="156" t="s">
        <v>11866</v>
      </c>
      <c r="L173" s="157" t="str">
        <f>IFERROR(__xludf.DUMMYFUNCTION("IF(
  AND(D173=""Saída"", J173=""Sangria""),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'""&amp;K173&amp;""'
             and Col6 = ""&amp;N173&amp;""
             and Col4 = date '""&amp;TEXT(C173,""yyyy-mm-dd"")&amp;""'""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'""&amp;K173&amp;""'
               and Col6 = ""&amp;N173&amp;""
               and Col4 = date '""&amp;TEXT(C173,""yyyy-mm-dd"")&amp;""'""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'""&amp;"&amp;"K173&amp;""'
                 and Col6 = ""&amp;N173&amp;""
                 and Col4 = date '""&amp;TEXT(C173,""yyyy-mm-dd"")&amp;""'""
            )
          )&gt;0,
          ""Confirmada"",
          ""Caixa Sangria""
        )
      )
    ),
    """"
  ),
  """"
)
"),"Caixa Atendimento")</f>
        <v>Caixa Atendimento</v>
      </c>
      <c r="M173" s="209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159">
        <f>IFERROR(__xludf.DUMMYFUNCTION("ifna(VALUE(REGEXEXTRACT(E173,""[0-9.]+[,]+[0-9]+"")))"),200.0)</f>
        <v>200</v>
      </c>
      <c r="O173" s="159"/>
      <c r="P173" s="159"/>
      <c r="Q173" s="159"/>
      <c r="R173" s="159"/>
      <c r="S173" s="159"/>
      <c r="T173" s="159"/>
      <c r="U173" s="159"/>
      <c r="V173" s="159"/>
      <c r="W173" s="159"/>
    </row>
    <row r="174" ht="14.25" customHeight="1">
      <c r="A174" s="149"/>
      <c r="B174" s="13">
        <v>2188584.0</v>
      </c>
      <c r="C174" s="14">
        <v>46162.731527777774</v>
      </c>
      <c r="D174" s="210" t="s">
        <v>101</v>
      </c>
      <c r="E174" s="211" t="s">
        <v>231</v>
      </c>
      <c r="F174" s="212"/>
      <c r="G174" s="210" t="s">
        <v>629</v>
      </c>
      <c r="H174" s="170"/>
      <c r="I174" s="170"/>
      <c r="J174" s="156" t="s">
        <v>6914</v>
      </c>
      <c r="K174" s="156"/>
      <c r="L174" s="157" t="str">
        <f>IFERROR(__xludf.DUMMYFUNCTION("IF(
  AND(D174=""Saída"", J174=""Sangria""),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'""&amp;K174&amp;""'
             and Col6 = ""&amp;N174&amp;""
             and Col4 = date '""&amp;TEXT(C174,""yyyy-mm-dd"")&amp;""'""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'""&amp;K174&amp;""'
               and Col6 = ""&amp;N174&amp;""
               and Col4 = date '""&amp;TEXT(C174,""yyyy-mm-dd"")&amp;""'""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'""&amp;"&amp;"K174&amp;""'
                 and Col6 = ""&amp;N174&amp;""
                 and Col4 = date '""&amp;TEXT(C174,""yyyy-mm-dd"")&amp;""'""
            )
          )&gt;0,
          ""Confirmada"",
          ""Caixa Sangria""
        )
      )
    ),
    """"
  ),
  """"
)
"),"")</f>
        <v/>
      </c>
      <c r="M174" s="207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159">
        <f>IFERROR(__xludf.DUMMYFUNCTION("ifna(VALUE(REGEXEXTRACT(E174,""[0-9.]+[,]+[0-9]+"")))"),10.0)</f>
        <v>10</v>
      </c>
      <c r="O174" s="159"/>
      <c r="P174" s="159"/>
      <c r="Q174" s="159"/>
      <c r="R174" s="159"/>
      <c r="S174" s="159"/>
      <c r="T174" s="159"/>
      <c r="U174" s="159"/>
      <c r="V174" s="159"/>
      <c r="W174" s="159"/>
    </row>
    <row r="175" ht="14.25" customHeight="1">
      <c r="A175" s="149"/>
      <c r="B175" s="13">
        <v>2188585.0</v>
      </c>
      <c r="C175" s="14">
        <v>46162.732569444444</v>
      </c>
      <c r="D175" s="210" t="s">
        <v>101</v>
      </c>
      <c r="E175" s="211" t="s">
        <v>841</v>
      </c>
      <c r="F175" s="212"/>
      <c r="G175" s="210" t="s">
        <v>438</v>
      </c>
      <c r="H175" s="170"/>
      <c r="I175" s="170"/>
      <c r="J175" s="156" t="s">
        <v>12818</v>
      </c>
      <c r="K175" s="156"/>
      <c r="L175" s="157" t="str">
        <f>IFERROR(__xludf.DUMMYFUNCTION("IF(
  AND(D175=""Saída"", J175=""Sangria""),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'""&amp;K175&amp;""'
             and Col6 = ""&amp;N175&amp;""
             and Col4 = date '""&amp;TEXT(C175,""yyyy-mm-dd"")&amp;""'""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'""&amp;K175&amp;""'
               and Col6 = ""&amp;N175&amp;""
               and Col4 = date '""&amp;TEXT(C175,""yyyy-mm-dd"")&amp;""'""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'""&amp;"&amp;"K175&amp;""'
                 and Col6 = ""&amp;N175&amp;""
                 and Col4 = date '""&amp;TEXT(C175,""yyyy-mm-dd"")&amp;""'""
            )
          )&gt;0,
          ""Confirmada"",
          ""Caixa Sangria""
        )
      )
    ),
    """"
  ),
  """"
)
"),"")</f>
        <v/>
      </c>
      <c r="M175" s="209" t="str">
        <f>IFERROR(__xludf.DUMMYFUNCTION("IF(J175=""Compra de Mercadorias"",
   IF(
      COUNTIF(ARRAYFORMULA(TRIM(CLEAN(TO_TEXT(Notas!BS:BS)))), TRIM(CLEAN(TO_TEXT(B175)))) &gt; 0,
      ""Encontrada"",
      ""Não Encontrada""
   ),
"""")"),"Não Encontrada")</f>
        <v>Não Encontrada</v>
      </c>
      <c r="N175" s="159">
        <f>IFERROR(__xludf.DUMMYFUNCTION("ifna(VALUE(REGEXEXTRACT(E175,""[0-9.]+[,]+[0-9]+"")))"),5.25)</f>
        <v>5.25</v>
      </c>
      <c r="O175" s="159"/>
      <c r="P175" s="159"/>
      <c r="Q175" s="159"/>
      <c r="R175" s="159"/>
      <c r="S175" s="159"/>
      <c r="T175" s="159"/>
      <c r="U175" s="159"/>
      <c r="V175" s="159"/>
      <c r="W175" s="159"/>
    </row>
    <row r="176" ht="14.25" customHeight="1">
      <c r="A176" s="149"/>
      <c r="B176" s="13">
        <v>2188892.0</v>
      </c>
      <c r="C176" s="14">
        <v>46162.86866898148</v>
      </c>
      <c r="D176" s="210" t="s">
        <v>101</v>
      </c>
      <c r="E176" s="211" t="s">
        <v>845</v>
      </c>
      <c r="F176" s="212"/>
      <c r="G176" s="210" t="s">
        <v>600</v>
      </c>
      <c r="H176" s="170"/>
      <c r="I176" s="170"/>
      <c r="J176" s="156" t="s">
        <v>6914</v>
      </c>
      <c r="K176" s="156"/>
      <c r="L176" s="157" t="str">
        <f>IFERROR(__xludf.DUMMYFUNCTION("IF(
  AND(D176=""Saída"", J176=""Sangria""),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'""&amp;K176&amp;""'
             and Col6 = ""&amp;N176&amp;""
             and Col4 = date '""&amp;TEXT(C176,""yyyy-mm-dd"")&amp;""'""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'""&amp;K176&amp;""'
               and Col6 = ""&amp;N176&amp;""
               and Col4 = date '""&amp;TEXT(C176,""yyyy-mm-dd"")&amp;""'""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'""&amp;"&amp;"K176&amp;""'
                 and Col6 = ""&amp;N176&amp;""
                 and Col4 = date '""&amp;TEXT(C176,""yyyy-mm-dd"")&amp;""'""
            )
          )&gt;0,
          ""Confirmada"",
          ""Caixa Sangria""
        )
      )
    ),
    """"
  ),
  """"
)
"),"")</f>
        <v/>
      </c>
      <c r="M176" s="207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159">
        <f>IFERROR(__xludf.DUMMYFUNCTION("ifna(VALUE(REGEXEXTRACT(E176,""[0-9.]+[,]+[0-9]+"")))"),26.0)</f>
        <v>26</v>
      </c>
      <c r="O176" s="159"/>
      <c r="P176" s="159"/>
      <c r="Q176" s="159"/>
      <c r="R176" s="159"/>
      <c r="S176" s="159"/>
      <c r="T176" s="159"/>
      <c r="U176" s="159"/>
      <c r="V176" s="159"/>
      <c r="W176" s="159"/>
    </row>
    <row r="177" ht="14.25" customHeight="1">
      <c r="A177" s="149"/>
      <c r="B177" s="13">
        <v>2189837.0</v>
      </c>
      <c r="C177" s="14">
        <v>46163.715416666666</v>
      </c>
      <c r="D177" s="210" t="s">
        <v>139</v>
      </c>
      <c r="E177" s="211" t="s">
        <v>141</v>
      </c>
      <c r="F177" s="212"/>
      <c r="G177" s="210" t="s">
        <v>272</v>
      </c>
      <c r="H177" s="170"/>
      <c r="I177" s="170"/>
      <c r="J177" s="156" t="s">
        <v>12952</v>
      </c>
      <c r="K177" s="156"/>
      <c r="L177" s="157" t="str">
        <f>IFERROR(__xludf.DUMMYFUNCTION("IF(
  AND(D177=""Saída"", J177=""Sangria""),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'""&amp;K177&amp;""'
             and Col6 = ""&amp;N177&amp;""
             and Col4 = date '""&amp;TEXT(C177,""yyyy-mm-dd"")&amp;""'""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'""&amp;K177&amp;""'
               and Col6 = ""&amp;N177&amp;""
               and Col4 = date '""&amp;TEXT(C177,""yyyy-mm-dd"")&amp;""'""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'""&amp;"&amp;"K177&amp;""'
                 and Col6 = ""&amp;N177&amp;""
                 and Col4 = date '""&amp;TEXT(C177,""yyyy-mm-dd"")&amp;""'""
            )
          )&gt;0,
          ""Confirmada"",
          ""Caixa Sangria""
        )
      )
    ),
    """"
  ),
  """"
)
"),"")</f>
        <v/>
      </c>
      <c r="M177" s="209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159">
        <f>IFERROR(__xludf.DUMMYFUNCTION("ifna(VALUE(REGEXEXTRACT(E177,""[0-9.]+[,]+[0-9]+"")))"),50.0)</f>
        <v>50</v>
      </c>
      <c r="O177" s="159"/>
      <c r="P177" s="159"/>
      <c r="Q177" s="159"/>
      <c r="R177" s="159"/>
      <c r="S177" s="159"/>
      <c r="T177" s="159"/>
      <c r="U177" s="159"/>
      <c r="V177" s="159"/>
      <c r="W177" s="159"/>
    </row>
    <row r="178" ht="14.25" customHeight="1">
      <c r="A178" s="149"/>
      <c r="B178" s="13">
        <v>2189845.0</v>
      </c>
      <c r="C178" s="14">
        <v>46163.71703703704</v>
      </c>
      <c r="D178" s="210" t="s">
        <v>101</v>
      </c>
      <c r="E178" s="211" t="s">
        <v>231</v>
      </c>
      <c r="F178" s="212"/>
      <c r="G178" s="210" t="s">
        <v>133</v>
      </c>
      <c r="H178" s="170"/>
      <c r="I178" s="170"/>
      <c r="J178" s="156" t="s">
        <v>6914</v>
      </c>
      <c r="K178" s="156"/>
      <c r="L178" s="157" t="str">
        <f>IFERROR(__xludf.DUMMYFUNCTION("IF(
  AND(D178=""Saída"", J178=""Sangria""),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'""&amp;K178&amp;""'
             and Col6 = ""&amp;N178&amp;""
             and Col4 = date '""&amp;TEXT(C178,""yyyy-mm-dd"")&amp;""'""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'""&amp;K178&amp;""'
               and Col6 = ""&amp;N178&amp;""
               and Col4 = date '""&amp;TEXT(C178,""yyyy-mm-dd"")&amp;""'""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'""&amp;"&amp;"K178&amp;""'
                 and Col6 = ""&amp;N178&amp;""
                 and Col4 = date '""&amp;TEXT(C178,""yyyy-mm-dd"")&amp;""'""
            )
          )&gt;0,
          ""Confirmada"",
          ""Caixa Sangria""
        )
      )
    ),
    """"
  ),
  """"
)
"),"")</f>
        <v/>
      </c>
      <c r="M178" s="207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159">
        <f>IFERROR(__xludf.DUMMYFUNCTION("ifna(VALUE(REGEXEXTRACT(E178,""[0-9.]+[,]+[0-9]+"")))"),10.0)</f>
        <v>10</v>
      </c>
      <c r="O178" s="159"/>
      <c r="P178" s="159"/>
      <c r="Q178" s="159"/>
      <c r="R178" s="159"/>
      <c r="S178" s="159"/>
      <c r="T178" s="159"/>
      <c r="U178" s="159"/>
      <c r="V178" s="159"/>
      <c r="W178" s="159"/>
    </row>
    <row r="179" ht="14.25" customHeight="1">
      <c r="A179" s="149"/>
      <c r="B179" s="13">
        <v>2189855.0</v>
      </c>
      <c r="C179" s="14">
        <v>46163.72130787037</v>
      </c>
      <c r="D179" s="210" t="s">
        <v>101</v>
      </c>
      <c r="E179" s="211" t="s">
        <v>256</v>
      </c>
      <c r="F179" s="212"/>
      <c r="G179" s="210" t="s">
        <v>857</v>
      </c>
      <c r="H179" s="170"/>
      <c r="I179" s="170"/>
      <c r="J179" s="156" t="s">
        <v>12778</v>
      </c>
      <c r="K179" s="156" t="s">
        <v>11866</v>
      </c>
      <c r="L179" s="157" t="str">
        <f>IFERROR(__xludf.DUMMYFUNCTION("IF(
  AND(D179=""Saída"", J179=""Sangria""),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'""&amp;K179&amp;""'
             and Col6 = ""&amp;N179&amp;""
             and Col4 = date '""&amp;TEXT(C179,""yyyy-mm-dd"")&amp;""'""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'""&amp;K179&amp;""'
               and Col6 = ""&amp;N179&amp;""
               and Col4 = date '""&amp;TEXT(C179,""yyyy-mm-dd"")&amp;""'""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'""&amp;"&amp;"K179&amp;""'
                 and Col6 = ""&amp;N179&amp;""
                 and Col4 = date '""&amp;TEXT(C179,""yyyy-mm-dd"")&amp;""'""
            )
          )&gt;0,
          ""Confirmada"",
          ""Caixa Sangria""
        )
      )
    ),
    """"
  ),
  """"
)
"),"Confirmada")</f>
        <v>Confirmada</v>
      </c>
      <c r="M179" s="209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159">
        <f>IFERROR(__xludf.DUMMYFUNCTION("ifna(VALUE(REGEXEXTRACT(E179,""[0-9.]+[,]+[0-9]+"")))"),300.0)</f>
        <v>300</v>
      </c>
      <c r="O179" s="159"/>
      <c r="P179" s="159"/>
      <c r="Q179" s="159"/>
      <c r="R179" s="159"/>
      <c r="S179" s="159"/>
      <c r="T179" s="159"/>
      <c r="U179" s="159"/>
      <c r="V179" s="159"/>
      <c r="W179" s="159"/>
    </row>
    <row r="180" ht="14.25" customHeight="1">
      <c r="A180" s="149"/>
      <c r="B180" s="13">
        <v>2190111.0</v>
      </c>
      <c r="C180" s="14">
        <v>46163.86519675926</v>
      </c>
      <c r="D180" s="210" t="s">
        <v>101</v>
      </c>
      <c r="E180" s="211" t="s">
        <v>398</v>
      </c>
      <c r="F180" s="212"/>
      <c r="G180" s="210" t="s">
        <v>512</v>
      </c>
      <c r="H180" s="170"/>
      <c r="I180" s="170"/>
      <c r="J180" s="156" t="s">
        <v>6914</v>
      </c>
      <c r="K180" s="156"/>
      <c r="L180" s="157" t="str">
        <f>IFERROR(__xludf.DUMMYFUNCTION("IF(
  AND(D180=""Saída"", J180=""Sangria""),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'""&amp;K180&amp;""'
             and Col6 = ""&amp;N180&amp;""
             and Col4 = date '""&amp;TEXT(C180,""yyyy-mm-dd"")&amp;""'""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'""&amp;K180&amp;""'
               and Col6 = ""&amp;N180&amp;""
               and Col4 = date '""&amp;TEXT(C180,""yyyy-mm-dd"")&amp;""'""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'""&amp;"&amp;"K180&amp;""'
                 and Col6 = ""&amp;N180&amp;""
                 and Col4 = date '""&amp;TEXT(C180,""yyyy-mm-dd"")&amp;""'""
            )
          )&gt;0,
          ""Confirmada"",
          ""Caixa Sangria""
        )
      )
    ),
    """"
  ),
  """"
)
"),"")</f>
        <v/>
      </c>
      <c r="M180" s="207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159">
        <f>IFERROR(__xludf.DUMMYFUNCTION("ifna(VALUE(REGEXEXTRACT(E180,""[0-9.]+[,]+[0-9]+"")))"),12.0)</f>
        <v>12</v>
      </c>
      <c r="O180" s="159"/>
      <c r="P180" s="159"/>
      <c r="Q180" s="159"/>
      <c r="R180" s="159"/>
      <c r="S180" s="159"/>
      <c r="T180" s="159"/>
      <c r="U180" s="159"/>
      <c r="V180" s="159"/>
      <c r="W180" s="159"/>
    </row>
    <row r="181" ht="14.25" customHeight="1">
      <c r="A181" s="149"/>
      <c r="B181" s="13">
        <v>2191004.0</v>
      </c>
      <c r="C181" s="14">
        <v>46164.70159722222</v>
      </c>
      <c r="D181" s="13" t="s">
        <v>139</v>
      </c>
      <c r="E181" s="13" t="s">
        <v>213</v>
      </c>
      <c r="F181" s="15"/>
      <c r="G181" s="13" t="s">
        <v>866</v>
      </c>
      <c r="H181" s="170"/>
      <c r="I181" s="170"/>
      <c r="J181" s="156" t="s">
        <v>13783</v>
      </c>
      <c r="K181" s="156"/>
      <c r="L181" s="157" t="str">
        <f>IFERROR(__xludf.DUMMYFUNCTION("IF(
  AND(D181=""Saída"", J181=""Sangria""),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'""&amp;K181&amp;""'
             and Col6 = ""&amp;N181&amp;""
             and Col4 = date '""&amp;TEXT(C181,""yyyy-mm-dd"")&amp;""'""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'""&amp;K181&amp;""'
               and Col6 = ""&amp;N181&amp;""
               and Col4 = date '""&amp;TEXT(C181,""yyyy-mm-dd"")&amp;""'""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'""&amp;"&amp;"K181&amp;""'
                 and Col6 = ""&amp;N181&amp;""
                 and Col4 = date '""&amp;TEXT(C181,""yyyy-mm-dd"")&amp;""'""
            )
          )&gt;0,
          ""Confirmada"",
          ""Caixa Sangria""
        )
      )
    ),
    """"
  ),
  """"
)
"),"")</f>
        <v/>
      </c>
      <c r="M181" s="209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159">
        <f>IFERROR(__xludf.DUMMYFUNCTION("ifna(VALUE(REGEXEXTRACT(E181,""[0-9.]+[,]+[0-9]+"")))"),200.0)</f>
        <v>200</v>
      </c>
      <c r="O181" s="159"/>
      <c r="P181" s="159"/>
      <c r="Q181" s="159"/>
      <c r="R181" s="159"/>
      <c r="S181" s="159"/>
      <c r="T181" s="159"/>
      <c r="U181" s="159"/>
      <c r="V181" s="159"/>
      <c r="W181" s="159"/>
    </row>
    <row r="182" ht="14.25" customHeight="1">
      <c r="A182" s="149"/>
      <c r="B182" s="13">
        <v>2191005.0</v>
      </c>
      <c r="C182" s="14">
        <v>46164.70175925926</v>
      </c>
      <c r="D182" s="13" t="s">
        <v>139</v>
      </c>
      <c r="E182" s="13" t="s">
        <v>201</v>
      </c>
      <c r="F182" s="15"/>
      <c r="G182" s="13" t="s">
        <v>869</v>
      </c>
      <c r="H182" s="170"/>
      <c r="I182" s="170"/>
      <c r="J182" s="156" t="s">
        <v>13783</v>
      </c>
      <c r="K182" s="156"/>
      <c r="L182" s="157" t="str">
        <f>IFERROR(__xludf.DUMMYFUNCTION("IF(
  AND(D182=""Saída"", J182=""Sangria""),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'""&amp;K182&amp;""'
             and Col6 = ""&amp;N182&amp;""
             and Col4 = date '""&amp;TEXT(C182,""yyyy-mm-dd"")&amp;""'""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'""&amp;K182&amp;""'
               and Col6 = ""&amp;N182&amp;""
               and Col4 = date '""&amp;TEXT(C182,""yyyy-mm-dd"")&amp;""'""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'""&amp;"&amp;"K182&amp;""'
                 and Col6 = ""&amp;N182&amp;""
                 and Col4 = date '""&amp;TEXT(C182,""yyyy-mm-dd"")&amp;""'""
            )
          )&gt;0,
          ""Confirmada"",
          ""Caixa Sangria""
        )
      )
    ),
    """"
  ),
  """"
)
"),"")</f>
        <v/>
      </c>
      <c r="M182" s="207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159">
        <f>IFERROR(__xludf.DUMMYFUNCTION("ifna(VALUE(REGEXEXTRACT(E182,""[0-9.]+[,]+[0-9]+"")))"),150.0)</f>
        <v>150</v>
      </c>
      <c r="O182" s="159"/>
      <c r="P182" s="159"/>
      <c r="Q182" s="159"/>
      <c r="R182" s="159"/>
      <c r="S182" s="159"/>
      <c r="T182" s="159"/>
      <c r="U182" s="159"/>
      <c r="V182" s="159"/>
      <c r="W182" s="159"/>
    </row>
    <row r="183" ht="14.25" customHeight="1">
      <c r="A183" s="149"/>
      <c r="B183" s="13">
        <v>2191008.0</v>
      </c>
      <c r="C183" s="14">
        <v>46164.702511574076</v>
      </c>
      <c r="D183" s="13" t="s">
        <v>101</v>
      </c>
      <c r="E183" s="13" t="s">
        <v>876</v>
      </c>
      <c r="F183" s="15"/>
      <c r="G183" s="13" t="s">
        <v>877</v>
      </c>
      <c r="H183" s="170"/>
      <c r="I183" s="170"/>
      <c r="J183" s="156" t="s">
        <v>12818</v>
      </c>
      <c r="K183" s="156"/>
      <c r="L183" s="157" t="str">
        <f>IFERROR(__xludf.DUMMYFUNCTION("IF(
  AND(D183=""Saída"", J183=""Sangria""),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'""&amp;K183&amp;""'
             and Col6 = ""&amp;N183&amp;""
             and Col4 = date '""&amp;TEXT(C183,""yyyy-mm-dd"")&amp;""'""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'""&amp;K183&amp;""'
               and Col6 = ""&amp;N183&amp;""
               and Col4 = date '""&amp;TEXT(C183,""yyyy-mm-dd"")&amp;""'""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'""&amp;"&amp;"K183&amp;""'
                 and Col6 = ""&amp;N183&amp;""
                 and Col4 = date '""&amp;TEXT(C183,""yyyy-mm-dd"")&amp;""'""
            )
          )&gt;0,
          ""Confirmada"",
          ""Caixa Sangria""
        )
      )
    ),
    """"
  ),
  """"
)
"),"")</f>
        <v/>
      </c>
      <c r="M183" s="209" t="str">
        <f>IFERROR(__xludf.DUMMYFUNCTION("IF(J183=""Compra de Mercadorias"",
   IF(
      COUNTIF(ARRAYFORMULA(TRIM(CLEAN(TO_TEXT(Notas!BS:BS)))), TRIM(CLEAN(TO_TEXT(B183)))) &gt; 0,
      ""Encontrada"",
      ""Não Encontrada""
   ),
"""")"),"Não Encontrada")</f>
        <v>Não Encontrada</v>
      </c>
      <c r="N183" s="159">
        <f>IFERROR(__xludf.DUMMYFUNCTION("ifna(VALUE(REGEXEXTRACT(E183,""[0-9.]+[,]+[0-9]+"")))"),378.0)</f>
        <v>378</v>
      </c>
      <c r="O183" s="159"/>
      <c r="P183" s="159"/>
      <c r="Q183" s="159"/>
      <c r="R183" s="159"/>
      <c r="S183" s="159"/>
      <c r="T183" s="159"/>
      <c r="U183" s="159"/>
      <c r="V183" s="159"/>
      <c r="W183" s="159"/>
    </row>
    <row r="184" ht="14.25" customHeight="1">
      <c r="A184" s="149"/>
      <c r="B184" s="13">
        <v>2191012.0</v>
      </c>
      <c r="C184" s="14">
        <v>46164.70337962963</v>
      </c>
      <c r="D184" s="13" t="s">
        <v>101</v>
      </c>
      <c r="E184" s="13" t="s">
        <v>879</v>
      </c>
      <c r="F184" s="15"/>
      <c r="G184" s="13" t="s">
        <v>881</v>
      </c>
      <c r="H184" s="170"/>
      <c r="I184" s="170"/>
      <c r="J184" s="156" t="s">
        <v>12818</v>
      </c>
      <c r="K184" s="156"/>
      <c r="L184" s="157" t="str">
        <f>IFERROR(__xludf.DUMMYFUNCTION("IF(
  AND(D184=""Saída"", J184=""Sangria""),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'""&amp;K184&amp;""'
             and Col6 = ""&amp;N184&amp;""
             and Col4 = date '""&amp;TEXT(C184,""yyyy-mm-dd"")&amp;""'""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'""&amp;K184&amp;""'
               and Col6 = ""&amp;N184&amp;""
               and Col4 = date '""&amp;TEXT(C184,""yyyy-mm-dd"")&amp;""'""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'""&amp;"&amp;"K184&amp;""'
                 and Col6 = ""&amp;N184&amp;""
                 and Col4 = date '""&amp;TEXT(C184,""yyyy-mm-dd"")&amp;""'""
            )
          )&gt;0,
          ""Confirmada"",
          ""Caixa Sangria""
        )
      )
    ),
    """"
  ),
  """"
)
"),"")</f>
        <v/>
      </c>
      <c r="M184" s="207" t="str">
        <f>IFERROR(__xludf.DUMMYFUNCTION("IF(J184=""Compra de Mercadorias"",
   IF(
      COUNTIF(ARRAYFORMULA(TRIM(CLEAN(TO_TEXT(Notas!BS:BS)))), TRIM(CLEAN(TO_TEXT(B184)))) &gt; 0,
      ""Encontrada"",
      ""Não Encontrada""
   ),
"""")"),"Não Encontrada")</f>
        <v>Não Encontrada</v>
      </c>
      <c r="N184" s="159">
        <f>IFERROR(__xludf.DUMMYFUNCTION("ifna(VALUE(REGEXEXTRACT(E184,""[0-9.]+[,]+[0-9]+"")))"),62.3)</f>
        <v>62.3</v>
      </c>
      <c r="O184" s="159"/>
      <c r="P184" s="159"/>
      <c r="Q184" s="159"/>
      <c r="R184" s="159"/>
      <c r="S184" s="159"/>
      <c r="T184" s="159"/>
      <c r="U184" s="159"/>
      <c r="V184" s="159"/>
      <c r="W184" s="159"/>
    </row>
    <row r="185" ht="14.25" customHeight="1">
      <c r="A185" s="149"/>
      <c r="B185" s="13">
        <v>2191119.0</v>
      </c>
      <c r="C185" s="14">
        <v>46164.73872685185</v>
      </c>
      <c r="D185" s="13" t="s">
        <v>101</v>
      </c>
      <c r="E185" s="13" t="s">
        <v>885</v>
      </c>
      <c r="F185" s="15"/>
      <c r="G185" s="13" t="s">
        <v>133</v>
      </c>
      <c r="H185" s="170"/>
      <c r="I185" s="170"/>
      <c r="J185" s="156" t="s">
        <v>6914</v>
      </c>
      <c r="K185" s="156"/>
      <c r="L185" s="157" t="str">
        <f>IFERROR(__xludf.DUMMYFUNCTION("IF(
  AND(D185=""Saída"", J185=""Sangria""),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'""&amp;K185&amp;""'
             and Col6 = ""&amp;N185&amp;""
             and Col4 = date '""&amp;TEXT(C185,""yyyy-mm-dd"")&amp;""'""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'""&amp;K185&amp;""'
               and Col6 = ""&amp;N185&amp;""
               and Col4 = date '""&amp;TEXT(C185,""yyyy-mm-dd"")&amp;""'""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'""&amp;"&amp;"K185&amp;""'
                 and Col6 = ""&amp;N185&amp;""
                 and Col4 = date '""&amp;TEXT(C185,""yyyy-mm-dd"")&amp;""'""
            )
          )&gt;0,
          ""Confirmada"",
          ""Caixa Sangria""
        )
      )
    ),
    """"
  ),
  """"
)
"),"")</f>
        <v/>
      </c>
      <c r="M185" s="209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159">
        <f>IFERROR(__xludf.DUMMYFUNCTION("ifna(VALUE(REGEXEXTRACT(E185,""[0-9.]+[,]+[0-9]+"")))"),81.0)</f>
        <v>81</v>
      </c>
      <c r="O185" s="159"/>
      <c r="P185" s="159"/>
      <c r="Q185" s="159"/>
      <c r="R185" s="159"/>
      <c r="S185" s="159"/>
      <c r="T185" s="159"/>
      <c r="U185" s="159"/>
      <c r="V185" s="159"/>
      <c r="W185" s="159"/>
    </row>
    <row r="186" ht="14.25" customHeight="1">
      <c r="A186" s="149"/>
      <c r="B186" s="13">
        <v>2191334.0</v>
      </c>
      <c r="C186" s="14">
        <v>46164.86344907407</v>
      </c>
      <c r="D186" s="13" t="s">
        <v>101</v>
      </c>
      <c r="E186" s="13" t="s">
        <v>889</v>
      </c>
      <c r="F186" s="15"/>
      <c r="G186" s="13" t="s">
        <v>334</v>
      </c>
      <c r="H186" s="170"/>
      <c r="I186" s="170"/>
      <c r="J186" s="156" t="s">
        <v>12658</v>
      </c>
      <c r="K186" s="156" t="s">
        <v>13760</v>
      </c>
      <c r="L186" s="157" t="str">
        <f>IFERROR(__xludf.DUMMYFUNCTION("IF(
  AND(D186=""Saída"", J186=""Sangria""),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'""&amp;K186&amp;""'
             and Col6 = ""&amp;N186&amp;""
             and Col4 = date '""&amp;TEXT(C186,""yyyy-mm-dd"")&amp;""'""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'""&amp;K186&amp;""'
               and Col6 = ""&amp;N186&amp;""
               and Col4 = date '""&amp;TEXT(C186,""yyyy-mm-dd"")&amp;""'""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'""&amp;"&amp;"K186&amp;""'
                 and Col6 = ""&amp;N186&amp;""
                 and Col4 = date '""&amp;TEXT(C186,""yyyy-mm-dd"")&amp;""'""
            )
          )&gt;0,
          ""Confirmada"",
          ""Caixa Sangria""
        )
      )
    ),
    """"
  ),
  """"
)
"),"")</f>
        <v/>
      </c>
      <c r="M186" s="207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159">
        <f>IFERROR(__xludf.DUMMYFUNCTION("ifna(VALUE(REGEXEXTRACT(E186,""[0-9.]+[,]+[0-9]+"")))"),42.5)</f>
        <v>42.5</v>
      </c>
      <c r="O186" s="159"/>
      <c r="P186" s="159"/>
      <c r="Q186" s="159"/>
      <c r="R186" s="159"/>
      <c r="S186" s="159"/>
      <c r="T186" s="159"/>
      <c r="U186" s="159"/>
      <c r="V186" s="159"/>
      <c r="W186" s="159"/>
    </row>
    <row r="187" ht="14.25" customHeight="1">
      <c r="A187" s="149"/>
      <c r="B187" s="13">
        <v>2191336.0</v>
      </c>
      <c r="C187" s="14">
        <v>46164.863969907405</v>
      </c>
      <c r="D187" s="13" t="s">
        <v>101</v>
      </c>
      <c r="E187" s="13" t="s">
        <v>252</v>
      </c>
      <c r="F187" s="15"/>
      <c r="G187" s="13" t="s">
        <v>334</v>
      </c>
      <c r="H187" s="170"/>
      <c r="I187" s="170"/>
      <c r="J187" s="156" t="s">
        <v>12658</v>
      </c>
      <c r="K187" s="156" t="s">
        <v>13760</v>
      </c>
      <c r="L187" s="157" t="str">
        <f>IFERROR(__xludf.DUMMYFUNCTION("IF(
  AND(D187=""Saída"", J187=""Sangria""),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'""&amp;K187&amp;""'
             and Col6 = ""&amp;N187&amp;""
             and Col4 = date '""&amp;TEXT(C187,""yyyy-mm-dd"")&amp;""'""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'""&amp;K187&amp;""'
               and Col6 = ""&amp;N187&amp;""
               and Col4 = date '""&amp;TEXT(C187,""yyyy-mm-dd"")&amp;""'""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'""&amp;"&amp;"K187&amp;""'
                 and Col6 = ""&amp;N187&amp;""
                 and Col4 = date '""&amp;TEXT(C187,""yyyy-mm-dd"")&amp;""'""
            )
          )&gt;0,
          ""Confirmada"",
          ""Caixa Sangria""
        )
      )
    ),
    """"
  ),
  """"
)
"),"")</f>
        <v/>
      </c>
      <c r="M187" s="209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159">
        <f>IFERROR(__xludf.DUMMYFUNCTION("ifna(VALUE(REGEXEXTRACT(E187,""[0-9.]+[,]+[0-9]+"")))"),5.0)</f>
        <v>5</v>
      </c>
      <c r="O187" s="159"/>
      <c r="P187" s="159"/>
      <c r="Q187" s="159"/>
      <c r="R187" s="159"/>
      <c r="S187" s="159"/>
      <c r="T187" s="159"/>
      <c r="U187" s="159"/>
      <c r="V187" s="159"/>
      <c r="W187" s="159"/>
    </row>
    <row r="188" ht="14.25" customHeight="1">
      <c r="A188" s="149"/>
      <c r="B188" s="13">
        <v>2191349.0</v>
      </c>
      <c r="C188" s="14">
        <v>46164.87123842593</v>
      </c>
      <c r="D188" s="13" t="s">
        <v>101</v>
      </c>
      <c r="E188" s="13" t="s">
        <v>599</v>
      </c>
      <c r="F188" s="15"/>
      <c r="G188" s="13" t="s">
        <v>600</v>
      </c>
      <c r="H188" s="170"/>
      <c r="I188" s="170"/>
      <c r="J188" s="156" t="s">
        <v>6914</v>
      </c>
      <c r="K188" s="156"/>
      <c r="L188" s="157" t="str">
        <f>IFERROR(__xludf.DUMMYFUNCTION("IF(
  AND(D188=""Saída"", J188=""Sangria""),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'""&amp;K188&amp;""'
             and Col6 = ""&amp;N188&amp;""
             and Col4 = date '""&amp;TEXT(C188,""yyyy-mm-dd"")&amp;""'""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'""&amp;K188&amp;""'
               and Col6 = ""&amp;N188&amp;""
               and Col4 = date '""&amp;TEXT(C188,""yyyy-mm-dd"")&amp;""'""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'""&amp;"&amp;"K188&amp;""'
                 and Col6 = ""&amp;N188&amp;""
                 and Col4 = date '""&amp;TEXT(C188,""yyyy-mm-dd"")&amp;""'""
            )
          )&gt;0,
          ""Confirmada"",
          ""Caixa Sangria""
        )
      )
    ),
    """"
  ),
  """"
)
"),"")</f>
        <v/>
      </c>
      <c r="M188" s="207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159">
        <f>IFERROR(__xludf.DUMMYFUNCTION("ifna(VALUE(REGEXEXTRACT(E188,""[0-9.]+[,]+[0-9]+"")))"),11.0)</f>
        <v>11</v>
      </c>
      <c r="O188" s="159"/>
      <c r="P188" s="159"/>
      <c r="Q188" s="159"/>
      <c r="R188" s="159"/>
      <c r="S188" s="159"/>
      <c r="T188" s="159"/>
      <c r="U188" s="159"/>
      <c r="V188" s="159"/>
      <c r="W188" s="159"/>
    </row>
    <row r="189" ht="14.25" customHeight="1">
      <c r="A189" s="149"/>
      <c r="B189" s="13">
        <v>2192339.0</v>
      </c>
      <c r="C189" s="14">
        <v>46165.74957175926</v>
      </c>
      <c r="D189" s="210" t="s">
        <v>101</v>
      </c>
      <c r="E189" s="211" t="s">
        <v>901</v>
      </c>
      <c r="F189" s="212"/>
      <c r="G189" s="210" t="s">
        <v>133</v>
      </c>
      <c r="H189" s="170"/>
      <c r="I189" s="170"/>
      <c r="J189" s="156" t="s">
        <v>6914</v>
      </c>
      <c r="K189" s="156"/>
      <c r="L189" s="157" t="str">
        <f>IFERROR(__xludf.DUMMYFUNCTION("IF(
  AND(D189=""Saída"", J189=""Sangria""),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'""&amp;K189&amp;""'
             and Col6 = ""&amp;N189&amp;""
             and Col4 = date '""&amp;TEXT(C189,""yyyy-mm-dd"")&amp;""'""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'""&amp;K189&amp;""'
               and Col6 = ""&amp;N189&amp;""
               and Col4 = date '""&amp;TEXT(C189,""yyyy-mm-dd"")&amp;""'""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'""&amp;"&amp;"K189&amp;""'
                 and Col6 = ""&amp;N189&amp;""
                 and Col4 = date '""&amp;TEXT(C189,""yyyy-mm-dd"")&amp;""'""
            )
          )&gt;0,
          ""Confirmada"",
          ""Caixa Sangria""
        )
      )
    ),
    """"
  ),
  """"
)
"),"")</f>
        <v/>
      </c>
      <c r="M189" s="209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159">
        <f>IFERROR(__xludf.DUMMYFUNCTION("ifna(VALUE(REGEXEXTRACT(E189,""[0-9.]+[,]+[0-9]+"")))"),108.0)</f>
        <v>108</v>
      </c>
      <c r="O189" s="159"/>
      <c r="P189" s="159"/>
      <c r="Q189" s="159"/>
      <c r="R189" s="159"/>
      <c r="S189" s="159"/>
      <c r="T189" s="159"/>
      <c r="U189" s="159"/>
      <c r="V189" s="159"/>
      <c r="W189" s="159"/>
    </row>
    <row r="190" ht="14.25" customHeight="1">
      <c r="A190" s="149"/>
      <c r="B190" s="13">
        <v>2192621.0</v>
      </c>
      <c r="C190" s="14">
        <v>46165.87431712963</v>
      </c>
      <c r="D190" s="210" t="s">
        <v>101</v>
      </c>
      <c r="E190" s="211" t="s">
        <v>907</v>
      </c>
      <c r="F190" s="212"/>
      <c r="G190" s="210" t="s">
        <v>629</v>
      </c>
      <c r="H190" s="170"/>
      <c r="I190" s="170"/>
      <c r="J190" s="156" t="s">
        <v>6914</v>
      </c>
      <c r="K190" s="156"/>
      <c r="L190" s="157" t="str">
        <f>IFERROR(__xludf.DUMMYFUNCTION("IF(
  AND(D190=""Saída"", J190=""Sangria""),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'""&amp;K190&amp;""'
             and Col6 = ""&amp;N190&amp;""
             and Col4 = date '""&amp;TEXT(C190,""yyyy-mm-dd"")&amp;""'""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'""&amp;K190&amp;""'
               and Col6 = ""&amp;N190&amp;""
               and Col4 = date '""&amp;TEXT(C190,""yyyy-mm-dd"")&amp;""'""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'""&amp;"&amp;"K190&amp;""'
                 and Col6 = ""&amp;N190&amp;""
                 and Col4 = date '""&amp;TEXT(C190,""yyyy-mm-dd"")&amp;""'""
            )
          )&gt;0,
          ""Confirmada"",
          ""Caixa Sangria""
        )
      )
    ),
    """"
  ),
  """"
)
"),"")</f>
        <v/>
      </c>
      <c r="M190" s="207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159">
        <f>IFERROR(__xludf.DUMMYFUNCTION("ifna(VALUE(REGEXEXTRACT(E190,""[0-9.]+[,]+[0-9]+"")))"),54.0)</f>
        <v>54</v>
      </c>
      <c r="O190" s="159"/>
      <c r="P190" s="159"/>
      <c r="Q190" s="159"/>
      <c r="R190" s="159"/>
      <c r="S190" s="159"/>
      <c r="T190" s="159"/>
      <c r="U190" s="159"/>
      <c r="V190" s="159"/>
      <c r="W190" s="159"/>
    </row>
    <row r="191" ht="14.25" customHeight="1">
      <c r="A191" s="149"/>
      <c r="B191" s="13">
        <v>2192626.0</v>
      </c>
      <c r="C191" s="14">
        <v>46165.87652777778</v>
      </c>
      <c r="D191" s="210" t="s">
        <v>101</v>
      </c>
      <c r="E191" s="211" t="s">
        <v>121</v>
      </c>
      <c r="F191" s="212"/>
      <c r="G191" s="210" t="s">
        <v>910</v>
      </c>
      <c r="H191" s="170"/>
      <c r="I191" s="170"/>
      <c r="J191" s="156" t="s">
        <v>10036</v>
      </c>
      <c r="K191" s="156"/>
      <c r="L191" s="157" t="str">
        <f>IFERROR(__xludf.DUMMYFUNCTION("IF(
  AND(D191=""Saída"", J191=""Sangria""),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'""&amp;K191&amp;""'
             and Col6 = ""&amp;N191&amp;""
             and Col4 = date '""&amp;TEXT(C191,""yyyy-mm-dd"")&amp;""'""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'""&amp;K191&amp;""'
               and Col6 = ""&amp;N191&amp;""
               and Col4 = date '""&amp;TEXT(C191,""yyyy-mm-dd"")&amp;""'""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'""&amp;"&amp;"K191&amp;""'
                 and Col6 = ""&amp;N191&amp;""
                 and Col4 = date '""&amp;TEXT(C191,""yyyy-mm-dd"")&amp;""'""
            )
          )&gt;0,
          ""Confirmada"",
          ""Caixa Sangria""
        )
      )
    ),
    """"
  ),
  """"
)
"),"")</f>
        <v/>
      </c>
      <c r="M191" s="209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159">
        <f>IFERROR(__xludf.DUMMYFUNCTION("ifna(VALUE(REGEXEXTRACT(E191,""[0-9.]+[,]+[0-9]+"")))"),135.0)</f>
        <v>135</v>
      </c>
      <c r="O191" s="159"/>
      <c r="P191" s="159"/>
      <c r="Q191" s="159"/>
      <c r="R191" s="159"/>
      <c r="S191" s="159"/>
      <c r="T191" s="159"/>
      <c r="U191" s="159"/>
      <c r="V191" s="159"/>
      <c r="W191" s="159"/>
    </row>
    <row r="192" ht="14.25" customHeight="1">
      <c r="A192" s="149"/>
      <c r="B192" s="13">
        <v>2192630.0</v>
      </c>
      <c r="C192" s="14">
        <v>46165.8783912037</v>
      </c>
      <c r="D192" s="210" t="s">
        <v>101</v>
      </c>
      <c r="E192" s="211" t="s">
        <v>213</v>
      </c>
      <c r="F192" s="212"/>
      <c r="G192" s="210" t="s">
        <v>914</v>
      </c>
      <c r="H192" s="170"/>
      <c r="I192" s="170"/>
      <c r="J192" s="156" t="s">
        <v>12778</v>
      </c>
      <c r="K192" s="156" t="s">
        <v>11866</v>
      </c>
      <c r="L192" s="157" t="str">
        <f>IFERROR(__xludf.DUMMYFUNCTION("IF(
  AND(D192=""Saída"", J192=""Sangria""),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'""&amp;K192&amp;""'
             and Col6 = ""&amp;N192&amp;""
             and Col4 = date '""&amp;TEXT(C192,""yyyy-mm-dd"")&amp;""'""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'""&amp;K192&amp;""'
               and Col6 = ""&amp;N192&amp;""
               and Col4 = date '""&amp;TEXT(C192,""yyyy-mm-dd"")&amp;""'""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'""&amp;"&amp;"K192&amp;""'
                 and Col6 = ""&amp;N192&amp;""
                 and Col4 = date '""&amp;TEXT(C192,""yyyy-mm-dd"")&amp;""'""
            )
          )&gt;0,
          ""Confirmada"",
          ""Caixa Sangria""
        )
      )
    ),
    """"
  ),
  """"
)
"),"Confirmada")</f>
        <v>Confirmada</v>
      </c>
      <c r="M192" s="207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159">
        <f>IFERROR(__xludf.DUMMYFUNCTION("ifna(VALUE(REGEXEXTRACT(E192,""[0-9.]+[,]+[0-9]+"")))"),200.0)</f>
        <v>200</v>
      </c>
      <c r="O192" s="159"/>
      <c r="P192" s="159"/>
      <c r="Q192" s="159"/>
      <c r="R192" s="159"/>
      <c r="S192" s="159"/>
      <c r="T192" s="159"/>
      <c r="U192" s="159"/>
      <c r="V192" s="159"/>
      <c r="W192" s="159"/>
    </row>
    <row r="193" ht="14.25" customHeight="1">
      <c r="A193" s="149"/>
      <c r="B193" s="13">
        <v>2193820.0</v>
      </c>
      <c r="C193" s="14">
        <v>46166.75947916666</v>
      </c>
      <c r="D193" s="210" t="s">
        <v>101</v>
      </c>
      <c r="E193" s="211" t="s">
        <v>201</v>
      </c>
      <c r="F193" s="214"/>
      <c r="G193" s="210" t="s">
        <v>918</v>
      </c>
      <c r="H193" s="170"/>
      <c r="I193" s="170"/>
      <c r="J193" s="156" t="s">
        <v>6914</v>
      </c>
      <c r="K193" s="156"/>
      <c r="L193" s="157" t="str">
        <f>IFERROR(__xludf.DUMMYFUNCTION("IF(
  AND(D193=""Saída"", J193=""Sangria""),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'""&amp;K193&amp;""'
             and Col6 = ""&amp;N193&amp;""
             and Col4 = date '""&amp;TEXT(C193,""yyyy-mm-dd"")&amp;""'""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'""&amp;K193&amp;""'
               and Col6 = ""&amp;N193&amp;""
               and Col4 = date '""&amp;TEXT(C193,""yyyy-mm-dd"")&amp;""'""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'""&amp;"&amp;"K193&amp;""'
                 and Col6 = ""&amp;N193&amp;""
                 and Col4 = date '""&amp;TEXT(C193,""yyyy-mm-dd"")&amp;""'""
            )
          )&gt;0,
          ""Confirmada"",
          ""Caixa Sangria""
        )
      )
    ),
    """"
  ),
  """"
)
"),"")</f>
        <v/>
      </c>
      <c r="M193" s="209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159">
        <f>IFERROR(__xludf.DUMMYFUNCTION("ifna(VALUE(REGEXEXTRACT(E193,""[0-9.]+[,]+[0-9]+"")))"),150.0)</f>
        <v>150</v>
      </c>
      <c r="O193" s="159"/>
      <c r="P193" s="159"/>
      <c r="Q193" s="159"/>
      <c r="R193" s="159"/>
      <c r="S193" s="159"/>
      <c r="T193" s="159"/>
      <c r="U193" s="159"/>
      <c r="V193" s="159"/>
      <c r="W193" s="159"/>
    </row>
    <row r="194" ht="14.25" customHeight="1">
      <c r="A194" s="149"/>
      <c r="B194" s="13">
        <v>2194239.0</v>
      </c>
      <c r="C194" s="14">
        <v>46166.865</v>
      </c>
      <c r="D194" s="210" t="s">
        <v>101</v>
      </c>
      <c r="E194" s="211" t="s">
        <v>921</v>
      </c>
      <c r="F194" s="212"/>
      <c r="G194" s="210" t="s">
        <v>922</v>
      </c>
      <c r="H194" s="170"/>
      <c r="I194" s="170"/>
      <c r="J194" s="156" t="s">
        <v>6914</v>
      </c>
      <c r="K194" s="156"/>
      <c r="L194" s="157" t="str">
        <f>IFERROR(__xludf.DUMMYFUNCTION("IF(
  AND(D194=""Saída"", J194=""Sangria""),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'""&amp;K194&amp;""'
             and Col6 = ""&amp;N194&amp;""
             and Col4 = date '""&amp;TEXT(C194,""yyyy-mm-dd"")&amp;""'""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'""&amp;K194&amp;""'
               and Col6 = ""&amp;N194&amp;""
               and Col4 = date '""&amp;TEXT(C194,""yyyy-mm-dd"")&amp;""'""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'""&amp;"&amp;"K194&amp;""'
                 and Col6 = ""&amp;N194&amp;""
                 and Col4 = date '""&amp;TEXT(C194,""yyyy-mm-dd"")&amp;""'""
            )
          )&gt;0,
          ""Confirmada"",
          ""Caixa Sangria""
        )
      )
    ),
    """"
  ),
  """"
)
"),"")</f>
        <v/>
      </c>
      <c r="M194" s="207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159">
        <f>IFERROR(__xludf.DUMMYFUNCTION("ifna(VALUE(REGEXEXTRACT(E194,""[0-9.]+[,]+[0-9]+"")))"),57.0)</f>
        <v>57</v>
      </c>
      <c r="O194" s="159"/>
      <c r="P194" s="159"/>
      <c r="Q194" s="159"/>
      <c r="R194" s="159"/>
      <c r="S194" s="159"/>
      <c r="T194" s="159"/>
      <c r="U194" s="159"/>
      <c r="V194" s="159"/>
      <c r="W194" s="159"/>
    </row>
    <row r="195" ht="14.25" customHeight="1">
      <c r="A195" s="149"/>
      <c r="B195" s="13">
        <v>2194248.0</v>
      </c>
      <c r="C195" s="14">
        <v>46166.86646990741</v>
      </c>
      <c r="D195" s="210" t="s">
        <v>101</v>
      </c>
      <c r="E195" s="211" t="s">
        <v>926</v>
      </c>
      <c r="F195" s="212"/>
      <c r="G195" s="210" t="s">
        <v>334</v>
      </c>
      <c r="H195" s="170"/>
      <c r="I195" s="170"/>
      <c r="J195" s="156" t="s">
        <v>12658</v>
      </c>
      <c r="K195" s="156" t="s">
        <v>13760</v>
      </c>
      <c r="L195" s="157" t="str">
        <f>IFERROR(__xludf.DUMMYFUNCTION("IF(
  AND(D195=""Saída"", J195=""Sangria""),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'""&amp;K195&amp;""'
             and Col6 = ""&amp;N195&amp;""
             and Col4 = date '""&amp;TEXT(C195,""yyyy-mm-dd"")&amp;""'""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'""&amp;K195&amp;""'
               and Col6 = ""&amp;N195&amp;""
               and Col4 = date '""&amp;TEXT(C195,""yyyy-mm-dd"")&amp;""'""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'""&amp;"&amp;"K195&amp;""'
                 and Col6 = ""&amp;N195&amp;""
                 and Col4 = date '""&amp;TEXT(C195,""yyyy-mm-dd"")&amp;""'""
            )
          )&gt;0,
          ""Confirmada"",
          ""Caixa Sangria""
        )
      )
    ),
    """"
  ),
  """"
)
"),"")</f>
        <v/>
      </c>
      <c r="M195" s="209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159">
        <f>IFERROR(__xludf.DUMMYFUNCTION("ifna(VALUE(REGEXEXTRACT(E195,""[0-9.]+[,]+[0-9]+"")))"),40.76)</f>
        <v>40.76</v>
      </c>
      <c r="O195" s="159"/>
      <c r="P195" s="159"/>
      <c r="Q195" s="159"/>
      <c r="R195" s="159"/>
      <c r="S195" s="159"/>
      <c r="T195" s="159"/>
      <c r="U195" s="159"/>
      <c r="V195" s="159"/>
      <c r="W195" s="159"/>
    </row>
    <row r="196" ht="14.25" customHeight="1">
      <c r="A196" s="149"/>
      <c r="B196" s="13">
        <v>2194290.0</v>
      </c>
      <c r="C196" s="14">
        <v>46166.87232638889</v>
      </c>
      <c r="D196" s="210" t="s">
        <v>101</v>
      </c>
      <c r="E196" s="211" t="s">
        <v>256</v>
      </c>
      <c r="F196" s="212"/>
      <c r="G196" s="210" t="s">
        <v>930</v>
      </c>
      <c r="H196" s="170"/>
      <c r="I196" s="170"/>
      <c r="J196" s="156" t="s">
        <v>12778</v>
      </c>
      <c r="K196" s="156" t="s">
        <v>13760</v>
      </c>
      <c r="L196" s="157" t="str">
        <f>IFERROR(__xludf.DUMMYFUNCTION("IF(
  AND(D196=""Saída"", J196=""Sangria""),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'""&amp;K196&amp;""'
             and Col6 = ""&amp;N196&amp;""
             and Col4 = date '""&amp;TEXT(C196,""yyyy-mm-dd"")&amp;""'""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'""&amp;K196&amp;""'
               and Col6 = ""&amp;N196&amp;""
               and Col4 = date '""&amp;TEXT(C196,""yyyy-mm-dd"")&amp;""'""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'""&amp;"&amp;"K196&amp;""'
                 and Col6 = ""&amp;N196&amp;""
                 and Col4 = date '""&amp;TEXT(C196,""yyyy-mm-dd"")&amp;""'""
            )
          )&gt;0,
          ""Confirmada"",
          ""Caixa Sangria""
        )
      )
    ),
    """"
  ),
  """"
)
"),"Caixa Atendimento")</f>
        <v>Caixa Atendimento</v>
      </c>
      <c r="M196" s="207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159">
        <f>IFERROR(__xludf.DUMMYFUNCTION("ifna(VALUE(REGEXEXTRACT(E196,""[0-9.]+[,]+[0-9]+"")))"),300.0)</f>
        <v>300</v>
      </c>
      <c r="O196" s="159"/>
      <c r="P196" s="159"/>
      <c r="Q196" s="159"/>
      <c r="R196" s="159"/>
      <c r="S196" s="159"/>
      <c r="T196" s="159"/>
      <c r="U196" s="159"/>
      <c r="V196" s="159"/>
      <c r="W196" s="159"/>
    </row>
    <row r="197" ht="14.25" customHeight="1">
      <c r="A197" s="149"/>
      <c r="B197" s="13">
        <v>2194303.0</v>
      </c>
      <c r="C197" s="14">
        <v>46166.87380787037</v>
      </c>
      <c r="D197" s="210" t="s">
        <v>101</v>
      </c>
      <c r="E197" s="211" t="s">
        <v>121</v>
      </c>
      <c r="F197" s="212"/>
      <c r="G197" s="210" t="s">
        <v>933</v>
      </c>
      <c r="H197" s="170"/>
      <c r="I197" s="170"/>
      <c r="J197" s="156" t="s">
        <v>10036</v>
      </c>
      <c r="K197" s="156"/>
      <c r="L197" s="157" t="str">
        <f>IFERROR(__xludf.DUMMYFUNCTION("IF(
  AND(D197=""Saída"", J197=""Sangria""),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'""&amp;K197&amp;""'
             and Col6 = ""&amp;N197&amp;""
             and Col4 = date '""&amp;TEXT(C197,""yyyy-mm-dd"")&amp;""'""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'""&amp;K197&amp;""'
               and Col6 = ""&amp;N197&amp;""
               and Col4 = date '""&amp;TEXT(C197,""yyyy-mm-dd"")&amp;""'""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'""&amp;"&amp;"K197&amp;""'
                 and Col6 = ""&amp;N197&amp;""
                 and Col4 = date '""&amp;TEXT(C197,""yyyy-mm-dd"")&amp;""'""
            )
          )&gt;0,
          ""Confirmada"",
          ""Caixa Sangria""
        )
      )
    ),
    """"
  ),
  """"
)
"),"")</f>
        <v/>
      </c>
      <c r="M197" s="209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159">
        <f>IFERROR(__xludf.DUMMYFUNCTION("ifna(VALUE(REGEXEXTRACT(E197,""[0-9.]+[,]+[0-9]+"")))"),135.0)</f>
        <v>135</v>
      </c>
      <c r="O197" s="159"/>
      <c r="P197" s="159"/>
      <c r="Q197" s="159"/>
      <c r="R197" s="159"/>
      <c r="S197" s="159"/>
      <c r="T197" s="159"/>
      <c r="U197" s="159"/>
      <c r="V197" s="159"/>
      <c r="W197" s="159"/>
    </row>
    <row r="198" ht="14.25" customHeight="1">
      <c r="A198" s="149"/>
      <c r="B198" s="13">
        <v>2195183.0</v>
      </c>
      <c r="C198" s="14">
        <v>46167.5178125</v>
      </c>
      <c r="D198" s="210" t="s">
        <v>139</v>
      </c>
      <c r="E198" s="211" t="s">
        <v>937</v>
      </c>
      <c r="F198" s="212"/>
      <c r="G198" s="210" t="s">
        <v>142</v>
      </c>
      <c r="H198" s="170"/>
      <c r="I198" s="170"/>
      <c r="J198" s="156" t="s">
        <v>12952</v>
      </c>
      <c r="K198" s="156"/>
      <c r="L198" s="157" t="str">
        <f>IFERROR(__xludf.DUMMYFUNCTION("IF(
  AND(D198=""Saída"", J198=""Sangria""),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'""&amp;K198&amp;""'
             and Col6 = ""&amp;N198&amp;""
             and Col4 = date '""&amp;TEXT(C198,""yyyy-mm-dd"")&amp;""'""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'""&amp;K198&amp;""'
               and Col6 = ""&amp;N198&amp;""
               and Col4 = date '""&amp;TEXT(C198,""yyyy-mm-dd"")&amp;""'""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'""&amp;"&amp;"K198&amp;""'
                 and Col6 = ""&amp;N198&amp;""
                 and Col4 = date '""&amp;TEXT(C198,""yyyy-mm-dd"")&amp;""'""
            )
          )&gt;0,
          ""Confirmada"",
          ""Caixa Sangria""
        )
      )
    ),
    """"
  ),
  """"
)
"),"")</f>
        <v/>
      </c>
      <c r="M198" s="207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159">
        <f>IFERROR(__xludf.DUMMYFUNCTION("ifna(VALUE(REGEXEXTRACT(E198,""[0-9.]+[,]+[0-9]+"")))"),105.0)</f>
        <v>105</v>
      </c>
      <c r="O198" s="159"/>
      <c r="P198" s="159"/>
      <c r="Q198" s="159"/>
      <c r="R198" s="159"/>
      <c r="S198" s="159"/>
      <c r="T198" s="159"/>
      <c r="U198" s="159"/>
      <c r="V198" s="159"/>
      <c r="W198" s="159"/>
    </row>
    <row r="199" ht="14.25" customHeight="1">
      <c r="A199" s="149"/>
      <c r="B199" s="13">
        <v>2195341.0</v>
      </c>
      <c r="C199" s="14">
        <v>46167.61153935185</v>
      </c>
      <c r="D199" s="210" t="s">
        <v>101</v>
      </c>
      <c r="E199" s="211" t="s">
        <v>288</v>
      </c>
      <c r="F199" s="212"/>
      <c r="G199" s="210" t="s">
        <v>940</v>
      </c>
      <c r="H199" s="170"/>
      <c r="I199" s="170"/>
      <c r="J199" s="156" t="s">
        <v>6914</v>
      </c>
      <c r="K199" s="156"/>
      <c r="L199" s="157" t="str">
        <f>IFERROR(__xludf.DUMMYFUNCTION("IF(
  AND(D199=""Saída"", J199=""Sangria""),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'""&amp;K199&amp;""'
             and Col6 = ""&amp;N199&amp;""
             and Col4 = date '""&amp;TEXT(C199,""yyyy-mm-dd"")&amp;""'""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'""&amp;K199&amp;""'
               and Col6 = ""&amp;N199&amp;""
               and Col4 = date '""&amp;TEXT(C199,""yyyy-mm-dd"")&amp;""'""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'""&amp;"&amp;"K199&amp;""'
                 and Col6 = ""&amp;N199&amp;""
                 and Col4 = date '""&amp;TEXT(C199,""yyyy-mm-dd"")&amp;""'""
            )
          )&gt;0,
          ""Confirmada"",
          ""Caixa Sangria""
        )
      )
    ),
    """"
  ),
  """"
)
"),"")</f>
        <v/>
      </c>
      <c r="M199" s="209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159">
        <f>IFERROR(__xludf.DUMMYFUNCTION("ifna(VALUE(REGEXEXTRACT(E199,""[0-9.]+[,]+[0-9]+"")))"),23.0)</f>
        <v>23</v>
      </c>
      <c r="O199" s="159"/>
      <c r="P199" s="159"/>
      <c r="Q199" s="159"/>
      <c r="R199" s="159"/>
      <c r="S199" s="159"/>
      <c r="T199" s="159"/>
      <c r="U199" s="159"/>
      <c r="V199" s="159"/>
      <c r="W199" s="159"/>
    </row>
    <row r="200" ht="14.25" customHeight="1">
      <c r="A200" s="149"/>
      <c r="B200" s="13">
        <v>2195501.0</v>
      </c>
      <c r="C200" s="14">
        <v>46167.68861111111</v>
      </c>
      <c r="D200" s="210" t="s">
        <v>101</v>
      </c>
      <c r="E200" s="211" t="s">
        <v>260</v>
      </c>
      <c r="F200" s="212"/>
      <c r="G200" s="210" t="s">
        <v>944</v>
      </c>
      <c r="H200" s="170"/>
      <c r="I200" s="170"/>
      <c r="J200" s="156" t="s">
        <v>6914</v>
      </c>
      <c r="K200" s="156"/>
      <c r="L200" s="157" t="str">
        <f>IFERROR(__xludf.DUMMYFUNCTION("IF(
  AND(D200=""Saída"", J200=""Sangria""),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'""&amp;K200&amp;""'
             and Col6 = ""&amp;N200&amp;""
             and Col4 = date '""&amp;TEXT(C200,""yyyy-mm-dd"")&amp;""'""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'""&amp;K200&amp;""'
               and Col6 = ""&amp;N200&amp;""
               and Col4 = date '""&amp;TEXT(C200,""yyyy-mm-dd"")&amp;""'""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'""&amp;"&amp;"K200&amp;""'
                 and Col6 = ""&amp;N200&amp;""
                 and Col4 = date '""&amp;TEXT(C200,""yyyy-mm-dd"")&amp;""'""
            )
          )&gt;0,
          ""Confirmada"",
          ""Caixa Sangria""
        )
      )
    ),
    """"
  ),
  """"
)
"),"")</f>
        <v/>
      </c>
      <c r="M200" s="207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159">
        <f>IFERROR(__xludf.DUMMYFUNCTION("ifna(VALUE(REGEXEXTRACT(E200,""[0-9.]+[,]+[0-9]+"")))"),13.0)</f>
        <v>13</v>
      </c>
      <c r="O200" s="159"/>
      <c r="P200" s="159"/>
      <c r="Q200" s="159"/>
      <c r="R200" s="159"/>
      <c r="S200" s="159"/>
      <c r="T200" s="159"/>
      <c r="U200" s="159"/>
      <c r="V200" s="159"/>
      <c r="W200" s="159"/>
    </row>
    <row r="201" ht="14.25" customHeight="1">
      <c r="A201" s="149"/>
      <c r="B201" s="13">
        <v>2195596.0</v>
      </c>
      <c r="C201" s="14">
        <v>46167.73032407407</v>
      </c>
      <c r="D201" s="210" t="s">
        <v>101</v>
      </c>
      <c r="E201" s="211" t="s">
        <v>213</v>
      </c>
      <c r="F201" s="212"/>
      <c r="G201" s="210" t="s">
        <v>948</v>
      </c>
      <c r="H201" s="170"/>
      <c r="I201" s="170"/>
      <c r="J201" s="156" t="s">
        <v>12778</v>
      </c>
      <c r="K201" s="156" t="s">
        <v>11866</v>
      </c>
      <c r="L201" s="157" t="str">
        <f>IFERROR(__xludf.DUMMYFUNCTION("IF(
  AND(D201=""Saída"", J201=""Sangria""),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'""&amp;K201&amp;""'
             and Col6 = ""&amp;N201&amp;""
             and Col4 = date '""&amp;TEXT(C201,""yyyy-mm-dd"")&amp;""'""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'""&amp;K201&amp;""'
               and Col6 = ""&amp;N201&amp;""
               and Col4 = date '""&amp;TEXT(C201,""yyyy-mm-dd"")&amp;""'""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'""&amp;"&amp;"K201&amp;""'
                 and Col6 = ""&amp;N201&amp;""
                 and Col4 = date '""&amp;TEXT(C201,""yyyy-mm-dd"")&amp;""'""
            )
          )&gt;0,
          ""Confirmada"",
          ""Caixa Sangria""
        )
      )
    ),
    """"
  ),
  """"
)
"),"Confirmada")</f>
        <v>Confirmada</v>
      </c>
      <c r="M201" s="209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159">
        <f>IFERROR(__xludf.DUMMYFUNCTION("ifna(VALUE(REGEXEXTRACT(E201,""[0-9.]+[,]+[0-9]+"")))"),200.0)</f>
        <v>200</v>
      </c>
      <c r="O201" s="159"/>
      <c r="P201" s="159"/>
      <c r="Q201" s="159"/>
      <c r="R201" s="159"/>
      <c r="S201" s="159"/>
      <c r="T201" s="159"/>
      <c r="U201" s="159"/>
      <c r="V201" s="159"/>
      <c r="W201" s="159"/>
    </row>
    <row r="202" ht="14.25" customHeight="1">
      <c r="A202" s="149"/>
      <c r="B202" s="13">
        <v>2195598.0</v>
      </c>
      <c r="C202" s="14">
        <v>46167.730833333335</v>
      </c>
      <c r="D202" s="210" t="s">
        <v>101</v>
      </c>
      <c r="E202" s="211" t="s">
        <v>599</v>
      </c>
      <c r="F202" s="212"/>
      <c r="G202" s="210" t="s">
        <v>940</v>
      </c>
      <c r="H202" s="170"/>
      <c r="I202" s="170"/>
      <c r="J202" s="156" t="s">
        <v>6914</v>
      </c>
      <c r="K202" s="156"/>
      <c r="L202" s="157" t="str">
        <f>IFERROR(__xludf.DUMMYFUNCTION("IF(
  AND(D202=""Saída"", J202=""Sangria""),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'""&amp;K202&amp;""'
             and Col6 = ""&amp;N202&amp;""
             and Col4 = date '""&amp;TEXT(C202,""yyyy-mm-dd"")&amp;""'""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'""&amp;K202&amp;""'
               and Col6 = ""&amp;N202&amp;""
               and Col4 = date '""&amp;TEXT(C202,""yyyy-mm-dd"")&amp;""'""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'""&amp;"&amp;"K202&amp;""'
                 and Col6 = ""&amp;N202&amp;""
                 and Col4 = date '""&amp;TEXT(C202,""yyyy-mm-dd"")&amp;""'""
            )
          )&gt;0,
          ""Confirmada"",
          ""Caixa Sangria""
        )
      )
    ),
    """"
  ),
  """"
)
"),"")</f>
        <v/>
      </c>
      <c r="M202" s="207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159">
        <f>IFERROR(__xludf.DUMMYFUNCTION("ifna(VALUE(REGEXEXTRACT(E202,""[0-9.]+[,]+[0-9]+"")))"),11.0)</f>
        <v>11</v>
      </c>
      <c r="O202" s="159"/>
      <c r="P202" s="159"/>
      <c r="Q202" s="159"/>
      <c r="R202" s="159"/>
      <c r="S202" s="159"/>
      <c r="T202" s="159"/>
      <c r="U202" s="159"/>
      <c r="V202" s="159"/>
      <c r="W202" s="159"/>
    </row>
    <row r="203" ht="14.25" customHeight="1">
      <c r="A203" s="149"/>
      <c r="B203" s="13">
        <v>2195947.0</v>
      </c>
      <c r="C203" s="14">
        <v>46167.87189814815</v>
      </c>
      <c r="D203" s="210" t="s">
        <v>101</v>
      </c>
      <c r="E203" s="211" t="s">
        <v>213</v>
      </c>
      <c r="F203" s="212"/>
      <c r="G203" s="210" t="s">
        <v>239</v>
      </c>
      <c r="H203" s="170"/>
      <c r="I203" s="170"/>
      <c r="J203" s="156" t="s">
        <v>12778</v>
      </c>
      <c r="K203" s="156" t="s">
        <v>13763</v>
      </c>
      <c r="L203" s="157" t="str">
        <f>IFERROR(__xludf.DUMMYFUNCTION("IF(
  AND(D203=""Saída"", J203=""Sangria""),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'""&amp;K203&amp;""'
             and Col6 = ""&amp;N203&amp;""
             and Col4 = date '""&amp;TEXT(C203,""yyyy-mm-dd"")&amp;""'""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'""&amp;K203&amp;""'
               and Col6 = ""&amp;N203&amp;""
               and Col4 = date '""&amp;TEXT(C203,""yyyy-mm-dd"")&amp;""'""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'""&amp;"&amp;"K203&amp;""'
                 and Col6 = ""&amp;N203&amp;""
                 and Col4 = date '""&amp;TEXT(C203,""yyyy-mm-dd"")&amp;""'""
            )
          )&gt;0,
          ""Confirmada"",
          ""Caixa Sangria""
        )
      )
    ),
    """"
  ),
  """"
)
"),"Caixa Atendimento")</f>
        <v>Caixa Atendimento</v>
      </c>
      <c r="M203" s="209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159">
        <f>IFERROR(__xludf.DUMMYFUNCTION("ifna(VALUE(REGEXEXTRACT(E203,""[0-9.]+[,]+[0-9]+"")))"),200.0)</f>
        <v>200</v>
      </c>
      <c r="O203" s="159"/>
      <c r="P203" s="159"/>
      <c r="Q203" s="159"/>
      <c r="R203" s="159"/>
      <c r="S203" s="159"/>
      <c r="T203" s="159"/>
      <c r="U203" s="159"/>
      <c r="V203" s="159"/>
      <c r="W203" s="159"/>
    </row>
    <row r="204" ht="14.25" customHeight="1">
      <c r="A204" s="149"/>
      <c r="B204" s="13"/>
      <c r="C204" s="14"/>
      <c r="D204" s="210"/>
      <c r="E204" s="211"/>
      <c r="F204" s="212"/>
      <c r="G204" s="210"/>
      <c r="H204" s="170"/>
      <c r="I204" s="170"/>
      <c r="J204" s="156"/>
      <c r="K204" s="156"/>
      <c r="L204" s="157" t="str">
        <f>IFERROR(__xludf.DUMMYFUNCTION("IF(
  AND(D204=""Saída"", J204=""Sangria""),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'""&amp;K204&amp;""'
             and Col6 = ""&amp;N204&amp;""
             and Col4 = date '""&amp;TEXT(C204,""yyyy-mm-dd"")&amp;""'""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'""&amp;K204&amp;""'
               and Col6 = ""&amp;N204&amp;""
               and Col4 = date '""&amp;TEXT(C204,""yyyy-mm-dd"")&amp;""'""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'""&amp;"&amp;"K204&amp;""'
                 and Col6 = ""&amp;N204&amp;""
                 and Col4 = date '""&amp;TEXT(C204,""yyyy-mm-dd"")&amp;""'""
            )
          )&gt;0,
          ""Confirmada"",
          ""Caixa Sangria""
        )
      )
    ),
    """"
  ),
  """"
)
"),"")</f>
        <v/>
      </c>
      <c r="M204" s="207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159" t="str">
        <f>IFERROR(__xludf.DUMMYFUNCTION("ifna(VALUE(REGEXEXTRACT(E204,""[0-9.]+[,]+[0-9]+"")))"),"")</f>
        <v/>
      </c>
      <c r="O204" s="159"/>
      <c r="P204" s="159"/>
      <c r="Q204" s="159"/>
      <c r="R204" s="159"/>
      <c r="S204" s="159"/>
      <c r="T204" s="159"/>
      <c r="U204" s="159"/>
      <c r="V204" s="159"/>
      <c r="W204" s="159"/>
    </row>
    <row r="205" ht="14.25" customHeight="1">
      <c r="A205" s="149"/>
      <c r="B205" s="13"/>
      <c r="C205" s="14"/>
      <c r="D205" s="210"/>
      <c r="E205" s="211"/>
      <c r="F205" s="212"/>
      <c r="G205" s="210"/>
      <c r="H205" s="170"/>
      <c r="I205" s="170"/>
      <c r="J205" s="156"/>
      <c r="K205" s="156"/>
      <c r="L205" s="157" t="str">
        <f>IFERROR(__xludf.DUMMYFUNCTION("IF(
  AND(D205=""Saída"", J205=""Sangria""),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'""&amp;K205&amp;""'
             and Col6 = ""&amp;N205&amp;""
             and Col4 = date '""&amp;TEXT(C205,""yyyy-mm-dd"")&amp;""'""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'""&amp;K205&amp;""'
               and Col6 = ""&amp;N205&amp;""
               and Col4 = date '""&amp;TEXT(C205,""yyyy-mm-dd"")&amp;""'""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'""&amp;"&amp;"K205&amp;""'
                 and Col6 = ""&amp;N205&amp;""
                 and Col4 = date '""&amp;TEXT(C205,""yyyy-mm-dd"")&amp;""'""
            )
          )&gt;0,
          ""Confirmada"",
          ""Caixa Sangria""
        )
      )
    ),
    """"
  ),
  """"
)
"),"")</f>
        <v/>
      </c>
      <c r="M205" s="209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159" t="str">
        <f>IFERROR(__xludf.DUMMYFUNCTION("ifna(VALUE(REGEXEXTRACT(E205,""[0-9.]+[,]+[0-9]+"")))"),"")</f>
        <v/>
      </c>
      <c r="O205" s="159"/>
      <c r="P205" s="159"/>
      <c r="Q205" s="159"/>
      <c r="R205" s="159"/>
      <c r="S205" s="159"/>
      <c r="T205" s="159"/>
      <c r="U205" s="159"/>
      <c r="V205" s="159"/>
      <c r="W205" s="159"/>
    </row>
    <row r="206" ht="14.25" customHeight="1">
      <c r="A206" s="149"/>
      <c r="B206" s="13"/>
      <c r="C206" s="14"/>
      <c r="D206" s="210"/>
      <c r="E206" s="211"/>
      <c r="F206" s="212"/>
      <c r="G206" s="210"/>
      <c r="H206" s="170"/>
      <c r="I206" s="170"/>
      <c r="J206" s="156"/>
      <c r="K206" s="156"/>
      <c r="L206" s="157" t="str">
        <f>IFERROR(__xludf.DUMMYFUNCTION("IF(
  AND(D206=""Saída"", J206=""Sangria""),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'""&amp;K206&amp;""'
             and Col6 = ""&amp;N206&amp;""
             and Col4 = date '""&amp;TEXT(C206,""yyyy-mm-dd"")&amp;""'""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'""&amp;K206&amp;""'
               and Col6 = ""&amp;N206&amp;""
               and Col4 = date '""&amp;TEXT(C206,""yyyy-mm-dd"")&amp;""'""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'""&amp;"&amp;"K206&amp;""'
                 and Col6 = ""&amp;N206&amp;""
                 and Col4 = date '""&amp;TEXT(C206,""yyyy-mm-dd"")&amp;""'""
            )
          )&gt;0,
          ""Confirmada"",
          ""Caixa Sangria""
        )
      )
    ),
    """"
  ),
  """"
)
"),"")</f>
        <v/>
      </c>
      <c r="M206" s="207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159" t="str">
        <f>IFERROR(__xludf.DUMMYFUNCTION("ifna(VALUE(REGEXEXTRACT(E206,""[0-9.]+[,]+[0-9]+"")))"),"")</f>
        <v/>
      </c>
      <c r="O206" s="159"/>
      <c r="P206" s="159"/>
      <c r="Q206" s="159"/>
      <c r="R206" s="159"/>
      <c r="S206" s="159"/>
      <c r="T206" s="159"/>
      <c r="U206" s="159"/>
      <c r="V206" s="159"/>
      <c r="W206" s="159"/>
    </row>
    <row r="207" ht="14.25" customHeight="1">
      <c r="A207" s="149"/>
      <c r="B207" s="13"/>
      <c r="C207" s="14"/>
      <c r="D207" s="210"/>
      <c r="E207" s="211"/>
      <c r="F207" s="212"/>
      <c r="G207" s="210"/>
      <c r="H207" s="170"/>
      <c r="I207" s="170"/>
      <c r="J207" s="156"/>
      <c r="K207" s="156"/>
      <c r="L207" s="157" t="str">
        <f>IFERROR(__xludf.DUMMYFUNCTION("IF(
  AND(D207=""Saída"", J207=""Sangria""),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'""&amp;K207&amp;""'
             and Col6 = ""&amp;N207&amp;""
             and Col4 = date '""&amp;TEXT(C207,""yyyy-mm-dd"")&amp;""'""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'""&amp;K207&amp;""'
               and Col6 = ""&amp;N207&amp;""
               and Col4 = date '""&amp;TEXT(C207,""yyyy-mm-dd"")&amp;""'""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'""&amp;"&amp;"K207&amp;""'
                 and Col6 = ""&amp;N207&amp;""
                 and Col4 = date '""&amp;TEXT(C207,""yyyy-mm-dd"")&amp;""'""
            )
          )&gt;0,
          ""Confirmada"",
          ""Caixa Sangria""
        )
      )
    ),
    """"
  ),
  """"
)
"),"")</f>
        <v/>
      </c>
      <c r="M207" s="209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159" t="str">
        <f>IFERROR(__xludf.DUMMYFUNCTION("ifna(VALUE(REGEXEXTRACT(E207,""[0-9.]+[,]+[0-9]+"")))"),"")</f>
        <v/>
      </c>
      <c r="O207" s="159"/>
      <c r="P207" s="159"/>
      <c r="Q207" s="159"/>
      <c r="R207" s="159"/>
      <c r="S207" s="159"/>
      <c r="T207" s="159"/>
      <c r="U207" s="159"/>
      <c r="V207" s="159"/>
      <c r="W207" s="159"/>
    </row>
    <row r="208" ht="14.25" customHeight="1">
      <c r="A208" s="149"/>
      <c r="B208" s="13"/>
      <c r="C208" s="14"/>
      <c r="D208" s="210"/>
      <c r="E208" s="211"/>
      <c r="F208" s="212"/>
      <c r="G208" s="210"/>
      <c r="H208" s="170"/>
      <c r="I208" s="170"/>
      <c r="J208" s="156"/>
      <c r="K208" s="156"/>
      <c r="L208" s="157" t="str">
        <f>IFERROR(__xludf.DUMMYFUNCTION("IF(
  AND(D208=""Saída"", J208=""Sangria""),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'""&amp;K208&amp;""'
             and Col6 = ""&amp;N208&amp;""
             and Col4 = date '""&amp;TEXT(C208,""yyyy-mm-dd"")&amp;""'""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'""&amp;K208&amp;""'
               and Col6 = ""&amp;N208&amp;""
               and Col4 = date '""&amp;TEXT(C208,""yyyy-mm-dd"")&amp;""'""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'""&amp;"&amp;"K208&amp;""'
                 and Col6 = ""&amp;N208&amp;""
                 and Col4 = date '""&amp;TEXT(C208,""yyyy-mm-dd"")&amp;""'""
            )
          )&gt;0,
          ""Confirmada"",
          ""Caixa Sangria""
        )
      )
    ),
    """"
  ),
  """"
)
"),"")</f>
        <v/>
      </c>
      <c r="M208" s="207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159" t="str">
        <f>IFERROR(__xludf.DUMMYFUNCTION("ifna(VALUE(REGEXEXTRACT(E208,""[0-9.]+[,]+[0-9]+"")))"),"")</f>
        <v/>
      </c>
      <c r="O208" s="159"/>
      <c r="P208" s="159"/>
      <c r="Q208" s="159"/>
      <c r="R208" s="159"/>
      <c r="S208" s="159"/>
      <c r="T208" s="159"/>
      <c r="U208" s="159"/>
      <c r="V208" s="159"/>
      <c r="W208" s="159"/>
    </row>
    <row r="209" ht="14.25" customHeight="1">
      <c r="A209" s="149"/>
      <c r="B209" s="13"/>
      <c r="C209" s="14"/>
      <c r="D209" s="210"/>
      <c r="E209" s="211"/>
      <c r="F209" s="212"/>
      <c r="G209" s="210"/>
      <c r="H209" s="170"/>
      <c r="I209" s="170"/>
      <c r="J209" s="156"/>
      <c r="K209" s="156"/>
      <c r="L209" s="157" t="str">
        <f>IFERROR(__xludf.DUMMYFUNCTION("IF(
  AND(D209=""Saída"", J209=""Sangria""),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'""&amp;K209&amp;""'
             and Col6 = ""&amp;N209&amp;""
             and Col4 = date '""&amp;TEXT(C209,""yyyy-mm-dd"")&amp;""'""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'""&amp;K209&amp;""'
               and Col6 = ""&amp;N209&amp;""
               and Col4 = date '""&amp;TEXT(C209,""yyyy-mm-dd"")&amp;""'""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'""&amp;"&amp;"K209&amp;""'
                 and Col6 = ""&amp;N209&amp;""
                 and Col4 = date '""&amp;TEXT(C209,""yyyy-mm-dd"")&amp;""'""
            )
          )&gt;0,
          ""Confirmada"",
          ""Caixa Sangria""
        )
      )
    ),
    """"
  ),
  """"
)
"),"")</f>
        <v/>
      </c>
      <c r="M209" s="209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159" t="str">
        <f>IFERROR(__xludf.DUMMYFUNCTION("ifna(VALUE(REGEXEXTRACT(E209,""[0-9.]+[,]+[0-9]+"")))"),"")</f>
        <v/>
      </c>
      <c r="O209" s="159"/>
      <c r="P209" s="159"/>
      <c r="Q209" s="159"/>
      <c r="R209" s="159"/>
      <c r="S209" s="159"/>
      <c r="T209" s="159"/>
      <c r="U209" s="159"/>
      <c r="V209" s="159"/>
      <c r="W209" s="159"/>
    </row>
    <row r="210" ht="14.25" customHeight="1">
      <c r="A210" s="149"/>
      <c r="B210" s="13"/>
      <c r="C210" s="14"/>
      <c r="D210" s="210"/>
      <c r="E210" s="211"/>
      <c r="F210" s="212"/>
      <c r="G210" s="210"/>
      <c r="H210" s="170"/>
      <c r="I210" s="170"/>
      <c r="J210" s="156"/>
      <c r="K210" s="156"/>
      <c r="L210" s="157" t="str">
        <f>IFERROR(__xludf.DUMMYFUNCTION("IF(
  AND(D210=""Saída"", J210=""Sangria""),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'""&amp;K210&amp;""'
             and Col6 = ""&amp;N210&amp;""
             and Col4 = date '""&amp;TEXT(C210,""yyyy-mm-dd"")&amp;""'""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'""&amp;K210&amp;""'
               and Col6 = ""&amp;N210&amp;""
               and Col4 = date '""&amp;TEXT(C210,""yyyy-mm-dd"")&amp;""'""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'""&amp;"&amp;"K210&amp;""'
                 and Col6 = ""&amp;N210&amp;""
                 and Col4 = date '""&amp;TEXT(C210,""yyyy-mm-dd"")&amp;""'""
            )
          )&gt;0,
          ""Confirmada"",
          ""Caixa Sangria""
        )
      )
    ),
    """"
  ),
  """"
)
"),"")</f>
        <v/>
      </c>
      <c r="M210" s="207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159" t="str">
        <f>IFERROR(__xludf.DUMMYFUNCTION("ifna(VALUE(REGEXEXTRACT(E210,""[0-9.]+[,]+[0-9]+"")))"),"")</f>
        <v/>
      </c>
      <c r="O210" s="159"/>
      <c r="P210" s="159"/>
      <c r="Q210" s="159"/>
      <c r="R210" s="159"/>
      <c r="S210" s="159"/>
      <c r="T210" s="159"/>
      <c r="U210" s="159"/>
      <c r="V210" s="159"/>
      <c r="W210" s="159"/>
    </row>
    <row r="211" ht="14.25" customHeight="1">
      <c r="A211" s="149"/>
      <c r="B211" s="13"/>
      <c r="C211" s="14"/>
      <c r="D211" s="210"/>
      <c r="E211" s="211"/>
      <c r="F211" s="212"/>
      <c r="G211" s="229"/>
      <c r="H211" s="170"/>
      <c r="I211" s="170"/>
      <c r="J211" s="156"/>
      <c r="K211" s="156"/>
      <c r="L211" s="157" t="str">
        <f>IFERROR(__xludf.DUMMYFUNCTION("IF(
  AND(D211=""Saída"", J211=""Sangria""),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'""&amp;K211&amp;""'
             and Col6 = ""&amp;N211&amp;""
             and Col4 = date '""&amp;TEXT(C211,""yyyy-mm-dd"")&amp;""'""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'""&amp;K211&amp;""'
               and Col6 = ""&amp;N211&amp;""
               and Col4 = date '""&amp;TEXT(C211,""yyyy-mm-dd"")&amp;""'""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'""&amp;"&amp;"K211&amp;""'
                 and Col6 = ""&amp;N211&amp;""
                 and Col4 = date '""&amp;TEXT(C211,""yyyy-mm-dd"")&amp;""'""
            )
          )&gt;0,
          ""Confirmada"",
          ""Caixa Sangria""
        )
      )
    ),
    """"
  ),
  """"
)
"),"")</f>
        <v/>
      </c>
      <c r="M211" s="209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159" t="str">
        <f>IFERROR(__xludf.DUMMYFUNCTION("ifna(VALUE(REGEXEXTRACT(E211,""[0-9.]+[,]+[0-9]+"")))"),"")</f>
        <v/>
      </c>
      <c r="O211" s="159"/>
      <c r="P211" s="159"/>
      <c r="Q211" s="159"/>
      <c r="R211" s="159"/>
      <c r="S211" s="159"/>
      <c r="T211" s="159"/>
      <c r="U211" s="159"/>
      <c r="V211" s="159"/>
      <c r="W211" s="159"/>
    </row>
    <row r="212" ht="14.25" customHeight="1">
      <c r="A212" s="149"/>
      <c r="B212" s="13"/>
      <c r="C212" s="14"/>
      <c r="D212" s="210"/>
      <c r="E212" s="211"/>
      <c r="F212" s="212"/>
      <c r="G212" s="229"/>
      <c r="H212" s="170"/>
      <c r="I212" s="170"/>
      <c r="J212" s="156"/>
      <c r="K212" s="156"/>
      <c r="L212" s="157" t="str">
        <f>IFERROR(__xludf.DUMMYFUNCTION("IF(
  AND(D212=""Saída"", J212=""Sangria""),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'""&amp;K212&amp;""'
             and Col6 = ""&amp;N212&amp;""
             and Col4 = date '""&amp;TEXT(C212,""yyyy-mm-dd"")&amp;""'""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'""&amp;K212&amp;""'
               and Col6 = ""&amp;N212&amp;""
               and Col4 = date '""&amp;TEXT(C212,""yyyy-mm-dd"")&amp;""'""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'""&amp;"&amp;"K212&amp;""'
                 and Col6 = ""&amp;N212&amp;""
                 and Col4 = date '""&amp;TEXT(C212,""yyyy-mm-dd"")&amp;""'""
            )
          )&gt;0,
          ""Confirmada"",
          ""Caixa Sangria""
        )
      )
    ),
    """"
  ),
  """"
)
"),"")</f>
        <v/>
      </c>
      <c r="M212" s="207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159" t="str">
        <f>IFERROR(__xludf.DUMMYFUNCTION("ifna(VALUE(REGEXEXTRACT(E212,""[0-9.]+[,]+[0-9]+"")))"),"")</f>
        <v/>
      </c>
      <c r="O212" s="159"/>
      <c r="P212" s="159"/>
      <c r="Q212" s="159"/>
      <c r="R212" s="159"/>
      <c r="S212" s="159"/>
      <c r="T212" s="159"/>
      <c r="U212" s="159"/>
      <c r="V212" s="159"/>
      <c r="W212" s="159"/>
    </row>
    <row r="213" ht="14.25" customHeight="1">
      <c r="A213" s="149"/>
      <c r="B213" s="13"/>
      <c r="C213" s="14"/>
      <c r="D213" s="210"/>
      <c r="E213" s="211"/>
      <c r="F213" s="212"/>
      <c r="G213" s="210"/>
      <c r="H213" s="170"/>
      <c r="I213" s="170"/>
      <c r="J213" s="156"/>
      <c r="K213" s="156"/>
      <c r="L213" s="157" t="str">
        <f>IFERROR(__xludf.DUMMYFUNCTION("IF(
  AND(D213=""Saída"", J213=""Sangria""),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'""&amp;K213&amp;""'
             and Col6 = ""&amp;N213&amp;""
             and Col4 = date '""&amp;TEXT(C213,""yyyy-mm-dd"")&amp;""'""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'""&amp;K213&amp;""'
               and Col6 = ""&amp;N213&amp;""
               and Col4 = date '""&amp;TEXT(C213,""yyyy-mm-dd"")&amp;""'""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'""&amp;"&amp;"K213&amp;""'
                 and Col6 = ""&amp;N213&amp;""
                 and Col4 = date '""&amp;TEXT(C213,""yyyy-mm-dd"")&amp;""'""
            )
          )&gt;0,
          ""Confirmada"",
          ""Caixa Sangria""
        )
      )
    ),
    """"
  ),
  """"
)
"),"")</f>
        <v/>
      </c>
      <c r="M213" s="209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159" t="str">
        <f>IFERROR(__xludf.DUMMYFUNCTION("ifna(VALUE(REGEXEXTRACT(E213,""[0-9.]+[,]+[0-9]+"")))"),"")</f>
        <v/>
      </c>
      <c r="O213" s="159"/>
      <c r="P213" s="159"/>
      <c r="Q213" s="159"/>
      <c r="R213" s="159"/>
      <c r="S213" s="159"/>
      <c r="T213" s="159"/>
      <c r="U213" s="159"/>
      <c r="V213" s="159"/>
      <c r="W213" s="159"/>
    </row>
    <row r="214" ht="14.25" customHeight="1">
      <c r="A214" s="149"/>
      <c r="B214" s="13"/>
      <c r="C214" s="14"/>
      <c r="D214" s="210"/>
      <c r="E214" s="211"/>
      <c r="F214" s="212"/>
      <c r="G214" s="210"/>
      <c r="H214" s="170"/>
      <c r="I214" s="170"/>
      <c r="J214" s="156"/>
      <c r="K214" s="156"/>
      <c r="L214" s="157" t="str">
        <f>IFERROR(__xludf.DUMMYFUNCTION("IF(
  AND(D214=""Saída"", J214=""Sangria""),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'""&amp;K214&amp;""'
             and Col6 = ""&amp;N214&amp;""
             and Col4 = date '""&amp;TEXT(C214,""yyyy-mm-dd"")&amp;""'""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'""&amp;K214&amp;""'
               and Col6 = ""&amp;N214&amp;""
               and Col4 = date '""&amp;TEXT(C214,""yyyy-mm-dd"")&amp;""'""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'""&amp;"&amp;"K214&amp;""'
                 and Col6 = ""&amp;N214&amp;""
                 and Col4 = date '""&amp;TEXT(C214,""yyyy-mm-dd"")&amp;""'""
            )
          )&gt;0,
          ""Confirmada"",
          ""Caixa Sangria""
        )
      )
    ),
    """"
  ),
  """"
)
"),"")</f>
        <v/>
      </c>
      <c r="M214" s="207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159" t="str">
        <f>IFERROR(__xludf.DUMMYFUNCTION("ifna(VALUE(REGEXEXTRACT(E214,""[0-9.]+[,]+[0-9]+"")))"),"")</f>
        <v/>
      </c>
      <c r="O214" s="159"/>
      <c r="P214" s="159"/>
      <c r="Q214" s="159"/>
      <c r="R214" s="159"/>
      <c r="S214" s="159"/>
      <c r="T214" s="159"/>
      <c r="U214" s="159"/>
      <c r="V214" s="159"/>
      <c r="W214" s="159"/>
    </row>
    <row r="215" ht="14.25" customHeight="1">
      <c r="A215" s="149"/>
      <c r="B215" s="13"/>
      <c r="C215" s="14"/>
      <c r="D215" s="210"/>
      <c r="E215" s="211"/>
      <c r="F215" s="212"/>
      <c r="G215" s="210"/>
      <c r="H215" s="170"/>
      <c r="I215" s="170"/>
      <c r="J215" s="156"/>
      <c r="K215" s="156"/>
      <c r="L215" s="157" t="str">
        <f>IFERROR(__xludf.DUMMYFUNCTION("IF(
  AND(D215=""Saída"", J215=""Sangria""),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'""&amp;K215&amp;""'
             and Col6 = ""&amp;N215&amp;""
             and Col4 = date '""&amp;TEXT(C215,""yyyy-mm-dd"")&amp;""'""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'""&amp;K215&amp;""'
               and Col6 = ""&amp;N215&amp;""
               and Col4 = date '""&amp;TEXT(C215,""yyyy-mm-dd"")&amp;""'""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'""&amp;"&amp;"K215&amp;""'
                 and Col6 = ""&amp;N215&amp;""
                 and Col4 = date '""&amp;TEXT(C215,""yyyy-mm-dd"")&amp;""'""
            )
          )&gt;0,
          ""Confirmada"",
          ""Caixa Sangria""
        )
      )
    ),
    """"
  ),
  """"
)
"),"")</f>
        <v/>
      </c>
      <c r="M215" s="209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159" t="str">
        <f>IFERROR(__xludf.DUMMYFUNCTION("ifna(VALUE(REGEXEXTRACT(E215,""[0-9.]+[,]+[0-9]+"")))"),"")</f>
        <v/>
      </c>
      <c r="O215" s="159"/>
      <c r="P215" s="159"/>
      <c r="Q215" s="159"/>
      <c r="R215" s="159"/>
      <c r="S215" s="159"/>
      <c r="T215" s="159"/>
      <c r="U215" s="159"/>
      <c r="V215" s="159"/>
      <c r="W215" s="159"/>
    </row>
    <row r="216" ht="14.25" customHeight="1">
      <c r="A216" s="149"/>
      <c r="B216" s="13"/>
      <c r="C216" s="14"/>
      <c r="D216" s="210"/>
      <c r="E216" s="211"/>
      <c r="F216" s="212"/>
      <c r="G216" s="210"/>
      <c r="H216" s="170"/>
      <c r="I216" s="170"/>
      <c r="J216" s="156"/>
      <c r="K216" s="156"/>
      <c r="L216" s="157" t="str">
        <f>IFERROR(__xludf.DUMMYFUNCTION("IF(
  AND(D216=""Saída"", J216=""Sangria""),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'""&amp;K216&amp;""'
             and Col6 = ""&amp;N216&amp;""
             and Col4 = date '""&amp;TEXT(C216,""yyyy-mm-dd"")&amp;""'""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'""&amp;K216&amp;""'
               and Col6 = ""&amp;N216&amp;""
               and Col4 = date '""&amp;TEXT(C216,""yyyy-mm-dd"")&amp;""'""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'""&amp;"&amp;"K216&amp;""'
                 and Col6 = ""&amp;N216&amp;""
                 and Col4 = date '""&amp;TEXT(C216,""yyyy-mm-dd"")&amp;""'""
            )
          )&gt;0,
          ""Confirmada"",
          ""Caixa Sangria""
        )
      )
    ),
    """"
  ),
  """"
)
"),"")</f>
        <v/>
      </c>
      <c r="M216" s="207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159" t="str">
        <f>IFERROR(__xludf.DUMMYFUNCTION("ifna(VALUE(REGEXEXTRACT(E216,""[0-9.]+[,]+[0-9]+"")))"),"")</f>
        <v/>
      </c>
      <c r="O216" s="159"/>
      <c r="P216" s="159"/>
      <c r="Q216" s="159"/>
      <c r="R216" s="159"/>
      <c r="S216" s="159"/>
      <c r="T216" s="159"/>
      <c r="U216" s="159"/>
      <c r="V216" s="159"/>
      <c r="W216" s="159"/>
    </row>
    <row r="217" ht="14.25" customHeight="1">
      <c r="A217" s="149"/>
      <c r="B217" s="13"/>
      <c r="C217" s="14"/>
      <c r="D217" s="210"/>
      <c r="E217" s="211"/>
      <c r="F217" s="212"/>
      <c r="G217" s="210"/>
      <c r="H217" s="170"/>
      <c r="I217" s="170"/>
      <c r="J217" s="156"/>
      <c r="K217" s="156"/>
      <c r="L217" s="157" t="str">
        <f>IFERROR(__xludf.DUMMYFUNCTION("IF(
  AND(D217=""Saída"", J217=""Sangria""),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'""&amp;K217&amp;""'
             and Col6 = ""&amp;N217&amp;""
             and Col4 = date '""&amp;TEXT(C217,""yyyy-mm-dd"")&amp;""'""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'""&amp;K217&amp;""'
               and Col6 = ""&amp;N217&amp;""
               and Col4 = date '""&amp;TEXT(C217,""yyyy-mm-dd"")&amp;""'""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'""&amp;"&amp;"K217&amp;""'
                 and Col6 = ""&amp;N217&amp;""
                 and Col4 = date '""&amp;TEXT(C217,""yyyy-mm-dd"")&amp;""'""
            )
          )&gt;0,
          ""Confirmada"",
          ""Caixa Sangria""
        )
      )
    ),
    """"
  ),
  """"
)
"),"")</f>
        <v/>
      </c>
      <c r="M217" s="209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159" t="str">
        <f>IFERROR(__xludf.DUMMYFUNCTION("ifna(VALUE(REGEXEXTRACT(E217,""[0-9.]+[,]+[0-9]+"")))"),"")</f>
        <v/>
      </c>
      <c r="O217" s="159"/>
      <c r="P217" s="159"/>
      <c r="Q217" s="159"/>
      <c r="R217" s="159"/>
      <c r="S217" s="159"/>
      <c r="T217" s="159"/>
      <c r="U217" s="159"/>
      <c r="V217" s="159"/>
      <c r="W217" s="159"/>
    </row>
    <row r="218" ht="14.25" customHeight="1">
      <c r="A218" s="149"/>
      <c r="B218" s="13"/>
      <c r="C218" s="14"/>
      <c r="D218" s="210"/>
      <c r="E218" s="211"/>
      <c r="F218" s="212"/>
      <c r="G218" s="210"/>
      <c r="H218" s="170"/>
      <c r="I218" s="170"/>
      <c r="J218" s="156"/>
      <c r="K218" s="156"/>
      <c r="L218" s="157" t="str">
        <f>IFERROR(__xludf.DUMMYFUNCTION("IF(
  AND(D218=""Saída"", J218=""Sangria""),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'""&amp;K218&amp;""'
             and Col6 = ""&amp;N218&amp;""
             and Col4 = date '""&amp;TEXT(C218,""yyyy-mm-dd"")&amp;""'""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'""&amp;K218&amp;""'
               and Col6 = ""&amp;N218&amp;""
               and Col4 = date '""&amp;TEXT(C218,""yyyy-mm-dd"")&amp;""'""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'""&amp;"&amp;"K218&amp;""'
                 and Col6 = ""&amp;N218&amp;""
                 and Col4 = date '""&amp;TEXT(C218,""yyyy-mm-dd"")&amp;""'""
            )
          )&gt;0,
          ""Confirmada"",
          ""Caixa Sangria""
        )
      )
    ),
    """"
  ),
  """"
)
"),"")</f>
        <v/>
      </c>
      <c r="M218" s="207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159" t="str">
        <f>IFERROR(__xludf.DUMMYFUNCTION("ifna(VALUE(REGEXEXTRACT(E218,""[0-9.]+[,]+[0-9]+"")))"),"")</f>
        <v/>
      </c>
      <c r="O218" s="159"/>
      <c r="P218" s="159"/>
      <c r="Q218" s="159"/>
      <c r="R218" s="159"/>
      <c r="S218" s="159"/>
      <c r="T218" s="159"/>
      <c r="U218" s="159"/>
      <c r="V218" s="159"/>
      <c r="W218" s="159"/>
    </row>
    <row r="219" ht="14.25" customHeight="1">
      <c r="A219" s="149"/>
      <c r="B219" s="13"/>
      <c r="C219" s="14"/>
      <c r="D219" s="210"/>
      <c r="E219" s="211"/>
      <c r="F219" s="212"/>
      <c r="G219" s="232"/>
      <c r="H219" s="170"/>
      <c r="I219" s="170"/>
      <c r="J219" s="156"/>
      <c r="K219" s="156"/>
      <c r="L219" s="157" t="str">
        <f>IFERROR(__xludf.DUMMYFUNCTION("IF(
  AND(D219=""Saída"", J219=""Sangria""),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'""&amp;K219&amp;""'
             and Col6 = ""&amp;N219&amp;""
             and Col4 = date '""&amp;TEXT(C219,""yyyy-mm-dd"")&amp;""'""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'""&amp;K219&amp;""'
               and Col6 = ""&amp;N219&amp;""
               and Col4 = date '""&amp;TEXT(C219,""yyyy-mm-dd"")&amp;""'""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'""&amp;"&amp;"K219&amp;""'
                 and Col6 = ""&amp;N219&amp;""
                 and Col4 = date '""&amp;TEXT(C219,""yyyy-mm-dd"")&amp;""'""
            )
          )&gt;0,
          ""Confirmada"",
          ""Caixa Sangria""
        )
      )
    ),
    """"
  ),
  """"
)
"),"")</f>
        <v/>
      </c>
      <c r="M219" s="209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159" t="str">
        <f>IFERROR(__xludf.DUMMYFUNCTION("ifna(VALUE(REGEXEXTRACT(E219,""[0-9.]+[,]+[0-9]+"")))"),"")</f>
        <v/>
      </c>
      <c r="O219" s="159"/>
      <c r="P219" s="159"/>
      <c r="Q219" s="159"/>
      <c r="R219" s="159"/>
      <c r="S219" s="159"/>
      <c r="T219" s="159"/>
      <c r="U219" s="159"/>
      <c r="V219" s="159"/>
      <c r="W219" s="159"/>
    </row>
    <row r="220" ht="14.25" customHeight="1">
      <c r="A220" s="149"/>
      <c r="B220" s="13"/>
      <c r="C220" s="14"/>
      <c r="D220" s="210"/>
      <c r="E220" s="211"/>
      <c r="F220" s="212"/>
      <c r="G220" s="210"/>
      <c r="H220" s="170"/>
      <c r="I220" s="170"/>
      <c r="J220" s="156"/>
      <c r="K220" s="156"/>
      <c r="L220" s="157" t="str">
        <f>IFERROR(__xludf.DUMMYFUNCTION("IF(
  AND(D220=""Saída"", J220=""Sangria""),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'""&amp;K220&amp;""'
             and Col6 = ""&amp;N220&amp;""
             and Col4 = date '""&amp;TEXT(C220,""yyyy-mm-dd"")&amp;""'""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'""&amp;K220&amp;""'
               and Col6 = ""&amp;N220&amp;""
               and Col4 = date '""&amp;TEXT(C220,""yyyy-mm-dd"")&amp;""'""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'""&amp;"&amp;"K220&amp;""'
                 and Col6 = ""&amp;N220&amp;""
                 and Col4 = date '""&amp;TEXT(C220,""yyyy-mm-dd"")&amp;""'""
            )
          )&gt;0,
          ""Confirmada"",
          ""Caixa Sangria""
        )
      )
    ),
    """"
  ),
  """"
)
"),"")</f>
        <v/>
      </c>
      <c r="M220" s="207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159" t="str">
        <f>IFERROR(__xludf.DUMMYFUNCTION("ifna(VALUE(REGEXEXTRACT(E220,""[0-9.]+[,]+[0-9]+"")))"),"")</f>
        <v/>
      </c>
      <c r="O220" s="159"/>
      <c r="P220" s="159"/>
      <c r="Q220" s="159"/>
      <c r="R220" s="159"/>
      <c r="S220" s="159"/>
      <c r="T220" s="159"/>
      <c r="U220" s="159"/>
      <c r="V220" s="159"/>
      <c r="W220" s="159"/>
    </row>
    <row r="221" ht="14.25" customHeight="1">
      <c r="A221" s="32"/>
      <c r="B221" s="13"/>
      <c r="C221" s="14"/>
      <c r="D221" s="210"/>
      <c r="E221" s="211"/>
      <c r="F221" s="212"/>
      <c r="G221" s="210"/>
      <c r="H221" s="170"/>
      <c r="I221" s="170"/>
      <c r="J221" s="156"/>
      <c r="K221" s="156"/>
      <c r="L221" s="157" t="str">
        <f>IFERROR(__xludf.DUMMYFUNCTION("IF(
  AND(D221=""Saída"", J221=""Sangria""),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'""&amp;K221&amp;""'
             and Col6 = ""&amp;N221&amp;""
             and Col4 = date '""&amp;TEXT(C221,""yyyy-mm-dd"")&amp;""'""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'""&amp;K221&amp;""'
               and Col6 = ""&amp;N221&amp;""
               and Col4 = date '""&amp;TEXT(C221,""yyyy-mm-dd"")&amp;""'""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'""&amp;"&amp;"K221&amp;""'
                 and Col6 = ""&amp;N221&amp;""
                 and Col4 = date '""&amp;TEXT(C221,""yyyy-mm-dd"")&amp;""'""
            )
          )&gt;0,
          ""Confirmada"",
          ""Caixa Sangria""
        )
      )
    ),
    """"
  ),
  """"
)
"),"")</f>
        <v/>
      </c>
      <c r="M221" s="209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159" t="str">
        <f>IFERROR(__xludf.DUMMYFUNCTION("ifna(VALUE(REGEXEXTRACT(E221,""[0-9.]+[,]+[0-9]+"")))"),"")</f>
        <v/>
      </c>
      <c r="O221" s="159"/>
      <c r="P221" s="159"/>
      <c r="Q221" s="159"/>
      <c r="R221" s="159"/>
      <c r="S221" s="159"/>
      <c r="T221" s="159"/>
      <c r="U221" s="159"/>
      <c r="V221" s="159"/>
      <c r="W221" s="159"/>
    </row>
    <row r="222" ht="14.25" customHeight="1">
      <c r="A222" s="32"/>
      <c r="B222" s="13"/>
      <c r="C222" s="14"/>
      <c r="D222" s="210"/>
      <c r="E222" s="211"/>
      <c r="F222" s="212"/>
      <c r="G222" s="210"/>
      <c r="H222" s="170"/>
      <c r="I222" s="170"/>
      <c r="J222" s="156"/>
      <c r="K222" s="156"/>
      <c r="L222" s="157" t="str">
        <f>IFERROR(__xludf.DUMMYFUNCTION("IF(
  AND(D222=""Saída"", J222=""Sangria""),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'""&amp;K222&amp;""'
             and Col6 = ""&amp;N222&amp;""
             and Col4 = date '""&amp;TEXT(C222,""yyyy-mm-dd"")&amp;""'""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'""&amp;K222&amp;""'
               and Col6 = ""&amp;N222&amp;""
               and Col4 = date '""&amp;TEXT(C222,""yyyy-mm-dd"")&amp;""'""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'""&amp;"&amp;"K222&amp;""'
                 and Col6 = ""&amp;N222&amp;""
                 and Col4 = date '""&amp;TEXT(C222,""yyyy-mm-dd"")&amp;""'""
            )
          )&gt;0,
          ""Confirmada"",
          ""Caixa Sangria""
        )
      )
    ),
    """"
  ),
  """"
)
"),"")</f>
        <v/>
      </c>
      <c r="M222" s="207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159" t="str">
        <f>IFERROR(__xludf.DUMMYFUNCTION("ifna(VALUE(REGEXEXTRACT(E222,""[0-9.]+[,]+[0-9]+"")))"),"")</f>
        <v/>
      </c>
      <c r="O222" s="159"/>
      <c r="P222" s="159"/>
      <c r="Q222" s="159"/>
      <c r="R222" s="159"/>
      <c r="S222" s="159"/>
      <c r="T222" s="159"/>
      <c r="U222" s="159"/>
      <c r="V222" s="159"/>
      <c r="W222" s="159"/>
    </row>
    <row r="223" ht="14.25" customHeight="1">
      <c r="A223" s="32"/>
      <c r="B223" s="13"/>
      <c r="C223" s="14"/>
      <c r="D223" s="210"/>
      <c r="E223" s="211"/>
      <c r="F223" s="212"/>
      <c r="G223" s="210"/>
      <c r="H223" s="170"/>
      <c r="I223" s="170"/>
      <c r="J223" s="156"/>
      <c r="K223" s="156"/>
      <c r="L223" s="157" t="str">
        <f>IFERROR(__xludf.DUMMYFUNCTION("IF(
  AND(D223=""Saída"", J223=""Sangria""),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'""&amp;K223&amp;""'
             and Col6 = ""&amp;N223&amp;""
             and Col4 = date '""&amp;TEXT(C223,""yyyy-mm-dd"")&amp;""'""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'""&amp;K223&amp;""'
               and Col6 = ""&amp;N223&amp;""
               and Col4 = date '""&amp;TEXT(C223,""yyyy-mm-dd"")&amp;""'""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'""&amp;"&amp;"K223&amp;""'
                 and Col6 = ""&amp;N223&amp;""
                 and Col4 = date '""&amp;TEXT(C223,""yyyy-mm-dd"")&amp;""'""
            )
          )&gt;0,
          ""Confirmada"",
          ""Caixa Sangria""
        )
      )
    ),
    """"
  ),
  """"
)
"),"")</f>
        <v/>
      </c>
      <c r="M223" s="209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159" t="str">
        <f>IFERROR(__xludf.DUMMYFUNCTION("ifna(VALUE(REGEXEXTRACT(E223,""[0-9.]+[,]+[0-9]+"")))"),"")</f>
        <v/>
      </c>
      <c r="O223" s="159"/>
      <c r="P223" s="159"/>
      <c r="Q223" s="159"/>
      <c r="R223" s="159"/>
      <c r="S223" s="159"/>
      <c r="T223" s="159"/>
      <c r="U223" s="159"/>
      <c r="V223" s="159"/>
      <c r="W223" s="159"/>
    </row>
    <row r="224" ht="14.25" customHeight="1">
      <c r="A224" s="32"/>
      <c r="B224" s="13"/>
      <c r="C224" s="14"/>
      <c r="D224" s="210"/>
      <c r="E224" s="211"/>
      <c r="F224" s="212"/>
      <c r="G224" s="210"/>
      <c r="H224" s="170"/>
      <c r="I224" s="170"/>
      <c r="J224" s="156"/>
      <c r="K224" s="156"/>
      <c r="L224" s="157" t="str">
        <f>IFERROR(__xludf.DUMMYFUNCTION("IF(
  AND(D224=""Saída"", J224=""Sangria""),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'""&amp;K224&amp;""'
             and Col6 = ""&amp;N224&amp;""
             and Col4 = date '""&amp;TEXT(C224,""yyyy-mm-dd"")&amp;""'""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'""&amp;K224&amp;""'
               and Col6 = ""&amp;N224&amp;""
               and Col4 = date '""&amp;TEXT(C224,""yyyy-mm-dd"")&amp;""'""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'""&amp;"&amp;"K224&amp;""'
                 and Col6 = ""&amp;N224&amp;""
                 and Col4 = date '""&amp;TEXT(C224,""yyyy-mm-dd"")&amp;""'""
            )
          )&gt;0,
          ""Confirmada"",
          ""Caixa Sangria""
        )
      )
    ),
    """"
  ),
  """"
)
"),"")</f>
        <v/>
      </c>
      <c r="M224" s="207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159" t="str">
        <f>IFERROR(__xludf.DUMMYFUNCTION("ifna(VALUE(REGEXEXTRACT(E224,""[0-9.]+[,]+[0-9]+"")))"),"")</f>
        <v/>
      </c>
      <c r="O224" s="159"/>
      <c r="P224" s="159"/>
      <c r="Q224" s="159"/>
      <c r="R224" s="159"/>
      <c r="S224" s="159"/>
      <c r="T224" s="159"/>
      <c r="U224" s="159"/>
      <c r="V224" s="159"/>
      <c r="W224" s="159"/>
    </row>
    <row r="225" ht="14.25" customHeight="1">
      <c r="A225" s="32"/>
      <c r="B225" s="13"/>
      <c r="C225" s="14"/>
      <c r="D225" s="210"/>
      <c r="E225" s="211"/>
      <c r="F225" s="212"/>
      <c r="G225" s="210"/>
      <c r="H225" s="170"/>
      <c r="I225" s="170"/>
      <c r="J225" s="156"/>
      <c r="K225" s="156"/>
      <c r="L225" s="157" t="str">
        <f>IFERROR(__xludf.DUMMYFUNCTION("IF(
  AND(D225=""Saída"", J225=""Sangria""),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'""&amp;K225&amp;""'
             and Col6 = ""&amp;N225&amp;""
             and Col4 = date '""&amp;TEXT(C225,""yyyy-mm-dd"")&amp;""'""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'""&amp;K225&amp;""'
               and Col6 = ""&amp;N225&amp;""
               and Col4 = date '""&amp;TEXT(C225,""yyyy-mm-dd"")&amp;""'""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'""&amp;"&amp;"K225&amp;""'
                 and Col6 = ""&amp;N225&amp;""
                 and Col4 = date '""&amp;TEXT(C225,""yyyy-mm-dd"")&amp;""'""
            )
          )&gt;0,
          ""Confirmada"",
          ""Caixa Sangria""
        )
      )
    ),
    """"
  ),
  """"
)
"),"")</f>
        <v/>
      </c>
      <c r="M225" s="209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159" t="str">
        <f>IFERROR(__xludf.DUMMYFUNCTION("ifna(VALUE(REGEXEXTRACT(E225,""[0-9.]+[,]+[0-9]+"")))"),"")</f>
        <v/>
      </c>
      <c r="O225" s="159"/>
      <c r="P225" s="159"/>
      <c r="Q225" s="159"/>
      <c r="R225" s="159"/>
      <c r="S225" s="159"/>
      <c r="T225" s="159"/>
      <c r="U225" s="159"/>
      <c r="V225" s="159"/>
      <c r="W225" s="159"/>
    </row>
    <row r="226" ht="14.25" customHeight="1">
      <c r="A226" s="32"/>
      <c r="B226" s="13"/>
      <c r="C226" s="14"/>
      <c r="D226" s="210"/>
      <c r="E226" s="211"/>
      <c r="F226" s="212"/>
      <c r="G226" s="210"/>
      <c r="H226" s="170"/>
      <c r="I226" s="170"/>
      <c r="J226" s="156"/>
      <c r="K226" s="156"/>
      <c r="L226" s="157" t="str">
        <f>IFERROR(__xludf.DUMMYFUNCTION("IF(
  AND(D226=""Saída"", J226=""Sangria""),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'""&amp;K226&amp;""'
             and Col6 = ""&amp;N226&amp;""
             and Col4 = date '""&amp;TEXT(C226,""yyyy-mm-dd"")&amp;""'""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'""&amp;K226&amp;""'
               and Col6 = ""&amp;N226&amp;""
               and Col4 = date '""&amp;TEXT(C226,""yyyy-mm-dd"")&amp;""'""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'""&amp;"&amp;"K226&amp;""'
                 and Col6 = ""&amp;N226&amp;""
                 and Col4 = date '""&amp;TEXT(C226,""yyyy-mm-dd"")&amp;""'""
            )
          )&gt;0,
          ""Confirmada"",
          ""Caixa Sangria""
        )
      )
    ),
    """"
  ),
  """"
)
"),"")</f>
        <v/>
      </c>
      <c r="M226" s="207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159" t="str">
        <f>IFERROR(__xludf.DUMMYFUNCTION("ifna(VALUE(REGEXEXTRACT(E226,""[0-9.]+[,]+[0-9]+"")))"),"")</f>
        <v/>
      </c>
      <c r="O226" s="159"/>
      <c r="P226" s="159"/>
      <c r="Q226" s="159"/>
      <c r="R226" s="159"/>
      <c r="S226" s="159"/>
      <c r="T226" s="159"/>
      <c r="U226" s="159"/>
      <c r="V226" s="159"/>
      <c r="W226" s="159"/>
    </row>
    <row r="227" ht="14.25" customHeight="1">
      <c r="A227" s="32"/>
      <c r="B227" s="13"/>
      <c r="C227" s="14"/>
      <c r="D227" s="210"/>
      <c r="E227" s="211"/>
      <c r="F227" s="212"/>
      <c r="G227" s="210"/>
      <c r="H227" s="170"/>
      <c r="I227" s="170"/>
      <c r="J227" s="156"/>
      <c r="K227" s="156"/>
      <c r="L227" s="157" t="str">
        <f>IFERROR(__xludf.DUMMYFUNCTION("IF(
  AND(D227=""Saída"", J227=""Sangria""),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'""&amp;K227&amp;""'
             and Col6 = ""&amp;N227&amp;""
             and Col4 = date '""&amp;TEXT(C227,""yyyy-mm-dd"")&amp;""'""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'""&amp;K227&amp;""'
               and Col6 = ""&amp;N227&amp;""
               and Col4 = date '""&amp;TEXT(C227,""yyyy-mm-dd"")&amp;""'""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'""&amp;"&amp;"K227&amp;""'
                 and Col6 = ""&amp;N227&amp;""
                 and Col4 = date '""&amp;TEXT(C227,""yyyy-mm-dd"")&amp;""'""
            )
          )&gt;0,
          ""Confirmada"",
          ""Caixa Sangria""
        )
      )
    ),
    """"
  ),
  """"
)
"),"")</f>
        <v/>
      </c>
      <c r="M227" s="209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159" t="str">
        <f>IFERROR(__xludf.DUMMYFUNCTION("ifna(VALUE(REGEXEXTRACT(E227,""[0-9.]+[,]+[0-9]+"")))"),"")</f>
        <v/>
      </c>
      <c r="O227" s="159"/>
      <c r="P227" s="159"/>
      <c r="Q227" s="159"/>
      <c r="R227" s="159"/>
      <c r="S227" s="159"/>
      <c r="T227" s="159"/>
      <c r="U227" s="159"/>
      <c r="V227" s="159"/>
      <c r="W227" s="159"/>
    </row>
    <row r="228" ht="14.25" customHeight="1">
      <c r="A228" s="32"/>
      <c r="B228" s="13"/>
      <c r="C228" s="14"/>
      <c r="D228" s="210"/>
      <c r="E228" s="211"/>
      <c r="F228" s="212"/>
      <c r="G228" s="210"/>
      <c r="H228" s="170"/>
      <c r="I228" s="170"/>
      <c r="J228" s="156"/>
      <c r="K228" s="156"/>
      <c r="L228" s="157" t="str">
        <f>IFERROR(__xludf.DUMMYFUNCTION("IF(
  AND(D228=""Saída"", J228=""Sangria""),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'""&amp;K228&amp;""'
             and Col6 = ""&amp;N228&amp;""
             and Col4 = date '""&amp;TEXT(C228,""yyyy-mm-dd"")&amp;""'""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'""&amp;K228&amp;""'
               and Col6 = ""&amp;N228&amp;""
               and Col4 = date '""&amp;TEXT(C228,""yyyy-mm-dd"")&amp;""'""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'""&amp;"&amp;"K228&amp;""'
                 and Col6 = ""&amp;N228&amp;""
                 and Col4 = date '""&amp;TEXT(C228,""yyyy-mm-dd"")&amp;""'""
            )
          )&gt;0,
          ""Confirmada"",
          ""Caixa Sangria""
        )
      )
    ),
    """"
  ),
  """"
)
"),"")</f>
        <v/>
      </c>
      <c r="M228" s="207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159" t="str">
        <f>IFERROR(__xludf.DUMMYFUNCTION("ifna(VALUE(REGEXEXTRACT(E228,""[0-9.]+[,]+[0-9]+"")))"),"")</f>
        <v/>
      </c>
      <c r="O228" s="159"/>
      <c r="P228" s="159"/>
      <c r="Q228" s="159"/>
      <c r="R228" s="159"/>
      <c r="S228" s="159"/>
      <c r="T228" s="159"/>
      <c r="U228" s="159"/>
      <c r="V228" s="159"/>
      <c r="W228" s="159"/>
    </row>
    <row r="229" ht="14.25" customHeight="1">
      <c r="A229" s="32"/>
      <c r="B229" s="13"/>
      <c r="C229" s="14"/>
      <c r="D229" s="210"/>
      <c r="E229" s="211"/>
      <c r="F229" s="212"/>
      <c r="G229" s="210"/>
      <c r="H229" s="170"/>
      <c r="I229" s="170"/>
      <c r="J229" s="156"/>
      <c r="K229" s="156"/>
      <c r="L229" s="157" t="str">
        <f>IFERROR(__xludf.DUMMYFUNCTION("IF(
  AND(D229=""Saída"", J229=""Sangria""),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'""&amp;K229&amp;""'
             and Col6 = ""&amp;N229&amp;""
             and Col4 = date '""&amp;TEXT(C229,""yyyy-mm-dd"")&amp;""'""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'""&amp;K229&amp;""'
               and Col6 = ""&amp;N229&amp;""
               and Col4 = date '""&amp;TEXT(C229,""yyyy-mm-dd"")&amp;""'""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'""&amp;"&amp;"K229&amp;""'
                 and Col6 = ""&amp;N229&amp;""
                 and Col4 = date '""&amp;TEXT(C229,""yyyy-mm-dd"")&amp;""'""
            )
          )&gt;0,
          ""Confirmada"",
          ""Caixa Sangria""
        )
      )
    ),
    """"
  ),
  """"
)
"),"")</f>
        <v/>
      </c>
      <c r="M229" s="209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159" t="str">
        <f>IFERROR(__xludf.DUMMYFUNCTION("ifna(VALUE(REGEXEXTRACT(E229,""[0-9.]+[,]+[0-9]+"")))"),"")</f>
        <v/>
      </c>
      <c r="O229" s="159"/>
      <c r="P229" s="159"/>
      <c r="Q229" s="159"/>
      <c r="R229" s="159"/>
      <c r="S229" s="159"/>
      <c r="T229" s="159"/>
      <c r="U229" s="159"/>
      <c r="V229" s="159"/>
      <c r="W229" s="159"/>
    </row>
    <row r="230" ht="14.25" customHeight="1">
      <c r="A230" s="32"/>
      <c r="B230" s="13"/>
      <c r="C230" s="14"/>
      <c r="D230" s="210"/>
      <c r="E230" s="211"/>
      <c r="F230" s="212"/>
      <c r="G230" s="210"/>
      <c r="H230" s="170"/>
      <c r="I230" s="170"/>
      <c r="J230" s="156"/>
      <c r="K230" s="156"/>
      <c r="L230" s="157" t="str">
        <f>IFERROR(__xludf.DUMMYFUNCTION("IF(
  AND(D230=""Saída"", J230=""Sangria""),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'""&amp;K230&amp;""'
             and Col6 = ""&amp;N230&amp;""
             and Col4 = date '""&amp;TEXT(C230,""yyyy-mm-dd"")&amp;""'""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'""&amp;K230&amp;""'
               and Col6 = ""&amp;N230&amp;""
               and Col4 = date '""&amp;TEXT(C230,""yyyy-mm-dd"")&amp;""'""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'""&amp;"&amp;"K230&amp;""'
                 and Col6 = ""&amp;N230&amp;""
                 and Col4 = date '""&amp;TEXT(C230,""yyyy-mm-dd"")&amp;""'""
            )
          )&gt;0,
          ""Confirmada"",
          ""Caixa Sangria""
        )
      )
    ),
    """"
  ),
  """"
)
"),"")</f>
        <v/>
      </c>
      <c r="M230" s="207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159" t="str">
        <f>IFERROR(__xludf.DUMMYFUNCTION("ifna(VALUE(REGEXEXTRACT(E230,""[0-9.]+[,]+[0-9]+"")))"),"")</f>
        <v/>
      </c>
      <c r="O230" s="159"/>
      <c r="P230" s="159"/>
      <c r="Q230" s="159"/>
      <c r="R230" s="159"/>
      <c r="S230" s="159"/>
      <c r="T230" s="159"/>
      <c r="U230" s="159"/>
      <c r="V230" s="159"/>
      <c r="W230" s="159"/>
    </row>
    <row r="231" ht="14.25" customHeight="1">
      <c r="A231" s="32"/>
      <c r="B231" s="13"/>
      <c r="C231" s="14"/>
      <c r="D231" s="210"/>
      <c r="E231" s="211"/>
      <c r="F231" s="212"/>
      <c r="G231" s="210"/>
      <c r="H231" s="170"/>
      <c r="I231" s="170"/>
      <c r="J231" s="156"/>
      <c r="K231" s="156"/>
      <c r="L231" s="157" t="str">
        <f>IFERROR(__xludf.DUMMYFUNCTION("IF(
  AND(D231=""Saída"", J231=""Sangria""),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'""&amp;K231&amp;""'
             and Col6 = ""&amp;N231&amp;""
             and Col4 = date '""&amp;TEXT(C231,""yyyy-mm-dd"")&amp;""'""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'""&amp;K231&amp;""'
               and Col6 = ""&amp;N231&amp;""
               and Col4 = date '""&amp;TEXT(C231,""yyyy-mm-dd"")&amp;""'""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'""&amp;"&amp;"K231&amp;""'
                 and Col6 = ""&amp;N231&amp;""
                 and Col4 = date '""&amp;TEXT(C231,""yyyy-mm-dd"")&amp;""'""
            )
          )&gt;0,
          ""Confirmada"",
          ""Caixa Sangria""
        )
      )
    ),
    """"
  ),
  """"
)
"),"")</f>
        <v/>
      </c>
      <c r="M231" s="209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159" t="str">
        <f>IFERROR(__xludf.DUMMYFUNCTION("ifna(VALUE(REGEXEXTRACT(E231,""[0-9.]+[,]+[0-9]+"")))"),"")</f>
        <v/>
      </c>
      <c r="O231" s="159"/>
      <c r="P231" s="159"/>
      <c r="Q231" s="159"/>
      <c r="R231" s="159"/>
      <c r="S231" s="159"/>
      <c r="T231" s="159"/>
      <c r="U231" s="159"/>
      <c r="V231" s="159"/>
      <c r="W231" s="159"/>
    </row>
    <row r="232" ht="14.25" customHeight="1">
      <c r="A232" s="32"/>
      <c r="B232" s="13"/>
      <c r="C232" s="14"/>
      <c r="D232" s="210"/>
      <c r="E232" s="211"/>
      <c r="F232" s="212"/>
      <c r="G232" s="210"/>
      <c r="H232" s="170"/>
      <c r="I232" s="170"/>
      <c r="J232" s="156"/>
      <c r="K232" s="156"/>
      <c r="L232" s="157" t="str">
        <f>IFERROR(__xludf.DUMMYFUNCTION("IF(
  AND(D232=""Saída"", J232=""Sangria""),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'""&amp;K232&amp;""'
             and Col6 = ""&amp;N232&amp;""
             and Col4 = date '""&amp;TEXT(C232,""yyyy-mm-dd"")&amp;""'""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'""&amp;K232&amp;""'
               and Col6 = ""&amp;N232&amp;""
               and Col4 = date '""&amp;TEXT(C232,""yyyy-mm-dd"")&amp;""'""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'""&amp;"&amp;"K232&amp;""'
                 and Col6 = ""&amp;N232&amp;""
                 and Col4 = date '""&amp;TEXT(C232,""yyyy-mm-dd"")&amp;""'""
            )
          )&gt;0,
          ""Confirmada"",
          ""Caixa Sangria""
        )
      )
    ),
    """"
  ),
  """"
)
"),"")</f>
        <v/>
      </c>
      <c r="M232" s="207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159" t="str">
        <f>IFERROR(__xludf.DUMMYFUNCTION("ifna(VALUE(REGEXEXTRACT(E232,""[0-9.]+[,]+[0-9]+"")))"),"")</f>
        <v/>
      </c>
      <c r="O232" s="159"/>
      <c r="P232" s="159"/>
      <c r="Q232" s="159"/>
      <c r="R232" s="159"/>
      <c r="S232" s="159"/>
      <c r="T232" s="159"/>
      <c r="U232" s="159"/>
      <c r="V232" s="159"/>
      <c r="W232" s="159"/>
    </row>
    <row r="233" ht="14.25" customHeight="1">
      <c r="A233" s="32"/>
      <c r="B233" s="13"/>
      <c r="C233" s="14"/>
      <c r="D233" s="210"/>
      <c r="E233" s="211"/>
      <c r="F233" s="212"/>
      <c r="G233" s="210"/>
      <c r="H233" s="170"/>
      <c r="I233" s="170"/>
      <c r="J233" s="156"/>
      <c r="K233" s="156"/>
      <c r="L233" s="157" t="str">
        <f>IFERROR(__xludf.DUMMYFUNCTION("IF(
  AND(D233=""Saída"", J233=""Sangria""),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'""&amp;K233&amp;""'
             and Col6 = ""&amp;N233&amp;""
             and Col4 = date '""&amp;TEXT(C233,""yyyy-mm-dd"")&amp;""'""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'""&amp;K233&amp;""'
               and Col6 = ""&amp;N233&amp;""
               and Col4 = date '""&amp;TEXT(C233,""yyyy-mm-dd"")&amp;""'""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'""&amp;"&amp;"K233&amp;""'
                 and Col6 = ""&amp;N233&amp;""
                 and Col4 = date '""&amp;TEXT(C233,""yyyy-mm-dd"")&amp;""'""
            )
          )&gt;0,
          ""Confirmada"",
          ""Caixa Sangria""
        )
      )
    ),
    """"
  ),
  """"
)
"),"")</f>
        <v/>
      </c>
      <c r="M233" s="209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159" t="str">
        <f>IFERROR(__xludf.DUMMYFUNCTION("ifna(VALUE(REGEXEXTRACT(E233,""[0-9.]+[,]+[0-9]+"")))"),"")</f>
        <v/>
      </c>
      <c r="O233" s="159"/>
      <c r="P233" s="159"/>
      <c r="Q233" s="159"/>
      <c r="R233" s="159"/>
      <c r="S233" s="159"/>
      <c r="T233" s="159"/>
      <c r="U233" s="159"/>
      <c r="V233" s="159"/>
      <c r="W233" s="159"/>
    </row>
    <row r="234" ht="14.25" customHeight="1">
      <c r="A234" s="32"/>
      <c r="B234" s="13"/>
      <c r="C234" s="14"/>
      <c r="D234" s="210"/>
      <c r="E234" s="211"/>
      <c r="F234" s="212"/>
      <c r="G234" s="210"/>
      <c r="H234" s="170"/>
      <c r="I234" s="170"/>
      <c r="J234" s="156"/>
      <c r="K234" s="156"/>
      <c r="L234" s="157" t="str">
        <f>IFERROR(__xludf.DUMMYFUNCTION("IF(
  AND(D234=""Saída"", J234=""Sangria""),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'""&amp;K234&amp;""'
             and Col6 = ""&amp;N234&amp;""
             and Col4 = date '""&amp;TEXT(C234,""yyyy-mm-dd"")&amp;""'""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'""&amp;K234&amp;""'
               and Col6 = ""&amp;N234&amp;""
               and Col4 = date '""&amp;TEXT(C234,""yyyy-mm-dd"")&amp;""'""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'""&amp;"&amp;"K234&amp;""'
                 and Col6 = ""&amp;N234&amp;""
                 and Col4 = date '""&amp;TEXT(C234,""yyyy-mm-dd"")&amp;""'""
            )
          )&gt;0,
          ""Confirmada"",
          ""Caixa Sangria""
        )
      )
    ),
    """"
  ),
  """"
)
"),"")</f>
        <v/>
      </c>
      <c r="M234" s="207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159" t="str">
        <f>IFERROR(__xludf.DUMMYFUNCTION("ifna(VALUE(REGEXEXTRACT(E234,""[0-9.]+[,]+[0-9]+"")))"),"")</f>
        <v/>
      </c>
      <c r="O234" s="159"/>
      <c r="P234" s="159"/>
      <c r="Q234" s="159"/>
      <c r="R234" s="159"/>
      <c r="S234" s="159"/>
      <c r="T234" s="159"/>
      <c r="U234" s="159"/>
      <c r="V234" s="159"/>
      <c r="W234" s="159"/>
    </row>
    <row r="235" ht="14.25" customHeight="1">
      <c r="A235" s="32"/>
      <c r="B235" s="13"/>
      <c r="C235" s="14"/>
      <c r="D235" s="210"/>
      <c r="E235" s="211"/>
      <c r="F235" s="212"/>
      <c r="G235" s="210"/>
      <c r="H235" s="170"/>
      <c r="I235" s="170"/>
      <c r="J235" s="156"/>
      <c r="K235" s="156"/>
      <c r="L235" s="157" t="str">
        <f>IFERROR(__xludf.DUMMYFUNCTION("IF(
  AND(D235=""Saída"", J235=""Sangria""),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'""&amp;K235&amp;""'
             and Col6 = ""&amp;N235&amp;""
             and Col4 = date '""&amp;TEXT(C235,""yyyy-mm-dd"")&amp;""'""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'""&amp;K235&amp;""'
               and Col6 = ""&amp;N235&amp;""
               and Col4 = date '""&amp;TEXT(C235,""yyyy-mm-dd"")&amp;""'""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'""&amp;"&amp;"K235&amp;""'
                 and Col6 = ""&amp;N235&amp;""
                 and Col4 = date '""&amp;TEXT(C235,""yyyy-mm-dd"")&amp;""'""
            )
          )&gt;0,
          ""Confirmada"",
          ""Caixa Sangria""
        )
      )
    ),
    """"
  ),
  """"
)
"),"")</f>
        <v/>
      </c>
      <c r="M235" s="209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159" t="str">
        <f>IFERROR(__xludf.DUMMYFUNCTION("ifna(VALUE(REGEXEXTRACT(E235,""[0-9.]+[,]+[0-9]+"")))"),"")</f>
        <v/>
      </c>
      <c r="O235" s="159"/>
      <c r="P235" s="159"/>
      <c r="Q235" s="159"/>
      <c r="R235" s="159"/>
      <c r="S235" s="159"/>
      <c r="T235" s="159"/>
      <c r="U235" s="159"/>
      <c r="V235" s="159"/>
      <c r="W235" s="159"/>
    </row>
    <row r="236" ht="14.25" customHeight="1">
      <c r="A236" s="32"/>
      <c r="B236" s="13"/>
      <c r="C236" s="14"/>
      <c r="D236" s="210"/>
      <c r="E236" s="211"/>
      <c r="F236" s="212"/>
      <c r="G236" s="210"/>
      <c r="H236" s="170"/>
      <c r="I236" s="170"/>
      <c r="J236" s="156"/>
      <c r="K236" s="156"/>
      <c r="L236" s="157" t="str">
        <f>IFERROR(__xludf.DUMMYFUNCTION("IF(
  AND(D236=""Saída"", J236=""Sangria""),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'""&amp;K236&amp;""'
             and Col6 = ""&amp;N236&amp;""
             and Col4 = date '""&amp;TEXT(C236,""yyyy-mm-dd"")&amp;""'""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'""&amp;K236&amp;""'
               and Col6 = ""&amp;N236&amp;""
               and Col4 = date '""&amp;TEXT(C236,""yyyy-mm-dd"")&amp;""'""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'""&amp;"&amp;"K236&amp;""'
                 and Col6 = ""&amp;N236&amp;""
                 and Col4 = date '""&amp;TEXT(C236,""yyyy-mm-dd"")&amp;""'""
            )
          )&gt;0,
          ""Confirmada"",
          ""Caixa Sangria""
        )
      )
    ),
    """"
  ),
  """"
)
"),"")</f>
        <v/>
      </c>
      <c r="M236" s="207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159" t="str">
        <f>IFERROR(__xludf.DUMMYFUNCTION("ifna(VALUE(REGEXEXTRACT(E236,""[0-9.]+[,]+[0-9]+"")))"),"")</f>
        <v/>
      </c>
      <c r="O236" s="159"/>
      <c r="P236" s="159"/>
      <c r="Q236" s="159"/>
      <c r="R236" s="159"/>
      <c r="S236" s="159"/>
      <c r="T236" s="159"/>
      <c r="U236" s="159"/>
      <c r="V236" s="159"/>
      <c r="W236" s="159"/>
    </row>
    <row r="237" ht="14.25" customHeight="1">
      <c r="A237" s="32"/>
      <c r="B237" s="13"/>
      <c r="C237" s="14"/>
      <c r="D237" s="210"/>
      <c r="E237" s="211"/>
      <c r="F237" s="212"/>
      <c r="G237" s="210"/>
      <c r="H237" s="170"/>
      <c r="I237" s="170"/>
      <c r="J237" s="156"/>
      <c r="K237" s="156"/>
      <c r="L237" s="157" t="str">
        <f>IFERROR(__xludf.DUMMYFUNCTION("IF(
  AND(D237=""Saída"", J237=""Sangria""),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'""&amp;K237&amp;""'
             and Col6 = ""&amp;N237&amp;""
             and Col4 = date '""&amp;TEXT(C237,""yyyy-mm-dd"")&amp;""'""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'""&amp;K237&amp;""'
               and Col6 = ""&amp;N237&amp;""
               and Col4 = date '""&amp;TEXT(C237,""yyyy-mm-dd"")&amp;""'""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'""&amp;"&amp;"K237&amp;""'
                 and Col6 = ""&amp;N237&amp;""
                 and Col4 = date '""&amp;TEXT(C237,""yyyy-mm-dd"")&amp;""'""
            )
          )&gt;0,
          ""Confirmada"",
          ""Caixa Sangria""
        )
      )
    ),
    """"
  ),
  """"
)
"),"")</f>
        <v/>
      </c>
      <c r="M237" s="209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159" t="str">
        <f>IFERROR(__xludf.DUMMYFUNCTION("ifna(VALUE(REGEXEXTRACT(E237,""[0-9.]+[,]+[0-9]+"")))"),"")</f>
        <v/>
      </c>
      <c r="O237" s="159"/>
      <c r="P237" s="159"/>
      <c r="Q237" s="159"/>
      <c r="R237" s="159"/>
      <c r="S237" s="159"/>
      <c r="T237" s="159"/>
      <c r="U237" s="159"/>
      <c r="V237" s="159"/>
      <c r="W237" s="159"/>
    </row>
    <row r="238" ht="14.25" customHeight="1">
      <c r="A238" s="32"/>
      <c r="B238" s="13"/>
      <c r="C238" s="14"/>
      <c r="D238" s="210"/>
      <c r="E238" s="211"/>
      <c r="F238" s="212"/>
      <c r="G238" s="210"/>
      <c r="H238" s="170"/>
      <c r="I238" s="170"/>
      <c r="J238" s="156"/>
      <c r="K238" s="156"/>
      <c r="L238" s="157" t="str">
        <f>IFERROR(__xludf.DUMMYFUNCTION("IF(
  AND(D238=""Saída"", J238=""Sangria""),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'""&amp;K238&amp;""'
             and Col6 = ""&amp;N238&amp;""
             and Col4 = date '""&amp;TEXT(C238,""yyyy-mm-dd"")&amp;""'""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'""&amp;K238&amp;""'
               and Col6 = ""&amp;N238&amp;""
               and Col4 = date '""&amp;TEXT(C238,""yyyy-mm-dd"")&amp;""'""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'""&amp;"&amp;"K238&amp;""'
                 and Col6 = ""&amp;N238&amp;""
                 and Col4 = date '""&amp;TEXT(C238,""yyyy-mm-dd"")&amp;""'""
            )
          )&gt;0,
          ""Confirmada"",
          ""Caixa Sangria""
        )
      )
    ),
    """"
  ),
  """"
)
"),"")</f>
        <v/>
      </c>
      <c r="M238" s="207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159" t="str">
        <f>IFERROR(__xludf.DUMMYFUNCTION("ifna(VALUE(REGEXEXTRACT(E238,""[0-9.]+[,]+[0-9]+"")))"),"")</f>
        <v/>
      </c>
      <c r="O238" s="159"/>
      <c r="P238" s="159"/>
      <c r="Q238" s="159"/>
      <c r="R238" s="159"/>
      <c r="S238" s="159"/>
      <c r="T238" s="159"/>
      <c r="U238" s="159"/>
      <c r="V238" s="159"/>
      <c r="W238" s="159"/>
    </row>
    <row r="239" ht="14.25" customHeight="1">
      <c r="A239" s="32"/>
      <c r="B239" s="13"/>
      <c r="C239" s="14"/>
      <c r="D239" s="210"/>
      <c r="E239" s="211"/>
      <c r="F239" s="212"/>
      <c r="G239" s="210"/>
      <c r="H239" s="170"/>
      <c r="I239" s="170"/>
      <c r="J239" s="156"/>
      <c r="K239" s="156"/>
      <c r="L239" s="157" t="str">
        <f>IFERROR(__xludf.DUMMYFUNCTION("IF(
  AND(D239=""Saída"", J239=""Sangria""),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'""&amp;K239&amp;""'
             and Col6 = ""&amp;N239&amp;""
             and Col4 = date '""&amp;TEXT(C239,""yyyy-mm-dd"")&amp;""'""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'""&amp;K239&amp;""'
               and Col6 = ""&amp;N239&amp;""
               and Col4 = date '""&amp;TEXT(C239,""yyyy-mm-dd"")&amp;""'""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'""&amp;"&amp;"K239&amp;""'
                 and Col6 = ""&amp;N239&amp;""
                 and Col4 = date '""&amp;TEXT(C239,""yyyy-mm-dd"")&amp;""'""
            )
          )&gt;0,
          ""Confirmada"",
          ""Caixa Sangria""
        )
      )
    ),
    """"
  ),
  """"
)
"),"")</f>
        <v/>
      </c>
      <c r="M239" s="209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159" t="str">
        <f>IFERROR(__xludf.DUMMYFUNCTION("ifna(VALUE(REGEXEXTRACT(E239,""[0-9.]+[,]+[0-9]+"")))"),"")</f>
        <v/>
      </c>
      <c r="O239" s="159"/>
      <c r="P239" s="159"/>
      <c r="Q239" s="159"/>
      <c r="R239" s="159"/>
      <c r="S239" s="159"/>
      <c r="T239" s="159"/>
      <c r="U239" s="159"/>
      <c r="V239" s="159"/>
      <c r="W239" s="159"/>
    </row>
    <row r="240" ht="14.25" customHeight="1">
      <c r="A240" s="32"/>
      <c r="B240" s="13"/>
      <c r="C240" s="14"/>
      <c r="D240" s="210"/>
      <c r="E240" s="211"/>
      <c r="F240" s="212"/>
      <c r="G240" s="210"/>
      <c r="H240" s="170"/>
      <c r="I240" s="170"/>
      <c r="J240" s="156"/>
      <c r="K240" s="156"/>
      <c r="L240" s="157" t="str">
        <f>IFERROR(__xludf.DUMMYFUNCTION("IF(
  AND(D240=""Saída"", J240=""Sangria""),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'""&amp;K240&amp;""'
             and Col6 = ""&amp;N240&amp;""
             and Col4 = date '""&amp;TEXT(C240,""yyyy-mm-dd"")&amp;""'""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'""&amp;K240&amp;""'
               and Col6 = ""&amp;N240&amp;""
               and Col4 = date '""&amp;TEXT(C240,""yyyy-mm-dd"")&amp;""'""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'""&amp;"&amp;"K240&amp;""'
                 and Col6 = ""&amp;N240&amp;""
                 and Col4 = date '""&amp;TEXT(C240,""yyyy-mm-dd"")&amp;""'""
            )
          )&gt;0,
          ""Confirmada"",
          ""Caixa Sangria""
        )
      )
    ),
    """"
  ),
  """"
)
"),"")</f>
        <v/>
      </c>
      <c r="M240" s="207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159" t="str">
        <f>IFERROR(__xludf.DUMMYFUNCTION("ifna(VALUE(REGEXEXTRACT(E240,""[0-9.]+[,]+[0-9]+"")))"),"")</f>
        <v/>
      </c>
      <c r="O240" s="159"/>
      <c r="P240" s="159"/>
      <c r="Q240" s="159"/>
      <c r="R240" s="159"/>
      <c r="S240" s="159"/>
      <c r="T240" s="159"/>
      <c r="U240" s="159"/>
      <c r="V240" s="159"/>
      <c r="W240" s="159"/>
    </row>
    <row r="241" ht="14.25" customHeight="1">
      <c r="A241" s="32"/>
      <c r="B241" s="13"/>
      <c r="C241" s="14"/>
      <c r="D241" s="210"/>
      <c r="E241" s="211"/>
      <c r="F241" s="214"/>
      <c r="G241" s="210"/>
      <c r="H241" s="170"/>
      <c r="I241" s="170"/>
      <c r="J241" s="156"/>
      <c r="K241" s="169"/>
      <c r="L241" s="157" t="str">
        <f>IFERROR(__xludf.DUMMYFUNCTION("IF(
  AND(D241=""Saída"", J241=""Sangria""),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'""&amp;K241&amp;""'
             and Col6 = ""&amp;N241&amp;""
             and Col4 = date '""&amp;TEXT(C241,""yyyy-mm-dd"")&amp;""'""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'""&amp;K241&amp;""'
               and Col6 = ""&amp;N241&amp;""
               and Col4 = date '""&amp;TEXT(C241,""yyyy-mm-dd"")&amp;""'""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'""&amp;"&amp;"K241&amp;""'
                 and Col6 = ""&amp;N241&amp;""
                 and Col4 = date '""&amp;TEXT(C241,""yyyy-mm-dd"")&amp;""'""
            )
          )&gt;0,
          ""Confirmada"",
          ""Caixa Sangria""
        )
      )
    ),
    """"
  ),
  """"
)
"),"")</f>
        <v/>
      </c>
      <c r="M241" s="209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159" t="str">
        <f>IFERROR(__xludf.DUMMYFUNCTION("ifna(VALUE(REGEXEXTRACT(E241,""[0-9.]+[,]+[0-9]+"")))"),"")</f>
        <v/>
      </c>
      <c r="O241" s="159"/>
      <c r="P241" s="159"/>
      <c r="Q241" s="159"/>
      <c r="R241" s="159"/>
      <c r="S241" s="159"/>
      <c r="T241" s="159"/>
      <c r="U241" s="159"/>
      <c r="V241" s="159"/>
      <c r="W241" s="159"/>
    </row>
    <row r="242" ht="14.25" customHeight="1">
      <c r="A242" s="32"/>
      <c r="B242" s="13"/>
      <c r="C242" s="14"/>
      <c r="D242" s="210"/>
      <c r="E242" s="211"/>
      <c r="F242" s="212"/>
      <c r="G242" s="210"/>
      <c r="H242" s="170"/>
      <c r="I242" s="170"/>
      <c r="J242" s="156"/>
      <c r="K242" s="169"/>
      <c r="L242" s="157" t="str">
        <f>IFERROR(__xludf.DUMMYFUNCTION("IF(
  AND(D242=""Saída"", J242=""Sangria""),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'""&amp;K242&amp;""'
             and Col6 = ""&amp;N242&amp;""
             and Col4 = date '""&amp;TEXT(C242,""yyyy-mm-dd"")&amp;""'""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'""&amp;K242&amp;""'
               and Col6 = ""&amp;N242&amp;""
               and Col4 = date '""&amp;TEXT(C242,""yyyy-mm-dd"")&amp;""'""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'""&amp;"&amp;"K242&amp;""'
                 and Col6 = ""&amp;N242&amp;""
                 and Col4 = date '""&amp;TEXT(C242,""yyyy-mm-dd"")&amp;""'""
            )
          )&gt;0,
          ""Confirmada"",
          ""Caixa Sangria""
        )
      )
    ),
    """"
  ),
  """"
)
"),"")</f>
        <v/>
      </c>
      <c r="M242" s="207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159" t="str">
        <f>IFERROR(__xludf.DUMMYFUNCTION("ifna(VALUE(REGEXEXTRACT(E242,""[0-9.]+[,]+[0-9]+"")))"),"")</f>
        <v/>
      </c>
      <c r="O242" s="159"/>
      <c r="P242" s="159"/>
      <c r="Q242" s="159"/>
      <c r="R242" s="159"/>
      <c r="S242" s="159"/>
      <c r="T242" s="159"/>
      <c r="U242" s="159"/>
      <c r="V242" s="159"/>
      <c r="W242" s="159"/>
    </row>
    <row r="243" ht="14.25" customHeight="1">
      <c r="A243" s="32"/>
      <c r="B243" s="13"/>
      <c r="C243" s="14"/>
      <c r="D243" s="210"/>
      <c r="E243" s="211"/>
      <c r="F243" s="212"/>
      <c r="G243" s="210"/>
      <c r="H243" s="170"/>
      <c r="I243" s="170"/>
      <c r="J243" s="156"/>
      <c r="K243" s="156"/>
      <c r="L243" s="157" t="str">
        <f>IFERROR(__xludf.DUMMYFUNCTION("IF(
  AND(D243=""Saída"", J243=""Sangria""),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'""&amp;K243&amp;""'
             and Col6 = ""&amp;N243&amp;""
             and Col4 = date '""&amp;TEXT(C243,""yyyy-mm-dd"")&amp;""'""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'""&amp;K243&amp;""'
               and Col6 = ""&amp;N243&amp;""
               and Col4 = date '""&amp;TEXT(C243,""yyyy-mm-dd"")&amp;""'""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'""&amp;"&amp;"K243&amp;""'
                 and Col6 = ""&amp;N243&amp;""
                 and Col4 = date '""&amp;TEXT(C243,""yyyy-mm-dd"")&amp;""'""
            )
          )&gt;0,
          ""Confirmada"",
          ""Caixa Sangria""
        )
      )
    ),
    """"
  ),
  """"
)
"),"")</f>
        <v/>
      </c>
      <c r="M243" s="209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159" t="str">
        <f>IFERROR(__xludf.DUMMYFUNCTION("ifna(VALUE(REGEXEXTRACT(E243,""[0-9.]+[,]+[0-9]+"")))"),"")</f>
        <v/>
      </c>
      <c r="O243" s="159"/>
      <c r="P243" s="159"/>
      <c r="Q243" s="159"/>
      <c r="R243" s="159"/>
      <c r="S243" s="159"/>
      <c r="T243" s="159"/>
      <c r="U243" s="159"/>
      <c r="V243" s="159"/>
      <c r="W243" s="159"/>
    </row>
    <row r="244" ht="14.25" customHeight="1">
      <c r="A244" s="32"/>
      <c r="B244" s="13"/>
      <c r="C244" s="14"/>
      <c r="D244" s="210"/>
      <c r="E244" s="211"/>
      <c r="F244" s="212"/>
      <c r="G244" s="210"/>
      <c r="H244" s="170"/>
      <c r="I244" s="170"/>
      <c r="J244" s="156"/>
      <c r="K244" s="156"/>
      <c r="L244" s="157" t="str">
        <f>IFERROR(__xludf.DUMMYFUNCTION("IF(
  AND(D244=""Saída"", J244=""Sangria""),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'""&amp;K244&amp;""'
             and Col6 = ""&amp;N244&amp;""
             and Col4 = date '""&amp;TEXT(C244,""yyyy-mm-dd"")&amp;""'""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'""&amp;K244&amp;""'
               and Col6 = ""&amp;N244&amp;""
               and Col4 = date '""&amp;TEXT(C244,""yyyy-mm-dd"")&amp;""'""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'""&amp;"&amp;"K244&amp;""'
                 and Col6 = ""&amp;N244&amp;""
                 and Col4 = date '""&amp;TEXT(C244,""yyyy-mm-dd"")&amp;""'""
            )
          )&gt;0,
          ""Confirmada"",
          ""Caixa Sangria""
        )
      )
    ),
    """"
  ),
  """"
)
"),"")</f>
        <v/>
      </c>
      <c r="M244" s="207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159" t="str">
        <f>IFERROR(__xludf.DUMMYFUNCTION("ifna(VALUE(REGEXEXTRACT(E244,""[0-9.]+[,]+[0-9]+"")))"),"")</f>
        <v/>
      </c>
      <c r="O244" s="159"/>
      <c r="P244" s="159"/>
      <c r="Q244" s="159"/>
      <c r="R244" s="159"/>
      <c r="S244" s="159"/>
      <c r="T244" s="159"/>
      <c r="U244" s="159"/>
      <c r="V244" s="159"/>
      <c r="W244" s="159"/>
    </row>
    <row r="245" ht="14.25" customHeight="1">
      <c r="A245" s="32"/>
      <c r="B245" s="13"/>
      <c r="C245" s="14"/>
      <c r="D245" s="210"/>
      <c r="E245" s="211"/>
      <c r="F245" s="212"/>
      <c r="G245" s="210"/>
      <c r="H245" s="170"/>
      <c r="I245" s="170"/>
      <c r="J245" s="156"/>
      <c r="K245" s="156"/>
      <c r="L245" s="157" t="str">
        <f>IFERROR(__xludf.DUMMYFUNCTION("IF(
  AND(D245=""Saída"", J245=""Sangria""),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'""&amp;K245&amp;""'
             and Col6 = ""&amp;N245&amp;""
             and Col4 = date '""&amp;TEXT(C245,""yyyy-mm-dd"")&amp;""'""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'""&amp;K245&amp;""'
               and Col6 = ""&amp;N245&amp;""
               and Col4 = date '""&amp;TEXT(C245,""yyyy-mm-dd"")&amp;""'""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'""&amp;"&amp;"K245&amp;""'
                 and Col6 = ""&amp;N245&amp;""
                 and Col4 = date '""&amp;TEXT(C245,""yyyy-mm-dd"")&amp;""'""
            )
          )&gt;0,
          ""Confirmada"",
          ""Caixa Sangria""
        )
      )
    ),
    """"
  ),
  """"
)
"),"")</f>
        <v/>
      </c>
      <c r="M245" s="209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159" t="str">
        <f>IFERROR(__xludf.DUMMYFUNCTION("ifna(VALUE(REGEXEXTRACT(E245,""[0-9.]+[,]+[0-9]+"")))"),"")</f>
        <v/>
      </c>
      <c r="O245" s="159"/>
      <c r="P245" s="159"/>
      <c r="Q245" s="159"/>
      <c r="R245" s="159"/>
      <c r="S245" s="159"/>
      <c r="T245" s="159"/>
      <c r="U245" s="159"/>
      <c r="V245" s="159"/>
      <c r="W245" s="159"/>
    </row>
    <row r="246" ht="14.25" customHeight="1">
      <c r="A246" s="32"/>
      <c r="B246" s="13"/>
      <c r="C246" s="14"/>
      <c r="D246" s="210"/>
      <c r="E246" s="211"/>
      <c r="F246" s="212"/>
      <c r="G246" s="210"/>
      <c r="H246" s="170"/>
      <c r="I246" s="170"/>
      <c r="J246" s="156"/>
      <c r="K246" s="156"/>
      <c r="L246" s="157" t="str">
        <f>IFERROR(__xludf.DUMMYFUNCTION("IF(
  AND(D246=""Saída"", J246=""Sangria""),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'""&amp;K246&amp;""'
             and Col6 = ""&amp;N246&amp;""
             and Col4 = date '""&amp;TEXT(C246,""yyyy-mm-dd"")&amp;""'""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'""&amp;K246&amp;""'
               and Col6 = ""&amp;N246&amp;""
               and Col4 = date '""&amp;TEXT(C246,""yyyy-mm-dd"")&amp;""'""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'""&amp;"&amp;"K246&amp;""'
                 and Col6 = ""&amp;N246&amp;""
                 and Col4 = date '""&amp;TEXT(C246,""yyyy-mm-dd"")&amp;""'""
            )
          )&gt;0,
          ""Confirmada"",
          ""Caixa Sangria""
        )
      )
    ),
    """"
  ),
  """"
)
"),"")</f>
        <v/>
      </c>
      <c r="M246" s="207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159" t="str">
        <f>IFERROR(__xludf.DUMMYFUNCTION("ifna(VALUE(REGEXEXTRACT(E246,""[0-9.]+[,]+[0-9]+"")))"),"")</f>
        <v/>
      </c>
      <c r="O246" s="159"/>
      <c r="P246" s="159"/>
      <c r="Q246" s="159"/>
      <c r="R246" s="159"/>
      <c r="S246" s="159"/>
      <c r="T246" s="159"/>
      <c r="U246" s="159"/>
      <c r="V246" s="159"/>
      <c r="W246" s="159"/>
    </row>
    <row r="247" ht="14.25" customHeight="1">
      <c r="A247" s="32"/>
      <c r="B247" s="13"/>
      <c r="C247" s="14"/>
      <c r="D247" s="210"/>
      <c r="E247" s="211"/>
      <c r="F247" s="212"/>
      <c r="G247" s="210"/>
      <c r="H247" s="170"/>
      <c r="I247" s="170"/>
      <c r="J247" s="156"/>
      <c r="K247" s="156"/>
      <c r="L247" s="157" t="str">
        <f>IFERROR(__xludf.DUMMYFUNCTION("IF(
  AND(D247=""Saída"", J247=""Sangria""),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'""&amp;K247&amp;""'
             and Col6 = ""&amp;N247&amp;""
             and Col4 = date '""&amp;TEXT(C247,""yyyy-mm-dd"")&amp;""'""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'""&amp;K247&amp;""'
               and Col6 = ""&amp;N247&amp;""
               and Col4 = date '""&amp;TEXT(C247,""yyyy-mm-dd"")&amp;""'""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'""&amp;"&amp;"K247&amp;""'
                 and Col6 = ""&amp;N247&amp;""
                 and Col4 = date '""&amp;TEXT(C247,""yyyy-mm-dd"")&amp;""'""
            )
          )&gt;0,
          ""Confirmada"",
          ""Caixa Sangria""
        )
      )
    ),
    """"
  ),
  """"
)
"),"")</f>
        <v/>
      </c>
      <c r="M247" s="209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159" t="str">
        <f>IFERROR(__xludf.DUMMYFUNCTION("ifna(VALUE(REGEXEXTRACT(E247,""[0-9.]+[,]+[0-9]+"")))"),"")</f>
        <v/>
      </c>
      <c r="O247" s="159"/>
      <c r="P247" s="159"/>
      <c r="Q247" s="159"/>
      <c r="R247" s="159"/>
      <c r="S247" s="159"/>
      <c r="T247" s="159"/>
      <c r="U247" s="159"/>
      <c r="V247" s="159"/>
      <c r="W247" s="159"/>
    </row>
    <row r="248" ht="14.25" customHeight="1">
      <c r="A248" s="32"/>
      <c r="B248" s="13"/>
      <c r="C248" s="14"/>
      <c r="D248" s="210"/>
      <c r="E248" s="211"/>
      <c r="F248" s="214"/>
      <c r="G248" s="210"/>
      <c r="H248" s="170"/>
      <c r="I248" s="170"/>
      <c r="J248" s="156"/>
      <c r="K248" s="156"/>
      <c r="L248" s="157" t="str">
        <f>IFERROR(__xludf.DUMMYFUNCTION("IF(
  AND(D248=""Saída"", J248=""Sangria""),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'""&amp;K248&amp;""'
             and Col6 = ""&amp;N248&amp;""
             and Col4 = date '""&amp;TEXT(C248,""yyyy-mm-dd"")&amp;""'""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'""&amp;K248&amp;""'
               and Col6 = ""&amp;N248&amp;""
               and Col4 = date '""&amp;TEXT(C248,""yyyy-mm-dd"")&amp;""'""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'""&amp;"&amp;"K248&amp;""'
                 and Col6 = ""&amp;N248&amp;""
                 and Col4 = date '""&amp;TEXT(C248,""yyyy-mm-dd"")&amp;""'""
            )
          )&gt;0,
          ""Confirmada"",
          ""Caixa Sangria""
        )
      )
    ),
    """"
  ),
  """"
)
"),"")</f>
        <v/>
      </c>
      <c r="M248" s="207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159" t="str">
        <f>IFERROR(__xludf.DUMMYFUNCTION("ifna(VALUE(REGEXEXTRACT(E248,""[0-9.]+[,]+[0-9]+"")))"),"")</f>
        <v/>
      </c>
      <c r="O248" s="159"/>
      <c r="P248" s="159"/>
      <c r="Q248" s="159"/>
      <c r="R248" s="159"/>
      <c r="S248" s="159"/>
      <c r="T248" s="159"/>
      <c r="U248" s="159"/>
      <c r="V248" s="159"/>
      <c r="W248" s="159"/>
    </row>
    <row r="249" ht="14.25" customHeight="1">
      <c r="A249" s="32"/>
      <c r="B249" s="13"/>
      <c r="C249" s="14"/>
      <c r="D249" s="210"/>
      <c r="E249" s="211"/>
      <c r="F249" s="212"/>
      <c r="G249" s="210"/>
      <c r="H249" s="170"/>
      <c r="I249" s="170"/>
      <c r="J249" s="156"/>
      <c r="K249" s="156"/>
      <c r="L249" s="157" t="str">
        <f>IFERROR(__xludf.DUMMYFUNCTION("IF(
  AND(D249=""Saída"", J249=""Sangria""),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'""&amp;K249&amp;""'
             and Col6 = ""&amp;N249&amp;""
             and Col4 = date '""&amp;TEXT(C249,""yyyy-mm-dd"")&amp;""'""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'""&amp;K249&amp;""'
               and Col6 = ""&amp;N249&amp;""
               and Col4 = date '""&amp;TEXT(C249,""yyyy-mm-dd"")&amp;""'""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'""&amp;"&amp;"K249&amp;""'
                 and Col6 = ""&amp;N249&amp;""
                 and Col4 = date '""&amp;TEXT(C249,""yyyy-mm-dd"")&amp;""'""
            )
          )&gt;0,
          ""Confirmada"",
          ""Caixa Sangria""
        )
      )
    ),
    """"
  ),
  """"
)
"),"")</f>
        <v/>
      </c>
      <c r="M249" s="209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159" t="str">
        <f>IFERROR(__xludf.DUMMYFUNCTION("ifna(VALUE(REGEXEXTRACT(E249,""[0-9.]+[,]+[0-9]+"")))"),"")</f>
        <v/>
      </c>
      <c r="O249" s="159"/>
      <c r="P249" s="159"/>
      <c r="Q249" s="159"/>
      <c r="R249" s="159"/>
      <c r="S249" s="159"/>
      <c r="T249" s="159"/>
      <c r="U249" s="159"/>
      <c r="V249" s="159"/>
      <c r="W249" s="159"/>
    </row>
    <row r="250" ht="14.25" customHeight="1">
      <c r="A250" s="32"/>
      <c r="B250" s="13"/>
      <c r="C250" s="14"/>
      <c r="D250" s="210"/>
      <c r="E250" s="211"/>
      <c r="F250" s="212"/>
      <c r="G250" s="210"/>
      <c r="H250" s="170"/>
      <c r="I250" s="170"/>
      <c r="J250" s="156"/>
      <c r="K250" s="156"/>
      <c r="L250" s="157" t="str">
        <f>IFERROR(__xludf.DUMMYFUNCTION("IF(
  AND(D250=""Saída"", J250=""Sangria""),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'""&amp;K250&amp;""'
             and Col6 = ""&amp;N250&amp;""
             and Col4 = date '""&amp;TEXT(C250,""yyyy-mm-dd"")&amp;""'""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'""&amp;K250&amp;""'
               and Col6 = ""&amp;N250&amp;""
               and Col4 = date '""&amp;TEXT(C250,""yyyy-mm-dd"")&amp;""'""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'""&amp;"&amp;"K250&amp;""'
                 and Col6 = ""&amp;N250&amp;""
                 and Col4 = date '""&amp;TEXT(C250,""yyyy-mm-dd"")&amp;""'""
            )
          )&gt;0,
          ""Confirmada"",
          ""Caixa Sangria""
        )
      )
    ),
    """"
  ),
  """"
)
"),"")</f>
        <v/>
      </c>
      <c r="M250" s="207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159" t="str">
        <f>IFERROR(__xludf.DUMMYFUNCTION("ifna(VALUE(REGEXEXTRACT(E250,""[0-9.]+[,]+[0-9]+"")))"),"")</f>
        <v/>
      </c>
      <c r="O250" s="159"/>
      <c r="P250" s="159"/>
      <c r="Q250" s="159"/>
      <c r="R250" s="159"/>
      <c r="S250" s="159"/>
      <c r="T250" s="159"/>
      <c r="U250" s="159"/>
      <c r="V250" s="159"/>
      <c r="W250" s="159"/>
    </row>
    <row r="251" ht="14.25" customHeight="1">
      <c r="A251" s="32"/>
      <c r="B251" s="13"/>
      <c r="C251" s="14"/>
      <c r="D251" s="210"/>
      <c r="E251" s="211"/>
      <c r="F251" s="212"/>
      <c r="G251" s="210"/>
      <c r="H251" s="170"/>
      <c r="I251" s="170"/>
      <c r="J251" s="156"/>
      <c r="K251" s="156"/>
      <c r="L251" s="157" t="str">
        <f>IFERROR(__xludf.DUMMYFUNCTION("IF(
  AND(D251=""Saída"", J251=""Sangria""),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'""&amp;K251&amp;""'
             and Col6 = ""&amp;N251&amp;""
             and Col4 = date '""&amp;TEXT(C251,""yyyy-mm-dd"")&amp;""'""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'""&amp;K251&amp;""'
               and Col6 = ""&amp;N251&amp;""
               and Col4 = date '""&amp;TEXT(C251,""yyyy-mm-dd"")&amp;""'""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'""&amp;"&amp;"K251&amp;""'
                 and Col6 = ""&amp;N251&amp;""
                 and Col4 = date '""&amp;TEXT(C251,""yyyy-mm-dd"")&amp;""'""
            )
          )&gt;0,
          ""Confirmada"",
          ""Caixa Sangria""
        )
      )
    ),
    """"
  ),
  """"
)
"),"")</f>
        <v/>
      </c>
      <c r="M251" s="209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159" t="str">
        <f>IFERROR(__xludf.DUMMYFUNCTION("ifna(VALUE(REGEXEXTRACT(E251,""[0-9.]+[,]+[0-9]+"")))"),"")</f>
        <v/>
      </c>
      <c r="O251" s="159"/>
      <c r="P251" s="159"/>
      <c r="Q251" s="159"/>
      <c r="R251" s="159"/>
      <c r="S251" s="159"/>
      <c r="T251" s="159"/>
      <c r="U251" s="159"/>
      <c r="V251" s="159"/>
      <c r="W251" s="159"/>
    </row>
    <row r="252" ht="14.25" customHeight="1">
      <c r="A252" s="32"/>
      <c r="B252" s="13"/>
      <c r="C252" s="14"/>
      <c r="D252" s="210"/>
      <c r="E252" s="211"/>
      <c r="F252" s="212"/>
      <c r="G252" s="210"/>
      <c r="H252" s="170"/>
      <c r="I252" s="170"/>
      <c r="J252" s="156"/>
      <c r="K252" s="169"/>
      <c r="L252" s="157" t="str">
        <f>IFERROR(__xludf.DUMMYFUNCTION("IF(
  AND(D252=""Saída"", J252=""Sangria""),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'""&amp;K252&amp;""'
             and Col6 = ""&amp;N252&amp;""
             and Col4 = date '""&amp;TEXT(C252,""yyyy-mm-dd"")&amp;""'""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'""&amp;K252&amp;""'
               and Col6 = ""&amp;N252&amp;""
               and Col4 = date '""&amp;TEXT(C252,""yyyy-mm-dd"")&amp;""'""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'""&amp;"&amp;"K252&amp;""'
                 and Col6 = ""&amp;N252&amp;""
                 and Col4 = date '""&amp;TEXT(C252,""yyyy-mm-dd"")&amp;""'""
            )
          )&gt;0,
          ""Confirmada"",
          ""Caixa Sangria""
        )
      )
    ),
    """"
  ),
  """"
)
"),"")</f>
        <v/>
      </c>
      <c r="M252" s="207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159" t="str">
        <f>IFERROR(__xludf.DUMMYFUNCTION("ifna(VALUE(REGEXEXTRACT(E252,""[0-9.]+[,]+[0-9]+"")))"),"")</f>
        <v/>
      </c>
      <c r="O252" s="159"/>
      <c r="P252" s="159"/>
      <c r="Q252" s="159"/>
      <c r="R252" s="159"/>
      <c r="S252" s="159"/>
      <c r="T252" s="159"/>
      <c r="U252" s="159"/>
      <c r="V252" s="159"/>
      <c r="W252" s="159"/>
    </row>
    <row r="253" ht="14.25" customHeight="1">
      <c r="A253" s="32"/>
      <c r="B253" s="13"/>
      <c r="C253" s="14"/>
      <c r="D253" s="210"/>
      <c r="E253" s="211"/>
      <c r="F253" s="212"/>
      <c r="G253" s="210"/>
      <c r="H253" s="170"/>
      <c r="I253" s="170"/>
      <c r="J253" s="156"/>
      <c r="K253" s="156"/>
      <c r="L253" s="157" t="str">
        <f>IFERROR(__xludf.DUMMYFUNCTION("IF(
  AND(D253=""Saída"", J253=""Sangria""),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'""&amp;K253&amp;""'
             and Col6 = ""&amp;N253&amp;""
             and Col4 = date '""&amp;TEXT(C253,""yyyy-mm-dd"")&amp;""'""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'""&amp;K253&amp;""'
               and Col6 = ""&amp;N253&amp;""
               and Col4 = date '""&amp;TEXT(C253,""yyyy-mm-dd"")&amp;""'""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'""&amp;"&amp;"K253&amp;""'
                 and Col6 = ""&amp;N253&amp;""
                 and Col4 = date '""&amp;TEXT(C253,""yyyy-mm-dd"")&amp;""'""
            )
          )&gt;0,
          ""Confirmada"",
          ""Caixa Sangria""
        )
      )
    ),
    """"
  ),
  """"
)
"),"")</f>
        <v/>
      </c>
      <c r="M253" s="209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159" t="str">
        <f>IFERROR(__xludf.DUMMYFUNCTION("ifna(VALUE(REGEXEXTRACT(E253,""[0-9.]+[,]+[0-9]+"")))"),"")</f>
        <v/>
      </c>
      <c r="O253" s="159"/>
      <c r="P253" s="159"/>
      <c r="Q253" s="159"/>
      <c r="R253" s="159"/>
      <c r="S253" s="159"/>
      <c r="T253" s="159"/>
      <c r="U253" s="159"/>
      <c r="V253" s="159"/>
      <c r="W253" s="159"/>
    </row>
    <row r="254" ht="14.25" customHeight="1">
      <c r="A254" s="32"/>
      <c r="B254" s="13"/>
      <c r="C254" s="14"/>
      <c r="D254" s="210"/>
      <c r="E254" s="211"/>
      <c r="F254" s="212"/>
      <c r="G254" s="210"/>
      <c r="H254" s="170"/>
      <c r="I254" s="170"/>
      <c r="J254" s="156"/>
      <c r="K254" s="156"/>
      <c r="L254" s="157" t="str">
        <f>IFERROR(__xludf.DUMMYFUNCTION("IF(
  AND(D254=""Saída"", J254=""Sangria""),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'""&amp;K254&amp;""'
             and Col6 = ""&amp;N254&amp;""
             and Col4 = date '""&amp;TEXT(C254,""yyyy-mm-dd"")&amp;""'""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'""&amp;K254&amp;""'
               and Col6 = ""&amp;N254&amp;""
               and Col4 = date '""&amp;TEXT(C254,""yyyy-mm-dd"")&amp;""'""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'""&amp;"&amp;"K254&amp;""'
                 and Col6 = ""&amp;N254&amp;""
                 and Col4 = date '""&amp;TEXT(C254,""yyyy-mm-dd"")&amp;""'""
            )
          )&gt;0,
          ""Confirmada"",
          ""Caixa Sangria""
        )
      )
    ),
    """"
  ),
  """"
)
"),"")</f>
        <v/>
      </c>
      <c r="M254" s="207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159" t="str">
        <f>IFERROR(__xludf.DUMMYFUNCTION("ifna(VALUE(REGEXEXTRACT(E254,""[0-9.]+[,]+[0-9]+"")))"),"")</f>
        <v/>
      </c>
      <c r="O254" s="159"/>
      <c r="P254" s="159"/>
      <c r="Q254" s="159"/>
      <c r="R254" s="159"/>
      <c r="S254" s="159"/>
      <c r="T254" s="159"/>
      <c r="U254" s="159"/>
      <c r="V254" s="159"/>
      <c r="W254" s="159"/>
    </row>
    <row r="255" ht="14.25" customHeight="1">
      <c r="A255" s="32"/>
      <c r="B255" s="13"/>
      <c r="C255" s="14"/>
      <c r="D255" s="210"/>
      <c r="E255" s="211"/>
      <c r="F255" s="212"/>
      <c r="G255" s="210"/>
      <c r="H255" s="170"/>
      <c r="I255" s="170"/>
      <c r="J255" s="156"/>
      <c r="K255" s="169"/>
      <c r="L255" s="157" t="str">
        <f>IFERROR(__xludf.DUMMYFUNCTION("IF(
  AND(D255=""Saída"", J255=""Sangria""),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'""&amp;K255&amp;""'
             and Col6 = ""&amp;N255&amp;""
             and Col4 = date '""&amp;TEXT(C255,""yyyy-mm-dd"")&amp;""'""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'""&amp;K255&amp;""'
               and Col6 = ""&amp;N255&amp;""
               and Col4 = date '""&amp;TEXT(C255,""yyyy-mm-dd"")&amp;""'""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'""&amp;"&amp;"K255&amp;""'
                 and Col6 = ""&amp;N255&amp;""
                 and Col4 = date '""&amp;TEXT(C255,""yyyy-mm-dd"")&amp;""'""
            )
          )&gt;0,
          ""Confirmada"",
          ""Caixa Sangria""
        )
      )
    ),
    """"
  ),
  """"
)
"),"")</f>
        <v/>
      </c>
      <c r="M255" s="209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159" t="str">
        <f>IFERROR(__xludf.DUMMYFUNCTION("ifna(VALUE(REGEXEXTRACT(E255,""[0-9.]+[,]+[0-9]+"")))"),"")</f>
        <v/>
      </c>
      <c r="O255" s="159"/>
      <c r="P255" s="159"/>
      <c r="Q255" s="159"/>
      <c r="R255" s="159"/>
      <c r="S255" s="159"/>
      <c r="T255" s="159"/>
      <c r="U255" s="159"/>
      <c r="V255" s="159"/>
      <c r="W255" s="159"/>
    </row>
    <row r="256" ht="14.25" customHeight="1">
      <c r="A256" s="32"/>
      <c r="B256" s="13"/>
      <c r="C256" s="14"/>
      <c r="D256" s="210"/>
      <c r="E256" s="211"/>
      <c r="F256" s="212"/>
      <c r="G256" s="210"/>
      <c r="H256" s="170"/>
      <c r="I256" s="170"/>
      <c r="J256" s="156"/>
      <c r="K256" s="156"/>
      <c r="L256" s="157" t="str">
        <f>IFERROR(__xludf.DUMMYFUNCTION("IF(
  AND(D256=""Saída"", J256=""Sangria""),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'""&amp;K256&amp;""'
             and Col6 = ""&amp;N256&amp;""
             and Col4 = date '""&amp;TEXT(C256,""yyyy-mm-dd"")&amp;""'""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'""&amp;K256&amp;""'
               and Col6 = ""&amp;N256&amp;""
               and Col4 = date '""&amp;TEXT(C256,""yyyy-mm-dd"")&amp;""'""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'""&amp;"&amp;"K256&amp;""'
                 and Col6 = ""&amp;N256&amp;""
                 and Col4 = date '""&amp;TEXT(C256,""yyyy-mm-dd"")&amp;""'""
            )
          )&gt;0,
          ""Confirmada"",
          ""Caixa Sangria""
        )
      )
    ),
    """"
  ),
  """"
)
"),"")</f>
        <v/>
      </c>
      <c r="M256" s="207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159" t="str">
        <f>IFERROR(__xludf.DUMMYFUNCTION("ifna(VALUE(REGEXEXTRACT(E256,""[0-9.]+[,]+[0-9]+"")))"),"")</f>
        <v/>
      </c>
      <c r="O256" s="159"/>
      <c r="P256" s="159"/>
      <c r="Q256" s="159"/>
      <c r="R256" s="159"/>
      <c r="S256" s="159"/>
      <c r="T256" s="159"/>
      <c r="U256" s="159"/>
      <c r="V256" s="159"/>
      <c r="W256" s="159"/>
    </row>
    <row r="257" ht="14.25" customHeight="1">
      <c r="A257" s="32"/>
      <c r="B257" s="13"/>
      <c r="C257" s="14"/>
      <c r="D257" s="210"/>
      <c r="E257" s="211"/>
      <c r="F257" s="212"/>
      <c r="G257" s="210"/>
      <c r="H257" s="170"/>
      <c r="I257" s="170"/>
      <c r="J257" s="156"/>
      <c r="K257" s="156"/>
      <c r="L257" s="157" t="str">
        <f>IFERROR(__xludf.DUMMYFUNCTION("IF(
  AND(D257=""Saída"", J257=""Sangria""),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'""&amp;K257&amp;""'
             and Col6 = ""&amp;N257&amp;""
             and Col4 = date '""&amp;TEXT(C257,""yyyy-mm-dd"")&amp;""'""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'""&amp;K257&amp;""'
               and Col6 = ""&amp;N257&amp;""
               and Col4 = date '""&amp;TEXT(C257,""yyyy-mm-dd"")&amp;""'""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'""&amp;"&amp;"K257&amp;""'
                 and Col6 = ""&amp;N257&amp;""
                 and Col4 = date '""&amp;TEXT(C257,""yyyy-mm-dd"")&amp;""'""
            )
          )&gt;0,
          ""Confirmada"",
          ""Caixa Sangria""
        )
      )
    ),
    """"
  ),
  """"
)
"),"")</f>
        <v/>
      </c>
      <c r="M257" s="209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159" t="str">
        <f>IFERROR(__xludf.DUMMYFUNCTION("ifna(VALUE(REGEXEXTRACT(E257,""[0-9.]+[,]+[0-9]+"")))"),"")</f>
        <v/>
      </c>
      <c r="O257" s="159"/>
      <c r="P257" s="159"/>
      <c r="Q257" s="159"/>
      <c r="R257" s="159"/>
      <c r="S257" s="159"/>
      <c r="T257" s="159"/>
      <c r="U257" s="159"/>
      <c r="V257" s="159"/>
      <c r="W257" s="159"/>
    </row>
    <row r="258" ht="14.25" customHeight="1">
      <c r="A258" s="32"/>
      <c r="B258" s="13"/>
      <c r="C258" s="14"/>
      <c r="D258" s="210"/>
      <c r="E258" s="211"/>
      <c r="F258" s="214"/>
      <c r="G258" s="210"/>
      <c r="H258" s="170"/>
      <c r="I258" s="170"/>
      <c r="J258" s="156"/>
      <c r="K258" s="156"/>
      <c r="L258" s="157" t="str">
        <f>IFERROR(__xludf.DUMMYFUNCTION("IF(
  AND(D258=""Saída"", J258=""Sangria""),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'""&amp;K258&amp;""'
             and Col6 = ""&amp;N258&amp;""
             and Col4 = date '""&amp;TEXT(C258,""yyyy-mm-dd"")&amp;""'""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'""&amp;K258&amp;""'
               and Col6 = ""&amp;N258&amp;""
               and Col4 = date '""&amp;TEXT(C258,""yyyy-mm-dd"")&amp;""'""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'""&amp;"&amp;"K258&amp;""'
                 and Col6 = ""&amp;N258&amp;""
                 and Col4 = date '""&amp;TEXT(C258,""yyyy-mm-dd"")&amp;""'""
            )
          )&gt;0,
          ""Confirmada"",
          ""Caixa Sangria""
        )
      )
    ),
    """"
  ),
  """"
)
"),"")</f>
        <v/>
      </c>
      <c r="M258" s="207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159" t="str">
        <f>IFERROR(__xludf.DUMMYFUNCTION("ifna(VALUE(REGEXEXTRACT(E258,""[0-9.]+[,]+[0-9]+"")))"),"")</f>
        <v/>
      </c>
      <c r="O258" s="159"/>
      <c r="P258" s="159"/>
      <c r="Q258" s="159"/>
      <c r="R258" s="159"/>
      <c r="S258" s="159"/>
      <c r="T258" s="159"/>
      <c r="U258" s="159"/>
      <c r="V258" s="159"/>
      <c r="W258" s="159"/>
    </row>
    <row r="259" ht="14.25" customHeight="1">
      <c r="A259" s="32"/>
      <c r="B259" s="13"/>
      <c r="C259" s="14"/>
      <c r="D259" s="210"/>
      <c r="E259" s="211"/>
      <c r="F259" s="212"/>
      <c r="G259" s="210"/>
      <c r="H259" s="170"/>
      <c r="I259" s="170"/>
      <c r="J259" s="156"/>
      <c r="K259" s="169"/>
      <c r="L259" s="157" t="str">
        <f>IFERROR(__xludf.DUMMYFUNCTION("IF(
  AND(D259=""Saída"", J259=""Sangria""),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'""&amp;K259&amp;""'
             and Col6 = ""&amp;N259&amp;""
             and Col4 = date '""&amp;TEXT(C259,""yyyy-mm-dd"")&amp;""'""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'""&amp;K259&amp;""'
               and Col6 = ""&amp;N259&amp;""
               and Col4 = date '""&amp;TEXT(C259,""yyyy-mm-dd"")&amp;""'""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'""&amp;"&amp;"K259&amp;""'
                 and Col6 = ""&amp;N259&amp;""
                 and Col4 = date '""&amp;TEXT(C259,""yyyy-mm-dd"")&amp;""'""
            )
          )&gt;0,
          ""Confirmada"",
          ""Caixa Sangria""
        )
      )
    ),
    """"
  ),
  """"
)
"),"")</f>
        <v/>
      </c>
      <c r="M259" s="209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159" t="str">
        <f>IFERROR(__xludf.DUMMYFUNCTION("ifna(VALUE(REGEXEXTRACT(E259,""[0-9.]+[,]+[0-9]+"")))"),"")</f>
        <v/>
      </c>
      <c r="O259" s="159"/>
      <c r="P259" s="159"/>
      <c r="Q259" s="159"/>
      <c r="R259" s="159"/>
      <c r="S259" s="159"/>
      <c r="T259" s="159"/>
      <c r="U259" s="159"/>
      <c r="V259" s="159"/>
      <c r="W259" s="159"/>
    </row>
    <row r="260" ht="14.25" customHeight="1">
      <c r="A260" s="32"/>
      <c r="B260" s="13"/>
      <c r="C260" s="14"/>
      <c r="D260" s="210"/>
      <c r="E260" s="211"/>
      <c r="F260" s="212"/>
      <c r="G260" s="210"/>
      <c r="H260" s="170"/>
      <c r="I260" s="170"/>
      <c r="J260" s="156"/>
      <c r="K260" s="156"/>
      <c r="L260" s="157" t="str">
        <f>IFERROR(__xludf.DUMMYFUNCTION("IF(
  AND(D260=""Saída"", J260=""Sangria""),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'""&amp;K260&amp;""'
             and Col6 = ""&amp;N260&amp;""
             and Col4 = date '""&amp;TEXT(C260,""yyyy-mm-dd"")&amp;""'""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'""&amp;K260&amp;""'
               and Col6 = ""&amp;N260&amp;""
               and Col4 = date '""&amp;TEXT(C260,""yyyy-mm-dd"")&amp;""'""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'""&amp;"&amp;"K260&amp;""'
                 and Col6 = ""&amp;N260&amp;""
                 and Col4 = date '""&amp;TEXT(C260,""yyyy-mm-dd"")&amp;""'""
            )
          )&gt;0,
          ""Confirmada"",
          ""Caixa Sangria""
        )
      )
    ),
    """"
  ),
  """"
)
"),"")</f>
        <v/>
      </c>
      <c r="M260" s="207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159" t="str">
        <f>IFERROR(__xludf.DUMMYFUNCTION("ifna(VALUE(REGEXEXTRACT(E260,""[0-9.]+[,]+[0-9]+"")))"),"")</f>
        <v/>
      </c>
      <c r="O260" s="159"/>
      <c r="P260" s="159"/>
      <c r="Q260" s="159"/>
      <c r="R260" s="159"/>
      <c r="S260" s="159"/>
      <c r="T260" s="159"/>
      <c r="U260" s="159"/>
      <c r="V260" s="159"/>
      <c r="W260" s="159"/>
    </row>
    <row r="261" ht="14.25" customHeight="1">
      <c r="A261" s="32"/>
      <c r="B261" s="13"/>
      <c r="C261" s="14"/>
      <c r="D261" s="210"/>
      <c r="E261" s="211"/>
      <c r="F261" s="212"/>
      <c r="G261" s="210"/>
      <c r="H261" s="170"/>
      <c r="I261" s="170"/>
      <c r="J261" s="156"/>
      <c r="K261" s="156"/>
      <c r="L261" s="157" t="str">
        <f>IFERROR(__xludf.DUMMYFUNCTION("IF(
  AND(D261=""Saída"", J261=""Sangria""),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'""&amp;K261&amp;""'
             and Col6 = ""&amp;N261&amp;""
             and Col4 = date '""&amp;TEXT(C261,""yyyy-mm-dd"")&amp;""'""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'""&amp;K261&amp;""'
               and Col6 = ""&amp;N261&amp;""
               and Col4 = date '""&amp;TEXT(C261,""yyyy-mm-dd"")&amp;""'""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'""&amp;"&amp;"K261&amp;""'
                 and Col6 = ""&amp;N261&amp;""
                 and Col4 = date '""&amp;TEXT(C261,""yyyy-mm-dd"")&amp;""'""
            )
          )&gt;0,
          ""Confirmada"",
          ""Caixa Sangria""
        )
      )
    ),
    """"
  ),
  """"
)
"),"")</f>
        <v/>
      </c>
      <c r="M261" s="209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159" t="str">
        <f>IFERROR(__xludf.DUMMYFUNCTION("ifna(VALUE(REGEXEXTRACT(E261,""[0-9.]+[,]+[0-9]+"")))"),"")</f>
        <v/>
      </c>
      <c r="O261" s="159"/>
      <c r="P261" s="159"/>
      <c r="Q261" s="159"/>
      <c r="R261" s="159"/>
      <c r="S261" s="159"/>
      <c r="T261" s="159"/>
      <c r="U261" s="159"/>
      <c r="V261" s="159"/>
      <c r="W261" s="159"/>
    </row>
    <row r="262" ht="14.25" customHeight="1">
      <c r="A262" s="32"/>
      <c r="B262" s="13"/>
      <c r="C262" s="14"/>
      <c r="D262" s="210"/>
      <c r="E262" s="211"/>
      <c r="F262" s="212"/>
      <c r="G262" s="210"/>
      <c r="H262" s="170"/>
      <c r="I262" s="170"/>
      <c r="J262" s="156"/>
      <c r="K262" s="169"/>
      <c r="L262" s="157" t="str">
        <f>IFERROR(__xludf.DUMMYFUNCTION("IF(
  AND(D262=""Saída"", J262=""Sangria""),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'""&amp;K262&amp;""'
             and Col6 = ""&amp;N262&amp;""
             and Col4 = date '""&amp;TEXT(C262,""yyyy-mm-dd"")&amp;""'""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'""&amp;K262&amp;""'
               and Col6 = ""&amp;N262&amp;""
               and Col4 = date '""&amp;TEXT(C262,""yyyy-mm-dd"")&amp;""'""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'""&amp;"&amp;"K262&amp;""'
                 and Col6 = ""&amp;N262&amp;""
                 and Col4 = date '""&amp;TEXT(C262,""yyyy-mm-dd"")&amp;""'""
            )
          )&gt;0,
          ""Confirmada"",
          ""Caixa Sangria""
        )
      )
    ),
    """"
  ),
  """"
)
"),"")</f>
        <v/>
      </c>
      <c r="M262" s="207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159" t="str">
        <f>IFERROR(__xludf.DUMMYFUNCTION("ifna(VALUE(REGEXEXTRACT(E262,""[0-9.]+[,]+[0-9]+"")))"),"")</f>
        <v/>
      </c>
      <c r="O262" s="159"/>
      <c r="P262" s="159"/>
      <c r="Q262" s="159"/>
      <c r="R262" s="159"/>
      <c r="S262" s="159"/>
      <c r="T262" s="159"/>
      <c r="U262" s="159"/>
      <c r="V262" s="159"/>
      <c r="W262" s="159"/>
    </row>
    <row r="263" ht="14.25" customHeight="1">
      <c r="A263" s="32"/>
      <c r="B263" s="13"/>
      <c r="C263" s="14"/>
      <c r="D263" s="210"/>
      <c r="E263" s="211"/>
      <c r="F263" s="212"/>
      <c r="G263" s="210"/>
      <c r="H263" s="170"/>
      <c r="I263" s="170"/>
      <c r="J263" s="156"/>
      <c r="K263" s="169"/>
      <c r="L263" s="157" t="str">
        <f>IFERROR(__xludf.DUMMYFUNCTION("IF(
  AND(D263=""Saída"", J263=""Sangria""),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'""&amp;K263&amp;""'
             and Col6 = ""&amp;N263&amp;""
             and Col4 = date '""&amp;TEXT(C263,""yyyy-mm-dd"")&amp;""'""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'""&amp;K263&amp;""'
               and Col6 = ""&amp;N263&amp;""
               and Col4 = date '""&amp;TEXT(C263,""yyyy-mm-dd"")&amp;""'""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'""&amp;"&amp;"K263&amp;""'
                 and Col6 = ""&amp;N263&amp;""
                 and Col4 = date '""&amp;TEXT(C263,""yyyy-mm-dd"")&amp;""'""
            )
          )&gt;0,
          ""Confirmada"",
          ""Caixa Sangria""
        )
      )
    ),
    """"
  ),
  """"
)
"),"")</f>
        <v/>
      </c>
      <c r="M263" s="209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159" t="str">
        <f>IFERROR(__xludf.DUMMYFUNCTION("ifna(VALUE(REGEXEXTRACT(E263,""[0-9.]+[,]+[0-9]+"")))"),"")</f>
        <v/>
      </c>
      <c r="O263" s="159"/>
      <c r="P263" s="159"/>
      <c r="Q263" s="159"/>
      <c r="R263" s="159"/>
      <c r="S263" s="159"/>
      <c r="T263" s="159"/>
      <c r="U263" s="159"/>
      <c r="V263" s="159"/>
      <c r="W263" s="159"/>
    </row>
    <row r="264" ht="14.25" customHeight="1">
      <c r="A264" s="32"/>
      <c r="B264" s="13"/>
      <c r="C264" s="14"/>
      <c r="D264" s="210"/>
      <c r="E264" s="211"/>
      <c r="F264" s="212"/>
      <c r="G264" s="210"/>
      <c r="H264" s="170"/>
      <c r="I264" s="170"/>
      <c r="J264" s="156"/>
      <c r="K264" s="169"/>
      <c r="L264" s="157" t="str">
        <f>IFERROR(__xludf.DUMMYFUNCTION("IF(
  AND(D264=""Saída"", J264=""Sangria""),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'""&amp;K264&amp;""'
             and Col6 = ""&amp;N264&amp;""
             and Col4 = date '""&amp;TEXT(C264,""yyyy-mm-dd"")&amp;""'""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'""&amp;K264&amp;""'
               and Col6 = ""&amp;N264&amp;""
               and Col4 = date '""&amp;TEXT(C264,""yyyy-mm-dd"")&amp;""'""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'""&amp;"&amp;"K264&amp;""'
                 and Col6 = ""&amp;N264&amp;""
                 and Col4 = date '""&amp;TEXT(C264,""yyyy-mm-dd"")&amp;""'""
            )
          )&gt;0,
          ""Confirmada"",
          ""Caixa Sangria""
        )
      )
    ),
    """"
  ),
  """"
)
"),"")</f>
        <v/>
      </c>
      <c r="M264" s="207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159" t="str">
        <f>IFERROR(__xludf.DUMMYFUNCTION("ifna(VALUE(REGEXEXTRACT(E264,""[0-9.]+[,]+[0-9]+"")))"),"")</f>
        <v/>
      </c>
      <c r="O264" s="159"/>
      <c r="P264" s="159"/>
      <c r="Q264" s="159"/>
      <c r="R264" s="159"/>
      <c r="S264" s="159"/>
      <c r="T264" s="159"/>
      <c r="U264" s="159"/>
      <c r="V264" s="159"/>
      <c r="W264" s="159"/>
    </row>
    <row r="265" ht="14.25" customHeight="1">
      <c r="A265" s="32"/>
      <c r="B265" s="13"/>
      <c r="C265" s="14"/>
      <c r="D265" s="210"/>
      <c r="E265" s="211"/>
      <c r="F265" s="212"/>
      <c r="G265" s="210"/>
      <c r="H265" s="170"/>
      <c r="I265" s="170"/>
      <c r="J265" s="156"/>
      <c r="K265" s="156"/>
      <c r="L265" s="157" t="str">
        <f>IFERROR(__xludf.DUMMYFUNCTION("IF(
  AND(D265=""Saída"", J265=""Sangria""),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'""&amp;K265&amp;""'
             and Col6 = ""&amp;N265&amp;""
             and Col4 = date '""&amp;TEXT(C265,""yyyy-mm-dd"")&amp;""'""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'""&amp;K265&amp;""'
               and Col6 = ""&amp;N265&amp;""
               and Col4 = date '""&amp;TEXT(C265,""yyyy-mm-dd"")&amp;""'""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'""&amp;"&amp;"K265&amp;""'
                 and Col6 = ""&amp;N265&amp;""
                 and Col4 = date '""&amp;TEXT(C265,""yyyy-mm-dd"")&amp;""'""
            )
          )&gt;0,
          ""Confirmada"",
          ""Caixa Sangria""
        )
      )
    ),
    """"
  ),
  """"
)
"),"")</f>
        <v/>
      </c>
      <c r="M265" s="209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159" t="str">
        <f>IFERROR(__xludf.DUMMYFUNCTION("ifna(VALUE(REGEXEXTRACT(E265,""[0-9.]+[,]+[0-9]+"")))"),"")</f>
        <v/>
      </c>
      <c r="O265" s="159"/>
      <c r="P265" s="159"/>
      <c r="Q265" s="159"/>
      <c r="R265" s="159"/>
      <c r="S265" s="159"/>
      <c r="T265" s="159"/>
      <c r="U265" s="159"/>
      <c r="V265" s="159"/>
      <c r="W265" s="159"/>
    </row>
    <row r="266" ht="14.25" customHeight="1">
      <c r="A266" s="32"/>
      <c r="B266" s="13"/>
      <c r="C266" s="14"/>
      <c r="D266" s="210"/>
      <c r="E266" s="211"/>
      <c r="F266" s="212"/>
      <c r="G266" s="210"/>
      <c r="H266" s="170"/>
      <c r="I266" s="170"/>
      <c r="J266" s="156"/>
      <c r="K266" s="156"/>
      <c r="L266" s="157" t="str">
        <f>IFERROR(__xludf.DUMMYFUNCTION("IF(
  AND(D266=""Saída"", J266=""Sangria""),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'""&amp;K266&amp;""'
             and Col6 = ""&amp;N266&amp;""
             and Col4 = date '""&amp;TEXT(C266,""yyyy-mm-dd"")&amp;""'""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'""&amp;K266&amp;""'
               and Col6 = ""&amp;N266&amp;""
               and Col4 = date '""&amp;TEXT(C266,""yyyy-mm-dd"")&amp;""'""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'""&amp;"&amp;"K266&amp;""'
                 and Col6 = ""&amp;N266&amp;""
                 and Col4 = date '""&amp;TEXT(C266,""yyyy-mm-dd"")&amp;""'""
            )
          )&gt;0,
          ""Confirmada"",
          ""Caixa Sangria""
        )
      )
    ),
    """"
  ),
  """"
)
"),"")</f>
        <v/>
      </c>
      <c r="M266" s="207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159" t="str">
        <f>IFERROR(__xludf.DUMMYFUNCTION("ifna(VALUE(REGEXEXTRACT(E266,""[0-9.]+[,]+[0-9]+"")))"),"")</f>
        <v/>
      </c>
      <c r="O266" s="159"/>
      <c r="P266" s="159"/>
      <c r="Q266" s="159"/>
      <c r="R266" s="159"/>
      <c r="S266" s="159"/>
      <c r="T266" s="159"/>
      <c r="U266" s="159"/>
      <c r="V266" s="159"/>
      <c r="W266" s="159"/>
    </row>
    <row r="267" ht="14.25" customHeight="1">
      <c r="A267" s="32"/>
      <c r="B267" s="13"/>
      <c r="C267" s="14"/>
      <c r="D267" s="210"/>
      <c r="E267" s="211"/>
      <c r="F267" s="212"/>
      <c r="G267" s="210"/>
      <c r="H267" s="170"/>
      <c r="I267" s="170"/>
      <c r="J267" s="156"/>
      <c r="K267" s="156"/>
      <c r="L267" s="157" t="str">
        <f>IFERROR(__xludf.DUMMYFUNCTION("IF(
  AND(D267=""Saída"", J267=""Sangria""),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'""&amp;K267&amp;""'
             and Col6 = ""&amp;N267&amp;""
             and Col4 = date '""&amp;TEXT(C267,""yyyy-mm-dd"")&amp;""'""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'""&amp;K267&amp;""'
               and Col6 = ""&amp;N267&amp;""
               and Col4 = date '""&amp;TEXT(C267,""yyyy-mm-dd"")&amp;""'""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'""&amp;"&amp;"K267&amp;""'
                 and Col6 = ""&amp;N267&amp;""
                 and Col4 = date '""&amp;TEXT(C267,""yyyy-mm-dd"")&amp;""'""
            )
          )&gt;0,
          ""Confirmada"",
          ""Caixa Sangria""
        )
      )
    ),
    """"
  ),
  """"
)
"),"")</f>
        <v/>
      </c>
      <c r="M267" s="209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159" t="str">
        <f>IFERROR(__xludf.DUMMYFUNCTION("ifna(VALUE(REGEXEXTRACT(E267,""[0-9.]+[,]+[0-9]+"")))"),"")</f>
        <v/>
      </c>
      <c r="O267" s="159"/>
      <c r="P267" s="159"/>
      <c r="Q267" s="159"/>
      <c r="R267" s="159"/>
      <c r="S267" s="159"/>
      <c r="T267" s="159"/>
      <c r="U267" s="159"/>
      <c r="V267" s="159"/>
      <c r="W267" s="159"/>
    </row>
    <row r="268" ht="14.25" customHeight="1">
      <c r="A268" s="32"/>
      <c r="B268" s="13"/>
      <c r="C268" s="14"/>
      <c r="D268" s="210"/>
      <c r="E268" s="211"/>
      <c r="F268" s="212"/>
      <c r="G268" s="210"/>
      <c r="H268" s="170"/>
      <c r="I268" s="170"/>
      <c r="J268" s="156"/>
      <c r="K268" s="169"/>
      <c r="L268" s="157" t="str">
        <f>IFERROR(__xludf.DUMMYFUNCTION("IF(
  AND(D268=""Saída"", J268=""Sangria""),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'""&amp;K268&amp;""'
             and Col6 = ""&amp;N268&amp;""
             and Col4 = date '""&amp;TEXT(C268,""yyyy-mm-dd"")&amp;""'""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'""&amp;K268&amp;""'
               and Col6 = ""&amp;N268&amp;""
               and Col4 = date '""&amp;TEXT(C268,""yyyy-mm-dd"")&amp;""'""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'""&amp;"&amp;"K268&amp;""'
                 and Col6 = ""&amp;N268&amp;""
                 and Col4 = date '""&amp;TEXT(C268,""yyyy-mm-dd"")&amp;""'""
            )
          )&gt;0,
          ""Confirmada"",
          ""Caixa Sangria""
        )
      )
    ),
    """"
  ),
  """"
)
"),"")</f>
        <v/>
      </c>
      <c r="M268" s="207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159" t="str">
        <f>IFERROR(__xludf.DUMMYFUNCTION("ifna(VALUE(REGEXEXTRACT(E268,""[0-9.]+[,]+[0-9]+"")))"),"")</f>
        <v/>
      </c>
      <c r="O268" s="159"/>
      <c r="P268" s="159"/>
      <c r="Q268" s="159"/>
      <c r="R268" s="159"/>
      <c r="S268" s="159"/>
      <c r="T268" s="159"/>
      <c r="U268" s="159"/>
      <c r="V268" s="159"/>
      <c r="W268" s="159"/>
    </row>
    <row r="269" ht="14.25" customHeight="1">
      <c r="A269" s="32"/>
      <c r="B269" s="13"/>
      <c r="C269" s="14"/>
      <c r="D269" s="210"/>
      <c r="E269" s="211"/>
      <c r="F269" s="212"/>
      <c r="G269" s="210"/>
      <c r="H269" s="170"/>
      <c r="I269" s="170"/>
      <c r="J269" s="156"/>
      <c r="K269" s="169"/>
      <c r="L269" s="157" t="str">
        <f>IFERROR(__xludf.DUMMYFUNCTION("IF(
  AND(D269=""Saída"", J269=""Sangria""),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'""&amp;K269&amp;""'
             and Col6 = ""&amp;N269&amp;""
             and Col4 = date '""&amp;TEXT(C269,""yyyy-mm-dd"")&amp;""'""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'""&amp;K269&amp;""'
               and Col6 = ""&amp;N269&amp;""
               and Col4 = date '""&amp;TEXT(C269,""yyyy-mm-dd"")&amp;""'""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'""&amp;"&amp;"K269&amp;""'
                 and Col6 = ""&amp;N269&amp;""
                 and Col4 = date '""&amp;TEXT(C269,""yyyy-mm-dd"")&amp;""'""
            )
          )&gt;0,
          ""Confirmada"",
          ""Caixa Sangria""
        )
      )
    ),
    """"
  ),
  """"
)
"),"")</f>
        <v/>
      </c>
      <c r="M269" s="209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159" t="str">
        <f>IFERROR(__xludf.DUMMYFUNCTION("ifna(VALUE(REGEXEXTRACT(E269,""[0-9.]+[,]+[0-9]+"")))"),"")</f>
        <v/>
      </c>
      <c r="O269" s="159"/>
      <c r="P269" s="159"/>
      <c r="Q269" s="159"/>
      <c r="R269" s="159"/>
      <c r="S269" s="159"/>
      <c r="T269" s="159"/>
      <c r="U269" s="159"/>
      <c r="V269" s="159"/>
      <c r="W269" s="159"/>
    </row>
    <row r="270" ht="14.25" customHeight="1">
      <c r="A270" s="32"/>
      <c r="B270" s="13"/>
      <c r="C270" s="14"/>
      <c r="D270" s="210"/>
      <c r="E270" s="211"/>
      <c r="F270" s="212"/>
      <c r="G270" s="210"/>
      <c r="H270" s="170"/>
      <c r="I270" s="170"/>
      <c r="J270" s="156"/>
      <c r="K270" s="156"/>
      <c r="L270" s="157" t="str">
        <f>IFERROR(__xludf.DUMMYFUNCTION("IF(
  AND(D270=""Saída"", J270=""Sangria""),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'""&amp;K270&amp;""'
             and Col6 = ""&amp;N270&amp;""
             and Col4 = date '""&amp;TEXT(C270,""yyyy-mm-dd"")&amp;""'""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'""&amp;K270&amp;""'
               and Col6 = ""&amp;N270&amp;""
               and Col4 = date '""&amp;TEXT(C270,""yyyy-mm-dd"")&amp;""'""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'""&amp;"&amp;"K270&amp;""'
                 and Col6 = ""&amp;N270&amp;""
                 and Col4 = date '""&amp;TEXT(C270,""yyyy-mm-dd"")&amp;""'""
            )
          )&gt;0,
          ""Confirmada"",
          ""Caixa Sangria""
        )
      )
    ),
    """"
  ),
  """"
)
"),"")</f>
        <v/>
      </c>
      <c r="M270" s="207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159" t="str">
        <f>IFERROR(__xludf.DUMMYFUNCTION("ifna(VALUE(REGEXEXTRACT(E270,""[0-9.]+[,]+[0-9]+"")))"),"")</f>
        <v/>
      </c>
      <c r="O270" s="159"/>
      <c r="P270" s="159"/>
      <c r="Q270" s="159"/>
      <c r="R270" s="159"/>
      <c r="S270" s="159"/>
      <c r="T270" s="159"/>
      <c r="U270" s="159"/>
      <c r="V270" s="159"/>
      <c r="W270" s="159"/>
    </row>
    <row r="271" ht="14.25" customHeight="1">
      <c r="A271" s="32"/>
      <c r="B271" s="13"/>
      <c r="C271" s="14"/>
      <c r="D271" s="210"/>
      <c r="E271" s="211"/>
      <c r="F271" s="212"/>
      <c r="G271" s="210"/>
      <c r="H271" s="170"/>
      <c r="I271" s="170"/>
      <c r="J271" s="156"/>
      <c r="K271" s="169"/>
      <c r="L271" s="157" t="str">
        <f>IFERROR(__xludf.DUMMYFUNCTION("IF(
  AND(D271=""Saída"", J271=""Sangria""),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'""&amp;K271&amp;""'
             and Col6 = ""&amp;N271&amp;""
             and Col4 = date '""&amp;TEXT(C271,""yyyy-mm-dd"")&amp;""'""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'""&amp;K271&amp;""'
               and Col6 = ""&amp;N271&amp;""
               and Col4 = date '""&amp;TEXT(C271,""yyyy-mm-dd"")&amp;""'""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'""&amp;"&amp;"K271&amp;""'
                 and Col6 = ""&amp;N271&amp;""
                 and Col4 = date '""&amp;TEXT(C271,""yyyy-mm-dd"")&amp;""'""
            )
          )&gt;0,
          ""Confirmada"",
          ""Caixa Sangria""
        )
      )
    ),
    """"
  ),
  """"
)
"),"")</f>
        <v/>
      </c>
      <c r="M271" s="209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159" t="str">
        <f>IFERROR(__xludf.DUMMYFUNCTION("ifna(VALUE(REGEXEXTRACT(E271,""[0-9.]+[,]+[0-9]+"")))"),"")</f>
        <v/>
      </c>
      <c r="O271" s="159"/>
      <c r="P271" s="159"/>
      <c r="Q271" s="159"/>
      <c r="R271" s="159"/>
      <c r="S271" s="159"/>
      <c r="T271" s="159"/>
      <c r="U271" s="159"/>
      <c r="V271" s="159"/>
      <c r="W271" s="159"/>
    </row>
    <row r="272" ht="14.25" customHeight="1">
      <c r="A272" s="32"/>
      <c r="B272" s="13"/>
      <c r="C272" s="14"/>
      <c r="D272" s="210"/>
      <c r="E272" s="211"/>
      <c r="F272" s="212"/>
      <c r="G272" s="210"/>
      <c r="H272" s="170"/>
      <c r="I272" s="170"/>
      <c r="J272" s="156"/>
      <c r="K272" s="156"/>
      <c r="L272" s="157" t="str">
        <f>IFERROR(__xludf.DUMMYFUNCTION("IF(
  AND(D272=""Saída"", J272=""Sangria""),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'""&amp;K272&amp;""'
             and Col6 = ""&amp;N272&amp;""
             and Col4 = date '""&amp;TEXT(C272,""yyyy-mm-dd"")&amp;""'""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'""&amp;K272&amp;""'
               and Col6 = ""&amp;N272&amp;""
               and Col4 = date '""&amp;TEXT(C272,""yyyy-mm-dd"")&amp;""'""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'""&amp;"&amp;"K272&amp;""'
                 and Col6 = ""&amp;N272&amp;""
                 and Col4 = date '""&amp;TEXT(C272,""yyyy-mm-dd"")&amp;""'""
            )
          )&gt;0,
          ""Confirmada"",
          ""Caixa Sangria""
        )
      )
    ),
    """"
  ),
  """"
)
"),"")</f>
        <v/>
      </c>
      <c r="M272" s="207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159" t="str">
        <f>IFERROR(__xludf.DUMMYFUNCTION("ifna(VALUE(REGEXEXTRACT(E272,""[0-9.]+[,]+[0-9]+"")))"),"")</f>
        <v/>
      </c>
      <c r="O272" s="159"/>
      <c r="P272" s="159"/>
      <c r="Q272" s="159"/>
      <c r="R272" s="159"/>
      <c r="S272" s="159"/>
      <c r="T272" s="159"/>
      <c r="U272" s="159"/>
      <c r="V272" s="159"/>
      <c r="W272" s="159"/>
    </row>
    <row r="273" ht="14.25" customHeight="1">
      <c r="A273" s="32"/>
      <c r="B273" s="13"/>
      <c r="C273" s="14"/>
      <c r="D273" s="210"/>
      <c r="E273" s="211"/>
      <c r="F273" s="212"/>
      <c r="G273" s="210"/>
      <c r="H273" s="170"/>
      <c r="I273" s="170"/>
      <c r="J273" s="156"/>
      <c r="K273" s="169"/>
      <c r="L273" s="157" t="str">
        <f>IFERROR(__xludf.DUMMYFUNCTION("IF(
  AND(D273=""Saída"", J273=""Sangria""),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'""&amp;K273&amp;""'
             and Col6 = ""&amp;N273&amp;""
             and Col4 = date '""&amp;TEXT(C273,""yyyy-mm-dd"")&amp;""'""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'""&amp;K273&amp;""'
               and Col6 = ""&amp;N273&amp;""
               and Col4 = date '""&amp;TEXT(C273,""yyyy-mm-dd"")&amp;""'""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'""&amp;"&amp;"K273&amp;""'
                 and Col6 = ""&amp;N273&amp;""
                 and Col4 = date '""&amp;TEXT(C273,""yyyy-mm-dd"")&amp;""'""
            )
          )&gt;0,
          ""Confirmada"",
          ""Caixa Sangria""
        )
      )
    ),
    """"
  ),
  """"
)
"),"")</f>
        <v/>
      </c>
      <c r="M273" s="209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159" t="str">
        <f>IFERROR(__xludf.DUMMYFUNCTION("ifna(VALUE(REGEXEXTRACT(E273,""[0-9.]+[,]+[0-9]+"")))"),"")</f>
        <v/>
      </c>
      <c r="O273" s="159"/>
      <c r="P273" s="159"/>
      <c r="Q273" s="159"/>
      <c r="R273" s="159"/>
      <c r="S273" s="159"/>
      <c r="T273" s="159"/>
      <c r="U273" s="159"/>
      <c r="V273" s="159"/>
      <c r="W273" s="159"/>
    </row>
    <row r="274" ht="14.25" customHeight="1">
      <c r="A274" s="32"/>
      <c r="B274" s="13"/>
      <c r="C274" s="14"/>
      <c r="D274" s="210"/>
      <c r="E274" s="211"/>
      <c r="F274" s="212"/>
      <c r="G274" s="210"/>
      <c r="H274" s="170"/>
      <c r="I274" s="170"/>
      <c r="J274" s="156"/>
      <c r="K274" s="156"/>
      <c r="L274" s="157" t="str">
        <f>IFERROR(__xludf.DUMMYFUNCTION("IF(
  AND(D274=""Saída"", J274=""Sangria""),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'""&amp;K274&amp;""'
             and Col6 = ""&amp;N274&amp;""
             and Col4 = date '""&amp;TEXT(C274,""yyyy-mm-dd"")&amp;""'""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'""&amp;K274&amp;""'
               and Col6 = ""&amp;N274&amp;""
               and Col4 = date '""&amp;TEXT(C274,""yyyy-mm-dd"")&amp;""'""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'""&amp;"&amp;"K274&amp;""'
                 and Col6 = ""&amp;N274&amp;""
                 and Col4 = date '""&amp;TEXT(C274,""yyyy-mm-dd"")&amp;""'""
            )
          )&gt;0,
          ""Confirmada"",
          ""Caixa Sangria""
        )
      )
    ),
    """"
  ),
  """"
)
"),"")</f>
        <v/>
      </c>
      <c r="M274" s="207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159" t="str">
        <f>IFERROR(__xludf.DUMMYFUNCTION("ifna(VALUE(REGEXEXTRACT(E274,""[0-9.]+[,]+[0-9]+"")))"),"")</f>
        <v/>
      </c>
      <c r="O274" s="159"/>
      <c r="P274" s="159"/>
      <c r="Q274" s="159"/>
      <c r="R274" s="159"/>
      <c r="S274" s="159"/>
      <c r="T274" s="159"/>
      <c r="U274" s="159"/>
      <c r="V274" s="159"/>
      <c r="W274" s="159"/>
    </row>
    <row r="275" ht="14.25" customHeight="1">
      <c r="A275" s="32"/>
      <c r="B275" s="13"/>
      <c r="C275" s="14"/>
      <c r="D275" s="210"/>
      <c r="E275" s="211"/>
      <c r="F275" s="214"/>
      <c r="G275" s="210"/>
      <c r="H275" s="170"/>
      <c r="I275" s="170"/>
      <c r="J275" s="156"/>
      <c r="K275" s="156"/>
      <c r="L275" s="157" t="str">
        <f>IFERROR(__xludf.DUMMYFUNCTION("IF(
  AND(D275=""Saída"", J275=""Sangria""),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'""&amp;K275&amp;""'
             and Col6 = ""&amp;N275&amp;""
             and Col4 = date '""&amp;TEXT(C275,""yyyy-mm-dd"")&amp;""'""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'""&amp;K275&amp;""'
               and Col6 = ""&amp;N275&amp;""
               and Col4 = date '""&amp;TEXT(C275,""yyyy-mm-dd"")&amp;""'""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'""&amp;"&amp;"K275&amp;""'
                 and Col6 = ""&amp;N275&amp;""
                 and Col4 = date '""&amp;TEXT(C275,""yyyy-mm-dd"")&amp;""'""
            )
          )&gt;0,
          ""Confirmada"",
          ""Caixa Sangria""
        )
      )
    ),
    """"
  ),
  """"
)
"),"")</f>
        <v/>
      </c>
      <c r="M275" s="209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159" t="str">
        <f>IFERROR(__xludf.DUMMYFUNCTION("ifna(VALUE(REGEXEXTRACT(E275,""[0-9.]+[,]+[0-9]+"")))"),"")</f>
        <v/>
      </c>
      <c r="O275" s="159"/>
      <c r="P275" s="159"/>
      <c r="Q275" s="159"/>
      <c r="R275" s="159"/>
      <c r="S275" s="159"/>
      <c r="T275" s="159"/>
      <c r="U275" s="159"/>
      <c r="V275" s="159"/>
      <c r="W275" s="159"/>
    </row>
    <row r="276" ht="14.25" customHeight="1">
      <c r="A276" s="32"/>
      <c r="B276" s="13"/>
      <c r="C276" s="14"/>
      <c r="D276" s="210"/>
      <c r="E276" s="211"/>
      <c r="F276" s="212"/>
      <c r="G276" s="210"/>
      <c r="H276" s="170"/>
      <c r="I276" s="170"/>
      <c r="J276" s="156"/>
      <c r="K276" s="156"/>
      <c r="L276" s="157" t="str">
        <f>IFERROR(__xludf.DUMMYFUNCTION("IF(
  AND(D276=""Saída"", J276=""Sangria""),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'""&amp;K276&amp;""'
             and Col6 = ""&amp;N276&amp;""
             and Col4 = date '""&amp;TEXT(C276,""yyyy-mm-dd"")&amp;""'""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'""&amp;K276&amp;""'
               and Col6 = ""&amp;N276&amp;""
               and Col4 = date '""&amp;TEXT(C276,""yyyy-mm-dd"")&amp;""'""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'""&amp;"&amp;"K276&amp;""'
                 and Col6 = ""&amp;N276&amp;""
                 and Col4 = date '""&amp;TEXT(C276,""yyyy-mm-dd"")&amp;""'""
            )
          )&gt;0,
          ""Confirmada"",
          ""Caixa Sangria""
        )
      )
    ),
    """"
  ),
  """"
)
"),"")</f>
        <v/>
      </c>
      <c r="M276" s="207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159" t="str">
        <f>IFERROR(__xludf.DUMMYFUNCTION("ifna(VALUE(REGEXEXTRACT(E276,""[0-9.]+[,]+[0-9]+"")))"),"")</f>
        <v/>
      </c>
      <c r="O276" s="159"/>
      <c r="P276" s="159"/>
      <c r="Q276" s="159"/>
      <c r="R276" s="159"/>
      <c r="S276" s="159"/>
      <c r="T276" s="159"/>
      <c r="U276" s="159"/>
      <c r="V276" s="159"/>
      <c r="W276" s="159"/>
    </row>
    <row r="277" ht="14.25" customHeight="1">
      <c r="A277" s="32"/>
      <c r="B277" s="13"/>
      <c r="C277" s="14"/>
      <c r="D277" s="210"/>
      <c r="E277" s="211"/>
      <c r="F277" s="165"/>
      <c r="G277" s="210"/>
      <c r="H277" s="170"/>
      <c r="I277" s="170"/>
      <c r="J277" s="156"/>
      <c r="K277" s="156"/>
      <c r="L277" s="157" t="str">
        <f>IFERROR(__xludf.DUMMYFUNCTION("IF(
  AND(D277=""Saída"", J277=""Sangria""),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'""&amp;K277&amp;""'
             and Col6 = ""&amp;N277&amp;""
             and Col4 = date '""&amp;TEXT(C277,""yyyy-mm-dd"")&amp;""'""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'""&amp;K277&amp;""'
               and Col6 = ""&amp;N277&amp;""
               and Col4 = date '""&amp;TEXT(C277,""yyyy-mm-dd"")&amp;""'""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'""&amp;"&amp;"K277&amp;""'
                 and Col6 = ""&amp;N277&amp;""
                 and Col4 = date '""&amp;TEXT(C277,""yyyy-mm-dd"")&amp;""'""
            )
          )&gt;0,
          ""Confirmada"",
          ""Caixa Sangria""
        )
      )
    ),
    """"
  ),
  """"
)
"),"")</f>
        <v/>
      </c>
      <c r="M277" s="209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159" t="str">
        <f>IFERROR(__xludf.DUMMYFUNCTION("ifna(VALUE(REGEXEXTRACT(E277,""[0-9.]+[,]+[0-9]+"")))"),"")</f>
        <v/>
      </c>
      <c r="O277" s="159"/>
      <c r="P277" s="159"/>
      <c r="Q277" s="159"/>
      <c r="R277" s="159"/>
      <c r="S277" s="159"/>
      <c r="T277" s="159"/>
      <c r="U277" s="159"/>
      <c r="V277" s="159"/>
      <c r="W277" s="159"/>
    </row>
    <row r="278" ht="14.25" customHeight="1">
      <c r="A278" s="32"/>
      <c r="B278" s="13"/>
      <c r="C278" s="14"/>
      <c r="D278" s="210"/>
      <c r="E278" s="211"/>
      <c r="F278" s="155"/>
      <c r="G278" s="210"/>
      <c r="H278" s="170"/>
      <c r="I278" s="170"/>
      <c r="J278" s="156"/>
      <c r="K278" s="156"/>
      <c r="L278" s="157" t="str">
        <f>IFERROR(__xludf.DUMMYFUNCTION("IF(
  AND(D278=""Saída"", J278=""Sangria""),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'""&amp;K278&amp;""'
             and Col6 = ""&amp;N278&amp;""
             and Col4 = date '""&amp;TEXT(C278,""yyyy-mm-dd"")&amp;""'""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'""&amp;K278&amp;""'
               and Col6 = ""&amp;N278&amp;""
               and Col4 = date '""&amp;TEXT(C278,""yyyy-mm-dd"")&amp;""'""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'""&amp;"&amp;"K278&amp;""'
                 and Col6 = ""&amp;N278&amp;""
                 and Col4 = date '""&amp;TEXT(C278,""yyyy-mm-dd"")&amp;""'""
            )
          )&gt;0,
          ""Confirmada"",
          ""Caixa Sangria""
        )
      )
    ),
    """"
  ),
  """"
)
"),"")</f>
        <v/>
      </c>
      <c r="M278" s="207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159" t="str">
        <f>IFERROR(__xludf.DUMMYFUNCTION("ifna(VALUE(REGEXEXTRACT(E278,""[0-9.]+[,]+[0-9]+"")))"),"")</f>
        <v/>
      </c>
      <c r="O278" s="159"/>
      <c r="P278" s="159"/>
      <c r="Q278" s="159"/>
      <c r="R278" s="159"/>
      <c r="S278" s="159"/>
      <c r="T278" s="159"/>
      <c r="U278" s="159"/>
      <c r="V278" s="159"/>
      <c r="W278" s="159"/>
    </row>
    <row r="279" ht="14.25" customHeight="1">
      <c r="A279" s="32"/>
      <c r="B279" s="13"/>
      <c r="C279" s="14"/>
      <c r="D279" s="210"/>
      <c r="E279" s="211"/>
      <c r="F279" s="155"/>
      <c r="G279" s="210"/>
      <c r="H279" s="170"/>
      <c r="I279" s="170"/>
      <c r="J279" s="192"/>
      <c r="K279" s="169"/>
      <c r="L279" s="157" t="str">
        <f>IFERROR(__xludf.DUMMYFUNCTION("IF(
  AND(D279=""Saída"", J279=""Sangria""),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'""&amp;K279&amp;""'
             and Col6 = ""&amp;N279&amp;""
             and Col4 = date '""&amp;TEXT(C279,""yyyy-mm-dd"")&amp;""'""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'""&amp;K279&amp;""'
               and Col6 = ""&amp;N279&amp;""
               and Col4 = date '""&amp;TEXT(C279,""yyyy-mm-dd"")&amp;""'""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'""&amp;"&amp;"K279&amp;""'
                 and Col6 = ""&amp;N279&amp;""
                 and Col4 = date '""&amp;TEXT(C279,""yyyy-mm-dd"")&amp;""'""
            )
          )&gt;0,
          ""Confirmada"",
          ""Caixa Sangria""
        )
      )
    ),
    """"
  ),
  """"
)
"),"")</f>
        <v/>
      </c>
      <c r="M279" s="209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159" t="str">
        <f>IFERROR(__xludf.DUMMYFUNCTION("ifna(VALUE(REGEXEXTRACT(E279,""[0-9.]+[,]+[0-9]+"")))"),"")</f>
        <v/>
      </c>
      <c r="O279" s="159"/>
      <c r="P279" s="159"/>
      <c r="Q279" s="159"/>
      <c r="R279" s="159"/>
      <c r="S279" s="159"/>
      <c r="T279" s="159"/>
      <c r="U279" s="159"/>
      <c r="V279" s="159"/>
      <c r="W279" s="159"/>
    </row>
    <row r="280" ht="14.25" customHeight="1">
      <c r="A280" s="32"/>
      <c r="B280" s="13"/>
      <c r="C280" s="14"/>
      <c r="D280" s="210"/>
      <c r="E280" s="211"/>
      <c r="F280" s="155"/>
      <c r="G280" s="153"/>
      <c r="H280" s="170"/>
      <c r="I280" s="170"/>
      <c r="J280" s="156"/>
      <c r="K280" s="169"/>
      <c r="L280" s="157" t="str">
        <f>IFERROR(__xludf.DUMMYFUNCTION("IF(
  AND(D280=""Saída"", J280=""Sangria""),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'""&amp;K280&amp;""'
             and Col6 = ""&amp;N280&amp;""
             and Col4 = date '""&amp;TEXT(C280,""yyyy-mm-dd"")&amp;""'""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'""&amp;K280&amp;""'
               and Col6 = ""&amp;N280&amp;""
               and Col4 = date '""&amp;TEXT(C280,""yyyy-mm-dd"")&amp;""'""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'""&amp;"&amp;"K280&amp;""'
                 and Col6 = ""&amp;N280&amp;""
                 and Col4 = date '""&amp;TEXT(C280,""yyyy-mm-dd"")&amp;""'""
            )
          )&gt;0,
          ""Confirmada"",
          ""Caixa Sangria""
        )
      )
    ),
    """"
  ),
  """"
)
"),"")</f>
        <v/>
      </c>
      <c r="M280" s="207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159" t="str">
        <f>IFERROR(__xludf.DUMMYFUNCTION("ifna(VALUE(REGEXEXTRACT(E280,""[0-9.]+[,]+[0-9]+"")))"),"")</f>
        <v/>
      </c>
      <c r="O280" s="159"/>
      <c r="P280" s="159"/>
      <c r="Q280" s="159"/>
      <c r="R280" s="159"/>
      <c r="S280" s="159"/>
      <c r="T280" s="159"/>
      <c r="U280" s="159"/>
      <c r="V280" s="159"/>
      <c r="W280" s="159"/>
    </row>
    <row r="281" ht="14.25" customHeight="1">
      <c r="A281" s="32"/>
      <c r="B281" s="13"/>
      <c r="C281" s="14"/>
      <c r="D281" s="210"/>
      <c r="E281" s="211"/>
      <c r="F281" s="165"/>
      <c r="G281" s="153"/>
      <c r="H281" s="170"/>
      <c r="I281" s="170"/>
      <c r="J281" s="156"/>
      <c r="K281" s="156"/>
      <c r="L281" s="157" t="str">
        <f>IFERROR(__xludf.DUMMYFUNCTION("IF(
  AND(D281=""Saída"", J281=""Sangria""),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'""&amp;K281&amp;""'
             and Col6 = ""&amp;N281&amp;""
             and Col4 = date '""&amp;TEXT(C281,""yyyy-mm-dd"")&amp;""'""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'""&amp;K281&amp;""'
               and Col6 = ""&amp;N281&amp;""
               and Col4 = date '""&amp;TEXT(C281,""yyyy-mm-dd"")&amp;""'""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'""&amp;"&amp;"K281&amp;""'
                 and Col6 = ""&amp;N281&amp;""
                 and Col4 = date '""&amp;TEXT(C281,""yyyy-mm-dd"")&amp;""'""
            )
          )&gt;0,
          ""Confirmada"",
          ""Caixa Sangria""
        )
      )
    ),
    """"
  ),
  """"
)
"),"")</f>
        <v/>
      </c>
      <c r="M281" s="209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159" t="str">
        <f>IFERROR(__xludf.DUMMYFUNCTION("ifna(VALUE(REGEXEXTRACT(E281,""[0-9.]+[,]+[0-9]+"")))"),"")</f>
        <v/>
      </c>
      <c r="O281" s="159"/>
      <c r="P281" s="159"/>
      <c r="Q281" s="159"/>
      <c r="R281" s="159"/>
      <c r="S281" s="159"/>
      <c r="T281" s="159"/>
      <c r="U281" s="159"/>
      <c r="V281" s="159"/>
      <c r="W281" s="159"/>
    </row>
    <row r="282" ht="14.25" customHeight="1">
      <c r="A282" s="32"/>
      <c r="B282" s="13"/>
      <c r="C282" s="14"/>
      <c r="D282" s="210"/>
      <c r="E282" s="211"/>
      <c r="F282" s="155"/>
      <c r="G282" s="153"/>
      <c r="H282" s="170"/>
      <c r="I282" s="170"/>
      <c r="J282" s="156"/>
      <c r="K282" s="156"/>
      <c r="L282" s="157" t="str">
        <f>IFERROR(__xludf.DUMMYFUNCTION("IF(
  AND(D282=""Saída"", J282=""Sangria""),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'""&amp;K282&amp;""'
             and Col6 = ""&amp;N282&amp;""
             and Col4 = date '""&amp;TEXT(C282,""yyyy-mm-dd"")&amp;""'""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'""&amp;K282&amp;""'
               and Col6 = ""&amp;N282&amp;""
               and Col4 = date '""&amp;TEXT(C282,""yyyy-mm-dd"")&amp;""'""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'""&amp;"&amp;"K282&amp;""'
                 and Col6 = ""&amp;N282&amp;""
                 and Col4 = date '""&amp;TEXT(C282,""yyyy-mm-dd"")&amp;""'""
            )
          )&gt;0,
          ""Confirmada"",
          ""Caixa Sangria""
        )
      )
    ),
    """"
  ),
  """"
)
"),"")</f>
        <v/>
      </c>
      <c r="M282" s="207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159" t="str">
        <f>IFERROR(__xludf.DUMMYFUNCTION("ifna(VALUE(REGEXEXTRACT(E282,""[0-9.]+[,]+[0-9]+"")))"),"")</f>
        <v/>
      </c>
      <c r="O282" s="159"/>
      <c r="P282" s="159"/>
      <c r="Q282" s="159"/>
      <c r="R282" s="159"/>
      <c r="S282" s="159"/>
      <c r="T282" s="159"/>
      <c r="U282" s="159"/>
      <c r="V282" s="159"/>
      <c r="W282" s="159"/>
    </row>
    <row r="283" ht="14.25" customHeight="1">
      <c r="A283" s="32"/>
      <c r="B283" s="13"/>
      <c r="C283" s="14"/>
      <c r="D283" s="210"/>
      <c r="E283" s="211"/>
      <c r="F283" s="155"/>
      <c r="G283" s="153"/>
      <c r="H283" s="170"/>
      <c r="I283" s="170"/>
      <c r="J283" s="156"/>
      <c r="K283" s="156"/>
      <c r="L283" s="157" t="str">
        <f>IFERROR(__xludf.DUMMYFUNCTION("IF(
  AND(D283=""Saída"", J283=""Sangria""),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'""&amp;K283&amp;""'
             and Col6 = ""&amp;N283&amp;""
             and Col4 = date '""&amp;TEXT(C283,""yyyy-mm-dd"")&amp;""'""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'""&amp;K283&amp;""'
               and Col6 = ""&amp;N283&amp;""
               and Col4 = date '""&amp;TEXT(C283,""yyyy-mm-dd"")&amp;""'""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'""&amp;"&amp;"K283&amp;""'
                 and Col6 = ""&amp;N283&amp;""
                 and Col4 = date '""&amp;TEXT(C283,""yyyy-mm-dd"")&amp;""'""
            )
          )&gt;0,
          ""Confirmada"",
          ""Caixa Sangria""
        )
      )
    ),
    """"
  ),
  """"
)
"),"")</f>
        <v/>
      </c>
      <c r="M283" s="209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159" t="str">
        <f>IFERROR(__xludf.DUMMYFUNCTION("ifna(VALUE(REGEXEXTRACT(E283,""[0-9.]+[,]+[0-9]+"")))"),"")</f>
        <v/>
      </c>
      <c r="O283" s="159"/>
      <c r="P283" s="159"/>
      <c r="Q283" s="159"/>
      <c r="R283" s="159"/>
      <c r="S283" s="159"/>
      <c r="T283" s="159"/>
      <c r="U283" s="159"/>
      <c r="V283" s="159"/>
      <c r="W283" s="159"/>
    </row>
    <row r="284" ht="14.25" customHeight="1">
      <c r="A284" s="32"/>
      <c r="B284" s="13"/>
      <c r="C284" s="14"/>
      <c r="D284" s="210"/>
      <c r="E284" s="154"/>
      <c r="F284" s="155"/>
      <c r="G284" s="153"/>
      <c r="H284" s="170"/>
      <c r="I284" s="170"/>
      <c r="J284" s="192"/>
      <c r="K284" s="169"/>
      <c r="L284" s="157" t="str">
        <f>IFERROR(__xludf.DUMMYFUNCTION("IF(
  AND(D284=""Saída"", J284=""Sangria""),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'""&amp;K284&amp;""'
             and Col6 = ""&amp;N284&amp;""
             and Col4 = date '""&amp;TEXT(C284,""yyyy-mm-dd"")&amp;""'""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'""&amp;K284&amp;""'
               and Col6 = ""&amp;N284&amp;""
               and Col4 = date '""&amp;TEXT(C284,""yyyy-mm-dd"")&amp;""'""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'""&amp;"&amp;"K284&amp;""'
                 and Col6 = ""&amp;N284&amp;""
                 and Col4 = date '""&amp;TEXT(C284,""yyyy-mm-dd"")&amp;""'""
            )
          )&gt;0,
          ""Confirmada"",
          ""Caixa Sangria""
        )
      )
    ),
    """"
  ),
  """"
)
"),"")</f>
        <v/>
      </c>
      <c r="M284" s="207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159" t="str">
        <f>IFERROR(__xludf.DUMMYFUNCTION("ifna(VALUE(REGEXEXTRACT(E284,""[0-9.]+[,]+[0-9]+"")))"),"")</f>
        <v/>
      </c>
      <c r="O284" s="159"/>
      <c r="P284" s="159"/>
      <c r="Q284" s="159"/>
      <c r="R284" s="159"/>
      <c r="S284" s="159"/>
      <c r="T284" s="159"/>
      <c r="U284" s="159"/>
      <c r="V284" s="159"/>
      <c r="W284" s="159"/>
    </row>
    <row r="285" ht="14.25" customHeight="1">
      <c r="A285" s="32"/>
      <c r="B285" s="13"/>
      <c r="C285" s="14"/>
      <c r="D285" s="210"/>
      <c r="E285" s="154"/>
      <c r="F285" s="155"/>
      <c r="G285" s="153"/>
      <c r="H285" s="170"/>
      <c r="I285" s="170"/>
      <c r="J285" s="192"/>
      <c r="K285" s="156"/>
      <c r="L285" s="157" t="str">
        <f>IFERROR(__xludf.DUMMYFUNCTION("IF(
  AND(D285=""Saída"", J285=""Sangria""),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'""&amp;K285&amp;""'
             and Col6 = ""&amp;N285&amp;""
             and Col4 = date '""&amp;TEXT(C285,""yyyy-mm-dd"")&amp;""'""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'""&amp;K285&amp;""'
               and Col6 = ""&amp;N285&amp;""
               and Col4 = date '""&amp;TEXT(C285,""yyyy-mm-dd"")&amp;""'""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'""&amp;"&amp;"K285&amp;""'
                 and Col6 = ""&amp;N285&amp;""
                 and Col4 = date '""&amp;TEXT(C285,""yyyy-mm-dd"")&amp;""'""
            )
          )&gt;0,
          ""Confirmada"",
          ""Caixa Sangria""
        )
      )
    ),
    """"
  ),
  """"
)
"),"")</f>
        <v/>
      </c>
      <c r="M285" s="209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159" t="str">
        <f>IFERROR(__xludf.DUMMYFUNCTION("ifna(VALUE(REGEXEXTRACT(E285,""[0-9.]+[,]+[0-9]+"")))"),"")</f>
        <v/>
      </c>
      <c r="O285" s="159"/>
      <c r="P285" s="159"/>
      <c r="Q285" s="159"/>
      <c r="R285" s="159"/>
      <c r="S285" s="159"/>
      <c r="T285" s="159"/>
      <c r="U285" s="159"/>
      <c r="V285" s="159"/>
      <c r="W285" s="159"/>
    </row>
    <row r="286" ht="14.25" customHeight="1">
      <c r="A286" s="32"/>
      <c r="B286" s="13"/>
      <c r="C286" s="14"/>
      <c r="D286" s="210"/>
      <c r="E286" s="154"/>
      <c r="F286" s="155"/>
      <c r="G286" s="153"/>
      <c r="H286" s="170"/>
      <c r="I286" s="170"/>
      <c r="J286" s="156"/>
      <c r="K286" s="156"/>
      <c r="L286" s="157" t="str">
        <f>IFERROR(__xludf.DUMMYFUNCTION("IF(
  AND(D286=""Saída"", J286=""Sangria""),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'""&amp;K286&amp;""'
             and Col6 = ""&amp;N286&amp;""
             and Col4 = date '""&amp;TEXT(C286,""yyyy-mm-dd"")&amp;""'""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'""&amp;K286&amp;""'
               and Col6 = ""&amp;N286&amp;""
               and Col4 = date '""&amp;TEXT(C286,""yyyy-mm-dd"")&amp;""'""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'""&amp;"&amp;"K286&amp;""'
                 and Col6 = ""&amp;N286&amp;""
                 and Col4 = date '""&amp;TEXT(C286,""yyyy-mm-dd"")&amp;""'""
            )
          )&gt;0,
          ""Confirmada"",
          ""Caixa Sangria""
        )
      )
    ),
    """"
  ),
  """"
)
"),"")</f>
        <v/>
      </c>
      <c r="M286" s="207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159" t="str">
        <f>IFERROR(__xludf.DUMMYFUNCTION("ifna(VALUE(REGEXEXTRACT(E286,""[0-9.]+[,]+[0-9]+"")))"),"")</f>
        <v/>
      </c>
      <c r="O286" s="159"/>
      <c r="P286" s="159"/>
      <c r="Q286" s="159"/>
      <c r="R286" s="159"/>
      <c r="S286" s="159"/>
      <c r="T286" s="159"/>
      <c r="U286" s="159"/>
      <c r="V286" s="159"/>
      <c r="W286" s="159"/>
    </row>
    <row r="287" ht="14.25" customHeight="1">
      <c r="A287" s="32"/>
      <c r="B287" s="13"/>
      <c r="C287" s="14"/>
      <c r="D287" s="210"/>
      <c r="E287" s="154"/>
      <c r="F287" s="155"/>
      <c r="G287" s="153"/>
      <c r="H287" s="170"/>
      <c r="I287" s="170"/>
      <c r="J287" s="156"/>
      <c r="K287" s="156"/>
      <c r="L287" s="157" t="str">
        <f>IFERROR(__xludf.DUMMYFUNCTION("IF(
  AND(D287=""Saída"", J287=""Sangria""),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'""&amp;K287&amp;""'
             and Col6 = ""&amp;N287&amp;""
             and Col4 = date '""&amp;TEXT(C287,""yyyy-mm-dd"")&amp;""'""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'""&amp;K287&amp;""'
               and Col6 = ""&amp;N287&amp;""
               and Col4 = date '""&amp;TEXT(C287,""yyyy-mm-dd"")&amp;""'""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'""&amp;"&amp;"K287&amp;""'
                 and Col6 = ""&amp;N287&amp;""
                 and Col4 = date '""&amp;TEXT(C287,""yyyy-mm-dd"")&amp;""'""
            )
          )&gt;0,
          ""Confirmada"",
          ""Caixa Sangria""
        )
      )
    ),
    """"
  ),
  """"
)
"),"")</f>
        <v/>
      </c>
      <c r="M287" s="209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159" t="str">
        <f>IFERROR(__xludf.DUMMYFUNCTION("ifna(VALUE(REGEXEXTRACT(E287,""[0-9.]+[,]+[0-9]+"")))"),"")</f>
        <v/>
      </c>
      <c r="O287" s="159"/>
      <c r="P287" s="159"/>
      <c r="Q287" s="159"/>
      <c r="R287" s="159"/>
      <c r="S287" s="159"/>
      <c r="T287" s="159"/>
      <c r="U287" s="159"/>
      <c r="V287" s="159"/>
      <c r="W287" s="159"/>
    </row>
    <row r="288" ht="14.25" customHeight="1">
      <c r="A288" s="32"/>
      <c r="B288" s="13"/>
      <c r="C288" s="14"/>
      <c r="D288" s="210"/>
      <c r="E288" s="154"/>
      <c r="F288" s="155"/>
      <c r="G288" s="153"/>
      <c r="H288" s="170"/>
      <c r="I288" s="170"/>
      <c r="J288" s="156"/>
      <c r="K288" s="169"/>
      <c r="L288" s="157" t="str">
        <f>IFERROR(__xludf.DUMMYFUNCTION("IF(
  AND(D288=""Saída"", J288=""Sangria""),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'""&amp;K288&amp;""'
             and Col6 = ""&amp;N288&amp;""
             and Col4 = date '""&amp;TEXT(C288,""yyyy-mm-dd"")&amp;""'""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'""&amp;K288&amp;""'
               and Col6 = ""&amp;N288&amp;""
               and Col4 = date '""&amp;TEXT(C288,""yyyy-mm-dd"")&amp;""'""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'""&amp;"&amp;"K288&amp;""'
                 and Col6 = ""&amp;N288&amp;""
                 and Col4 = date '""&amp;TEXT(C288,""yyyy-mm-dd"")&amp;""'""
            )
          )&gt;0,
          ""Confirmada"",
          ""Caixa Sangria""
        )
      )
    ),
    """"
  ),
  """"
)
"),"")</f>
        <v/>
      </c>
      <c r="M288" s="207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159" t="str">
        <f>IFERROR(__xludf.DUMMYFUNCTION("ifna(VALUE(REGEXEXTRACT(E288,""[0-9.]+[,]+[0-9]+"")))"),"")</f>
        <v/>
      </c>
      <c r="O288" s="159"/>
      <c r="P288" s="159"/>
      <c r="Q288" s="159"/>
      <c r="R288" s="159"/>
      <c r="S288" s="159"/>
      <c r="T288" s="159"/>
      <c r="U288" s="159"/>
      <c r="V288" s="159"/>
      <c r="W288" s="159"/>
    </row>
    <row r="289" ht="14.25" customHeight="1">
      <c r="A289" s="32"/>
      <c r="B289" s="13"/>
      <c r="C289" s="14"/>
      <c r="D289" s="210"/>
      <c r="E289" s="154"/>
      <c r="F289" s="155"/>
      <c r="G289" s="153"/>
      <c r="H289" s="170"/>
      <c r="I289" s="170"/>
      <c r="J289" s="156"/>
      <c r="K289" s="156"/>
      <c r="L289" s="157" t="str">
        <f>IFERROR(__xludf.DUMMYFUNCTION("IF(
  AND(D289=""Saída"", J289=""Sangria""),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'""&amp;K289&amp;""'
             and Col6 = ""&amp;N289&amp;""
             and Col4 = date '""&amp;TEXT(C289,""yyyy-mm-dd"")&amp;""'""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'""&amp;K289&amp;""'
               and Col6 = ""&amp;N289&amp;""
               and Col4 = date '""&amp;TEXT(C289,""yyyy-mm-dd"")&amp;""'""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'""&amp;"&amp;"K289&amp;""'
                 and Col6 = ""&amp;N289&amp;""
                 and Col4 = date '""&amp;TEXT(C289,""yyyy-mm-dd"")&amp;""'""
            )
          )&gt;0,
          ""Confirmada"",
          ""Caixa Sangria""
        )
      )
    ),
    """"
  ),
  """"
)
"),"")</f>
        <v/>
      </c>
      <c r="M289" s="209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159" t="str">
        <f>IFERROR(__xludf.DUMMYFUNCTION("ifna(VALUE(REGEXEXTRACT(E289,""[0-9.]+[,]+[0-9]+"")))"),"")</f>
        <v/>
      </c>
      <c r="O289" s="159"/>
      <c r="P289" s="159"/>
      <c r="Q289" s="159"/>
      <c r="R289" s="159"/>
      <c r="S289" s="159"/>
      <c r="T289" s="159"/>
      <c r="U289" s="159"/>
      <c r="V289" s="159"/>
      <c r="W289" s="159"/>
    </row>
    <row r="290" ht="14.25" customHeight="1">
      <c r="A290" s="32"/>
      <c r="B290" s="13"/>
      <c r="C290" s="14"/>
      <c r="D290" s="210"/>
      <c r="E290" s="154"/>
      <c r="F290" s="155"/>
      <c r="G290" s="153"/>
      <c r="H290" s="170"/>
      <c r="I290" s="170"/>
      <c r="J290" s="156"/>
      <c r="K290" s="156"/>
      <c r="L290" s="157" t="str">
        <f>IFERROR(__xludf.DUMMYFUNCTION("IF(
  AND(D290=""Saída"", J290=""Sangria""),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'""&amp;K290&amp;""'
             and Col6 = ""&amp;N290&amp;""
             and Col4 = date '""&amp;TEXT(C290,""yyyy-mm-dd"")&amp;""'""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'""&amp;K290&amp;""'
               and Col6 = ""&amp;N290&amp;""
               and Col4 = date '""&amp;TEXT(C290,""yyyy-mm-dd"")&amp;""'""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'""&amp;"&amp;"K290&amp;""'
                 and Col6 = ""&amp;N290&amp;""
                 and Col4 = date '""&amp;TEXT(C290,""yyyy-mm-dd"")&amp;""'""
            )
          )&gt;0,
          ""Confirmada"",
          ""Caixa Sangria""
        )
      )
    ),
    """"
  ),
  """"
)
"),"")</f>
        <v/>
      </c>
      <c r="M290" s="207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159" t="str">
        <f>IFERROR(__xludf.DUMMYFUNCTION("ifna(VALUE(REGEXEXTRACT(E290,""[0-9.]+[,]+[0-9]+"")))"),"")</f>
        <v/>
      </c>
      <c r="O290" s="159"/>
      <c r="P290" s="159"/>
      <c r="Q290" s="159"/>
      <c r="R290" s="159"/>
      <c r="S290" s="159"/>
      <c r="T290" s="159"/>
      <c r="U290" s="159"/>
      <c r="V290" s="159"/>
      <c r="W290" s="159"/>
    </row>
    <row r="291" ht="14.25" customHeight="1">
      <c r="A291" s="32"/>
      <c r="B291" s="13"/>
      <c r="C291" s="152"/>
      <c r="D291" s="210"/>
      <c r="E291" s="154"/>
      <c r="F291" s="165"/>
      <c r="G291" s="153"/>
      <c r="H291" s="170"/>
      <c r="I291" s="170"/>
      <c r="J291" s="156"/>
      <c r="K291" s="169"/>
      <c r="L291" s="157" t="str">
        <f>IFERROR(__xludf.DUMMYFUNCTION("IF(
  AND(D291=""Saída"", J291=""Sangria""),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'""&amp;K291&amp;""'
             and Col6 = ""&amp;N291&amp;""
             and Col4 = date '""&amp;TEXT(C291,""yyyy-mm-dd"")&amp;""'""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'""&amp;K291&amp;""'
               and Col6 = ""&amp;N291&amp;""
               and Col4 = date '""&amp;TEXT(C291,""yyyy-mm-dd"")&amp;""'""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'""&amp;"&amp;"K291&amp;""'
                 and Col6 = ""&amp;N291&amp;""
                 and Col4 = date '""&amp;TEXT(C291,""yyyy-mm-dd"")&amp;""'""
            )
          )&gt;0,
          ""Confirmada"",
          ""Caixa Sangria""
        )
      )
    ),
    """"
  ),
  """"
)
"),"")</f>
        <v/>
      </c>
      <c r="M291" s="209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159" t="str">
        <f>IFERROR(__xludf.DUMMYFUNCTION("ifna(VALUE(REGEXEXTRACT(E291,""[0-9.]+[,]+[0-9]+"")))"),"")</f>
        <v/>
      </c>
      <c r="O291" s="159"/>
      <c r="P291" s="159"/>
      <c r="Q291" s="159"/>
      <c r="R291" s="159"/>
      <c r="S291" s="159"/>
      <c r="T291" s="159"/>
      <c r="U291" s="159"/>
      <c r="V291" s="159"/>
      <c r="W291" s="159"/>
    </row>
    <row r="292" ht="14.25" customHeight="1">
      <c r="A292" s="32"/>
      <c r="B292" s="13"/>
      <c r="C292" s="152"/>
      <c r="D292" s="210"/>
      <c r="E292" s="154"/>
      <c r="F292" s="155"/>
      <c r="G292" s="153"/>
      <c r="H292" s="170"/>
      <c r="I292" s="170"/>
      <c r="J292" s="156"/>
      <c r="K292" s="169"/>
      <c r="L292" s="157" t="str">
        <f>IFERROR(__xludf.DUMMYFUNCTION("IF(
  AND(D292=""Saída"", J292=""Sangria""),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'""&amp;K292&amp;""'
             and Col6 = ""&amp;N292&amp;""
             and Col4 = date '""&amp;TEXT(C292,""yyyy-mm-dd"")&amp;""'""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'""&amp;K292&amp;""'
               and Col6 = ""&amp;N292&amp;""
               and Col4 = date '""&amp;TEXT(C292,""yyyy-mm-dd"")&amp;""'""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'""&amp;"&amp;"K292&amp;""'
                 and Col6 = ""&amp;N292&amp;""
                 and Col4 = date '""&amp;TEXT(C292,""yyyy-mm-dd"")&amp;""'""
            )
          )&gt;0,
          ""Confirmada"",
          ""Caixa Sangria""
        )
      )
    ),
    """"
  ),
  """"
)
"),"")</f>
        <v/>
      </c>
      <c r="M292" s="207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159" t="str">
        <f>IFERROR(__xludf.DUMMYFUNCTION("ifna(VALUE(REGEXEXTRACT(E292,""[0-9.]+[,]+[0-9]+"")))"),"")</f>
        <v/>
      </c>
      <c r="O292" s="159"/>
      <c r="P292" s="159"/>
      <c r="Q292" s="159"/>
      <c r="R292" s="159"/>
      <c r="S292" s="159"/>
      <c r="T292" s="159"/>
      <c r="U292" s="159"/>
      <c r="V292" s="159"/>
      <c r="W292" s="159"/>
    </row>
    <row r="293" ht="14.25" customHeight="1">
      <c r="A293" s="32"/>
      <c r="B293" s="13"/>
      <c r="C293" s="152"/>
      <c r="D293" s="210"/>
      <c r="E293" s="154"/>
      <c r="F293" s="155"/>
      <c r="G293" s="153"/>
      <c r="H293" s="170"/>
      <c r="I293" s="170"/>
      <c r="J293" s="156"/>
      <c r="K293" s="156"/>
      <c r="L293" s="157" t="str">
        <f>IFERROR(__xludf.DUMMYFUNCTION("IF(
  AND(D293=""Saída"", J293=""Sangria""),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'""&amp;K293&amp;""'
             and Col6 = ""&amp;N293&amp;""
             and Col4 = date '""&amp;TEXT(C293,""yyyy-mm-dd"")&amp;""'""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'""&amp;K293&amp;""'
               and Col6 = ""&amp;N293&amp;""
               and Col4 = date '""&amp;TEXT(C293,""yyyy-mm-dd"")&amp;""'""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'""&amp;"&amp;"K293&amp;""'
                 and Col6 = ""&amp;N293&amp;""
                 and Col4 = date '""&amp;TEXT(C293,""yyyy-mm-dd"")&amp;""'""
            )
          )&gt;0,
          ""Confirmada"",
          ""Caixa Sangria""
        )
      )
    ),
    """"
  ),
  """"
)
"),"")</f>
        <v/>
      </c>
      <c r="M293" s="209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159" t="str">
        <f>IFERROR(__xludf.DUMMYFUNCTION("ifna(VALUE(REGEXEXTRACT(E293,""[0-9.]+[,]+[0-9]+"")))"),"")</f>
        <v/>
      </c>
      <c r="O293" s="159"/>
      <c r="P293" s="159"/>
      <c r="Q293" s="159"/>
      <c r="R293" s="159"/>
      <c r="S293" s="159"/>
      <c r="T293" s="159"/>
      <c r="U293" s="159"/>
      <c r="V293" s="159"/>
      <c r="W293" s="159"/>
    </row>
    <row r="294" ht="14.25" customHeight="1">
      <c r="A294" s="32"/>
      <c r="B294" s="13"/>
      <c r="C294" s="152"/>
      <c r="D294" s="210"/>
      <c r="E294" s="154"/>
      <c r="F294" s="155"/>
      <c r="G294" s="153"/>
      <c r="H294" s="170"/>
      <c r="I294" s="170"/>
      <c r="J294" s="156"/>
      <c r="K294" s="156"/>
      <c r="L294" s="157" t="str">
        <f>IFERROR(__xludf.DUMMYFUNCTION("IF(
  AND(D294=""Saída"", J294=""Sangria""),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'""&amp;K294&amp;""'
             and Col6 = ""&amp;N294&amp;""
             and Col4 = date '""&amp;TEXT(C294,""yyyy-mm-dd"")&amp;""'""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'""&amp;K294&amp;""'
               and Col6 = ""&amp;N294&amp;""
               and Col4 = date '""&amp;TEXT(C294,""yyyy-mm-dd"")&amp;""'""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'""&amp;"&amp;"K294&amp;""'
                 and Col6 = ""&amp;N294&amp;""
                 and Col4 = date '""&amp;TEXT(C294,""yyyy-mm-dd"")&amp;""'""
            )
          )&gt;0,
          ""Confirmada"",
          ""Caixa Sangria""
        )
      )
    ),
    """"
  ),
  """"
)
"),"")</f>
        <v/>
      </c>
      <c r="M294" s="207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159" t="str">
        <f>IFERROR(__xludf.DUMMYFUNCTION("ifna(VALUE(REGEXEXTRACT(E294,""[0-9.]+[,]+[0-9]+"")))"),"")</f>
        <v/>
      </c>
      <c r="O294" s="159"/>
      <c r="P294" s="159"/>
      <c r="Q294" s="159"/>
      <c r="R294" s="159"/>
      <c r="S294" s="159"/>
      <c r="T294" s="159"/>
      <c r="U294" s="159"/>
      <c r="V294" s="159"/>
      <c r="W294" s="159"/>
    </row>
    <row r="295" ht="14.25" customHeight="1">
      <c r="A295" s="32"/>
      <c r="B295" s="13"/>
      <c r="C295" s="152"/>
      <c r="D295" s="210"/>
      <c r="E295" s="154"/>
      <c r="F295" s="155"/>
      <c r="G295" s="153"/>
      <c r="H295" s="170"/>
      <c r="I295" s="170"/>
      <c r="J295" s="156"/>
      <c r="K295" s="169"/>
      <c r="L295" s="157" t="str">
        <f>IFERROR(__xludf.DUMMYFUNCTION("IF(
  AND(D295=""Saída"", J295=""Sangria""),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'""&amp;K295&amp;""'
             and Col6 = ""&amp;N295&amp;""
             and Col4 = date '""&amp;TEXT(C295,""yyyy-mm-dd"")&amp;""'""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'""&amp;K295&amp;""'
               and Col6 = ""&amp;N295&amp;""
               and Col4 = date '""&amp;TEXT(C295,""yyyy-mm-dd"")&amp;""'""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'""&amp;"&amp;"K295&amp;""'
                 and Col6 = ""&amp;N295&amp;""
                 and Col4 = date '""&amp;TEXT(C295,""yyyy-mm-dd"")&amp;""'""
            )
          )&gt;0,
          ""Confirmada"",
          ""Caixa Sangria""
        )
      )
    ),
    """"
  ),
  """"
)
"),"")</f>
        <v/>
      </c>
      <c r="M295" s="209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159" t="str">
        <f>IFERROR(__xludf.DUMMYFUNCTION("ifna(VALUE(REGEXEXTRACT(E295,""[0-9.]+[,]+[0-9]+"")))"),"")</f>
        <v/>
      </c>
      <c r="O295" s="159"/>
      <c r="P295" s="159"/>
      <c r="Q295" s="159"/>
      <c r="R295" s="159"/>
      <c r="S295" s="159"/>
      <c r="T295" s="159"/>
      <c r="U295" s="159"/>
      <c r="V295" s="159"/>
      <c r="W295" s="159"/>
    </row>
    <row r="296" ht="14.25" customHeight="1">
      <c r="A296" s="32"/>
      <c r="B296" s="151"/>
      <c r="C296" s="152"/>
      <c r="D296" s="210"/>
      <c r="E296" s="154"/>
      <c r="F296" s="165"/>
      <c r="G296" s="153"/>
      <c r="H296" s="170"/>
      <c r="I296" s="170"/>
      <c r="J296" s="156"/>
      <c r="K296" s="156"/>
      <c r="L296" s="157" t="str">
        <f>IFERROR(__xludf.DUMMYFUNCTION("IF(
  AND(D296=""Saída"", J296=""Sangria""),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'""&amp;K296&amp;""'
             and Col6 = ""&amp;N296&amp;""
             and Col4 = date '""&amp;TEXT(C296,""yyyy-mm-dd"")&amp;""'""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'""&amp;K296&amp;""'
               and Col6 = ""&amp;N296&amp;""
               and Col4 = date '""&amp;TEXT(C296,""yyyy-mm-dd"")&amp;""'""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'""&amp;"&amp;"K296&amp;""'
                 and Col6 = ""&amp;N296&amp;""
                 and Col4 = date '""&amp;TEXT(C296,""yyyy-mm-dd"")&amp;""'""
            )
          )&gt;0,
          ""Confirmada"",
          ""Caixa Sangria""
        )
      )
    ),
    """"
  ),
  """"
)
"),"")</f>
        <v/>
      </c>
      <c r="M296" s="207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159" t="str">
        <f>IFERROR(__xludf.DUMMYFUNCTION("ifna(VALUE(REGEXEXTRACT(E296,""[0-9.]+[,]+[0-9]+"")))"),"")</f>
        <v/>
      </c>
      <c r="O296" s="159"/>
      <c r="P296" s="159"/>
      <c r="Q296" s="159"/>
      <c r="R296" s="159"/>
      <c r="S296" s="159"/>
      <c r="T296" s="159"/>
      <c r="U296" s="159"/>
      <c r="V296" s="159"/>
      <c r="W296" s="159"/>
    </row>
    <row r="297" ht="14.25" customHeight="1">
      <c r="A297" s="32"/>
      <c r="B297" s="151"/>
      <c r="C297" s="152"/>
      <c r="D297" s="153"/>
      <c r="E297" s="154"/>
      <c r="F297" s="170"/>
      <c r="G297" s="153"/>
      <c r="H297" s="170"/>
      <c r="I297" s="170"/>
      <c r="J297" s="169"/>
      <c r="K297" s="169"/>
      <c r="L297" s="157" t="str">
        <f>IFERROR(__xludf.DUMMYFUNCTION("IF(
  AND(D297=""Saída"", J297=""Sangria""),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'""&amp;K297&amp;""'
             and Col6 = ""&amp;N297&amp;""
             and Col4 = date '""&amp;TEXT(C297,""yyyy-mm-dd"")&amp;""'""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'""&amp;K297&amp;""'
               and Col6 = ""&amp;N297&amp;""
               and Col4 = date '""&amp;TEXT(C297,""yyyy-mm-dd"")&amp;""'""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'""&amp;"&amp;"K297&amp;""'
                 and Col6 = ""&amp;N297&amp;""
                 and Col4 = date '""&amp;TEXT(C297,""yyyy-mm-dd"")&amp;""'""
            )
          )&gt;0,
          ""Confirmada"",
          ""Caixa Sangria""
        )
      )
    ),
    """"
  ),
  """"
)
"),"")</f>
        <v/>
      </c>
      <c r="M297" s="209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159" t="str">
        <f>IFERROR(__xludf.DUMMYFUNCTION("ifna(VALUE(REGEXEXTRACT(E297,""[0-9.]+[,]+[0-9]+"")))"),"")</f>
        <v/>
      </c>
      <c r="O297" s="159"/>
      <c r="P297" s="159"/>
      <c r="Q297" s="159"/>
      <c r="R297" s="159"/>
      <c r="S297" s="159"/>
      <c r="T297" s="159"/>
      <c r="U297" s="159"/>
      <c r="V297" s="159"/>
      <c r="W297" s="159"/>
    </row>
    <row r="298" ht="14.25" customHeight="1">
      <c r="A298" s="32"/>
      <c r="B298" s="151"/>
      <c r="C298" s="152"/>
      <c r="D298" s="153"/>
      <c r="E298" s="154"/>
      <c r="F298" s="170"/>
      <c r="G298" s="153"/>
      <c r="H298" s="170"/>
      <c r="I298" s="170"/>
      <c r="J298" s="169"/>
      <c r="K298" s="169"/>
      <c r="L298" s="157" t="str">
        <f>IFERROR(__xludf.DUMMYFUNCTION("IF(
  AND(D298=""Saída"", J298=""Sangria""),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'""&amp;K298&amp;""'
             and Col6 = ""&amp;N298&amp;""
             and Col4 = date '""&amp;TEXT(C298,""yyyy-mm-dd"")&amp;""'""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'""&amp;K298&amp;""'
               and Col6 = ""&amp;N298&amp;""
               and Col4 = date '""&amp;TEXT(C298,""yyyy-mm-dd"")&amp;""'""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'""&amp;"&amp;"K298&amp;""'
                 and Col6 = ""&amp;N298&amp;""
                 and Col4 = date '""&amp;TEXT(C298,""yyyy-mm-dd"")&amp;""'""
            )
          )&gt;0,
          ""Confirmada"",
          ""Caixa Sangria""
        )
      )
    ),
    """"
  ),
  """"
)
"),"")</f>
        <v/>
      </c>
      <c r="M298" s="207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159" t="str">
        <f>IFERROR(__xludf.DUMMYFUNCTION("ifna(VALUE(REGEXEXTRACT(E298,""[0-9.]+[,]+[0-9]+"")))"),"")</f>
        <v/>
      </c>
      <c r="O298" s="159"/>
      <c r="P298" s="159"/>
      <c r="Q298" s="159"/>
      <c r="R298" s="159"/>
      <c r="S298" s="159"/>
      <c r="T298" s="159"/>
      <c r="U298" s="159"/>
      <c r="V298" s="159"/>
      <c r="W298" s="159"/>
    </row>
    <row r="299" ht="14.25" customHeight="1">
      <c r="A299" s="32"/>
      <c r="B299" s="213"/>
      <c r="C299" s="152"/>
      <c r="D299" s="153"/>
      <c r="E299" s="154"/>
      <c r="F299" s="170"/>
      <c r="G299" s="153"/>
      <c r="H299" s="170"/>
      <c r="I299" s="170"/>
      <c r="J299" s="169"/>
      <c r="K299" s="169"/>
      <c r="L299" s="157" t="str">
        <f>IFERROR(__xludf.DUMMYFUNCTION("IF(
  AND(D299=""Saída"", J299=""Sangria""),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'""&amp;K299&amp;""'
             and Col6 = ""&amp;N299&amp;""
             and Col4 = date '""&amp;TEXT(C299,""yyyy-mm-dd"")&amp;""'""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'""&amp;K299&amp;""'
               and Col6 = ""&amp;N299&amp;""
               and Col4 = date '""&amp;TEXT(C299,""yyyy-mm-dd"")&amp;""'""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'""&amp;"&amp;"K299&amp;""'
                 and Col6 = ""&amp;N299&amp;""
                 and Col4 = date '""&amp;TEXT(C299,""yyyy-mm-dd"")&amp;""'""
            )
          )&gt;0,
          ""Confirmada"",
          ""Caixa Sangria""
        )
      )
    ),
    """"
  ),
  """"
)
"),"")</f>
        <v/>
      </c>
      <c r="M299" s="209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159" t="str">
        <f>IFERROR(__xludf.DUMMYFUNCTION("ifna(VALUE(REGEXEXTRACT(E299,""[0-9.]+[,]+[0-9]+"")))"),"")</f>
        <v/>
      </c>
      <c r="O299" s="159"/>
      <c r="P299" s="159"/>
      <c r="Q299" s="159"/>
      <c r="R299" s="159"/>
      <c r="S299" s="159"/>
      <c r="T299" s="159"/>
      <c r="U299" s="159"/>
      <c r="V299" s="159"/>
      <c r="W299" s="159"/>
    </row>
    <row r="300" ht="14.25" customHeight="1">
      <c r="A300" s="32"/>
      <c r="B300" s="213"/>
      <c r="C300" s="215"/>
      <c r="D300" s="170"/>
      <c r="E300" s="154"/>
      <c r="F300" s="170"/>
      <c r="G300" s="153"/>
      <c r="H300" s="170"/>
      <c r="I300" s="170"/>
      <c r="J300" s="169"/>
      <c r="K300" s="169"/>
      <c r="L300" s="157" t="str">
        <f>IFERROR(__xludf.DUMMYFUNCTION("IF(
  AND(D300=""Saída"", J300=""Sangria""),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'""&amp;K300&amp;""'
             and Col6 = ""&amp;N300&amp;""
             and Col4 = date '""&amp;TEXT(C300,""yyyy-mm-dd"")&amp;""'""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'""&amp;K300&amp;""'
               and Col6 = ""&amp;N300&amp;""
               and Col4 = date '""&amp;TEXT(C300,""yyyy-mm-dd"")&amp;""'""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'""&amp;"&amp;"K300&amp;""'
                 and Col6 = ""&amp;N300&amp;""
                 and Col4 = date '""&amp;TEXT(C300,""yyyy-mm-dd"")&amp;""'""
            )
          )&gt;0,
          ""Confirmada"",
          ""Caixa Sangria""
        )
      )
    ),
    """"
  ),
  """"
)
"),"")</f>
        <v/>
      </c>
      <c r="M300" s="207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159" t="str">
        <f>IFERROR(__xludf.DUMMYFUNCTION("ifna(VALUE(REGEXEXTRACT(E300,""[0-9.]+[,]+[0-9]+"")))"),"")</f>
        <v/>
      </c>
      <c r="O300" s="159"/>
      <c r="P300" s="159"/>
      <c r="Q300" s="159"/>
      <c r="R300" s="159"/>
      <c r="S300" s="159"/>
      <c r="T300" s="159"/>
      <c r="U300" s="159"/>
      <c r="V300" s="159"/>
      <c r="W300" s="159"/>
    </row>
    <row r="301" ht="14.25" customHeight="1">
      <c r="A301" s="32"/>
      <c r="B301" s="213"/>
      <c r="C301" s="215"/>
      <c r="D301" s="170"/>
      <c r="E301" s="154"/>
      <c r="F301" s="170"/>
      <c r="G301" s="153"/>
      <c r="H301" s="170"/>
      <c r="I301" s="170"/>
      <c r="J301" s="169"/>
      <c r="K301" s="169"/>
      <c r="L301" s="157" t="str">
        <f>IFERROR(__xludf.DUMMYFUNCTION("IF(
  AND(D301=""Saída"", J301=""Sangria""),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'""&amp;K301&amp;""'
             and Col6 = ""&amp;N301&amp;""
             and Col4 = date '""&amp;TEXT(C301,""yyyy-mm-dd"")&amp;""'""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'""&amp;K301&amp;""'
               and Col6 = ""&amp;N301&amp;""
               and Col4 = date '""&amp;TEXT(C301,""yyyy-mm-dd"")&amp;""'""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'""&amp;"&amp;"K301&amp;""'
                 and Col6 = ""&amp;N301&amp;""
                 and Col4 = date '""&amp;TEXT(C301,""yyyy-mm-dd"")&amp;""'""
            )
          )&gt;0,
          ""Confirmada"",
          ""Caixa Sangria""
        )
      )
    ),
    """"
  ),
  """"
)
"),"")</f>
        <v/>
      </c>
      <c r="M301" s="209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159" t="str">
        <f>IFERROR(__xludf.DUMMYFUNCTION("ifna(VALUE(REGEXEXTRACT(E301,""[0-9.]+[,]+[0-9]+"")))"),"")</f>
        <v/>
      </c>
      <c r="O301" s="159"/>
      <c r="P301" s="159"/>
      <c r="Q301" s="159"/>
      <c r="R301" s="159"/>
      <c r="S301" s="159"/>
      <c r="T301" s="159"/>
      <c r="U301" s="159"/>
      <c r="V301" s="159"/>
      <c r="W301" s="159"/>
    </row>
    <row r="302" ht="14.25" customHeight="1">
      <c r="A302" s="32"/>
      <c r="B302" s="213"/>
      <c r="C302" s="215"/>
      <c r="D302" s="170"/>
      <c r="E302" s="154"/>
      <c r="F302" s="170"/>
      <c r="G302" s="153"/>
      <c r="H302" s="170"/>
      <c r="I302" s="170"/>
      <c r="J302" s="169"/>
      <c r="K302" s="169"/>
      <c r="L302" s="157" t="str">
        <f>IFERROR(__xludf.DUMMYFUNCTION("IF(
  AND(D302=""Saída"", J302=""Sangria""),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'""&amp;K302&amp;""'
             and Col6 = ""&amp;N302&amp;""
             and Col4 = date '""&amp;TEXT(C302,""yyyy-mm-dd"")&amp;""'""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'""&amp;K302&amp;""'
               and Col6 = ""&amp;N302&amp;""
               and Col4 = date '""&amp;TEXT(C302,""yyyy-mm-dd"")&amp;""'""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'""&amp;"&amp;"K302&amp;""'
                 and Col6 = ""&amp;N302&amp;""
                 and Col4 = date '""&amp;TEXT(C302,""yyyy-mm-dd"")&amp;""'""
            )
          )&gt;0,
          ""Confirmada"",
          ""Caixa Sangria""
        )
      )
    ),
    """"
  ),
  """"
)
"),"")</f>
        <v/>
      </c>
      <c r="M302" s="207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159" t="str">
        <f>IFERROR(__xludf.DUMMYFUNCTION("ifna(VALUE(REGEXEXTRACT(E302,""[0-9.]+[,]+[0-9]+"")))"),"")</f>
        <v/>
      </c>
      <c r="O302" s="159"/>
      <c r="P302" s="159"/>
      <c r="Q302" s="159"/>
      <c r="R302" s="159"/>
      <c r="S302" s="159"/>
      <c r="T302" s="159"/>
      <c r="U302" s="159"/>
      <c r="V302" s="159"/>
      <c r="W302" s="159"/>
    </row>
    <row r="303" ht="14.25" customHeight="1">
      <c r="A303" s="32"/>
      <c r="B303" s="213"/>
      <c r="C303" s="215"/>
      <c r="D303" s="170"/>
      <c r="E303" s="154"/>
      <c r="F303" s="170"/>
      <c r="G303" s="153"/>
      <c r="H303" s="170"/>
      <c r="I303" s="170"/>
      <c r="J303" s="169"/>
      <c r="K303" s="169"/>
      <c r="L303" s="157" t="str">
        <f>IFERROR(__xludf.DUMMYFUNCTION("IF(
  AND(D303=""Saída"", J303=""Sangria""),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'""&amp;K303&amp;""'
             and Col6 = ""&amp;N303&amp;""
             and Col4 = date '""&amp;TEXT(C303,""yyyy-mm-dd"")&amp;""'""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'""&amp;K303&amp;""'
               and Col6 = ""&amp;N303&amp;""
               and Col4 = date '""&amp;TEXT(C303,""yyyy-mm-dd"")&amp;""'""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'""&amp;"&amp;"K303&amp;""'
                 and Col6 = ""&amp;N303&amp;""
                 and Col4 = date '""&amp;TEXT(C303,""yyyy-mm-dd"")&amp;""'""
            )
          )&gt;0,
          ""Confirmada"",
          ""Caixa Sangria""
        )
      )
    ),
    """"
  ),
  """"
)
"),"")</f>
        <v/>
      </c>
      <c r="M303" s="209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159" t="str">
        <f>IFERROR(__xludf.DUMMYFUNCTION("ifna(VALUE(REGEXEXTRACT(E303,""[0-9.]+[,]+[0-9]+"")))"),"")</f>
        <v/>
      </c>
      <c r="O303" s="159"/>
      <c r="P303" s="159"/>
      <c r="Q303" s="159"/>
      <c r="R303" s="159"/>
      <c r="S303" s="159"/>
      <c r="T303" s="159"/>
      <c r="U303" s="159"/>
      <c r="V303" s="159"/>
      <c r="W303" s="159"/>
    </row>
    <row r="304" ht="14.25" customHeight="1">
      <c r="A304" s="32"/>
      <c r="B304" s="213"/>
      <c r="C304" s="215"/>
      <c r="D304" s="170"/>
      <c r="E304" s="154"/>
      <c r="F304" s="170"/>
      <c r="G304" s="153"/>
      <c r="H304" s="170"/>
      <c r="I304" s="170"/>
      <c r="J304" s="169"/>
      <c r="K304" s="169"/>
      <c r="L304" s="157" t="str">
        <f>IFERROR(__xludf.DUMMYFUNCTION("IF(
  AND(D304=""Saída"", J304=""Sangria""),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'""&amp;K304&amp;""'
             and Col6 = ""&amp;N304&amp;""
             and Col4 = date '""&amp;TEXT(C304,""yyyy-mm-dd"")&amp;""'""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'""&amp;K304&amp;""'
               and Col6 = ""&amp;N304&amp;""
               and Col4 = date '""&amp;TEXT(C304,""yyyy-mm-dd"")&amp;""'""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'""&amp;"&amp;"K304&amp;""'
                 and Col6 = ""&amp;N304&amp;""
                 and Col4 = date '""&amp;TEXT(C304,""yyyy-mm-dd"")&amp;""'""
            )
          )&gt;0,
          ""Confirmada"",
          ""Caixa Sangria""
        )
      )
    ),
    """"
  ),
  """"
)
"),"")</f>
        <v/>
      </c>
      <c r="M304" s="207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159" t="str">
        <f>IFERROR(__xludf.DUMMYFUNCTION("ifna(VALUE(REGEXEXTRACT(E304,""[0-9.]+[,]+[0-9]+"")))"),"")</f>
        <v/>
      </c>
      <c r="O304" s="159"/>
      <c r="P304" s="159"/>
      <c r="Q304" s="159"/>
      <c r="R304" s="159"/>
      <c r="S304" s="159"/>
      <c r="T304" s="159"/>
      <c r="U304" s="159"/>
      <c r="V304" s="159"/>
      <c r="W304" s="159"/>
    </row>
    <row r="305" ht="14.25" customHeight="1">
      <c r="A305" s="32"/>
      <c r="B305" s="213"/>
      <c r="C305" s="215"/>
      <c r="D305" s="170"/>
      <c r="E305" s="154"/>
      <c r="F305" s="170"/>
      <c r="G305" s="153"/>
      <c r="H305" s="170"/>
      <c r="I305" s="170"/>
      <c r="J305" s="169"/>
      <c r="K305" s="169"/>
      <c r="L305" s="157" t="str">
        <f>IFERROR(__xludf.DUMMYFUNCTION("IF(
  AND(D305=""Saída"", J305=""Sangria""),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'""&amp;K305&amp;""'
             and Col6 = ""&amp;N305&amp;""
             and Col4 = date '""&amp;TEXT(C305,""yyyy-mm-dd"")&amp;""'""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'""&amp;K305&amp;""'
               and Col6 = ""&amp;N305&amp;""
               and Col4 = date '""&amp;TEXT(C305,""yyyy-mm-dd"")&amp;""'""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'""&amp;"&amp;"K305&amp;""'
                 and Col6 = ""&amp;N305&amp;""
                 and Col4 = date '""&amp;TEXT(C305,""yyyy-mm-dd"")&amp;""'""
            )
          )&gt;0,
          ""Confirmada"",
          ""Caixa Sangria""
        )
      )
    ),
    """"
  ),
  """"
)
"),"")</f>
        <v/>
      </c>
      <c r="M305" s="209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159" t="str">
        <f>IFERROR(__xludf.DUMMYFUNCTION("ifna(VALUE(REGEXEXTRACT(E305,""[0-9.]+[,]+[0-9]+"")))"),"")</f>
        <v/>
      </c>
      <c r="O305" s="159"/>
      <c r="P305" s="159"/>
      <c r="Q305" s="159"/>
      <c r="R305" s="159"/>
      <c r="S305" s="159"/>
      <c r="T305" s="159"/>
      <c r="U305" s="159"/>
      <c r="V305" s="159"/>
      <c r="W305" s="159"/>
    </row>
    <row r="306" ht="14.25" customHeight="1">
      <c r="A306" s="32"/>
      <c r="B306" s="213"/>
      <c r="C306" s="215"/>
      <c r="D306" s="170"/>
      <c r="E306" s="216"/>
      <c r="F306" s="170"/>
      <c r="G306" s="170"/>
      <c r="H306" s="170"/>
      <c r="I306" s="170"/>
      <c r="J306" s="169"/>
      <c r="K306" s="169"/>
      <c r="L306" s="157" t="str">
        <f>IFERROR(__xludf.DUMMYFUNCTION("IF(
  AND(D306=""Saída"", J306=""Sangria""),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'""&amp;K306&amp;""'
             and Col6 = ""&amp;N306&amp;""
             and Col4 = date '""&amp;TEXT(C306,""yyyy-mm-dd"")&amp;""'""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'""&amp;K306&amp;""'
               and Col6 = ""&amp;N306&amp;""
               and Col4 = date '""&amp;TEXT(C306,""yyyy-mm-dd"")&amp;""'""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'""&amp;"&amp;"K306&amp;""'
                 and Col6 = ""&amp;N306&amp;""
                 and Col4 = date '""&amp;TEXT(C306,""yyyy-mm-dd"")&amp;""'""
            )
          )&gt;0,
          ""Confirmada"",
          ""Caixa Sangria""
        )
      )
    ),
    """"
  ),
  """"
)
"),"")</f>
        <v/>
      </c>
      <c r="M306" s="207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159" t="str">
        <f>IFERROR(__xludf.DUMMYFUNCTION("ifna(VALUE(REGEXEXTRACT(E306,""[0-9.]+[,]+[0-9]+"")))"),"")</f>
        <v/>
      </c>
      <c r="O306" s="159"/>
      <c r="P306" s="159"/>
      <c r="Q306" s="159"/>
      <c r="R306" s="159"/>
      <c r="S306" s="159"/>
      <c r="T306" s="159"/>
      <c r="U306" s="159"/>
      <c r="V306" s="159"/>
      <c r="W306" s="159"/>
    </row>
    <row r="307" ht="14.25" customHeight="1">
      <c r="A307" s="32"/>
      <c r="B307" s="213"/>
      <c r="C307" s="215"/>
      <c r="D307" s="170"/>
      <c r="E307" s="216"/>
      <c r="F307" s="170"/>
      <c r="G307" s="170"/>
      <c r="H307" s="170"/>
      <c r="I307" s="170"/>
      <c r="J307" s="169"/>
      <c r="K307" s="169"/>
      <c r="L307" s="157" t="str">
        <f>IFERROR(__xludf.DUMMYFUNCTION("IF(
  AND(D307=""Saída"", J307=""Sangria""),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'""&amp;K307&amp;""'
             and Col6 = ""&amp;N307&amp;""
             and Col4 = date '""&amp;TEXT(C307,""yyyy-mm-dd"")&amp;""'""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'""&amp;K307&amp;""'
               and Col6 = ""&amp;N307&amp;""
               and Col4 = date '""&amp;TEXT(C307,""yyyy-mm-dd"")&amp;""'""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'""&amp;"&amp;"K307&amp;""'
                 and Col6 = ""&amp;N307&amp;""
                 and Col4 = date '""&amp;TEXT(C307,""yyyy-mm-dd"")&amp;""'""
            )
          )&gt;0,
          ""Confirmada"",
          ""Caixa Sangria""
        )
      )
    ),
    """"
  ),
  """"
)
"),"")</f>
        <v/>
      </c>
      <c r="M307" s="209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159" t="str">
        <f>IFERROR(__xludf.DUMMYFUNCTION("ifna(VALUE(REGEXEXTRACT(E307,""[0-9.]+[,]+[0-9]+"")))"),"")</f>
        <v/>
      </c>
      <c r="O307" s="159"/>
      <c r="P307" s="159"/>
      <c r="Q307" s="159"/>
      <c r="R307" s="159"/>
      <c r="S307" s="159"/>
      <c r="T307" s="159"/>
      <c r="U307" s="159"/>
      <c r="V307" s="159"/>
      <c r="W307" s="159"/>
    </row>
    <row r="308" ht="14.25" customHeight="1">
      <c r="A308" s="32"/>
      <c r="B308" s="213"/>
      <c r="C308" s="215"/>
      <c r="D308" s="170"/>
      <c r="E308" s="216"/>
      <c r="F308" s="170"/>
      <c r="G308" s="170"/>
      <c r="H308" s="170"/>
      <c r="I308" s="170"/>
      <c r="J308" s="169"/>
      <c r="K308" s="169"/>
      <c r="L308" s="157" t="str">
        <f>IFERROR(__xludf.DUMMYFUNCTION("IF(
  AND(D308=""Saída"", J308=""Sangria""),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'""&amp;K308&amp;""'
             and Col6 = ""&amp;N308&amp;""
             and Col4 = date '""&amp;TEXT(C308,""yyyy-mm-dd"")&amp;""'""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'""&amp;K308&amp;""'
               and Col6 = ""&amp;N308&amp;""
               and Col4 = date '""&amp;TEXT(C308,""yyyy-mm-dd"")&amp;""'""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'""&amp;"&amp;"K308&amp;""'
                 and Col6 = ""&amp;N308&amp;""
                 and Col4 = date '""&amp;TEXT(C308,""yyyy-mm-dd"")&amp;""'""
            )
          )&gt;0,
          ""Confirmada"",
          ""Caixa Sangria""
        )
      )
    ),
    """"
  ),
  """"
)
"),"")</f>
        <v/>
      </c>
      <c r="M308" s="207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159" t="str">
        <f>IFERROR(__xludf.DUMMYFUNCTION("ifna(VALUE(REGEXEXTRACT(E308,""[0-9.]+[,]+[0-9]+"")))"),"")</f>
        <v/>
      </c>
      <c r="O308" s="159"/>
      <c r="P308" s="159"/>
      <c r="Q308" s="159"/>
      <c r="R308" s="159"/>
      <c r="S308" s="159"/>
      <c r="T308" s="159"/>
      <c r="U308" s="159"/>
      <c r="V308" s="159"/>
      <c r="W308" s="159"/>
    </row>
    <row r="309" ht="14.25" customHeight="1">
      <c r="A309" s="32"/>
      <c r="B309" s="213"/>
      <c r="C309" s="215"/>
      <c r="D309" s="170"/>
      <c r="E309" s="216"/>
      <c r="F309" s="170"/>
      <c r="G309" s="170"/>
      <c r="H309" s="170"/>
      <c r="I309" s="170"/>
      <c r="J309" s="169"/>
      <c r="K309" s="169"/>
      <c r="L309" s="157" t="str">
        <f>IFERROR(__xludf.DUMMYFUNCTION("IF(
  AND(D309=""Saída"", J309=""Sangria""),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'""&amp;K309&amp;""'
             and Col6 = ""&amp;N309&amp;""
             and Col4 = date '""&amp;TEXT(C309,""yyyy-mm-dd"")&amp;""'""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'""&amp;K309&amp;""'
               and Col6 = ""&amp;N309&amp;""
               and Col4 = date '""&amp;TEXT(C309,""yyyy-mm-dd"")&amp;""'""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'""&amp;"&amp;"K309&amp;""'
                 and Col6 = ""&amp;N309&amp;""
                 and Col4 = date '""&amp;TEXT(C309,""yyyy-mm-dd"")&amp;""'""
            )
          )&gt;0,
          ""Confirmada"",
          ""Caixa Sangria""
        )
      )
    ),
    """"
  ),
  """"
)
"),"")</f>
        <v/>
      </c>
      <c r="M309" s="209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159" t="str">
        <f>IFERROR(__xludf.DUMMYFUNCTION("ifna(VALUE(REGEXEXTRACT(E309,""[0-9.]+[,]+[0-9]+"")))"),"")</f>
        <v/>
      </c>
      <c r="O309" s="159"/>
      <c r="P309" s="159"/>
      <c r="Q309" s="159"/>
      <c r="R309" s="159"/>
      <c r="S309" s="159"/>
      <c r="T309" s="159"/>
      <c r="U309" s="159"/>
      <c r="V309" s="159"/>
      <c r="W309" s="159"/>
    </row>
    <row r="310" ht="14.25" customHeight="1">
      <c r="A310" s="32"/>
      <c r="B310" s="213"/>
      <c r="C310" s="215"/>
      <c r="D310" s="170"/>
      <c r="E310" s="216"/>
      <c r="F310" s="170"/>
      <c r="G310" s="170"/>
      <c r="H310" s="170"/>
      <c r="I310" s="170"/>
      <c r="J310" s="169"/>
      <c r="K310" s="169"/>
      <c r="L310" s="157" t="str">
        <f>IFERROR(__xludf.DUMMYFUNCTION("IF(
  AND(D310=""Saída"", J310=""Sangria""),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'""&amp;K310&amp;""'
             and Col6 = ""&amp;N310&amp;""
             and Col4 = date '""&amp;TEXT(C310,""yyyy-mm-dd"")&amp;""'""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'""&amp;K310&amp;""'
               and Col6 = ""&amp;N310&amp;""
               and Col4 = date '""&amp;TEXT(C310,""yyyy-mm-dd"")&amp;""'""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'""&amp;"&amp;"K310&amp;""'
                 and Col6 = ""&amp;N310&amp;""
                 and Col4 = date '""&amp;TEXT(C310,""yyyy-mm-dd"")&amp;""'""
            )
          )&gt;0,
          ""Confirmada"",
          ""Caixa Sangria""
        )
      )
    ),
    """"
  ),
  """"
)
"),"")</f>
        <v/>
      </c>
      <c r="M310" s="207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159" t="str">
        <f>IFERROR(__xludf.DUMMYFUNCTION("ifna(VALUE(REGEXEXTRACT(E310,""[0-9.]+[,]+[0-9]+"")))"),"")</f>
        <v/>
      </c>
      <c r="O310" s="159"/>
      <c r="P310" s="159"/>
      <c r="Q310" s="159"/>
      <c r="R310" s="159"/>
      <c r="S310" s="159"/>
      <c r="T310" s="159"/>
      <c r="U310" s="159"/>
      <c r="V310" s="159"/>
      <c r="W310" s="159"/>
    </row>
    <row r="311" ht="14.25" customHeight="1">
      <c r="A311" s="32"/>
      <c r="B311" s="213"/>
      <c r="C311" s="215"/>
      <c r="D311" s="170"/>
      <c r="E311" s="216"/>
      <c r="F311" s="170"/>
      <c r="G311" s="170"/>
      <c r="H311" s="170"/>
      <c r="I311" s="170"/>
      <c r="J311" s="169"/>
      <c r="K311" s="169"/>
      <c r="L311" s="157" t="str">
        <f>IFERROR(__xludf.DUMMYFUNCTION("IF(
  AND(D311=""Saída"", J311=""Sangria""),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'""&amp;K311&amp;""'
             and Col6 = ""&amp;N311&amp;""
             and Col4 = date '""&amp;TEXT(C311,""yyyy-mm-dd"")&amp;""'""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'""&amp;K311&amp;""'
               and Col6 = ""&amp;N311&amp;""
               and Col4 = date '""&amp;TEXT(C311,""yyyy-mm-dd"")&amp;""'""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'""&amp;"&amp;"K311&amp;""'
                 and Col6 = ""&amp;N311&amp;""
                 and Col4 = date '""&amp;TEXT(C311,""yyyy-mm-dd"")&amp;""'""
            )
          )&gt;0,
          ""Confirmada"",
          ""Caixa Sangria""
        )
      )
    ),
    """"
  ),
  """"
)
"),"")</f>
        <v/>
      </c>
      <c r="M311" s="209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159" t="str">
        <f>IFERROR(__xludf.DUMMYFUNCTION("ifna(VALUE(REGEXEXTRACT(E311,""[0-9.]+[,]+[0-9]+"")))"),"")</f>
        <v/>
      </c>
      <c r="O311" s="159"/>
      <c r="P311" s="159"/>
      <c r="Q311" s="159"/>
      <c r="R311" s="159"/>
      <c r="S311" s="159"/>
      <c r="T311" s="159"/>
      <c r="U311" s="159"/>
      <c r="V311" s="159"/>
      <c r="W311" s="159"/>
    </row>
    <row r="312" ht="14.25" customHeight="1">
      <c r="A312" s="32"/>
      <c r="B312" s="213"/>
      <c r="C312" s="215"/>
      <c r="D312" s="170"/>
      <c r="E312" s="216"/>
      <c r="F312" s="170"/>
      <c r="G312" s="170"/>
      <c r="H312" s="170"/>
      <c r="I312" s="170"/>
      <c r="J312" s="169"/>
      <c r="K312" s="169"/>
      <c r="L312" s="157" t="str">
        <f>IFERROR(__xludf.DUMMYFUNCTION("IF(
  AND(D312=""Saída"", J312=""Sangria""),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'""&amp;K312&amp;""'
             and Col6 = ""&amp;N312&amp;""
             and Col4 = date '""&amp;TEXT(C312,""yyyy-mm-dd"")&amp;""'""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'""&amp;K312&amp;""'
               and Col6 = ""&amp;N312&amp;""
               and Col4 = date '""&amp;TEXT(C312,""yyyy-mm-dd"")&amp;""'""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'""&amp;"&amp;"K312&amp;""'
                 and Col6 = ""&amp;N312&amp;""
                 and Col4 = date '""&amp;TEXT(C312,""yyyy-mm-dd"")&amp;""'""
            )
          )&gt;0,
          ""Confirmada"",
          ""Caixa Sangria""
        )
      )
    ),
    """"
  ),
  """"
)
"),"")</f>
        <v/>
      </c>
      <c r="M312" s="207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159" t="str">
        <f>IFERROR(__xludf.DUMMYFUNCTION("ifna(VALUE(REGEXEXTRACT(E312,""[0-9.]+[,]+[0-9]+"")))"),"")</f>
        <v/>
      </c>
      <c r="O312" s="159"/>
      <c r="P312" s="159"/>
      <c r="Q312" s="159"/>
      <c r="R312" s="159"/>
      <c r="S312" s="159"/>
      <c r="T312" s="159"/>
      <c r="U312" s="159"/>
      <c r="V312" s="159"/>
      <c r="W312" s="159"/>
    </row>
    <row r="313" ht="14.25" customHeight="1">
      <c r="A313" s="32"/>
      <c r="B313" s="213"/>
      <c r="C313" s="215"/>
      <c r="D313" s="170"/>
      <c r="E313" s="216"/>
      <c r="F313" s="170"/>
      <c r="G313" s="170"/>
      <c r="H313" s="170"/>
      <c r="I313" s="170"/>
      <c r="J313" s="169"/>
      <c r="K313" s="169"/>
      <c r="L313" s="157" t="str">
        <f>IFERROR(__xludf.DUMMYFUNCTION("IF(
  AND(D313=""Saída"", J313=""Sangria""),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'""&amp;K313&amp;""'
             and Col6 = ""&amp;N313&amp;""
             and Col4 = date '""&amp;TEXT(C313,""yyyy-mm-dd"")&amp;""'""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'""&amp;K313&amp;""'
               and Col6 = ""&amp;N313&amp;""
               and Col4 = date '""&amp;TEXT(C313,""yyyy-mm-dd"")&amp;""'""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'""&amp;"&amp;"K313&amp;""'
                 and Col6 = ""&amp;N313&amp;""
                 and Col4 = date '""&amp;TEXT(C313,""yyyy-mm-dd"")&amp;""'""
            )
          )&gt;0,
          ""Confirmada"",
          ""Caixa Sangria""
        )
      )
    ),
    """"
  ),
  """"
)
"),"")</f>
        <v/>
      </c>
      <c r="M313" s="209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159" t="str">
        <f>IFERROR(__xludf.DUMMYFUNCTION("ifna(VALUE(REGEXEXTRACT(E313,""[0-9.]+[,]+[0-9]+"")))"),"")</f>
        <v/>
      </c>
      <c r="O313" s="159"/>
      <c r="P313" s="159"/>
      <c r="Q313" s="159"/>
      <c r="R313" s="159"/>
      <c r="S313" s="159"/>
      <c r="T313" s="159"/>
      <c r="U313" s="159"/>
      <c r="V313" s="159"/>
      <c r="W313" s="159"/>
    </row>
    <row r="314" ht="14.25" customHeight="1">
      <c r="A314" s="32"/>
      <c r="B314" s="213"/>
      <c r="C314" s="215"/>
      <c r="D314" s="170"/>
      <c r="E314" s="216"/>
      <c r="F314" s="170"/>
      <c r="G314" s="170"/>
      <c r="H314" s="170"/>
      <c r="I314" s="170"/>
      <c r="J314" s="169"/>
      <c r="K314" s="169"/>
      <c r="L314" s="157" t="str">
        <f>IFERROR(__xludf.DUMMYFUNCTION("IF(
  AND(D314=""Saída"", J314=""Sangria""),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'""&amp;K314&amp;""'
             and Col6 = ""&amp;N314&amp;""
             and Col4 = date '""&amp;TEXT(C314,""yyyy-mm-dd"")&amp;""'""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'""&amp;K314&amp;""'
               and Col6 = ""&amp;N314&amp;""
               and Col4 = date '""&amp;TEXT(C314,""yyyy-mm-dd"")&amp;""'""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'""&amp;"&amp;"K314&amp;""'
                 and Col6 = ""&amp;N314&amp;""
                 and Col4 = date '""&amp;TEXT(C314,""yyyy-mm-dd"")&amp;""'""
            )
          )&gt;0,
          ""Confirmada"",
          ""Caixa Sangria""
        )
      )
    ),
    """"
  ),
  """"
)
"),"")</f>
        <v/>
      </c>
      <c r="M314" s="207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159" t="str">
        <f>IFERROR(__xludf.DUMMYFUNCTION("ifna(VALUE(REGEXEXTRACT(E314,""[0-9.]+[,]+[0-9]+"")))"),"")</f>
        <v/>
      </c>
      <c r="O314" s="159"/>
      <c r="P314" s="159"/>
      <c r="Q314" s="159"/>
      <c r="R314" s="159"/>
      <c r="S314" s="159"/>
      <c r="T314" s="159"/>
      <c r="U314" s="159"/>
      <c r="V314" s="159"/>
      <c r="W314" s="159"/>
    </row>
    <row r="315" ht="14.25" customHeight="1">
      <c r="A315" s="32"/>
      <c r="B315" s="213"/>
      <c r="C315" s="215"/>
      <c r="D315" s="170"/>
      <c r="E315" s="216"/>
      <c r="F315" s="170"/>
      <c r="G315" s="170"/>
      <c r="H315" s="170"/>
      <c r="I315" s="170"/>
      <c r="J315" s="169"/>
      <c r="K315" s="169"/>
      <c r="L315" s="157" t="str">
        <f>IFERROR(__xludf.DUMMYFUNCTION("IF(
  AND(D315=""Saída"", J315=""Sangria""),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'""&amp;K315&amp;""'
             and Col6 = ""&amp;N315&amp;""
             and Col4 = date '""&amp;TEXT(C315,""yyyy-mm-dd"")&amp;""'""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'""&amp;K315&amp;""'
               and Col6 = ""&amp;N315&amp;""
               and Col4 = date '""&amp;TEXT(C315,""yyyy-mm-dd"")&amp;""'""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'""&amp;"&amp;"K315&amp;""'
                 and Col6 = ""&amp;N315&amp;""
                 and Col4 = date '""&amp;TEXT(C315,""yyyy-mm-dd"")&amp;""'""
            )
          )&gt;0,
          ""Confirmada"",
          ""Caixa Sangria""
        )
      )
    ),
    """"
  ),
  """"
)
"),"")</f>
        <v/>
      </c>
      <c r="M315" s="209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159" t="str">
        <f>IFERROR(__xludf.DUMMYFUNCTION("ifna(VALUE(REGEXEXTRACT(E315,""[0-9.]+[,]+[0-9]+"")))"),"")</f>
        <v/>
      </c>
      <c r="O315" s="159"/>
      <c r="P315" s="159"/>
      <c r="Q315" s="159"/>
      <c r="R315" s="159"/>
      <c r="S315" s="159"/>
      <c r="T315" s="159"/>
      <c r="U315" s="159"/>
      <c r="V315" s="159"/>
      <c r="W315" s="159"/>
    </row>
    <row r="316" ht="14.25" customHeight="1">
      <c r="A316" s="32"/>
      <c r="B316" s="213"/>
      <c r="C316" s="215"/>
      <c r="D316" s="170"/>
      <c r="E316" s="216"/>
      <c r="F316" s="170"/>
      <c r="G316" s="170"/>
      <c r="H316" s="170"/>
      <c r="I316" s="170"/>
      <c r="J316" s="169"/>
      <c r="K316" s="169"/>
      <c r="L316" s="157" t="str">
        <f>IFERROR(__xludf.DUMMYFUNCTION("IF(
  AND(D316=""Saída"", J316=""Sangria""),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'""&amp;K316&amp;""'
             and Col6 = ""&amp;N316&amp;""
             and Col4 = date '""&amp;TEXT(C316,""yyyy-mm-dd"")&amp;""'""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'""&amp;K316&amp;""'
               and Col6 = ""&amp;N316&amp;""
               and Col4 = date '""&amp;TEXT(C316,""yyyy-mm-dd"")&amp;""'""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'""&amp;"&amp;"K316&amp;""'
                 and Col6 = ""&amp;N316&amp;""
                 and Col4 = date '""&amp;TEXT(C316,""yyyy-mm-dd"")&amp;""'""
            )
          )&gt;0,
          ""Confirmada"",
          ""Caixa Sangria""
        )
      )
    ),
    """"
  ),
  """"
)
"),"")</f>
        <v/>
      </c>
      <c r="M316" s="207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159" t="str">
        <f>IFERROR(__xludf.DUMMYFUNCTION("ifna(VALUE(REGEXEXTRACT(E316,""[0-9.]+[,]+[0-9]+"")))"),"")</f>
        <v/>
      </c>
      <c r="O316" s="159"/>
      <c r="P316" s="159"/>
      <c r="Q316" s="159"/>
      <c r="R316" s="159"/>
      <c r="S316" s="159"/>
      <c r="T316" s="159"/>
      <c r="U316" s="159"/>
      <c r="V316" s="159"/>
      <c r="W316" s="159"/>
    </row>
    <row r="317" ht="14.25" customHeight="1">
      <c r="A317" s="32"/>
      <c r="B317" s="213"/>
      <c r="C317" s="215"/>
      <c r="D317" s="170"/>
      <c r="E317" s="216"/>
      <c r="F317" s="170"/>
      <c r="G317" s="170"/>
      <c r="H317" s="170"/>
      <c r="I317" s="170"/>
      <c r="J317" s="169"/>
      <c r="K317" s="169"/>
      <c r="L317" s="157" t="str">
        <f>IFERROR(__xludf.DUMMYFUNCTION("IF(
  AND(D317=""Saída"", J317=""Sangria""),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'""&amp;K317&amp;""'
             and Col6 = ""&amp;N317&amp;""
             and Col4 = date '""&amp;TEXT(C317,""yyyy-mm-dd"")&amp;""'""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'""&amp;K317&amp;""'
               and Col6 = ""&amp;N317&amp;""
               and Col4 = date '""&amp;TEXT(C317,""yyyy-mm-dd"")&amp;""'""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'""&amp;"&amp;"K317&amp;""'
                 and Col6 = ""&amp;N317&amp;""
                 and Col4 = date '""&amp;TEXT(C317,""yyyy-mm-dd"")&amp;""'""
            )
          )&gt;0,
          ""Confirmada"",
          ""Caixa Sangria""
        )
      )
    ),
    """"
  ),
  """"
)
"),"")</f>
        <v/>
      </c>
      <c r="M317" s="209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159" t="str">
        <f>IFERROR(__xludf.DUMMYFUNCTION("ifna(VALUE(REGEXEXTRACT(E317,""[0-9.]+[,]+[0-9]+"")))"),"")</f>
        <v/>
      </c>
      <c r="O317" s="159"/>
      <c r="P317" s="159"/>
      <c r="Q317" s="159"/>
      <c r="R317" s="159"/>
      <c r="S317" s="159"/>
      <c r="T317" s="159"/>
      <c r="U317" s="159"/>
      <c r="V317" s="159"/>
      <c r="W317" s="159"/>
    </row>
    <row r="318" ht="14.25" customHeight="1">
      <c r="A318" s="32"/>
      <c r="B318" s="213"/>
      <c r="C318" s="215"/>
      <c r="D318" s="170"/>
      <c r="E318" s="216"/>
      <c r="F318" s="170"/>
      <c r="G318" s="170"/>
      <c r="H318" s="170"/>
      <c r="I318" s="170"/>
      <c r="J318" s="169"/>
      <c r="K318" s="169"/>
      <c r="L318" s="157" t="str">
        <f>IFERROR(__xludf.DUMMYFUNCTION("IF(
  AND(D318=""Saída"", J318=""Sangria""),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'""&amp;K318&amp;""'
             and Col6 = ""&amp;N318&amp;""
             and Col4 = date '""&amp;TEXT(C318,""yyyy-mm-dd"")&amp;""'""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'""&amp;K318&amp;""'
               and Col6 = ""&amp;N318&amp;""
               and Col4 = date '""&amp;TEXT(C318,""yyyy-mm-dd"")&amp;""'""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'""&amp;"&amp;"K318&amp;""'
                 and Col6 = ""&amp;N318&amp;""
                 and Col4 = date '""&amp;TEXT(C318,""yyyy-mm-dd"")&amp;""'""
            )
          )&gt;0,
          ""Confirmada"",
          ""Caixa Sangria""
        )
      )
    ),
    """"
  ),
  """"
)
"),"")</f>
        <v/>
      </c>
      <c r="M318" s="207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159" t="str">
        <f>IFERROR(__xludf.DUMMYFUNCTION("ifna(VALUE(REGEXEXTRACT(E318,""[0-9.]+[,]+[0-9]+"")))"),"")</f>
        <v/>
      </c>
      <c r="O318" s="159"/>
      <c r="P318" s="159"/>
      <c r="Q318" s="159"/>
      <c r="R318" s="159"/>
      <c r="S318" s="159"/>
      <c r="T318" s="159"/>
      <c r="U318" s="159"/>
      <c r="V318" s="159"/>
      <c r="W318" s="159"/>
    </row>
    <row r="319" ht="14.25" customHeight="1">
      <c r="A319" s="32"/>
      <c r="B319" s="213"/>
      <c r="C319" s="215"/>
      <c r="D319" s="170"/>
      <c r="E319" s="216"/>
      <c r="F319" s="170"/>
      <c r="G319" s="170"/>
      <c r="H319" s="170"/>
      <c r="I319" s="170"/>
      <c r="J319" s="169"/>
      <c r="K319" s="169"/>
      <c r="L319" s="157" t="str">
        <f>IFERROR(__xludf.DUMMYFUNCTION("IF(
  AND(D319=""Saída"", J319=""Sangria""),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'""&amp;K319&amp;""'
             and Col6 = ""&amp;N319&amp;""
             and Col4 = date '""&amp;TEXT(C319,""yyyy-mm-dd"")&amp;""'""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'""&amp;K319&amp;""'
               and Col6 = ""&amp;N319&amp;""
               and Col4 = date '""&amp;TEXT(C319,""yyyy-mm-dd"")&amp;""'""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'""&amp;"&amp;"K319&amp;""'
                 and Col6 = ""&amp;N319&amp;""
                 and Col4 = date '""&amp;TEXT(C319,""yyyy-mm-dd"")&amp;""'""
            )
          )&gt;0,
          ""Confirmada"",
          ""Caixa Sangria""
        )
      )
    ),
    """"
  ),
  """"
)
"),"")</f>
        <v/>
      </c>
      <c r="M319" s="209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159" t="str">
        <f>IFERROR(__xludf.DUMMYFUNCTION("ifna(VALUE(REGEXEXTRACT(E319,""[0-9.]+[,]+[0-9]+"")))"),"")</f>
        <v/>
      </c>
      <c r="O319" s="159"/>
      <c r="P319" s="159"/>
      <c r="Q319" s="159"/>
      <c r="R319" s="159"/>
      <c r="S319" s="159"/>
      <c r="T319" s="159"/>
      <c r="U319" s="159"/>
      <c r="V319" s="159"/>
      <c r="W319" s="159"/>
    </row>
    <row r="320" ht="14.25" customHeight="1">
      <c r="A320" s="32"/>
      <c r="B320" s="213"/>
      <c r="C320" s="215"/>
      <c r="D320" s="170"/>
      <c r="E320" s="216"/>
      <c r="F320" s="170"/>
      <c r="G320" s="170"/>
      <c r="H320" s="170"/>
      <c r="I320" s="170"/>
      <c r="J320" s="169"/>
      <c r="K320" s="169"/>
      <c r="L320" s="157" t="str">
        <f>IFERROR(__xludf.DUMMYFUNCTION("IF(
  AND(D320=""Saída"", J320=""Sangria""),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'""&amp;K320&amp;""'
             and Col6 = ""&amp;N320&amp;""
             and Col4 = date '""&amp;TEXT(C320,""yyyy-mm-dd"")&amp;""'""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'""&amp;K320&amp;""'
               and Col6 = ""&amp;N320&amp;""
               and Col4 = date '""&amp;TEXT(C320,""yyyy-mm-dd"")&amp;""'""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'""&amp;"&amp;"K320&amp;""'
                 and Col6 = ""&amp;N320&amp;""
                 and Col4 = date '""&amp;TEXT(C320,""yyyy-mm-dd"")&amp;""'""
            )
          )&gt;0,
          ""Confirmada"",
          ""Caixa Sangria""
        )
      )
    ),
    """"
  ),
  """"
)
"),"")</f>
        <v/>
      </c>
      <c r="M320" s="207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159" t="str">
        <f>IFERROR(__xludf.DUMMYFUNCTION("ifna(VALUE(REGEXEXTRACT(E320,""[0-9.]+[,]+[0-9]+"")))"),"")</f>
        <v/>
      </c>
      <c r="O320" s="159"/>
      <c r="P320" s="159"/>
      <c r="Q320" s="159"/>
      <c r="R320" s="159"/>
      <c r="S320" s="159"/>
      <c r="T320" s="159"/>
      <c r="U320" s="159"/>
      <c r="V320" s="159"/>
      <c r="W320" s="159"/>
    </row>
    <row r="321" ht="14.25" customHeight="1">
      <c r="A321" s="32"/>
      <c r="B321" s="213"/>
      <c r="C321" s="215"/>
      <c r="D321" s="170"/>
      <c r="E321" s="216"/>
      <c r="F321" s="170"/>
      <c r="G321" s="170"/>
      <c r="H321" s="170"/>
      <c r="I321" s="170"/>
      <c r="J321" s="169"/>
      <c r="K321" s="169"/>
      <c r="L321" s="157" t="str">
        <f>IFERROR(__xludf.DUMMYFUNCTION("IF(
  AND(D321=""Saída"", J321=""Sangria""),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'""&amp;K321&amp;""'
             and Col6 = ""&amp;N321&amp;""
             and Col4 = date '""&amp;TEXT(C321,""yyyy-mm-dd"")&amp;""'""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'""&amp;K321&amp;""'
               and Col6 = ""&amp;N321&amp;""
               and Col4 = date '""&amp;TEXT(C321,""yyyy-mm-dd"")&amp;""'""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'""&amp;"&amp;"K321&amp;""'
                 and Col6 = ""&amp;N321&amp;""
                 and Col4 = date '""&amp;TEXT(C321,""yyyy-mm-dd"")&amp;""'""
            )
          )&gt;0,
          ""Confirmada"",
          ""Caixa Sangria""
        )
      )
    ),
    """"
  ),
  """"
)
"),"")</f>
        <v/>
      </c>
      <c r="M321" s="209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159" t="str">
        <f>IFERROR(__xludf.DUMMYFUNCTION("ifna(VALUE(REGEXEXTRACT(E321,""[0-9.]+[,]+[0-9]+"")))"),"")</f>
        <v/>
      </c>
      <c r="O321" s="159"/>
      <c r="P321" s="159"/>
      <c r="Q321" s="159"/>
      <c r="R321" s="159"/>
      <c r="S321" s="159"/>
      <c r="T321" s="159"/>
      <c r="U321" s="159"/>
      <c r="V321" s="159"/>
      <c r="W321" s="159"/>
    </row>
    <row r="322" ht="14.25" customHeight="1">
      <c r="A322" s="32"/>
      <c r="B322" s="213"/>
      <c r="C322" s="215"/>
      <c r="D322" s="170"/>
      <c r="E322" s="216"/>
      <c r="F322" s="170"/>
      <c r="G322" s="170"/>
      <c r="H322" s="170"/>
      <c r="I322" s="170"/>
      <c r="J322" s="169"/>
      <c r="K322" s="169"/>
      <c r="L322" s="157" t="str">
        <f>IFERROR(__xludf.DUMMYFUNCTION("IF(
  AND(D322=""Saída"", J322=""Sangria""),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'""&amp;K322&amp;""'
             and Col6 = ""&amp;N322&amp;""
             and Col4 = date '""&amp;TEXT(C322,""yyyy-mm-dd"")&amp;""'""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'""&amp;K322&amp;""'
               and Col6 = ""&amp;N322&amp;""
               and Col4 = date '""&amp;TEXT(C322,""yyyy-mm-dd"")&amp;""'""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'""&amp;"&amp;"K322&amp;""'
                 and Col6 = ""&amp;N322&amp;""
                 and Col4 = date '""&amp;TEXT(C322,""yyyy-mm-dd"")&amp;""'""
            )
          )&gt;0,
          ""Confirmada"",
          ""Caixa Sangria""
        )
      )
    ),
    """"
  ),
  """"
)
"),"")</f>
        <v/>
      </c>
      <c r="M322" s="207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159" t="str">
        <f>IFERROR(__xludf.DUMMYFUNCTION("ifna(VALUE(REGEXEXTRACT(E322,""[0-9.]+[,]+[0-9]+"")))"),"")</f>
        <v/>
      </c>
      <c r="O322" s="159"/>
      <c r="P322" s="159"/>
      <c r="Q322" s="159"/>
      <c r="R322" s="159"/>
      <c r="S322" s="159"/>
      <c r="T322" s="159"/>
      <c r="U322" s="159"/>
      <c r="V322" s="159"/>
      <c r="W322" s="159"/>
    </row>
    <row r="323" ht="14.25" customHeight="1">
      <c r="A323" s="32"/>
      <c r="B323" s="213"/>
      <c r="C323" s="215"/>
      <c r="D323" s="170"/>
      <c r="E323" s="216"/>
      <c r="F323" s="170"/>
      <c r="G323" s="170"/>
      <c r="H323" s="170"/>
      <c r="I323" s="170"/>
      <c r="J323" s="169"/>
      <c r="K323" s="169"/>
      <c r="L323" s="157" t="str">
        <f>IFERROR(__xludf.DUMMYFUNCTION("IF(
  AND(D323=""Saída"", J323=""Sangria""),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'""&amp;K323&amp;""'
             and Col6 = ""&amp;N323&amp;""
             and Col4 = date '""&amp;TEXT(C323,""yyyy-mm-dd"")&amp;""'""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'""&amp;K323&amp;""'
               and Col6 = ""&amp;N323&amp;""
               and Col4 = date '""&amp;TEXT(C323,""yyyy-mm-dd"")&amp;""'""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'""&amp;"&amp;"K323&amp;""'
                 and Col6 = ""&amp;N323&amp;""
                 and Col4 = date '""&amp;TEXT(C323,""yyyy-mm-dd"")&amp;""'""
            )
          )&gt;0,
          ""Confirmada"",
          ""Caixa Sangria""
        )
      )
    ),
    """"
  ),
  """"
)
"),"")</f>
        <v/>
      </c>
      <c r="M323" s="209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159" t="str">
        <f>IFERROR(__xludf.DUMMYFUNCTION("ifna(VALUE(REGEXEXTRACT(E323,""[0-9.]+[,]+[0-9]+"")))"),"")</f>
        <v/>
      </c>
      <c r="O323" s="159"/>
      <c r="P323" s="159"/>
      <c r="Q323" s="159"/>
      <c r="R323" s="159"/>
      <c r="S323" s="159"/>
      <c r="T323" s="159"/>
      <c r="U323" s="159"/>
      <c r="V323" s="159"/>
      <c r="W323" s="159"/>
    </row>
    <row r="324" ht="14.25" customHeight="1">
      <c r="A324" s="32"/>
      <c r="B324" s="213"/>
      <c r="C324" s="215"/>
      <c r="D324" s="170"/>
      <c r="E324" s="216"/>
      <c r="F324" s="170"/>
      <c r="G324" s="170"/>
      <c r="H324" s="170"/>
      <c r="I324" s="170"/>
      <c r="J324" s="169"/>
      <c r="K324" s="169"/>
      <c r="L324" s="157" t="str">
        <f>IFERROR(__xludf.DUMMYFUNCTION("IF(
  AND(D324=""Saída"", J324=""Sangria""),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'""&amp;K324&amp;""'
             and Col6 = ""&amp;N324&amp;""
             and Col4 = date '""&amp;TEXT(C324,""yyyy-mm-dd"")&amp;""'""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'""&amp;K324&amp;""'
               and Col6 = ""&amp;N324&amp;""
               and Col4 = date '""&amp;TEXT(C324,""yyyy-mm-dd"")&amp;""'""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'""&amp;"&amp;"K324&amp;""'
                 and Col6 = ""&amp;N324&amp;""
                 and Col4 = date '""&amp;TEXT(C324,""yyyy-mm-dd"")&amp;""'""
            )
          )&gt;0,
          ""Confirmada"",
          ""Caixa Sangria""
        )
      )
    ),
    """"
  ),
  """"
)
"),"")</f>
        <v/>
      </c>
      <c r="M324" s="207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159" t="str">
        <f>IFERROR(__xludf.DUMMYFUNCTION("ifna(VALUE(REGEXEXTRACT(E324,""[0-9.]+[,]+[0-9]+"")))"),"")</f>
        <v/>
      </c>
      <c r="O324" s="159"/>
      <c r="P324" s="159"/>
      <c r="Q324" s="159"/>
      <c r="R324" s="159"/>
      <c r="S324" s="159"/>
      <c r="T324" s="159"/>
      <c r="U324" s="159"/>
      <c r="V324" s="159"/>
      <c r="W324" s="159"/>
    </row>
    <row r="325" ht="14.25" customHeight="1">
      <c r="A325" s="32"/>
      <c r="B325" s="213"/>
      <c r="C325" s="215"/>
      <c r="D325" s="170"/>
      <c r="E325" s="216"/>
      <c r="F325" s="170"/>
      <c r="G325" s="170"/>
      <c r="H325" s="170"/>
      <c r="I325" s="170"/>
      <c r="J325" s="169"/>
      <c r="K325" s="169"/>
      <c r="L325" s="157" t="str">
        <f>IFERROR(__xludf.DUMMYFUNCTION("IF(
  AND(D325=""Saída"", J325=""Sangria""),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'""&amp;K325&amp;""'
             and Col6 = ""&amp;N325&amp;""
             and Col4 = date '""&amp;TEXT(C325,""yyyy-mm-dd"")&amp;""'""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'""&amp;K325&amp;""'
               and Col6 = ""&amp;N325&amp;""
               and Col4 = date '""&amp;TEXT(C325,""yyyy-mm-dd"")&amp;""'""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'""&amp;"&amp;"K325&amp;""'
                 and Col6 = ""&amp;N325&amp;""
                 and Col4 = date '""&amp;TEXT(C325,""yyyy-mm-dd"")&amp;""'""
            )
          )&gt;0,
          ""Confirmada"",
          ""Caixa Sangria""
        )
      )
    ),
    """"
  ),
  """"
)
"),"")</f>
        <v/>
      </c>
      <c r="M325" s="209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159" t="str">
        <f>IFERROR(__xludf.DUMMYFUNCTION("ifna(VALUE(REGEXEXTRACT(E325,""[0-9.]+[,]+[0-9]+"")))"),"")</f>
        <v/>
      </c>
      <c r="O325" s="159"/>
      <c r="P325" s="159"/>
      <c r="Q325" s="159"/>
      <c r="R325" s="159"/>
      <c r="S325" s="159"/>
      <c r="T325" s="159"/>
      <c r="U325" s="159"/>
      <c r="V325" s="159"/>
      <c r="W325" s="159"/>
    </row>
    <row r="326" ht="14.25" customHeight="1">
      <c r="A326" s="32"/>
      <c r="B326" s="213"/>
      <c r="C326" s="215"/>
      <c r="D326" s="170"/>
      <c r="E326" s="216"/>
      <c r="F326" s="170"/>
      <c r="G326" s="170"/>
      <c r="H326" s="170"/>
      <c r="I326" s="170"/>
      <c r="J326" s="169"/>
      <c r="K326" s="169"/>
      <c r="L326" s="157" t="str">
        <f>IFERROR(__xludf.DUMMYFUNCTION("IF(
  AND(D326=""Saída"", J326=""Sangria""),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'""&amp;K326&amp;""'
             and Col6 = ""&amp;N326&amp;""
             and Col4 = date '""&amp;TEXT(C326,""yyyy-mm-dd"")&amp;""'""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'""&amp;K326&amp;""'
               and Col6 = ""&amp;N326&amp;""
               and Col4 = date '""&amp;TEXT(C326,""yyyy-mm-dd"")&amp;""'""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'""&amp;"&amp;"K326&amp;""'
                 and Col6 = ""&amp;N326&amp;""
                 and Col4 = date '""&amp;TEXT(C326,""yyyy-mm-dd"")&amp;""'""
            )
          )&gt;0,
          ""Confirmada"",
          ""Caixa Sangria""
        )
      )
    ),
    """"
  ),
  """"
)
"),"")</f>
        <v/>
      </c>
      <c r="M326" s="207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159" t="str">
        <f>IFERROR(__xludf.DUMMYFUNCTION("ifna(VALUE(REGEXEXTRACT(E326,""[0-9.]+[,]+[0-9]+"")))"),"")</f>
        <v/>
      </c>
      <c r="O326" s="159"/>
      <c r="P326" s="159"/>
      <c r="Q326" s="159"/>
      <c r="R326" s="159"/>
      <c r="S326" s="159"/>
      <c r="T326" s="159"/>
      <c r="U326" s="159"/>
      <c r="V326" s="159"/>
      <c r="W326" s="159"/>
    </row>
    <row r="327" ht="14.25" customHeight="1">
      <c r="A327" s="32"/>
      <c r="B327" s="213"/>
      <c r="C327" s="215"/>
      <c r="D327" s="170"/>
      <c r="E327" s="216"/>
      <c r="F327" s="170"/>
      <c r="G327" s="170"/>
      <c r="H327" s="170"/>
      <c r="I327" s="170"/>
      <c r="J327" s="169"/>
      <c r="K327" s="169"/>
      <c r="L327" s="157" t="str">
        <f>IFERROR(__xludf.DUMMYFUNCTION("IF(
  AND(D327=""Saída"", J327=""Sangria""),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'""&amp;K327&amp;""'
             and Col6 = ""&amp;N327&amp;""
             and Col4 = date '""&amp;TEXT(C327,""yyyy-mm-dd"")&amp;""'""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'""&amp;K327&amp;""'
               and Col6 = ""&amp;N327&amp;""
               and Col4 = date '""&amp;TEXT(C327,""yyyy-mm-dd"")&amp;""'""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'""&amp;"&amp;"K327&amp;""'
                 and Col6 = ""&amp;N327&amp;""
                 and Col4 = date '""&amp;TEXT(C327,""yyyy-mm-dd"")&amp;""'""
            )
          )&gt;0,
          ""Confirmada"",
          ""Caixa Sangria""
        )
      )
    ),
    """"
  ),
  """"
)
"),"")</f>
        <v/>
      </c>
      <c r="M327" s="209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159" t="str">
        <f>IFERROR(__xludf.DUMMYFUNCTION("ifna(VALUE(REGEXEXTRACT(E327,""[0-9.]+[,]+[0-9]+"")))"),"")</f>
        <v/>
      </c>
      <c r="O327" s="159"/>
      <c r="P327" s="159"/>
      <c r="Q327" s="159"/>
      <c r="R327" s="159"/>
      <c r="S327" s="159"/>
      <c r="T327" s="159"/>
      <c r="U327" s="159"/>
      <c r="V327" s="159"/>
      <c r="W327" s="159"/>
    </row>
    <row r="328" ht="14.25" customHeight="1">
      <c r="A328" s="32"/>
      <c r="B328" s="213"/>
      <c r="C328" s="215"/>
      <c r="D328" s="170"/>
      <c r="E328" s="216"/>
      <c r="F328" s="170"/>
      <c r="G328" s="170"/>
      <c r="H328" s="170"/>
      <c r="I328" s="170"/>
      <c r="J328" s="169"/>
      <c r="K328" s="169"/>
      <c r="L328" s="157" t="str">
        <f>IFERROR(__xludf.DUMMYFUNCTION("IF(
  AND(D328=""Saída"", J328=""Sangria""),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'""&amp;K328&amp;""'
             and Col6 = ""&amp;N328&amp;""
             and Col4 = date '""&amp;TEXT(C328,""yyyy-mm-dd"")&amp;""'""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'""&amp;K328&amp;""'
               and Col6 = ""&amp;N328&amp;""
               and Col4 = date '""&amp;TEXT(C328,""yyyy-mm-dd"")&amp;""'""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'""&amp;"&amp;"K328&amp;""'
                 and Col6 = ""&amp;N328&amp;""
                 and Col4 = date '""&amp;TEXT(C328,""yyyy-mm-dd"")&amp;""'""
            )
          )&gt;0,
          ""Confirmada"",
          ""Caixa Sangria""
        )
      )
    ),
    """"
  ),
  """"
)
"),"")</f>
        <v/>
      </c>
      <c r="M328" s="207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159" t="str">
        <f>IFERROR(__xludf.DUMMYFUNCTION("ifna(VALUE(REGEXEXTRACT(E328,""[0-9.]+[,]+[0-9]+"")))"),"")</f>
        <v/>
      </c>
      <c r="O328" s="159"/>
      <c r="P328" s="159"/>
      <c r="Q328" s="159"/>
      <c r="R328" s="159"/>
      <c r="S328" s="159"/>
      <c r="T328" s="159"/>
      <c r="U328" s="159"/>
      <c r="V328" s="159"/>
      <c r="W328" s="159"/>
    </row>
    <row r="329" ht="14.25" customHeight="1">
      <c r="A329" s="32"/>
      <c r="B329" s="213"/>
      <c r="C329" s="215"/>
      <c r="D329" s="170"/>
      <c r="E329" s="216"/>
      <c r="F329" s="170"/>
      <c r="G329" s="170"/>
      <c r="H329" s="170"/>
      <c r="I329" s="170"/>
      <c r="J329" s="169"/>
      <c r="K329" s="169"/>
      <c r="L329" s="157" t="str">
        <f>IFERROR(__xludf.DUMMYFUNCTION("IF(
  AND(D329=""Saída"", J329=""Sangria""),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'""&amp;K329&amp;""'
             and Col6 = ""&amp;N329&amp;""
             and Col4 = date '""&amp;TEXT(C329,""yyyy-mm-dd"")&amp;""'""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'""&amp;K329&amp;""'
               and Col6 = ""&amp;N329&amp;""
               and Col4 = date '""&amp;TEXT(C329,""yyyy-mm-dd"")&amp;""'""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'""&amp;"&amp;"K329&amp;""'
                 and Col6 = ""&amp;N329&amp;""
                 and Col4 = date '""&amp;TEXT(C329,""yyyy-mm-dd"")&amp;""'""
            )
          )&gt;0,
          ""Confirmada"",
          ""Caixa Sangria""
        )
      )
    ),
    """"
  ),
  """"
)
"),"")</f>
        <v/>
      </c>
      <c r="M329" s="209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159" t="str">
        <f>IFERROR(__xludf.DUMMYFUNCTION("ifna(VALUE(REGEXEXTRACT(E329,""[0-9.]+[,]+[0-9]+"")))"),"")</f>
        <v/>
      </c>
      <c r="O329" s="159"/>
      <c r="P329" s="159"/>
      <c r="Q329" s="159"/>
      <c r="R329" s="159"/>
      <c r="S329" s="159"/>
      <c r="T329" s="159"/>
      <c r="U329" s="159"/>
      <c r="V329" s="159"/>
      <c r="W329" s="159"/>
    </row>
    <row r="330" ht="14.25" customHeight="1">
      <c r="A330" s="32"/>
      <c r="B330" s="213"/>
      <c r="C330" s="215"/>
      <c r="D330" s="170"/>
      <c r="E330" s="216"/>
      <c r="F330" s="170"/>
      <c r="G330" s="170"/>
      <c r="H330" s="170"/>
      <c r="I330" s="170"/>
      <c r="J330" s="169"/>
      <c r="K330" s="169"/>
      <c r="L330" s="157" t="str">
        <f>IFERROR(__xludf.DUMMYFUNCTION("IF(
  AND(D330=""Saída"", J330=""Sangria""),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'""&amp;K330&amp;""'
             and Col6 = ""&amp;N330&amp;""
             and Col4 = date '""&amp;TEXT(C330,""yyyy-mm-dd"")&amp;""'""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'""&amp;K330&amp;""'
               and Col6 = ""&amp;N330&amp;""
               and Col4 = date '""&amp;TEXT(C330,""yyyy-mm-dd"")&amp;""'""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'""&amp;"&amp;"K330&amp;""'
                 and Col6 = ""&amp;N330&amp;""
                 and Col4 = date '""&amp;TEXT(C330,""yyyy-mm-dd"")&amp;""'""
            )
          )&gt;0,
          ""Confirmada"",
          ""Caixa Sangria""
        )
      )
    ),
    """"
  ),
  """"
)
"),"")</f>
        <v/>
      </c>
      <c r="M330" s="207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159" t="str">
        <f>IFERROR(__xludf.DUMMYFUNCTION("ifna(VALUE(REGEXEXTRACT(E330,""[0-9.]+[,]+[0-9]+"")))"),"")</f>
        <v/>
      </c>
      <c r="O330" s="159"/>
      <c r="P330" s="159"/>
      <c r="Q330" s="159"/>
      <c r="R330" s="159"/>
      <c r="S330" s="159"/>
      <c r="T330" s="159"/>
      <c r="U330" s="159"/>
      <c r="V330" s="159"/>
      <c r="W330" s="159"/>
    </row>
    <row r="331" ht="14.25" customHeight="1">
      <c r="A331" s="32"/>
      <c r="B331" s="213"/>
      <c r="C331" s="215"/>
      <c r="D331" s="170"/>
      <c r="E331" s="216"/>
      <c r="F331" s="170"/>
      <c r="G331" s="170"/>
      <c r="H331" s="170"/>
      <c r="I331" s="170"/>
      <c r="J331" s="169"/>
      <c r="K331" s="169"/>
      <c r="L331" s="157" t="str">
        <f>IFERROR(__xludf.DUMMYFUNCTION("IF(
  AND(D331=""Saída"", J331=""Sangria""),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'""&amp;K331&amp;""'
             and Col6 = ""&amp;N331&amp;""
             and Col4 = date '""&amp;TEXT(C331,""yyyy-mm-dd"")&amp;""'""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'""&amp;K331&amp;""'
               and Col6 = ""&amp;N331&amp;""
               and Col4 = date '""&amp;TEXT(C331,""yyyy-mm-dd"")&amp;""'""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'""&amp;"&amp;"K331&amp;""'
                 and Col6 = ""&amp;N331&amp;""
                 and Col4 = date '""&amp;TEXT(C331,""yyyy-mm-dd"")&amp;""'""
            )
          )&gt;0,
          ""Confirmada"",
          ""Caixa Sangria""
        )
      )
    ),
    """"
  ),
  """"
)
"),"")</f>
        <v/>
      </c>
      <c r="M331" s="209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159" t="str">
        <f>IFERROR(__xludf.DUMMYFUNCTION("ifna(VALUE(REGEXEXTRACT(E331,""[0-9.]+[,]+[0-9]+"")))"),"")</f>
        <v/>
      </c>
      <c r="O331" s="159"/>
      <c r="P331" s="159"/>
      <c r="Q331" s="159"/>
      <c r="R331" s="159"/>
      <c r="S331" s="159"/>
      <c r="T331" s="159"/>
      <c r="U331" s="159"/>
      <c r="V331" s="159"/>
      <c r="W331" s="159"/>
    </row>
    <row r="332" ht="14.25" customHeight="1">
      <c r="A332" s="32"/>
      <c r="B332" s="213"/>
      <c r="C332" s="215"/>
      <c r="D332" s="170"/>
      <c r="E332" s="216"/>
      <c r="F332" s="170"/>
      <c r="G332" s="170"/>
      <c r="H332" s="170"/>
      <c r="I332" s="170"/>
      <c r="J332" s="169"/>
      <c r="K332" s="169"/>
      <c r="L332" s="157" t="str">
        <f>IFERROR(__xludf.DUMMYFUNCTION("IF(
  AND(D332=""Saída"", J332=""Sangria""),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'""&amp;K332&amp;""'
             and Col6 = ""&amp;N332&amp;""
             and Col4 = date '""&amp;TEXT(C332,""yyyy-mm-dd"")&amp;""'""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'""&amp;K332&amp;""'
               and Col6 = ""&amp;N332&amp;""
               and Col4 = date '""&amp;TEXT(C332,""yyyy-mm-dd"")&amp;""'""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'""&amp;"&amp;"K332&amp;""'
                 and Col6 = ""&amp;N332&amp;""
                 and Col4 = date '""&amp;TEXT(C332,""yyyy-mm-dd"")&amp;""'""
            )
          )&gt;0,
          ""Confirmada"",
          ""Caixa Sangria""
        )
      )
    ),
    """"
  ),
  """"
)
"),"")</f>
        <v/>
      </c>
      <c r="M332" s="207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159" t="str">
        <f>IFERROR(__xludf.DUMMYFUNCTION("ifna(VALUE(REGEXEXTRACT(E332,""[0-9.]+[,]+[0-9]+"")))"),"")</f>
        <v/>
      </c>
      <c r="O332" s="159"/>
      <c r="P332" s="159"/>
      <c r="Q332" s="159"/>
      <c r="R332" s="159"/>
      <c r="S332" s="159"/>
      <c r="T332" s="159"/>
      <c r="U332" s="159"/>
      <c r="V332" s="159"/>
      <c r="W332" s="159"/>
    </row>
    <row r="333" ht="14.25" customHeight="1">
      <c r="A333" s="32"/>
      <c r="B333" s="213"/>
      <c r="C333" s="215"/>
      <c r="D333" s="170"/>
      <c r="E333" s="216"/>
      <c r="F333" s="170"/>
      <c r="G333" s="170"/>
      <c r="H333" s="170"/>
      <c r="I333" s="170"/>
      <c r="J333" s="169"/>
      <c r="K333" s="169"/>
      <c r="L333" s="157" t="str">
        <f>IFERROR(__xludf.DUMMYFUNCTION("IF(
  AND(D333=""Saída"", J333=""Sangria""),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'""&amp;K333&amp;""'
             and Col6 = ""&amp;N333&amp;""
             and Col4 = date '""&amp;TEXT(C333,""yyyy-mm-dd"")&amp;""'""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'""&amp;K333&amp;""'
               and Col6 = ""&amp;N333&amp;""
               and Col4 = date '""&amp;TEXT(C333,""yyyy-mm-dd"")&amp;""'""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'""&amp;"&amp;"K333&amp;""'
                 and Col6 = ""&amp;N333&amp;""
                 and Col4 = date '""&amp;TEXT(C333,""yyyy-mm-dd"")&amp;""'""
            )
          )&gt;0,
          ""Confirmada"",
          ""Caixa Sangria""
        )
      )
    ),
    """"
  ),
  """"
)
"),"")</f>
        <v/>
      </c>
      <c r="M333" s="209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159" t="str">
        <f>IFERROR(__xludf.DUMMYFUNCTION("ifna(VALUE(REGEXEXTRACT(E333,""[0-9.]+[,]+[0-9]+"")))"),"")</f>
        <v/>
      </c>
      <c r="O333" s="159"/>
      <c r="P333" s="159"/>
      <c r="Q333" s="159"/>
      <c r="R333" s="159"/>
      <c r="S333" s="159"/>
      <c r="T333" s="159"/>
      <c r="U333" s="159"/>
      <c r="V333" s="159"/>
      <c r="W333" s="159"/>
    </row>
    <row r="334" ht="14.25" customHeight="1">
      <c r="A334" s="32"/>
      <c r="B334" s="213"/>
      <c r="C334" s="215"/>
      <c r="D334" s="170"/>
      <c r="E334" s="216"/>
      <c r="F334" s="170"/>
      <c r="G334" s="170"/>
      <c r="H334" s="170"/>
      <c r="I334" s="170"/>
      <c r="J334" s="169"/>
      <c r="K334" s="169"/>
      <c r="L334" s="157" t="str">
        <f>IFERROR(__xludf.DUMMYFUNCTION("IF(
  AND(D334=""Saída"", J334=""Sangria""),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'""&amp;K334&amp;""'
             and Col6 = ""&amp;N334&amp;""
             and Col4 = date '""&amp;TEXT(C334,""yyyy-mm-dd"")&amp;""'""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'""&amp;K334&amp;""'
               and Col6 = ""&amp;N334&amp;""
               and Col4 = date '""&amp;TEXT(C334,""yyyy-mm-dd"")&amp;""'""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'""&amp;"&amp;"K334&amp;""'
                 and Col6 = ""&amp;N334&amp;""
                 and Col4 = date '""&amp;TEXT(C334,""yyyy-mm-dd"")&amp;""'""
            )
          )&gt;0,
          ""Confirmada"",
          ""Caixa Sangria""
        )
      )
    ),
    """"
  ),
  """"
)
"),"")</f>
        <v/>
      </c>
      <c r="M334" s="207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159" t="str">
        <f>IFERROR(__xludf.DUMMYFUNCTION("ifna(VALUE(REGEXEXTRACT(E334,""[0-9.]+[,]+[0-9]+"")))"),"")</f>
        <v/>
      </c>
      <c r="O334" s="159"/>
      <c r="P334" s="159"/>
      <c r="Q334" s="159"/>
      <c r="R334" s="159"/>
      <c r="S334" s="159"/>
      <c r="T334" s="159"/>
      <c r="U334" s="159"/>
      <c r="V334" s="159"/>
      <c r="W334" s="159"/>
    </row>
    <row r="335" ht="14.25" customHeight="1">
      <c r="A335" s="32"/>
      <c r="B335" s="213"/>
      <c r="C335" s="215"/>
      <c r="D335" s="170"/>
      <c r="E335" s="216"/>
      <c r="F335" s="170"/>
      <c r="G335" s="170"/>
      <c r="H335" s="170"/>
      <c r="I335" s="170"/>
      <c r="J335" s="169"/>
      <c r="K335" s="169"/>
      <c r="L335" s="157" t="str">
        <f>IFERROR(__xludf.DUMMYFUNCTION("IF(
  AND(D335=""Saída"", J335=""Sangria""),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'""&amp;K335&amp;""'
             and Col6 = ""&amp;N335&amp;""
             and Col4 = date '""&amp;TEXT(C335,""yyyy-mm-dd"")&amp;""'""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'""&amp;K335&amp;""'
               and Col6 = ""&amp;N335&amp;""
               and Col4 = date '""&amp;TEXT(C335,""yyyy-mm-dd"")&amp;""'""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'""&amp;"&amp;"K335&amp;""'
                 and Col6 = ""&amp;N335&amp;""
                 and Col4 = date '""&amp;TEXT(C335,""yyyy-mm-dd"")&amp;""'""
            )
          )&gt;0,
          ""Confirmada"",
          ""Caixa Sangria""
        )
      )
    ),
    """"
  ),
  """"
)
"),"")</f>
        <v/>
      </c>
      <c r="M335" s="209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159" t="str">
        <f>IFERROR(__xludf.DUMMYFUNCTION("ifna(VALUE(REGEXEXTRACT(E335,""[0-9.]+[,]+[0-9]+"")))"),"")</f>
        <v/>
      </c>
      <c r="O335" s="159"/>
      <c r="P335" s="159"/>
      <c r="Q335" s="159"/>
      <c r="R335" s="159"/>
      <c r="S335" s="159"/>
      <c r="T335" s="159"/>
      <c r="U335" s="159"/>
      <c r="V335" s="159"/>
      <c r="W335" s="159"/>
    </row>
    <row r="336" ht="14.25" customHeight="1">
      <c r="A336" s="32"/>
      <c r="B336" s="213"/>
      <c r="C336" s="215"/>
      <c r="D336" s="170"/>
      <c r="E336" s="216"/>
      <c r="F336" s="170"/>
      <c r="G336" s="170"/>
      <c r="H336" s="170"/>
      <c r="I336" s="170"/>
      <c r="J336" s="169"/>
      <c r="K336" s="169"/>
      <c r="L336" s="157" t="str">
        <f>IFERROR(__xludf.DUMMYFUNCTION("IF(
  AND(D336=""Saída"", J336=""Sangria""),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'""&amp;K336&amp;""'
             and Col6 = ""&amp;N336&amp;""
             and Col4 = date '""&amp;TEXT(C336,""yyyy-mm-dd"")&amp;""'""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'""&amp;K336&amp;""'
               and Col6 = ""&amp;N336&amp;""
               and Col4 = date '""&amp;TEXT(C336,""yyyy-mm-dd"")&amp;""'""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'""&amp;"&amp;"K336&amp;""'
                 and Col6 = ""&amp;N336&amp;""
                 and Col4 = date '""&amp;TEXT(C336,""yyyy-mm-dd"")&amp;""'""
            )
          )&gt;0,
          ""Confirmada"",
          ""Caixa Sangria""
        )
      )
    ),
    """"
  ),
  """"
)
"),"")</f>
        <v/>
      </c>
      <c r="M336" s="207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159" t="str">
        <f>IFERROR(__xludf.DUMMYFUNCTION("ifna(VALUE(REGEXEXTRACT(E336,""[0-9.]+[,]+[0-9]+"")))"),"")</f>
        <v/>
      </c>
      <c r="O336" s="159"/>
      <c r="P336" s="159"/>
      <c r="Q336" s="159"/>
      <c r="R336" s="159"/>
      <c r="S336" s="159"/>
      <c r="T336" s="159"/>
      <c r="U336" s="159"/>
      <c r="V336" s="159"/>
      <c r="W336" s="159"/>
    </row>
    <row r="337" ht="14.25" customHeight="1">
      <c r="A337" s="32"/>
      <c r="B337" s="213"/>
      <c r="C337" s="215"/>
      <c r="D337" s="170"/>
      <c r="E337" s="216"/>
      <c r="F337" s="170"/>
      <c r="G337" s="170"/>
      <c r="H337" s="170"/>
      <c r="I337" s="170"/>
      <c r="J337" s="169"/>
      <c r="K337" s="169"/>
      <c r="L337" s="157" t="str">
        <f>IFERROR(__xludf.DUMMYFUNCTION("IF(
  AND(D337=""Saída"", J337=""Sangria""),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'""&amp;K337&amp;""'
             and Col6 = ""&amp;N337&amp;""
             and Col4 = date '""&amp;TEXT(C337,""yyyy-mm-dd"")&amp;""'""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'""&amp;K337&amp;""'
               and Col6 = ""&amp;N337&amp;""
               and Col4 = date '""&amp;TEXT(C337,""yyyy-mm-dd"")&amp;""'""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'""&amp;"&amp;"K337&amp;""'
                 and Col6 = ""&amp;N337&amp;""
                 and Col4 = date '""&amp;TEXT(C337,""yyyy-mm-dd"")&amp;""'""
            )
          )&gt;0,
          ""Confirmada"",
          ""Caixa Sangria""
        )
      )
    ),
    """"
  ),
  """"
)
"),"")</f>
        <v/>
      </c>
      <c r="M337" s="209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159" t="str">
        <f>IFERROR(__xludf.DUMMYFUNCTION("ifna(VALUE(REGEXEXTRACT(E337,""[0-9.]+[,]+[0-9]+"")))"),"")</f>
        <v/>
      </c>
      <c r="O337" s="159"/>
      <c r="P337" s="159"/>
      <c r="Q337" s="159"/>
      <c r="R337" s="159"/>
      <c r="S337" s="159"/>
      <c r="T337" s="159"/>
      <c r="U337" s="159"/>
      <c r="V337" s="159"/>
      <c r="W337" s="159"/>
    </row>
    <row r="338" ht="14.25" customHeight="1">
      <c r="A338" s="32"/>
      <c r="B338" s="213"/>
      <c r="C338" s="215"/>
      <c r="D338" s="170"/>
      <c r="E338" s="216"/>
      <c r="F338" s="170"/>
      <c r="G338" s="170"/>
      <c r="H338" s="170"/>
      <c r="I338" s="170"/>
      <c r="J338" s="169"/>
      <c r="K338" s="169"/>
      <c r="L338" s="157" t="str">
        <f>IFERROR(__xludf.DUMMYFUNCTION("IF(
  AND(D338=""Saída"", J338=""Sangria""),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'""&amp;K338&amp;""'
             and Col6 = ""&amp;N338&amp;""
             and Col4 = date '""&amp;TEXT(C338,""yyyy-mm-dd"")&amp;""'""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'""&amp;K338&amp;""'
               and Col6 = ""&amp;N338&amp;""
               and Col4 = date '""&amp;TEXT(C338,""yyyy-mm-dd"")&amp;""'""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'""&amp;"&amp;"K338&amp;""'
                 and Col6 = ""&amp;N338&amp;""
                 and Col4 = date '""&amp;TEXT(C338,""yyyy-mm-dd"")&amp;""'""
            )
          )&gt;0,
          ""Confirmada"",
          ""Caixa Sangria""
        )
      )
    ),
    """"
  ),
  """"
)
"),"")</f>
        <v/>
      </c>
      <c r="M338" s="207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159" t="str">
        <f>IFERROR(__xludf.DUMMYFUNCTION("ifna(VALUE(REGEXEXTRACT(E338,""[0-9.]+[,]+[0-9]+"")))"),"")</f>
        <v/>
      </c>
      <c r="O338" s="159"/>
      <c r="P338" s="159"/>
      <c r="Q338" s="159"/>
      <c r="R338" s="159"/>
      <c r="S338" s="159"/>
      <c r="T338" s="159"/>
      <c r="U338" s="159"/>
      <c r="V338" s="159"/>
      <c r="W338" s="159"/>
    </row>
    <row r="339" ht="14.25" customHeight="1">
      <c r="A339" s="32"/>
      <c r="B339" s="213"/>
      <c r="C339" s="215"/>
      <c r="D339" s="170"/>
      <c r="E339" s="216"/>
      <c r="F339" s="170"/>
      <c r="G339" s="170"/>
      <c r="H339" s="170"/>
      <c r="I339" s="170"/>
      <c r="J339" s="169"/>
      <c r="K339" s="169"/>
      <c r="L339" s="157" t="str">
        <f>IFERROR(__xludf.DUMMYFUNCTION("IF(
  AND(D339=""Saída"", J339=""Sangria""),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'""&amp;K339&amp;""'
             and Col6 = ""&amp;N339&amp;""
             and Col4 = date '""&amp;TEXT(C339,""yyyy-mm-dd"")&amp;""'""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'""&amp;K339&amp;""'
               and Col6 = ""&amp;N339&amp;""
               and Col4 = date '""&amp;TEXT(C339,""yyyy-mm-dd"")&amp;""'""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'""&amp;"&amp;"K339&amp;""'
                 and Col6 = ""&amp;N339&amp;""
                 and Col4 = date '""&amp;TEXT(C339,""yyyy-mm-dd"")&amp;""'""
            )
          )&gt;0,
          ""Confirmada"",
          ""Caixa Sangria""
        )
      )
    ),
    """"
  ),
  """"
)
"),"")</f>
        <v/>
      </c>
      <c r="M339" s="209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159" t="str">
        <f>IFERROR(__xludf.DUMMYFUNCTION("ifna(VALUE(REGEXEXTRACT(E339,""[0-9.]+[,]+[0-9]+"")))"),"")</f>
        <v/>
      </c>
      <c r="O339" s="159"/>
      <c r="P339" s="159"/>
      <c r="Q339" s="159"/>
      <c r="R339" s="159"/>
      <c r="S339" s="159"/>
      <c r="T339" s="159"/>
      <c r="U339" s="159"/>
      <c r="V339" s="159"/>
      <c r="W339" s="159"/>
    </row>
    <row r="340" ht="14.25" customHeight="1">
      <c r="A340" s="32"/>
      <c r="B340" s="213"/>
      <c r="C340" s="215"/>
      <c r="D340" s="170"/>
      <c r="E340" s="216"/>
      <c r="F340" s="170"/>
      <c r="G340" s="170"/>
      <c r="H340" s="170"/>
      <c r="I340" s="170"/>
      <c r="J340" s="169"/>
      <c r="K340" s="169"/>
      <c r="L340" s="157" t="str">
        <f>IFERROR(__xludf.DUMMYFUNCTION("IF(
  AND(D340=""Saída"", J340=""Sangria""),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'""&amp;K340&amp;""'
             and Col6 = ""&amp;N340&amp;""
             and Col4 = date '""&amp;TEXT(C340,""yyyy-mm-dd"")&amp;""'""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'""&amp;K340&amp;""'
               and Col6 = ""&amp;N340&amp;""
               and Col4 = date '""&amp;TEXT(C340,""yyyy-mm-dd"")&amp;""'""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'""&amp;"&amp;"K340&amp;""'
                 and Col6 = ""&amp;N340&amp;""
                 and Col4 = date '""&amp;TEXT(C340,""yyyy-mm-dd"")&amp;""'""
            )
          )&gt;0,
          ""Confirmada"",
          ""Caixa Sangria""
        )
      )
    ),
    """"
  ),
  """"
)
"),"")</f>
        <v/>
      </c>
      <c r="M340" s="207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159" t="str">
        <f>IFERROR(__xludf.DUMMYFUNCTION("ifna(VALUE(REGEXEXTRACT(E340,""[0-9.]+[,]+[0-9]+"")))"),"")</f>
        <v/>
      </c>
      <c r="O340" s="159"/>
      <c r="P340" s="159"/>
      <c r="Q340" s="159"/>
      <c r="R340" s="159"/>
      <c r="S340" s="159"/>
      <c r="T340" s="159"/>
      <c r="U340" s="159"/>
      <c r="V340" s="159"/>
      <c r="W340" s="159"/>
    </row>
    <row r="341" ht="14.25" customHeight="1">
      <c r="A341" s="32"/>
      <c r="B341" s="213"/>
      <c r="C341" s="215"/>
      <c r="D341" s="170"/>
      <c r="E341" s="216"/>
      <c r="F341" s="170"/>
      <c r="G341" s="170"/>
      <c r="H341" s="170"/>
      <c r="I341" s="170"/>
      <c r="J341" s="169"/>
      <c r="K341" s="169"/>
      <c r="L341" s="157" t="str">
        <f>IFERROR(__xludf.DUMMYFUNCTION("IF(
  AND(D341=""Saída"", J341=""Sangria""),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'""&amp;K341&amp;""'
             and Col6 = ""&amp;N341&amp;""
             and Col4 = date '""&amp;TEXT(C341,""yyyy-mm-dd"")&amp;""'""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'""&amp;K341&amp;""'
               and Col6 = ""&amp;N341&amp;""
               and Col4 = date '""&amp;TEXT(C341,""yyyy-mm-dd"")&amp;""'""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'""&amp;"&amp;"K341&amp;""'
                 and Col6 = ""&amp;N341&amp;""
                 and Col4 = date '""&amp;TEXT(C341,""yyyy-mm-dd"")&amp;""'""
            )
          )&gt;0,
          ""Confirmada"",
          ""Caixa Sangria""
        )
      )
    ),
    """"
  ),
  """"
)
"),"")</f>
        <v/>
      </c>
      <c r="M341" s="209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159" t="str">
        <f>IFERROR(__xludf.DUMMYFUNCTION("ifna(VALUE(REGEXEXTRACT(E341,""[0-9.]+[,]+[0-9]+"")))"),"")</f>
        <v/>
      </c>
      <c r="O341" s="159"/>
      <c r="P341" s="159"/>
      <c r="Q341" s="159"/>
      <c r="R341" s="159"/>
      <c r="S341" s="159"/>
      <c r="T341" s="159"/>
      <c r="U341" s="159"/>
      <c r="V341" s="159"/>
      <c r="W341" s="159"/>
    </row>
    <row r="342" ht="14.25" customHeight="1">
      <c r="A342" s="32"/>
      <c r="B342" s="213"/>
      <c r="C342" s="215"/>
      <c r="D342" s="170"/>
      <c r="E342" s="216"/>
      <c r="F342" s="170"/>
      <c r="G342" s="170"/>
      <c r="H342" s="170"/>
      <c r="I342" s="170"/>
      <c r="J342" s="169"/>
      <c r="K342" s="169"/>
      <c r="L342" s="157" t="str">
        <f>IFERROR(__xludf.DUMMYFUNCTION("IF(
  AND(D342=""Saída"", J342=""Sangria""),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'""&amp;K342&amp;""'
             and Col6 = ""&amp;N342&amp;""
             and Col4 = date '""&amp;TEXT(C342,""yyyy-mm-dd"")&amp;""'""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'""&amp;K342&amp;""'
               and Col6 = ""&amp;N342&amp;""
               and Col4 = date '""&amp;TEXT(C342,""yyyy-mm-dd"")&amp;""'""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'""&amp;"&amp;"K342&amp;""'
                 and Col6 = ""&amp;N342&amp;""
                 and Col4 = date '""&amp;TEXT(C342,""yyyy-mm-dd"")&amp;""'""
            )
          )&gt;0,
          ""Confirmada"",
          ""Caixa Sangria""
        )
      )
    ),
    """"
  ),
  """"
)
"),"")</f>
        <v/>
      </c>
      <c r="M342" s="207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159" t="str">
        <f>IFERROR(__xludf.DUMMYFUNCTION("ifna(VALUE(REGEXEXTRACT(E342,""[0-9.]+[,]+[0-9]+"")))"),"")</f>
        <v/>
      </c>
      <c r="O342" s="159"/>
      <c r="P342" s="159"/>
      <c r="Q342" s="159"/>
      <c r="R342" s="159"/>
      <c r="S342" s="159"/>
      <c r="T342" s="159"/>
      <c r="U342" s="159"/>
      <c r="V342" s="159"/>
      <c r="W342" s="159"/>
    </row>
    <row r="343" ht="14.25" customHeight="1">
      <c r="A343" s="32"/>
      <c r="B343" s="213"/>
      <c r="C343" s="215"/>
      <c r="D343" s="170"/>
      <c r="E343" s="216"/>
      <c r="F343" s="170"/>
      <c r="G343" s="170"/>
      <c r="H343" s="170"/>
      <c r="I343" s="170"/>
      <c r="J343" s="169"/>
      <c r="K343" s="169"/>
      <c r="L343" s="157" t="str">
        <f>IFERROR(__xludf.DUMMYFUNCTION("IF(
  AND(D343=""Saída"", J343=""Sangria""),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'""&amp;K343&amp;""'
             and Col6 = ""&amp;N343&amp;""
             and Col4 = date '""&amp;TEXT(C343,""yyyy-mm-dd"")&amp;""'""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'""&amp;K343&amp;""'
               and Col6 = ""&amp;N343&amp;""
               and Col4 = date '""&amp;TEXT(C343,""yyyy-mm-dd"")&amp;""'""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'""&amp;"&amp;"K343&amp;""'
                 and Col6 = ""&amp;N343&amp;""
                 and Col4 = date '""&amp;TEXT(C343,""yyyy-mm-dd"")&amp;""'""
            )
          )&gt;0,
          ""Confirmada"",
          ""Caixa Sangria""
        )
      )
    ),
    """"
  ),
  """"
)
"),"")</f>
        <v/>
      </c>
      <c r="M343" s="209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159" t="str">
        <f>IFERROR(__xludf.DUMMYFUNCTION("ifna(VALUE(REGEXEXTRACT(E343,""[0-9.]+[,]+[0-9]+"")))"),"")</f>
        <v/>
      </c>
      <c r="O343" s="159"/>
      <c r="P343" s="159"/>
      <c r="Q343" s="159"/>
      <c r="R343" s="159"/>
      <c r="S343" s="159"/>
      <c r="T343" s="159"/>
      <c r="U343" s="159"/>
      <c r="V343" s="159"/>
      <c r="W343" s="159"/>
    </row>
    <row r="344" ht="14.25" customHeight="1">
      <c r="A344" s="32"/>
      <c r="B344" s="213"/>
      <c r="C344" s="215"/>
      <c r="D344" s="170"/>
      <c r="E344" s="216"/>
      <c r="F344" s="170"/>
      <c r="G344" s="170"/>
      <c r="H344" s="170"/>
      <c r="I344" s="170"/>
      <c r="J344" s="169"/>
      <c r="K344" s="169"/>
      <c r="L344" s="157" t="str">
        <f>IFERROR(__xludf.DUMMYFUNCTION("IF(
  AND(D344=""Saída"", J344=""Sangria""),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'""&amp;K344&amp;""'
             and Col6 = ""&amp;N344&amp;""
             and Col4 = date '""&amp;TEXT(C344,""yyyy-mm-dd"")&amp;""'""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'""&amp;K344&amp;""'
               and Col6 = ""&amp;N344&amp;""
               and Col4 = date '""&amp;TEXT(C344,""yyyy-mm-dd"")&amp;""'""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'""&amp;"&amp;"K344&amp;""'
                 and Col6 = ""&amp;N344&amp;""
                 and Col4 = date '""&amp;TEXT(C344,""yyyy-mm-dd"")&amp;""'""
            )
          )&gt;0,
          ""Confirmada"",
          ""Caixa Sangria""
        )
      )
    ),
    """"
  ),
  """"
)
"),"")</f>
        <v/>
      </c>
      <c r="M344" s="207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159" t="str">
        <f>IFERROR(__xludf.DUMMYFUNCTION("ifna(VALUE(REGEXEXTRACT(E344,""[0-9.]+[,]+[0-9]+"")))"),"")</f>
        <v/>
      </c>
      <c r="O344" s="159"/>
      <c r="P344" s="159"/>
      <c r="Q344" s="159"/>
      <c r="R344" s="159"/>
      <c r="S344" s="159"/>
      <c r="T344" s="159"/>
      <c r="U344" s="159"/>
      <c r="V344" s="159"/>
      <c r="W344" s="159"/>
    </row>
    <row r="345" ht="14.25" customHeight="1">
      <c r="A345" s="32"/>
      <c r="B345" s="213"/>
      <c r="C345" s="215"/>
      <c r="D345" s="170"/>
      <c r="E345" s="216"/>
      <c r="F345" s="170"/>
      <c r="G345" s="170"/>
      <c r="H345" s="170"/>
      <c r="I345" s="170"/>
      <c r="J345" s="169"/>
      <c r="K345" s="169"/>
      <c r="L345" s="157" t="str">
        <f>IFERROR(__xludf.DUMMYFUNCTION("IF(
  AND(D345=""Saída"", J345=""Sangria""),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'""&amp;K345&amp;""'
             and Col6 = ""&amp;N345&amp;""
             and Col4 = date '""&amp;TEXT(C345,""yyyy-mm-dd"")&amp;""'""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'""&amp;K345&amp;""'
               and Col6 = ""&amp;N345&amp;""
               and Col4 = date '""&amp;TEXT(C345,""yyyy-mm-dd"")&amp;""'""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'""&amp;"&amp;"K345&amp;""'
                 and Col6 = ""&amp;N345&amp;""
                 and Col4 = date '""&amp;TEXT(C345,""yyyy-mm-dd"")&amp;""'""
            )
          )&gt;0,
          ""Confirmada"",
          ""Caixa Sangria""
        )
      )
    ),
    """"
  ),
  """"
)
"),"")</f>
        <v/>
      </c>
      <c r="M345" s="209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159" t="str">
        <f>IFERROR(__xludf.DUMMYFUNCTION("ifna(VALUE(REGEXEXTRACT(E345,""[0-9.]+[,]+[0-9]+"")))"),"")</f>
        <v/>
      </c>
      <c r="O345" s="159"/>
      <c r="P345" s="159"/>
      <c r="Q345" s="159"/>
      <c r="R345" s="159"/>
      <c r="S345" s="159"/>
      <c r="T345" s="159"/>
      <c r="U345" s="159"/>
      <c r="V345" s="159"/>
      <c r="W345" s="159"/>
    </row>
    <row r="346" ht="14.25" customHeight="1">
      <c r="A346" s="32"/>
      <c r="B346" s="213"/>
      <c r="C346" s="215"/>
      <c r="D346" s="170"/>
      <c r="E346" s="216"/>
      <c r="F346" s="170"/>
      <c r="G346" s="170"/>
      <c r="H346" s="170"/>
      <c r="I346" s="170"/>
      <c r="J346" s="169"/>
      <c r="K346" s="169"/>
      <c r="L346" s="157" t="str">
        <f>IFERROR(__xludf.DUMMYFUNCTION("IF(
  AND(D346=""Saída"", J346=""Sangria""),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'""&amp;K346&amp;""'
             and Col6 = ""&amp;N346&amp;""
             and Col4 = date '""&amp;TEXT(C346,""yyyy-mm-dd"")&amp;""'""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'""&amp;K346&amp;""'
               and Col6 = ""&amp;N346&amp;""
               and Col4 = date '""&amp;TEXT(C346,""yyyy-mm-dd"")&amp;""'""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'""&amp;"&amp;"K346&amp;""'
                 and Col6 = ""&amp;N346&amp;""
                 and Col4 = date '""&amp;TEXT(C346,""yyyy-mm-dd"")&amp;""'""
            )
          )&gt;0,
          ""Confirmada"",
          ""Caixa Sangria""
        )
      )
    ),
    """"
  ),
  """"
)
"),"")</f>
        <v/>
      </c>
      <c r="M346" s="207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159" t="str">
        <f>IFERROR(__xludf.DUMMYFUNCTION("ifna(VALUE(REGEXEXTRACT(E346,""[0-9.]+[,]+[0-9]+"")))"),"")</f>
        <v/>
      </c>
      <c r="O346" s="159"/>
      <c r="P346" s="159"/>
      <c r="Q346" s="159"/>
      <c r="R346" s="159"/>
      <c r="S346" s="159"/>
      <c r="T346" s="159"/>
      <c r="U346" s="159"/>
      <c r="V346" s="159"/>
      <c r="W346" s="159"/>
    </row>
    <row r="347" ht="14.25" customHeight="1">
      <c r="A347" s="32"/>
      <c r="B347" s="213"/>
      <c r="C347" s="215"/>
      <c r="D347" s="170"/>
      <c r="E347" s="216"/>
      <c r="F347" s="170"/>
      <c r="G347" s="170"/>
      <c r="H347" s="170"/>
      <c r="I347" s="170"/>
      <c r="J347" s="169"/>
      <c r="K347" s="169"/>
      <c r="L347" s="157" t="str">
        <f>IFERROR(__xludf.DUMMYFUNCTION("IF(
  AND(D347=""Saída"", J347=""Sangria""),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'""&amp;K347&amp;""'
             and Col6 = ""&amp;N347&amp;""
             and Col4 = date '""&amp;TEXT(C347,""yyyy-mm-dd"")&amp;""'""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'""&amp;K347&amp;""'
               and Col6 = ""&amp;N347&amp;""
               and Col4 = date '""&amp;TEXT(C347,""yyyy-mm-dd"")&amp;""'""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'""&amp;"&amp;"K347&amp;""'
                 and Col6 = ""&amp;N347&amp;""
                 and Col4 = date '""&amp;TEXT(C347,""yyyy-mm-dd"")&amp;""'""
            )
          )&gt;0,
          ""Confirmada"",
          ""Caixa Sangria""
        )
      )
    ),
    """"
  ),
  """"
)
"),"")</f>
        <v/>
      </c>
      <c r="M347" s="209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159" t="str">
        <f>IFERROR(__xludf.DUMMYFUNCTION("ifna(VALUE(REGEXEXTRACT(E347,""[0-9.]+[,]+[0-9]+"")))"),"")</f>
        <v/>
      </c>
      <c r="O347" s="159"/>
      <c r="P347" s="159"/>
      <c r="Q347" s="159"/>
      <c r="R347" s="159"/>
      <c r="S347" s="159"/>
      <c r="T347" s="159"/>
      <c r="U347" s="159"/>
      <c r="V347" s="159"/>
      <c r="W347" s="159"/>
    </row>
    <row r="348" ht="14.25" customHeight="1">
      <c r="A348" s="32"/>
      <c r="B348" s="213"/>
      <c r="C348" s="215"/>
      <c r="D348" s="170"/>
      <c r="E348" s="216"/>
      <c r="F348" s="170"/>
      <c r="G348" s="170"/>
      <c r="H348" s="170"/>
      <c r="I348" s="170"/>
      <c r="J348" s="169"/>
      <c r="K348" s="169"/>
      <c r="L348" s="157" t="str">
        <f>IFERROR(__xludf.DUMMYFUNCTION("IF(
  AND(D348=""Saída"", J348=""Sangria""),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'""&amp;K348&amp;""'
             and Col6 = ""&amp;N348&amp;""
             and Col4 = date '""&amp;TEXT(C348,""yyyy-mm-dd"")&amp;""'""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'""&amp;K348&amp;""'
               and Col6 = ""&amp;N348&amp;""
               and Col4 = date '""&amp;TEXT(C348,""yyyy-mm-dd"")&amp;""'""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'""&amp;"&amp;"K348&amp;""'
                 and Col6 = ""&amp;N348&amp;""
                 and Col4 = date '""&amp;TEXT(C348,""yyyy-mm-dd"")&amp;""'""
            )
          )&gt;0,
          ""Confirmada"",
          ""Caixa Sangria""
        )
      )
    ),
    """"
  ),
  """"
)
"),"")</f>
        <v/>
      </c>
      <c r="M348" s="207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159" t="str">
        <f>IFERROR(__xludf.DUMMYFUNCTION("ifna(VALUE(REGEXEXTRACT(E348,""[0-9.]+[,]+[0-9]+"")))"),"")</f>
        <v/>
      </c>
      <c r="O348" s="159"/>
      <c r="P348" s="159"/>
      <c r="Q348" s="159"/>
      <c r="R348" s="159"/>
      <c r="S348" s="159"/>
      <c r="T348" s="159"/>
      <c r="U348" s="159"/>
      <c r="V348" s="159"/>
      <c r="W348" s="159"/>
    </row>
    <row r="349" ht="14.25" customHeight="1">
      <c r="A349" s="32"/>
      <c r="B349" s="213"/>
      <c r="C349" s="215"/>
      <c r="D349" s="170"/>
      <c r="E349" s="216"/>
      <c r="F349" s="170"/>
      <c r="G349" s="170"/>
      <c r="H349" s="170"/>
      <c r="I349" s="170"/>
      <c r="J349" s="169"/>
      <c r="K349" s="169"/>
      <c r="L349" s="157" t="str">
        <f>IFERROR(__xludf.DUMMYFUNCTION("IF(
  AND(D349=""Saída"", J349=""Sangria""),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'""&amp;K349&amp;""'
             and Col6 = ""&amp;N349&amp;""
             and Col4 = date '""&amp;TEXT(C349,""yyyy-mm-dd"")&amp;""'""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'""&amp;K349&amp;""'
               and Col6 = ""&amp;N349&amp;""
               and Col4 = date '""&amp;TEXT(C349,""yyyy-mm-dd"")&amp;""'""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'""&amp;"&amp;"K349&amp;""'
                 and Col6 = ""&amp;N349&amp;""
                 and Col4 = date '""&amp;TEXT(C349,""yyyy-mm-dd"")&amp;""'""
            )
          )&gt;0,
          ""Confirmada"",
          ""Caixa Sangria""
        )
      )
    ),
    """"
  ),
  """"
)
"),"")</f>
        <v/>
      </c>
      <c r="M349" s="209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159" t="str">
        <f>IFERROR(__xludf.DUMMYFUNCTION("ifna(VALUE(REGEXEXTRACT(E349,""[0-9.]+[,]+[0-9]+"")))"),"")</f>
        <v/>
      </c>
      <c r="O349" s="159"/>
      <c r="P349" s="159"/>
      <c r="Q349" s="159"/>
      <c r="R349" s="159"/>
      <c r="S349" s="159"/>
      <c r="T349" s="159"/>
      <c r="U349" s="159"/>
      <c r="V349" s="159"/>
      <c r="W349" s="159"/>
    </row>
    <row r="350" ht="14.25" customHeight="1">
      <c r="A350" s="32"/>
      <c r="B350" s="213"/>
      <c r="C350" s="215"/>
      <c r="D350" s="170"/>
      <c r="E350" s="216"/>
      <c r="F350" s="170"/>
      <c r="G350" s="170"/>
      <c r="H350" s="170"/>
      <c r="I350" s="170"/>
      <c r="J350" s="169"/>
      <c r="K350" s="169"/>
      <c r="L350" s="157" t="str">
        <f>IFERROR(__xludf.DUMMYFUNCTION("IF(
  AND(D350=""Saída"", J350=""Sangria""),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'""&amp;K350&amp;""'
             and Col6 = ""&amp;N350&amp;""
             and Col4 = date '""&amp;TEXT(C350,""yyyy-mm-dd"")&amp;""'""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'""&amp;K350&amp;""'
               and Col6 = ""&amp;N350&amp;""
               and Col4 = date '""&amp;TEXT(C350,""yyyy-mm-dd"")&amp;""'""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'""&amp;"&amp;"K350&amp;""'
                 and Col6 = ""&amp;N350&amp;""
                 and Col4 = date '""&amp;TEXT(C350,""yyyy-mm-dd"")&amp;""'""
            )
          )&gt;0,
          ""Confirmada"",
          ""Caixa Sangria""
        )
      )
    ),
    """"
  ),
  """"
)
"),"")</f>
        <v/>
      </c>
      <c r="M350" s="207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159" t="str">
        <f>IFERROR(__xludf.DUMMYFUNCTION("ifna(VALUE(REGEXEXTRACT(E350,""[0-9.]+[,]+[0-9]+"")))"),"")</f>
        <v/>
      </c>
      <c r="O350" s="159"/>
      <c r="P350" s="159"/>
      <c r="Q350" s="159"/>
      <c r="R350" s="159"/>
      <c r="S350" s="159"/>
      <c r="T350" s="159"/>
      <c r="U350" s="159"/>
      <c r="V350" s="159"/>
      <c r="W350" s="159"/>
    </row>
    <row r="351" ht="14.25" customHeight="1">
      <c r="A351" s="32"/>
      <c r="B351" s="213"/>
      <c r="C351" s="215"/>
      <c r="D351" s="170"/>
      <c r="E351" s="216"/>
      <c r="F351" s="170"/>
      <c r="G351" s="170"/>
      <c r="H351" s="170"/>
      <c r="I351" s="170"/>
      <c r="J351" s="169"/>
      <c r="K351" s="169"/>
      <c r="L351" s="157" t="str">
        <f>IFERROR(__xludf.DUMMYFUNCTION("IF(
  AND(D351=""Saída"", J351=""Sangria""),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'""&amp;K351&amp;""'
             and Col6 = ""&amp;N351&amp;""
             and Col4 = date '""&amp;TEXT(C351,""yyyy-mm-dd"")&amp;""'""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'""&amp;K351&amp;""'
               and Col6 = ""&amp;N351&amp;""
               and Col4 = date '""&amp;TEXT(C351,""yyyy-mm-dd"")&amp;""'""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'""&amp;"&amp;"K351&amp;""'
                 and Col6 = ""&amp;N351&amp;""
                 and Col4 = date '""&amp;TEXT(C351,""yyyy-mm-dd"")&amp;""'""
            )
          )&gt;0,
          ""Confirmada"",
          ""Caixa Sangria""
        )
      )
    ),
    """"
  ),
  """"
)
"),"")</f>
        <v/>
      </c>
      <c r="M351" s="209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159" t="str">
        <f>IFERROR(__xludf.DUMMYFUNCTION("ifna(VALUE(REGEXEXTRACT(E351,""[0-9.]+[,]+[0-9]+"")))"),"")</f>
        <v/>
      </c>
      <c r="O351" s="159"/>
      <c r="P351" s="159"/>
      <c r="Q351" s="159"/>
      <c r="R351" s="159"/>
      <c r="S351" s="159"/>
      <c r="T351" s="159"/>
      <c r="U351" s="159"/>
      <c r="V351" s="159"/>
      <c r="W351" s="159"/>
    </row>
    <row r="352" ht="14.25" customHeight="1">
      <c r="A352" s="32"/>
      <c r="B352" s="213"/>
      <c r="C352" s="215"/>
      <c r="D352" s="170"/>
      <c r="E352" s="216"/>
      <c r="F352" s="170"/>
      <c r="G352" s="170"/>
      <c r="H352" s="170"/>
      <c r="I352" s="170"/>
      <c r="J352" s="169"/>
      <c r="K352" s="169"/>
      <c r="L352" s="157" t="str">
        <f>IFERROR(__xludf.DUMMYFUNCTION("IF(
  AND(D352=""Saída"", J352=""Sangria""),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'""&amp;K352&amp;""'
             and Col6 = ""&amp;N352&amp;""
             and Col4 = date '""&amp;TEXT(C352,""yyyy-mm-dd"")&amp;""'""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'""&amp;K352&amp;""'
               and Col6 = ""&amp;N352&amp;""
               and Col4 = date '""&amp;TEXT(C352,""yyyy-mm-dd"")&amp;""'""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'""&amp;"&amp;"K352&amp;""'
                 and Col6 = ""&amp;N352&amp;""
                 and Col4 = date '""&amp;TEXT(C352,""yyyy-mm-dd"")&amp;""'""
            )
          )&gt;0,
          ""Confirmada"",
          ""Caixa Sangria""
        )
      )
    ),
    """"
  ),
  """"
)
"),"")</f>
        <v/>
      </c>
      <c r="M352" s="207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159" t="str">
        <f>IFERROR(__xludf.DUMMYFUNCTION("ifna(VALUE(REGEXEXTRACT(E352,""[0-9.]+[,]+[0-9]+"")))"),"")</f>
        <v/>
      </c>
      <c r="O352" s="159"/>
      <c r="P352" s="159"/>
      <c r="Q352" s="159"/>
      <c r="R352" s="159"/>
      <c r="S352" s="159"/>
      <c r="T352" s="159"/>
      <c r="U352" s="159"/>
      <c r="V352" s="159"/>
      <c r="W352" s="159"/>
    </row>
    <row r="353" ht="14.25" customHeight="1">
      <c r="A353" s="32"/>
      <c r="B353" s="213"/>
      <c r="C353" s="215"/>
      <c r="D353" s="170"/>
      <c r="E353" s="216"/>
      <c r="F353" s="170"/>
      <c r="G353" s="170"/>
      <c r="H353" s="170"/>
      <c r="I353" s="170"/>
      <c r="J353" s="169"/>
      <c r="K353" s="169"/>
      <c r="L353" s="157" t="str">
        <f>IFERROR(__xludf.DUMMYFUNCTION("IF(
  AND(D353=""Saída"", J353=""Sangria""),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'""&amp;K353&amp;""'
             and Col6 = ""&amp;N353&amp;""
             and Col4 = date '""&amp;TEXT(C353,""yyyy-mm-dd"")&amp;""'""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'""&amp;K353&amp;""'
               and Col6 = ""&amp;N353&amp;""
               and Col4 = date '""&amp;TEXT(C353,""yyyy-mm-dd"")&amp;""'""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'""&amp;"&amp;"K353&amp;""'
                 and Col6 = ""&amp;N353&amp;""
                 and Col4 = date '""&amp;TEXT(C353,""yyyy-mm-dd"")&amp;""'""
            )
          )&gt;0,
          ""Confirmada"",
          ""Caixa Sangria""
        )
      )
    ),
    """"
  ),
  """"
)
"),"")</f>
        <v/>
      </c>
      <c r="M353" s="209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159" t="str">
        <f>IFERROR(__xludf.DUMMYFUNCTION("ifna(VALUE(REGEXEXTRACT(E353,""[0-9.]+[,]+[0-9]+"")))"),"")</f>
        <v/>
      </c>
      <c r="O353" s="159"/>
      <c r="P353" s="159"/>
      <c r="Q353" s="159"/>
      <c r="R353" s="159"/>
      <c r="S353" s="159"/>
      <c r="T353" s="159"/>
      <c r="U353" s="159"/>
      <c r="V353" s="159"/>
      <c r="W353" s="159"/>
    </row>
    <row r="354" ht="14.25" customHeight="1">
      <c r="A354" s="32"/>
      <c r="B354" s="213"/>
      <c r="C354" s="215"/>
      <c r="D354" s="170"/>
      <c r="E354" s="216"/>
      <c r="F354" s="170"/>
      <c r="G354" s="170"/>
      <c r="H354" s="170"/>
      <c r="I354" s="170"/>
      <c r="J354" s="169"/>
      <c r="K354" s="169"/>
      <c r="L354" s="157" t="str">
        <f>IFERROR(__xludf.DUMMYFUNCTION("IF(
  AND(D354=""Saída"", J354=""Sangria""),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'""&amp;K354&amp;""'
             and Col6 = ""&amp;N354&amp;""
             and Col4 = date '""&amp;TEXT(C354,""yyyy-mm-dd"")&amp;""'""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'""&amp;K354&amp;""'
               and Col6 = ""&amp;N354&amp;""
               and Col4 = date '""&amp;TEXT(C354,""yyyy-mm-dd"")&amp;""'""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'""&amp;"&amp;"K354&amp;""'
                 and Col6 = ""&amp;N354&amp;""
                 and Col4 = date '""&amp;TEXT(C354,""yyyy-mm-dd"")&amp;""'""
            )
          )&gt;0,
          ""Confirmada"",
          ""Caixa Sangria""
        )
      )
    ),
    """"
  ),
  """"
)
"),"")</f>
        <v/>
      </c>
      <c r="M354" s="207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159" t="str">
        <f>IFERROR(__xludf.DUMMYFUNCTION("ifna(VALUE(REGEXEXTRACT(E354,""[0-9.]+[,]+[0-9]+"")))"),"")</f>
        <v/>
      </c>
      <c r="O354" s="159"/>
      <c r="P354" s="159"/>
      <c r="Q354" s="159"/>
      <c r="R354" s="159"/>
      <c r="S354" s="159"/>
      <c r="T354" s="159"/>
      <c r="U354" s="159"/>
      <c r="V354" s="159"/>
      <c r="W354" s="159"/>
    </row>
    <row r="355" ht="14.25" customHeight="1">
      <c r="A355" s="32"/>
      <c r="B355" s="213"/>
      <c r="C355" s="215"/>
      <c r="D355" s="170"/>
      <c r="E355" s="216"/>
      <c r="F355" s="170"/>
      <c r="G355" s="170"/>
      <c r="H355" s="170"/>
      <c r="I355" s="170"/>
      <c r="J355" s="169"/>
      <c r="K355" s="169"/>
      <c r="L355" s="157" t="str">
        <f>IFERROR(__xludf.DUMMYFUNCTION("IF(
  AND(D355=""Saída"", J355=""Sangria""),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'""&amp;K355&amp;""'
             and Col6 = ""&amp;N355&amp;""
             and Col4 = date '""&amp;TEXT(C355,""yyyy-mm-dd"")&amp;""'""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'""&amp;K355&amp;""'
               and Col6 = ""&amp;N355&amp;""
               and Col4 = date '""&amp;TEXT(C355,""yyyy-mm-dd"")&amp;""'""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'""&amp;"&amp;"K355&amp;""'
                 and Col6 = ""&amp;N355&amp;""
                 and Col4 = date '""&amp;TEXT(C355,""yyyy-mm-dd"")&amp;""'""
            )
          )&gt;0,
          ""Confirmada"",
          ""Caixa Sangria""
        )
      )
    ),
    """"
  ),
  """"
)
"),"")</f>
        <v/>
      </c>
      <c r="M355" s="209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159" t="str">
        <f>IFERROR(__xludf.DUMMYFUNCTION("ifna(VALUE(REGEXEXTRACT(E355,""[0-9.]+[,]+[0-9]+"")))"),"")</f>
        <v/>
      </c>
      <c r="O355" s="159"/>
      <c r="P355" s="159"/>
      <c r="Q355" s="159"/>
      <c r="R355" s="159"/>
      <c r="S355" s="159"/>
      <c r="T355" s="159"/>
      <c r="U355" s="159"/>
      <c r="V355" s="159"/>
      <c r="W355" s="159"/>
    </row>
    <row r="356" ht="14.25" customHeight="1">
      <c r="A356" s="32"/>
      <c r="B356" s="213"/>
      <c r="C356" s="215"/>
      <c r="D356" s="170"/>
      <c r="E356" s="216"/>
      <c r="F356" s="170"/>
      <c r="G356" s="170"/>
      <c r="H356" s="170"/>
      <c r="I356" s="170"/>
      <c r="J356" s="169"/>
      <c r="K356" s="169"/>
      <c r="L356" s="157" t="str">
        <f>IFERROR(__xludf.DUMMYFUNCTION("IF(
  AND(D356=""Saída"", J356=""Sangria""),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'""&amp;K356&amp;""'
             and Col6 = ""&amp;N356&amp;""
             and Col4 = date '""&amp;TEXT(C356,""yyyy-mm-dd"")&amp;""'""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'""&amp;K356&amp;""'
               and Col6 = ""&amp;N356&amp;""
               and Col4 = date '""&amp;TEXT(C356,""yyyy-mm-dd"")&amp;""'""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'""&amp;"&amp;"K356&amp;""'
                 and Col6 = ""&amp;N356&amp;""
                 and Col4 = date '""&amp;TEXT(C356,""yyyy-mm-dd"")&amp;""'""
            )
          )&gt;0,
          ""Confirmada"",
          ""Caixa Sangria""
        )
      )
    ),
    """"
  ),
  """"
)
"),"")</f>
        <v/>
      </c>
      <c r="M356" s="207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159" t="str">
        <f>IFERROR(__xludf.DUMMYFUNCTION("ifna(VALUE(REGEXEXTRACT(E356,""[0-9.]+[,]+[0-9]+"")))"),"")</f>
        <v/>
      </c>
      <c r="O356" s="159"/>
      <c r="P356" s="159"/>
      <c r="Q356" s="159"/>
      <c r="R356" s="159"/>
      <c r="S356" s="159"/>
      <c r="T356" s="159"/>
      <c r="U356" s="159"/>
      <c r="V356" s="159"/>
      <c r="W356" s="159"/>
    </row>
    <row r="357" ht="14.25" customHeight="1">
      <c r="A357" s="32"/>
      <c r="B357" s="213"/>
      <c r="C357" s="215"/>
      <c r="D357" s="170"/>
      <c r="E357" s="216"/>
      <c r="F357" s="170"/>
      <c r="G357" s="170"/>
      <c r="H357" s="170"/>
      <c r="I357" s="170"/>
      <c r="J357" s="169"/>
      <c r="K357" s="169"/>
      <c r="L357" s="157" t="str">
        <f>IFERROR(__xludf.DUMMYFUNCTION("IF(
  AND(D357=""Saída"", J357=""Sangria""),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'""&amp;K357&amp;""'
             and Col6 = ""&amp;N357&amp;""
             and Col4 = date '""&amp;TEXT(C357,""yyyy-mm-dd"")&amp;""'""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'""&amp;K357&amp;""'
               and Col6 = ""&amp;N357&amp;""
               and Col4 = date '""&amp;TEXT(C357,""yyyy-mm-dd"")&amp;""'""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'""&amp;"&amp;"K357&amp;""'
                 and Col6 = ""&amp;N357&amp;""
                 and Col4 = date '""&amp;TEXT(C357,""yyyy-mm-dd"")&amp;""'""
            )
          )&gt;0,
          ""Confirmada"",
          ""Caixa Sangria""
        )
      )
    ),
    """"
  ),
  """"
)
"),"")</f>
        <v/>
      </c>
      <c r="M357" s="209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159" t="str">
        <f>IFERROR(__xludf.DUMMYFUNCTION("ifna(VALUE(REGEXEXTRACT(E357,""[0-9.]+[,]+[0-9]+"")))"),"")</f>
        <v/>
      </c>
      <c r="O357" s="159"/>
      <c r="P357" s="159"/>
      <c r="Q357" s="159"/>
      <c r="R357" s="159"/>
      <c r="S357" s="159"/>
      <c r="T357" s="159"/>
      <c r="U357" s="159"/>
      <c r="V357" s="159"/>
      <c r="W357" s="159"/>
    </row>
    <row r="358" ht="14.25" customHeight="1">
      <c r="A358" s="32"/>
      <c r="B358" s="213"/>
      <c r="C358" s="215"/>
      <c r="D358" s="170"/>
      <c r="E358" s="216"/>
      <c r="F358" s="170"/>
      <c r="G358" s="170"/>
      <c r="H358" s="170"/>
      <c r="I358" s="170"/>
      <c r="J358" s="169"/>
      <c r="K358" s="169"/>
      <c r="L358" s="157" t="str">
        <f>IFERROR(__xludf.DUMMYFUNCTION("IF(
  AND(D358=""Saída"", J358=""Sangria""),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'""&amp;K358&amp;""'
             and Col6 = ""&amp;N358&amp;""
             and Col4 = date '""&amp;TEXT(C358,""yyyy-mm-dd"")&amp;""'""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'""&amp;K358&amp;""'
               and Col6 = ""&amp;N358&amp;""
               and Col4 = date '""&amp;TEXT(C358,""yyyy-mm-dd"")&amp;""'""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'""&amp;"&amp;"K358&amp;""'
                 and Col6 = ""&amp;N358&amp;""
                 and Col4 = date '""&amp;TEXT(C358,""yyyy-mm-dd"")&amp;""'""
            )
          )&gt;0,
          ""Confirmada"",
          ""Caixa Sangria""
        )
      )
    ),
    """"
  ),
  """"
)
"),"")</f>
        <v/>
      </c>
      <c r="M358" s="207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159" t="str">
        <f>IFERROR(__xludf.DUMMYFUNCTION("ifna(VALUE(REGEXEXTRACT(E358,""[0-9.]+[,]+[0-9]+"")))"),"")</f>
        <v/>
      </c>
      <c r="O358" s="159"/>
      <c r="P358" s="159"/>
      <c r="Q358" s="159"/>
      <c r="R358" s="159"/>
      <c r="S358" s="159"/>
      <c r="T358" s="159"/>
      <c r="U358" s="159"/>
      <c r="V358" s="159"/>
      <c r="W358" s="159"/>
    </row>
    <row r="359" ht="14.25" customHeight="1">
      <c r="A359" s="32"/>
      <c r="B359" s="213"/>
      <c r="C359" s="215"/>
      <c r="D359" s="170"/>
      <c r="E359" s="216"/>
      <c r="F359" s="170"/>
      <c r="G359" s="170"/>
      <c r="H359" s="170"/>
      <c r="I359" s="170"/>
      <c r="J359" s="169"/>
      <c r="K359" s="169"/>
      <c r="L359" s="157" t="str">
        <f>IFERROR(__xludf.DUMMYFUNCTION("IF(
  AND(D359=""Saída"", J359=""Sangria""),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'""&amp;K359&amp;""'
             and Col6 = ""&amp;N359&amp;""
             and Col4 = date '""&amp;TEXT(C359,""yyyy-mm-dd"")&amp;""'""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'""&amp;K359&amp;""'
               and Col6 = ""&amp;N359&amp;""
               and Col4 = date '""&amp;TEXT(C359,""yyyy-mm-dd"")&amp;""'""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'""&amp;"&amp;"K359&amp;""'
                 and Col6 = ""&amp;N359&amp;""
                 and Col4 = date '""&amp;TEXT(C359,""yyyy-mm-dd"")&amp;""'""
            )
          )&gt;0,
          ""Confirmada"",
          ""Caixa Sangria""
        )
      )
    ),
    """"
  ),
  """"
)
"),"")</f>
        <v/>
      </c>
      <c r="M359" s="209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159" t="str">
        <f>IFERROR(__xludf.DUMMYFUNCTION("ifna(VALUE(REGEXEXTRACT(E359,""[0-9.]+[,]+[0-9]+"")))"),"")</f>
        <v/>
      </c>
      <c r="O359" s="159"/>
      <c r="P359" s="159"/>
      <c r="Q359" s="159"/>
      <c r="R359" s="159"/>
      <c r="S359" s="159"/>
      <c r="T359" s="159"/>
      <c r="U359" s="159"/>
      <c r="V359" s="159"/>
      <c r="W359" s="159"/>
    </row>
    <row r="360" ht="14.25" customHeight="1">
      <c r="A360" s="32"/>
      <c r="B360" s="213"/>
      <c r="C360" s="215"/>
      <c r="D360" s="170"/>
      <c r="E360" s="216"/>
      <c r="F360" s="170"/>
      <c r="G360" s="170"/>
      <c r="H360" s="170"/>
      <c r="I360" s="170"/>
      <c r="J360" s="169"/>
      <c r="K360" s="169"/>
      <c r="L360" s="157" t="str">
        <f>IFERROR(__xludf.DUMMYFUNCTION("IF(
  AND(D360=""Saída"", J360=""Sangria""),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'""&amp;K360&amp;""'
             and Col6 = ""&amp;N360&amp;""
             and Col4 = date '""&amp;TEXT(C360,""yyyy-mm-dd"")&amp;""'""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'""&amp;K360&amp;""'
               and Col6 = ""&amp;N360&amp;""
               and Col4 = date '""&amp;TEXT(C360,""yyyy-mm-dd"")&amp;""'""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'""&amp;"&amp;"K360&amp;""'
                 and Col6 = ""&amp;N360&amp;""
                 and Col4 = date '""&amp;TEXT(C360,""yyyy-mm-dd"")&amp;""'""
            )
          )&gt;0,
          ""Confirmada"",
          ""Caixa Sangria""
        )
      )
    ),
    """"
  ),
  """"
)
"),"")</f>
        <v/>
      </c>
      <c r="M360" s="207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159" t="str">
        <f>IFERROR(__xludf.DUMMYFUNCTION("ifna(VALUE(REGEXEXTRACT(E360,""[0-9.]+[,]+[0-9]+"")))"),"")</f>
        <v/>
      </c>
      <c r="O360" s="159"/>
      <c r="P360" s="159"/>
      <c r="Q360" s="159"/>
      <c r="R360" s="159"/>
      <c r="S360" s="159"/>
      <c r="T360" s="159"/>
      <c r="U360" s="159"/>
      <c r="V360" s="159"/>
      <c r="W360" s="159"/>
    </row>
    <row r="361" ht="14.25" customHeight="1">
      <c r="A361" s="32"/>
      <c r="B361" s="213"/>
      <c r="C361" s="215"/>
      <c r="D361" s="170"/>
      <c r="E361" s="216"/>
      <c r="F361" s="170"/>
      <c r="G361" s="170"/>
      <c r="H361" s="170"/>
      <c r="I361" s="170"/>
      <c r="J361" s="169"/>
      <c r="K361" s="169"/>
      <c r="L361" s="157" t="str">
        <f>IFERROR(__xludf.DUMMYFUNCTION("IF(
  AND(D361=""Saída"", J361=""Sangria""),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'""&amp;K361&amp;""'
             and Col6 = ""&amp;N361&amp;""
             and Col4 = date '""&amp;TEXT(C361,""yyyy-mm-dd"")&amp;""'""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'""&amp;K361&amp;""'
               and Col6 = ""&amp;N361&amp;""
               and Col4 = date '""&amp;TEXT(C361,""yyyy-mm-dd"")&amp;""'""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'""&amp;"&amp;"K361&amp;""'
                 and Col6 = ""&amp;N361&amp;""
                 and Col4 = date '""&amp;TEXT(C361,""yyyy-mm-dd"")&amp;""'""
            )
          )&gt;0,
          ""Confirmada"",
          ""Caixa Sangria""
        )
      )
    ),
    """"
  ),
  """"
)
"),"")</f>
        <v/>
      </c>
      <c r="M361" s="209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159" t="str">
        <f>IFERROR(__xludf.DUMMYFUNCTION("ifna(VALUE(REGEXEXTRACT(E361,""[0-9.]+[,]+[0-9]+"")))"),"")</f>
        <v/>
      </c>
      <c r="O361" s="159"/>
      <c r="P361" s="159"/>
      <c r="Q361" s="159"/>
      <c r="R361" s="159"/>
      <c r="S361" s="159"/>
      <c r="T361" s="159"/>
      <c r="U361" s="159"/>
      <c r="V361" s="159"/>
      <c r="W361" s="159"/>
    </row>
    <row r="362" ht="14.25" customHeight="1">
      <c r="A362" s="32"/>
      <c r="B362" s="213"/>
      <c r="C362" s="215"/>
      <c r="D362" s="170"/>
      <c r="E362" s="216"/>
      <c r="F362" s="170"/>
      <c r="G362" s="170"/>
      <c r="H362" s="170"/>
      <c r="I362" s="170"/>
      <c r="J362" s="169"/>
      <c r="K362" s="169"/>
      <c r="L362" s="157" t="str">
        <f>IFERROR(__xludf.DUMMYFUNCTION("IF(
  AND(D362=""Saída"", J362=""Sangria""),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'""&amp;K362&amp;""'
             and Col6 = ""&amp;N362&amp;""
             and Col4 = date '""&amp;TEXT(C362,""yyyy-mm-dd"")&amp;""'""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'""&amp;K362&amp;""'
               and Col6 = ""&amp;N362&amp;""
               and Col4 = date '""&amp;TEXT(C362,""yyyy-mm-dd"")&amp;""'""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'""&amp;"&amp;"K362&amp;""'
                 and Col6 = ""&amp;N362&amp;""
                 and Col4 = date '""&amp;TEXT(C362,""yyyy-mm-dd"")&amp;""'""
            )
          )&gt;0,
          ""Confirmada"",
          ""Caixa Sangria""
        )
      )
    ),
    """"
  ),
  """"
)
"),"")</f>
        <v/>
      </c>
      <c r="M362" s="207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159" t="str">
        <f>IFERROR(__xludf.DUMMYFUNCTION("ifna(VALUE(REGEXEXTRACT(E362,""[0-9.]+[,]+[0-9]+"")))"),"")</f>
        <v/>
      </c>
      <c r="O362" s="159"/>
      <c r="P362" s="159"/>
      <c r="Q362" s="159"/>
      <c r="R362" s="159"/>
      <c r="S362" s="159"/>
      <c r="T362" s="159"/>
      <c r="U362" s="159"/>
      <c r="V362" s="159"/>
      <c r="W362" s="159"/>
    </row>
    <row r="363" ht="14.25" customHeight="1">
      <c r="A363" s="32"/>
      <c r="B363" s="213"/>
      <c r="C363" s="215"/>
      <c r="D363" s="170"/>
      <c r="E363" s="216"/>
      <c r="F363" s="170"/>
      <c r="G363" s="170"/>
      <c r="H363" s="170"/>
      <c r="I363" s="170"/>
      <c r="J363" s="169"/>
      <c r="K363" s="169"/>
      <c r="L363" s="157" t="str">
        <f>IFERROR(__xludf.DUMMYFUNCTION("IF(
  AND(D363=""Saída"", J363=""Sangria""),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'""&amp;K363&amp;""'
             and Col6 = ""&amp;N363&amp;""
             and Col4 = date '""&amp;TEXT(C363,""yyyy-mm-dd"")&amp;""'""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'""&amp;K363&amp;""'
               and Col6 = ""&amp;N363&amp;""
               and Col4 = date '""&amp;TEXT(C363,""yyyy-mm-dd"")&amp;""'""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'""&amp;"&amp;"K363&amp;""'
                 and Col6 = ""&amp;N363&amp;""
                 and Col4 = date '""&amp;TEXT(C363,""yyyy-mm-dd"")&amp;""'""
            )
          )&gt;0,
          ""Confirmada"",
          ""Caixa Sangria""
        )
      )
    ),
    """"
  ),
  """"
)
"),"")</f>
        <v/>
      </c>
      <c r="M363" s="209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159" t="str">
        <f>IFERROR(__xludf.DUMMYFUNCTION("ifna(VALUE(REGEXEXTRACT(E363,""[0-9.]+[,]+[0-9]+"")))"),"")</f>
        <v/>
      </c>
      <c r="O363" s="159"/>
      <c r="P363" s="159"/>
      <c r="Q363" s="159"/>
      <c r="R363" s="159"/>
      <c r="S363" s="159"/>
      <c r="T363" s="159"/>
      <c r="U363" s="159"/>
      <c r="V363" s="159"/>
      <c r="W363" s="159"/>
    </row>
    <row r="364" ht="14.25" customHeight="1">
      <c r="A364" s="32"/>
      <c r="B364" s="213"/>
      <c r="C364" s="215"/>
      <c r="D364" s="170"/>
      <c r="E364" s="216"/>
      <c r="F364" s="170"/>
      <c r="G364" s="170"/>
      <c r="H364" s="170"/>
      <c r="I364" s="170"/>
      <c r="J364" s="169"/>
      <c r="K364" s="169"/>
      <c r="L364" s="157" t="str">
        <f>IFERROR(__xludf.DUMMYFUNCTION("IF(
  AND(D364=""Saída"", J364=""Sangria""),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'""&amp;K364&amp;""'
             and Col6 = ""&amp;N364&amp;""
             and Col4 = date '""&amp;TEXT(C364,""yyyy-mm-dd"")&amp;""'""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'""&amp;K364&amp;""'
               and Col6 = ""&amp;N364&amp;""
               and Col4 = date '""&amp;TEXT(C364,""yyyy-mm-dd"")&amp;""'""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'""&amp;"&amp;"K364&amp;""'
                 and Col6 = ""&amp;N364&amp;""
                 and Col4 = date '""&amp;TEXT(C364,""yyyy-mm-dd"")&amp;""'""
            )
          )&gt;0,
          ""Confirmada"",
          ""Caixa Sangria""
        )
      )
    ),
    """"
  ),
  """"
)
"),"")</f>
        <v/>
      </c>
      <c r="M364" s="207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159" t="str">
        <f>IFERROR(__xludf.DUMMYFUNCTION("ifna(VALUE(REGEXEXTRACT(E364,""[0-9.]+[,]+[0-9]+"")))"),"")</f>
        <v/>
      </c>
      <c r="O364" s="159"/>
      <c r="P364" s="159"/>
      <c r="Q364" s="159"/>
      <c r="R364" s="159"/>
      <c r="S364" s="159"/>
      <c r="T364" s="159"/>
      <c r="U364" s="159"/>
      <c r="V364" s="159"/>
      <c r="W364" s="159"/>
    </row>
    <row r="365" ht="14.25" customHeight="1">
      <c r="A365" s="32"/>
      <c r="B365" s="213"/>
      <c r="C365" s="215"/>
      <c r="D365" s="170"/>
      <c r="E365" s="216"/>
      <c r="F365" s="170"/>
      <c r="G365" s="170"/>
      <c r="H365" s="170"/>
      <c r="I365" s="170"/>
      <c r="J365" s="169"/>
      <c r="K365" s="169"/>
      <c r="L365" s="157" t="str">
        <f>IFERROR(__xludf.DUMMYFUNCTION("IF(
  AND(D365=""Saída"", J365=""Sangria""),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'""&amp;K365&amp;""'
             and Col6 = ""&amp;N365&amp;""
             and Col4 = date '""&amp;TEXT(C365,""yyyy-mm-dd"")&amp;""'""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'""&amp;K365&amp;""'
               and Col6 = ""&amp;N365&amp;""
               and Col4 = date '""&amp;TEXT(C365,""yyyy-mm-dd"")&amp;""'""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'""&amp;"&amp;"K365&amp;""'
                 and Col6 = ""&amp;N365&amp;""
                 and Col4 = date '""&amp;TEXT(C365,""yyyy-mm-dd"")&amp;""'""
            )
          )&gt;0,
          ""Confirmada"",
          ""Caixa Sangria""
        )
      )
    ),
    """"
  ),
  """"
)
"),"")</f>
        <v/>
      </c>
      <c r="M365" s="209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159" t="str">
        <f>IFERROR(__xludf.DUMMYFUNCTION("ifna(VALUE(REGEXEXTRACT(E365,""[0-9.]+[,]+[0-9]+"")))"),"")</f>
        <v/>
      </c>
      <c r="O365" s="159"/>
      <c r="P365" s="159"/>
      <c r="Q365" s="159"/>
      <c r="R365" s="159"/>
      <c r="S365" s="159"/>
      <c r="T365" s="159"/>
      <c r="U365" s="159"/>
      <c r="V365" s="159"/>
      <c r="W365" s="159"/>
    </row>
    <row r="366" ht="14.25" customHeight="1">
      <c r="A366" s="32"/>
      <c r="B366" s="213"/>
      <c r="C366" s="215"/>
      <c r="D366" s="170"/>
      <c r="E366" s="216"/>
      <c r="F366" s="170"/>
      <c r="G366" s="170"/>
      <c r="H366" s="170"/>
      <c r="I366" s="170"/>
      <c r="J366" s="169"/>
      <c r="K366" s="169"/>
      <c r="L366" s="157" t="str">
        <f>IFERROR(__xludf.DUMMYFUNCTION("IF(
  AND(D366=""Saída"", J366=""Sangria""),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'""&amp;K366&amp;""'
             and Col6 = ""&amp;N366&amp;""
             and Col4 = date '""&amp;TEXT(C366,""yyyy-mm-dd"")&amp;""'""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'""&amp;K366&amp;""'
               and Col6 = ""&amp;N366&amp;""
               and Col4 = date '""&amp;TEXT(C366,""yyyy-mm-dd"")&amp;""'""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'""&amp;"&amp;"K366&amp;""'
                 and Col6 = ""&amp;N366&amp;""
                 and Col4 = date '""&amp;TEXT(C366,""yyyy-mm-dd"")&amp;""'""
            )
          )&gt;0,
          ""Confirmada"",
          ""Caixa Sangria""
        )
      )
    ),
    """"
  ),
  """"
)
"),"")</f>
        <v/>
      </c>
      <c r="M366" s="207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159" t="str">
        <f>IFERROR(__xludf.DUMMYFUNCTION("ifna(VALUE(REGEXEXTRACT(E366,""[0-9.]+[,]+[0-9]+"")))"),"")</f>
        <v/>
      </c>
      <c r="O366" s="159"/>
      <c r="P366" s="159"/>
      <c r="Q366" s="159"/>
      <c r="R366" s="159"/>
      <c r="S366" s="159"/>
      <c r="T366" s="159"/>
      <c r="U366" s="159"/>
      <c r="V366" s="159"/>
      <c r="W366" s="159"/>
    </row>
    <row r="367" ht="14.25" customHeight="1">
      <c r="A367" s="32"/>
      <c r="B367" s="213"/>
      <c r="C367" s="215"/>
      <c r="D367" s="170"/>
      <c r="E367" s="216"/>
      <c r="F367" s="170"/>
      <c r="G367" s="170"/>
      <c r="H367" s="170"/>
      <c r="I367" s="170"/>
      <c r="J367" s="169"/>
      <c r="K367" s="169"/>
      <c r="L367" s="157" t="str">
        <f>IFERROR(__xludf.DUMMYFUNCTION("IF(
  AND(D367=""Saída"", J367=""Sangria""),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'""&amp;K367&amp;""'
             and Col6 = ""&amp;N367&amp;""
             and Col4 = date '""&amp;TEXT(C367,""yyyy-mm-dd"")&amp;""'""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'""&amp;K367&amp;""'
               and Col6 = ""&amp;N367&amp;""
               and Col4 = date '""&amp;TEXT(C367,""yyyy-mm-dd"")&amp;""'""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'""&amp;"&amp;"K367&amp;""'
                 and Col6 = ""&amp;N367&amp;""
                 and Col4 = date '""&amp;TEXT(C367,""yyyy-mm-dd"")&amp;""'""
            )
          )&gt;0,
          ""Confirmada"",
          ""Caixa Sangria""
        )
      )
    ),
    """"
  ),
  """"
)
"),"")</f>
        <v/>
      </c>
      <c r="M367" s="209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159" t="str">
        <f>IFERROR(__xludf.DUMMYFUNCTION("ifna(VALUE(REGEXEXTRACT(E367,""[0-9.]+[,]+[0-9]+"")))"),"")</f>
        <v/>
      </c>
      <c r="O367" s="159"/>
      <c r="P367" s="159"/>
      <c r="Q367" s="159"/>
      <c r="R367" s="159"/>
      <c r="S367" s="159"/>
      <c r="T367" s="159"/>
      <c r="U367" s="159"/>
      <c r="V367" s="159"/>
      <c r="W367" s="159"/>
    </row>
    <row r="368" ht="14.25" customHeight="1">
      <c r="A368" s="32"/>
      <c r="B368" s="213"/>
      <c r="C368" s="215"/>
      <c r="D368" s="170"/>
      <c r="E368" s="216"/>
      <c r="F368" s="170"/>
      <c r="G368" s="170"/>
      <c r="H368" s="170"/>
      <c r="I368" s="170"/>
      <c r="J368" s="169"/>
      <c r="K368" s="169"/>
      <c r="L368" s="157" t="str">
        <f>IFERROR(__xludf.DUMMYFUNCTION("IF(
  AND(D368=""Saída"", J368=""Sangria""),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'""&amp;K368&amp;""'
             and Col6 = ""&amp;N368&amp;""
             and Col4 = date '""&amp;TEXT(C368,""yyyy-mm-dd"")&amp;""'""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'""&amp;K368&amp;""'
               and Col6 = ""&amp;N368&amp;""
               and Col4 = date '""&amp;TEXT(C368,""yyyy-mm-dd"")&amp;""'""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'""&amp;"&amp;"K368&amp;""'
                 and Col6 = ""&amp;N368&amp;""
                 and Col4 = date '""&amp;TEXT(C368,""yyyy-mm-dd"")&amp;""'""
            )
          )&gt;0,
          ""Confirmada"",
          ""Caixa Sangria""
        )
      )
    ),
    """"
  ),
  """"
)
"),"")</f>
        <v/>
      </c>
      <c r="M368" s="207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159" t="str">
        <f>IFERROR(__xludf.DUMMYFUNCTION("ifna(VALUE(REGEXEXTRACT(E368,""[0-9.]+[,]+[0-9]+"")))"),"")</f>
        <v/>
      </c>
      <c r="O368" s="159"/>
      <c r="P368" s="159"/>
      <c r="Q368" s="159"/>
      <c r="R368" s="159"/>
      <c r="S368" s="159"/>
      <c r="T368" s="159"/>
      <c r="U368" s="159"/>
      <c r="V368" s="159"/>
      <c r="W368" s="159"/>
    </row>
    <row r="369" ht="14.25" customHeight="1">
      <c r="A369" s="32"/>
      <c r="B369" s="213"/>
      <c r="C369" s="215"/>
      <c r="D369" s="170"/>
      <c r="E369" s="216"/>
      <c r="F369" s="170"/>
      <c r="G369" s="170"/>
      <c r="H369" s="170"/>
      <c r="I369" s="170"/>
      <c r="J369" s="169"/>
      <c r="K369" s="169"/>
      <c r="L369" s="157" t="str">
        <f>IFERROR(__xludf.DUMMYFUNCTION("IF(
  AND(D369=""Saída"", J369=""Sangria""),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'""&amp;K369&amp;""'
             and Col6 = ""&amp;N369&amp;""
             and Col4 = date '""&amp;TEXT(C369,""yyyy-mm-dd"")&amp;""'""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'""&amp;K369&amp;""'
               and Col6 = ""&amp;N369&amp;""
               and Col4 = date '""&amp;TEXT(C369,""yyyy-mm-dd"")&amp;""'""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'""&amp;"&amp;"K369&amp;""'
                 and Col6 = ""&amp;N369&amp;""
                 and Col4 = date '""&amp;TEXT(C369,""yyyy-mm-dd"")&amp;""'""
            )
          )&gt;0,
          ""Confirmada"",
          ""Caixa Sangria""
        )
      )
    ),
    """"
  ),
  """"
)
"),"")</f>
        <v/>
      </c>
      <c r="M369" s="209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159" t="str">
        <f>IFERROR(__xludf.DUMMYFUNCTION("ifna(VALUE(REGEXEXTRACT(E369,""[0-9.]+[,]+[0-9]+"")))"),"")</f>
        <v/>
      </c>
      <c r="O369" s="159"/>
      <c r="P369" s="159"/>
      <c r="Q369" s="159"/>
      <c r="R369" s="159"/>
      <c r="S369" s="159"/>
      <c r="T369" s="159"/>
      <c r="U369" s="159"/>
      <c r="V369" s="159"/>
      <c r="W369" s="159"/>
    </row>
    <row r="370" ht="14.25" customHeight="1">
      <c r="A370" s="32"/>
      <c r="B370" s="213"/>
      <c r="C370" s="215"/>
      <c r="D370" s="170"/>
      <c r="E370" s="216"/>
      <c r="F370" s="170"/>
      <c r="G370" s="170"/>
      <c r="H370" s="170"/>
      <c r="I370" s="170"/>
      <c r="J370" s="169"/>
      <c r="K370" s="169"/>
      <c r="L370" s="157" t="str">
        <f>IFERROR(__xludf.DUMMYFUNCTION("IF(
  AND(D370=""Saída"", J370=""Sangria""),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'""&amp;K370&amp;""'
             and Col6 = ""&amp;N370&amp;""
             and Col4 = date '""&amp;TEXT(C370,""yyyy-mm-dd"")&amp;""'""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'""&amp;K370&amp;""'
               and Col6 = ""&amp;N370&amp;""
               and Col4 = date '""&amp;TEXT(C370,""yyyy-mm-dd"")&amp;""'""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'""&amp;"&amp;"K370&amp;""'
                 and Col6 = ""&amp;N370&amp;""
                 and Col4 = date '""&amp;TEXT(C370,""yyyy-mm-dd"")&amp;""'""
            )
          )&gt;0,
          ""Confirmada"",
          ""Caixa Sangria""
        )
      )
    ),
    """"
  ),
  """"
)
"),"")</f>
        <v/>
      </c>
      <c r="M370" s="207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159" t="str">
        <f>IFERROR(__xludf.DUMMYFUNCTION("ifna(VALUE(REGEXEXTRACT(E370,""[0-9.]+[,]+[0-9]+"")))"),"")</f>
        <v/>
      </c>
      <c r="O370" s="159"/>
      <c r="P370" s="159"/>
      <c r="Q370" s="159"/>
      <c r="R370" s="159"/>
      <c r="S370" s="159"/>
      <c r="T370" s="159"/>
      <c r="U370" s="159"/>
      <c r="V370" s="159"/>
      <c r="W370" s="159"/>
    </row>
    <row r="371" ht="14.25" customHeight="1">
      <c r="A371" s="32"/>
      <c r="B371" s="213"/>
      <c r="C371" s="215"/>
      <c r="D371" s="170"/>
      <c r="E371" s="216"/>
      <c r="F371" s="170"/>
      <c r="G371" s="170"/>
      <c r="H371" s="170"/>
      <c r="I371" s="170"/>
      <c r="J371" s="169"/>
      <c r="K371" s="169"/>
      <c r="L371" s="157" t="str">
        <f>IFERROR(__xludf.DUMMYFUNCTION("IF(
  AND(D371=""Saída"", J371=""Sangria""),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'""&amp;K371&amp;""'
             and Col6 = ""&amp;N371&amp;""
             and Col4 = date '""&amp;TEXT(C371,""yyyy-mm-dd"")&amp;""'""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'""&amp;K371&amp;""'
               and Col6 = ""&amp;N371&amp;""
               and Col4 = date '""&amp;TEXT(C371,""yyyy-mm-dd"")&amp;""'""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'""&amp;"&amp;"K371&amp;""'
                 and Col6 = ""&amp;N371&amp;""
                 and Col4 = date '""&amp;TEXT(C371,""yyyy-mm-dd"")&amp;""'""
            )
          )&gt;0,
          ""Confirmada"",
          ""Caixa Sangria""
        )
      )
    ),
    """"
  ),
  """"
)
"),"")</f>
        <v/>
      </c>
      <c r="M371" s="209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159" t="str">
        <f>IFERROR(__xludf.DUMMYFUNCTION("ifna(VALUE(REGEXEXTRACT(E371,""[0-9.]+[,]+[0-9]+"")))"),"")</f>
        <v/>
      </c>
      <c r="O371" s="159"/>
      <c r="P371" s="159"/>
      <c r="Q371" s="159"/>
      <c r="R371" s="159"/>
      <c r="S371" s="159"/>
      <c r="T371" s="159"/>
      <c r="U371" s="159"/>
      <c r="V371" s="159"/>
      <c r="W371" s="159"/>
    </row>
    <row r="372" ht="14.25" customHeight="1">
      <c r="A372" s="32"/>
      <c r="B372" s="213"/>
      <c r="C372" s="215"/>
      <c r="D372" s="170"/>
      <c r="E372" s="216"/>
      <c r="F372" s="170"/>
      <c r="G372" s="170"/>
      <c r="H372" s="170"/>
      <c r="I372" s="170"/>
      <c r="J372" s="169"/>
      <c r="K372" s="169"/>
      <c r="L372" s="157" t="str">
        <f>IFERROR(__xludf.DUMMYFUNCTION("IF(
  AND(D372=""Saída"", J372=""Sangria""),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'""&amp;K372&amp;""'
             and Col6 = ""&amp;N372&amp;""
             and Col4 = date '""&amp;TEXT(C372,""yyyy-mm-dd"")&amp;""'""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'""&amp;K372&amp;""'
               and Col6 = ""&amp;N372&amp;""
               and Col4 = date '""&amp;TEXT(C372,""yyyy-mm-dd"")&amp;""'""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'""&amp;"&amp;"K372&amp;""'
                 and Col6 = ""&amp;N372&amp;""
                 and Col4 = date '""&amp;TEXT(C372,""yyyy-mm-dd"")&amp;""'""
            )
          )&gt;0,
          ""Confirmada"",
          ""Caixa Sangria""
        )
      )
    ),
    """"
  ),
  """"
)
"),"")</f>
        <v/>
      </c>
      <c r="M372" s="207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159" t="str">
        <f>IFERROR(__xludf.DUMMYFUNCTION("ifna(VALUE(REGEXEXTRACT(E372,""[0-9.]+[,]+[0-9]+"")))"),"")</f>
        <v/>
      </c>
      <c r="O372" s="159"/>
      <c r="P372" s="159"/>
      <c r="Q372" s="159"/>
      <c r="R372" s="159"/>
      <c r="S372" s="159"/>
      <c r="T372" s="159"/>
      <c r="U372" s="159"/>
      <c r="V372" s="159"/>
      <c r="W372" s="159"/>
    </row>
    <row r="373" ht="14.25" customHeight="1">
      <c r="A373" s="32"/>
      <c r="B373" s="213"/>
      <c r="C373" s="215"/>
      <c r="D373" s="170"/>
      <c r="E373" s="216"/>
      <c r="F373" s="170"/>
      <c r="G373" s="170"/>
      <c r="H373" s="170"/>
      <c r="I373" s="170"/>
      <c r="J373" s="169"/>
      <c r="K373" s="169"/>
      <c r="L373" s="157" t="str">
        <f>IFERROR(__xludf.DUMMYFUNCTION("IF(
  AND(D373=""Saída"", J373=""Sangria""),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'""&amp;K373&amp;""'
             and Col6 = ""&amp;N373&amp;""
             and Col4 = date '""&amp;TEXT(C373,""yyyy-mm-dd"")&amp;""'""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'""&amp;K373&amp;""'
               and Col6 = ""&amp;N373&amp;""
               and Col4 = date '""&amp;TEXT(C373,""yyyy-mm-dd"")&amp;""'""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'""&amp;"&amp;"K373&amp;""'
                 and Col6 = ""&amp;N373&amp;""
                 and Col4 = date '""&amp;TEXT(C373,""yyyy-mm-dd"")&amp;""'""
            )
          )&gt;0,
          ""Confirmada"",
          ""Caixa Sangria""
        )
      )
    ),
    """"
  ),
  """"
)
"),"")</f>
        <v/>
      </c>
      <c r="M373" s="209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159" t="str">
        <f>IFERROR(__xludf.DUMMYFUNCTION("ifna(VALUE(REGEXEXTRACT(E373,""[0-9.]+[,]+[0-9]+"")))"),"")</f>
        <v/>
      </c>
      <c r="O373" s="159"/>
      <c r="P373" s="159"/>
      <c r="Q373" s="159"/>
      <c r="R373" s="159"/>
      <c r="S373" s="159"/>
      <c r="T373" s="159"/>
      <c r="U373" s="159"/>
      <c r="V373" s="159"/>
      <c r="W373" s="159"/>
    </row>
    <row r="374" ht="14.25" customHeight="1">
      <c r="A374" s="32"/>
      <c r="B374" s="213"/>
      <c r="C374" s="215"/>
      <c r="D374" s="170"/>
      <c r="E374" s="216"/>
      <c r="F374" s="170"/>
      <c r="G374" s="170"/>
      <c r="H374" s="170"/>
      <c r="I374" s="170"/>
      <c r="J374" s="169"/>
      <c r="K374" s="169"/>
      <c r="L374" s="157" t="str">
        <f>IFERROR(__xludf.DUMMYFUNCTION("IF(
  AND(D374=""Saída"", J374=""Sangria""),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'""&amp;K374&amp;""'
             and Col6 = ""&amp;N374&amp;""
             and Col4 = date '""&amp;TEXT(C374,""yyyy-mm-dd"")&amp;""'""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'""&amp;K374&amp;""'
               and Col6 = ""&amp;N374&amp;""
               and Col4 = date '""&amp;TEXT(C374,""yyyy-mm-dd"")&amp;""'""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'""&amp;"&amp;"K374&amp;""'
                 and Col6 = ""&amp;N374&amp;""
                 and Col4 = date '""&amp;TEXT(C374,""yyyy-mm-dd"")&amp;""'""
            )
          )&gt;0,
          ""Confirmada"",
          ""Caixa Sangria""
        )
      )
    ),
    """"
  ),
  """"
)
"),"")</f>
        <v/>
      </c>
      <c r="M374" s="207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159" t="str">
        <f>IFERROR(__xludf.DUMMYFUNCTION("ifna(VALUE(REGEXEXTRACT(E374,""[0-9.]+[,]+[0-9]+"")))"),"")</f>
        <v/>
      </c>
      <c r="O374" s="159"/>
      <c r="P374" s="159"/>
      <c r="Q374" s="159"/>
      <c r="R374" s="159"/>
      <c r="S374" s="159"/>
      <c r="T374" s="159"/>
      <c r="U374" s="159"/>
      <c r="V374" s="159"/>
      <c r="W374" s="159"/>
    </row>
    <row r="375" ht="14.25" customHeight="1">
      <c r="A375" s="32"/>
      <c r="B375" s="213"/>
      <c r="C375" s="215"/>
      <c r="D375" s="170"/>
      <c r="E375" s="216"/>
      <c r="F375" s="170"/>
      <c r="G375" s="170"/>
      <c r="H375" s="170"/>
      <c r="I375" s="170"/>
      <c r="J375" s="169"/>
      <c r="K375" s="169"/>
      <c r="L375" s="157" t="str">
        <f>IFERROR(__xludf.DUMMYFUNCTION("IF(
  AND(D375=""Saída"", J375=""Sangria""),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'""&amp;K375&amp;""'
             and Col6 = ""&amp;N375&amp;""
             and Col4 = date '""&amp;TEXT(C375,""yyyy-mm-dd"")&amp;""'""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'""&amp;K375&amp;""'
               and Col6 = ""&amp;N375&amp;""
               and Col4 = date '""&amp;TEXT(C375,""yyyy-mm-dd"")&amp;""'""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'""&amp;"&amp;"K375&amp;""'
                 and Col6 = ""&amp;N375&amp;""
                 and Col4 = date '""&amp;TEXT(C375,""yyyy-mm-dd"")&amp;""'""
            )
          )&gt;0,
          ""Confirmada"",
          ""Caixa Sangria""
        )
      )
    ),
    """"
  ),
  """"
)
"),"")</f>
        <v/>
      </c>
      <c r="M375" s="209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159" t="str">
        <f>IFERROR(__xludf.DUMMYFUNCTION("ifna(VALUE(REGEXEXTRACT(E375,""[0-9.]+[,]+[0-9]+"")))"),"")</f>
        <v/>
      </c>
      <c r="O375" s="159"/>
      <c r="P375" s="159"/>
      <c r="Q375" s="159"/>
      <c r="R375" s="159"/>
      <c r="S375" s="159"/>
      <c r="T375" s="159"/>
      <c r="U375" s="159"/>
      <c r="V375" s="159"/>
      <c r="W375" s="159"/>
    </row>
    <row r="376" ht="14.25" customHeight="1">
      <c r="A376" s="32"/>
      <c r="B376" s="213"/>
      <c r="C376" s="215"/>
      <c r="D376" s="170"/>
      <c r="E376" s="216"/>
      <c r="F376" s="170"/>
      <c r="G376" s="170"/>
      <c r="H376" s="170"/>
      <c r="I376" s="170"/>
      <c r="J376" s="169"/>
      <c r="K376" s="169"/>
      <c r="L376" s="157" t="str">
        <f>IFERROR(__xludf.DUMMYFUNCTION("IF(
  AND(D376=""Saída"", J376=""Sangria""),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'""&amp;K376&amp;""'
             and Col6 = ""&amp;N376&amp;""
             and Col4 = date '""&amp;TEXT(C376,""yyyy-mm-dd"")&amp;""'""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'""&amp;K376&amp;""'
               and Col6 = ""&amp;N376&amp;""
               and Col4 = date '""&amp;TEXT(C376,""yyyy-mm-dd"")&amp;""'""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'""&amp;"&amp;"K376&amp;""'
                 and Col6 = ""&amp;N376&amp;""
                 and Col4 = date '""&amp;TEXT(C376,""yyyy-mm-dd"")&amp;""'""
            )
          )&gt;0,
          ""Confirmada"",
          ""Caixa Sangria""
        )
      )
    ),
    """"
  ),
  """"
)
"),"")</f>
        <v/>
      </c>
      <c r="M376" s="207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159" t="str">
        <f>IFERROR(__xludf.DUMMYFUNCTION("ifna(VALUE(REGEXEXTRACT(E376,""[0-9.]+[,]+[0-9]+"")))"),"")</f>
        <v/>
      </c>
      <c r="O376" s="159"/>
      <c r="P376" s="159"/>
      <c r="Q376" s="159"/>
      <c r="R376" s="159"/>
      <c r="S376" s="159"/>
      <c r="T376" s="159"/>
      <c r="U376" s="159"/>
      <c r="V376" s="159"/>
      <c r="W376" s="159"/>
    </row>
    <row r="377" ht="14.25" customHeight="1">
      <c r="A377" s="32"/>
      <c r="B377" s="213"/>
      <c r="C377" s="215"/>
      <c r="D377" s="170"/>
      <c r="E377" s="216"/>
      <c r="F377" s="170"/>
      <c r="G377" s="170"/>
      <c r="H377" s="170"/>
      <c r="I377" s="170"/>
      <c r="J377" s="169"/>
      <c r="K377" s="169"/>
      <c r="L377" s="157" t="str">
        <f>IFERROR(__xludf.DUMMYFUNCTION("IF(
  AND(D377=""Saída"", J377=""Sangria""),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'""&amp;K377&amp;""'
             and Col6 = ""&amp;N377&amp;""
             and Col4 = date '""&amp;TEXT(C377,""yyyy-mm-dd"")&amp;""'""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'""&amp;K377&amp;""'
               and Col6 = ""&amp;N377&amp;""
               and Col4 = date '""&amp;TEXT(C377,""yyyy-mm-dd"")&amp;""'""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'""&amp;"&amp;"K377&amp;""'
                 and Col6 = ""&amp;N377&amp;""
                 and Col4 = date '""&amp;TEXT(C377,""yyyy-mm-dd"")&amp;""'""
            )
          )&gt;0,
          ""Confirmada"",
          ""Caixa Sangria""
        )
      )
    ),
    """"
  ),
  """"
)
"),"")</f>
        <v/>
      </c>
      <c r="M377" s="209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159" t="str">
        <f>IFERROR(__xludf.DUMMYFUNCTION("ifna(VALUE(REGEXEXTRACT(E377,""[0-9.]+[,]+[0-9]+"")))"),"")</f>
        <v/>
      </c>
      <c r="O377" s="159"/>
      <c r="P377" s="159"/>
      <c r="Q377" s="159"/>
      <c r="R377" s="159"/>
      <c r="S377" s="159"/>
      <c r="T377" s="159"/>
      <c r="U377" s="159"/>
      <c r="V377" s="159"/>
      <c r="W377" s="159"/>
    </row>
    <row r="378" ht="14.25" customHeight="1">
      <c r="A378" s="32"/>
      <c r="B378" s="213"/>
      <c r="C378" s="215"/>
      <c r="D378" s="170"/>
      <c r="E378" s="216"/>
      <c r="F378" s="170"/>
      <c r="G378" s="170"/>
      <c r="H378" s="170"/>
      <c r="I378" s="170"/>
      <c r="J378" s="169"/>
      <c r="K378" s="169"/>
      <c r="L378" s="157" t="str">
        <f>IFERROR(__xludf.DUMMYFUNCTION("IF(
  AND(D378=""Saída"", J378=""Sangria""),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'""&amp;K378&amp;""'
             and Col6 = ""&amp;N378&amp;""
             and Col4 = date '""&amp;TEXT(C378,""yyyy-mm-dd"")&amp;""'""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'""&amp;K378&amp;""'
               and Col6 = ""&amp;N378&amp;""
               and Col4 = date '""&amp;TEXT(C378,""yyyy-mm-dd"")&amp;""'""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'""&amp;"&amp;"K378&amp;""'
                 and Col6 = ""&amp;N378&amp;""
                 and Col4 = date '""&amp;TEXT(C378,""yyyy-mm-dd"")&amp;""'""
            )
          )&gt;0,
          ""Confirmada"",
          ""Caixa Sangria""
        )
      )
    ),
    """"
  ),
  """"
)
"),"")</f>
        <v/>
      </c>
      <c r="M378" s="207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159" t="str">
        <f>IFERROR(__xludf.DUMMYFUNCTION("ifna(VALUE(REGEXEXTRACT(E378,""[0-9.]+[,]+[0-9]+"")))"),"")</f>
        <v/>
      </c>
      <c r="O378" s="159"/>
      <c r="P378" s="159"/>
      <c r="Q378" s="159"/>
      <c r="R378" s="159"/>
      <c r="S378" s="159"/>
      <c r="T378" s="159"/>
      <c r="U378" s="159"/>
      <c r="V378" s="159"/>
      <c r="W378" s="159"/>
    </row>
    <row r="379" ht="14.25" customHeight="1">
      <c r="A379" s="32"/>
      <c r="B379" s="213"/>
      <c r="C379" s="215"/>
      <c r="D379" s="170"/>
      <c r="E379" s="216"/>
      <c r="F379" s="170"/>
      <c r="G379" s="170"/>
      <c r="H379" s="170"/>
      <c r="I379" s="170"/>
      <c r="J379" s="169"/>
      <c r="K379" s="169"/>
      <c r="L379" s="157" t="str">
        <f>IFERROR(__xludf.DUMMYFUNCTION("IF(
  AND(D379=""Saída"", J379=""Sangria""),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'""&amp;K379&amp;""'
             and Col6 = ""&amp;N379&amp;""
             and Col4 = date '""&amp;TEXT(C379,""yyyy-mm-dd"")&amp;""'""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'""&amp;K379&amp;""'
               and Col6 = ""&amp;N379&amp;""
               and Col4 = date '""&amp;TEXT(C379,""yyyy-mm-dd"")&amp;""'""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'""&amp;"&amp;"K379&amp;""'
                 and Col6 = ""&amp;N379&amp;""
                 and Col4 = date '""&amp;TEXT(C379,""yyyy-mm-dd"")&amp;""'""
            )
          )&gt;0,
          ""Confirmada"",
          ""Caixa Sangria""
        )
      )
    ),
    """"
  ),
  """"
)
"),"")</f>
        <v/>
      </c>
      <c r="M379" s="209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159" t="str">
        <f>IFERROR(__xludf.DUMMYFUNCTION("ifna(VALUE(REGEXEXTRACT(E379,""[0-9.]+[,]+[0-9]+"")))"),"")</f>
        <v/>
      </c>
      <c r="O379" s="159"/>
      <c r="P379" s="159"/>
      <c r="Q379" s="159"/>
      <c r="R379" s="159"/>
      <c r="S379" s="159"/>
      <c r="T379" s="159"/>
      <c r="U379" s="159"/>
      <c r="V379" s="159"/>
      <c r="W379" s="159"/>
    </row>
    <row r="380" ht="14.25" customHeight="1">
      <c r="A380" s="32"/>
      <c r="B380" s="213"/>
      <c r="C380" s="215"/>
      <c r="D380" s="170"/>
      <c r="E380" s="216"/>
      <c r="F380" s="170"/>
      <c r="G380" s="170"/>
      <c r="H380" s="170"/>
      <c r="I380" s="170"/>
      <c r="J380" s="169"/>
      <c r="K380" s="169"/>
      <c r="L380" s="157" t="str">
        <f>IFERROR(__xludf.DUMMYFUNCTION("IF(
  AND(D380=""Saída"", J380=""Sangria""),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'""&amp;K380&amp;""'
             and Col6 = ""&amp;N380&amp;""
             and Col4 = date '""&amp;TEXT(C380,""yyyy-mm-dd"")&amp;""'""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'""&amp;K380&amp;""'
               and Col6 = ""&amp;N380&amp;""
               and Col4 = date '""&amp;TEXT(C380,""yyyy-mm-dd"")&amp;""'""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'""&amp;"&amp;"K380&amp;""'
                 and Col6 = ""&amp;N380&amp;""
                 and Col4 = date '""&amp;TEXT(C380,""yyyy-mm-dd"")&amp;""'""
            )
          )&gt;0,
          ""Confirmada"",
          ""Caixa Sangria""
        )
      )
    ),
    """"
  ),
  """"
)
"),"")</f>
        <v/>
      </c>
      <c r="M380" s="207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159" t="str">
        <f>IFERROR(__xludf.DUMMYFUNCTION("ifna(VALUE(REGEXEXTRACT(E380,""[0-9.]+[,]+[0-9]+"")))"),"")</f>
        <v/>
      </c>
      <c r="O380" s="159"/>
      <c r="P380" s="159"/>
      <c r="Q380" s="159"/>
      <c r="R380" s="159"/>
      <c r="S380" s="159"/>
      <c r="T380" s="159"/>
      <c r="U380" s="159"/>
      <c r="V380" s="159"/>
      <c r="W380" s="159"/>
    </row>
    <row r="381" ht="14.25" customHeight="1">
      <c r="A381" s="32"/>
      <c r="B381" s="213"/>
      <c r="C381" s="215"/>
      <c r="D381" s="170"/>
      <c r="E381" s="216"/>
      <c r="F381" s="170"/>
      <c r="G381" s="170"/>
      <c r="H381" s="170"/>
      <c r="I381" s="170"/>
      <c r="J381" s="169"/>
      <c r="K381" s="169"/>
      <c r="L381" s="157" t="str">
        <f>IFERROR(__xludf.DUMMYFUNCTION("IF(
  AND(D381=""Saída"", J381=""Sangria""),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'""&amp;K381&amp;""'
             and Col6 = ""&amp;N381&amp;""
             and Col4 = date '""&amp;TEXT(C381,""yyyy-mm-dd"")&amp;""'""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'""&amp;K381&amp;""'
               and Col6 = ""&amp;N381&amp;""
               and Col4 = date '""&amp;TEXT(C381,""yyyy-mm-dd"")&amp;""'""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'""&amp;"&amp;"K381&amp;""'
                 and Col6 = ""&amp;N381&amp;""
                 and Col4 = date '""&amp;TEXT(C381,""yyyy-mm-dd"")&amp;""'""
            )
          )&gt;0,
          ""Confirmada"",
          ""Caixa Sangria""
        )
      )
    ),
    """"
  ),
  """"
)
"),"")</f>
        <v/>
      </c>
      <c r="M381" s="209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159" t="str">
        <f>IFERROR(__xludf.DUMMYFUNCTION("ifna(VALUE(REGEXEXTRACT(E381,""[0-9.]+[,]+[0-9]+"")))"),"")</f>
        <v/>
      </c>
      <c r="O381" s="159"/>
      <c r="P381" s="159"/>
      <c r="Q381" s="159"/>
      <c r="R381" s="159"/>
      <c r="S381" s="159"/>
      <c r="T381" s="159"/>
      <c r="U381" s="159"/>
      <c r="V381" s="159"/>
      <c r="W381" s="159"/>
    </row>
    <row r="382" ht="14.25" customHeight="1">
      <c r="A382" s="32"/>
      <c r="B382" s="213"/>
      <c r="C382" s="215"/>
      <c r="D382" s="170"/>
      <c r="E382" s="216"/>
      <c r="F382" s="170"/>
      <c r="G382" s="170"/>
      <c r="H382" s="170"/>
      <c r="I382" s="170"/>
      <c r="J382" s="169"/>
      <c r="K382" s="169"/>
      <c r="L382" s="157" t="str">
        <f>IFERROR(__xludf.DUMMYFUNCTION("IF(
  AND(D382=""Saída"", J382=""Sangria""),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'""&amp;K382&amp;""'
             and Col6 = ""&amp;N382&amp;""
             and Col4 = date '""&amp;TEXT(C382,""yyyy-mm-dd"")&amp;""'""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'""&amp;K382&amp;""'
               and Col6 = ""&amp;N382&amp;""
               and Col4 = date '""&amp;TEXT(C382,""yyyy-mm-dd"")&amp;""'""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'""&amp;"&amp;"K382&amp;""'
                 and Col6 = ""&amp;N382&amp;""
                 and Col4 = date '""&amp;TEXT(C382,""yyyy-mm-dd"")&amp;""'""
            )
          )&gt;0,
          ""Confirmada"",
          ""Caixa Sangria""
        )
      )
    ),
    """"
  ),
  """"
)
"),"")</f>
        <v/>
      </c>
      <c r="M382" s="207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159" t="str">
        <f>IFERROR(__xludf.DUMMYFUNCTION("ifna(VALUE(REGEXEXTRACT(E382,""[0-9.]+[,]+[0-9]+"")))"),"")</f>
        <v/>
      </c>
      <c r="O382" s="159"/>
      <c r="P382" s="159"/>
      <c r="Q382" s="159"/>
      <c r="R382" s="159"/>
      <c r="S382" s="159"/>
      <c r="T382" s="159"/>
      <c r="U382" s="159"/>
      <c r="V382" s="159"/>
      <c r="W382" s="159"/>
    </row>
    <row r="383" ht="14.25" customHeight="1">
      <c r="A383" s="32"/>
      <c r="B383" s="213"/>
      <c r="C383" s="215"/>
      <c r="D383" s="170"/>
      <c r="E383" s="216"/>
      <c r="F383" s="170"/>
      <c r="G383" s="170"/>
      <c r="H383" s="170"/>
      <c r="I383" s="170"/>
      <c r="J383" s="169"/>
      <c r="K383" s="169"/>
      <c r="L383" s="157" t="str">
        <f>IFERROR(__xludf.DUMMYFUNCTION("IF(
  AND(D383=""Saída"", J383=""Sangria""),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'""&amp;K383&amp;""'
             and Col6 = ""&amp;N383&amp;""
             and Col4 = date '""&amp;TEXT(C383,""yyyy-mm-dd"")&amp;""'""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'""&amp;K383&amp;""'
               and Col6 = ""&amp;N383&amp;""
               and Col4 = date '""&amp;TEXT(C383,""yyyy-mm-dd"")&amp;""'""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'""&amp;"&amp;"K383&amp;""'
                 and Col6 = ""&amp;N383&amp;""
                 and Col4 = date '""&amp;TEXT(C383,""yyyy-mm-dd"")&amp;""'""
            )
          )&gt;0,
          ""Confirmada"",
          ""Caixa Sangria""
        )
      )
    ),
    """"
  ),
  """"
)
"),"")</f>
        <v/>
      </c>
      <c r="M383" s="209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159" t="str">
        <f>IFERROR(__xludf.DUMMYFUNCTION("ifna(VALUE(REGEXEXTRACT(E383,""[0-9.]+[,]+[0-9]+"")))"),"")</f>
        <v/>
      </c>
      <c r="O383" s="159"/>
      <c r="P383" s="159"/>
      <c r="Q383" s="159"/>
      <c r="R383" s="159"/>
      <c r="S383" s="159"/>
      <c r="T383" s="159"/>
      <c r="U383" s="159"/>
      <c r="V383" s="159"/>
      <c r="W383" s="159"/>
    </row>
    <row r="384" ht="14.25" customHeight="1">
      <c r="A384" s="32"/>
      <c r="B384" s="213"/>
      <c r="C384" s="215"/>
      <c r="D384" s="170"/>
      <c r="E384" s="216"/>
      <c r="F384" s="170"/>
      <c r="G384" s="170"/>
      <c r="H384" s="170"/>
      <c r="I384" s="170"/>
      <c r="J384" s="169"/>
      <c r="K384" s="169"/>
      <c r="L384" s="157" t="str">
        <f>IFERROR(__xludf.DUMMYFUNCTION("IF(
  AND(D384=""Saída"", J384=""Sangria""),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'""&amp;K384&amp;""'
             and Col6 = ""&amp;N384&amp;""
             and Col4 = date '""&amp;TEXT(C384,""yyyy-mm-dd"")&amp;""'""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'""&amp;K384&amp;""'
               and Col6 = ""&amp;N384&amp;""
               and Col4 = date '""&amp;TEXT(C384,""yyyy-mm-dd"")&amp;""'""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'""&amp;"&amp;"K384&amp;""'
                 and Col6 = ""&amp;N384&amp;""
                 and Col4 = date '""&amp;TEXT(C384,""yyyy-mm-dd"")&amp;""'""
            )
          )&gt;0,
          ""Confirmada"",
          ""Caixa Sangria""
        )
      )
    ),
    """"
  ),
  """"
)
"),"")</f>
        <v/>
      </c>
      <c r="M384" s="207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159" t="str">
        <f>IFERROR(__xludf.DUMMYFUNCTION("ifna(VALUE(REGEXEXTRACT(E384,""[0-9.]+[,]+[0-9]+"")))"),"")</f>
        <v/>
      </c>
      <c r="O384" s="159"/>
      <c r="P384" s="159"/>
      <c r="Q384" s="159"/>
      <c r="R384" s="159"/>
      <c r="S384" s="159"/>
      <c r="T384" s="159"/>
      <c r="U384" s="159"/>
      <c r="V384" s="159"/>
      <c r="W384" s="159"/>
    </row>
    <row r="385" ht="14.25" customHeight="1">
      <c r="A385" s="32"/>
      <c r="B385" s="213"/>
      <c r="C385" s="215"/>
      <c r="D385" s="170"/>
      <c r="E385" s="216"/>
      <c r="F385" s="170"/>
      <c r="G385" s="170"/>
      <c r="H385" s="170"/>
      <c r="I385" s="170"/>
      <c r="J385" s="169"/>
      <c r="K385" s="169"/>
      <c r="L385" s="157" t="str">
        <f>IFERROR(__xludf.DUMMYFUNCTION("IF(
  AND(D385=""Saída"", J385=""Sangria""),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'""&amp;K385&amp;""'
             and Col6 = ""&amp;N385&amp;""
             and Col4 = date '""&amp;TEXT(C385,""yyyy-mm-dd"")&amp;""'""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'""&amp;K385&amp;""'
               and Col6 = ""&amp;N385&amp;""
               and Col4 = date '""&amp;TEXT(C385,""yyyy-mm-dd"")&amp;""'""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'""&amp;"&amp;"K385&amp;""'
                 and Col6 = ""&amp;N385&amp;""
                 and Col4 = date '""&amp;TEXT(C385,""yyyy-mm-dd"")&amp;""'""
            )
          )&gt;0,
          ""Confirmada"",
          ""Caixa Sangria""
        )
      )
    ),
    """"
  ),
  """"
)
"),"")</f>
        <v/>
      </c>
      <c r="M385" s="209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159" t="str">
        <f>IFERROR(__xludf.DUMMYFUNCTION("ifna(VALUE(REGEXEXTRACT(E385,""[0-9.]+[,]+[0-9]+"")))"),"")</f>
        <v/>
      </c>
      <c r="O385" s="159"/>
      <c r="P385" s="159"/>
      <c r="Q385" s="159"/>
      <c r="R385" s="159"/>
      <c r="S385" s="159"/>
      <c r="T385" s="159"/>
      <c r="U385" s="159"/>
      <c r="V385" s="159"/>
      <c r="W385" s="159"/>
    </row>
    <row r="386" ht="14.25" customHeight="1">
      <c r="A386" s="32"/>
      <c r="B386" s="213"/>
      <c r="C386" s="215"/>
      <c r="D386" s="170"/>
      <c r="E386" s="216"/>
      <c r="F386" s="170"/>
      <c r="G386" s="170"/>
      <c r="H386" s="170"/>
      <c r="I386" s="170"/>
      <c r="J386" s="169"/>
      <c r="K386" s="169"/>
      <c r="L386" s="157" t="str">
        <f>IFERROR(__xludf.DUMMYFUNCTION("IF(
  AND(D386=""Saída"", J386=""Sangria""),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'""&amp;K386&amp;""'
             and Col6 = ""&amp;N386&amp;""
             and Col4 = date '""&amp;TEXT(C386,""yyyy-mm-dd"")&amp;""'""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'""&amp;K386&amp;""'
               and Col6 = ""&amp;N386&amp;""
               and Col4 = date '""&amp;TEXT(C386,""yyyy-mm-dd"")&amp;""'""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'""&amp;"&amp;"K386&amp;""'
                 and Col6 = ""&amp;N386&amp;""
                 and Col4 = date '""&amp;TEXT(C386,""yyyy-mm-dd"")&amp;""'""
            )
          )&gt;0,
          ""Confirmada"",
          ""Caixa Sangria""
        )
      )
    ),
    """"
  ),
  """"
)
"),"")</f>
        <v/>
      </c>
      <c r="M386" s="207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159" t="str">
        <f>IFERROR(__xludf.DUMMYFUNCTION("ifna(VALUE(REGEXEXTRACT(E386,""[0-9.]+[,]+[0-9]+"")))"),"")</f>
        <v/>
      </c>
      <c r="O386" s="159"/>
      <c r="P386" s="159"/>
      <c r="Q386" s="159"/>
      <c r="R386" s="159"/>
      <c r="S386" s="159"/>
      <c r="T386" s="159"/>
      <c r="U386" s="159"/>
      <c r="V386" s="159"/>
      <c r="W386" s="159"/>
    </row>
    <row r="387" ht="14.25" customHeight="1">
      <c r="A387" s="32"/>
      <c r="B387" s="213"/>
      <c r="C387" s="215"/>
      <c r="D387" s="170"/>
      <c r="E387" s="216"/>
      <c r="F387" s="170"/>
      <c r="G387" s="170"/>
      <c r="H387" s="170"/>
      <c r="I387" s="170"/>
      <c r="J387" s="169"/>
      <c r="K387" s="169"/>
      <c r="L387" s="157" t="str">
        <f>IFERROR(__xludf.DUMMYFUNCTION("IF(
  AND(D387=""Saída"", J387=""Sangria""),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'""&amp;K387&amp;""'
             and Col6 = ""&amp;N387&amp;""
             and Col4 = date '""&amp;TEXT(C387,""yyyy-mm-dd"")&amp;""'""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'""&amp;K387&amp;""'
               and Col6 = ""&amp;N387&amp;""
               and Col4 = date '""&amp;TEXT(C387,""yyyy-mm-dd"")&amp;""'""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'""&amp;"&amp;"K387&amp;""'
                 and Col6 = ""&amp;N387&amp;""
                 and Col4 = date '""&amp;TEXT(C387,""yyyy-mm-dd"")&amp;""'""
            )
          )&gt;0,
          ""Confirmada"",
          ""Caixa Sangria""
        )
      )
    ),
    """"
  ),
  """"
)
"),"")</f>
        <v/>
      </c>
      <c r="M387" s="209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159" t="str">
        <f>IFERROR(__xludf.DUMMYFUNCTION("ifna(VALUE(REGEXEXTRACT(E387,""[0-9.]+[,]+[0-9]+"")))"),"")</f>
        <v/>
      </c>
      <c r="O387" s="159"/>
      <c r="P387" s="159"/>
      <c r="Q387" s="159"/>
      <c r="R387" s="159"/>
      <c r="S387" s="159"/>
      <c r="T387" s="159"/>
      <c r="U387" s="159"/>
      <c r="V387" s="159"/>
      <c r="W387" s="159"/>
    </row>
    <row r="388" ht="14.25" customHeight="1">
      <c r="A388" s="32"/>
      <c r="B388" s="213"/>
      <c r="C388" s="215"/>
      <c r="D388" s="170"/>
      <c r="E388" s="216"/>
      <c r="F388" s="170"/>
      <c r="G388" s="170"/>
      <c r="H388" s="170"/>
      <c r="I388" s="170"/>
      <c r="J388" s="169"/>
      <c r="K388" s="169"/>
      <c r="L388" s="157" t="str">
        <f>IFERROR(__xludf.DUMMYFUNCTION("IF(
  AND(D388=""Saída"", J388=""Sangria""),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'""&amp;K388&amp;""'
             and Col6 = ""&amp;N388&amp;""
             and Col4 = date '""&amp;TEXT(C388,""yyyy-mm-dd"")&amp;""'""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'""&amp;K388&amp;""'
               and Col6 = ""&amp;N388&amp;""
               and Col4 = date '""&amp;TEXT(C388,""yyyy-mm-dd"")&amp;""'""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'""&amp;"&amp;"K388&amp;""'
                 and Col6 = ""&amp;N388&amp;""
                 and Col4 = date '""&amp;TEXT(C388,""yyyy-mm-dd"")&amp;""'""
            )
          )&gt;0,
          ""Confirmada"",
          ""Caixa Sangria""
        )
      )
    ),
    """"
  ),
  """"
)
"),"")</f>
        <v/>
      </c>
      <c r="M388" s="207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159" t="str">
        <f>IFERROR(__xludf.DUMMYFUNCTION("ifna(VALUE(REGEXEXTRACT(E388,""[0-9.]+[,]+[0-9]+"")))"),"")</f>
        <v/>
      </c>
      <c r="O388" s="159"/>
      <c r="P388" s="159"/>
      <c r="Q388" s="159"/>
      <c r="R388" s="159"/>
      <c r="S388" s="159"/>
      <c r="T388" s="159"/>
      <c r="U388" s="159"/>
      <c r="V388" s="159"/>
      <c r="W388" s="159"/>
    </row>
    <row r="389" ht="14.25" customHeight="1">
      <c r="A389" s="32"/>
      <c r="B389" s="213"/>
      <c r="C389" s="215"/>
      <c r="D389" s="170"/>
      <c r="E389" s="216"/>
      <c r="F389" s="170"/>
      <c r="G389" s="170"/>
      <c r="H389" s="170"/>
      <c r="I389" s="170"/>
      <c r="J389" s="169"/>
      <c r="K389" s="169"/>
      <c r="L389" s="157" t="str">
        <f>IFERROR(__xludf.DUMMYFUNCTION("IF(
  AND(D389=""Saída"", J389=""Sangria""),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'""&amp;K389&amp;""'
             and Col6 = ""&amp;N389&amp;""
             and Col4 = date '""&amp;TEXT(C389,""yyyy-mm-dd"")&amp;""'""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'""&amp;K389&amp;""'
               and Col6 = ""&amp;N389&amp;""
               and Col4 = date '""&amp;TEXT(C389,""yyyy-mm-dd"")&amp;""'""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'""&amp;"&amp;"K389&amp;""'
                 and Col6 = ""&amp;N389&amp;""
                 and Col4 = date '""&amp;TEXT(C389,""yyyy-mm-dd"")&amp;""'""
            )
          )&gt;0,
          ""Confirmada"",
          ""Caixa Sangria""
        )
      )
    ),
    """"
  ),
  """"
)
"),"")</f>
        <v/>
      </c>
      <c r="M389" s="209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159" t="str">
        <f>IFERROR(__xludf.DUMMYFUNCTION("ifna(VALUE(REGEXEXTRACT(E389,""[0-9.]+[,]+[0-9]+"")))"),"")</f>
        <v/>
      </c>
      <c r="O389" s="159"/>
      <c r="P389" s="159"/>
      <c r="Q389" s="159"/>
      <c r="R389" s="159"/>
      <c r="S389" s="159"/>
      <c r="T389" s="159"/>
      <c r="U389" s="159"/>
      <c r="V389" s="159"/>
      <c r="W389" s="159"/>
    </row>
    <row r="390" ht="14.25" customHeight="1">
      <c r="A390" s="32"/>
      <c r="B390" s="213"/>
      <c r="C390" s="215"/>
      <c r="D390" s="170"/>
      <c r="E390" s="216"/>
      <c r="F390" s="170"/>
      <c r="G390" s="170"/>
      <c r="H390" s="170"/>
      <c r="I390" s="170"/>
      <c r="J390" s="169"/>
      <c r="K390" s="169"/>
      <c r="L390" s="157" t="str">
        <f>IFERROR(__xludf.DUMMYFUNCTION("IF(
  AND(D390=""Saída"", J390=""Sangria""),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'""&amp;K390&amp;""'
             and Col6 = ""&amp;N390&amp;""
             and Col4 = date '""&amp;TEXT(C390,""yyyy-mm-dd"")&amp;""'""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'""&amp;K390&amp;""'
               and Col6 = ""&amp;N390&amp;""
               and Col4 = date '""&amp;TEXT(C390,""yyyy-mm-dd"")&amp;""'""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'""&amp;"&amp;"K390&amp;""'
                 and Col6 = ""&amp;N390&amp;""
                 and Col4 = date '""&amp;TEXT(C390,""yyyy-mm-dd"")&amp;""'""
            )
          )&gt;0,
          ""Confirmada"",
          ""Caixa Sangria""
        )
      )
    ),
    """"
  ),
  """"
)
"),"")</f>
        <v/>
      </c>
      <c r="M390" s="207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159" t="str">
        <f>IFERROR(__xludf.DUMMYFUNCTION("ifna(VALUE(REGEXEXTRACT(E390,""[0-9.]+[,]+[0-9]+"")))"),"")</f>
        <v/>
      </c>
      <c r="O390" s="159"/>
      <c r="P390" s="159"/>
      <c r="Q390" s="159"/>
      <c r="R390" s="159"/>
      <c r="S390" s="159"/>
      <c r="T390" s="159"/>
      <c r="U390" s="159"/>
      <c r="V390" s="159"/>
      <c r="W390" s="159"/>
    </row>
    <row r="391" ht="14.25" customHeight="1">
      <c r="A391" s="32"/>
      <c r="B391" s="213"/>
      <c r="C391" s="215"/>
      <c r="D391" s="170"/>
      <c r="E391" s="216"/>
      <c r="F391" s="170"/>
      <c r="G391" s="170"/>
      <c r="H391" s="170"/>
      <c r="I391" s="170"/>
      <c r="J391" s="169"/>
      <c r="K391" s="169"/>
      <c r="L391" s="157" t="str">
        <f>IFERROR(__xludf.DUMMYFUNCTION("IF(
  AND(D391=""Saída"", J391=""Sangria""),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'""&amp;K391&amp;""'
             and Col6 = ""&amp;N391&amp;""
             and Col4 = date '""&amp;TEXT(C391,""yyyy-mm-dd"")&amp;""'""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'""&amp;K391&amp;""'
               and Col6 = ""&amp;N391&amp;""
               and Col4 = date '""&amp;TEXT(C391,""yyyy-mm-dd"")&amp;""'""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'""&amp;"&amp;"K391&amp;""'
                 and Col6 = ""&amp;N391&amp;""
                 and Col4 = date '""&amp;TEXT(C391,""yyyy-mm-dd"")&amp;""'""
            )
          )&gt;0,
          ""Confirmada"",
          ""Caixa Sangria""
        )
      )
    ),
    """"
  ),
  """"
)
"),"")</f>
        <v/>
      </c>
      <c r="M391" s="209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159" t="str">
        <f>IFERROR(__xludf.DUMMYFUNCTION("ifna(VALUE(REGEXEXTRACT(E391,""[0-9.]+[,]+[0-9]+"")))"),"")</f>
        <v/>
      </c>
      <c r="O391" s="159"/>
      <c r="P391" s="159"/>
      <c r="Q391" s="159"/>
      <c r="R391" s="159"/>
      <c r="S391" s="159"/>
      <c r="T391" s="159"/>
      <c r="U391" s="159"/>
      <c r="V391" s="159"/>
      <c r="W391" s="159"/>
    </row>
    <row r="392" ht="14.25" customHeight="1">
      <c r="A392" s="32"/>
      <c r="B392" s="213"/>
      <c r="C392" s="215"/>
      <c r="D392" s="170"/>
      <c r="E392" s="216"/>
      <c r="F392" s="170"/>
      <c r="G392" s="170"/>
      <c r="H392" s="170"/>
      <c r="I392" s="170"/>
      <c r="J392" s="169"/>
      <c r="K392" s="169"/>
      <c r="L392" s="157" t="str">
        <f>IFERROR(__xludf.DUMMYFUNCTION("IF(
  AND(D392=""Saída"", J392=""Sangria""),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'""&amp;K392&amp;""'
             and Col6 = ""&amp;N392&amp;""
             and Col4 = date '""&amp;TEXT(C392,""yyyy-mm-dd"")&amp;""'""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'""&amp;K392&amp;""'
               and Col6 = ""&amp;N392&amp;""
               and Col4 = date '""&amp;TEXT(C392,""yyyy-mm-dd"")&amp;""'""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'""&amp;"&amp;"K392&amp;""'
                 and Col6 = ""&amp;N392&amp;""
                 and Col4 = date '""&amp;TEXT(C392,""yyyy-mm-dd"")&amp;""'""
            )
          )&gt;0,
          ""Confirmada"",
          ""Caixa Sangria""
        )
      )
    ),
    """"
  ),
  """"
)
"),"")</f>
        <v/>
      </c>
      <c r="M392" s="207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159" t="str">
        <f>IFERROR(__xludf.DUMMYFUNCTION("ifna(VALUE(REGEXEXTRACT(E392,""[0-9.]+[,]+[0-9]+"")))"),"")</f>
        <v/>
      </c>
      <c r="O392" s="159"/>
      <c r="P392" s="159"/>
      <c r="Q392" s="159"/>
      <c r="R392" s="159"/>
      <c r="S392" s="159"/>
      <c r="T392" s="159"/>
      <c r="U392" s="159"/>
      <c r="V392" s="159"/>
      <c r="W392" s="159"/>
    </row>
    <row r="393" ht="14.25" customHeight="1">
      <c r="A393" s="32"/>
      <c r="B393" s="213"/>
      <c r="C393" s="215"/>
      <c r="D393" s="170"/>
      <c r="E393" s="216"/>
      <c r="F393" s="170"/>
      <c r="G393" s="170"/>
      <c r="H393" s="170"/>
      <c r="I393" s="170"/>
      <c r="J393" s="169"/>
      <c r="K393" s="169"/>
      <c r="L393" s="157" t="str">
        <f>IFERROR(__xludf.DUMMYFUNCTION("IF(
  AND(D393=""Saída"", J393=""Sangria""),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'""&amp;K393&amp;""'
             and Col6 = ""&amp;N393&amp;""
             and Col4 = date '""&amp;TEXT(C393,""yyyy-mm-dd"")&amp;""'""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'""&amp;K393&amp;""'
               and Col6 = ""&amp;N393&amp;""
               and Col4 = date '""&amp;TEXT(C393,""yyyy-mm-dd"")&amp;""'""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'""&amp;"&amp;"K393&amp;""'
                 and Col6 = ""&amp;N393&amp;""
                 and Col4 = date '""&amp;TEXT(C393,""yyyy-mm-dd"")&amp;""'""
            )
          )&gt;0,
          ""Confirmada"",
          ""Caixa Sangria""
        )
      )
    ),
    """"
  ),
  """"
)
"),"")</f>
        <v/>
      </c>
      <c r="M393" s="209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159" t="str">
        <f>IFERROR(__xludf.DUMMYFUNCTION("ifna(VALUE(REGEXEXTRACT(E393,""[0-9.]+[,]+[0-9]+"")))"),"")</f>
        <v/>
      </c>
      <c r="O393" s="159"/>
      <c r="P393" s="159"/>
      <c r="Q393" s="159"/>
      <c r="R393" s="159"/>
      <c r="S393" s="159"/>
      <c r="T393" s="159"/>
      <c r="U393" s="159"/>
      <c r="V393" s="159"/>
      <c r="W393" s="159"/>
    </row>
    <row r="394" ht="14.25" customHeight="1">
      <c r="A394" s="32"/>
      <c r="B394" s="213"/>
      <c r="C394" s="215"/>
      <c r="D394" s="170"/>
      <c r="E394" s="216"/>
      <c r="F394" s="170"/>
      <c r="G394" s="170"/>
      <c r="H394" s="170"/>
      <c r="I394" s="170"/>
      <c r="J394" s="169"/>
      <c r="K394" s="169"/>
      <c r="L394" s="157" t="str">
        <f>IFERROR(__xludf.DUMMYFUNCTION("IF(
  AND(D394=""Saída"", J394=""Sangria""),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'""&amp;K394&amp;""'
             and Col6 = ""&amp;N394&amp;""
             and Col4 = date '""&amp;TEXT(C394,""yyyy-mm-dd"")&amp;""'""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'""&amp;K394&amp;""'
               and Col6 = ""&amp;N394&amp;""
               and Col4 = date '""&amp;TEXT(C394,""yyyy-mm-dd"")&amp;""'""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'""&amp;"&amp;"K394&amp;""'
                 and Col6 = ""&amp;N394&amp;""
                 and Col4 = date '""&amp;TEXT(C394,""yyyy-mm-dd"")&amp;""'""
            )
          )&gt;0,
          ""Confirmada"",
          ""Caixa Sangria""
        )
      )
    ),
    """"
  ),
  """"
)
"),"")</f>
        <v/>
      </c>
      <c r="M394" s="207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159" t="str">
        <f>IFERROR(__xludf.DUMMYFUNCTION("ifna(VALUE(REGEXEXTRACT(E394,""[0-9.]+[,]+[0-9]+"")))"),"")</f>
        <v/>
      </c>
      <c r="O394" s="159"/>
      <c r="P394" s="159"/>
      <c r="Q394" s="159"/>
      <c r="R394" s="159"/>
      <c r="S394" s="159"/>
      <c r="T394" s="159"/>
      <c r="U394" s="159"/>
      <c r="V394" s="159"/>
      <c r="W394" s="159"/>
    </row>
    <row r="395" ht="14.25" customHeight="1">
      <c r="A395" s="32"/>
      <c r="B395" s="213"/>
      <c r="C395" s="215"/>
      <c r="D395" s="170"/>
      <c r="E395" s="216"/>
      <c r="F395" s="170"/>
      <c r="G395" s="170"/>
      <c r="H395" s="170"/>
      <c r="I395" s="170"/>
      <c r="J395" s="169"/>
      <c r="K395" s="169"/>
      <c r="L395" s="157" t="str">
        <f>IFERROR(__xludf.DUMMYFUNCTION("IF(
  AND(D395=""Saída"", J395=""Sangria""),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'""&amp;K395&amp;""'
             and Col6 = ""&amp;N395&amp;""
             and Col4 = date '""&amp;TEXT(C395,""yyyy-mm-dd"")&amp;""'""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'""&amp;K395&amp;""'
               and Col6 = ""&amp;N395&amp;""
               and Col4 = date '""&amp;TEXT(C395,""yyyy-mm-dd"")&amp;""'""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'""&amp;"&amp;"K395&amp;""'
                 and Col6 = ""&amp;N395&amp;""
                 and Col4 = date '""&amp;TEXT(C395,""yyyy-mm-dd"")&amp;""'""
            )
          )&gt;0,
          ""Confirmada"",
          ""Caixa Sangria""
        )
      )
    ),
    """"
  ),
  """"
)
"),"")</f>
        <v/>
      </c>
      <c r="M395" s="209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159" t="str">
        <f>IFERROR(__xludf.DUMMYFUNCTION("ifna(VALUE(REGEXEXTRACT(E395,""[0-9.]+[,]+[0-9]+"")))"),"")</f>
        <v/>
      </c>
      <c r="O395" s="159"/>
      <c r="P395" s="159"/>
      <c r="Q395" s="159"/>
      <c r="R395" s="159"/>
      <c r="S395" s="159"/>
      <c r="T395" s="159"/>
      <c r="U395" s="159"/>
      <c r="V395" s="159"/>
      <c r="W395" s="159"/>
    </row>
    <row r="396" ht="14.25" customHeight="1">
      <c r="A396" s="32"/>
      <c r="B396" s="213"/>
      <c r="C396" s="215"/>
      <c r="D396" s="170"/>
      <c r="E396" s="216"/>
      <c r="F396" s="170"/>
      <c r="G396" s="170"/>
      <c r="H396" s="170"/>
      <c r="I396" s="170"/>
      <c r="J396" s="169"/>
      <c r="K396" s="169"/>
      <c r="L396" s="157" t="str">
        <f>IFERROR(__xludf.DUMMYFUNCTION("IF(
  AND(D396=""Saída"", J396=""Sangria""),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'""&amp;K396&amp;""'
             and Col6 = ""&amp;N396&amp;""
             and Col4 = date '""&amp;TEXT(C396,""yyyy-mm-dd"")&amp;""'""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'""&amp;K396&amp;""'
               and Col6 = ""&amp;N396&amp;""
               and Col4 = date '""&amp;TEXT(C396,""yyyy-mm-dd"")&amp;""'""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'""&amp;"&amp;"K396&amp;""'
                 and Col6 = ""&amp;N396&amp;""
                 and Col4 = date '""&amp;TEXT(C396,""yyyy-mm-dd"")&amp;""'""
            )
          )&gt;0,
          ""Confirmada"",
          ""Caixa Sangria""
        )
      )
    ),
    """"
  ),
  """"
)
"),"")</f>
        <v/>
      </c>
      <c r="M396" s="207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159" t="str">
        <f>IFERROR(__xludf.DUMMYFUNCTION("ifna(VALUE(REGEXEXTRACT(E396,""[0-9.]+[,]+[0-9]+"")))"),"")</f>
        <v/>
      </c>
      <c r="O396" s="159"/>
      <c r="P396" s="159"/>
      <c r="Q396" s="159"/>
      <c r="R396" s="159"/>
      <c r="S396" s="159"/>
      <c r="T396" s="159"/>
      <c r="U396" s="159"/>
      <c r="V396" s="159"/>
      <c r="W396" s="159"/>
    </row>
    <row r="397" ht="14.25" customHeight="1">
      <c r="A397" s="32"/>
      <c r="B397" s="213"/>
      <c r="C397" s="215"/>
      <c r="D397" s="170"/>
      <c r="E397" s="216"/>
      <c r="F397" s="170"/>
      <c r="G397" s="170"/>
      <c r="H397" s="170"/>
      <c r="I397" s="170"/>
      <c r="J397" s="169"/>
      <c r="K397" s="169"/>
      <c r="L397" s="157" t="str">
        <f>IFERROR(__xludf.DUMMYFUNCTION("IF(
  AND(D397=""Saída"", J397=""Sangria""),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'""&amp;K397&amp;""'
             and Col6 = ""&amp;N397&amp;""
             and Col4 = date '""&amp;TEXT(C397,""yyyy-mm-dd"")&amp;""'""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'""&amp;K397&amp;""'
               and Col6 = ""&amp;N397&amp;""
               and Col4 = date '""&amp;TEXT(C397,""yyyy-mm-dd"")&amp;""'""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'""&amp;"&amp;"K397&amp;""'
                 and Col6 = ""&amp;N397&amp;""
                 and Col4 = date '""&amp;TEXT(C397,""yyyy-mm-dd"")&amp;""'""
            )
          )&gt;0,
          ""Confirmada"",
          ""Caixa Sangria""
        )
      )
    ),
    """"
  ),
  """"
)
"),"")</f>
        <v/>
      </c>
      <c r="M397" s="209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159" t="str">
        <f>IFERROR(__xludf.DUMMYFUNCTION("ifna(VALUE(REGEXEXTRACT(E397,""[0-9.]+[,]+[0-9]+"")))"),"")</f>
        <v/>
      </c>
      <c r="O397" s="159"/>
      <c r="P397" s="159"/>
      <c r="Q397" s="159"/>
      <c r="R397" s="159"/>
      <c r="S397" s="159"/>
      <c r="T397" s="159"/>
      <c r="U397" s="159"/>
      <c r="V397" s="159"/>
      <c r="W397" s="159"/>
    </row>
    <row r="398" ht="14.25" customHeight="1">
      <c r="A398" s="32"/>
      <c r="B398" s="213"/>
      <c r="C398" s="215"/>
      <c r="D398" s="170"/>
      <c r="E398" s="216"/>
      <c r="F398" s="170"/>
      <c r="G398" s="170"/>
      <c r="H398" s="170"/>
      <c r="I398" s="170"/>
      <c r="J398" s="169"/>
      <c r="K398" s="169"/>
      <c r="L398" s="157" t="str">
        <f>IFERROR(__xludf.DUMMYFUNCTION("IF(
  AND(D398=""Saída"", J398=""Sangria""),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'""&amp;K398&amp;""'
             and Col6 = ""&amp;N398&amp;""
             and Col4 = date '""&amp;TEXT(C398,""yyyy-mm-dd"")&amp;""'""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'""&amp;K398&amp;""'
               and Col6 = ""&amp;N398&amp;""
               and Col4 = date '""&amp;TEXT(C398,""yyyy-mm-dd"")&amp;""'""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'""&amp;"&amp;"K398&amp;""'
                 and Col6 = ""&amp;N398&amp;""
                 and Col4 = date '""&amp;TEXT(C398,""yyyy-mm-dd"")&amp;""'""
            )
          )&gt;0,
          ""Confirmada"",
          ""Caixa Sangria""
        )
      )
    ),
    """"
  ),
  """"
)
"),"")</f>
        <v/>
      </c>
      <c r="M398" s="207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159" t="str">
        <f>IFERROR(__xludf.DUMMYFUNCTION("ifna(VALUE(REGEXEXTRACT(E398,""[0-9.]+[,]+[0-9]+"")))"),"")</f>
        <v/>
      </c>
      <c r="O398" s="159"/>
      <c r="P398" s="159"/>
      <c r="Q398" s="159"/>
      <c r="R398" s="159"/>
      <c r="S398" s="159"/>
      <c r="T398" s="159"/>
      <c r="U398" s="159"/>
      <c r="V398" s="159"/>
      <c r="W398" s="159"/>
    </row>
    <row r="399" ht="14.25" customHeight="1">
      <c r="A399" s="32"/>
      <c r="B399" s="213"/>
      <c r="C399" s="215"/>
      <c r="D399" s="170"/>
      <c r="E399" s="216"/>
      <c r="F399" s="170"/>
      <c r="G399" s="170"/>
      <c r="H399" s="170"/>
      <c r="I399" s="170"/>
      <c r="J399" s="169"/>
      <c r="K399" s="169"/>
      <c r="L399" s="157" t="str">
        <f>IFERROR(__xludf.DUMMYFUNCTION("IF(
  AND(D399=""Saída"", J399=""Sangria""),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'""&amp;K399&amp;""'
             and Col6 = ""&amp;N399&amp;""
             and Col4 = date '""&amp;TEXT(C399,""yyyy-mm-dd"")&amp;""'""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'""&amp;K399&amp;""'
               and Col6 = ""&amp;N399&amp;""
               and Col4 = date '""&amp;TEXT(C399,""yyyy-mm-dd"")&amp;""'""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'""&amp;"&amp;"K399&amp;""'
                 and Col6 = ""&amp;N399&amp;""
                 and Col4 = date '""&amp;TEXT(C399,""yyyy-mm-dd"")&amp;""'""
            )
          )&gt;0,
          ""Confirmada"",
          ""Caixa Sangria""
        )
      )
    ),
    """"
  ),
  """"
)
"),"")</f>
        <v/>
      </c>
      <c r="M399" s="209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159" t="str">
        <f>IFERROR(__xludf.DUMMYFUNCTION("ifna(VALUE(REGEXEXTRACT(E399,""[0-9.]+[,]+[0-9]+"")))"),"")</f>
        <v/>
      </c>
      <c r="O399" s="159"/>
      <c r="P399" s="159"/>
      <c r="Q399" s="159"/>
      <c r="R399" s="159"/>
      <c r="S399" s="159"/>
      <c r="T399" s="159"/>
      <c r="U399" s="159"/>
      <c r="V399" s="159"/>
      <c r="W399" s="159"/>
    </row>
    <row r="400" ht="14.25" customHeight="1">
      <c r="A400" s="32"/>
      <c r="B400" s="213"/>
      <c r="C400" s="215"/>
      <c r="D400" s="170"/>
      <c r="E400" s="216"/>
      <c r="F400" s="170"/>
      <c r="G400" s="170"/>
      <c r="H400" s="170"/>
      <c r="I400" s="170"/>
      <c r="J400" s="169"/>
      <c r="K400" s="169"/>
      <c r="L400" s="157" t="str">
        <f>IFERROR(__xludf.DUMMYFUNCTION("IF(
  AND(D400=""Saída"", J400=""Sangria""),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'""&amp;K400&amp;""'
             and Col6 = ""&amp;N400&amp;""
             and Col4 = date '""&amp;TEXT(C400,""yyyy-mm-dd"")&amp;""'""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'""&amp;K400&amp;""'
               and Col6 = ""&amp;N400&amp;""
               and Col4 = date '""&amp;TEXT(C400,""yyyy-mm-dd"")&amp;""'""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'""&amp;"&amp;"K400&amp;""'
                 and Col6 = ""&amp;N400&amp;""
                 and Col4 = date '""&amp;TEXT(C400,""yyyy-mm-dd"")&amp;""'""
            )
          )&gt;0,
          ""Confirmada"",
          ""Caixa Sangria""
        )
      )
    ),
    """"
  ),
  """"
)
"),"")</f>
        <v/>
      </c>
      <c r="M400" s="207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159" t="str">
        <f>IFERROR(__xludf.DUMMYFUNCTION("ifna(VALUE(REGEXEXTRACT(E400,""[0-9.]+[,]+[0-9]+"")))"),"")</f>
        <v/>
      </c>
      <c r="O400" s="159"/>
      <c r="P400" s="159"/>
      <c r="Q400" s="159"/>
      <c r="R400" s="159"/>
      <c r="S400" s="159"/>
      <c r="T400" s="159"/>
      <c r="U400" s="159"/>
      <c r="V400" s="159"/>
      <c r="W400" s="159"/>
    </row>
    <row r="401" ht="14.25" customHeight="1">
      <c r="A401" s="32"/>
      <c r="B401" s="213"/>
      <c r="C401" s="215"/>
      <c r="D401" s="170"/>
      <c r="E401" s="216"/>
      <c r="F401" s="170"/>
      <c r="G401" s="170"/>
      <c r="H401" s="170"/>
      <c r="I401" s="170"/>
      <c r="J401" s="169"/>
      <c r="K401" s="169"/>
      <c r="L401" s="157" t="str">
        <f>IFERROR(__xludf.DUMMYFUNCTION("IF(
  AND(D401=""Saída"", J401=""Sangria""),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'""&amp;K401&amp;""'
             and Col6 = ""&amp;N401&amp;""
             and Col4 = date '""&amp;TEXT(C401,""yyyy-mm-dd"")&amp;""'""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'""&amp;K401&amp;""'
               and Col6 = ""&amp;N401&amp;""
               and Col4 = date '""&amp;TEXT(C401,""yyyy-mm-dd"")&amp;""'""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'""&amp;"&amp;"K401&amp;""'
                 and Col6 = ""&amp;N401&amp;""
                 and Col4 = date '""&amp;TEXT(C401,""yyyy-mm-dd"")&amp;""'""
            )
          )&gt;0,
          ""Confirmada"",
          ""Caixa Sangria""
        )
      )
    ),
    """"
  ),
  """"
)
"),"")</f>
        <v/>
      </c>
      <c r="M401" s="209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159" t="str">
        <f>IFERROR(__xludf.DUMMYFUNCTION("ifna(VALUE(REGEXEXTRACT(E401,""[0-9.]+[,]+[0-9]+"")))"),"")</f>
        <v/>
      </c>
      <c r="O401" s="159"/>
      <c r="P401" s="159"/>
      <c r="Q401" s="159"/>
      <c r="R401" s="159"/>
      <c r="S401" s="159"/>
      <c r="T401" s="159"/>
      <c r="U401" s="159"/>
      <c r="V401" s="159"/>
      <c r="W401" s="159"/>
    </row>
    <row r="402" ht="14.25" customHeight="1">
      <c r="A402" s="32"/>
      <c r="B402" s="213"/>
      <c r="C402" s="215"/>
      <c r="D402" s="170"/>
      <c r="E402" s="216"/>
      <c r="F402" s="170"/>
      <c r="G402" s="170"/>
      <c r="H402" s="170"/>
      <c r="I402" s="170"/>
      <c r="J402" s="169"/>
      <c r="K402" s="169"/>
      <c r="L402" s="157" t="str">
        <f>IFERROR(__xludf.DUMMYFUNCTION("IF(
  AND(D402=""Saída"", J402=""Sangria""),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'""&amp;K402&amp;""'
             and Col6 = ""&amp;N402&amp;""
             and Col4 = date '""&amp;TEXT(C402,""yyyy-mm-dd"")&amp;""'""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'""&amp;K402&amp;""'
               and Col6 = ""&amp;N402&amp;""
               and Col4 = date '""&amp;TEXT(C402,""yyyy-mm-dd"")&amp;""'""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'""&amp;"&amp;"K402&amp;""'
                 and Col6 = ""&amp;N402&amp;""
                 and Col4 = date '""&amp;TEXT(C402,""yyyy-mm-dd"")&amp;""'""
            )
          )&gt;0,
          ""Confirmada"",
          ""Caixa Sangria""
        )
      )
    ),
    """"
  ),
  """"
)
"),"")</f>
        <v/>
      </c>
      <c r="M402" s="207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159" t="str">
        <f>IFERROR(__xludf.DUMMYFUNCTION("ifna(VALUE(REGEXEXTRACT(E402,""[0-9.]+[,]+[0-9]+"")))"),"")</f>
        <v/>
      </c>
      <c r="O402" s="159"/>
      <c r="P402" s="159"/>
      <c r="Q402" s="159"/>
      <c r="R402" s="159"/>
      <c r="S402" s="159"/>
      <c r="T402" s="159"/>
      <c r="U402" s="159"/>
      <c r="V402" s="159"/>
      <c r="W402" s="159"/>
    </row>
    <row r="403" ht="14.25" customHeight="1">
      <c r="A403" s="32"/>
      <c r="B403" s="213"/>
      <c r="C403" s="215"/>
      <c r="D403" s="170"/>
      <c r="E403" s="216"/>
      <c r="F403" s="170"/>
      <c r="G403" s="170"/>
      <c r="H403" s="170"/>
      <c r="I403" s="170"/>
      <c r="J403" s="169"/>
      <c r="K403" s="169"/>
      <c r="L403" s="157" t="str">
        <f>IFERROR(__xludf.DUMMYFUNCTION("IF(
  AND(D403=""Saída"", J403=""Sangria""),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'""&amp;K403&amp;""'
             and Col6 = ""&amp;N403&amp;""
             and Col4 = date '""&amp;TEXT(C403,""yyyy-mm-dd"")&amp;""'""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'""&amp;K403&amp;""'
               and Col6 = ""&amp;N403&amp;""
               and Col4 = date '""&amp;TEXT(C403,""yyyy-mm-dd"")&amp;""'""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'""&amp;"&amp;"K403&amp;""'
                 and Col6 = ""&amp;N403&amp;""
                 and Col4 = date '""&amp;TEXT(C403,""yyyy-mm-dd"")&amp;""'""
            )
          )&gt;0,
          ""Confirmada"",
          ""Caixa Sangria""
        )
      )
    ),
    """"
  ),
  """"
)
"),"")</f>
        <v/>
      </c>
      <c r="M403" s="209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159" t="str">
        <f>IFERROR(__xludf.DUMMYFUNCTION("ifna(VALUE(REGEXEXTRACT(E403,""[0-9.]+[,]+[0-9]+"")))"),"")</f>
        <v/>
      </c>
      <c r="O403" s="159"/>
      <c r="P403" s="159"/>
      <c r="Q403" s="159"/>
      <c r="R403" s="159"/>
      <c r="S403" s="159"/>
      <c r="T403" s="159"/>
      <c r="U403" s="159"/>
      <c r="V403" s="159"/>
      <c r="W403" s="159"/>
    </row>
    <row r="404" ht="14.25" customHeight="1">
      <c r="A404" s="32"/>
      <c r="B404" s="213"/>
      <c r="C404" s="215"/>
      <c r="D404" s="170"/>
      <c r="E404" s="216"/>
      <c r="F404" s="170"/>
      <c r="G404" s="170"/>
      <c r="H404" s="170"/>
      <c r="I404" s="170"/>
      <c r="J404" s="169"/>
      <c r="K404" s="169"/>
      <c r="L404" s="157" t="str">
        <f>IFERROR(__xludf.DUMMYFUNCTION("IF(
  AND(D404=""Saída"", J404=""Sangria""),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'""&amp;K404&amp;""'
             and Col6 = ""&amp;N404&amp;""
             and Col4 = date '""&amp;TEXT(C404,""yyyy-mm-dd"")&amp;""'""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'""&amp;K404&amp;""'
               and Col6 = ""&amp;N404&amp;""
               and Col4 = date '""&amp;TEXT(C404,""yyyy-mm-dd"")&amp;""'""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'""&amp;"&amp;"K404&amp;""'
                 and Col6 = ""&amp;N404&amp;""
                 and Col4 = date '""&amp;TEXT(C404,""yyyy-mm-dd"")&amp;""'""
            )
          )&gt;0,
          ""Confirmada"",
          ""Caixa Sangria""
        )
      )
    ),
    """"
  ),
  """"
)
"),"")</f>
        <v/>
      </c>
      <c r="M404" s="207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159" t="str">
        <f>IFERROR(__xludf.DUMMYFUNCTION("ifna(VALUE(REGEXEXTRACT(E404,""[0-9.]+[,]+[0-9]+"")))"),"")</f>
        <v/>
      </c>
      <c r="O404" s="159"/>
      <c r="P404" s="159"/>
      <c r="Q404" s="159"/>
      <c r="R404" s="159"/>
      <c r="S404" s="159"/>
      <c r="T404" s="159"/>
      <c r="U404" s="159"/>
      <c r="V404" s="159"/>
      <c r="W404" s="159"/>
    </row>
    <row r="405" ht="14.25" customHeight="1">
      <c r="A405" s="32"/>
      <c r="B405" s="213"/>
      <c r="C405" s="215"/>
      <c r="D405" s="170"/>
      <c r="E405" s="216"/>
      <c r="F405" s="170"/>
      <c r="G405" s="170"/>
      <c r="H405" s="170"/>
      <c r="I405" s="170"/>
      <c r="J405" s="169"/>
      <c r="K405" s="169"/>
      <c r="L405" s="157" t="str">
        <f>IFERROR(__xludf.DUMMYFUNCTION("IF(
  AND(D405=""Saída"", J405=""Sangria""),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'""&amp;K405&amp;""'
             and Col6 = ""&amp;N405&amp;""
             and Col4 = date '""&amp;TEXT(C405,""yyyy-mm-dd"")&amp;""'""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'""&amp;K405&amp;""'
               and Col6 = ""&amp;N405&amp;""
               and Col4 = date '""&amp;TEXT(C405,""yyyy-mm-dd"")&amp;""'""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'""&amp;"&amp;"K405&amp;""'
                 and Col6 = ""&amp;N405&amp;""
                 and Col4 = date '""&amp;TEXT(C405,""yyyy-mm-dd"")&amp;""'""
            )
          )&gt;0,
          ""Confirmada"",
          ""Caixa Sangria""
        )
      )
    ),
    """"
  ),
  """"
)
"),"")</f>
        <v/>
      </c>
      <c r="M405" s="209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159" t="str">
        <f>IFERROR(__xludf.DUMMYFUNCTION("ifna(VALUE(REGEXEXTRACT(E405,""[0-9.]+[,]+[0-9]+"")))"),"")</f>
        <v/>
      </c>
      <c r="O405" s="159"/>
      <c r="P405" s="159"/>
      <c r="Q405" s="159"/>
      <c r="R405" s="159"/>
      <c r="S405" s="159"/>
      <c r="T405" s="159"/>
      <c r="U405" s="159"/>
      <c r="V405" s="159"/>
      <c r="W405" s="159"/>
    </row>
    <row r="406" ht="14.25" customHeight="1">
      <c r="A406" s="32"/>
      <c r="B406" s="213"/>
      <c r="C406" s="215"/>
      <c r="D406" s="170"/>
      <c r="E406" s="216"/>
      <c r="F406" s="170"/>
      <c r="G406" s="170"/>
      <c r="H406" s="170"/>
      <c r="I406" s="170"/>
      <c r="J406" s="169"/>
      <c r="K406" s="169"/>
      <c r="L406" s="157" t="str">
        <f>IFERROR(__xludf.DUMMYFUNCTION("IF(
  AND(D406=""Saída"", J406=""Sangria""),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'""&amp;K406&amp;""'
             and Col6 = ""&amp;N406&amp;""
             and Col4 = date '""&amp;TEXT(C406,""yyyy-mm-dd"")&amp;""'""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'""&amp;K406&amp;""'
               and Col6 = ""&amp;N406&amp;""
               and Col4 = date '""&amp;TEXT(C406,""yyyy-mm-dd"")&amp;""'""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'""&amp;"&amp;"K406&amp;""'
                 and Col6 = ""&amp;N406&amp;""
                 and Col4 = date '""&amp;TEXT(C406,""yyyy-mm-dd"")&amp;""'""
            )
          )&gt;0,
          ""Confirmada"",
          ""Caixa Sangria""
        )
      )
    ),
    """"
  ),
  """"
)
"),"")</f>
        <v/>
      </c>
      <c r="M406" s="207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159" t="str">
        <f>IFERROR(__xludf.DUMMYFUNCTION("ifna(VALUE(REGEXEXTRACT(E406,""[0-9.]+[,]+[0-9]+"")))"),"")</f>
        <v/>
      </c>
      <c r="O406" s="159"/>
      <c r="P406" s="159"/>
      <c r="Q406" s="159"/>
      <c r="R406" s="159"/>
      <c r="S406" s="159"/>
      <c r="T406" s="159"/>
      <c r="U406" s="159"/>
      <c r="V406" s="159"/>
      <c r="W406" s="159"/>
    </row>
    <row r="407" ht="14.25" customHeight="1">
      <c r="A407" s="32"/>
      <c r="B407" s="213"/>
      <c r="C407" s="215"/>
      <c r="D407" s="170"/>
      <c r="E407" s="216"/>
      <c r="F407" s="170"/>
      <c r="G407" s="170"/>
      <c r="H407" s="170"/>
      <c r="I407" s="170"/>
      <c r="J407" s="169"/>
      <c r="K407" s="169"/>
      <c r="L407" s="157" t="str">
        <f>IFERROR(__xludf.DUMMYFUNCTION("IF(
  AND(D407=""Saída"", J407=""Sangria""),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'""&amp;K407&amp;""'
             and Col6 = ""&amp;N407&amp;""
             and Col4 = date '""&amp;TEXT(C407,""yyyy-mm-dd"")&amp;""'""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'""&amp;K407&amp;""'
               and Col6 = ""&amp;N407&amp;""
               and Col4 = date '""&amp;TEXT(C407,""yyyy-mm-dd"")&amp;""'""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'""&amp;"&amp;"K407&amp;""'
                 and Col6 = ""&amp;N407&amp;""
                 and Col4 = date '""&amp;TEXT(C407,""yyyy-mm-dd"")&amp;""'""
            )
          )&gt;0,
          ""Confirmada"",
          ""Caixa Sangria""
        )
      )
    ),
    """"
  ),
  """"
)
"),"")</f>
        <v/>
      </c>
      <c r="M407" s="209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159" t="str">
        <f>IFERROR(__xludf.DUMMYFUNCTION("ifna(VALUE(REGEXEXTRACT(E407,""[0-9.]+[,]+[0-9]+"")))"),"")</f>
        <v/>
      </c>
      <c r="O407" s="159"/>
      <c r="P407" s="159"/>
      <c r="Q407" s="159"/>
      <c r="R407" s="159"/>
      <c r="S407" s="159"/>
      <c r="T407" s="159"/>
      <c r="U407" s="159"/>
      <c r="V407" s="159"/>
      <c r="W407" s="159"/>
    </row>
    <row r="408" ht="14.25" customHeight="1">
      <c r="A408" s="32"/>
      <c r="B408" s="213"/>
      <c r="C408" s="215"/>
      <c r="D408" s="170"/>
      <c r="E408" s="216"/>
      <c r="F408" s="170"/>
      <c r="G408" s="170"/>
      <c r="H408" s="170"/>
      <c r="I408" s="170"/>
      <c r="J408" s="169"/>
      <c r="K408" s="169"/>
      <c r="L408" s="157" t="str">
        <f>IFERROR(__xludf.DUMMYFUNCTION("IF(
  AND(D408=""Saída"", J408=""Sangria""),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'""&amp;K408&amp;""'
             and Col6 = ""&amp;N408&amp;""
             and Col4 = date '""&amp;TEXT(C408,""yyyy-mm-dd"")&amp;""'""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'""&amp;K408&amp;""'
               and Col6 = ""&amp;N408&amp;""
               and Col4 = date '""&amp;TEXT(C408,""yyyy-mm-dd"")&amp;""'""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'""&amp;"&amp;"K408&amp;""'
                 and Col6 = ""&amp;N408&amp;""
                 and Col4 = date '""&amp;TEXT(C408,""yyyy-mm-dd"")&amp;""'""
            )
          )&gt;0,
          ""Confirmada"",
          ""Caixa Sangria""
        )
      )
    ),
    """"
  ),
  """"
)
"),"")</f>
        <v/>
      </c>
      <c r="M408" s="207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159" t="str">
        <f>IFERROR(__xludf.DUMMYFUNCTION("ifna(VALUE(REGEXEXTRACT(E408,""[0-9.]+[,]+[0-9]+"")))"),"")</f>
        <v/>
      </c>
      <c r="O408" s="159"/>
      <c r="P408" s="159"/>
      <c r="Q408" s="159"/>
      <c r="R408" s="159"/>
      <c r="S408" s="159"/>
      <c r="T408" s="159"/>
      <c r="U408" s="159"/>
      <c r="V408" s="159"/>
      <c r="W408" s="159"/>
    </row>
    <row r="409" ht="14.25" customHeight="1">
      <c r="A409" s="32"/>
      <c r="B409" s="213"/>
      <c r="C409" s="215"/>
      <c r="D409" s="170"/>
      <c r="E409" s="216"/>
      <c r="F409" s="170"/>
      <c r="G409" s="170"/>
      <c r="H409" s="170"/>
      <c r="I409" s="170"/>
      <c r="J409" s="169"/>
      <c r="K409" s="169"/>
      <c r="L409" s="157" t="str">
        <f>IFERROR(__xludf.DUMMYFUNCTION("IF(
  AND(D409=""Saída"", J409=""Sangria""),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'""&amp;K409&amp;""'
             and Col6 = ""&amp;N409&amp;""
             and Col4 = date '""&amp;TEXT(C409,""yyyy-mm-dd"")&amp;""'""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'""&amp;K409&amp;""'
               and Col6 = ""&amp;N409&amp;""
               and Col4 = date '""&amp;TEXT(C409,""yyyy-mm-dd"")&amp;""'""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'""&amp;"&amp;"K409&amp;""'
                 and Col6 = ""&amp;N409&amp;""
                 and Col4 = date '""&amp;TEXT(C409,""yyyy-mm-dd"")&amp;""'""
            )
          )&gt;0,
          ""Confirmada"",
          ""Caixa Sangria""
        )
      )
    ),
    """"
  ),
  """"
)
"),"")</f>
        <v/>
      </c>
      <c r="M409" s="209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159" t="str">
        <f>IFERROR(__xludf.DUMMYFUNCTION("ifna(VALUE(REGEXEXTRACT(E409,""[0-9.]+[,]+[0-9]+"")))"),"")</f>
        <v/>
      </c>
      <c r="O409" s="159"/>
      <c r="P409" s="159"/>
      <c r="Q409" s="159"/>
      <c r="R409" s="159"/>
      <c r="S409" s="159"/>
      <c r="T409" s="159"/>
      <c r="U409" s="159"/>
      <c r="V409" s="159"/>
      <c r="W409" s="159"/>
    </row>
    <row r="410" ht="14.25" customHeight="1">
      <c r="A410" s="32"/>
      <c r="B410" s="213"/>
      <c r="C410" s="215"/>
      <c r="D410" s="170"/>
      <c r="E410" s="216"/>
      <c r="F410" s="170"/>
      <c r="G410" s="170"/>
      <c r="H410" s="170"/>
      <c r="I410" s="170"/>
      <c r="J410" s="169"/>
      <c r="K410" s="169"/>
      <c r="L410" s="157" t="str">
        <f>IFERROR(__xludf.DUMMYFUNCTION("IF(
  AND(D410=""Saída"", J410=""Sangria""),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'""&amp;K410&amp;""'
             and Col6 = ""&amp;N410&amp;""
             and Col4 = date '""&amp;TEXT(C410,""yyyy-mm-dd"")&amp;""'""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'""&amp;K410&amp;""'
               and Col6 = ""&amp;N410&amp;""
               and Col4 = date '""&amp;TEXT(C410,""yyyy-mm-dd"")&amp;""'""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'""&amp;"&amp;"K410&amp;""'
                 and Col6 = ""&amp;N410&amp;""
                 and Col4 = date '""&amp;TEXT(C410,""yyyy-mm-dd"")&amp;""'""
            )
          )&gt;0,
          ""Confirmada"",
          ""Caixa Sangria""
        )
      )
    ),
    """"
  ),
  """"
)
"),"")</f>
        <v/>
      </c>
      <c r="M410" s="207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159" t="str">
        <f>IFERROR(__xludf.DUMMYFUNCTION("ifna(VALUE(REGEXEXTRACT(E410,""[0-9.]+[,]+[0-9]+"")))"),"")</f>
        <v/>
      </c>
      <c r="O410" s="159"/>
      <c r="P410" s="159"/>
      <c r="Q410" s="159"/>
      <c r="R410" s="159"/>
      <c r="S410" s="159"/>
      <c r="T410" s="159"/>
      <c r="U410" s="159"/>
      <c r="V410" s="159"/>
      <c r="W410" s="159"/>
    </row>
    <row r="411" ht="14.25" customHeight="1">
      <c r="A411" s="32"/>
      <c r="B411" s="213"/>
      <c r="C411" s="215"/>
      <c r="D411" s="170"/>
      <c r="E411" s="216"/>
      <c r="F411" s="170"/>
      <c r="G411" s="170"/>
      <c r="H411" s="170"/>
      <c r="I411" s="170"/>
      <c r="J411" s="169"/>
      <c r="K411" s="169"/>
      <c r="L411" s="157" t="str">
        <f>IFERROR(__xludf.DUMMYFUNCTION("IF(
  AND(D411=""Saída"", J411=""Sangria""),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'""&amp;K411&amp;""'
             and Col6 = ""&amp;N411&amp;""
             and Col4 = date '""&amp;TEXT(C411,""yyyy-mm-dd"")&amp;""'""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'""&amp;K411&amp;""'
               and Col6 = ""&amp;N411&amp;""
               and Col4 = date '""&amp;TEXT(C411,""yyyy-mm-dd"")&amp;""'""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'""&amp;"&amp;"K411&amp;""'
                 and Col6 = ""&amp;N411&amp;""
                 and Col4 = date '""&amp;TEXT(C411,""yyyy-mm-dd"")&amp;""'""
            )
          )&gt;0,
          ""Confirmada"",
          ""Caixa Sangria""
        )
      )
    ),
    """"
  ),
  """"
)
"),"")</f>
        <v/>
      </c>
      <c r="M411" s="209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159" t="str">
        <f>IFERROR(__xludf.DUMMYFUNCTION("ifna(VALUE(REGEXEXTRACT(E411,""[0-9.]+[,]+[0-9]+"")))"),"")</f>
        <v/>
      </c>
      <c r="O411" s="159"/>
      <c r="P411" s="159"/>
      <c r="Q411" s="159"/>
      <c r="R411" s="159"/>
      <c r="S411" s="159"/>
      <c r="T411" s="159"/>
      <c r="U411" s="159"/>
      <c r="V411" s="159"/>
      <c r="W411" s="159"/>
    </row>
    <row r="412" ht="14.25" customHeight="1">
      <c r="A412" s="32"/>
      <c r="B412" s="213"/>
      <c r="C412" s="215"/>
      <c r="D412" s="170"/>
      <c r="E412" s="216"/>
      <c r="F412" s="170"/>
      <c r="G412" s="170"/>
      <c r="H412" s="170"/>
      <c r="I412" s="170"/>
      <c r="J412" s="169"/>
      <c r="K412" s="169"/>
      <c r="L412" s="157" t="str">
        <f>IFERROR(__xludf.DUMMYFUNCTION("IF(
  AND(D412=""Saída"", J412=""Sangria""),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'""&amp;K412&amp;""'
             and Col6 = ""&amp;N412&amp;""
             and Col4 = date '""&amp;TEXT(C412,""yyyy-mm-dd"")&amp;""'""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'""&amp;K412&amp;""'
               and Col6 = ""&amp;N412&amp;""
               and Col4 = date '""&amp;TEXT(C412,""yyyy-mm-dd"")&amp;""'""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'""&amp;"&amp;"K412&amp;""'
                 and Col6 = ""&amp;N412&amp;""
                 and Col4 = date '""&amp;TEXT(C412,""yyyy-mm-dd"")&amp;""'""
            )
          )&gt;0,
          ""Confirmada"",
          ""Caixa Sangria""
        )
      )
    ),
    """"
  ),
  """"
)
"),"")</f>
        <v/>
      </c>
      <c r="M412" s="207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159" t="str">
        <f>IFERROR(__xludf.DUMMYFUNCTION("ifna(VALUE(REGEXEXTRACT(E412,""[0-9.]+[,]+[0-9]+"")))"),"")</f>
        <v/>
      </c>
      <c r="O412" s="159"/>
      <c r="P412" s="159"/>
      <c r="Q412" s="159"/>
      <c r="R412" s="159"/>
      <c r="S412" s="159"/>
      <c r="T412" s="159"/>
      <c r="U412" s="159"/>
      <c r="V412" s="159"/>
      <c r="W412" s="159"/>
    </row>
    <row r="413" ht="14.25" customHeight="1">
      <c r="A413" s="32"/>
      <c r="B413" s="213"/>
      <c r="C413" s="215"/>
      <c r="D413" s="170"/>
      <c r="E413" s="216"/>
      <c r="F413" s="170"/>
      <c r="G413" s="170"/>
      <c r="H413" s="170"/>
      <c r="I413" s="170"/>
      <c r="J413" s="169"/>
      <c r="K413" s="169"/>
      <c r="L413" s="157" t="str">
        <f>IFERROR(__xludf.DUMMYFUNCTION("IF(
  AND(D413=""Saída"", J413=""Sangria""),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'""&amp;K413&amp;""'
             and Col6 = ""&amp;N413&amp;""
             and Col4 = date '""&amp;TEXT(C413,""yyyy-mm-dd"")&amp;""'""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'""&amp;K413&amp;""'
               and Col6 = ""&amp;N413&amp;""
               and Col4 = date '""&amp;TEXT(C413,""yyyy-mm-dd"")&amp;""'""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'""&amp;"&amp;"K413&amp;""'
                 and Col6 = ""&amp;N413&amp;""
                 and Col4 = date '""&amp;TEXT(C413,""yyyy-mm-dd"")&amp;""'""
            )
          )&gt;0,
          ""Confirmada"",
          ""Caixa Sangria""
        )
      )
    ),
    """"
  ),
  """"
)
"),"")</f>
        <v/>
      </c>
      <c r="M413" s="209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159" t="str">
        <f>IFERROR(__xludf.DUMMYFUNCTION("ifna(VALUE(REGEXEXTRACT(E413,""[0-9.]+[,]+[0-9]+"")))"),"")</f>
        <v/>
      </c>
      <c r="O413" s="159"/>
      <c r="P413" s="159"/>
      <c r="Q413" s="159"/>
      <c r="R413" s="159"/>
      <c r="S413" s="159"/>
      <c r="T413" s="159"/>
      <c r="U413" s="159"/>
      <c r="V413" s="159"/>
      <c r="W413" s="159"/>
    </row>
    <row r="414" ht="14.25" customHeight="1">
      <c r="A414" s="32"/>
      <c r="B414" s="213"/>
      <c r="C414" s="215"/>
      <c r="D414" s="170"/>
      <c r="E414" s="216"/>
      <c r="F414" s="170"/>
      <c r="G414" s="170"/>
      <c r="H414" s="170"/>
      <c r="I414" s="170"/>
      <c r="J414" s="169"/>
      <c r="K414" s="169"/>
      <c r="L414" s="157" t="str">
        <f>IFERROR(__xludf.DUMMYFUNCTION("IF(
  AND(D414=""Saída"", J414=""Sangria""),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'""&amp;K414&amp;""'
             and Col6 = ""&amp;N414&amp;""
             and Col4 = date '""&amp;TEXT(C414,""yyyy-mm-dd"")&amp;""'""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'""&amp;K414&amp;""'
               and Col6 = ""&amp;N414&amp;""
               and Col4 = date '""&amp;TEXT(C414,""yyyy-mm-dd"")&amp;""'""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'""&amp;"&amp;"K414&amp;""'
                 and Col6 = ""&amp;N414&amp;""
                 and Col4 = date '""&amp;TEXT(C414,""yyyy-mm-dd"")&amp;""'""
            )
          )&gt;0,
          ""Confirmada"",
          ""Caixa Sangria""
        )
      )
    ),
    """"
  ),
  """"
)
"),"")</f>
        <v/>
      </c>
      <c r="M414" s="207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159" t="str">
        <f>IFERROR(__xludf.DUMMYFUNCTION("ifna(VALUE(REGEXEXTRACT(E414,""[0-9.]+[,]+[0-9]+"")))"),"")</f>
        <v/>
      </c>
      <c r="O414" s="159"/>
      <c r="P414" s="159"/>
      <c r="Q414" s="159"/>
      <c r="R414" s="159"/>
      <c r="S414" s="159"/>
      <c r="T414" s="159"/>
      <c r="U414" s="159"/>
      <c r="V414" s="159"/>
      <c r="W414" s="159"/>
    </row>
    <row r="415" ht="14.25" customHeight="1">
      <c r="A415" s="32"/>
      <c r="B415" s="213"/>
      <c r="C415" s="215"/>
      <c r="D415" s="170"/>
      <c r="E415" s="216"/>
      <c r="F415" s="170"/>
      <c r="G415" s="170"/>
      <c r="H415" s="170"/>
      <c r="I415" s="170"/>
      <c r="J415" s="169"/>
      <c r="K415" s="169"/>
      <c r="L415" s="157" t="str">
        <f>IFERROR(__xludf.DUMMYFUNCTION("IF(
  AND(D415=""Saída"", J415=""Sangria""),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'""&amp;K415&amp;""'
             and Col6 = ""&amp;N415&amp;""
             and Col4 = date '""&amp;TEXT(C415,""yyyy-mm-dd"")&amp;""'""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'""&amp;K415&amp;""'
               and Col6 = ""&amp;N415&amp;""
               and Col4 = date '""&amp;TEXT(C415,""yyyy-mm-dd"")&amp;""'""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'""&amp;"&amp;"K415&amp;""'
                 and Col6 = ""&amp;N415&amp;""
                 and Col4 = date '""&amp;TEXT(C415,""yyyy-mm-dd"")&amp;""'""
            )
          )&gt;0,
          ""Confirmada"",
          ""Caixa Sangria""
        )
      )
    ),
    """"
  ),
  """"
)
"),"")</f>
        <v/>
      </c>
      <c r="M415" s="209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159" t="str">
        <f>IFERROR(__xludf.DUMMYFUNCTION("ifna(VALUE(REGEXEXTRACT(E415,""[0-9.]+[,]+[0-9]+"")))"),"")</f>
        <v/>
      </c>
      <c r="O415" s="159"/>
      <c r="P415" s="159"/>
      <c r="Q415" s="159"/>
      <c r="R415" s="159"/>
      <c r="S415" s="159"/>
      <c r="T415" s="159"/>
      <c r="U415" s="159"/>
      <c r="V415" s="159"/>
      <c r="W415" s="159"/>
    </row>
    <row r="416" ht="14.25" customHeight="1">
      <c r="A416" s="32"/>
      <c r="B416" s="213"/>
      <c r="C416" s="215"/>
      <c r="D416" s="170"/>
      <c r="E416" s="216"/>
      <c r="F416" s="170"/>
      <c r="G416" s="170"/>
      <c r="H416" s="170"/>
      <c r="I416" s="170"/>
      <c r="J416" s="169"/>
      <c r="K416" s="169"/>
      <c r="L416" s="157" t="str">
        <f>IFERROR(__xludf.DUMMYFUNCTION("IF(
  AND(D416=""Saída"", J416=""Sangria""),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'""&amp;K416&amp;""'
             and Col6 = ""&amp;N416&amp;""
             and Col4 = date '""&amp;TEXT(C416,""yyyy-mm-dd"")&amp;""'""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'""&amp;K416&amp;""'
               and Col6 = ""&amp;N416&amp;""
               and Col4 = date '""&amp;TEXT(C416,""yyyy-mm-dd"")&amp;""'""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'""&amp;"&amp;"K416&amp;""'
                 and Col6 = ""&amp;N416&amp;""
                 and Col4 = date '""&amp;TEXT(C416,""yyyy-mm-dd"")&amp;""'""
            )
          )&gt;0,
          ""Confirmada"",
          ""Caixa Sangria""
        )
      )
    ),
    """"
  ),
  """"
)
"),"")</f>
        <v/>
      </c>
      <c r="M416" s="207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159" t="str">
        <f>IFERROR(__xludf.DUMMYFUNCTION("ifna(VALUE(REGEXEXTRACT(E416,""[0-9.]+[,]+[0-9]+"")))"),"")</f>
        <v/>
      </c>
      <c r="O416" s="159"/>
      <c r="P416" s="159"/>
      <c r="Q416" s="159"/>
      <c r="R416" s="159"/>
      <c r="S416" s="159"/>
      <c r="T416" s="159"/>
      <c r="U416" s="159"/>
      <c r="V416" s="159"/>
      <c r="W416" s="159"/>
    </row>
    <row r="417" ht="14.25" customHeight="1">
      <c r="A417" s="32"/>
      <c r="B417" s="213"/>
      <c r="C417" s="215"/>
      <c r="D417" s="170"/>
      <c r="E417" s="216"/>
      <c r="F417" s="170"/>
      <c r="G417" s="170"/>
      <c r="H417" s="170"/>
      <c r="I417" s="170"/>
      <c r="J417" s="169"/>
      <c r="K417" s="169"/>
      <c r="L417" s="157" t="str">
        <f>IFERROR(__xludf.DUMMYFUNCTION("IF(
  AND(D417=""Saída"", J417=""Sangria""),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'""&amp;K417&amp;""'
             and Col6 = ""&amp;N417&amp;""
             and Col4 = date '""&amp;TEXT(C417,""yyyy-mm-dd"")&amp;""'""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'""&amp;K417&amp;""'
               and Col6 = ""&amp;N417&amp;""
               and Col4 = date '""&amp;TEXT(C417,""yyyy-mm-dd"")&amp;""'""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'""&amp;"&amp;"K417&amp;""'
                 and Col6 = ""&amp;N417&amp;""
                 and Col4 = date '""&amp;TEXT(C417,""yyyy-mm-dd"")&amp;""'""
            )
          )&gt;0,
          ""Confirmada"",
          ""Caixa Sangria""
        )
      )
    ),
    """"
  ),
  """"
)
"),"")</f>
        <v/>
      </c>
      <c r="M417" s="209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159" t="str">
        <f>IFERROR(__xludf.DUMMYFUNCTION("ifna(VALUE(REGEXEXTRACT(E417,""[0-9.]+[,]+[0-9]+"")))"),"")</f>
        <v/>
      </c>
      <c r="O417" s="159"/>
      <c r="P417" s="159"/>
      <c r="Q417" s="159"/>
      <c r="R417" s="159"/>
      <c r="S417" s="159"/>
      <c r="T417" s="159"/>
      <c r="U417" s="159"/>
      <c r="V417" s="159"/>
      <c r="W417" s="159"/>
    </row>
    <row r="418" ht="14.25" customHeight="1">
      <c r="A418" s="32"/>
      <c r="B418" s="213"/>
      <c r="C418" s="215"/>
      <c r="D418" s="170"/>
      <c r="E418" s="216"/>
      <c r="F418" s="170"/>
      <c r="G418" s="170"/>
      <c r="H418" s="170"/>
      <c r="I418" s="170"/>
      <c r="J418" s="169"/>
      <c r="K418" s="169"/>
      <c r="L418" s="157" t="str">
        <f>IFERROR(__xludf.DUMMYFUNCTION("IF(
  AND(D418=""Saída"", J418=""Sangria""),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'""&amp;K418&amp;""'
             and Col6 = ""&amp;N418&amp;""
             and Col4 = date '""&amp;TEXT(C418,""yyyy-mm-dd"")&amp;""'""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'""&amp;K418&amp;""'
               and Col6 = ""&amp;N418&amp;""
               and Col4 = date '""&amp;TEXT(C418,""yyyy-mm-dd"")&amp;""'""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'""&amp;"&amp;"K418&amp;""'
                 and Col6 = ""&amp;N418&amp;""
                 and Col4 = date '""&amp;TEXT(C418,""yyyy-mm-dd"")&amp;""'""
            )
          )&gt;0,
          ""Confirmada"",
          ""Caixa Sangria""
        )
      )
    ),
    """"
  ),
  """"
)
"),"")</f>
        <v/>
      </c>
      <c r="M418" s="207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159" t="str">
        <f>IFERROR(__xludf.DUMMYFUNCTION("ifna(VALUE(REGEXEXTRACT(E418,""[0-9.]+[,]+[0-9]+"")))"),"")</f>
        <v/>
      </c>
      <c r="O418" s="159"/>
      <c r="P418" s="159"/>
      <c r="Q418" s="159"/>
      <c r="R418" s="159"/>
      <c r="S418" s="159"/>
      <c r="T418" s="159"/>
      <c r="U418" s="159"/>
      <c r="V418" s="159"/>
      <c r="W418" s="159"/>
    </row>
    <row r="419" ht="14.25" customHeight="1">
      <c r="A419" s="32"/>
      <c r="B419" s="213"/>
      <c r="C419" s="215"/>
      <c r="D419" s="170"/>
      <c r="E419" s="216"/>
      <c r="F419" s="170"/>
      <c r="G419" s="170"/>
      <c r="H419" s="170"/>
      <c r="I419" s="170"/>
      <c r="J419" s="169"/>
      <c r="K419" s="169"/>
      <c r="L419" s="157" t="str">
        <f>IFERROR(__xludf.DUMMYFUNCTION("IF(
  AND(D419=""Saída"", J419=""Sangria""),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'""&amp;K419&amp;""'
             and Col6 = ""&amp;N419&amp;""
             and Col4 = date '""&amp;TEXT(C419,""yyyy-mm-dd"")&amp;""'""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'""&amp;K419&amp;""'
               and Col6 = ""&amp;N419&amp;""
               and Col4 = date '""&amp;TEXT(C419,""yyyy-mm-dd"")&amp;""'""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'""&amp;"&amp;"K419&amp;""'
                 and Col6 = ""&amp;N419&amp;""
                 and Col4 = date '""&amp;TEXT(C419,""yyyy-mm-dd"")&amp;""'""
            )
          )&gt;0,
          ""Confirmada"",
          ""Caixa Sangria""
        )
      )
    ),
    """"
  ),
  """"
)
"),"")</f>
        <v/>
      </c>
      <c r="M419" s="209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159" t="str">
        <f>IFERROR(__xludf.DUMMYFUNCTION("ifna(VALUE(REGEXEXTRACT(E419,""[0-9.]+[,]+[0-9]+"")))"),"")</f>
        <v/>
      </c>
      <c r="O419" s="159"/>
      <c r="P419" s="159"/>
      <c r="Q419" s="159"/>
      <c r="R419" s="159"/>
      <c r="S419" s="159"/>
      <c r="T419" s="159"/>
      <c r="U419" s="159"/>
      <c r="V419" s="159"/>
      <c r="W419" s="159"/>
    </row>
    <row r="420" ht="14.25" customHeight="1">
      <c r="A420" s="32"/>
      <c r="B420" s="213"/>
      <c r="C420" s="215"/>
      <c r="D420" s="170"/>
      <c r="E420" s="216"/>
      <c r="F420" s="170"/>
      <c r="G420" s="170"/>
      <c r="H420" s="170"/>
      <c r="I420" s="170"/>
      <c r="J420" s="169"/>
      <c r="K420" s="169"/>
      <c r="L420" s="157" t="str">
        <f>IFERROR(__xludf.DUMMYFUNCTION("IF(
  AND(D420=""Saída"", J420=""Sangria""),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'""&amp;K420&amp;""'
             and Col6 = ""&amp;N420&amp;""
             and Col4 = date '""&amp;TEXT(C420,""yyyy-mm-dd"")&amp;""'""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'""&amp;K420&amp;""'
               and Col6 = ""&amp;N420&amp;""
               and Col4 = date '""&amp;TEXT(C420,""yyyy-mm-dd"")&amp;""'""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'""&amp;"&amp;"K420&amp;""'
                 and Col6 = ""&amp;N420&amp;""
                 and Col4 = date '""&amp;TEXT(C420,""yyyy-mm-dd"")&amp;""'""
            )
          )&gt;0,
          ""Confirmada"",
          ""Caixa Sangria""
        )
      )
    ),
    """"
  ),
  """"
)
"),"")</f>
        <v/>
      </c>
      <c r="M420" s="207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159" t="str">
        <f>IFERROR(__xludf.DUMMYFUNCTION("ifna(VALUE(REGEXEXTRACT(E420,""[0-9.]+[,]+[0-9]+"")))"),"")</f>
        <v/>
      </c>
      <c r="O420" s="159"/>
      <c r="P420" s="159"/>
      <c r="Q420" s="159"/>
      <c r="R420" s="159"/>
      <c r="S420" s="159"/>
      <c r="T420" s="159"/>
      <c r="U420" s="159"/>
      <c r="V420" s="159"/>
      <c r="W420" s="159"/>
    </row>
    <row r="421" ht="14.25" customHeight="1">
      <c r="A421" s="32"/>
      <c r="B421" s="213"/>
      <c r="C421" s="215"/>
      <c r="D421" s="170"/>
      <c r="E421" s="216"/>
      <c r="F421" s="170"/>
      <c r="G421" s="170"/>
      <c r="H421" s="170"/>
      <c r="I421" s="170"/>
      <c r="J421" s="169"/>
      <c r="K421" s="169"/>
      <c r="L421" s="157" t="str">
        <f>IFERROR(__xludf.DUMMYFUNCTION("IF(
  AND(D421=""Saída"", J421=""Sangria""),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'""&amp;K421&amp;""'
             and Col6 = ""&amp;N421&amp;""
             and Col4 = date '""&amp;TEXT(C421,""yyyy-mm-dd"")&amp;""'""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'""&amp;K421&amp;""'
               and Col6 = ""&amp;N421&amp;""
               and Col4 = date '""&amp;TEXT(C421,""yyyy-mm-dd"")&amp;""'""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'""&amp;"&amp;"K421&amp;""'
                 and Col6 = ""&amp;N421&amp;""
                 and Col4 = date '""&amp;TEXT(C421,""yyyy-mm-dd"")&amp;""'""
            )
          )&gt;0,
          ""Confirmada"",
          ""Caixa Sangria""
        )
      )
    ),
    """"
  ),
  """"
)
"),"")</f>
        <v/>
      </c>
      <c r="M421" s="209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159" t="str">
        <f>IFERROR(__xludf.DUMMYFUNCTION("ifna(VALUE(REGEXEXTRACT(E421,""[0-9.]+[,]+[0-9]+"")))"),"")</f>
        <v/>
      </c>
      <c r="O421" s="159"/>
      <c r="P421" s="159"/>
      <c r="Q421" s="159"/>
      <c r="R421" s="159"/>
      <c r="S421" s="159"/>
      <c r="T421" s="159"/>
      <c r="U421" s="159"/>
      <c r="V421" s="159"/>
      <c r="W421" s="159"/>
    </row>
    <row r="422" ht="14.25" customHeight="1">
      <c r="A422" s="32"/>
      <c r="B422" s="213"/>
      <c r="C422" s="215"/>
      <c r="D422" s="170"/>
      <c r="E422" s="216"/>
      <c r="F422" s="170"/>
      <c r="G422" s="170"/>
      <c r="H422" s="170"/>
      <c r="I422" s="170"/>
      <c r="J422" s="169"/>
      <c r="K422" s="169"/>
      <c r="L422" s="157" t="str">
        <f>IFERROR(__xludf.DUMMYFUNCTION("IF(
  AND(D422=""Saída"", J422=""Sangria""),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'""&amp;K422&amp;""'
             and Col6 = ""&amp;N422&amp;""
             and Col4 = date '""&amp;TEXT(C422,""yyyy-mm-dd"")&amp;""'""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'""&amp;K422&amp;""'
               and Col6 = ""&amp;N422&amp;""
               and Col4 = date '""&amp;TEXT(C422,""yyyy-mm-dd"")&amp;""'""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'""&amp;"&amp;"K422&amp;""'
                 and Col6 = ""&amp;N422&amp;""
                 and Col4 = date '""&amp;TEXT(C422,""yyyy-mm-dd"")&amp;""'""
            )
          )&gt;0,
          ""Confirmada"",
          ""Caixa Sangria""
        )
      )
    ),
    """"
  ),
  """"
)
"),"")</f>
        <v/>
      </c>
      <c r="M422" s="207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159" t="str">
        <f>IFERROR(__xludf.DUMMYFUNCTION("ifna(VALUE(REGEXEXTRACT(E422,""[0-9.]+[,]+[0-9]+"")))"),"")</f>
        <v/>
      </c>
      <c r="O422" s="159"/>
      <c r="P422" s="159"/>
      <c r="Q422" s="159"/>
      <c r="R422" s="159"/>
      <c r="S422" s="159"/>
      <c r="T422" s="159"/>
      <c r="U422" s="159"/>
      <c r="V422" s="159"/>
      <c r="W422" s="159"/>
    </row>
    <row r="423" ht="14.25" customHeight="1">
      <c r="A423" s="32"/>
      <c r="B423" s="213"/>
      <c r="C423" s="215"/>
      <c r="D423" s="170"/>
      <c r="E423" s="216"/>
      <c r="F423" s="170"/>
      <c r="G423" s="170"/>
      <c r="H423" s="170"/>
      <c r="I423" s="170"/>
      <c r="J423" s="169"/>
      <c r="K423" s="169"/>
      <c r="L423" s="157" t="str">
        <f>IFERROR(__xludf.DUMMYFUNCTION("IF(
  AND(D423=""Saída"", J423=""Sangria""),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'""&amp;K423&amp;""'
             and Col6 = ""&amp;N423&amp;""
             and Col4 = date '""&amp;TEXT(C423,""yyyy-mm-dd"")&amp;""'""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'""&amp;K423&amp;""'
               and Col6 = ""&amp;N423&amp;""
               and Col4 = date '""&amp;TEXT(C423,""yyyy-mm-dd"")&amp;""'""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'""&amp;"&amp;"K423&amp;""'
                 and Col6 = ""&amp;N423&amp;""
                 and Col4 = date '""&amp;TEXT(C423,""yyyy-mm-dd"")&amp;""'""
            )
          )&gt;0,
          ""Confirmada"",
          ""Caixa Sangria""
        )
      )
    ),
    """"
  ),
  """"
)
"),"")</f>
        <v/>
      </c>
      <c r="M423" s="209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159" t="str">
        <f>IFERROR(__xludf.DUMMYFUNCTION("ifna(VALUE(REGEXEXTRACT(E423,""[0-9.]+[,]+[0-9]+"")))"),"")</f>
        <v/>
      </c>
      <c r="O423" s="159"/>
      <c r="P423" s="159"/>
      <c r="Q423" s="159"/>
      <c r="R423" s="159"/>
      <c r="S423" s="159"/>
      <c r="T423" s="159"/>
      <c r="U423" s="159"/>
      <c r="V423" s="159"/>
      <c r="W423" s="159"/>
    </row>
    <row r="424" ht="14.25" customHeight="1">
      <c r="A424" s="32"/>
      <c r="B424" s="213"/>
      <c r="C424" s="215"/>
      <c r="D424" s="170"/>
      <c r="E424" s="216"/>
      <c r="F424" s="170"/>
      <c r="G424" s="170"/>
      <c r="H424" s="170"/>
      <c r="I424" s="170"/>
      <c r="J424" s="169"/>
      <c r="K424" s="169"/>
      <c r="L424" s="157" t="str">
        <f>IFERROR(__xludf.DUMMYFUNCTION("IF(
  AND(D424=""Saída"", J424=""Sangria""),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'""&amp;K424&amp;""'
             and Col6 = ""&amp;N424&amp;""
             and Col4 = date '""&amp;TEXT(C424,""yyyy-mm-dd"")&amp;""'""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'""&amp;K424&amp;""'
               and Col6 = ""&amp;N424&amp;""
               and Col4 = date '""&amp;TEXT(C424,""yyyy-mm-dd"")&amp;""'""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'""&amp;"&amp;"K424&amp;""'
                 and Col6 = ""&amp;N424&amp;""
                 and Col4 = date '""&amp;TEXT(C424,""yyyy-mm-dd"")&amp;""'""
            )
          )&gt;0,
          ""Confirmada"",
          ""Caixa Sangria""
        )
      )
    ),
    """"
  ),
  """"
)
"),"")</f>
        <v/>
      </c>
      <c r="M424" s="207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159" t="str">
        <f>IFERROR(__xludf.DUMMYFUNCTION("ifna(VALUE(REGEXEXTRACT(E424,""[0-9.]+[,]+[0-9]+"")))"),"")</f>
        <v/>
      </c>
      <c r="O424" s="159"/>
      <c r="P424" s="159"/>
      <c r="Q424" s="159"/>
      <c r="R424" s="159"/>
      <c r="S424" s="159"/>
      <c r="T424" s="159"/>
      <c r="U424" s="159"/>
      <c r="V424" s="159"/>
      <c r="W424" s="159"/>
    </row>
    <row r="425" ht="14.25" customHeight="1">
      <c r="A425" s="32"/>
      <c r="B425" s="213"/>
      <c r="C425" s="215"/>
      <c r="D425" s="170"/>
      <c r="E425" s="216"/>
      <c r="F425" s="170"/>
      <c r="G425" s="170"/>
      <c r="H425" s="170"/>
      <c r="I425" s="170"/>
      <c r="J425" s="169"/>
      <c r="K425" s="169"/>
      <c r="L425" s="157" t="str">
        <f>IFERROR(__xludf.DUMMYFUNCTION("IF(
  AND(D425=""Saída"", J425=""Sangria""),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'""&amp;K425&amp;""'
             and Col6 = ""&amp;N425&amp;""
             and Col4 = date '""&amp;TEXT(C425,""yyyy-mm-dd"")&amp;""'""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'""&amp;K425&amp;""'
               and Col6 = ""&amp;N425&amp;""
               and Col4 = date '""&amp;TEXT(C425,""yyyy-mm-dd"")&amp;""'""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'""&amp;"&amp;"K425&amp;""'
                 and Col6 = ""&amp;N425&amp;""
                 and Col4 = date '""&amp;TEXT(C425,""yyyy-mm-dd"")&amp;""'""
            )
          )&gt;0,
          ""Confirmada"",
          ""Caixa Sangria""
        )
      )
    ),
    """"
  ),
  """"
)
"),"")</f>
        <v/>
      </c>
      <c r="M425" s="209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159" t="str">
        <f>IFERROR(__xludf.DUMMYFUNCTION("ifna(VALUE(REGEXEXTRACT(E425,""[0-9.]+[,]+[0-9]+"")))"),"")</f>
        <v/>
      </c>
      <c r="O425" s="159"/>
      <c r="P425" s="159"/>
      <c r="Q425" s="159"/>
      <c r="R425" s="159"/>
      <c r="S425" s="159"/>
      <c r="T425" s="159"/>
      <c r="U425" s="159"/>
      <c r="V425" s="159"/>
      <c r="W425" s="159"/>
    </row>
    <row r="426" ht="14.25" customHeight="1">
      <c r="A426" s="32"/>
      <c r="B426" s="213"/>
      <c r="C426" s="215"/>
      <c r="D426" s="170"/>
      <c r="E426" s="216"/>
      <c r="F426" s="170"/>
      <c r="G426" s="170"/>
      <c r="H426" s="170"/>
      <c r="I426" s="170"/>
      <c r="J426" s="169"/>
      <c r="K426" s="169"/>
      <c r="L426" s="157" t="str">
        <f>IFERROR(__xludf.DUMMYFUNCTION("IF(
  AND(D426=""Saída"", J426=""Sangria""),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'""&amp;K426&amp;""'
             and Col6 = ""&amp;N426&amp;""
             and Col4 = date '""&amp;TEXT(C426,""yyyy-mm-dd"")&amp;""'""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'""&amp;K426&amp;""'
               and Col6 = ""&amp;N426&amp;""
               and Col4 = date '""&amp;TEXT(C426,""yyyy-mm-dd"")&amp;""'""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'""&amp;"&amp;"K426&amp;""'
                 and Col6 = ""&amp;N426&amp;""
                 and Col4 = date '""&amp;TEXT(C426,""yyyy-mm-dd"")&amp;""'""
            )
          )&gt;0,
          ""Confirmada"",
          ""Caixa Sangria""
        )
      )
    ),
    """"
  ),
  """"
)
"),"")</f>
        <v/>
      </c>
      <c r="M426" s="207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159" t="str">
        <f>IFERROR(__xludf.DUMMYFUNCTION("ifna(VALUE(REGEXEXTRACT(E426,""[0-9.]+[,]+[0-9]+"")))"),"")</f>
        <v/>
      </c>
      <c r="O426" s="159"/>
      <c r="P426" s="159"/>
      <c r="Q426" s="159"/>
      <c r="R426" s="159"/>
      <c r="S426" s="159"/>
      <c r="T426" s="159"/>
      <c r="U426" s="159"/>
      <c r="V426" s="159"/>
      <c r="W426" s="159"/>
    </row>
    <row r="427" ht="14.25" customHeight="1">
      <c r="A427" s="32"/>
      <c r="B427" s="213"/>
      <c r="C427" s="215"/>
      <c r="D427" s="170"/>
      <c r="E427" s="216"/>
      <c r="F427" s="170"/>
      <c r="G427" s="170"/>
      <c r="H427" s="170"/>
      <c r="I427" s="170"/>
      <c r="J427" s="169"/>
      <c r="K427" s="169"/>
      <c r="L427" s="157" t="str">
        <f>IFERROR(__xludf.DUMMYFUNCTION("IF(
  AND(D427=""Saída"", J427=""Sangria""),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'""&amp;K427&amp;""'
             and Col6 = ""&amp;N427&amp;""
             and Col4 = date '""&amp;TEXT(C427,""yyyy-mm-dd"")&amp;""'""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'""&amp;K427&amp;""'
               and Col6 = ""&amp;N427&amp;""
               and Col4 = date '""&amp;TEXT(C427,""yyyy-mm-dd"")&amp;""'""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'""&amp;"&amp;"K427&amp;""'
                 and Col6 = ""&amp;N427&amp;""
                 and Col4 = date '""&amp;TEXT(C427,""yyyy-mm-dd"")&amp;""'""
            )
          )&gt;0,
          ""Confirmada"",
          ""Caixa Sangria""
        )
      )
    ),
    """"
  ),
  """"
)
"),"")</f>
        <v/>
      </c>
      <c r="M427" s="209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159" t="str">
        <f>IFERROR(__xludf.DUMMYFUNCTION("ifna(VALUE(REGEXEXTRACT(E427,""[0-9.]+[,]+[0-9]+"")))"),"")</f>
        <v/>
      </c>
      <c r="O427" s="159"/>
      <c r="P427" s="159"/>
      <c r="Q427" s="159"/>
      <c r="R427" s="159"/>
      <c r="S427" s="159"/>
      <c r="T427" s="159"/>
      <c r="U427" s="159"/>
      <c r="V427" s="159"/>
      <c r="W427" s="159"/>
    </row>
    <row r="428" ht="14.25" customHeight="1">
      <c r="A428" s="32"/>
      <c r="B428" s="213"/>
      <c r="C428" s="215"/>
      <c r="D428" s="170"/>
      <c r="E428" s="216"/>
      <c r="F428" s="170"/>
      <c r="G428" s="170"/>
      <c r="H428" s="170"/>
      <c r="I428" s="170"/>
      <c r="J428" s="169"/>
      <c r="K428" s="169"/>
      <c r="L428" s="157" t="str">
        <f>IFERROR(__xludf.DUMMYFUNCTION("IF(
  AND(D428=""Saída"", J428=""Sangria""),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'""&amp;K428&amp;""'
             and Col6 = ""&amp;N428&amp;""
             and Col4 = date '""&amp;TEXT(C428,""yyyy-mm-dd"")&amp;""'""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'""&amp;K428&amp;""'
               and Col6 = ""&amp;N428&amp;""
               and Col4 = date '""&amp;TEXT(C428,""yyyy-mm-dd"")&amp;""'""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'""&amp;"&amp;"K428&amp;""'
                 and Col6 = ""&amp;N428&amp;""
                 and Col4 = date '""&amp;TEXT(C428,""yyyy-mm-dd"")&amp;""'""
            )
          )&gt;0,
          ""Confirmada"",
          ""Caixa Sangria""
        )
      )
    ),
    """"
  ),
  """"
)
"),"")</f>
        <v/>
      </c>
      <c r="M428" s="207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159" t="str">
        <f>IFERROR(__xludf.DUMMYFUNCTION("ifna(VALUE(REGEXEXTRACT(E428,""[0-9.]+[,]+[0-9]+"")))"),"")</f>
        <v/>
      </c>
      <c r="O428" s="159"/>
      <c r="P428" s="159"/>
      <c r="Q428" s="159"/>
      <c r="R428" s="159"/>
      <c r="S428" s="159"/>
      <c r="T428" s="159"/>
      <c r="U428" s="159"/>
      <c r="V428" s="159"/>
      <c r="W428" s="159"/>
    </row>
    <row r="429" ht="14.25" customHeight="1">
      <c r="A429" s="32"/>
      <c r="B429" s="213"/>
      <c r="C429" s="215"/>
      <c r="D429" s="170"/>
      <c r="E429" s="216"/>
      <c r="F429" s="170"/>
      <c r="G429" s="170"/>
      <c r="H429" s="170"/>
      <c r="I429" s="170"/>
      <c r="J429" s="169"/>
      <c r="K429" s="169"/>
      <c r="L429" s="157" t="str">
        <f>IFERROR(__xludf.DUMMYFUNCTION("IF(
  AND(D429=""Saída"", J429=""Sangria""),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'""&amp;K429&amp;""'
             and Col6 = ""&amp;N429&amp;""
             and Col4 = date '""&amp;TEXT(C429,""yyyy-mm-dd"")&amp;""'""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'""&amp;K429&amp;""'
               and Col6 = ""&amp;N429&amp;""
               and Col4 = date '""&amp;TEXT(C429,""yyyy-mm-dd"")&amp;""'""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'""&amp;"&amp;"K429&amp;""'
                 and Col6 = ""&amp;N429&amp;""
                 and Col4 = date '""&amp;TEXT(C429,""yyyy-mm-dd"")&amp;""'""
            )
          )&gt;0,
          ""Confirmada"",
          ""Caixa Sangria""
        )
      )
    ),
    """"
  ),
  """"
)
"),"")</f>
        <v/>
      </c>
      <c r="M429" s="209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159" t="str">
        <f>IFERROR(__xludf.DUMMYFUNCTION("ifna(VALUE(REGEXEXTRACT(E429,""[0-9.]+[,]+[0-9]+"")))"),"")</f>
        <v/>
      </c>
      <c r="O429" s="159"/>
      <c r="P429" s="159"/>
      <c r="Q429" s="159"/>
      <c r="R429" s="159"/>
      <c r="S429" s="159"/>
      <c r="T429" s="159"/>
      <c r="U429" s="159"/>
      <c r="V429" s="159"/>
      <c r="W429" s="159"/>
    </row>
    <row r="430" ht="14.25" customHeight="1">
      <c r="A430" s="32"/>
      <c r="B430" s="213"/>
      <c r="C430" s="215"/>
      <c r="D430" s="170"/>
      <c r="E430" s="216"/>
      <c r="F430" s="170"/>
      <c r="G430" s="170"/>
      <c r="H430" s="170"/>
      <c r="I430" s="170"/>
      <c r="J430" s="169"/>
      <c r="K430" s="169"/>
      <c r="L430" s="157" t="str">
        <f>IFERROR(__xludf.DUMMYFUNCTION("IF(
  AND(D430=""Saída"", J430=""Sangria""),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'""&amp;K430&amp;""'
             and Col6 = ""&amp;N430&amp;""
             and Col4 = date '""&amp;TEXT(C430,""yyyy-mm-dd"")&amp;""'""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'""&amp;K430&amp;""'
               and Col6 = ""&amp;N430&amp;""
               and Col4 = date '""&amp;TEXT(C430,""yyyy-mm-dd"")&amp;""'""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'""&amp;"&amp;"K430&amp;""'
                 and Col6 = ""&amp;N430&amp;""
                 and Col4 = date '""&amp;TEXT(C430,""yyyy-mm-dd"")&amp;""'""
            )
          )&gt;0,
          ""Confirmada"",
          ""Caixa Sangria""
        )
      )
    ),
    """"
  ),
  """"
)
"),"")</f>
        <v/>
      </c>
      <c r="M430" s="207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159" t="str">
        <f>IFERROR(__xludf.DUMMYFUNCTION("ifna(VALUE(REGEXEXTRACT(E430,""[0-9.]+[,]+[0-9]+"")))"),"")</f>
        <v/>
      </c>
      <c r="O430" s="159"/>
      <c r="P430" s="159"/>
      <c r="Q430" s="159"/>
      <c r="R430" s="159"/>
      <c r="S430" s="159"/>
      <c r="T430" s="159"/>
      <c r="U430" s="159"/>
      <c r="V430" s="159"/>
      <c r="W430" s="159"/>
    </row>
    <row r="431" ht="14.25" customHeight="1">
      <c r="A431" s="32"/>
      <c r="B431" s="213"/>
      <c r="C431" s="215"/>
      <c r="D431" s="170"/>
      <c r="E431" s="216"/>
      <c r="F431" s="170"/>
      <c r="G431" s="170"/>
      <c r="H431" s="170"/>
      <c r="I431" s="170"/>
      <c r="J431" s="169"/>
      <c r="K431" s="169"/>
      <c r="L431" s="157" t="str">
        <f>IFERROR(__xludf.DUMMYFUNCTION("IF(
  AND(D431=""Saída"", J431=""Sangria""),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'""&amp;K431&amp;""'
             and Col6 = ""&amp;N431&amp;""
             and Col4 = date '""&amp;TEXT(C431,""yyyy-mm-dd"")&amp;""'""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'""&amp;K431&amp;""'
               and Col6 = ""&amp;N431&amp;""
               and Col4 = date '""&amp;TEXT(C431,""yyyy-mm-dd"")&amp;""'""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'""&amp;"&amp;"K431&amp;""'
                 and Col6 = ""&amp;N431&amp;""
                 and Col4 = date '""&amp;TEXT(C431,""yyyy-mm-dd"")&amp;""'""
            )
          )&gt;0,
          ""Confirmada"",
          ""Caixa Sangria""
        )
      )
    ),
    """"
  ),
  """"
)
"),"")</f>
        <v/>
      </c>
      <c r="M431" s="209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159" t="str">
        <f>IFERROR(__xludf.DUMMYFUNCTION("ifna(VALUE(REGEXEXTRACT(E431,""[0-9.]+[,]+[0-9]+"")))"),"")</f>
        <v/>
      </c>
      <c r="O431" s="159"/>
      <c r="P431" s="159"/>
      <c r="Q431" s="159"/>
      <c r="R431" s="159"/>
      <c r="S431" s="159"/>
      <c r="T431" s="159"/>
      <c r="U431" s="159"/>
      <c r="V431" s="159"/>
      <c r="W431" s="159"/>
    </row>
    <row r="432" ht="14.25" customHeight="1">
      <c r="A432" s="32"/>
      <c r="B432" s="213"/>
      <c r="C432" s="215"/>
      <c r="D432" s="170"/>
      <c r="E432" s="216"/>
      <c r="F432" s="170"/>
      <c r="G432" s="170"/>
      <c r="H432" s="170"/>
      <c r="I432" s="170"/>
      <c r="J432" s="169"/>
      <c r="K432" s="169"/>
      <c r="L432" s="157" t="str">
        <f>IFERROR(__xludf.DUMMYFUNCTION("IF(
  AND(D432=""Saída"", J432=""Sangria""),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'""&amp;K432&amp;""'
             and Col6 = ""&amp;N432&amp;""
             and Col4 = date '""&amp;TEXT(C432,""yyyy-mm-dd"")&amp;""'""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'""&amp;K432&amp;""'
               and Col6 = ""&amp;N432&amp;""
               and Col4 = date '""&amp;TEXT(C432,""yyyy-mm-dd"")&amp;""'""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'""&amp;"&amp;"K432&amp;""'
                 and Col6 = ""&amp;N432&amp;""
                 and Col4 = date '""&amp;TEXT(C432,""yyyy-mm-dd"")&amp;""'""
            )
          )&gt;0,
          ""Confirmada"",
          ""Caixa Sangria""
        )
      )
    ),
    """"
  ),
  """"
)
"),"")</f>
        <v/>
      </c>
      <c r="M432" s="207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159" t="str">
        <f>IFERROR(__xludf.DUMMYFUNCTION("ifna(VALUE(REGEXEXTRACT(E432,""[0-9.]+[,]+[0-9]+"")))"),"")</f>
        <v/>
      </c>
      <c r="O432" s="159"/>
      <c r="P432" s="159"/>
      <c r="Q432" s="159"/>
      <c r="R432" s="159"/>
      <c r="S432" s="159"/>
      <c r="T432" s="159"/>
      <c r="U432" s="159"/>
      <c r="V432" s="159"/>
      <c r="W432" s="159"/>
    </row>
    <row r="433" ht="14.25" customHeight="1">
      <c r="A433" s="32"/>
      <c r="B433" s="213"/>
      <c r="C433" s="215"/>
      <c r="D433" s="170"/>
      <c r="E433" s="216"/>
      <c r="F433" s="170"/>
      <c r="G433" s="170"/>
      <c r="H433" s="170"/>
      <c r="I433" s="170"/>
      <c r="J433" s="169"/>
      <c r="K433" s="169"/>
      <c r="L433" s="157" t="str">
        <f>IFERROR(__xludf.DUMMYFUNCTION("IF(
  AND(D433=""Saída"", J433=""Sangria""),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'""&amp;K433&amp;""'
             and Col6 = ""&amp;N433&amp;""
             and Col4 = date '""&amp;TEXT(C433,""yyyy-mm-dd"")&amp;""'""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'""&amp;K433&amp;""'
               and Col6 = ""&amp;N433&amp;""
               and Col4 = date '""&amp;TEXT(C433,""yyyy-mm-dd"")&amp;""'""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'""&amp;"&amp;"K433&amp;""'
                 and Col6 = ""&amp;N433&amp;""
                 and Col4 = date '""&amp;TEXT(C433,""yyyy-mm-dd"")&amp;""'""
            )
          )&gt;0,
          ""Confirmada"",
          ""Caixa Sangria""
        )
      )
    ),
    """"
  ),
  """"
)
"),"")</f>
        <v/>
      </c>
      <c r="M433" s="209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159" t="str">
        <f>IFERROR(__xludf.DUMMYFUNCTION("ifna(VALUE(REGEXEXTRACT(E433,""[0-9.]+[,]+[0-9]+"")))"),"")</f>
        <v/>
      </c>
      <c r="O433" s="159"/>
      <c r="P433" s="159"/>
      <c r="Q433" s="159"/>
      <c r="R433" s="159"/>
      <c r="S433" s="159"/>
      <c r="T433" s="159"/>
      <c r="U433" s="159"/>
      <c r="V433" s="159"/>
      <c r="W433" s="159"/>
    </row>
    <row r="434" ht="14.25" customHeight="1">
      <c r="A434" s="32"/>
      <c r="B434" s="213"/>
      <c r="C434" s="215"/>
      <c r="D434" s="170"/>
      <c r="E434" s="216"/>
      <c r="F434" s="170"/>
      <c r="G434" s="170"/>
      <c r="H434" s="170"/>
      <c r="I434" s="170"/>
      <c r="J434" s="169"/>
      <c r="K434" s="169"/>
      <c r="L434" s="157" t="str">
        <f>IFERROR(__xludf.DUMMYFUNCTION("IF(
  AND(D434=""Saída"", J434=""Sangria""),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'""&amp;K434&amp;""'
             and Col6 = ""&amp;N434&amp;""
             and Col4 = date '""&amp;TEXT(C434,""yyyy-mm-dd"")&amp;""'""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'""&amp;K434&amp;""'
               and Col6 = ""&amp;N434&amp;""
               and Col4 = date '""&amp;TEXT(C434,""yyyy-mm-dd"")&amp;""'""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'""&amp;"&amp;"K434&amp;""'
                 and Col6 = ""&amp;N434&amp;""
                 and Col4 = date '""&amp;TEXT(C434,""yyyy-mm-dd"")&amp;""'""
            )
          )&gt;0,
          ""Confirmada"",
          ""Caixa Sangria""
        )
      )
    ),
    """"
  ),
  """"
)
"),"")</f>
        <v/>
      </c>
      <c r="M434" s="207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159" t="str">
        <f>IFERROR(__xludf.DUMMYFUNCTION("ifna(VALUE(REGEXEXTRACT(E434,""[0-9.]+[,]+[0-9]+"")))"),"")</f>
        <v/>
      </c>
      <c r="O434" s="159"/>
      <c r="P434" s="159"/>
      <c r="Q434" s="159"/>
      <c r="R434" s="159"/>
      <c r="S434" s="159"/>
      <c r="T434" s="159"/>
      <c r="U434" s="159"/>
      <c r="V434" s="159"/>
      <c r="W434" s="159"/>
    </row>
    <row r="435" ht="14.25" customHeight="1">
      <c r="A435" s="32"/>
      <c r="B435" s="213"/>
      <c r="C435" s="215"/>
      <c r="D435" s="170"/>
      <c r="E435" s="216"/>
      <c r="F435" s="170"/>
      <c r="G435" s="170"/>
      <c r="H435" s="170"/>
      <c r="I435" s="170"/>
      <c r="J435" s="169"/>
      <c r="K435" s="169"/>
      <c r="L435" s="157" t="str">
        <f>IFERROR(__xludf.DUMMYFUNCTION("IF(
  AND(D435=""Saída"", J435=""Sangria""),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'""&amp;K435&amp;""'
             and Col6 = ""&amp;N435&amp;""
             and Col4 = date '""&amp;TEXT(C435,""yyyy-mm-dd"")&amp;""'""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'""&amp;K435&amp;""'
               and Col6 = ""&amp;N435&amp;""
               and Col4 = date '""&amp;TEXT(C435,""yyyy-mm-dd"")&amp;""'""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'""&amp;"&amp;"K435&amp;""'
                 and Col6 = ""&amp;N435&amp;""
                 and Col4 = date '""&amp;TEXT(C435,""yyyy-mm-dd"")&amp;""'""
            )
          )&gt;0,
          ""Confirmada"",
          ""Caixa Sangria""
        )
      )
    ),
    """"
  ),
  """"
)
"),"")</f>
        <v/>
      </c>
      <c r="M435" s="209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159" t="str">
        <f>IFERROR(__xludf.DUMMYFUNCTION("ifna(VALUE(REGEXEXTRACT(E435,""[0-9.]+[,]+[0-9]+"")))"),"")</f>
        <v/>
      </c>
      <c r="O435" s="159"/>
      <c r="P435" s="159"/>
      <c r="Q435" s="159"/>
      <c r="R435" s="159"/>
      <c r="S435" s="159"/>
      <c r="T435" s="159"/>
      <c r="U435" s="159"/>
      <c r="V435" s="159"/>
      <c r="W435" s="159"/>
    </row>
    <row r="436" ht="14.25" customHeight="1">
      <c r="A436" s="32"/>
      <c r="B436" s="213"/>
      <c r="C436" s="215"/>
      <c r="D436" s="170"/>
      <c r="E436" s="216"/>
      <c r="F436" s="170"/>
      <c r="G436" s="170"/>
      <c r="H436" s="170"/>
      <c r="I436" s="170"/>
      <c r="J436" s="169"/>
      <c r="K436" s="169"/>
      <c r="L436" s="157" t="str">
        <f>IFERROR(__xludf.DUMMYFUNCTION("IF(
  AND(D436=""Saída"", J436=""Sangria""),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'""&amp;K436&amp;""'
             and Col6 = ""&amp;N436&amp;""
             and Col4 = date '""&amp;TEXT(C436,""yyyy-mm-dd"")&amp;""'""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'""&amp;K436&amp;""'
               and Col6 = ""&amp;N436&amp;""
               and Col4 = date '""&amp;TEXT(C436,""yyyy-mm-dd"")&amp;""'""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'""&amp;"&amp;"K436&amp;""'
                 and Col6 = ""&amp;N436&amp;""
                 and Col4 = date '""&amp;TEXT(C436,""yyyy-mm-dd"")&amp;""'""
            )
          )&gt;0,
          ""Confirmada"",
          ""Caixa Sangria""
        )
      )
    ),
    """"
  ),
  """"
)
"),"")</f>
        <v/>
      </c>
      <c r="M436" s="207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159" t="str">
        <f>IFERROR(__xludf.DUMMYFUNCTION("ifna(VALUE(REGEXEXTRACT(E436,""[0-9.]+[,]+[0-9]+"")))"),"")</f>
        <v/>
      </c>
      <c r="O436" s="159"/>
      <c r="P436" s="159"/>
      <c r="Q436" s="159"/>
      <c r="R436" s="159"/>
      <c r="S436" s="159"/>
      <c r="T436" s="159"/>
      <c r="U436" s="159"/>
      <c r="V436" s="159"/>
      <c r="W436" s="159"/>
    </row>
    <row r="437" ht="14.25" customHeight="1">
      <c r="A437" s="32"/>
      <c r="B437" s="213"/>
      <c r="C437" s="215"/>
      <c r="D437" s="170"/>
      <c r="E437" s="216"/>
      <c r="F437" s="170"/>
      <c r="G437" s="170"/>
      <c r="H437" s="170"/>
      <c r="I437" s="170"/>
      <c r="J437" s="169"/>
      <c r="K437" s="169"/>
      <c r="L437" s="157" t="str">
        <f>IFERROR(__xludf.DUMMYFUNCTION("IF(
  AND(D437=""Saída"", J437=""Sangria""),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'""&amp;K437&amp;""'
             and Col6 = ""&amp;N437&amp;""
             and Col4 = date '""&amp;TEXT(C437,""yyyy-mm-dd"")&amp;""'""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'""&amp;K437&amp;""'
               and Col6 = ""&amp;N437&amp;""
               and Col4 = date '""&amp;TEXT(C437,""yyyy-mm-dd"")&amp;""'""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'""&amp;"&amp;"K437&amp;""'
                 and Col6 = ""&amp;N437&amp;""
                 and Col4 = date '""&amp;TEXT(C437,""yyyy-mm-dd"")&amp;""'""
            )
          )&gt;0,
          ""Confirmada"",
          ""Caixa Sangria""
        )
      )
    ),
    """"
  ),
  """"
)
"),"")</f>
        <v/>
      </c>
      <c r="M437" s="209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159" t="str">
        <f>IFERROR(__xludf.DUMMYFUNCTION("ifna(VALUE(REGEXEXTRACT(E437,""[0-9.]+[,]+[0-9]+"")))"),"")</f>
        <v/>
      </c>
      <c r="O437" s="159"/>
      <c r="P437" s="159"/>
      <c r="Q437" s="159"/>
      <c r="R437" s="159"/>
      <c r="S437" s="159"/>
      <c r="T437" s="159"/>
      <c r="U437" s="159"/>
      <c r="V437" s="159"/>
      <c r="W437" s="159"/>
    </row>
    <row r="438" ht="14.25" customHeight="1">
      <c r="A438" s="32"/>
      <c r="B438" s="213"/>
      <c r="C438" s="215"/>
      <c r="D438" s="170"/>
      <c r="E438" s="216"/>
      <c r="F438" s="170"/>
      <c r="G438" s="170"/>
      <c r="H438" s="170"/>
      <c r="I438" s="170"/>
      <c r="J438" s="169"/>
      <c r="K438" s="169"/>
      <c r="L438" s="157" t="str">
        <f>IFERROR(__xludf.DUMMYFUNCTION("IF(
  AND(D438=""Saída"", J438=""Sangria""),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'""&amp;K438&amp;""'
             and Col6 = ""&amp;N438&amp;""
             and Col4 = date '""&amp;TEXT(C438,""yyyy-mm-dd"")&amp;""'""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'""&amp;K438&amp;""'
               and Col6 = ""&amp;N438&amp;""
               and Col4 = date '""&amp;TEXT(C438,""yyyy-mm-dd"")&amp;""'""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'""&amp;"&amp;"K438&amp;""'
                 and Col6 = ""&amp;N438&amp;""
                 and Col4 = date '""&amp;TEXT(C438,""yyyy-mm-dd"")&amp;""'""
            )
          )&gt;0,
          ""Confirmada"",
          ""Caixa Sangria""
        )
      )
    ),
    """"
  ),
  """"
)
"),"")</f>
        <v/>
      </c>
      <c r="M438" s="207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159" t="str">
        <f>IFERROR(__xludf.DUMMYFUNCTION("ifna(VALUE(REGEXEXTRACT(E438,""[0-9.]+[,]+[0-9]+"")))"),"")</f>
        <v/>
      </c>
      <c r="O438" s="159"/>
      <c r="P438" s="159"/>
      <c r="Q438" s="159"/>
      <c r="R438" s="159"/>
      <c r="S438" s="159"/>
      <c r="T438" s="159"/>
      <c r="U438" s="159"/>
      <c r="V438" s="159"/>
      <c r="W438" s="159"/>
    </row>
    <row r="439" ht="14.25" customHeight="1">
      <c r="A439" s="32"/>
      <c r="B439" s="213"/>
      <c r="C439" s="215"/>
      <c r="D439" s="170"/>
      <c r="E439" s="216"/>
      <c r="F439" s="170"/>
      <c r="G439" s="170"/>
      <c r="H439" s="170"/>
      <c r="I439" s="170"/>
      <c r="J439" s="169"/>
      <c r="K439" s="169"/>
      <c r="L439" s="157" t="str">
        <f>IFERROR(__xludf.DUMMYFUNCTION("IF(
  AND(D439=""Saída"", J439=""Sangria""),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'""&amp;K439&amp;""'
             and Col6 = ""&amp;N439&amp;""
             and Col4 = date '""&amp;TEXT(C439,""yyyy-mm-dd"")&amp;""'""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'""&amp;K439&amp;""'
               and Col6 = ""&amp;N439&amp;""
               and Col4 = date '""&amp;TEXT(C439,""yyyy-mm-dd"")&amp;""'""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'""&amp;"&amp;"K439&amp;""'
                 and Col6 = ""&amp;N439&amp;""
                 and Col4 = date '""&amp;TEXT(C439,""yyyy-mm-dd"")&amp;""'""
            )
          )&gt;0,
          ""Confirmada"",
          ""Caixa Sangria""
        )
      )
    ),
    """"
  ),
  """"
)
"),"")</f>
        <v/>
      </c>
      <c r="M439" s="209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159" t="str">
        <f>IFERROR(__xludf.DUMMYFUNCTION("ifna(VALUE(REGEXEXTRACT(E439,""[0-9.]+[,]+[0-9]+"")))"),"")</f>
        <v/>
      </c>
      <c r="O439" s="159"/>
      <c r="P439" s="159"/>
      <c r="Q439" s="159"/>
      <c r="R439" s="159"/>
      <c r="S439" s="159"/>
      <c r="T439" s="159"/>
      <c r="U439" s="159"/>
      <c r="V439" s="159"/>
      <c r="W439" s="159"/>
    </row>
    <row r="440" ht="14.25" customHeight="1">
      <c r="A440" s="32"/>
      <c r="B440" s="213"/>
      <c r="C440" s="215"/>
      <c r="D440" s="170"/>
      <c r="E440" s="216"/>
      <c r="F440" s="170"/>
      <c r="G440" s="170"/>
      <c r="H440" s="170"/>
      <c r="I440" s="170"/>
      <c r="J440" s="169"/>
      <c r="K440" s="169"/>
      <c r="L440" s="157" t="str">
        <f>IFERROR(__xludf.DUMMYFUNCTION("IF(
  AND(D440=""Saída"", J440=""Sangria""),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'""&amp;K440&amp;""'
             and Col6 = ""&amp;N440&amp;""
             and Col4 = date '""&amp;TEXT(C440,""yyyy-mm-dd"")&amp;""'""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'""&amp;K440&amp;""'
               and Col6 = ""&amp;N440&amp;""
               and Col4 = date '""&amp;TEXT(C440,""yyyy-mm-dd"")&amp;""'""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'""&amp;"&amp;"K440&amp;""'
                 and Col6 = ""&amp;N440&amp;""
                 and Col4 = date '""&amp;TEXT(C440,""yyyy-mm-dd"")&amp;""'""
            )
          )&gt;0,
          ""Confirmada"",
          ""Caixa Sangria""
        )
      )
    ),
    """"
  ),
  """"
)
"),"")</f>
        <v/>
      </c>
      <c r="M440" s="207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159" t="str">
        <f>IFERROR(__xludf.DUMMYFUNCTION("ifna(VALUE(REGEXEXTRACT(E440,""[0-9.]+[,]+[0-9]+"")))"),"")</f>
        <v/>
      </c>
      <c r="O440" s="159"/>
      <c r="P440" s="159"/>
      <c r="Q440" s="159"/>
      <c r="R440" s="159"/>
      <c r="S440" s="159"/>
      <c r="T440" s="159"/>
      <c r="U440" s="159"/>
      <c r="V440" s="159"/>
      <c r="W440" s="159"/>
    </row>
    <row r="441" ht="14.25" customHeight="1">
      <c r="A441" s="32"/>
      <c r="B441" s="213"/>
      <c r="C441" s="215"/>
      <c r="D441" s="170"/>
      <c r="E441" s="216"/>
      <c r="F441" s="170"/>
      <c r="G441" s="170"/>
      <c r="H441" s="170"/>
      <c r="I441" s="170"/>
      <c r="J441" s="169"/>
      <c r="K441" s="169"/>
      <c r="L441" s="157" t="str">
        <f>IFERROR(__xludf.DUMMYFUNCTION("IF(
  AND(D441=""Saída"", J441=""Sangria""),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'""&amp;K441&amp;""'
             and Col6 = ""&amp;N441&amp;""
             and Col4 = date '""&amp;TEXT(C441,""yyyy-mm-dd"")&amp;""'""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'""&amp;K441&amp;""'
               and Col6 = ""&amp;N441&amp;""
               and Col4 = date '""&amp;TEXT(C441,""yyyy-mm-dd"")&amp;""'""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'""&amp;"&amp;"K441&amp;""'
                 and Col6 = ""&amp;N441&amp;""
                 and Col4 = date '""&amp;TEXT(C441,""yyyy-mm-dd"")&amp;""'""
            )
          )&gt;0,
          ""Confirmada"",
          ""Caixa Sangria""
        )
      )
    ),
    """"
  ),
  """"
)
"),"")</f>
        <v/>
      </c>
      <c r="M441" s="209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159" t="str">
        <f>IFERROR(__xludf.DUMMYFUNCTION("ifna(VALUE(REGEXEXTRACT(E441,""[0-9.]+[,]+[0-9]+"")))"),"")</f>
        <v/>
      </c>
      <c r="O441" s="159"/>
      <c r="P441" s="159"/>
      <c r="Q441" s="159"/>
      <c r="R441" s="159"/>
      <c r="S441" s="159"/>
      <c r="T441" s="159"/>
      <c r="U441" s="159"/>
      <c r="V441" s="159"/>
      <c r="W441" s="159"/>
    </row>
    <row r="442" ht="14.25" customHeight="1">
      <c r="A442" s="32"/>
      <c r="B442" s="213"/>
      <c r="C442" s="215"/>
      <c r="D442" s="170"/>
      <c r="E442" s="216"/>
      <c r="F442" s="170"/>
      <c r="G442" s="170"/>
      <c r="H442" s="170"/>
      <c r="I442" s="170"/>
      <c r="J442" s="169"/>
      <c r="K442" s="169"/>
      <c r="L442" s="157" t="str">
        <f>IFERROR(__xludf.DUMMYFUNCTION("IF(
  AND(D442=""Saída"", J442=""Sangria""),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'""&amp;K442&amp;""'
             and Col6 = ""&amp;N442&amp;""
             and Col4 = date '""&amp;TEXT(C442,""yyyy-mm-dd"")&amp;""'""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'""&amp;K442&amp;""'
               and Col6 = ""&amp;N442&amp;""
               and Col4 = date '""&amp;TEXT(C442,""yyyy-mm-dd"")&amp;""'""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'""&amp;"&amp;"K442&amp;""'
                 and Col6 = ""&amp;N442&amp;""
                 and Col4 = date '""&amp;TEXT(C442,""yyyy-mm-dd"")&amp;""'""
            )
          )&gt;0,
          ""Confirmada"",
          ""Caixa Sangria""
        )
      )
    ),
    """"
  ),
  """"
)
"),"")</f>
        <v/>
      </c>
      <c r="M442" s="207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159" t="str">
        <f>IFERROR(__xludf.DUMMYFUNCTION("ifna(VALUE(REGEXEXTRACT(E442,""[0-9.]+[,]+[0-9]+"")))"),"")</f>
        <v/>
      </c>
      <c r="O442" s="159"/>
      <c r="P442" s="159"/>
      <c r="Q442" s="159"/>
      <c r="R442" s="159"/>
      <c r="S442" s="159"/>
      <c r="T442" s="159"/>
      <c r="U442" s="159"/>
      <c r="V442" s="159"/>
      <c r="W442" s="159"/>
    </row>
    <row r="443" ht="14.25" customHeight="1">
      <c r="A443" s="32"/>
      <c r="B443" s="213"/>
      <c r="C443" s="215"/>
      <c r="D443" s="170"/>
      <c r="E443" s="216"/>
      <c r="F443" s="170"/>
      <c r="G443" s="170"/>
      <c r="H443" s="170"/>
      <c r="I443" s="170"/>
      <c r="J443" s="169"/>
      <c r="K443" s="169"/>
      <c r="L443" s="157" t="str">
        <f>IFERROR(__xludf.DUMMYFUNCTION("IF(
  AND(D443=""Saída"", J443=""Sangria""),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'""&amp;K443&amp;""'
             and Col6 = ""&amp;N443&amp;""
             and Col4 = date '""&amp;TEXT(C443,""yyyy-mm-dd"")&amp;""'""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'""&amp;K443&amp;""'
               and Col6 = ""&amp;N443&amp;""
               and Col4 = date '""&amp;TEXT(C443,""yyyy-mm-dd"")&amp;""'""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'""&amp;"&amp;"K443&amp;""'
                 and Col6 = ""&amp;N443&amp;""
                 and Col4 = date '""&amp;TEXT(C443,""yyyy-mm-dd"")&amp;""'""
            )
          )&gt;0,
          ""Confirmada"",
          ""Caixa Sangria""
        )
      )
    ),
    """"
  ),
  """"
)
"),"")</f>
        <v/>
      </c>
      <c r="M443" s="209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159" t="str">
        <f>IFERROR(__xludf.DUMMYFUNCTION("ifna(VALUE(REGEXEXTRACT(E443,""[0-9.]+[,]+[0-9]+"")))"),"")</f>
        <v/>
      </c>
      <c r="O443" s="159"/>
      <c r="P443" s="159"/>
      <c r="Q443" s="159"/>
      <c r="R443" s="159"/>
      <c r="S443" s="159"/>
      <c r="T443" s="159"/>
      <c r="U443" s="159"/>
      <c r="V443" s="159"/>
      <c r="W443" s="159"/>
    </row>
    <row r="444" ht="14.25" customHeight="1">
      <c r="A444" s="32"/>
      <c r="B444" s="213"/>
      <c r="C444" s="215"/>
      <c r="D444" s="170"/>
      <c r="E444" s="216"/>
      <c r="F444" s="170"/>
      <c r="G444" s="170"/>
      <c r="H444" s="170"/>
      <c r="I444" s="170"/>
      <c r="J444" s="169"/>
      <c r="K444" s="169"/>
      <c r="L444" s="157" t="str">
        <f>IFERROR(__xludf.DUMMYFUNCTION("IF(
  AND(D444=""Saída"", J444=""Sangria""),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'""&amp;K444&amp;""'
             and Col6 = ""&amp;N444&amp;""
             and Col4 = date '""&amp;TEXT(C444,""yyyy-mm-dd"")&amp;""'""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'""&amp;K444&amp;""'
               and Col6 = ""&amp;N444&amp;""
               and Col4 = date '""&amp;TEXT(C444,""yyyy-mm-dd"")&amp;""'""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'""&amp;"&amp;"K444&amp;""'
                 and Col6 = ""&amp;N444&amp;""
                 and Col4 = date '""&amp;TEXT(C444,""yyyy-mm-dd"")&amp;""'""
            )
          )&gt;0,
          ""Confirmada"",
          ""Caixa Sangria""
        )
      )
    ),
    """"
  ),
  """"
)
"),"")</f>
        <v/>
      </c>
      <c r="M444" s="207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159" t="str">
        <f>IFERROR(__xludf.DUMMYFUNCTION("ifna(VALUE(REGEXEXTRACT(E444,""[0-9.]+[,]+[0-9]+"")))"),"")</f>
        <v/>
      </c>
      <c r="O444" s="159"/>
      <c r="P444" s="159"/>
      <c r="Q444" s="159"/>
      <c r="R444" s="159"/>
      <c r="S444" s="159"/>
      <c r="T444" s="159"/>
      <c r="U444" s="159"/>
      <c r="V444" s="159"/>
      <c r="W444" s="159"/>
    </row>
    <row r="445" ht="14.25" customHeight="1">
      <c r="A445" s="32"/>
      <c r="B445" s="213"/>
      <c r="C445" s="215"/>
      <c r="D445" s="170"/>
      <c r="E445" s="216"/>
      <c r="F445" s="170"/>
      <c r="G445" s="170"/>
      <c r="H445" s="170"/>
      <c r="I445" s="170"/>
      <c r="J445" s="169"/>
      <c r="K445" s="169"/>
      <c r="L445" s="157" t="str">
        <f>IFERROR(__xludf.DUMMYFUNCTION("IF(
  AND(D445=""Saída"", J445=""Sangria""),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'""&amp;K445&amp;""'
             and Col6 = ""&amp;N445&amp;""
             and Col4 = date '""&amp;TEXT(C445,""yyyy-mm-dd"")&amp;""'""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'""&amp;K445&amp;""'
               and Col6 = ""&amp;N445&amp;""
               and Col4 = date '""&amp;TEXT(C445,""yyyy-mm-dd"")&amp;""'""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'""&amp;"&amp;"K445&amp;""'
                 and Col6 = ""&amp;N445&amp;""
                 and Col4 = date '""&amp;TEXT(C445,""yyyy-mm-dd"")&amp;""'""
            )
          )&gt;0,
          ""Confirmada"",
          ""Caixa Sangria""
        )
      )
    ),
    """"
  ),
  """"
)
"),"")</f>
        <v/>
      </c>
      <c r="M445" s="209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159" t="str">
        <f>IFERROR(__xludf.DUMMYFUNCTION("ifna(VALUE(REGEXEXTRACT(E445,""[0-9.]+[,]+[0-9]+"")))"),"")</f>
        <v/>
      </c>
      <c r="O445" s="159"/>
      <c r="P445" s="159"/>
      <c r="Q445" s="159"/>
      <c r="R445" s="159"/>
      <c r="S445" s="159"/>
      <c r="T445" s="159"/>
      <c r="U445" s="159"/>
      <c r="V445" s="159"/>
      <c r="W445" s="159"/>
    </row>
    <row r="446" ht="14.25" customHeight="1">
      <c r="A446" s="32"/>
      <c r="B446" s="213"/>
      <c r="C446" s="215"/>
      <c r="D446" s="170"/>
      <c r="E446" s="216"/>
      <c r="F446" s="170"/>
      <c r="G446" s="170"/>
      <c r="H446" s="170"/>
      <c r="I446" s="170"/>
      <c r="J446" s="169"/>
      <c r="K446" s="169"/>
      <c r="L446" s="157" t="str">
        <f>IFERROR(__xludf.DUMMYFUNCTION("IF(
  AND(D446=""Saída"", J446=""Sangria""),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'""&amp;K446&amp;""'
             and Col6 = ""&amp;N446&amp;""
             and Col4 = date '""&amp;TEXT(C446,""yyyy-mm-dd"")&amp;""'""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'""&amp;K446&amp;""'
               and Col6 = ""&amp;N446&amp;""
               and Col4 = date '""&amp;TEXT(C446,""yyyy-mm-dd"")&amp;""'""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'""&amp;"&amp;"K446&amp;""'
                 and Col6 = ""&amp;N446&amp;""
                 and Col4 = date '""&amp;TEXT(C446,""yyyy-mm-dd"")&amp;""'""
            )
          )&gt;0,
          ""Confirmada"",
          ""Caixa Sangria""
        )
      )
    ),
    """"
  ),
  """"
)
"),"")</f>
        <v/>
      </c>
      <c r="M446" s="207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159" t="str">
        <f>IFERROR(__xludf.DUMMYFUNCTION("ifna(VALUE(REGEXEXTRACT(E446,""[0-9.]+[,]+[0-9]+"")))"),"")</f>
        <v/>
      </c>
      <c r="O446" s="159"/>
      <c r="P446" s="159"/>
      <c r="Q446" s="159"/>
      <c r="R446" s="159"/>
      <c r="S446" s="159"/>
      <c r="T446" s="159"/>
      <c r="U446" s="159"/>
      <c r="V446" s="159"/>
      <c r="W446" s="159"/>
    </row>
    <row r="447" ht="14.25" customHeight="1">
      <c r="A447" s="32"/>
      <c r="B447" s="213"/>
      <c r="C447" s="215"/>
      <c r="D447" s="170"/>
      <c r="E447" s="216"/>
      <c r="F447" s="170"/>
      <c r="G447" s="170"/>
      <c r="H447" s="170"/>
      <c r="I447" s="170"/>
      <c r="J447" s="169"/>
      <c r="K447" s="169"/>
      <c r="L447" s="157" t="str">
        <f>IFERROR(__xludf.DUMMYFUNCTION("IF(
  AND(D447=""Saída"", J447=""Sangria""),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'""&amp;K447&amp;""'
             and Col6 = ""&amp;N447&amp;""
             and Col4 = date '""&amp;TEXT(C447,""yyyy-mm-dd"")&amp;""'""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'""&amp;K447&amp;""'
               and Col6 = ""&amp;N447&amp;""
               and Col4 = date '""&amp;TEXT(C447,""yyyy-mm-dd"")&amp;""'""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'""&amp;"&amp;"K447&amp;""'
                 and Col6 = ""&amp;N447&amp;""
                 and Col4 = date '""&amp;TEXT(C447,""yyyy-mm-dd"")&amp;""'""
            )
          )&gt;0,
          ""Confirmada"",
          ""Caixa Sangria""
        )
      )
    ),
    """"
  ),
  """"
)
"),"")</f>
        <v/>
      </c>
      <c r="M447" s="209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159" t="str">
        <f>IFERROR(__xludf.DUMMYFUNCTION("ifna(VALUE(REGEXEXTRACT(E447,""[0-9.]+[,]+[0-9]+"")))"),"")</f>
        <v/>
      </c>
      <c r="O447" s="159"/>
      <c r="P447" s="159"/>
      <c r="Q447" s="159"/>
      <c r="R447" s="159"/>
      <c r="S447" s="159"/>
      <c r="T447" s="159"/>
      <c r="U447" s="159"/>
      <c r="V447" s="159"/>
      <c r="W447" s="159"/>
    </row>
    <row r="448" ht="14.25" customHeight="1">
      <c r="A448" s="32"/>
      <c r="B448" s="213"/>
      <c r="C448" s="215"/>
      <c r="D448" s="170"/>
      <c r="E448" s="216"/>
      <c r="F448" s="170"/>
      <c r="G448" s="170"/>
      <c r="H448" s="170"/>
      <c r="I448" s="170"/>
      <c r="J448" s="169"/>
      <c r="K448" s="169"/>
      <c r="L448" s="157" t="str">
        <f>IFERROR(__xludf.DUMMYFUNCTION("IF(
  AND(D448=""Saída"", J448=""Sangria""),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'""&amp;K448&amp;""'
             and Col6 = ""&amp;N448&amp;""
             and Col4 = date '""&amp;TEXT(C448,""yyyy-mm-dd"")&amp;""'""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'""&amp;K448&amp;""'
               and Col6 = ""&amp;N448&amp;""
               and Col4 = date '""&amp;TEXT(C448,""yyyy-mm-dd"")&amp;""'""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'""&amp;"&amp;"K448&amp;""'
                 and Col6 = ""&amp;N448&amp;""
                 and Col4 = date '""&amp;TEXT(C448,""yyyy-mm-dd"")&amp;""'""
            )
          )&gt;0,
          ""Confirmada"",
          ""Caixa Sangria""
        )
      )
    ),
    """"
  ),
  """"
)
"),"")</f>
        <v/>
      </c>
      <c r="M448" s="207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159" t="str">
        <f>IFERROR(__xludf.DUMMYFUNCTION("ifna(VALUE(REGEXEXTRACT(E448,""[0-9.]+[,]+[0-9]+"")))"),"")</f>
        <v/>
      </c>
      <c r="O448" s="159"/>
      <c r="P448" s="159"/>
      <c r="Q448" s="159"/>
      <c r="R448" s="159"/>
      <c r="S448" s="159"/>
      <c r="T448" s="159"/>
      <c r="U448" s="159"/>
      <c r="V448" s="159"/>
      <c r="W448" s="159"/>
    </row>
    <row r="449" ht="14.25" customHeight="1">
      <c r="A449" s="32"/>
      <c r="B449" s="213"/>
      <c r="C449" s="215"/>
      <c r="D449" s="170"/>
      <c r="E449" s="216"/>
      <c r="F449" s="170"/>
      <c r="G449" s="170"/>
      <c r="H449" s="170"/>
      <c r="I449" s="170"/>
      <c r="J449" s="169"/>
      <c r="K449" s="169"/>
      <c r="L449" s="157" t="str">
        <f>IFERROR(__xludf.DUMMYFUNCTION("IF(
  AND(D449=""Saída"", J449=""Sangria""),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'""&amp;K449&amp;""'
             and Col6 = ""&amp;N449&amp;""
             and Col4 = date '""&amp;TEXT(C449,""yyyy-mm-dd"")&amp;""'""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'""&amp;K449&amp;""'
               and Col6 = ""&amp;N449&amp;""
               and Col4 = date '""&amp;TEXT(C449,""yyyy-mm-dd"")&amp;""'""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'""&amp;"&amp;"K449&amp;""'
                 and Col6 = ""&amp;N449&amp;""
                 and Col4 = date '""&amp;TEXT(C449,""yyyy-mm-dd"")&amp;""'""
            )
          )&gt;0,
          ""Confirmada"",
          ""Caixa Sangria""
        )
      )
    ),
    """"
  ),
  """"
)
"),"")</f>
        <v/>
      </c>
      <c r="M449" s="209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159" t="str">
        <f>IFERROR(__xludf.DUMMYFUNCTION("ifna(VALUE(REGEXEXTRACT(E449,""[0-9.]+[,]+[0-9]+"")))"),"")</f>
        <v/>
      </c>
      <c r="O449" s="159"/>
      <c r="P449" s="159"/>
      <c r="Q449" s="159"/>
      <c r="R449" s="159"/>
      <c r="S449" s="159"/>
      <c r="T449" s="159"/>
      <c r="U449" s="159"/>
      <c r="V449" s="159"/>
      <c r="W449" s="159"/>
    </row>
    <row r="450" ht="14.25" customHeight="1">
      <c r="A450" s="32"/>
      <c r="B450" s="213"/>
      <c r="C450" s="215"/>
      <c r="D450" s="170"/>
      <c r="E450" s="216"/>
      <c r="F450" s="170"/>
      <c r="G450" s="170"/>
      <c r="H450" s="170"/>
      <c r="I450" s="170"/>
      <c r="J450" s="169"/>
      <c r="K450" s="169"/>
      <c r="L450" s="157" t="str">
        <f>IFERROR(__xludf.DUMMYFUNCTION("IF(
  AND(D450=""Saída"", J450=""Sangria""),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'""&amp;K450&amp;""'
             and Col6 = ""&amp;N450&amp;""
             and Col4 = date '""&amp;TEXT(C450,""yyyy-mm-dd"")&amp;""'""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'""&amp;K450&amp;""'
               and Col6 = ""&amp;N450&amp;""
               and Col4 = date '""&amp;TEXT(C450,""yyyy-mm-dd"")&amp;""'""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'""&amp;"&amp;"K450&amp;""'
                 and Col6 = ""&amp;N450&amp;""
                 and Col4 = date '""&amp;TEXT(C450,""yyyy-mm-dd"")&amp;""'""
            )
          )&gt;0,
          ""Confirmada"",
          ""Caixa Sangria""
        )
      )
    ),
    """"
  ),
  """"
)
"),"")</f>
        <v/>
      </c>
      <c r="M450" s="207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159" t="str">
        <f>IFERROR(__xludf.DUMMYFUNCTION("ifna(VALUE(REGEXEXTRACT(E450,""[0-9.]+[,]+[0-9]+"")))"),"")</f>
        <v/>
      </c>
      <c r="O450" s="159"/>
      <c r="P450" s="159"/>
      <c r="Q450" s="159"/>
      <c r="R450" s="159"/>
      <c r="S450" s="159"/>
      <c r="T450" s="159"/>
      <c r="U450" s="159"/>
      <c r="V450" s="159"/>
      <c r="W450" s="159"/>
    </row>
    <row r="451" ht="14.25" customHeight="1">
      <c r="A451" s="32"/>
      <c r="B451" s="213"/>
      <c r="C451" s="215"/>
      <c r="D451" s="170"/>
      <c r="E451" s="216"/>
      <c r="F451" s="170"/>
      <c r="G451" s="170"/>
      <c r="H451" s="170"/>
      <c r="I451" s="170"/>
      <c r="J451" s="169"/>
      <c r="K451" s="169"/>
      <c r="L451" s="157" t="str">
        <f>IFERROR(__xludf.DUMMYFUNCTION("IF(
  AND(D451=""Saída"", J451=""Sangria""),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'""&amp;K451&amp;""'
             and Col6 = ""&amp;N451&amp;""
             and Col4 = date '""&amp;TEXT(C451,""yyyy-mm-dd"")&amp;""'""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'""&amp;K451&amp;""'
               and Col6 = ""&amp;N451&amp;""
               and Col4 = date '""&amp;TEXT(C451,""yyyy-mm-dd"")&amp;""'""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'""&amp;"&amp;"K451&amp;""'
                 and Col6 = ""&amp;N451&amp;""
                 and Col4 = date '""&amp;TEXT(C451,""yyyy-mm-dd"")&amp;""'""
            )
          )&gt;0,
          ""Confirmada"",
          ""Caixa Sangria""
        )
      )
    ),
    """"
  ),
  """"
)
"),"")</f>
        <v/>
      </c>
      <c r="M451" s="209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159" t="str">
        <f>IFERROR(__xludf.DUMMYFUNCTION("ifna(VALUE(REGEXEXTRACT(E451,""[0-9.]+[,]+[0-9]+"")))"),"")</f>
        <v/>
      </c>
      <c r="O451" s="159"/>
      <c r="P451" s="159"/>
      <c r="Q451" s="159"/>
      <c r="R451" s="159"/>
      <c r="S451" s="159"/>
      <c r="T451" s="159"/>
      <c r="U451" s="159"/>
      <c r="V451" s="159"/>
      <c r="W451" s="159"/>
    </row>
    <row r="452" ht="14.25" customHeight="1">
      <c r="A452" s="32"/>
      <c r="B452" s="213"/>
      <c r="C452" s="215"/>
      <c r="D452" s="170"/>
      <c r="E452" s="216"/>
      <c r="F452" s="170"/>
      <c r="G452" s="170"/>
      <c r="H452" s="170"/>
      <c r="I452" s="170"/>
      <c r="J452" s="169"/>
      <c r="K452" s="169"/>
      <c r="L452" s="157" t="str">
        <f>IFERROR(__xludf.DUMMYFUNCTION("IF(
  AND(D452=""Saída"", J452=""Sangria""),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'""&amp;K452&amp;""'
             and Col6 = ""&amp;N452&amp;""
             and Col4 = date '""&amp;TEXT(C452,""yyyy-mm-dd"")&amp;""'""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'""&amp;K452&amp;""'
               and Col6 = ""&amp;N452&amp;""
               and Col4 = date '""&amp;TEXT(C452,""yyyy-mm-dd"")&amp;""'""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'""&amp;"&amp;"K452&amp;""'
                 and Col6 = ""&amp;N452&amp;""
                 and Col4 = date '""&amp;TEXT(C452,""yyyy-mm-dd"")&amp;""'""
            )
          )&gt;0,
          ""Confirmada"",
          ""Caixa Sangria""
        )
      )
    ),
    """"
  ),
  """"
)
"),"")</f>
        <v/>
      </c>
      <c r="M452" s="207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159" t="str">
        <f>IFERROR(__xludf.DUMMYFUNCTION("ifna(VALUE(REGEXEXTRACT(E452,""[0-9.]+[,]+[0-9]+"")))"),"")</f>
        <v/>
      </c>
      <c r="O452" s="159"/>
      <c r="P452" s="159"/>
      <c r="Q452" s="159"/>
      <c r="R452" s="159"/>
      <c r="S452" s="159"/>
      <c r="T452" s="159"/>
      <c r="U452" s="159"/>
      <c r="V452" s="159"/>
      <c r="W452" s="159"/>
    </row>
    <row r="453" ht="14.25" customHeight="1">
      <c r="A453" s="32"/>
      <c r="B453" s="213"/>
      <c r="C453" s="215"/>
      <c r="D453" s="170"/>
      <c r="E453" s="216"/>
      <c r="F453" s="170"/>
      <c r="G453" s="170"/>
      <c r="H453" s="170"/>
      <c r="I453" s="170"/>
      <c r="J453" s="169"/>
      <c r="K453" s="169"/>
      <c r="L453" s="157" t="str">
        <f>IFERROR(__xludf.DUMMYFUNCTION("IF(
  AND(D453=""Saída"", J453=""Sangria""),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'""&amp;K453&amp;""'
             and Col6 = ""&amp;N453&amp;""
             and Col4 = date '""&amp;TEXT(C453,""yyyy-mm-dd"")&amp;""'""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'""&amp;K453&amp;""'
               and Col6 = ""&amp;N453&amp;""
               and Col4 = date '""&amp;TEXT(C453,""yyyy-mm-dd"")&amp;""'""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'""&amp;"&amp;"K453&amp;""'
                 and Col6 = ""&amp;N453&amp;""
                 and Col4 = date '""&amp;TEXT(C453,""yyyy-mm-dd"")&amp;""'""
            )
          )&gt;0,
          ""Confirmada"",
          ""Caixa Sangria""
        )
      )
    ),
    """"
  ),
  """"
)
"),"")</f>
        <v/>
      </c>
      <c r="M453" s="209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159" t="str">
        <f>IFERROR(__xludf.DUMMYFUNCTION("ifna(VALUE(REGEXEXTRACT(E453,""[0-9.]+[,]+[0-9]+"")))"),"")</f>
        <v/>
      </c>
      <c r="O453" s="159"/>
      <c r="P453" s="159"/>
      <c r="Q453" s="159"/>
      <c r="R453" s="159"/>
      <c r="S453" s="159"/>
      <c r="T453" s="159"/>
      <c r="U453" s="159"/>
      <c r="V453" s="159"/>
      <c r="W453" s="159"/>
    </row>
    <row r="454" ht="14.25" customHeight="1">
      <c r="A454" s="32"/>
      <c r="B454" s="213"/>
      <c r="C454" s="215"/>
      <c r="D454" s="170"/>
      <c r="E454" s="216"/>
      <c r="F454" s="170"/>
      <c r="G454" s="170"/>
      <c r="H454" s="170"/>
      <c r="I454" s="170"/>
      <c r="J454" s="169"/>
      <c r="K454" s="169"/>
      <c r="L454" s="157" t="str">
        <f>IFERROR(__xludf.DUMMYFUNCTION("IF(
  AND(D454=""Saída"", J454=""Sangria""),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'""&amp;K454&amp;""'
             and Col6 = ""&amp;N454&amp;""
             and Col4 = date '""&amp;TEXT(C454,""yyyy-mm-dd"")&amp;""'""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'""&amp;K454&amp;""'
               and Col6 = ""&amp;N454&amp;""
               and Col4 = date '""&amp;TEXT(C454,""yyyy-mm-dd"")&amp;""'""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'""&amp;"&amp;"K454&amp;""'
                 and Col6 = ""&amp;N454&amp;""
                 and Col4 = date '""&amp;TEXT(C454,""yyyy-mm-dd"")&amp;""'""
            )
          )&gt;0,
          ""Confirmada"",
          ""Caixa Sangria""
        )
      )
    ),
    """"
  ),
  """"
)
"),"")</f>
        <v/>
      </c>
      <c r="M454" s="207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159" t="str">
        <f>IFERROR(__xludf.DUMMYFUNCTION("ifna(VALUE(REGEXEXTRACT(E454,""[0-9.]+[,]+[0-9]+"")))"),"")</f>
        <v/>
      </c>
      <c r="O454" s="159"/>
      <c r="P454" s="159"/>
      <c r="Q454" s="159"/>
      <c r="R454" s="159"/>
      <c r="S454" s="159"/>
      <c r="T454" s="159"/>
      <c r="U454" s="159"/>
      <c r="V454" s="159"/>
      <c r="W454" s="159"/>
    </row>
    <row r="455" ht="14.25" customHeight="1">
      <c r="A455" s="32"/>
      <c r="B455" s="213"/>
      <c r="C455" s="215"/>
      <c r="D455" s="170"/>
      <c r="E455" s="216"/>
      <c r="F455" s="170"/>
      <c r="G455" s="170"/>
      <c r="H455" s="170"/>
      <c r="I455" s="170"/>
      <c r="J455" s="169"/>
      <c r="K455" s="169"/>
      <c r="L455" s="157" t="str">
        <f>IFERROR(__xludf.DUMMYFUNCTION("IF(
  AND(D455=""Saída"", J455=""Sangria""),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'""&amp;K455&amp;""'
             and Col6 = ""&amp;N455&amp;""
             and Col4 = date '""&amp;TEXT(C455,""yyyy-mm-dd"")&amp;""'""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'""&amp;K455&amp;""'
               and Col6 = ""&amp;N455&amp;""
               and Col4 = date '""&amp;TEXT(C455,""yyyy-mm-dd"")&amp;""'""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'""&amp;"&amp;"K455&amp;""'
                 and Col6 = ""&amp;N455&amp;""
                 and Col4 = date '""&amp;TEXT(C455,""yyyy-mm-dd"")&amp;""'""
            )
          )&gt;0,
          ""Confirmada"",
          ""Caixa Sangria""
        )
      )
    ),
    """"
  ),
  """"
)
"),"")</f>
        <v/>
      </c>
      <c r="M455" s="209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159" t="str">
        <f>IFERROR(__xludf.DUMMYFUNCTION("ifna(VALUE(REGEXEXTRACT(E455,""[0-9.]+[,]+[0-9]+"")))"),"")</f>
        <v/>
      </c>
      <c r="O455" s="159"/>
      <c r="P455" s="159"/>
      <c r="Q455" s="159"/>
      <c r="R455" s="159"/>
      <c r="S455" s="159"/>
      <c r="T455" s="159"/>
      <c r="U455" s="159"/>
      <c r="V455" s="159"/>
      <c r="W455" s="159"/>
    </row>
    <row r="456" ht="14.25" customHeight="1">
      <c r="A456" s="32"/>
      <c r="B456" s="213"/>
      <c r="C456" s="215"/>
      <c r="D456" s="170"/>
      <c r="E456" s="216"/>
      <c r="F456" s="170"/>
      <c r="G456" s="170"/>
      <c r="H456" s="170"/>
      <c r="I456" s="170"/>
      <c r="J456" s="169"/>
      <c r="K456" s="169"/>
      <c r="L456" s="157" t="str">
        <f>IFERROR(__xludf.DUMMYFUNCTION("IF(
  AND(D456=""Saída"", J456=""Sangria""),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'""&amp;K456&amp;""'
             and Col6 = ""&amp;N456&amp;""
             and Col4 = date '""&amp;TEXT(C456,""yyyy-mm-dd"")&amp;""'""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'""&amp;K456&amp;""'
               and Col6 = ""&amp;N456&amp;""
               and Col4 = date '""&amp;TEXT(C456,""yyyy-mm-dd"")&amp;""'""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'""&amp;"&amp;"K456&amp;""'
                 and Col6 = ""&amp;N456&amp;""
                 and Col4 = date '""&amp;TEXT(C456,""yyyy-mm-dd"")&amp;""'""
            )
          )&gt;0,
          ""Confirmada"",
          ""Caixa Sangria""
        )
      )
    ),
    """"
  ),
  """"
)
"),"")</f>
        <v/>
      </c>
      <c r="M456" s="207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159" t="str">
        <f>IFERROR(__xludf.DUMMYFUNCTION("ifna(VALUE(REGEXEXTRACT(E456,""[0-9.]+[,]+[0-9]+"")))"),"")</f>
        <v/>
      </c>
      <c r="O456" s="159"/>
      <c r="P456" s="159"/>
      <c r="Q456" s="159"/>
      <c r="R456" s="159"/>
      <c r="S456" s="159"/>
      <c r="T456" s="159"/>
      <c r="U456" s="159"/>
      <c r="V456" s="159"/>
      <c r="W456" s="159"/>
    </row>
    <row r="457" ht="14.25" customHeight="1">
      <c r="A457" s="32"/>
      <c r="B457" s="213"/>
      <c r="C457" s="215"/>
      <c r="D457" s="170"/>
      <c r="E457" s="216"/>
      <c r="F457" s="170"/>
      <c r="G457" s="170"/>
      <c r="H457" s="170"/>
      <c r="I457" s="170"/>
      <c r="J457" s="169"/>
      <c r="K457" s="169"/>
      <c r="L457" s="157" t="str">
        <f>IFERROR(__xludf.DUMMYFUNCTION("IF(
  AND(D457=""Saída"", J457=""Sangria""),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'""&amp;K457&amp;""'
             and Col6 = ""&amp;N457&amp;""
             and Col4 = date '""&amp;TEXT(C457,""yyyy-mm-dd"")&amp;""'""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'""&amp;K457&amp;""'
               and Col6 = ""&amp;N457&amp;""
               and Col4 = date '""&amp;TEXT(C457,""yyyy-mm-dd"")&amp;""'""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'""&amp;"&amp;"K457&amp;""'
                 and Col6 = ""&amp;N457&amp;""
                 and Col4 = date '""&amp;TEXT(C457,""yyyy-mm-dd"")&amp;""'""
            )
          )&gt;0,
          ""Confirmada"",
          ""Caixa Sangria""
        )
      )
    ),
    """"
  ),
  """"
)
"),"")</f>
        <v/>
      </c>
      <c r="M457" s="209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159" t="str">
        <f>IFERROR(__xludf.DUMMYFUNCTION("ifna(VALUE(REGEXEXTRACT(E457,""[0-9.]+[,]+[0-9]+"")))"),"")</f>
        <v/>
      </c>
      <c r="O457" s="159"/>
      <c r="P457" s="159"/>
      <c r="Q457" s="159"/>
      <c r="R457" s="159"/>
      <c r="S457" s="159"/>
      <c r="T457" s="159"/>
      <c r="U457" s="159"/>
      <c r="V457" s="159"/>
      <c r="W457" s="159"/>
    </row>
    <row r="458" ht="14.25" customHeight="1">
      <c r="A458" s="32"/>
      <c r="B458" s="213"/>
      <c r="C458" s="215"/>
      <c r="D458" s="170"/>
      <c r="E458" s="216"/>
      <c r="F458" s="170"/>
      <c r="G458" s="170"/>
      <c r="H458" s="170"/>
      <c r="I458" s="170"/>
      <c r="J458" s="169"/>
      <c r="K458" s="169"/>
      <c r="L458" s="157" t="str">
        <f>IFERROR(__xludf.DUMMYFUNCTION("IF(
  AND(D458=""Saída"", J458=""Sangria""),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'""&amp;K458&amp;""'
             and Col6 = ""&amp;N458&amp;""
             and Col4 = date '""&amp;TEXT(C458,""yyyy-mm-dd"")&amp;""'""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'""&amp;K458&amp;""'
               and Col6 = ""&amp;N458&amp;""
               and Col4 = date '""&amp;TEXT(C458,""yyyy-mm-dd"")&amp;""'""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'""&amp;"&amp;"K458&amp;""'
                 and Col6 = ""&amp;N458&amp;""
                 and Col4 = date '""&amp;TEXT(C458,""yyyy-mm-dd"")&amp;""'""
            )
          )&gt;0,
          ""Confirmada"",
          ""Caixa Sangria""
        )
      )
    ),
    """"
  ),
  """"
)
"),"")</f>
        <v/>
      </c>
      <c r="M458" s="207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159" t="str">
        <f>IFERROR(__xludf.DUMMYFUNCTION("ifna(VALUE(REGEXEXTRACT(E458,""[0-9.]+[,]+[0-9]+"")))"),"")</f>
        <v/>
      </c>
      <c r="O458" s="159"/>
      <c r="P458" s="159"/>
      <c r="Q458" s="159"/>
      <c r="R458" s="159"/>
      <c r="S458" s="159"/>
      <c r="T458" s="159"/>
      <c r="U458" s="159"/>
      <c r="V458" s="159"/>
      <c r="W458" s="159"/>
    </row>
    <row r="459" ht="14.25" customHeight="1">
      <c r="A459" s="32"/>
      <c r="B459" s="213"/>
      <c r="C459" s="215"/>
      <c r="D459" s="170"/>
      <c r="E459" s="216"/>
      <c r="F459" s="170"/>
      <c r="G459" s="170"/>
      <c r="H459" s="170"/>
      <c r="I459" s="170"/>
      <c r="J459" s="169"/>
      <c r="K459" s="169"/>
      <c r="L459" s="157" t="str">
        <f>IFERROR(__xludf.DUMMYFUNCTION("IF(
  AND(D459=""Saída"", J459=""Sangria""),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'""&amp;K459&amp;""'
             and Col6 = ""&amp;N459&amp;""
             and Col4 = date '""&amp;TEXT(C459,""yyyy-mm-dd"")&amp;""'""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'""&amp;K459&amp;""'
               and Col6 = ""&amp;N459&amp;""
               and Col4 = date '""&amp;TEXT(C459,""yyyy-mm-dd"")&amp;""'""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'""&amp;"&amp;"K459&amp;""'
                 and Col6 = ""&amp;N459&amp;""
                 and Col4 = date '""&amp;TEXT(C459,""yyyy-mm-dd"")&amp;""'""
            )
          )&gt;0,
          ""Confirmada"",
          ""Caixa Sangria""
        )
      )
    ),
    """"
  ),
  """"
)
"),"")</f>
        <v/>
      </c>
      <c r="M459" s="209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159" t="str">
        <f>IFERROR(__xludf.DUMMYFUNCTION("ifna(VALUE(REGEXEXTRACT(E459,""[0-9.]+[,]+[0-9]+"")))"),"")</f>
        <v/>
      </c>
      <c r="O459" s="159"/>
      <c r="P459" s="159"/>
      <c r="Q459" s="159"/>
      <c r="R459" s="159"/>
      <c r="S459" s="159"/>
      <c r="T459" s="159"/>
      <c r="U459" s="159"/>
      <c r="V459" s="159"/>
      <c r="W459" s="159"/>
    </row>
    <row r="460" ht="14.25" customHeight="1">
      <c r="A460" s="32"/>
      <c r="B460" s="213"/>
      <c r="C460" s="215"/>
      <c r="D460" s="170"/>
      <c r="E460" s="216"/>
      <c r="F460" s="170"/>
      <c r="G460" s="170"/>
      <c r="H460" s="170"/>
      <c r="I460" s="170"/>
      <c r="J460" s="169"/>
      <c r="K460" s="169"/>
      <c r="L460" s="157" t="str">
        <f>IFERROR(__xludf.DUMMYFUNCTION("IF(
  AND(D460=""Saída"", J460=""Sangria""),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'""&amp;K460&amp;""'
             and Col6 = ""&amp;N460&amp;""
             and Col4 = date '""&amp;TEXT(C460,""yyyy-mm-dd"")&amp;""'""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'""&amp;K460&amp;""'
               and Col6 = ""&amp;N460&amp;""
               and Col4 = date '""&amp;TEXT(C460,""yyyy-mm-dd"")&amp;""'""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'""&amp;"&amp;"K460&amp;""'
                 and Col6 = ""&amp;N460&amp;""
                 and Col4 = date '""&amp;TEXT(C460,""yyyy-mm-dd"")&amp;""'""
            )
          )&gt;0,
          ""Confirmada"",
          ""Caixa Sangria""
        )
      )
    ),
    """"
  ),
  """"
)
"),"")</f>
        <v/>
      </c>
      <c r="M460" s="207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159" t="str">
        <f>IFERROR(__xludf.DUMMYFUNCTION("ifna(VALUE(REGEXEXTRACT(E460,""[0-9.]+[,]+[0-9]+"")))"),"")</f>
        <v/>
      </c>
      <c r="O460" s="159"/>
      <c r="P460" s="159"/>
      <c r="Q460" s="159"/>
      <c r="R460" s="159"/>
      <c r="S460" s="159"/>
      <c r="T460" s="159"/>
      <c r="U460" s="159"/>
      <c r="V460" s="159"/>
      <c r="W460" s="159"/>
    </row>
    <row r="461" ht="14.25" customHeight="1">
      <c r="A461" s="32"/>
      <c r="B461" s="213"/>
      <c r="C461" s="215"/>
      <c r="D461" s="170"/>
      <c r="E461" s="216"/>
      <c r="F461" s="170"/>
      <c r="G461" s="170"/>
      <c r="H461" s="170"/>
      <c r="I461" s="170"/>
      <c r="J461" s="169"/>
      <c r="K461" s="169"/>
      <c r="L461" s="157" t="str">
        <f>IFERROR(__xludf.DUMMYFUNCTION("IF(
  AND(D461=""Saída"", J461=""Sangria""),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'""&amp;K461&amp;""'
             and Col6 = ""&amp;N461&amp;""
             and Col4 = date '""&amp;TEXT(C461,""yyyy-mm-dd"")&amp;""'""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'""&amp;K461&amp;""'
               and Col6 = ""&amp;N461&amp;""
               and Col4 = date '""&amp;TEXT(C461,""yyyy-mm-dd"")&amp;""'""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'""&amp;"&amp;"K461&amp;""'
                 and Col6 = ""&amp;N461&amp;""
                 and Col4 = date '""&amp;TEXT(C461,""yyyy-mm-dd"")&amp;""'""
            )
          )&gt;0,
          ""Confirmada"",
          ""Caixa Sangria""
        )
      )
    ),
    """"
  ),
  """"
)
"),"")</f>
        <v/>
      </c>
      <c r="M461" s="209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159" t="str">
        <f>IFERROR(__xludf.DUMMYFUNCTION("ifna(VALUE(REGEXEXTRACT(E461,""[0-9.]+[,]+[0-9]+"")))"),"")</f>
        <v/>
      </c>
      <c r="O461" s="159"/>
      <c r="P461" s="159"/>
      <c r="Q461" s="159"/>
      <c r="R461" s="159"/>
      <c r="S461" s="159"/>
      <c r="T461" s="159"/>
      <c r="U461" s="159"/>
      <c r="V461" s="159"/>
      <c r="W461" s="159"/>
    </row>
    <row r="462" ht="14.25" customHeight="1">
      <c r="A462" s="32"/>
      <c r="B462" s="213"/>
      <c r="C462" s="215"/>
      <c r="D462" s="170"/>
      <c r="E462" s="216"/>
      <c r="F462" s="170"/>
      <c r="G462" s="170"/>
      <c r="H462" s="170"/>
      <c r="I462" s="170"/>
      <c r="J462" s="169"/>
      <c r="K462" s="169"/>
      <c r="L462" s="157" t="str">
        <f>IFERROR(__xludf.DUMMYFUNCTION("IF(
  AND(D462=""Saída"", J462=""Sangria""),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'""&amp;K462&amp;""'
             and Col6 = ""&amp;N462&amp;""
             and Col4 = date '""&amp;TEXT(C462,""yyyy-mm-dd"")&amp;""'""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'""&amp;K462&amp;""'
               and Col6 = ""&amp;N462&amp;""
               and Col4 = date '""&amp;TEXT(C462,""yyyy-mm-dd"")&amp;""'""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'""&amp;"&amp;"K462&amp;""'
                 and Col6 = ""&amp;N462&amp;""
                 and Col4 = date '""&amp;TEXT(C462,""yyyy-mm-dd"")&amp;""'""
            )
          )&gt;0,
          ""Confirmada"",
          ""Caixa Sangria""
        )
      )
    ),
    """"
  ),
  """"
)
"),"")</f>
        <v/>
      </c>
      <c r="M462" s="207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159" t="str">
        <f>IFERROR(__xludf.DUMMYFUNCTION("ifna(VALUE(REGEXEXTRACT(E462,""[0-9.]+[,]+[0-9]+"")))"),"")</f>
        <v/>
      </c>
      <c r="O462" s="159"/>
      <c r="P462" s="159"/>
      <c r="Q462" s="159"/>
      <c r="R462" s="159"/>
      <c r="S462" s="159"/>
      <c r="T462" s="159"/>
      <c r="U462" s="159"/>
      <c r="V462" s="159"/>
      <c r="W462" s="159"/>
    </row>
    <row r="463" ht="14.25" customHeight="1">
      <c r="A463" s="32"/>
      <c r="B463" s="213"/>
      <c r="C463" s="215"/>
      <c r="D463" s="170"/>
      <c r="E463" s="216"/>
      <c r="F463" s="170"/>
      <c r="G463" s="170"/>
      <c r="H463" s="170"/>
      <c r="I463" s="170"/>
      <c r="J463" s="169"/>
      <c r="K463" s="169"/>
      <c r="L463" s="157" t="str">
        <f>IFERROR(__xludf.DUMMYFUNCTION("IF(
  AND(D463=""Saída"", J463=""Sangria""),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'""&amp;K463&amp;""'
             and Col6 = ""&amp;N463&amp;""
             and Col4 = date '""&amp;TEXT(C463,""yyyy-mm-dd"")&amp;""'""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'""&amp;K463&amp;""'
               and Col6 = ""&amp;N463&amp;""
               and Col4 = date '""&amp;TEXT(C463,""yyyy-mm-dd"")&amp;""'""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'""&amp;"&amp;"K463&amp;""'
                 and Col6 = ""&amp;N463&amp;""
                 and Col4 = date '""&amp;TEXT(C463,""yyyy-mm-dd"")&amp;""'""
            )
          )&gt;0,
          ""Confirmada"",
          ""Caixa Sangria""
        )
      )
    ),
    """"
  ),
  """"
)
"),"")</f>
        <v/>
      </c>
      <c r="M463" s="209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159" t="str">
        <f>IFERROR(__xludf.DUMMYFUNCTION("ifna(VALUE(REGEXEXTRACT(E463,""[0-9.]+[,]+[0-9]+"")))"),"")</f>
        <v/>
      </c>
      <c r="O463" s="159"/>
      <c r="P463" s="159"/>
      <c r="Q463" s="159"/>
      <c r="R463" s="159"/>
      <c r="S463" s="159"/>
      <c r="T463" s="159"/>
      <c r="U463" s="159"/>
      <c r="V463" s="159"/>
      <c r="W463" s="159"/>
    </row>
    <row r="464" ht="14.25" customHeight="1">
      <c r="A464" s="32"/>
      <c r="B464" s="213"/>
      <c r="C464" s="215"/>
      <c r="D464" s="170"/>
      <c r="E464" s="216"/>
      <c r="F464" s="170"/>
      <c r="G464" s="170"/>
      <c r="H464" s="170"/>
      <c r="I464" s="170"/>
      <c r="J464" s="169"/>
      <c r="K464" s="169"/>
      <c r="L464" s="157" t="str">
        <f>IFERROR(__xludf.DUMMYFUNCTION("IF(
  AND(D464=""Saída"", J464=""Sangria""),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'""&amp;K464&amp;""'
             and Col6 = ""&amp;N464&amp;""
             and Col4 = date '""&amp;TEXT(C464,""yyyy-mm-dd"")&amp;""'""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'""&amp;K464&amp;""'
               and Col6 = ""&amp;N464&amp;""
               and Col4 = date '""&amp;TEXT(C464,""yyyy-mm-dd"")&amp;""'""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'""&amp;"&amp;"K464&amp;""'
                 and Col6 = ""&amp;N464&amp;""
                 and Col4 = date '""&amp;TEXT(C464,""yyyy-mm-dd"")&amp;""'""
            )
          )&gt;0,
          ""Confirmada"",
          ""Caixa Sangria""
        )
      )
    ),
    """"
  ),
  """"
)
"),"")</f>
        <v/>
      </c>
      <c r="M464" s="207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159" t="str">
        <f>IFERROR(__xludf.DUMMYFUNCTION("ifna(VALUE(REGEXEXTRACT(E464,""[0-9.]+[,]+[0-9]+"")))"),"")</f>
        <v/>
      </c>
      <c r="O464" s="159"/>
      <c r="P464" s="159"/>
      <c r="Q464" s="159"/>
      <c r="R464" s="159"/>
      <c r="S464" s="159"/>
      <c r="T464" s="159"/>
      <c r="U464" s="159"/>
      <c r="V464" s="159"/>
      <c r="W464" s="159"/>
    </row>
    <row r="465" ht="14.25" customHeight="1">
      <c r="A465" s="32"/>
      <c r="B465" s="213"/>
      <c r="C465" s="215"/>
      <c r="D465" s="170"/>
      <c r="E465" s="216"/>
      <c r="F465" s="170"/>
      <c r="G465" s="170"/>
      <c r="H465" s="170"/>
      <c r="I465" s="170"/>
      <c r="J465" s="169"/>
      <c r="K465" s="169"/>
      <c r="L465" s="157" t="str">
        <f>IFERROR(__xludf.DUMMYFUNCTION("IF(
  AND(D465=""Saída"", J465=""Sangria""),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'""&amp;K465&amp;""'
             and Col6 = ""&amp;N465&amp;""
             and Col4 = date '""&amp;TEXT(C465,""yyyy-mm-dd"")&amp;""'""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'""&amp;K465&amp;""'
               and Col6 = ""&amp;N465&amp;""
               and Col4 = date '""&amp;TEXT(C465,""yyyy-mm-dd"")&amp;""'""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'""&amp;"&amp;"K465&amp;""'
                 and Col6 = ""&amp;N465&amp;""
                 and Col4 = date '""&amp;TEXT(C465,""yyyy-mm-dd"")&amp;""'""
            )
          )&gt;0,
          ""Confirmada"",
          ""Caixa Sangria""
        )
      )
    ),
    """"
  ),
  """"
)
"),"")</f>
        <v/>
      </c>
      <c r="M465" s="209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159" t="str">
        <f>IFERROR(__xludf.DUMMYFUNCTION("ifna(VALUE(REGEXEXTRACT(E465,""[0-9.]+[,]+[0-9]+"")))"),"")</f>
        <v/>
      </c>
      <c r="O465" s="159"/>
      <c r="P465" s="159"/>
      <c r="Q465" s="159"/>
      <c r="R465" s="159"/>
      <c r="S465" s="159"/>
      <c r="T465" s="159"/>
      <c r="U465" s="159"/>
      <c r="V465" s="159"/>
      <c r="W465" s="159"/>
    </row>
    <row r="466" ht="14.25" customHeight="1">
      <c r="A466" s="32"/>
      <c r="B466" s="213"/>
      <c r="C466" s="215"/>
      <c r="D466" s="170"/>
      <c r="E466" s="216"/>
      <c r="F466" s="170"/>
      <c r="G466" s="170"/>
      <c r="H466" s="170"/>
      <c r="I466" s="170"/>
      <c r="J466" s="169"/>
      <c r="K466" s="169"/>
      <c r="L466" s="157" t="str">
        <f>IFERROR(__xludf.DUMMYFUNCTION("IF(
  AND(D466=""Saída"", J466=""Sangria""),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'""&amp;K466&amp;""'
             and Col6 = ""&amp;N466&amp;""
             and Col4 = date '""&amp;TEXT(C466,""yyyy-mm-dd"")&amp;""'""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'""&amp;K466&amp;""'
               and Col6 = ""&amp;N466&amp;""
               and Col4 = date '""&amp;TEXT(C466,""yyyy-mm-dd"")&amp;""'""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'""&amp;"&amp;"K466&amp;""'
                 and Col6 = ""&amp;N466&amp;""
                 and Col4 = date '""&amp;TEXT(C466,""yyyy-mm-dd"")&amp;""'""
            )
          )&gt;0,
          ""Confirmada"",
          ""Caixa Sangria""
        )
      )
    ),
    """"
  ),
  """"
)
"),"")</f>
        <v/>
      </c>
      <c r="M466" s="207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159" t="str">
        <f>IFERROR(__xludf.DUMMYFUNCTION("ifna(VALUE(REGEXEXTRACT(E466,""[0-9.]+[,]+[0-9]+"")))"),"")</f>
        <v/>
      </c>
      <c r="O466" s="159"/>
      <c r="P466" s="159"/>
      <c r="Q466" s="159"/>
      <c r="R466" s="159"/>
      <c r="S466" s="159"/>
      <c r="T466" s="159"/>
      <c r="U466" s="159"/>
      <c r="V466" s="159"/>
      <c r="W466" s="159"/>
    </row>
    <row r="467" ht="14.25" customHeight="1">
      <c r="A467" s="32"/>
      <c r="B467" s="213"/>
      <c r="C467" s="215"/>
      <c r="D467" s="170"/>
      <c r="E467" s="216"/>
      <c r="F467" s="170"/>
      <c r="G467" s="170"/>
      <c r="H467" s="170"/>
      <c r="I467" s="170"/>
      <c r="J467" s="169"/>
      <c r="K467" s="169"/>
      <c r="L467" s="157" t="str">
        <f>IFERROR(__xludf.DUMMYFUNCTION("IF(
  AND(D467=""Saída"", J467=""Sangria""),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'""&amp;K467&amp;""'
             and Col6 = ""&amp;N467&amp;""
             and Col4 = date '""&amp;TEXT(C467,""yyyy-mm-dd"")&amp;""'""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'""&amp;K467&amp;""'
               and Col6 = ""&amp;N467&amp;""
               and Col4 = date '""&amp;TEXT(C467,""yyyy-mm-dd"")&amp;""'""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'""&amp;"&amp;"K467&amp;""'
                 and Col6 = ""&amp;N467&amp;""
                 and Col4 = date '""&amp;TEXT(C467,""yyyy-mm-dd"")&amp;""'""
            )
          )&gt;0,
          ""Confirmada"",
          ""Caixa Sangria""
        )
      )
    ),
    """"
  ),
  """"
)
"),"")</f>
        <v/>
      </c>
      <c r="M467" s="209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159" t="str">
        <f>IFERROR(__xludf.DUMMYFUNCTION("ifna(VALUE(REGEXEXTRACT(E467,""[0-9.]+[,]+[0-9]+"")))"),"")</f>
        <v/>
      </c>
      <c r="O467" s="159"/>
      <c r="P467" s="159"/>
      <c r="Q467" s="159"/>
      <c r="R467" s="159"/>
      <c r="S467" s="159"/>
      <c r="T467" s="159"/>
      <c r="U467" s="159"/>
      <c r="V467" s="159"/>
      <c r="W467" s="159"/>
    </row>
    <row r="468" ht="14.25" customHeight="1">
      <c r="A468" s="32"/>
      <c r="B468" s="213"/>
      <c r="C468" s="215"/>
      <c r="D468" s="170"/>
      <c r="E468" s="216"/>
      <c r="F468" s="170"/>
      <c r="G468" s="170"/>
      <c r="H468" s="170"/>
      <c r="I468" s="170"/>
      <c r="J468" s="169"/>
      <c r="K468" s="169"/>
      <c r="L468" s="157" t="str">
        <f>IFERROR(__xludf.DUMMYFUNCTION("IF(
  AND(D468=""Saída"", J468=""Sangria""),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'""&amp;K468&amp;""'
             and Col6 = ""&amp;N468&amp;""
             and Col4 = date '""&amp;TEXT(C468,""yyyy-mm-dd"")&amp;""'""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'""&amp;K468&amp;""'
               and Col6 = ""&amp;N468&amp;""
               and Col4 = date '""&amp;TEXT(C468,""yyyy-mm-dd"")&amp;""'""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'""&amp;"&amp;"K468&amp;""'
                 and Col6 = ""&amp;N468&amp;""
                 and Col4 = date '""&amp;TEXT(C468,""yyyy-mm-dd"")&amp;""'""
            )
          )&gt;0,
          ""Confirmada"",
          ""Caixa Sangria""
        )
      )
    ),
    """"
  ),
  """"
)
"),"")</f>
        <v/>
      </c>
      <c r="M468" s="207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159" t="str">
        <f>IFERROR(__xludf.DUMMYFUNCTION("ifna(VALUE(REGEXEXTRACT(E468,""[0-9.]+[,]+[0-9]+"")))"),"")</f>
        <v/>
      </c>
      <c r="O468" s="159"/>
      <c r="P468" s="159"/>
      <c r="Q468" s="159"/>
      <c r="R468" s="159"/>
      <c r="S468" s="159"/>
      <c r="T468" s="159"/>
      <c r="U468" s="159"/>
      <c r="V468" s="159"/>
      <c r="W468" s="159"/>
    </row>
    <row r="469" ht="14.25" customHeight="1">
      <c r="A469" s="32"/>
      <c r="B469" s="213"/>
      <c r="C469" s="215"/>
      <c r="D469" s="170"/>
      <c r="E469" s="216"/>
      <c r="F469" s="170"/>
      <c r="G469" s="170"/>
      <c r="H469" s="170"/>
      <c r="I469" s="170"/>
      <c r="J469" s="169"/>
      <c r="K469" s="169"/>
      <c r="L469" s="157" t="str">
        <f>IFERROR(__xludf.DUMMYFUNCTION("IF(
  AND(D469=""Saída"", J469=""Sangria""),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'""&amp;K469&amp;""'
             and Col6 = ""&amp;N469&amp;""
             and Col4 = date '""&amp;TEXT(C469,""yyyy-mm-dd"")&amp;""'""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'""&amp;K469&amp;""'
               and Col6 = ""&amp;N469&amp;""
               and Col4 = date '""&amp;TEXT(C469,""yyyy-mm-dd"")&amp;""'""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'""&amp;"&amp;"K469&amp;""'
                 and Col6 = ""&amp;N469&amp;""
                 and Col4 = date '""&amp;TEXT(C469,""yyyy-mm-dd"")&amp;""'""
            )
          )&gt;0,
          ""Confirmada"",
          ""Caixa Sangria""
        )
      )
    ),
    """"
  ),
  """"
)
"),"")</f>
        <v/>
      </c>
      <c r="M469" s="209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159" t="str">
        <f>IFERROR(__xludf.DUMMYFUNCTION("ifna(VALUE(REGEXEXTRACT(E469,""[0-9.]+[,]+[0-9]+"")))"),"")</f>
        <v/>
      </c>
      <c r="O469" s="159"/>
      <c r="P469" s="159"/>
      <c r="Q469" s="159"/>
      <c r="R469" s="159"/>
      <c r="S469" s="159"/>
      <c r="T469" s="159"/>
      <c r="U469" s="159"/>
      <c r="V469" s="159"/>
      <c r="W469" s="159"/>
    </row>
    <row r="470" ht="14.25" customHeight="1">
      <c r="A470" s="32"/>
      <c r="B470" s="213"/>
      <c r="C470" s="215"/>
      <c r="D470" s="170"/>
      <c r="E470" s="216"/>
      <c r="F470" s="170"/>
      <c r="G470" s="170"/>
      <c r="H470" s="170"/>
      <c r="I470" s="170"/>
      <c r="J470" s="169"/>
      <c r="K470" s="169"/>
      <c r="L470" s="157" t="str">
        <f>IFERROR(__xludf.DUMMYFUNCTION("IF(
  AND(D470=""Saída"", J470=""Sangria""),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'""&amp;K470&amp;""'
             and Col6 = ""&amp;N470&amp;""
             and Col4 = date '""&amp;TEXT(C470,""yyyy-mm-dd"")&amp;""'""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'""&amp;K470&amp;""'
               and Col6 = ""&amp;N470&amp;""
               and Col4 = date '""&amp;TEXT(C470,""yyyy-mm-dd"")&amp;""'""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'""&amp;"&amp;"K470&amp;""'
                 and Col6 = ""&amp;N470&amp;""
                 and Col4 = date '""&amp;TEXT(C470,""yyyy-mm-dd"")&amp;""'""
            )
          )&gt;0,
          ""Confirmada"",
          ""Caixa Sangria""
        )
      )
    ),
    """"
  ),
  """"
)
"),"")</f>
        <v/>
      </c>
      <c r="M470" s="207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159" t="str">
        <f>IFERROR(__xludf.DUMMYFUNCTION("ifna(VALUE(REGEXEXTRACT(E470,""[0-9.]+[,]+[0-9]+"")))"),"")</f>
        <v/>
      </c>
      <c r="O470" s="159"/>
      <c r="P470" s="159"/>
      <c r="Q470" s="159"/>
      <c r="R470" s="159"/>
      <c r="S470" s="159"/>
      <c r="T470" s="159"/>
      <c r="U470" s="159"/>
      <c r="V470" s="159"/>
      <c r="W470" s="159"/>
    </row>
    <row r="471" ht="14.25" customHeight="1">
      <c r="A471" s="32"/>
      <c r="B471" s="213"/>
      <c r="C471" s="215"/>
      <c r="D471" s="170"/>
      <c r="E471" s="216"/>
      <c r="F471" s="170"/>
      <c r="G471" s="170"/>
      <c r="H471" s="170"/>
      <c r="I471" s="170"/>
      <c r="J471" s="169"/>
      <c r="K471" s="169"/>
      <c r="L471" s="157" t="str">
        <f>IFERROR(__xludf.DUMMYFUNCTION("IF(
  AND(D471=""Saída"", J471=""Sangria""),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'""&amp;K471&amp;""'
             and Col6 = ""&amp;N471&amp;""
             and Col4 = date '""&amp;TEXT(C471,""yyyy-mm-dd"")&amp;""'""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'""&amp;K471&amp;""'
               and Col6 = ""&amp;N471&amp;""
               and Col4 = date '""&amp;TEXT(C471,""yyyy-mm-dd"")&amp;""'""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'""&amp;"&amp;"K471&amp;""'
                 and Col6 = ""&amp;N471&amp;""
                 and Col4 = date '""&amp;TEXT(C471,""yyyy-mm-dd"")&amp;""'""
            )
          )&gt;0,
          ""Confirmada"",
          ""Caixa Sangria""
        )
      )
    ),
    """"
  ),
  """"
)
"),"")</f>
        <v/>
      </c>
      <c r="M471" s="209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159" t="str">
        <f>IFERROR(__xludf.DUMMYFUNCTION("ifna(VALUE(REGEXEXTRACT(E471,""[0-9.]+[,]+[0-9]+"")))"),"")</f>
        <v/>
      </c>
      <c r="O471" s="159"/>
      <c r="P471" s="159"/>
      <c r="Q471" s="159"/>
      <c r="R471" s="159"/>
      <c r="S471" s="159"/>
      <c r="T471" s="159"/>
      <c r="U471" s="159"/>
      <c r="V471" s="159"/>
      <c r="W471" s="159"/>
    </row>
    <row r="472" ht="14.25" customHeight="1">
      <c r="A472" s="32"/>
      <c r="B472" s="213"/>
      <c r="C472" s="215"/>
      <c r="D472" s="170"/>
      <c r="E472" s="216"/>
      <c r="F472" s="170"/>
      <c r="G472" s="170"/>
      <c r="H472" s="170"/>
      <c r="I472" s="170"/>
      <c r="J472" s="169"/>
      <c r="K472" s="169"/>
      <c r="L472" s="157" t="str">
        <f>IFERROR(__xludf.DUMMYFUNCTION("IF(
  AND(D472=""Saída"", J472=""Sangria""),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'""&amp;K472&amp;""'
             and Col6 = ""&amp;N472&amp;""
             and Col4 = date '""&amp;TEXT(C472,""yyyy-mm-dd"")&amp;""'""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'""&amp;K472&amp;""'
               and Col6 = ""&amp;N472&amp;""
               and Col4 = date '""&amp;TEXT(C472,""yyyy-mm-dd"")&amp;""'""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'""&amp;"&amp;"K472&amp;""'
                 and Col6 = ""&amp;N472&amp;""
                 and Col4 = date '""&amp;TEXT(C472,""yyyy-mm-dd"")&amp;""'""
            )
          )&gt;0,
          ""Confirmada"",
          ""Caixa Sangria""
        )
      )
    ),
    """"
  ),
  """"
)
"),"")</f>
        <v/>
      </c>
      <c r="M472" s="207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159" t="str">
        <f>IFERROR(__xludf.DUMMYFUNCTION("ifna(VALUE(REGEXEXTRACT(E472,""[0-9.]+[,]+[0-9]+"")))"),"")</f>
        <v/>
      </c>
      <c r="O472" s="159"/>
      <c r="P472" s="159"/>
      <c r="Q472" s="159"/>
      <c r="R472" s="159"/>
      <c r="S472" s="159"/>
      <c r="T472" s="159"/>
      <c r="U472" s="159"/>
      <c r="V472" s="159"/>
      <c r="W472" s="159"/>
    </row>
    <row r="473" ht="14.25" customHeight="1">
      <c r="A473" s="32"/>
      <c r="B473" s="213"/>
      <c r="C473" s="215"/>
      <c r="D473" s="170"/>
      <c r="E473" s="216"/>
      <c r="F473" s="170"/>
      <c r="G473" s="170"/>
      <c r="H473" s="170"/>
      <c r="I473" s="170"/>
      <c r="J473" s="169"/>
      <c r="K473" s="169"/>
      <c r="L473" s="157" t="str">
        <f>IFERROR(__xludf.DUMMYFUNCTION("IF(
  AND(D473=""Saída"", J473=""Sangria""),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'""&amp;K473&amp;""'
             and Col6 = ""&amp;N473&amp;""
             and Col4 = date '""&amp;TEXT(C473,""yyyy-mm-dd"")&amp;""'""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'""&amp;K473&amp;""'
               and Col6 = ""&amp;N473&amp;""
               and Col4 = date '""&amp;TEXT(C473,""yyyy-mm-dd"")&amp;""'""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'""&amp;"&amp;"K473&amp;""'
                 and Col6 = ""&amp;N473&amp;""
                 and Col4 = date '""&amp;TEXT(C473,""yyyy-mm-dd"")&amp;""'""
            )
          )&gt;0,
          ""Confirmada"",
          ""Caixa Sangria""
        )
      )
    ),
    """"
  ),
  """"
)
"),"")</f>
        <v/>
      </c>
      <c r="M473" s="209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159" t="str">
        <f>IFERROR(__xludf.DUMMYFUNCTION("ifna(VALUE(REGEXEXTRACT(E473,""[0-9.]+[,]+[0-9]+"")))"),"")</f>
        <v/>
      </c>
      <c r="O473" s="159"/>
      <c r="P473" s="159"/>
      <c r="Q473" s="159"/>
      <c r="R473" s="159"/>
      <c r="S473" s="159"/>
      <c r="T473" s="159"/>
      <c r="U473" s="159"/>
      <c r="V473" s="159"/>
      <c r="W473" s="159"/>
    </row>
    <row r="474" ht="14.25" customHeight="1">
      <c r="A474" s="32"/>
      <c r="B474" s="213"/>
      <c r="C474" s="215"/>
      <c r="D474" s="170"/>
      <c r="E474" s="216"/>
      <c r="F474" s="170"/>
      <c r="G474" s="170"/>
      <c r="H474" s="170"/>
      <c r="I474" s="170"/>
      <c r="J474" s="169"/>
      <c r="K474" s="169"/>
      <c r="L474" s="157" t="str">
        <f>IFERROR(__xludf.DUMMYFUNCTION("IF(
  AND(D474=""Saída"", J474=""Sangria""),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'""&amp;K474&amp;""'
             and Col6 = ""&amp;N474&amp;""
             and Col4 = date '""&amp;TEXT(C474,""yyyy-mm-dd"")&amp;""'""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'""&amp;K474&amp;""'
               and Col6 = ""&amp;N474&amp;""
               and Col4 = date '""&amp;TEXT(C474,""yyyy-mm-dd"")&amp;""'""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'""&amp;"&amp;"K474&amp;""'
                 and Col6 = ""&amp;N474&amp;""
                 and Col4 = date '""&amp;TEXT(C474,""yyyy-mm-dd"")&amp;""'""
            )
          )&gt;0,
          ""Confirmada"",
          ""Caixa Sangria""
        )
      )
    ),
    """"
  ),
  """"
)
"),"")</f>
        <v/>
      </c>
      <c r="M474" s="207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159" t="str">
        <f>IFERROR(__xludf.DUMMYFUNCTION("ifna(VALUE(REGEXEXTRACT(E474,""[0-9.]+[,]+[0-9]+"")))"),"")</f>
        <v/>
      </c>
      <c r="O474" s="159"/>
      <c r="P474" s="159"/>
      <c r="Q474" s="159"/>
      <c r="R474" s="159"/>
      <c r="S474" s="159"/>
      <c r="T474" s="159"/>
      <c r="U474" s="159"/>
      <c r="V474" s="159"/>
      <c r="W474" s="159"/>
    </row>
    <row r="475" ht="14.25" customHeight="1">
      <c r="A475" s="32"/>
      <c r="B475" s="213"/>
      <c r="C475" s="215"/>
      <c r="D475" s="170"/>
      <c r="E475" s="216"/>
      <c r="F475" s="170"/>
      <c r="G475" s="170"/>
      <c r="H475" s="170"/>
      <c r="I475" s="170"/>
      <c r="J475" s="169"/>
      <c r="K475" s="169"/>
      <c r="L475" s="157" t="str">
        <f>IFERROR(__xludf.DUMMYFUNCTION("IF(
  AND(D475=""Saída"", J475=""Sangria""),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'""&amp;K475&amp;""'
             and Col6 = ""&amp;N475&amp;""
             and Col4 = date '""&amp;TEXT(C475,""yyyy-mm-dd"")&amp;""'""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'""&amp;K475&amp;""'
               and Col6 = ""&amp;N475&amp;""
               and Col4 = date '""&amp;TEXT(C475,""yyyy-mm-dd"")&amp;""'""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'""&amp;"&amp;"K475&amp;""'
                 and Col6 = ""&amp;N475&amp;""
                 and Col4 = date '""&amp;TEXT(C475,""yyyy-mm-dd"")&amp;""'""
            )
          )&gt;0,
          ""Confirmada"",
          ""Caixa Sangria""
        )
      )
    ),
    """"
  ),
  """"
)
"),"")</f>
        <v/>
      </c>
      <c r="M475" s="209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159" t="str">
        <f>IFERROR(__xludf.DUMMYFUNCTION("ifna(VALUE(REGEXEXTRACT(E475,""[0-9.]+[,]+[0-9]+"")))"),"")</f>
        <v/>
      </c>
      <c r="O475" s="159"/>
      <c r="P475" s="159"/>
      <c r="Q475" s="159"/>
      <c r="R475" s="159"/>
      <c r="S475" s="159"/>
      <c r="T475" s="159"/>
      <c r="U475" s="159"/>
      <c r="V475" s="159"/>
      <c r="W475" s="159"/>
    </row>
    <row r="476" ht="14.25" customHeight="1">
      <c r="A476" s="32"/>
      <c r="B476" s="213"/>
      <c r="C476" s="215"/>
      <c r="D476" s="170"/>
      <c r="E476" s="216"/>
      <c r="F476" s="170"/>
      <c r="G476" s="170"/>
      <c r="H476" s="170"/>
      <c r="I476" s="170"/>
      <c r="J476" s="169"/>
      <c r="K476" s="169"/>
      <c r="L476" s="157" t="str">
        <f>IFERROR(__xludf.DUMMYFUNCTION("IF(
  AND(D476=""Saída"", J476=""Sangria""),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'""&amp;K476&amp;""'
             and Col6 = ""&amp;N476&amp;""
             and Col4 = date '""&amp;TEXT(C476,""yyyy-mm-dd"")&amp;""'""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'""&amp;K476&amp;""'
               and Col6 = ""&amp;N476&amp;""
               and Col4 = date '""&amp;TEXT(C476,""yyyy-mm-dd"")&amp;""'""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'""&amp;"&amp;"K476&amp;""'
                 and Col6 = ""&amp;N476&amp;""
                 and Col4 = date '""&amp;TEXT(C476,""yyyy-mm-dd"")&amp;""'""
            )
          )&gt;0,
          ""Confirmada"",
          ""Caixa Sangria""
        )
      )
    ),
    """"
  ),
  """"
)
"),"")</f>
        <v/>
      </c>
      <c r="M476" s="207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159" t="str">
        <f>IFERROR(__xludf.DUMMYFUNCTION("ifna(VALUE(REGEXEXTRACT(E476,""[0-9.]+[,]+[0-9]+"")))"),"")</f>
        <v/>
      </c>
      <c r="O476" s="159"/>
      <c r="P476" s="159"/>
      <c r="Q476" s="159"/>
      <c r="R476" s="159"/>
      <c r="S476" s="159"/>
      <c r="T476" s="159"/>
      <c r="U476" s="159"/>
      <c r="V476" s="159"/>
      <c r="W476" s="159"/>
    </row>
    <row r="477" ht="14.25" customHeight="1">
      <c r="A477" s="32"/>
      <c r="B477" s="213"/>
      <c r="C477" s="215"/>
      <c r="D477" s="170"/>
      <c r="E477" s="216"/>
      <c r="F477" s="170"/>
      <c r="G477" s="170"/>
      <c r="H477" s="170"/>
      <c r="I477" s="170"/>
      <c r="J477" s="169"/>
      <c r="K477" s="169"/>
      <c r="L477" s="157" t="str">
        <f>IFERROR(__xludf.DUMMYFUNCTION("IF(
  AND(D477=""Saída"", J477=""Sangria""),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'""&amp;K477&amp;""'
             and Col6 = ""&amp;N477&amp;""
             and Col4 = date '""&amp;TEXT(C477,""yyyy-mm-dd"")&amp;""'""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'""&amp;K477&amp;""'
               and Col6 = ""&amp;N477&amp;""
               and Col4 = date '""&amp;TEXT(C477,""yyyy-mm-dd"")&amp;""'""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'""&amp;"&amp;"K477&amp;""'
                 and Col6 = ""&amp;N477&amp;""
                 and Col4 = date '""&amp;TEXT(C477,""yyyy-mm-dd"")&amp;""'""
            )
          )&gt;0,
          ""Confirmada"",
          ""Caixa Sangria""
        )
      )
    ),
    """"
  ),
  """"
)
"),"")</f>
        <v/>
      </c>
      <c r="M477" s="209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159" t="str">
        <f>IFERROR(__xludf.DUMMYFUNCTION("ifna(VALUE(REGEXEXTRACT(E477,""[0-9.]+[,]+[0-9]+"")))"),"")</f>
        <v/>
      </c>
      <c r="O477" s="159"/>
      <c r="P477" s="159"/>
      <c r="Q477" s="159"/>
      <c r="R477" s="159"/>
      <c r="S477" s="159"/>
      <c r="T477" s="159"/>
      <c r="U477" s="159"/>
      <c r="V477" s="159"/>
      <c r="W477" s="159"/>
    </row>
    <row r="478" ht="14.25" customHeight="1">
      <c r="A478" s="32"/>
      <c r="B478" s="213"/>
      <c r="C478" s="215"/>
      <c r="D478" s="170"/>
      <c r="E478" s="216"/>
      <c r="F478" s="170"/>
      <c r="G478" s="170"/>
      <c r="H478" s="170"/>
      <c r="I478" s="170"/>
      <c r="J478" s="169"/>
      <c r="K478" s="169"/>
      <c r="L478" s="157" t="str">
        <f>IFERROR(__xludf.DUMMYFUNCTION("IF(
  AND(D478=""Saída"", J478=""Sangria""),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'""&amp;K478&amp;""'
             and Col6 = ""&amp;N478&amp;""
             and Col4 = date '""&amp;TEXT(C478,""yyyy-mm-dd"")&amp;""'""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'""&amp;K478&amp;""'
               and Col6 = ""&amp;N478&amp;""
               and Col4 = date '""&amp;TEXT(C478,""yyyy-mm-dd"")&amp;""'""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'""&amp;"&amp;"K478&amp;""'
                 and Col6 = ""&amp;N478&amp;""
                 and Col4 = date '""&amp;TEXT(C478,""yyyy-mm-dd"")&amp;""'""
            )
          )&gt;0,
          ""Confirmada"",
          ""Caixa Sangria""
        )
      )
    ),
    """"
  ),
  """"
)
"),"")</f>
        <v/>
      </c>
      <c r="M478" s="207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159" t="str">
        <f>IFERROR(__xludf.DUMMYFUNCTION("ifna(VALUE(REGEXEXTRACT(E478,""[0-9.]+[,]+[0-9]+"")))"),"")</f>
        <v/>
      </c>
      <c r="O478" s="159"/>
      <c r="P478" s="159"/>
      <c r="Q478" s="159"/>
      <c r="R478" s="159"/>
      <c r="S478" s="159"/>
      <c r="T478" s="159"/>
      <c r="U478" s="159"/>
      <c r="V478" s="159"/>
      <c r="W478" s="159"/>
    </row>
    <row r="479" ht="14.25" customHeight="1">
      <c r="A479" s="32"/>
      <c r="B479" s="213"/>
      <c r="C479" s="215"/>
      <c r="D479" s="170"/>
      <c r="E479" s="216"/>
      <c r="F479" s="170"/>
      <c r="G479" s="170"/>
      <c r="H479" s="170"/>
      <c r="I479" s="170"/>
      <c r="J479" s="169"/>
      <c r="K479" s="169"/>
      <c r="L479" s="157" t="str">
        <f>IFERROR(__xludf.DUMMYFUNCTION("IF(
  AND(D479=""Saída"", J479=""Sangria""),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'""&amp;K479&amp;""'
             and Col6 = ""&amp;N479&amp;""
             and Col4 = date '""&amp;TEXT(C479,""yyyy-mm-dd"")&amp;""'""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'""&amp;K479&amp;""'
               and Col6 = ""&amp;N479&amp;""
               and Col4 = date '""&amp;TEXT(C479,""yyyy-mm-dd"")&amp;""'""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'""&amp;"&amp;"K479&amp;""'
                 and Col6 = ""&amp;N479&amp;""
                 and Col4 = date '""&amp;TEXT(C479,""yyyy-mm-dd"")&amp;""'""
            )
          )&gt;0,
          ""Confirmada"",
          ""Caixa Sangria""
        )
      )
    ),
    """"
  ),
  """"
)
"),"")</f>
        <v/>
      </c>
      <c r="M479" s="209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159" t="str">
        <f>IFERROR(__xludf.DUMMYFUNCTION("ifna(VALUE(REGEXEXTRACT(E479,""[0-9.]+[,]+[0-9]+"")))"),"")</f>
        <v/>
      </c>
      <c r="O479" s="159"/>
      <c r="P479" s="159"/>
      <c r="Q479" s="159"/>
      <c r="R479" s="159"/>
      <c r="S479" s="159"/>
      <c r="T479" s="159"/>
      <c r="U479" s="159"/>
      <c r="V479" s="159"/>
      <c r="W479" s="159"/>
    </row>
    <row r="480" ht="14.25" customHeight="1">
      <c r="A480" s="32"/>
      <c r="B480" s="213"/>
      <c r="C480" s="215"/>
      <c r="D480" s="170"/>
      <c r="E480" s="216"/>
      <c r="F480" s="170"/>
      <c r="G480" s="170"/>
      <c r="H480" s="170"/>
      <c r="I480" s="170"/>
      <c r="J480" s="169"/>
      <c r="K480" s="169"/>
      <c r="L480" s="157" t="str">
        <f>IFERROR(__xludf.DUMMYFUNCTION("IF(
  AND(D480=""Saída"", J480=""Sangria""),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'""&amp;K480&amp;""'
             and Col6 = ""&amp;N480&amp;""
             and Col4 = date '""&amp;TEXT(C480,""yyyy-mm-dd"")&amp;""'""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'""&amp;K480&amp;""'
               and Col6 = ""&amp;N480&amp;""
               and Col4 = date '""&amp;TEXT(C480,""yyyy-mm-dd"")&amp;""'""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'""&amp;"&amp;"K480&amp;""'
                 and Col6 = ""&amp;N480&amp;""
                 and Col4 = date '""&amp;TEXT(C480,""yyyy-mm-dd"")&amp;""'""
            )
          )&gt;0,
          ""Confirmada"",
          ""Caixa Sangria""
        )
      )
    ),
    """"
  ),
  """"
)
"),"")</f>
        <v/>
      </c>
      <c r="M480" s="207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159" t="str">
        <f>IFERROR(__xludf.DUMMYFUNCTION("ifna(VALUE(REGEXEXTRACT(E480,""[0-9.]+[,]+[0-9]+"")))"),"")</f>
        <v/>
      </c>
      <c r="O480" s="159"/>
      <c r="P480" s="159"/>
      <c r="Q480" s="159"/>
      <c r="R480" s="159"/>
      <c r="S480" s="159"/>
      <c r="T480" s="159"/>
      <c r="U480" s="159"/>
      <c r="V480" s="159"/>
      <c r="W480" s="159"/>
    </row>
    <row r="481" ht="14.25" customHeight="1">
      <c r="A481" s="32"/>
      <c r="B481" s="213"/>
      <c r="C481" s="215"/>
      <c r="D481" s="170"/>
      <c r="E481" s="216"/>
      <c r="F481" s="170"/>
      <c r="G481" s="170"/>
      <c r="H481" s="170"/>
      <c r="I481" s="170"/>
      <c r="J481" s="169"/>
      <c r="K481" s="169"/>
      <c r="L481" s="157" t="str">
        <f>IFERROR(__xludf.DUMMYFUNCTION("IF(
  AND(D481=""Saída"", J481=""Sangria""),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'""&amp;K481&amp;""'
             and Col6 = ""&amp;N481&amp;""
             and Col4 = date '""&amp;TEXT(C481,""yyyy-mm-dd"")&amp;""'""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'""&amp;K481&amp;""'
               and Col6 = ""&amp;N481&amp;""
               and Col4 = date '""&amp;TEXT(C481,""yyyy-mm-dd"")&amp;""'""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'""&amp;"&amp;"K481&amp;""'
                 and Col6 = ""&amp;N481&amp;""
                 and Col4 = date '""&amp;TEXT(C481,""yyyy-mm-dd"")&amp;""'""
            )
          )&gt;0,
          ""Confirmada"",
          ""Caixa Sangria""
        )
      )
    ),
    """"
  ),
  """"
)
"),"")</f>
        <v/>
      </c>
      <c r="M481" s="209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159" t="str">
        <f>IFERROR(__xludf.DUMMYFUNCTION("ifna(VALUE(REGEXEXTRACT(E481,""[0-9.]+[,]+[0-9]+"")))"),"")</f>
        <v/>
      </c>
      <c r="O481" s="159"/>
      <c r="P481" s="159"/>
      <c r="Q481" s="159"/>
      <c r="R481" s="159"/>
      <c r="S481" s="159"/>
      <c r="T481" s="159"/>
      <c r="U481" s="159"/>
      <c r="V481" s="159"/>
      <c r="W481" s="159"/>
    </row>
    <row r="482" ht="14.25" customHeight="1">
      <c r="A482" s="32"/>
      <c r="B482" s="213"/>
      <c r="C482" s="215"/>
      <c r="D482" s="170"/>
      <c r="E482" s="216"/>
      <c r="F482" s="170"/>
      <c r="G482" s="170"/>
      <c r="H482" s="170"/>
      <c r="I482" s="170"/>
      <c r="J482" s="169"/>
      <c r="K482" s="169"/>
      <c r="L482" s="157" t="str">
        <f>IFERROR(__xludf.DUMMYFUNCTION("IF(
  AND(D482=""Saída"", J482=""Sangria""),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'""&amp;K482&amp;""'
             and Col6 = ""&amp;N482&amp;""
             and Col4 = date '""&amp;TEXT(C482,""yyyy-mm-dd"")&amp;""'""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'""&amp;K482&amp;""'
               and Col6 = ""&amp;N482&amp;""
               and Col4 = date '""&amp;TEXT(C482,""yyyy-mm-dd"")&amp;""'""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'""&amp;"&amp;"K482&amp;""'
                 and Col6 = ""&amp;N482&amp;""
                 and Col4 = date '""&amp;TEXT(C482,""yyyy-mm-dd"")&amp;""'""
            )
          )&gt;0,
          ""Confirmada"",
          ""Caixa Sangria""
        )
      )
    ),
    """"
  ),
  """"
)
"),"")</f>
        <v/>
      </c>
      <c r="M482" s="207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159" t="str">
        <f>IFERROR(__xludf.DUMMYFUNCTION("ifna(VALUE(REGEXEXTRACT(E482,""[0-9.]+[,]+[0-9]+"")))"),"")</f>
        <v/>
      </c>
      <c r="O482" s="159"/>
      <c r="P482" s="159"/>
      <c r="Q482" s="159"/>
      <c r="R482" s="159"/>
      <c r="S482" s="159"/>
      <c r="T482" s="159"/>
      <c r="U482" s="159"/>
      <c r="V482" s="159"/>
      <c r="W482" s="159"/>
    </row>
    <row r="483" ht="14.25" customHeight="1">
      <c r="A483" s="32"/>
      <c r="B483" s="213"/>
      <c r="C483" s="215"/>
      <c r="D483" s="170"/>
      <c r="E483" s="216"/>
      <c r="F483" s="170"/>
      <c r="G483" s="170"/>
      <c r="H483" s="170"/>
      <c r="I483" s="170"/>
      <c r="J483" s="169"/>
      <c r="K483" s="169"/>
      <c r="L483" s="157" t="str">
        <f>IFERROR(__xludf.DUMMYFUNCTION("IF(
  AND(D483=""Saída"", J483=""Sangria""),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'""&amp;K483&amp;""'
             and Col6 = ""&amp;N483&amp;""
             and Col4 = date '""&amp;TEXT(C483,""yyyy-mm-dd"")&amp;""'""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'""&amp;K483&amp;""'
               and Col6 = ""&amp;N483&amp;""
               and Col4 = date '""&amp;TEXT(C483,""yyyy-mm-dd"")&amp;""'""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'""&amp;"&amp;"K483&amp;""'
                 and Col6 = ""&amp;N483&amp;""
                 and Col4 = date '""&amp;TEXT(C483,""yyyy-mm-dd"")&amp;""'""
            )
          )&gt;0,
          ""Confirmada"",
          ""Caixa Sangria""
        )
      )
    ),
    """"
  ),
  """"
)
"),"")</f>
        <v/>
      </c>
      <c r="M483" s="209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159" t="str">
        <f>IFERROR(__xludf.DUMMYFUNCTION("ifna(VALUE(REGEXEXTRACT(E483,""[0-9.]+[,]+[0-9]+"")))"),"")</f>
        <v/>
      </c>
      <c r="O483" s="159"/>
      <c r="P483" s="159"/>
      <c r="Q483" s="159"/>
      <c r="R483" s="159"/>
      <c r="S483" s="159"/>
      <c r="T483" s="159"/>
      <c r="U483" s="159"/>
      <c r="V483" s="159"/>
      <c r="W483" s="159"/>
    </row>
    <row r="484" ht="14.25" customHeight="1">
      <c r="A484" s="32"/>
      <c r="B484" s="213"/>
      <c r="C484" s="215"/>
      <c r="D484" s="170"/>
      <c r="E484" s="216"/>
      <c r="F484" s="170"/>
      <c r="G484" s="170"/>
      <c r="H484" s="170"/>
      <c r="I484" s="170"/>
      <c r="J484" s="169"/>
      <c r="K484" s="169"/>
      <c r="L484" s="157" t="str">
        <f>IFERROR(__xludf.DUMMYFUNCTION("IF(
  AND(D484=""Saída"", J484=""Sangria""),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'""&amp;K484&amp;""'
             and Col6 = ""&amp;N484&amp;""
             and Col4 = date '""&amp;TEXT(C484,""yyyy-mm-dd"")&amp;""'""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'""&amp;K484&amp;""'
               and Col6 = ""&amp;N484&amp;""
               and Col4 = date '""&amp;TEXT(C484,""yyyy-mm-dd"")&amp;""'""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'""&amp;"&amp;"K484&amp;""'
                 and Col6 = ""&amp;N484&amp;""
                 and Col4 = date '""&amp;TEXT(C484,""yyyy-mm-dd"")&amp;""'""
            )
          )&gt;0,
          ""Confirmada"",
          ""Caixa Sangria""
        )
      )
    ),
    """"
  ),
  """"
)
"),"")</f>
        <v/>
      </c>
      <c r="M484" s="207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159" t="str">
        <f>IFERROR(__xludf.DUMMYFUNCTION("ifna(VALUE(REGEXEXTRACT(E484,""[0-9.]+[,]+[0-9]+"")))"),"")</f>
        <v/>
      </c>
      <c r="O484" s="159"/>
      <c r="P484" s="159"/>
      <c r="Q484" s="159"/>
      <c r="R484" s="159"/>
      <c r="S484" s="159"/>
      <c r="T484" s="159"/>
      <c r="U484" s="159"/>
      <c r="V484" s="159"/>
      <c r="W484" s="159"/>
    </row>
    <row r="485" ht="14.25" customHeight="1">
      <c r="A485" s="32"/>
      <c r="B485" s="213"/>
      <c r="C485" s="215"/>
      <c r="D485" s="170"/>
      <c r="E485" s="216"/>
      <c r="F485" s="170"/>
      <c r="G485" s="170"/>
      <c r="H485" s="170"/>
      <c r="I485" s="170"/>
      <c r="J485" s="169"/>
      <c r="K485" s="169"/>
      <c r="L485" s="157" t="str">
        <f>IFERROR(__xludf.DUMMYFUNCTION("IF(
  AND(D485=""Saída"", J485=""Sangria""),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'""&amp;K485&amp;""'
             and Col6 = ""&amp;N485&amp;""
             and Col4 = date '""&amp;TEXT(C485,""yyyy-mm-dd"")&amp;""'""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'""&amp;K485&amp;""'
               and Col6 = ""&amp;N485&amp;""
               and Col4 = date '""&amp;TEXT(C485,""yyyy-mm-dd"")&amp;""'""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'""&amp;"&amp;"K485&amp;""'
                 and Col6 = ""&amp;N485&amp;""
                 and Col4 = date '""&amp;TEXT(C485,""yyyy-mm-dd"")&amp;""'""
            )
          )&gt;0,
          ""Confirmada"",
          ""Caixa Sangria""
        )
      )
    ),
    """"
  ),
  """"
)
"),"")</f>
        <v/>
      </c>
      <c r="M485" s="209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159" t="str">
        <f>IFERROR(__xludf.DUMMYFUNCTION("ifna(VALUE(REGEXEXTRACT(E485,""[0-9.]+[,]+[0-9]+"")))"),"")</f>
        <v/>
      </c>
      <c r="O485" s="159"/>
      <c r="P485" s="159"/>
      <c r="Q485" s="159"/>
      <c r="R485" s="159"/>
      <c r="S485" s="159"/>
      <c r="T485" s="159"/>
      <c r="U485" s="159"/>
      <c r="V485" s="159"/>
      <c r="W485" s="159"/>
    </row>
    <row r="486" ht="14.25" customHeight="1">
      <c r="A486" s="32"/>
      <c r="B486" s="213"/>
      <c r="C486" s="215"/>
      <c r="D486" s="170"/>
      <c r="E486" s="216"/>
      <c r="F486" s="170"/>
      <c r="G486" s="170"/>
      <c r="H486" s="170"/>
      <c r="I486" s="170"/>
      <c r="J486" s="169"/>
      <c r="K486" s="169"/>
      <c r="L486" s="157" t="str">
        <f>IFERROR(__xludf.DUMMYFUNCTION("IF(
  AND(D486=""Saída"", J486=""Sangria""),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'""&amp;K486&amp;""'
             and Col6 = ""&amp;N486&amp;""
             and Col4 = date '""&amp;TEXT(C486,""yyyy-mm-dd"")&amp;""'""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'""&amp;K486&amp;""'
               and Col6 = ""&amp;N486&amp;""
               and Col4 = date '""&amp;TEXT(C486,""yyyy-mm-dd"")&amp;""'""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'""&amp;"&amp;"K486&amp;""'
                 and Col6 = ""&amp;N486&amp;""
                 and Col4 = date '""&amp;TEXT(C486,""yyyy-mm-dd"")&amp;""'""
            )
          )&gt;0,
          ""Confirmada"",
          ""Caixa Sangria""
        )
      )
    ),
    """"
  ),
  """"
)
"),"")</f>
        <v/>
      </c>
      <c r="M486" s="207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159" t="str">
        <f>IFERROR(__xludf.DUMMYFUNCTION("ifna(VALUE(REGEXEXTRACT(E486,""[0-9.]+[,]+[0-9]+"")))"),"")</f>
        <v/>
      </c>
      <c r="O486" s="159"/>
      <c r="P486" s="159"/>
      <c r="Q486" s="159"/>
      <c r="R486" s="159"/>
      <c r="S486" s="159"/>
      <c r="T486" s="159"/>
      <c r="U486" s="159"/>
      <c r="V486" s="159"/>
      <c r="W486" s="159"/>
    </row>
    <row r="487" ht="14.25" customHeight="1">
      <c r="A487" s="32"/>
      <c r="B487" s="213"/>
      <c r="C487" s="215"/>
      <c r="D487" s="170"/>
      <c r="E487" s="216"/>
      <c r="F487" s="170"/>
      <c r="G487" s="170"/>
      <c r="H487" s="170"/>
      <c r="I487" s="170"/>
      <c r="J487" s="169"/>
      <c r="K487" s="169"/>
      <c r="L487" s="157" t="str">
        <f>IFERROR(__xludf.DUMMYFUNCTION("IF(
  AND(D487=""Saída"", J487=""Sangria""),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'""&amp;K487&amp;""'
             and Col6 = ""&amp;N487&amp;""
             and Col4 = date '""&amp;TEXT(C487,""yyyy-mm-dd"")&amp;""'""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'""&amp;K487&amp;""'
               and Col6 = ""&amp;N487&amp;""
               and Col4 = date '""&amp;TEXT(C487,""yyyy-mm-dd"")&amp;""'""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'""&amp;"&amp;"K487&amp;""'
                 and Col6 = ""&amp;N487&amp;""
                 and Col4 = date '""&amp;TEXT(C487,""yyyy-mm-dd"")&amp;""'""
            )
          )&gt;0,
          ""Confirmada"",
          ""Caixa Sangria""
        )
      )
    ),
    """"
  ),
  """"
)
"),"")</f>
        <v/>
      </c>
      <c r="M487" s="209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159" t="str">
        <f>IFERROR(__xludf.DUMMYFUNCTION("ifna(VALUE(REGEXEXTRACT(E487,""[0-9.]+[,]+[0-9]+"")))"),"")</f>
        <v/>
      </c>
      <c r="O487" s="159"/>
      <c r="P487" s="159"/>
      <c r="Q487" s="159"/>
      <c r="R487" s="159"/>
      <c r="S487" s="159"/>
      <c r="T487" s="159"/>
      <c r="U487" s="159"/>
      <c r="V487" s="159"/>
      <c r="W487" s="159"/>
    </row>
    <row r="488" ht="14.25" customHeight="1">
      <c r="A488" s="32"/>
      <c r="B488" s="213"/>
      <c r="C488" s="215"/>
      <c r="D488" s="170"/>
      <c r="E488" s="216"/>
      <c r="F488" s="170"/>
      <c r="G488" s="170"/>
      <c r="H488" s="170"/>
      <c r="I488" s="170"/>
      <c r="J488" s="169"/>
      <c r="K488" s="169"/>
      <c r="L488" s="157" t="str">
        <f>IFERROR(__xludf.DUMMYFUNCTION("IF(
  AND(D488=""Saída"", J488=""Sangria""),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'""&amp;K488&amp;""'
             and Col6 = ""&amp;N488&amp;""
             and Col4 = date '""&amp;TEXT(C488,""yyyy-mm-dd"")&amp;""'""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'""&amp;K488&amp;""'
               and Col6 = ""&amp;N488&amp;""
               and Col4 = date '""&amp;TEXT(C488,""yyyy-mm-dd"")&amp;""'""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'""&amp;"&amp;"K488&amp;""'
                 and Col6 = ""&amp;N488&amp;""
                 and Col4 = date '""&amp;TEXT(C488,""yyyy-mm-dd"")&amp;""'""
            )
          )&gt;0,
          ""Confirmada"",
          ""Caixa Sangria""
        )
      )
    ),
    """"
  ),
  """"
)
"),"")</f>
        <v/>
      </c>
      <c r="M488" s="207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159" t="str">
        <f>IFERROR(__xludf.DUMMYFUNCTION("ifna(VALUE(REGEXEXTRACT(E488,""[0-9.]+[,]+[0-9]+"")))"),"")</f>
        <v/>
      </c>
      <c r="O488" s="159"/>
      <c r="P488" s="159"/>
      <c r="Q488" s="159"/>
      <c r="R488" s="159"/>
      <c r="S488" s="159"/>
      <c r="T488" s="159"/>
      <c r="U488" s="159"/>
      <c r="V488" s="159"/>
      <c r="W488" s="159"/>
    </row>
    <row r="489" ht="14.25" customHeight="1">
      <c r="A489" s="32"/>
      <c r="B489" s="213"/>
      <c r="C489" s="215"/>
      <c r="D489" s="170"/>
      <c r="E489" s="216"/>
      <c r="F489" s="170"/>
      <c r="G489" s="170"/>
      <c r="H489" s="170"/>
      <c r="I489" s="170"/>
      <c r="J489" s="169"/>
      <c r="K489" s="169"/>
      <c r="L489" s="157" t="str">
        <f>IFERROR(__xludf.DUMMYFUNCTION("IF(
  AND(D489=""Saída"", J489=""Sangria""),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'""&amp;K489&amp;""'
             and Col6 = ""&amp;N489&amp;""
             and Col4 = date '""&amp;TEXT(C489,""yyyy-mm-dd"")&amp;""'""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'""&amp;K489&amp;""'
               and Col6 = ""&amp;N489&amp;""
               and Col4 = date '""&amp;TEXT(C489,""yyyy-mm-dd"")&amp;""'""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'""&amp;"&amp;"K489&amp;""'
                 and Col6 = ""&amp;N489&amp;""
                 and Col4 = date '""&amp;TEXT(C489,""yyyy-mm-dd"")&amp;""'""
            )
          )&gt;0,
          ""Confirmada"",
          ""Caixa Sangria""
        )
      )
    ),
    """"
  ),
  """"
)
"),"")</f>
        <v/>
      </c>
      <c r="M489" s="209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159" t="str">
        <f>IFERROR(__xludf.DUMMYFUNCTION("ifna(VALUE(REGEXEXTRACT(E489,""[0-9.]+[,]+[0-9]+"")))"),"")</f>
        <v/>
      </c>
      <c r="O489" s="159"/>
      <c r="P489" s="159"/>
      <c r="Q489" s="159"/>
      <c r="R489" s="159"/>
      <c r="S489" s="159"/>
      <c r="T489" s="159"/>
      <c r="U489" s="159"/>
      <c r="V489" s="159"/>
      <c r="W489" s="159"/>
    </row>
    <row r="490" ht="14.25" customHeight="1">
      <c r="A490" s="32"/>
      <c r="B490" s="213"/>
      <c r="C490" s="215"/>
      <c r="D490" s="170"/>
      <c r="E490" s="216"/>
      <c r="F490" s="170"/>
      <c r="G490" s="170"/>
      <c r="H490" s="170"/>
      <c r="I490" s="170"/>
      <c r="J490" s="169"/>
      <c r="K490" s="169"/>
      <c r="L490" s="157" t="str">
        <f>IFERROR(__xludf.DUMMYFUNCTION("IF(
  AND(D490=""Saída"", J490=""Sangria""),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'""&amp;K490&amp;""'
             and Col6 = ""&amp;N490&amp;""
             and Col4 = date '""&amp;TEXT(C490,""yyyy-mm-dd"")&amp;""'""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'""&amp;K490&amp;""'
               and Col6 = ""&amp;N490&amp;""
               and Col4 = date '""&amp;TEXT(C490,""yyyy-mm-dd"")&amp;""'""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'""&amp;"&amp;"K490&amp;""'
                 and Col6 = ""&amp;N490&amp;""
                 and Col4 = date '""&amp;TEXT(C490,""yyyy-mm-dd"")&amp;""'""
            )
          )&gt;0,
          ""Confirmada"",
          ""Caixa Sangria""
        )
      )
    ),
    """"
  ),
  """"
)
"),"")</f>
        <v/>
      </c>
      <c r="M490" s="207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159" t="str">
        <f>IFERROR(__xludf.DUMMYFUNCTION("ifna(VALUE(REGEXEXTRACT(E490,""[0-9.]+[,]+[0-9]+"")))"),"")</f>
        <v/>
      </c>
      <c r="O490" s="159"/>
      <c r="P490" s="159"/>
      <c r="Q490" s="159"/>
      <c r="R490" s="159"/>
      <c r="S490" s="159"/>
      <c r="T490" s="159"/>
      <c r="U490" s="159"/>
      <c r="V490" s="159"/>
      <c r="W490" s="159"/>
    </row>
    <row r="491" ht="14.25" customHeight="1">
      <c r="A491" s="32"/>
      <c r="B491" s="213"/>
      <c r="C491" s="215"/>
      <c r="D491" s="170"/>
      <c r="E491" s="216"/>
      <c r="F491" s="170"/>
      <c r="G491" s="170"/>
      <c r="H491" s="170"/>
      <c r="I491" s="170"/>
      <c r="J491" s="169"/>
      <c r="K491" s="169"/>
      <c r="L491" s="157" t="str">
        <f>IFERROR(__xludf.DUMMYFUNCTION("IF(
  AND(D491=""Saída"", J491=""Sangria""),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'""&amp;K491&amp;""'
             and Col6 = ""&amp;N491&amp;""
             and Col4 = date '""&amp;TEXT(C491,""yyyy-mm-dd"")&amp;""'""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'""&amp;K491&amp;""'
               and Col6 = ""&amp;N491&amp;""
               and Col4 = date '""&amp;TEXT(C491,""yyyy-mm-dd"")&amp;""'""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'""&amp;"&amp;"K491&amp;""'
                 and Col6 = ""&amp;N491&amp;""
                 and Col4 = date '""&amp;TEXT(C491,""yyyy-mm-dd"")&amp;""'""
            )
          )&gt;0,
          ""Confirmada"",
          ""Caixa Sangria""
        )
      )
    ),
    """"
  ),
  """"
)
"),"")</f>
        <v/>
      </c>
      <c r="M491" s="209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159" t="str">
        <f>IFERROR(__xludf.DUMMYFUNCTION("ifna(VALUE(REGEXEXTRACT(E491,""[0-9.]+[,]+[0-9]+"")))"),"")</f>
        <v/>
      </c>
      <c r="O491" s="159"/>
      <c r="P491" s="159"/>
      <c r="Q491" s="159"/>
      <c r="R491" s="159"/>
      <c r="S491" s="159"/>
      <c r="T491" s="159"/>
      <c r="U491" s="159"/>
      <c r="V491" s="159"/>
      <c r="W491" s="159"/>
    </row>
    <row r="492" ht="14.25" customHeight="1">
      <c r="A492" s="32"/>
      <c r="B492" s="213"/>
      <c r="C492" s="215"/>
      <c r="D492" s="170"/>
      <c r="E492" s="216"/>
      <c r="F492" s="170"/>
      <c r="G492" s="170"/>
      <c r="H492" s="170"/>
      <c r="I492" s="170"/>
      <c r="J492" s="169"/>
      <c r="K492" s="169"/>
      <c r="L492" s="157" t="str">
        <f>IFERROR(__xludf.DUMMYFUNCTION("IF(
  AND(D492=""Saída"", J492=""Sangria""),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'""&amp;K492&amp;""'
             and Col6 = ""&amp;N492&amp;""
             and Col4 = date '""&amp;TEXT(C492,""yyyy-mm-dd"")&amp;""'""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'""&amp;K492&amp;""'
               and Col6 = ""&amp;N492&amp;""
               and Col4 = date '""&amp;TEXT(C492,""yyyy-mm-dd"")&amp;""'""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'""&amp;"&amp;"K492&amp;""'
                 and Col6 = ""&amp;N492&amp;""
                 and Col4 = date '""&amp;TEXT(C492,""yyyy-mm-dd"")&amp;""'""
            )
          )&gt;0,
          ""Confirmada"",
          ""Caixa Sangria""
        )
      )
    ),
    """"
  ),
  """"
)
"),"")</f>
        <v/>
      </c>
      <c r="M492" s="207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159" t="str">
        <f>IFERROR(__xludf.DUMMYFUNCTION("ifna(VALUE(REGEXEXTRACT(E492,""[0-9.]+[,]+[0-9]+"")))"),"")</f>
        <v/>
      </c>
      <c r="O492" s="159"/>
      <c r="P492" s="159"/>
      <c r="Q492" s="159"/>
      <c r="R492" s="159"/>
      <c r="S492" s="159"/>
      <c r="T492" s="159"/>
      <c r="U492" s="159"/>
      <c r="V492" s="159"/>
      <c r="W492" s="159"/>
    </row>
    <row r="493" ht="14.25" customHeight="1">
      <c r="A493" s="32"/>
      <c r="B493" s="213"/>
      <c r="C493" s="215"/>
      <c r="D493" s="170"/>
      <c r="E493" s="216"/>
      <c r="F493" s="170"/>
      <c r="G493" s="170"/>
      <c r="H493" s="170"/>
      <c r="I493" s="170"/>
      <c r="J493" s="169"/>
      <c r="K493" s="169"/>
      <c r="L493" s="157" t="str">
        <f>IFERROR(__xludf.DUMMYFUNCTION("IF(
  AND(D493=""Saída"", J493=""Sangria""),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'""&amp;K493&amp;""'
             and Col6 = ""&amp;N493&amp;""
             and Col4 = date '""&amp;TEXT(C493,""yyyy-mm-dd"")&amp;""'""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'""&amp;K493&amp;""'
               and Col6 = ""&amp;N493&amp;""
               and Col4 = date '""&amp;TEXT(C493,""yyyy-mm-dd"")&amp;""'""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'""&amp;"&amp;"K493&amp;""'
                 and Col6 = ""&amp;N493&amp;""
                 and Col4 = date '""&amp;TEXT(C493,""yyyy-mm-dd"")&amp;""'""
            )
          )&gt;0,
          ""Confirmada"",
          ""Caixa Sangria""
        )
      )
    ),
    """"
  ),
  """"
)
"),"")</f>
        <v/>
      </c>
      <c r="M493" s="209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159" t="str">
        <f>IFERROR(__xludf.DUMMYFUNCTION("ifna(VALUE(REGEXEXTRACT(E493,""[0-9.]+[,]+[0-9]+"")))"),"")</f>
        <v/>
      </c>
      <c r="O493" s="159"/>
      <c r="P493" s="159"/>
      <c r="Q493" s="159"/>
      <c r="R493" s="159"/>
      <c r="S493" s="159"/>
      <c r="T493" s="159"/>
      <c r="U493" s="159"/>
      <c r="V493" s="159"/>
      <c r="W493" s="159"/>
    </row>
    <row r="494" ht="14.25" customHeight="1">
      <c r="A494" s="32"/>
      <c r="B494" s="213"/>
      <c r="C494" s="215"/>
      <c r="D494" s="170"/>
      <c r="E494" s="216"/>
      <c r="F494" s="170"/>
      <c r="G494" s="170"/>
      <c r="H494" s="170"/>
      <c r="I494" s="170"/>
      <c r="J494" s="169"/>
      <c r="K494" s="169"/>
      <c r="L494" s="157" t="str">
        <f>IFERROR(__xludf.DUMMYFUNCTION("IF(
  AND(D494=""Saída"", J494=""Sangria""),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'""&amp;K494&amp;""'
             and Col6 = ""&amp;N494&amp;""
             and Col4 = date '""&amp;TEXT(C494,""yyyy-mm-dd"")&amp;""'""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'""&amp;K494&amp;""'
               and Col6 = ""&amp;N494&amp;""
               and Col4 = date '""&amp;TEXT(C494,""yyyy-mm-dd"")&amp;""'""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'""&amp;"&amp;"K494&amp;""'
                 and Col6 = ""&amp;N494&amp;""
                 and Col4 = date '""&amp;TEXT(C494,""yyyy-mm-dd"")&amp;""'""
            )
          )&gt;0,
          ""Confirmada"",
          ""Caixa Sangria""
        )
      )
    ),
    """"
  ),
  """"
)
"),"")</f>
        <v/>
      </c>
      <c r="M494" s="207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159" t="str">
        <f>IFERROR(__xludf.DUMMYFUNCTION("ifna(VALUE(REGEXEXTRACT(E494,""[0-9.]+[,]+[0-9]+"")))"),"")</f>
        <v/>
      </c>
      <c r="O494" s="159"/>
      <c r="P494" s="159"/>
      <c r="Q494" s="159"/>
      <c r="R494" s="159"/>
      <c r="S494" s="159"/>
      <c r="T494" s="159"/>
      <c r="U494" s="159"/>
      <c r="V494" s="159"/>
      <c r="W494" s="159"/>
    </row>
    <row r="495" ht="14.25" customHeight="1">
      <c r="A495" s="32"/>
      <c r="B495" s="213"/>
      <c r="C495" s="215"/>
      <c r="D495" s="170"/>
      <c r="E495" s="216"/>
      <c r="F495" s="170"/>
      <c r="G495" s="170"/>
      <c r="H495" s="170"/>
      <c r="I495" s="170"/>
      <c r="J495" s="169"/>
      <c r="K495" s="169"/>
      <c r="L495" s="157" t="str">
        <f>IFERROR(__xludf.DUMMYFUNCTION("IF(
  AND(D495=""Saída"", J495=""Sangria""),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'""&amp;K495&amp;""'
             and Col6 = ""&amp;N495&amp;""
             and Col4 = date '""&amp;TEXT(C495,""yyyy-mm-dd"")&amp;""'""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'""&amp;K495&amp;""'
               and Col6 = ""&amp;N495&amp;""
               and Col4 = date '""&amp;TEXT(C495,""yyyy-mm-dd"")&amp;""'""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'""&amp;"&amp;"K495&amp;""'
                 and Col6 = ""&amp;N495&amp;""
                 and Col4 = date '""&amp;TEXT(C495,""yyyy-mm-dd"")&amp;""'""
            )
          )&gt;0,
          ""Confirmada"",
          ""Caixa Sangria""
        )
      )
    ),
    """"
  ),
  """"
)
"),"")</f>
        <v/>
      </c>
      <c r="M495" s="209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159" t="str">
        <f>IFERROR(__xludf.DUMMYFUNCTION("ifna(VALUE(REGEXEXTRACT(E495,""[0-9.]+[,]+[0-9]+"")))"),"")</f>
        <v/>
      </c>
      <c r="O495" s="159"/>
      <c r="P495" s="159"/>
      <c r="Q495" s="159"/>
      <c r="R495" s="159"/>
      <c r="S495" s="159"/>
      <c r="T495" s="159"/>
      <c r="U495" s="159"/>
      <c r="V495" s="159"/>
      <c r="W495" s="159"/>
    </row>
    <row r="496" ht="14.25" customHeight="1">
      <c r="A496" s="32"/>
      <c r="B496" s="213"/>
      <c r="C496" s="215"/>
      <c r="D496" s="170"/>
      <c r="E496" s="216"/>
      <c r="F496" s="170"/>
      <c r="G496" s="170"/>
      <c r="H496" s="170"/>
      <c r="I496" s="170"/>
      <c r="J496" s="169"/>
      <c r="K496" s="169"/>
      <c r="L496" s="157" t="str">
        <f>IFERROR(__xludf.DUMMYFUNCTION("IF(
  AND(D496=""Saída"", J496=""Sangria""),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'""&amp;K496&amp;""'
             and Col6 = ""&amp;N496&amp;""
             and Col4 = date '""&amp;TEXT(C496,""yyyy-mm-dd"")&amp;""'""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'""&amp;K496&amp;""'
               and Col6 = ""&amp;N496&amp;""
               and Col4 = date '""&amp;TEXT(C496,""yyyy-mm-dd"")&amp;""'""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'""&amp;"&amp;"K496&amp;""'
                 and Col6 = ""&amp;N496&amp;""
                 and Col4 = date '""&amp;TEXT(C496,""yyyy-mm-dd"")&amp;""'""
            )
          )&gt;0,
          ""Confirmada"",
          ""Caixa Sangria""
        )
      )
    ),
    """"
  ),
  """"
)
"),"")</f>
        <v/>
      </c>
      <c r="M496" s="207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159" t="str">
        <f>IFERROR(__xludf.DUMMYFUNCTION("ifna(VALUE(REGEXEXTRACT(E496,""[0-9.]+[,]+[0-9]+"")))"),"")</f>
        <v/>
      </c>
      <c r="O496" s="159"/>
      <c r="P496" s="159"/>
      <c r="Q496" s="159"/>
      <c r="R496" s="159"/>
      <c r="S496" s="159"/>
      <c r="T496" s="159"/>
      <c r="U496" s="159"/>
      <c r="V496" s="159"/>
      <c r="W496" s="159"/>
    </row>
    <row r="497" ht="14.25" customHeight="1">
      <c r="A497" s="32"/>
      <c r="B497" s="213"/>
      <c r="C497" s="215"/>
      <c r="D497" s="170"/>
      <c r="E497" s="216"/>
      <c r="F497" s="170"/>
      <c r="G497" s="170"/>
      <c r="H497" s="170"/>
      <c r="I497" s="170"/>
      <c r="J497" s="169"/>
      <c r="K497" s="169"/>
      <c r="L497" s="157" t="str">
        <f>IFERROR(__xludf.DUMMYFUNCTION("IF(
  AND(D497=""Saída"", J497=""Sangria""),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'""&amp;K497&amp;""'
             and Col6 = ""&amp;N497&amp;""
             and Col4 = date '""&amp;TEXT(C497,""yyyy-mm-dd"")&amp;""'""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'""&amp;K497&amp;""'
               and Col6 = ""&amp;N497&amp;""
               and Col4 = date '""&amp;TEXT(C497,""yyyy-mm-dd"")&amp;""'""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'""&amp;"&amp;"K497&amp;""'
                 and Col6 = ""&amp;N497&amp;""
                 and Col4 = date '""&amp;TEXT(C497,""yyyy-mm-dd"")&amp;""'""
            )
          )&gt;0,
          ""Confirmada"",
          ""Caixa Sangria""
        )
      )
    ),
    """"
  ),
  """"
)
"),"")</f>
        <v/>
      </c>
      <c r="M497" s="209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159" t="str">
        <f>IFERROR(__xludf.DUMMYFUNCTION("ifna(VALUE(REGEXEXTRACT(E497,""[0-9.]+[,]+[0-9]+"")))"),"")</f>
        <v/>
      </c>
      <c r="O497" s="159"/>
      <c r="P497" s="159"/>
      <c r="Q497" s="159"/>
      <c r="R497" s="159"/>
      <c r="S497" s="159"/>
      <c r="T497" s="159"/>
      <c r="U497" s="159"/>
      <c r="V497" s="159"/>
      <c r="W497" s="159"/>
    </row>
    <row r="498" ht="14.25" customHeight="1">
      <c r="A498" s="32"/>
      <c r="B498" s="213"/>
      <c r="C498" s="215"/>
      <c r="D498" s="170"/>
      <c r="E498" s="216"/>
      <c r="F498" s="170"/>
      <c r="G498" s="170"/>
      <c r="H498" s="170"/>
      <c r="I498" s="170"/>
      <c r="J498" s="169"/>
      <c r="K498" s="169"/>
      <c r="L498" s="157" t="str">
        <f>IFERROR(__xludf.DUMMYFUNCTION("IF(
  AND(D498=""Saída"", J498=""Sangria""),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'""&amp;K498&amp;""'
             and Col6 = ""&amp;N498&amp;""
             and Col4 = date '""&amp;TEXT(C498,""yyyy-mm-dd"")&amp;""'""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'""&amp;K498&amp;""'
               and Col6 = ""&amp;N498&amp;""
               and Col4 = date '""&amp;TEXT(C498,""yyyy-mm-dd"")&amp;""'""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'""&amp;"&amp;"K498&amp;""'
                 and Col6 = ""&amp;N498&amp;""
                 and Col4 = date '""&amp;TEXT(C498,""yyyy-mm-dd"")&amp;""'""
            )
          )&gt;0,
          ""Confirmada"",
          ""Caixa Sangria""
        )
      )
    ),
    """"
  ),
  """"
)
"),"")</f>
        <v/>
      </c>
      <c r="M498" s="207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159" t="str">
        <f>IFERROR(__xludf.DUMMYFUNCTION("ifna(VALUE(REGEXEXTRACT(E498,""[0-9.]+[,]+[0-9]+"")))"),"")</f>
        <v/>
      </c>
      <c r="O498" s="159"/>
      <c r="P498" s="159"/>
      <c r="Q498" s="159"/>
      <c r="R498" s="159"/>
      <c r="S498" s="159"/>
      <c r="T498" s="159"/>
      <c r="U498" s="159"/>
      <c r="V498" s="159"/>
      <c r="W498" s="159"/>
    </row>
    <row r="499" ht="14.25" customHeight="1">
      <c r="A499" s="32"/>
      <c r="B499" s="213"/>
      <c r="C499" s="215"/>
      <c r="D499" s="170"/>
      <c r="E499" s="216"/>
      <c r="F499" s="170"/>
      <c r="G499" s="170"/>
      <c r="H499" s="170"/>
      <c r="I499" s="170"/>
      <c r="J499" s="169"/>
      <c r="K499" s="169"/>
      <c r="L499" s="157" t="str">
        <f>IFERROR(__xludf.DUMMYFUNCTION("IF(
  AND(D499=""Saída"", J499=""Sangria""),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'""&amp;K499&amp;""'
             and Col6 = ""&amp;N499&amp;""
             and Col4 = date '""&amp;TEXT(C499,""yyyy-mm-dd"")&amp;""'""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'""&amp;K499&amp;""'
               and Col6 = ""&amp;N499&amp;""
               and Col4 = date '""&amp;TEXT(C499,""yyyy-mm-dd"")&amp;""'""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'""&amp;"&amp;"K499&amp;""'
                 and Col6 = ""&amp;N499&amp;""
                 and Col4 = date '""&amp;TEXT(C499,""yyyy-mm-dd"")&amp;""'""
            )
          )&gt;0,
          ""Confirmada"",
          ""Caixa Sangria""
        )
      )
    ),
    """"
  ),
  """"
)
"),"")</f>
        <v/>
      </c>
      <c r="M499" s="225"/>
      <c r="N499" s="159" t="str">
        <f>IFERROR(__xludf.DUMMYFUNCTION("ifna(VALUE(REGEXEXTRACT(E499,""[0-9.]+[,]+[0-9]+"")))"),"")</f>
        <v/>
      </c>
      <c r="O499" s="159"/>
      <c r="P499" s="159"/>
      <c r="Q499" s="159"/>
      <c r="R499" s="159"/>
      <c r="S499" s="159"/>
      <c r="T499" s="159"/>
      <c r="U499" s="159"/>
      <c r="V499" s="159"/>
      <c r="W499" s="159"/>
    </row>
    <row r="500" ht="14.25" customHeight="1">
      <c r="A500" s="32"/>
      <c r="B500" s="213"/>
      <c r="C500" s="215"/>
      <c r="D500" s="170"/>
      <c r="E500" s="216"/>
      <c r="F500" s="170"/>
      <c r="G500" s="170"/>
      <c r="H500" s="170"/>
      <c r="I500" s="170"/>
      <c r="J500" s="169"/>
      <c r="K500" s="169"/>
      <c r="L500" s="157" t="str">
        <f>IFERROR(__xludf.DUMMYFUNCTION("IF(
  AND(D500=""Saída"", J500=""Sangria""),
  IFNA(
    IF(
      SUM(
        QUERY(
          IMPORTRANGE(""https://docs.google.com/spreadsheets/d/15vCx43UQd-lUcbnvwm-R2Xfhex1Wogrs1wY4DlXukMA"",
          ""Movimentações de Sangrias!A:I""),
          "&amp;"""select Col6 
           where Col7 = 'Depositada'
             and Col9 = '""&amp;K500&amp;""'
             and Col6 = ""&amp;N500&amp;""
             and Col4 = date '""&amp;TEXT(C500,""yyyy-mm-dd"")&amp;""'""
        )
      )&gt;0,
      ""Depositada"",
      IF(
        SUM("&amp;"
          QUERY(
            IMPORTRANGE(""https://docs.google.com/spreadsheets/d/15vCx43UQd-lUcbnvwm-R2Xfhex1Wogrs1wY4DlXukMA"",
            ""Movimentações de Sangrias!A:I""),
            ""select Col6 
             where Col7 = 'Caixa Atendimento'
   "&amp;"            and Col9 = '""&amp;K500&amp;""'
               and Col6 = ""&amp;N500&amp;""
               and Col4 = date '""&amp;TEXT(C500,""yyyy-mm-dd"")&amp;""'""
          )
        )&gt;0,
        ""Caixa Atendimento"",
        IF(
          SUM(
            QUERY(
            "&amp;"  IMPORTRANGE(""https://docs.google.com/spreadsheets/d/15vCx43UQd-lUcbnvwm-R2Xfhex1Wogrs1wY4DlXukMA"",
              ""Movimentações de Sangrias!A:I""),
              ""select Col6 
               where Col7 = 'Confirmada'
                 and Col9 = '""&amp;"&amp;"K500&amp;""'
                 and Col6 = ""&amp;N500&amp;""
                 and Col4 = date '""&amp;TEXT(C500,""yyyy-mm-dd"")&amp;""'""
            )
          )&gt;0,
          ""Confirmada"",
          ""Caixa Sangria""
        )
      )
    ),
    """"
  ),
  """"
)
"),"")</f>
        <v/>
      </c>
      <c r="M500" s="225"/>
      <c r="N500" s="159" t="str">
        <f>IFERROR(__xludf.DUMMYFUNCTION("ifna(VALUE(REGEXEXTRACT(E500,""[0-9.]+[,]+[0-9]+"")))"),"")</f>
        <v/>
      </c>
      <c r="O500" s="159"/>
      <c r="P500" s="159"/>
      <c r="Q500" s="159"/>
      <c r="R500" s="159"/>
      <c r="S500" s="159"/>
      <c r="T500" s="159"/>
      <c r="U500" s="159"/>
      <c r="V500" s="159"/>
      <c r="W500" s="159"/>
    </row>
  </sheetData>
  <mergeCells count="125">
    <mergeCell ref="O3:R3"/>
    <mergeCell ref="T3:W3"/>
    <mergeCell ref="A2:L2"/>
    <mergeCell ref="A3:B3"/>
    <mergeCell ref="C3:D3"/>
    <mergeCell ref="E3:F3"/>
    <mergeCell ref="G3:H3"/>
    <mergeCell ref="I3:J3"/>
    <mergeCell ref="K3:L3"/>
    <mergeCell ref="C12:D12"/>
    <mergeCell ref="E12:F12"/>
    <mergeCell ref="C16:D16"/>
    <mergeCell ref="E16:F16"/>
    <mergeCell ref="G16:H16"/>
    <mergeCell ref="B20:M20"/>
    <mergeCell ref="O21:R21"/>
    <mergeCell ref="T21:W21"/>
    <mergeCell ref="C7:D7"/>
    <mergeCell ref="E7:F7"/>
    <mergeCell ref="G7:H7"/>
    <mergeCell ref="I7:J7"/>
    <mergeCell ref="K7:L7"/>
    <mergeCell ref="C11:D11"/>
    <mergeCell ref="E11:H11"/>
    <mergeCell ref="I11:J11"/>
    <mergeCell ref="K11:L11"/>
    <mergeCell ref="K12:L12"/>
    <mergeCell ref="I15:J15"/>
    <mergeCell ref="I16:J16"/>
    <mergeCell ref="I17:J17"/>
    <mergeCell ref="I18:J18"/>
    <mergeCell ref="O39:R39"/>
    <mergeCell ref="T39:W39"/>
    <mergeCell ref="O56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120:U120"/>
    <mergeCell ref="S121:U121"/>
    <mergeCell ref="S122:U122"/>
    <mergeCell ref="S123:U123"/>
    <mergeCell ref="S124:U124"/>
    <mergeCell ref="S125:U125"/>
    <mergeCell ref="S126:U126"/>
    <mergeCell ref="S127:U127"/>
    <mergeCell ref="S128:U128"/>
    <mergeCell ref="S129:U129"/>
    <mergeCell ref="S130:U130"/>
    <mergeCell ref="S131:U131"/>
    <mergeCell ref="S132:U132"/>
    <mergeCell ref="S133:U133"/>
    <mergeCell ref="S134:U134"/>
    <mergeCell ref="S135:U135"/>
    <mergeCell ref="S136:U136"/>
    <mergeCell ref="S137:U137"/>
    <mergeCell ref="S138:U138"/>
    <mergeCell ref="S139:U139"/>
    <mergeCell ref="S140:U140"/>
    <mergeCell ref="S148:U148"/>
    <mergeCell ref="S149:U149"/>
    <mergeCell ref="S150:U150"/>
    <mergeCell ref="S141:U141"/>
    <mergeCell ref="S142:U142"/>
    <mergeCell ref="S143:U143"/>
    <mergeCell ref="S144:U144"/>
    <mergeCell ref="S145:U145"/>
    <mergeCell ref="S146:U146"/>
    <mergeCell ref="S147:U147"/>
    <mergeCell ref="S69:T69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O98:V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07:U107"/>
    <mergeCell ref="S108:U108"/>
    <mergeCell ref="S109:U109"/>
    <mergeCell ref="S110:U110"/>
    <mergeCell ref="S111:U111"/>
    <mergeCell ref="S112:U112"/>
    <mergeCell ref="S113:U113"/>
    <mergeCell ref="S114:U114"/>
    <mergeCell ref="S115:U115"/>
    <mergeCell ref="S116:U116"/>
    <mergeCell ref="S117:U117"/>
    <mergeCell ref="S118:U118"/>
    <mergeCell ref="S119:U119"/>
  </mergeCells>
  <conditionalFormatting sqref="M22:M500">
    <cfRule type="cellIs" dxfId="5" priority="1" operator="equal">
      <formula>"Não Encontrada"</formula>
    </cfRule>
  </conditionalFormatting>
  <conditionalFormatting sqref="D4">
    <cfRule type="cellIs" dxfId="6" priority="2" operator="greaterThanOrEqual">
      <formula>500</formula>
    </cfRule>
  </conditionalFormatting>
  <conditionalFormatting sqref="D4">
    <cfRule type="cellIs" dxfId="7" priority="3" operator="between">
      <formula>400</formula>
      <formula>500</formula>
    </cfRule>
  </conditionalFormatting>
  <conditionalFormatting sqref="F4">
    <cfRule type="cellIs" dxfId="6" priority="4" operator="greaterThanOrEqual">
      <formula>500</formula>
    </cfRule>
  </conditionalFormatting>
  <conditionalFormatting sqref="F4">
    <cfRule type="cellIs" dxfId="5" priority="5" operator="between">
      <formula>400</formula>
      <formula>500</formula>
    </cfRule>
  </conditionalFormatting>
  <conditionalFormatting sqref="H4">
    <cfRule type="cellIs" dxfId="6" priority="6" operator="greaterThanOrEqual">
      <formula>500</formula>
    </cfRule>
  </conditionalFormatting>
  <conditionalFormatting sqref="H4">
    <cfRule type="cellIs" dxfId="5" priority="7" operator="between">
      <formula>400</formula>
      <formula>500</formula>
    </cfRule>
  </conditionalFormatting>
  <conditionalFormatting sqref="J4">
    <cfRule type="cellIs" dxfId="6" priority="8" operator="greaterThanOrEqual">
      <formula>500</formula>
    </cfRule>
  </conditionalFormatting>
  <conditionalFormatting sqref="J4">
    <cfRule type="cellIs" dxfId="7" priority="9" operator="between">
      <formula>400</formula>
      <formula>500</formula>
    </cfRule>
  </conditionalFormatting>
  <conditionalFormatting sqref="L4:W4 D13 P22:R22 U22:W22 P40:R40 U40:W40">
    <cfRule type="cellIs" dxfId="6" priority="10" operator="greaterThanOrEqual">
      <formula>500</formula>
    </cfRule>
  </conditionalFormatting>
  <conditionalFormatting sqref="L4:W4 D13 P22:R22 U22:W22 P40:R40 U40:W40">
    <cfRule type="cellIs" dxfId="7" priority="11" operator="between">
      <formula>400</formula>
      <formula>500</formula>
    </cfRule>
  </conditionalFormatting>
  <conditionalFormatting sqref="E22:E180 E189:E500">
    <cfRule type="containsText" dxfId="8" priority="12" operator="containsText" text="R$">
      <formula>NOT(ISERROR(SEARCH(("R$"),(E22))))</formula>
    </cfRule>
  </conditionalFormatting>
  <conditionalFormatting sqref="C22:G180 H22:K500 C189:G500">
    <cfRule type="expression" dxfId="9" priority="13">
      <formula>and($J$22:$J$1012="Sangria",$D$22:$D$1012="Saída")</formula>
    </cfRule>
  </conditionalFormatting>
  <conditionalFormatting sqref="K22:K500">
    <cfRule type="expression" dxfId="10" priority="14">
      <formula>or($J$22:$J$212="Compra Moedas",$J$22:$J$212="Cortesias",$J$22:$J$212="Troco")</formula>
    </cfRule>
  </conditionalFormatting>
  <conditionalFormatting sqref="K22:K500">
    <cfRule type="expression" dxfId="11" priority="15">
      <formula>or(and($J$22:$J$212="Consumo",or($K$22:$K$212="Compra Moedas",$K$22:$K$212="Cortesia",$K$22:$K$212="Caixa Sangrias",$K$22:$K$212="Caixa Troco",$K$22:$K$212="Caixa Atendimento",$K$22:$K$212="Depositado",$K$22:$K$212="-Nenhum-")),and($J$22:$J$212="Adiantamento",or($K$22:$K$212="Compra Moedas",$K$22:$K$212="Cortesia",$K$22:$K$212="Caixa Sangrias",$K$22:$K$212="Caixa Troco",$K$22:$K$212="Caixa Atendimento",$K$22:$K$212="Depositado",$K$22:$K$212="-Nenhum-")))</formula>
    </cfRule>
  </conditionalFormatting>
  <conditionalFormatting sqref="I22:I500">
    <cfRule type="expression" dxfId="5" priority="16">
      <formula>and(SEARCH("Vale",G22),or(J22="Consumo",J22="Sangria",J22="Compra Moedas",J22="Cortesia",J22="Troco",J22="Estorno Cliente",J22="Outros Pagamentos",J22="Inadimplência"))</formula>
    </cfRule>
  </conditionalFormatting>
  <conditionalFormatting sqref="I22:I500">
    <cfRule type="expression" dxfId="5" priority="17">
      <formula>and(SEARCH("Consumo",G22),or(J22="Adiantamento",J22="Sangria",J22="Compra Moedas",J22="Cortesia",J22="Troco",J22="Estorno Cliente",J22="Outros Pagamentos",J22="Inadimplência"))</formula>
    </cfRule>
  </conditionalFormatting>
  <conditionalFormatting sqref="I36">
    <cfRule type="notContainsBlanks" dxfId="12" priority="18">
      <formula>LEN(TRIM(I36))&gt;0</formula>
    </cfRule>
  </conditionalFormatting>
  <conditionalFormatting sqref="I22:I500">
    <cfRule type="expression" dxfId="5" priority="19">
      <formula>and(SEARCH("Sangria",G22),or(J22="Consumo",J22="Adiantamento",J22="Compra Moedas",J22="Cortesia",J22="Troco",J22="Estorno Cliente",J22="Outros Pagamentos",J22="Inadimplência"))</formula>
    </cfRule>
  </conditionalFormatting>
  <conditionalFormatting sqref="I22:I500">
    <cfRule type="expression" dxfId="5" priority="20">
      <formula>and(SEARCH("Cortesia",G22),or(J22="Consumo",J22="Sangria",J22="Adiantamento",J22="Troco",J22="Estorno Cliente",J22="Outros Pagamentos",J22="Inadimplência"))</formula>
    </cfRule>
  </conditionalFormatting>
  <conditionalFormatting sqref="C22:C180 C189:C500">
    <cfRule type="expression" dxfId="11" priority="21">
      <formula>and($C$22:$C$212="",or($D$22:$D$212="Entrada",$D$22:$D$212="Saída"))</formula>
    </cfRule>
  </conditionalFormatting>
  <conditionalFormatting sqref="I22:I500">
    <cfRule type="expression" dxfId="5" priority="22">
      <formula>and(K22 = "",or(J22="Consumo",J22="Adiantamento"))</formula>
    </cfRule>
  </conditionalFormatting>
  <conditionalFormatting sqref="L22:L500">
    <cfRule type="cellIs" dxfId="5" priority="23" operator="equal">
      <formula>"Caixa Sangria"</formula>
    </cfRule>
  </conditionalFormatting>
  <dataValidations>
    <dataValidation type="list" allowBlank="1" showErrorMessage="1" sqref="J22:J278 J280:J283 J286:J500">
      <formula1>"Adiantamento,Consumo,Sangria,Compra de Mercadorias,Motoboy,Freelancer,Caixa Troco,Compra de Moedas,Cortesias,Estorno Cliente,Inadimplência,A/F de Caixa,Delivery Cancelado/Errado"</formula1>
    </dataValidation>
    <dataValidation type="list" allowBlank="1" showErrorMessage="1" sqref="K22:K500">
      <formula1>'MAIO 2026'!$B$4:$B$10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